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codeName="{C80E003A-6C80-AF87-3323-10F97C11A349}"/>
  <workbookPr codeName="ThisWorkbook" autoCompressPictures="0"/>
  <mc:AlternateContent xmlns:mc="http://schemas.openxmlformats.org/markup-compatibility/2006">
    <mc:Choice Requires="x15">
      <x15ac:absPath xmlns:x15ac="http://schemas.microsoft.com/office/spreadsheetml/2010/11/ac" url="/Users/dimitri/Desktop/Deep Earth Water Model 2024/LATEST DEW 2024/Latest here Nov27th/"/>
    </mc:Choice>
  </mc:AlternateContent>
  <xr:revisionPtr revIDLastSave="0" documentId="13_ncr:1_{F5E06CE9-D1BF-AE4A-982D-0EC062866A65}" xr6:coauthVersionLast="47" xr6:coauthVersionMax="47" xr10:uidLastSave="{00000000-0000-0000-0000-000000000000}"/>
  <bookViews>
    <workbookView xWindow="1740" yWindow="6120" windowWidth="34780" windowHeight="20840" tabRatio="764" activeTab="3" xr2:uid="{00000000-000D-0000-FFFF-FFFF00000000}"/>
  </bookViews>
  <sheets>
    <sheet name="Intro" sheetId="23" r:id="rId1"/>
    <sheet name="Input" sheetId="1" r:id="rId2"/>
    <sheet name="Reaction Information" sheetId="2" r:id="rId3"/>
    <sheet name="Results" sheetId="3" r:id="rId4"/>
    <sheet name="Aqueous Species Options" sheetId="21" r:id="rId5"/>
    <sheet name="Aqueous Species Table" sheetId="4" r:id="rId6"/>
    <sheet name="Gas Table" sheetId="10" r:id="rId7"/>
    <sheet name="Calculations" sheetId="15" r:id="rId8"/>
    <sheet name="Water Density" sheetId="22" r:id="rId9"/>
    <sheet name="Dielectric Constant" sheetId="18" r:id="rId10"/>
    <sheet name="Water Free Energy" sheetId="20" r:id="rId11"/>
    <sheet name="Change Log" sheetId="19" r:id="rId12"/>
  </sheets>
  <functionGroups builtInGroupCount="19"/>
  <definedNames>
    <definedName name="GibbsRange">IF(Results!$AF$8="",Results!$AF$8,OFFSET(Results!$AF$8,0,0,COUNT(Results!$AF$8:$AF$207),1))</definedName>
    <definedName name="LogKRange">IF(Results!$AG$8="",Results!$AG$8,OFFSET(Results!$AG$8,0,0,COUNT(Results!$AG$8:$AG$207),1))</definedName>
    <definedName name="PressureRange">OFFSET(Results!$B$8,0,0,COUNT(Results!$B$8:$B$207),1)</definedName>
    <definedName name="Range">OFFSET(Results!$CC$7,0,0,COUNT(Results!$CC$8:$CC$102)+1,COUNT(Results!$CD$7:$DG$7)+1)</definedName>
    <definedName name="TemperatureRange">OFFSET(Results!$C$8,0,0,COUNT(Results!$C$8:$C$207),1)</definedName>
    <definedName name="VolumeRange">IF(Results!$BJ$8="",Results!$BJ$8,OFFSET(Results!$BJ$8,0,0,COUNT(Results!$BJ$8:$BJ$207),1))</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O7" i="3" l="1"/>
  <c r="B1" i="3" s="1"/>
  <c r="I6" i="15"/>
  <c r="B3" i="3"/>
  <c r="B4" i="3"/>
  <c r="R6" i="15"/>
  <c r="BU6" i="15"/>
  <c r="BV6" i="15"/>
  <c r="BU7" i="15"/>
  <c r="BV7" i="15"/>
  <c r="BU8" i="15"/>
  <c r="BV8" i="15"/>
  <c r="BU9" i="15"/>
  <c r="BV9" i="15"/>
  <c r="BU10" i="15"/>
  <c r="BV10" i="15"/>
  <c r="BU11" i="15"/>
  <c r="BV11" i="15"/>
  <c r="BU12" i="15"/>
  <c r="BV12" i="15"/>
  <c r="BU13" i="15"/>
  <c r="BV13" i="15"/>
  <c r="BU14" i="15"/>
  <c r="BV14" i="15"/>
  <c r="BU15" i="15"/>
  <c r="BV15" i="15"/>
  <c r="BU16" i="15"/>
  <c r="BV16" i="15"/>
  <c r="BU17" i="15"/>
  <c r="BV17" i="15"/>
  <c r="BU18" i="15"/>
  <c r="BV18" i="15"/>
  <c r="BU19" i="15"/>
  <c r="BV19" i="15"/>
  <c r="BU20" i="15"/>
  <c r="BV20" i="15"/>
  <c r="BU21" i="15"/>
  <c r="BV21" i="15"/>
  <c r="BU22" i="15"/>
  <c r="BV22" i="15"/>
  <c r="BU23" i="15"/>
  <c r="BV23" i="15"/>
  <c r="BU24" i="15"/>
  <c r="BV24" i="15"/>
  <c r="BU25" i="15"/>
  <c r="BV25" i="15"/>
  <c r="BU26" i="15"/>
  <c r="BV26" i="15"/>
  <c r="BU27" i="15"/>
  <c r="BV27" i="15"/>
  <c r="BU28" i="15"/>
  <c r="BV28" i="15"/>
  <c r="BU29" i="15"/>
  <c r="BV29" i="15"/>
  <c r="BU30" i="15"/>
  <c r="BV30" i="15"/>
  <c r="BU31" i="15"/>
  <c r="BV31" i="15"/>
  <c r="BU32" i="15"/>
  <c r="BV32" i="15"/>
  <c r="BU33" i="15"/>
  <c r="BV33" i="15"/>
  <c r="BU34" i="15"/>
  <c r="BV34" i="15"/>
  <c r="BU35" i="15"/>
  <c r="BV35" i="15"/>
  <c r="BU36" i="15"/>
  <c r="BV36" i="15"/>
  <c r="BU37" i="15"/>
  <c r="BV37" i="15"/>
  <c r="BU38" i="15"/>
  <c r="BV38" i="15"/>
  <c r="BU39" i="15"/>
  <c r="BV39" i="15"/>
  <c r="BU40" i="15"/>
  <c r="BV40" i="15"/>
  <c r="BU41" i="15"/>
  <c r="BV41" i="15"/>
  <c r="BU42" i="15"/>
  <c r="BV42" i="15"/>
  <c r="BU43" i="15"/>
  <c r="BV43" i="15"/>
  <c r="BU44" i="15"/>
  <c r="BV44" i="15"/>
  <c r="BU45" i="15"/>
  <c r="BV45" i="15"/>
  <c r="BU46" i="15"/>
  <c r="BV46" i="15"/>
  <c r="BU47" i="15"/>
  <c r="BV47" i="15"/>
  <c r="BU48" i="15"/>
  <c r="BV48" i="15"/>
  <c r="BU49" i="15"/>
  <c r="BV49" i="15"/>
  <c r="BU50" i="15"/>
  <c r="BV50" i="15"/>
  <c r="BU51" i="15"/>
  <c r="BV51" i="15"/>
  <c r="BU52" i="15"/>
  <c r="BV52" i="15"/>
  <c r="BU53" i="15"/>
  <c r="BV53" i="15"/>
  <c r="BU54" i="15"/>
  <c r="BV54" i="15"/>
  <c r="BU55" i="15"/>
  <c r="BV55" i="15"/>
  <c r="BU56" i="15"/>
  <c r="BV56" i="15"/>
  <c r="BU57" i="15"/>
  <c r="BV57" i="15"/>
  <c r="BU58" i="15"/>
  <c r="BV58" i="15"/>
  <c r="BU59" i="15"/>
  <c r="BV59" i="15"/>
  <c r="BU60" i="15"/>
  <c r="BV60" i="15"/>
  <c r="BU61" i="15"/>
  <c r="BV61" i="15"/>
  <c r="BU62" i="15"/>
  <c r="BV62" i="15"/>
  <c r="BU63" i="15"/>
  <c r="BV63" i="15"/>
  <c r="BU64" i="15"/>
  <c r="BV64" i="15"/>
  <c r="BU65" i="15"/>
  <c r="BV65" i="15"/>
  <c r="BU66" i="15"/>
  <c r="BV66" i="15"/>
  <c r="BU67" i="15"/>
  <c r="BV67" i="15"/>
  <c r="BU68" i="15"/>
  <c r="BV68" i="15"/>
  <c r="BU69" i="15"/>
  <c r="BV69" i="15"/>
  <c r="BU70" i="15"/>
  <c r="BV70" i="15"/>
  <c r="BU71" i="15"/>
  <c r="BV71" i="15"/>
  <c r="BU72" i="15"/>
  <c r="BV72" i="15"/>
  <c r="BU73" i="15"/>
  <c r="BV73" i="15"/>
  <c r="BU74" i="15"/>
  <c r="BV74" i="15"/>
  <c r="BU75" i="15"/>
  <c r="BV75" i="15"/>
  <c r="BU76" i="15"/>
  <c r="BV76" i="15"/>
  <c r="BU77" i="15"/>
  <c r="BV77" i="15"/>
  <c r="BU78" i="15"/>
  <c r="BV78" i="15"/>
  <c r="BU79" i="15"/>
  <c r="BV79" i="15"/>
  <c r="BU80" i="15"/>
  <c r="BV80" i="15"/>
  <c r="BU81" i="15"/>
  <c r="BV81" i="15"/>
  <c r="BU82" i="15"/>
  <c r="BV82" i="15"/>
  <c r="BU83" i="15"/>
  <c r="BV83" i="15"/>
  <c r="BU84" i="15"/>
  <c r="BV84" i="15"/>
  <c r="BU85" i="15"/>
  <c r="BV85" i="15"/>
  <c r="BU86" i="15"/>
  <c r="BV86" i="15"/>
  <c r="BU87" i="15"/>
  <c r="BV87" i="15"/>
  <c r="BU88" i="15"/>
  <c r="BV88" i="15"/>
  <c r="BU89" i="15"/>
  <c r="BV89" i="15"/>
  <c r="BU90" i="15"/>
  <c r="BV90" i="15"/>
  <c r="BU91" i="15"/>
  <c r="BV91" i="15"/>
  <c r="BU92" i="15"/>
  <c r="BV92" i="15"/>
  <c r="BU93" i="15"/>
  <c r="BV93" i="15"/>
  <c r="BU94" i="15"/>
  <c r="BV94" i="15"/>
  <c r="BU95" i="15"/>
  <c r="BV95" i="15"/>
  <c r="BU96" i="15"/>
  <c r="BV96" i="15"/>
  <c r="BU97" i="15"/>
  <c r="BV97" i="15"/>
  <c r="BU98" i="15"/>
  <c r="BV98" i="15"/>
  <c r="BU99" i="15"/>
  <c r="BV99" i="15"/>
  <c r="BU100" i="15"/>
  <c r="BV100" i="15"/>
  <c r="BU101" i="15"/>
  <c r="BV101" i="15"/>
  <c r="BU102" i="15"/>
  <c r="BV102" i="15"/>
  <c r="BU103" i="15"/>
  <c r="BV103" i="15"/>
  <c r="BU104" i="15"/>
  <c r="BV104" i="15"/>
  <c r="BU105" i="15"/>
  <c r="BV105" i="15"/>
  <c r="BU106" i="15"/>
  <c r="BV106" i="15"/>
  <c r="BU107" i="15"/>
  <c r="BV107" i="15"/>
  <c r="BU108" i="15"/>
  <c r="BV108" i="15"/>
  <c r="BU109" i="15"/>
  <c r="BV109" i="15"/>
  <c r="BU110" i="15"/>
  <c r="BV110" i="15"/>
  <c r="BU111" i="15"/>
  <c r="BV111" i="15"/>
  <c r="BU112" i="15"/>
  <c r="BV112" i="15"/>
  <c r="BU113" i="15"/>
  <c r="BV113" i="15"/>
  <c r="BU114" i="15"/>
  <c r="BV114" i="15"/>
  <c r="BU115" i="15"/>
  <c r="BV115" i="15"/>
  <c r="BU116" i="15"/>
  <c r="BV116" i="15"/>
  <c r="BU117" i="15"/>
  <c r="BV117" i="15"/>
  <c r="BU118" i="15"/>
  <c r="BV118" i="15"/>
  <c r="BU119" i="15"/>
  <c r="BV119" i="15"/>
  <c r="BU120" i="15"/>
  <c r="BV120" i="15"/>
  <c r="BU121" i="15"/>
  <c r="BV121" i="15"/>
  <c r="BU122" i="15"/>
  <c r="BV122" i="15"/>
  <c r="BU123" i="15"/>
  <c r="BV123" i="15"/>
  <c r="BU124" i="15"/>
  <c r="BV124" i="15"/>
  <c r="BU125" i="15"/>
  <c r="BV125" i="15"/>
  <c r="BU126" i="15"/>
  <c r="BV126" i="15"/>
  <c r="BU127" i="15"/>
  <c r="BV127" i="15"/>
  <c r="BU128" i="15"/>
  <c r="BV128" i="15"/>
  <c r="BU129" i="15"/>
  <c r="BV129" i="15"/>
  <c r="BU130" i="15"/>
  <c r="BV130" i="15"/>
  <c r="BU131" i="15"/>
  <c r="BV131" i="15"/>
  <c r="BU132" i="15"/>
  <c r="BV132" i="15"/>
  <c r="BU133" i="15"/>
  <c r="BV133" i="15"/>
  <c r="BU134" i="15"/>
  <c r="BV134" i="15"/>
  <c r="BU135" i="15"/>
  <c r="BV135" i="15"/>
  <c r="BU136" i="15"/>
  <c r="BV136" i="15"/>
  <c r="BU137" i="15"/>
  <c r="BV137" i="15"/>
  <c r="BU138" i="15"/>
  <c r="BV138" i="15"/>
  <c r="BU139" i="15"/>
  <c r="BV139" i="15"/>
  <c r="BU140" i="15"/>
  <c r="BV140" i="15"/>
  <c r="BU141" i="15"/>
  <c r="BV141" i="15"/>
  <c r="BU142" i="15"/>
  <c r="BV142" i="15"/>
  <c r="BU143" i="15"/>
  <c r="BV143" i="15"/>
  <c r="BU144" i="15"/>
  <c r="BV144" i="15"/>
  <c r="BU145" i="15"/>
  <c r="BV145" i="15"/>
  <c r="BU146" i="15"/>
  <c r="BV146" i="15"/>
  <c r="BU147" i="15"/>
  <c r="BV147" i="15"/>
  <c r="BU148" i="15"/>
  <c r="BV148" i="15"/>
  <c r="BU149" i="15"/>
  <c r="BV149" i="15"/>
  <c r="BU150" i="15"/>
  <c r="BV150" i="15"/>
  <c r="BU151" i="15"/>
  <c r="BV151" i="15"/>
  <c r="BU152" i="15"/>
  <c r="BV152" i="15"/>
  <c r="BU153" i="15"/>
  <c r="BV153" i="15"/>
  <c r="BU154" i="15"/>
  <c r="BV154" i="15"/>
  <c r="BU155" i="15"/>
  <c r="BV155" i="15"/>
  <c r="BU156" i="15"/>
  <c r="BV156" i="15"/>
  <c r="BU157" i="15"/>
  <c r="BV157" i="15"/>
  <c r="BU158" i="15"/>
  <c r="BV158" i="15"/>
  <c r="BU159" i="15"/>
  <c r="BV159" i="15"/>
  <c r="BU160" i="15"/>
  <c r="BV160" i="15"/>
  <c r="BU161" i="15"/>
  <c r="BV161" i="15"/>
  <c r="BU162" i="15"/>
  <c r="BV162" i="15"/>
  <c r="BU163" i="15"/>
  <c r="BV163" i="15"/>
  <c r="BU164" i="15"/>
  <c r="BV164" i="15"/>
  <c r="BU165" i="15"/>
  <c r="BV165" i="15"/>
  <c r="BU166" i="15"/>
  <c r="BV166" i="15"/>
  <c r="BU167" i="15"/>
  <c r="BV167" i="15"/>
  <c r="BU168" i="15"/>
  <c r="BV168" i="15"/>
  <c r="BU169" i="15"/>
  <c r="BV169" i="15"/>
  <c r="BU170" i="15"/>
  <c r="BV170" i="15"/>
  <c r="BU171" i="15"/>
  <c r="BV171" i="15"/>
  <c r="BU172" i="15"/>
  <c r="BV172" i="15"/>
  <c r="BU173" i="15"/>
  <c r="BV173" i="15"/>
  <c r="BU174" i="15"/>
  <c r="BV174" i="15"/>
  <c r="BU175" i="15"/>
  <c r="BV175" i="15"/>
  <c r="BU176" i="15"/>
  <c r="BV176" i="15"/>
  <c r="BU177" i="15"/>
  <c r="BV177" i="15"/>
  <c r="BU178" i="15"/>
  <c r="BV178" i="15"/>
  <c r="BU179" i="15"/>
  <c r="BV179" i="15"/>
  <c r="BU180" i="15"/>
  <c r="BV180" i="15"/>
  <c r="BU181" i="15"/>
  <c r="BV181" i="15"/>
  <c r="BU182" i="15"/>
  <c r="BV182" i="15"/>
  <c r="BU183" i="15"/>
  <c r="BV183" i="15"/>
  <c r="BU184" i="15"/>
  <c r="BV184" i="15"/>
  <c r="BU185" i="15"/>
  <c r="BV185" i="15"/>
  <c r="BU186" i="15"/>
  <c r="BV186" i="15"/>
  <c r="BU187" i="15"/>
  <c r="BV187" i="15"/>
  <c r="BU188" i="15"/>
  <c r="BV188" i="15"/>
  <c r="BU189" i="15"/>
  <c r="BV189" i="15"/>
  <c r="BU190" i="15"/>
  <c r="BV190" i="15"/>
  <c r="BU191" i="15"/>
  <c r="BV191" i="15"/>
  <c r="BU192" i="15"/>
  <c r="BV192" i="15"/>
  <c r="BU193" i="15"/>
  <c r="BV193" i="15"/>
  <c r="BU194" i="15"/>
  <c r="BV194" i="15"/>
  <c r="BU195" i="15"/>
  <c r="BV195" i="15"/>
  <c r="BU196" i="15"/>
  <c r="BV196" i="15"/>
  <c r="BU197" i="15"/>
  <c r="BV197" i="15"/>
  <c r="BU198" i="15"/>
  <c r="BV198" i="15"/>
  <c r="BU199" i="15"/>
  <c r="BV199" i="15"/>
  <c r="BU200" i="15"/>
  <c r="BV200" i="15"/>
  <c r="BU201" i="15"/>
  <c r="BV201" i="15"/>
  <c r="BU202" i="15"/>
  <c r="BV202" i="15"/>
  <c r="BU203" i="15"/>
  <c r="BV203" i="15"/>
  <c r="BU204" i="15"/>
  <c r="BV204" i="15"/>
  <c r="BU205" i="15"/>
  <c r="BV205" i="15"/>
  <c r="BH6" i="15"/>
  <c r="BI6" i="15"/>
  <c r="BH7" i="15"/>
  <c r="BI7" i="15"/>
  <c r="BH8" i="15"/>
  <c r="BI8" i="15"/>
  <c r="BH9" i="15"/>
  <c r="BI9" i="15"/>
  <c r="BH10" i="15"/>
  <c r="BI10" i="15"/>
  <c r="BH11" i="15"/>
  <c r="BI11" i="15"/>
  <c r="BH12" i="15"/>
  <c r="BI12" i="15"/>
  <c r="BH13" i="15"/>
  <c r="BI13" i="15"/>
  <c r="BH14" i="15"/>
  <c r="BI14" i="15"/>
  <c r="BH15" i="15"/>
  <c r="BI15" i="15"/>
  <c r="BH16" i="15"/>
  <c r="BI16" i="15"/>
  <c r="BH17" i="15"/>
  <c r="BI17" i="15"/>
  <c r="BH18" i="15"/>
  <c r="BI18" i="15"/>
  <c r="BH19" i="15"/>
  <c r="BI19" i="15"/>
  <c r="BH20" i="15"/>
  <c r="BI20" i="15"/>
  <c r="BH21" i="15"/>
  <c r="BI21" i="15"/>
  <c r="BH22" i="15"/>
  <c r="BI22" i="15"/>
  <c r="BH23" i="15"/>
  <c r="BI23" i="15"/>
  <c r="BH24" i="15"/>
  <c r="BI24" i="15"/>
  <c r="BH25" i="15"/>
  <c r="BI25" i="15"/>
  <c r="BH26" i="15"/>
  <c r="BI26" i="15"/>
  <c r="BH27" i="15"/>
  <c r="BI27" i="15"/>
  <c r="BH28" i="15"/>
  <c r="BI28" i="15"/>
  <c r="BH29" i="15"/>
  <c r="BI29" i="15"/>
  <c r="BH30" i="15"/>
  <c r="BI30" i="15"/>
  <c r="BH31" i="15"/>
  <c r="BI31" i="15"/>
  <c r="BH32" i="15"/>
  <c r="BI32" i="15"/>
  <c r="BH33" i="15"/>
  <c r="BI33" i="15"/>
  <c r="BH34" i="15"/>
  <c r="BI34" i="15"/>
  <c r="BH35" i="15"/>
  <c r="BI35" i="15"/>
  <c r="BH36" i="15"/>
  <c r="BI36" i="15"/>
  <c r="BH37" i="15"/>
  <c r="BI37" i="15"/>
  <c r="BH38" i="15"/>
  <c r="BI38" i="15"/>
  <c r="BH39" i="15"/>
  <c r="BI39" i="15"/>
  <c r="BH40" i="15"/>
  <c r="BI40" i="15"/>
  <c r="BH41" i="15"/>
  <c r="BI41" i="15"/>
  <c r="BH42" i="15"/>
  <c r="BI42" i="15"/>
  <c r="BH43" i="15"/>
  <c r="BI43" i="15"/>
  <c r="BH44" i="15"/>
  <c r="BI44" i="15"/>
  <c r="BH45" i="15"/>
  <c r="BI45" i="15"/>
  <c r="BH46" i="15"/>
  <c r="BI46" i="15"/>
  <c r="BH47" i="15"/>
  <c r="BI47" i="15"/>
  <c r="BH48" i="15"/>
  <c r="BI48" i="15"/>
  <c r="BH49" i="15"/>
  <c r="BI49" i="15"/>
  <c r="BH50" i="15"/>
  <c r="BI50" i="15"/>
  <c r="BH51" i="15"/>
  <c r="BI51" i="15"/>
  <c r="BH52" i="15"/>
  <c r="BI52" i="15"/>
  <c r="BH53" i="15"/>
  <c r="BI53" i="15"/>
  <c r="BH54" i="15"/>
  <c r="BI54" i="15"/>
  <c r="BH55" i="15"/>
  <c r="BI55" i="15"/>
  <c r="BH56" i="15"/>
  <c r="BI56" i="15"/>
  <c r="BH57" i="15"/>
  <c r="BI57" i="15"/>
  <c r="BH58" i="15"/>
  <c r="BI58" i="15"/>
  <c r="BH59" i="15"/>
  <c r="BI59" i="15"/>
  <c r="BH60" i="15"/>
  <c r="BI60" i="15"/>
  <c r="BH61" i="15"/>
  <c r="BI61" i="15"/>
  <c r="BH62" i="15"/>
  <c r="BI62" i="15"/>
  <c r="BH63" i="15"/>
  <c r="BI63" i="15"/>
  <c r="BH64" i="15"/>
  <c r="BI64" i="15"/>
  <c r="BH65" i="15"/>
  <c r="BI65" i="15"/>
  <c r="BH66" i="15"/>
  <c r="BI66" i="15"/>
  <c r="BH67" i="15"/>
  <c r="BI67" i="15"/>
  <c r="BH68" i="15"/>
  <c r="BI68" i="15"/>
  <c r="BH69" i="15"/>
  <c r="BI69" i="15"/>
  <c r="BH70" i="15"/>
  <c r="BI70" i="15"/>
  <c r="BH71" i="15"/>
  <c r="BI71" i="15"/>
  <c r="BH72" i="15"/>
  <c r="BI72" i="15"/>
  <c r="BH73" i="15"/>
  <c r="BI73" i="15"/>
  <c r="BH74" i="15"/>
  <c r="BI74" i="15"/>
  <c r="BH75" i="15"/>
  <c r="BI75" i="15"/>
  <c r="BH76" i="15"/>
  <c r="BI76" i="15"/>
  <c r="BH77" i="15"/>
  <c r="BI77" i="15"/>
  <c r="BH78" i="15"/>
  <c r="BI78" i="15"/>
  <c r="BH79" i="15"/>
  <c r="BI79" i="15"/>
  <c r="BH80" i="15"/>
  <c r="BI80" i="15"/>
  <c r="BH81" i="15"/>
  <c r="BI81" i="15"/>
  <c r="BH82" i="15"/>
  <c r="BI82" i="15"/>
  <c r="BH83" i="15"/>
  <c r="BI83" i="15"/>
  <c r="BH84" i="15"/>
  <c r="BI84" i="15"/>
  <c r="BH85" i="15"/>
  <c r="BI85" i="15"/>
  <c r="BH86" i="15"/>
  <c r="BI86" i="15"/>
  <c r="BH87" i="15"/>
  <c r="BI87" i="15"/>
  <c r="BH88" i="15"/>
  <c r="BI88" i="15"/>
  <c r="BH89" i="15"/>
  <c r="BI89" i="15"/>
  <c r="BH90" i="15"/>
  <c r="BI90" i="15"/>
  <c r="BH91" i="15"/>
  <c r="BI91" i="15"/>
  <c r="BH92" i="15"/>
  <c r="BI92" i="15"/>
  <c r="BH93" i="15"/>
  <c r="BI93" i="15"/>
  <c r="BH94" i="15"/>
  <c r="BI94" i="15"/>
  <c r="BH95" i="15"/>
  <c r="BI95" i="15"/>
  <c r="BH96" i="15"/>
  <c r="BI96" i="15"/>
  <c r="BH97" i="15"/>
  <c r="BI97" i="15"/>
  <c r="BH98" i="15"/>
  <c r="BI98" i="15"/>
  <c r="BH99" i="15"/>
  <c r="BI99" i="15"/>
  <c r="BH100" i="15"/>
  <c r="BI100" i="15"/>
  <c r="BH101" i="15"/>
  <c r="BI101" i="15"/>
  <c r="BH102" i="15"/>
  <c r="BI102" i="15"/>
  <c r="BH103" i="15"/>
  <c r="BI103" i="15"/>
  <c r="BH104" i="15"/>
  <c r="BI104" i="15"/>
  <c r="BH105" i="15"/>
  <c r="BI105" i="15"/>
  <c r="BH106" i="15"/>
  <c r="BI106" i="15"/>
  <c r="BH107" i="15"/>
  <c r="BI107" i="15"/>
  <c r="BH108" i="15"/>
  <c r="BI108" i="15"/>
  <c r="BH109" i="15"/>
  <c r="BI109" i="15"/>
  <c r="BH110" i="15"/>
  <c r="BI110" i="15"/>
  <c r="BH111" i="15"/>
  <c r="BI111" i="15"/>
  <c r="BH112" i="15"/>
  <c r="BI112" i="15"/>
  <c r="BH113" i="15"/>
  <c r="BI113" i="15"/>
  <c r="BH114" i="15"/>
  <c r="BI114" i="15"/>
  <c r="BH115" i="15"/>
  <c r="BI115" i="15"/>
  <c r="BH116" i="15"/>
  <c r="BI116" i="15"/>
  <c r="BH117" i="15"/>
  <c r="BI117" i="15"/>
  <c r="BH118" i="15"/>
  <c r="BI118" i="15"/>
  <c r="BH119" i="15"/>
  <c r="BI119" i="15"/>
  <c r="BH120" i="15"/>
  <c r="BI120" i="15"/>
  <c r="BH121" i="15"/>
  <c r="BI121" i="15"/>
  <c r="BH122" i="15"/>
  <c r="BI122" i="15"/>
  <c r="BH123" i="15"/>
  <c r="BI123" i="15"/>
  <c r="BH124" i="15"/>
  <c r="BI124" i="15"/>
  <c r="BH125" i="15"/>
  <c r="BI125" i="15"/>
  <c r="BH126" i="15"/>
  <c r="BI126" i="15"/>
  <c r="BH127" i="15"/>
  <c r="BI127" i="15"/>
  <c r="BH128" i="15"/>
  <c r="BI128" i="15"/>
  <c r="BH129" i="15"/>
  <c r="BI129" i="15"/>
  <c r="BH130" i="15"/>
  <c r="BI130" i="15"/>
  <c r="BH131" i="15"/>
  <c r="BI131" i="15"/>
  <c r="BH132" i="15"/>
  <c r="BI132" i="15"/>
  <c r="BH133" i="15"/>
  <c r="BI133" i="15"/>
  <c r="BH134" i="15"/>
  <c r="BI134" i="15"/>
  <c r="BH135" i="15"/>
  <c r="BI135" i="15"/>
  <c r="BH136" i="15"/>
  <c r="BI136" i="15"/>
  <c r="BH137" i="15"/>
  <c r="BI137" i="15"/>
  <c r="BH138" i="15"/>
  <c r="BI138" i="15"/>
  <c r="BH139" i="15"/>
  <c r="BI139" i="15"/>
  <c r="BH140" i="15"/>
  <c r="BI140" i="15"/>
  <c r="BH141" i="15"/>
  <c r="BI141" i="15"/>
  <c r="BH142" i="15"/>
  <c r="BI142" i="15"/>
  <c r="BH143" i="15"/>
  <c r="BI143" i="15"/>
  <c r="BH144" i="15"/>
  <c r="BI144" i="15"/>
  <c r="BH145" i="15"/>
  <c r="BI145" i="15"/>
  <c r="BH146" i="15"/>
  <c r="BI146" i="15"/>
  <c r="BH147" i="15"/>
  <c r="BI147" i="15"/>
  <c r="BH148" i="15"/>
  <c r="BI148" i="15"/>
  <c r="BH149" i="15"/>
  <c r="BI149" i="15"/>
  <c r="BH150" i="15"/>
  <c r="BI150" i="15"/>
  <c r="BH151" i="15"/>
  <c r="BI151" i="15"/>
  <c r="BH152" i="15"/>
  <c r="BI152" i="15"/>
  <c r="BH153" i="15"/>
  <c r="BI153" i="15"/>
  <c r="BH154" i="15"/>
  <c r="BI154" i="15"/>
  <c r="BH155" i="15"/>
  <c r="BI155" i="15"/>
  <c r="BH156" i="15"/>
  <c r="BI156" i="15"/>
  <c r="BH157" i="15"/>
  <c r="BI157" i="15"/>
  <c r="BH158" i="15"/>
  <c r="BI158" i="15"/>
  <c r="BH159" i="15"/>
  <c r="BI159" i="15"/>
  <c r="BH160" i="15"/>
  <c r="BI160" i="15"/>
  <c r="BH161" i="15"/>
  <c r="BI161" i="15"/>
  <c r="BH162" i="15"/>
  <c r="BI162" i="15"/>
  <c r="BH163" i="15"/>
  <c r="BI163" i="15"/>
  <c r="BH164" i="15"/>
  <c r="BI164" i="15"/>
  <c r="BH165" i="15"/>
  <c r="BI165" i="15"/>
  <c r="BH166" i="15"/>
  <c r="BI166" i="15"/>
  <c r="BH167" i="15"/>
  <c r="BI167" i="15"/>
  <c r="BH168" i="15"/>
  <c r="BI168" i="15"/>
  <c r="BH169" i="15"/>
  <c r="BI169" i="15"/>
  <c r="BH170" i="15"/>
  <c r="BI170" i="15"/>
  <c r="BH171" i="15"/>
  <c r="BI171" i="15"/>
  <c r="BH172" i="15"/>
  <c r="BI172" i="15"/>
  <c r="BH173" i="15"/>
  <c r="BI173" i="15"/>
  <c r="BH174" i="15"/>
  <c r="BI174" i="15"/>
  <c r="BH175" i="15"/>
  <c r="BI175" i="15"/>
  <c r="BH176" i="15"/>
  <c r="BI176" i="15"/>
  <c r="BH177" i="15"/>
  <c r="BI177" i="15"/>
  <c r="BH178" i="15"/>
  <c r="BI178" i="15"/>
  <c r="BH179" i="15"/>
  <c r="BI179" i="15"/>
  <c r="BH180" i="15"/>
  <c r="BI180" i="15"/>
  <c r="BH181" i="15"/>
  <c r="BI181" i="15"/>
  <c r="BH182" i="15"/>
  <c r="BI182" i="15"/>
  <c r="BH183" i="15"/>
  <c r="BI183" i="15"/>
  <c r="BH184" i="15"/>
  <c r="BI184" i="15"/>
  <c r="BH185" i="15"/>
  <c r="BI185" i="15"/>
  <c r="BH186" i="15"/>
  <c r="BI186" i="15"/>
  <c r="BH187" i="15"/>
  <c r="BI187" i="15"/>
  <c r="BH188" i="15"/>
  <c r="BI188" i="15"/>
  <c r="BH189" i="15"/>
  <c r="BI189" i="15"/>
  <c r="BH190" i="15"/>
  <c r="BI190" i="15"/>
  <c r="BH191" i="15"/>
  <c r="BI191" i="15"/>
  <c r="BH192" i="15"/>
  <c r="BI192" i="15"/>
  <c r="BH193" i="15"/>
  <c r="BI193" i="15"/>
  <c r="BH194" i="15"/>
  <c r="BI194" i="15"/>
  <c r="BH195" i="15"/>
  <c r="BI195" i="15"/>
  <c r="BH196" i="15"/>
  <c r="BI196" i="15"/>
  <c r="BH197" i="15"/>
  <c r="BI197" i="15"/>
  <c r="BH198" i="15"/>
  <c r="BI198" i="15"/>
  <c r="BH199" i="15"/>
  <c r="BI199" i="15"/>
  <c r="BH200" i="15"/>
  <c r="BI200" i="15"/>
  <c r="BH201" i="15"/>
  <c r="BI201" i="15"/>
  <c r="BH202" i="15"/>
  <c r="BI202" i="15"/>
  <c r="BH203" i="15"/>
  <c r="BI203" i="15"/>
  <c r="BH204" i="15"/>
  <c r="BI204" i="15"/>
  <c r="BH205" i="15"/>
  <c r="BI205" i="15"/>
  <c r="CE5" i="15"/>
  <c r="CD5" i="15"/>
  <c r="BV5" i="15"/>
  <c r="BU5" i="15"/>
  <c r="BR5" i="15"/>
  <c r="BQ5" i="15"/>
  <c r="BI5" i="15"/>
  <c r="BH5" i="15"/>
  <c r="AN6" i="15"/>
  <c r="AO6" i="15"/>
  <c r="AN7" i="15"/>
  <c r="AO7" i="15"/>
  <c r="AN8" i="15"/>
  <c r="AO8" i="15"/>
  <c r="AN9" i="15"/>
  <c r="AO9" i="15"/>
  <c r="AN10" i="15"/>
  <c r="AO10" i="15"/>
  <c r="AN11" i="15"/>
  <c r="AO11" i="15"/>
  <c r="AN12" i="15"/>
  <c r="AO12" i="15"/>
  <c r="AN13" i="15"/>
  <c r="AO13" i="15"/>
  <c r="AN14" i="15"/>
  <c r="AO14" i="15"/>
  <c r="AN15" i="15"/>
  <c r="AO15" i="15"/>
  <c r="AN16" i="15"/>
  <c r="AO16" i="15"/>
  <c r="AN17" i="15"/>
  <c r="AO17" i="15"/>
  <c r="AN18" i="15"/>
  <c r="AO18" i="15"/>
  <c r="AN19" i="15"/>
  <c r="AO19" i="15"/>
  <c r="AN20" i="15"/>
  <c r="AO20" i="15"/>
  <c r="AN21" i="15"/>
  <c r="AO21" i="15"/>
  <c r="AN22" i="15"/>
  <c r="AO22" i="15"/>
  <c r="AN23" i="15"/>
  <c r="AO23" i="15"/>
  <c r="AN24" i="15"/>
  <c r="AO24" i="15"/>
  <c r="AN25" i="15"/>
  <c r="AO25" i="15"/>
  <c r="AN26" i="15"/>
  <c r="AO26" i="15"/>
  <c r="AN27" i="15"/>
  <c r="AO27" i="15"/>
  <c r="AN28" i="15"/>
  <c r="AO28" i="15"/>
  <c r="AN29" i="15"/>
  <c r="AO29" i="15"/>
  <c r="AN30" i="15"/>
  <c r="AO30" i="15"/>
  <c r="AN31" i="15"/>
  <c r="AO31" i="15"/>
  <c r="AN32" i="15"/>
  <c r="AO32" i="15"/>
  <c r="AN33" i="15"/>
  <c r="AO33" i="15"/>
  <c r="AN34" i="15"/>
  <c r="AO34" i="15"/>
  <c r="AN35" i="15"/>
  <c r="AO35" i="15"/>
  <c r="AN36" i="15"/>
  <c r="AO36" i="15"/>
  <c r="AN37" i="15"/>
  <c r="AO37" i="15"/>
  <c r="AN38" i="15"/>
  <c r="AO38" i="15"/>
  <c r="AN39" i="15"/>
  <c r="AO39" i="15"/>
  <c r="AN40" i="15"/>
  <c r="AO40" i="15"/>
  <c r="AN41" i="15"/>
  <c r="AO41" i="15"/>
  <c r="AN42" i="15"/>
  <c r="AO42" i="15"/>
  <c r="AN43" i="15"/>
  <c r="AO43" i="15"/>
  <c r="AN44" i="15"/>
  <c r="AO44" i="15"/>
  <c r="AN45" i="15"/>
  <c r="AO45" i="15"/>
  <c r="AN46" i="15"/>
  <c r="AO46" i="15"/>
  <c r="AN47" i="15"/>
  <c r="AO47" i="15"/>
  <c r="AN48" i="15"/>
  <c r="AO48" i="15"/>
  <c r="AN49" i="15"/>
  <c r="AO49" i="15"/>
  <c r="AN50" i="15"/>
  <c r="AO50" i="15"/>
  <c r="AN51" i="15"/>
  <c r="AO51" i="15"/>
  <c r="AN52" i="15"/>
  <c r="AO52" i="15"/>
  <c r="AN53" i="15"/>
  <c r="AO53" i="15"/>
  <c r="AN54" i="15"/>
  <c r="AO54" i="15"/>
  <c r="AN55" i="15"/>
  <c r="AO55" i="15"/>
  <c r="AN56" i="15"/>
  <c r="AO56" i="15"/>
  <c r="AN57" i="15"/>
  <c r="AO57" i="15"/>
  <c r="AN58" i="15"/>
  <c r="AO58" i="15"/>
  <c r="AN59" i="15"/>
  <c r="AO59" i="15"/>
  <c r="AN60" i="15"/>
  <c r="AO60" i="15"/>
  <c r="AN61" i="15"/>
  <c r="AO61" i="15"/>
  <c r="AN62" i="15"/>
  <c r="AO62" i="15"/>
  <c r="AN63" i="15"/>
  <c r="AO63" i="15"/>
  <c r="AN64" i="15"/>
  <c r="AO64" i="15"/>
  <c r="AN65" i="15"/>
  <c r="AO65" i="15"/>
  <c r="AN66" i="15"/>
  <c r="AO66" i="15"/>
  <c r="AN67" i="15"/>
  <c r="AO67" i="15"/>
  <c r="AN68" i="15"/>
  <c r="AO68" i="15"/>
  <c r="AN69" i="15"/>
  <c r="AO69" i="15"/>
  <c r="AN70" i="15"/>
  <c r="AO70" i="15"/>
  <c r="AN71" i="15"/>
  <c r="AO71" i="15"/>
  <c r="AN72" i="15"/>
  <c r="AO72" i="15"/>
  <c r="AN73" i="15"/>
  <c r="AO73" i="15"/>
  <c r="AN74" i="15"/>
  <c r="AO74" i="15"/>
  <c r="AN75" i="15"/>
  <c r="AO75" i="15"/>
  <c r="AN76" i="15"/>
  <c r="AO76" i="15"/>
  <c r="AN77" i="15"/>
  <c r="AO77" i="15"/>
  <c r="AN78" i="15"/>
  <c r="AO78" i="15"/>
  <c r="AN79" i="15"/>
  <c r="AO79" i="15"/>
  <c r="AN80" i="15"/>
  <c r="AO80" i="15"/>
  <c r="AN81" i="15"/>
  <c r="AO81" i="15"/>
  <c r="AN82" i="15"/>
  <c r="AO82" i="15"/>
  <c r="AN83" i="15"/>
  <c r="AO83" i="15"/>
  <c r="AN84" i="15"/>
  <c r="AO84" i="15"/>
  <c r="AN85" i="15"/>
  <c r="AO85" i="15"/>
  <c r="AN86" i="15"/>
  <c r="AO86" i="15"/>
  <c r="AN87" i="15"/>
  <c r="AO87" i="15"/>
  <c r="AN88" i="15"/>
  <c r="AO88" i="15"/>
  <c r="AN89" i="15"/>
  <c r="AO89" i="15"/>
  <c r="AN90" i="15"/>
  <c r="AO90" i="15"/>
  <c r="AN91" i="15"/>
  <c r="AO91" i="15"/>
  <c r="AN92" i="15"/>
  <c r="AO92" i="15"/>
  <c r="AN93" i="15"/>
  <c r="AO93" i="15"/>
  <c r="AN94" i="15"/>
  <c r="AO94" i="15"/>
  <c r="AN95" i="15"/>
  <c r="AO95" i="15"/>
  <c r="AN96" i="15"/>
  <c r="AO96" i="15"/>
  <c r="AN97" i="15"/>
  <c r="AO97" i="15"/>
  <c r="AN98" i="15"/>
  <c r="AO98" i="15"/>
  <c r="AN99" i="15"/>
  <c r="AO99" i="15"/>
  <c r="AN100" i="15"/>
  <c r="AO100" i="15"/>
  <c r="AN101" i="15"/>
  <c r="AO101" i="15"/>
  <c r="AN102" i="15"/>
  <c r="AO102" i="15"/>
  <c r="AN103" i="15"/>
  <c r="AO103" i="15"/>
  <c r="AN104" i="15"/>
  <c r="AO104" i="15"/>
  <c r="AN105" i="15"/>
  <c r="AO105" i="15"/>
  <c r="AN106" i="15"/>
  <c r="AO106" i="15"/>
  <c r="AN107" i="15"/>
  <c r="AO107" i="15"/>
  <c r="AN108" i="15"/>
  <c r="AO108" i="15"/>
  <c r="AN109" i="15"/>
  <c r="AO109" i="15"/>
  <c r="AN110" i="15"/>
  <c r="AO110" i="15"/>
  <c r="AN111" i="15"/>
  <c r="AO111" i="15"/>
  <c r="AN112" i="15"/>
  <c r="AO112" i="15"/>
  <c r="AN113" i="15"/>
  <c r="AO113" i="15"/>
  <c r="AN114" i="15"/>
  <c r="AO114" i="15"/>
  <c r="AN115" i="15"/>
  <c r="AO115" i="15"/>
  <c r="AN116" i="15"/>
  <c r="AO116" i="15"/>
  <c r="AN117" i="15"/>
  <c r="AO117" i="15"/>
  <c r="AN118" i="15"/>
  <c r="AO118" i="15"/>
  <c r="AN119" i="15"/>
  <c r="AO119" i="15"/>
  <c r="AN120" i="15"/>
  <c r="AO120" i="15"/>
  <c r="AN121" i="15"/>
  <c r="AO121" i="15"/>
  <c r="AN122" i="15"/>
  <c r="AO122" i="15"/>
  <c r="AN123" i="15"/>
  <c r="AO123" i="15"/>
  <c r="AN124" i="15"/>
  <c r="AO124" i="15"/>
  <c r="AN125" i="15"/>
  <c r="AO125" i="15"/>
  <c r="AN126" i="15"/>
  <c r="AO126" i="15"/>
  <c r="AN127" i="15"/>
  <c r="AO127" i="15"/>
  <c r="AN128" i="15"/>
  <c r="AO128" i="15"/>
  <c r="AN129" i="15"/>
  <c r="AO129" i="15"/>
  <c r="AN130" i="15"/>
  <c r="AO130" i="15"/>
  <c r="AN131" i="15"/>
  <c r="AO131" i="15"/>
  <c r="AN132" i="15"/>
  <c r="AO132" i="15"/>
  <c r="AN133" i="15"/>
  <c r="AO133" i="15"/>
  <c r="AN134" i="15"/>
  <c r="AO134" i="15"/>
  <c r="AN135" i="15"/>
  <c r="AO135" i="15"/>
  <c r="AN136" i="15"/>
  <c r="AO136" i="15"/>
  <c r="AN137" i="15"/>
  <c r="AO137" i="15"/>
  <c r="AN138" i="15"/>
  <c r="AO138" i="15"/>
  <c r="AN139" i="15"/>
  <c r="AO139" i="15"/>
  <c r="AN140" i="15"/>
  <c r="AO140" i="15"/>
  <c r="AN141" i="15"/>
  <c r="AO141" i="15"/>
  <c r="AN142" i="15"/>
  <c r="AO142" i="15"/>
  <c r="AN143" i="15"/>
  <c r="AO143" i="15"/>
  <c r="AN144" i="15"/>
  <c r="AO144" i="15"/>
  <c r="AN145" i="15"/>
  <c r="AO145" i="15"/>
  <c r="AN146" i="15"/>
  <c r="AO146" i="15"/>
  <c r="AN147" i="15"/>
  <c r="AO147" i="15"/>
  <c r="AN148" i="15"/>
  <c r="AO148" i="15"/>
  <c r="AN149" i="15"/>
  <c r="AO149" i="15"/>
  <c r="AN150" i="15"/>
  <c r="AO150" i="15"/>
  <c r="AN151" i="15"/>
  <c r="AO151" i="15"/>
  <c r="AN152" i="15"/>
  <c r="AO152" i="15"/>
  <c r="AN153" i="15"/>
  <c r="AO153" i="15"/>
  <c r="AN154" i="15"/>
  <c r="AO154" i="15"/>
  <c r="AN155" i="15"/>
  <c r="AO155" i="15"/>
  <c r="AN156" i="15"/>
  <c r="AO156" i="15"/>
  <c r="AN157" i="15"/>
  <c r="AO157" i="15"/>
  <c r="AN158" i="15"/>
  <c r="AO158" i="15"/>
  <c r="AN159" i="15"/>
  <c r="AO159" i="15"/>
  <c r="AN160" i="15"/>
  <c r="AO160" i="15"/>
  <c r="AN161" i="15"/>
  <c r="AO161" i="15"/>
  <c r="AN162" i="15"/>
  <c r="AO162" i="15"/>
  <c r="AN163" i="15"/>
  <c r="AO163" i="15"/>
  <c r="AN164" i="15"/>
  <c r="AO164" i="15"/>
  <c r="AN165" i="15"/>
  <c r="AO165" i="15"/>
  <c r="AN166" i="15"/>
  <c r="AO166" i="15"/>
  <c r="AN167" i="15"/>
  <c r="AO167" i="15"/>
  <c r="AN168" i="15"/>
  <c r="AO168" i="15"/>
  <c r="AN169" i="15"/>
  <c r="AO169" i="15"/>
  <c r="AN170" i="15"/>
  <c r="AO170" i="15"/>
  <c r="AN171" i="15"/>
  <c r="AO171" i="15"/>
  <c r="AN172" i="15"/>
  <c r="AO172" i="15"/>
  <c r="AN173" i="15"/>
  <c r="AO173" i="15"/>
  <c r="AN174" i="15"/>
  <c r="AO174" i="15"/>
  <c r="AN175" i="15"/>
  <c r="AO175" i="15"/>
  <c r="AN176" i="15"/>
  <c r="AO176" i="15"/>
  <c r="AN177" i="15"/>
  <c r="AO177" i="15"/>
  <c r="AN178" i="15"/>
  <c r="AO178" i="15"/>
  <c r="AN179" i="15"/>
  <c r="AO179" i="15"/>
  <c r="AN180" i="15"/>
  <c r="AO180" i="15"/>
  <c r="AN181" i="15"/>
  <c r="AO181" i="15"/>
  <c r="AN182" i="15"/>
  <c r="AO182" i="15"/>
  <c r="AN183" i="15"/>
  <c r="AO183" i="15"/>
  <c r="AN184" i="15"/>
  <c r="AO184" i="15"/>
  <c r="AN185" i="15"/>
  <c r="AO185" i="15"/>
  <c r="AN186" i="15"/>
  <c r="AO186" i="15"/>
  <c r="AN187" i="15"/>
  <c r="AO187" i="15"/>
  <c r="AN188" i="15"/>
  <c r="AO188" i="15"/>
  <c r="AN189" i="15"/>
  <c r="AO189" i="15"/>
  <c r="AN190" i="15"/>
  <c r="AO190" i="15"/>
  <c r="AN191" i="15"/>
  <c r="AO191" i="15"/>
  <c r="AN192" i="15"/>
  <c r="AO192" i="15"/>
  <c r="AN193" i="15"/>
  <c r="AO193" i="15"/>
  <c r="AN194" i="15"/>
  <c r="AO194" i="15"/>
  <c r="AN195" i="15"/>
  <c r="AO195" i="15"/>
  <c r="AN196" i="15"/>
  <c r="AO196" i="15"/>
  <c r="AN197" i="15"/>
  <c r="AO197" i="15"/>
  <c r="AN198" i="15"/>
  <c r="AO198" i="15"/>
  <c r="AN199" i="15"/>
  <c r="AO199" i="15"/>
  <c r="AN200" i="15"/>
  <c r="AO200" i="15"/>
  <c r="AN201" i="15"/>
  <c r="AO201" i="15"/>
  <c r="AN202" i="15"/>
  <c r="AO202" i="15"/>
  <c r="AN203" i="15"/>
  <c r="AO203" i="15"/>
  <c r="AN204" i="15"/>
  <c r="AO204" i="15"/>
  <c r="AN205" i="15"/>
  <c r="AO205" i="15"/>
  <c r="AA6" i="15"/>
  <c r="AB6" i="15"/>
  <c r="AA7" i="15"/>
  <c r="AB7" i="15"/>
  <c r="AA8" i="15"/>
  <c r="AB8" i="15"/>
  <c r="AA9" i="15"/>
  <c r="AB9" i="15"/>
  <c r="AA10" i="15"/>
  <c r="AB10" i="15"/>
  <c r="AA11" i="15"/>
  <c r="AB11" i="15"/>
  <c r="AA12" i="15"/>
  <c r="AB12" i="15"/>
  <c r="AA13" i="15"/>
  <c r="AB13" i="15"/>
  <c r="AA14" i="15"/>
  <c r="AB14" i="15"/>
  <c r="AA15" i="15"/>
  <c r="AB15" i="15"/>
  <c r="AA16" i="15"/>
  <c r="AB16" i="15"/>
  <c r="AA17" i="15"/>
  <c r="AB17" i="15"/>
  <c r="AA18" i="15"/>
  <c r="AB18" i="15"/>
  <c r="AA19" i="15"/>
  <c r="AB19" i="15"/>
  <c r="AA20" i="15"/>
  <c r="AB20" i="15"/>
  <c r="AA21" i="15"/>
  <c r="AB21" i="15"/>
  <c r="AA22" i="15"/>
  <c r="AB22" i="15"/>
  <c r="AA23" i="15"/>
  <c r="AB23" i="15"/>
  <c r="AA24" i="15"/>
  <c r="AB24" i="15"/>
  <c r="AA25" i="15"/>
  <c r="AB25" i="15"/>
  <c r="AA26" i="15"/>
  <c r="AB26" i="15"/>
  <c r="AA27" i="15"/>
  <c r="AB27" i="15"/>
  <c r="AA28" i="15"/>
  <c r="AB28" i="15"/>
  <c r="AA29" i="15"/>
  <c r="AB29" i="15"/>
  <c r="AA30" i="15"/>
  <c r="AB30" i="15"/>
  <c r="AA31" i="15"/>
  <c r="AB31" i="15"/>
  <c r="AA32" i="15"/>
  <c r="AB32" i="15"/>
  <c r="AA33" i="15"/>
  <c r="AB33" i="15"/>
  <c r="AA34" i="15"/>
  <c r="AB34" i="15"/>
  <c r="AA35" i="15"/>
  <c r="AB35" i="15"/>
  <c r="AA36" i="15"/>
  <c r="AB36" i="15"/>
  <c r="AA37" i="15"/>
  <c r="AB37" i="15"/>
  <c r="AA38" i="15"/>
  <c r="AB38" i="15"/>
  <c r="AA39" i="15"/>
  <c r="AB39" i="15"/>
  <c r="AA40" i="15"/>
  <c r="AB40" i="15"/>
  <c r="AA41" i="15"/>
  <c r="AB41" i="15"/>
  <c r="AA42" i="15"/>
  <c r="AB42" i="15"/>
  <c r="AA43" i="15"/>
  <c r="AB43" i="15"/>
  <c r="AA44" i="15"/>
  <c r="AB44" i="15"/>
  <c r="AA45" i="15"/>
  <c r="AB45" i="15"/>
  <c r="AA46" i="15"/>
  <c r="AB46" i="15"/>
  <c r="AA47" i="15"/>
  <c r="AB47" i="15"/>
  <c r="AA48" i="15"/>
  <c r="AB48" i="15"/>
  <c r="AA49" i="15"/>
  <c r="AB49" i="15"/>
  <c r="AA50" i="15"/>
  <c r="AB50" i="15"/>
  <c r="AA51" i="15"/>
  <c r="AB51" i="15"/>
  <c r="AA52" i="15"/>
  <c r="AB52" i="15"/>
  <c r="AA53" i="15"/>
  <c r="AB53" i="15"/>
  <c r="AA54" i="15"/>
  <c r="AB54" i="15"/>
  <c r="AA55" i="15"/>
  <c r="AB55" i="15"/>
  <c r="AA56" i="15"/>
  <c r="AB56" i="15"/>
  <c r="AA57" i="15"/>
  <c r="AB57" i="15"/>
  <c r="AA58" i="15"/>
  <c r="AB58" i="15"/>
  <c r="AA59" i="15"/>
  <c r="AB59" i="15"/>
  <c r="AA60" i="15"/>
  <c r="AB60" i="15"/>
  <c r="AA61" i="15"/>
  <c r="AB61" i="15"/>
  <c r="AA62" i="15"/>
  <c r="AB62" i="15"/>
  <c r="AA63" i="15"/>
  <c r="AB63" i="15"/>
  <c r="AA64" i="15"/>
  <c r="AB64" i="15"/>
  <c r="AA65" i="15"/>
  <c r="AB65" i="15"/>
  <c r="AA66" i="15"/>
  <c r="AB66" i="15"/>
  <c r="AA67" i="15"/>
  <c r="AB67" i="15"/>
  <c r="AA68" i="15"/>
  <c r="AB68" i="15"/>
  <c r="AA69" i="15"/>
  <c r="AB69" i="15"/>
  <c r="AA70" i="15"/>
  <c r="AB70" i="15"/>
  <c r="AA71" i="15"/>
  <c r="AB71" i="15"/>
  <c r="AA72" i="15"/>
  <c r="AB72" i="15"/>
  <c r="AA73" i="15"/>
  <c r="AB73" i="15"/>
  <c r="AA74" i="15"/>
  <c r="AB74" i="15"/>
  <c r="AA75" i="15"/>
  <c r="AB75" i="15"/>
  <c r="AA76" i="15"/>
  <c r="AB76" i="15"/>
  <c r="AA77" i="15"/>
  <c r="AB77" i="15"/>
  <c r="AA78" i="15"/>
  <c r="AB78" i="15"/>
  <c r="AA79" i="15"/>
  <c r="AB79" i="15"/>
  <c r="AA80" i="15"/>
  <c r="AB80" i="15"/>
  <c r="AA81" i="15"/>
  <c r="AB81" i="15"/>
  <c r="AA82" i="15"/>
  <c r="AB82" i="15"/>
  <c r="AA83" i="15"/>
  <c r="AB83" i="15"/>
  <c r="AA84" i="15"/>
  <c r="AB84" i="15"/>
  <c r="AA85" i="15"/>
  <c r="AB85" i="15"/>
  <c r="AA86" i="15"/>
  <c r="AB86" i="15"/>
  <c r="AA87" i="15"/>
  <c r="AB87" i="15"/>
  <c r="AA88" i="15"/>
  <c r="AB88" i="15"/>
  <c r="AA89" i="15"/>
  <c r="AB89" i="15"/>
  <c r="AA90" i="15"/>
  <c r="AB90" i="15"/>
  <c r="AA91" i="15"/>
  <c r="AB91" i="15"/>
  <c r="AA92" i="15"/>
  <c r="AB92" i="15"/>
  <c r="AA93" i="15"/>
  <c r="AB93" i="15"/>
  <c r="AA94" i="15"/>
  <c r="AB94" i="15"/>
  <c r="AA95" i="15"/>
  <c r="AB95" i="15"/>
  <c r="AA96" i="15"/>
  <c r="AB96" i="15"/>
  <c r="AA97" i="15"/>
  <c r="AB97" i="15"/>
  <c r="AA98" i="15"/>
  <c r="AB98" i="15"/>
  <c r="AA99" i="15"/>
  <c r="AB99" i="15"/>
  <c r="AA100" i="15"/>
  <c r="AB100" i="15"/>
  <c r="AA101" i="15"/>
  <c r="AB101" i="15"/>
  <c r="AA102" i="15"/>
  <c r="AB102" i="15"/>
  <c r="AA103" i="15"/>
  <c r="AB103" i="15"/>
  <c r="AA104" i="15"/>
  <c r="AB104" i="15"/>
  <c r="AA105" i="15"/>
  <c r="AB105" i="15"/>
  <c r="AA106" i="15"/>
  <c r="AB106" i="15"/>
  <c r="AA107" i="15"/>
  <c r="AB107" i="15"/>
  <c r="AA108" i="15"/>
  <c r="AB108" i="15"/>
  <c r="AA109" i="15"/>
  <c r="AB109" i="15"/>
  <c r="AA110" i="15"/>
  <c r="AB110" i="15"/>
  <c r="AA111" i="15"/>
  <c r="AB111" i="15"/>
  <c r="AA112" i="15"/>
  <c r="AB112" i="15"/>
  <c r="AA113" i="15"/>
  <c r="AB113" i="15"/>
  <c r="AA114" i="15"/>
  <c r="AB114" i="15"/>
  <c r="AA115" i="15"/>
  <c r="AB115" i="15"/>
  <c r="AA116" i="15"/>
  <c r="AB116" i="15"/>
  <c r="AA117" i="15"/>
  <c r="AB117" i="15"/>
  <c r="AA118" i="15"/>
  <c r="AB118" i="15"/>
  <c r="AA119" i="15"/>
  <c r="AB119" i="15"/>
  <c r="AA120" i="15"/>
  <c r="AB120" i="15"/>
  <c r="AA121" i="15"/>
  <c r="AB121" i="15"/>
  <c r="AA122" i="15"/>
  <c r="AB122" i="15"/>
  <c r="AA123" i="15"/>
  <c r="AB123" i="15"/>
  <c r="AA124" i="15"/>
  <c r="AB124" i="15"/>
  <c r="AA125" i="15"/>
  <c r="AB125" i="15"/>
  <c r="AA126" i="15"/>
  <c r="AB126" i="15"/>
  <c r="AA127" i="15"/>
  <c r="AB127" i="15"/>
  <c r="AA128" i="15"/>
  <c r="AB128" i="15"/>
  <c r="AA129" i="15"/>
  <c r="AB129" i="15"/>
  <c r="AA130" i="15"/>
  <c r="AB130" i="15"/>
  <c r="AA131" i="15"/>
  <c r="AB131" i="15"/>
  <c r="AA132" i="15"/>
  <c r="AB132" i="15"/>
  <c r="AA133" i="15"/>
  <c r="AB133" i="15"/>
  <c r="AA134" i="15"/>
  <c r="AB134" i="15"/>
  <c r="AA135" i="15"/>
  <c r="AB135" i="15"/>
  <c r="AA136" i="15"/>
  <c r="AB136" i="15"/>
  <c r="AA137" i="15"/>
  <c r="AB137" i="15"/>
  <c r="AA138" i="15"/>
  <c r="AB138" i="15"/>
  <c r="AA139" i="15"/>
  <c r="AB139" i="15"/>
  <c r="AA140" i="15"/>
  <c r="AB140" i="15"/>
  <c r="AA141" i="15"/>
  <c r="AB141" i="15"/>
  <c r="AA142" i="15"/>
  <c r="AB142" i="15"/>
  <c r="AA143" i="15"/>
  <c r="AB143" i="15"/>
  <c r="AA144" i="15"/>
  <c r="AB144" i="15"/>
  <c r="AA145" i="15"/>
  <c r="AB145" i="15"/>
  <c r="AA146" i="15"/>
  <c r="AB146" i="15"/>
  <c r="AA147" i="15"/>
  <c r="AB147" i="15"/>
  <c r="AA148" i="15"/>
  <c r="AB148" i="15"/>
  <c r="AA149" i="15"/>
  <c r="AB149" i="15"/>
  <c r="AA150" i="15"/>
  <c r="AB150" i="15"/>
  <c r="AA151" i="15"/>
  <c r="AB151" i="15"/>
  <c r="AA152" i="15"/>
  <c r="AB152" i="15"/>
  <c r="AA153" i="15"/>
  <c r="AB153" i="15"/>
  <c r="AA154" i="15"/>
  <c r="AB154" i="15"/>
  <c r="AA155" i="15"/>
  <c r="AB155" i="15"/>
  <c r="AA156" i="15"/>
  <c r="AB156" i="15"/>
  <c r="AA157" i="15"/>
  <c r="AB157" i="15"/>
  <c r="AA158" i="15"/>
  <c r="AB158" i="15"/>
  <c r="AA159" i="15"/>
  <c r="AB159" i="15"/>
  <c r="AA160" i="15"/>
  <c r="AB160" i="15"/>
  <c r="AA161" i="15"/>
  <c r="AB161" i="15"/>
  <c r="AA162" i="15"/>
  <c r="AB162" i="15"/>
  <c r="AA163" i="15"/>
  <c r="AB163" i="15"/>
  <c r="AA164" i="15"/>
  <c r="AB164" i="15"/>
  <c r="AA165" i="15"/>
  <c r="AB165" i="15"/>
  <c r="AA166" i="15"/>
  <c r="AB166" i="15"/>
  <c r="AA167" i="15"/>
  <c r="AB167" i="15"/>
  <c r="AA168" i="15"/>
  <c r="AB168" i="15"/>
  <c r="AA169" i="15"/>
  <c r="AB169" i="15"/>
  <c r="AA170" i="15"/>
  <c r="AB170" i="15"/>
  <c r="AA171" i="15"/>
  <c r="AB171" i="15"/>
  <c r="AA172" i="15"/>
  <c r="AB172" i="15"/>
  <c r="AA173" i="15"/>
  <c r="AB173" i="15"/>
  <c r="AA174" i="15"/>
  <c r="AB174" i="15"/>
  <c r="AA175" i="15"/>
  <c r="AB175" i="15"/>
  <c r="AA176" i="15"/>
  <c r="AB176" i="15"/>
  <c r="AA177" i="15"/>
  <c r="AB177" i="15"/>
  <c r="AA178" i="15"/>
  <c r="AB178" i="15"/>
  <c r="AA179" i="15"/>
  <c r="AB179" i="15"/>
  <c r="AA180" i="15"/>
  <c r="AB180" i="15"/>
  <c r="AA181" i="15"/>
  <c r="AB181" i="15"/>
  <c r="AA182" i="15"/>
  <c r="AB182" i="15"/>
  <c r="AA183" i="15"/>
  <c r="AB183" i="15"/>
  <c r="AA184" i="15"/>
  <c r="AB184" i="15"/>
  <c r="AA185" i="15"/>
  <c r="AB185" i="15"/>
  <c r="AA186" i="15"/>
  <c r="AB186" i="15"/>
  <c r="AA187" i="15"/>
  <c r="AB187" i="15"/>
  <c r="AA188" i="15"/>
  <c r="AB188" i="15"/>
  <c r="AA189" i="15"/>
  <c r="AB189" i="15"/>
  <c r="AA190" i="15"/>
  <c r="AB190" i="15"/>
  <c r="AA191" i="15"/>
  <c r="AB191" i="15"/>
  <c r="AA192" i="15"/>
  <c r="AB192" i="15"/>
  <c r="AA193" i="15"/>
  <c r="AB193" i="15"/>
  <c r="AA194" i="15"/>
  <c r="AB194" i="15"/>
  <c r="AA195" i="15"/>
  <c r="AB195" i="15"/>
  <c r="AA196" i="15"/>
  <c r="AB196" i="15"/>
  <c r="AA197" i="15"/>
  <c r="AB197" i="15"/>
  <c r="AA198" i="15"/>
  <c r="AB198" i="15"/>
  <c r="AA199" i="15"/>
  <c r="AB199" i="15"/>
  <c r="AA200" i="15"/>
  <c r="AB200" i="15"/>
  <c r="AA201" i="15"/>
  <c r="AB201" i="15"/>
  <c r="AA202" i="15"/>
  <c r="AB202" i="15"/>
  <c r="AA203" i="15"/>
  <c r="AB203" i="15"/>
  <c r="AA204" i="15"/>
  <c r="AB204" i="15"/>
  <c r="AA205" i="15"/>
  <c r="AB205" i="15"/>
  <c r="AZ7" i="3"/>
  <c r="AY7" i="3"/>
  <c r="U7" i="3"/>
  <c r="AX5" i="15"/>
  <c r="AW5" i="15"/>
  <c r="AV5" i="15"/>
  <c r="AO5" i="15"/>
  <c r="AN5" i="15"/>
  <c r="AM5" i="15"/>
  <c r="AK5" i="15"/>
  <c r="AJ5" i="15"/>
  <c r="AI5" i="15"/>
  <c r="AB5" i="15"/>
  <c r="AA5" i="15"/>
  <c r="Z5" i="15"/>
  <c r="BI7" i="3"/>
  <c r="BH7" i="3"/>
  <c r="BG7" i="3"/>
  <c r="AV7" i="3"/>
  <c r="AU7" i="3"/>
  <c r="AT7" i="3"/>
  <c r="V7" i="3"/>
  <c r="T7" i="3"/>
  <c r="AM7" i="3"/>
  <c r="AL7" i="3"/>
  <c r="AK7" i="3"/>
  <c r="AE7" i="3"/>
  <c r="AD7" i="3"/>
  <c r="AC7" i="3"/>
  <c r="R7" i="3"/>
  <c r="Q7" i="3"/>
  <c r="P7" i="3"/>
  <c r="I7" i="3"/>
  <c r="H7" i="3"/>
  <c r="G7" i="3"/>
  <c r="C66" i="2"/>
  <c r="H66" i="2" s="1"/>
  <c r="C62" i="2"/>
  <c r="F62" i="2" s="1"/>
  <c r="C33" i="2"/>
  <c r="J33" i="2" s="1"/>
  <c r="C29" i="2"/>
  <c r="M29" i="2" s="1"/>
  <c r="P66" i="2"/>
  <c r="G62" i="2"/>
  <c r="J62" i="2"/>
  <c r="O29" i="2"/>
  <c r="E29" i="2"/>
  <c r="I29" i="2"/>
  <c r="F29" i="2"/>
  <c r="J29" i="2"/>
  <c r="P33" i="2"/>
  <c r="G29" i="2"/>
  <c r="G6" i="15"/>
  <c r="H6" i="15"/>
  <c r="D27" i="15"/>
  <c r="CB6" i="3"/>
  <c r="BO13" i="3"/>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6" i="15"/>
  <c r="I6" i="4"/>
  <c r="O12" i="4"/>
  <c r="P12" i="4"/>
  <c r="O15" i="4"/>
  <c r="P15" i="4"/>
  <c r="O19" i="4"/>
  <c r="P19" i="4"/>
  <c r="I22" i="4"/>
  <c r="I23" i="4"/>
  <c r="O25" i="4"/>
  <c r="P25" i="4"/>
  <c r="O28" i="4"/>
  <c r="P28" i="4"/>
  <c r="O33" i="4"/>
  <c r="N33" i="4" s="1"/>
  <c r="M33" i="4" s="1"/>
  <c r="P33" i="4"/>
  <c r="O38" i="4"/>
  <c r="P38" i="4"/>
  <c r="O39" i="4"/>
  <c r="N39" i="4" s="1"/>
  <c r="M39" i="4" s="1"/>
  <c r="P39" i="4"/>
  <c r="O44" i="4"/>
  <c r="P44" i="4"/>
  <c r="O52" i="4"/>
  <c r="P52" i="4"/>
  <c r="O56" i="4"/>
  <c r="P56" i="4"/>
  <c r="O64" i="4"/>
  <c r="P64" i="4"/>
  <c r="O65" i="4"/>
  <c r="P65" i="4"/>
  <c r="O73" i="4"/>
  <c r="N73" i="4" s="1"/>
  <c r="M73" i="4" s="1"/>
  <c r="P73" i="4"/>
  <c r="O76" i="4"/>
  <c r="P76" i="4"/>
  <c r="O77" i="4"/>
  <c r="P77" i="4"/>
  <c r="O86" i="4"/>
  <c r="N86" i="4" s="1"/>
  <c r="M86" i="4" s="1"/>
  <c r="H86" i="4" s="1"/>
  <c r="P86" i="4"/>
  <c r="O90" i="4"/>
  <c r="N90" i="4" s="1"/>
  <c r="M90" i="4" s="1"/>
  <c r="P90" i="4"/>
  <c r="O92" i="4"/>
  <c r="P92" i="4"/>
  <c r="O93" i="4"/>
  <c r="P93" i="4"/>
  <c r="O104" i="4"/>
  <c r="P104" i="4"/>
  <c r="O109" i="4"/>
  <c r="N109" i="4" s="1"/>
  <c r="M109" i="4" s="1"/>
  <c r="P109" i="4"/>
  <c r="O111" i="4"/>
  <c r="P111" i="4"/>
  <c r="O114" i="4"/>
  <c r="N114" i="4" s="1"/>
  <c r="M114" i="4" s="1"/>
  <c r="P114" i="4"/>
  <c r="O120" i="4"/>
  <c r="P120" i="4"/>
  <c r="O122" i="4"/>
  <c r="P122" i="4"/>
  <c r="O123" i="4"/>
  <c r="P123" i="4"/>
  <c r="O126" i="4"/>
  <c r="P126" i="4"/>
  <c r="O127" i="4"/>
  <c r="P127" i="4"/>
  <c r="O138" i="4"/>
  <c r="N138" i="4" s="1"/>
  <c r="M138" i="4" s="1"/>
  <c r="P138" i="4"/>
  <c r="O145" i="4"/>
  <c r="P145" i="4"/>
  <c r="O151" i="4"/>
  <c r="P151" i="4"/>
  <c r="O152" i="4"/>
  <c r="N152" i="4" s="1"/>
  <c r="M152" i="4" s="1"/>
  <c r="P152" i="4"/>
  <c r="O161" i="4"/>
  <c r="N161" i="4" s="1"/>
  <c r="M161" i="4" s="1"/>
  <c r="P161" i="4"/>
  <c r="O162" i="4"/>
  <c r="P162" i="4"/>
  <c r="O163" i="4"/>
  <c r="N163" i="4" s="1"/>
  <c r="M163" i="4" s="1"/>
  <c r="H163" i="4" s="1"/>
  <c r="P163" i="4"/>
  <c r="O165" i="4"/>
  <c r="H165" i="4" s="1"/>
  <c r="P165" i="4"/>
  <c r="O167" i="4"/>
  <c r="N167" i="4" s="1"/>
  <c r="M167" i="4" s="1"/>
  <c r="P167" i="4"/>
  <c r="O183" i="4"/>
  <c r="P183" i="4"/>
  <c r="O184" i="4"/>
  <c r="N184" i="4" s="1"/>
  <c r="M184" i="4" s="1"/>
  <c r="P184" i="4"/>
  <c r="O190" i="4"/>
  <c r="P190" i="4"/>
  <c r="O200" i="4"/>
  <c r="P200" i="4"/>
  <c r="O204" i="4"/>
  <c r="P204" i="4"/>
  <c r="O212" i="4"/>
  <c r="P212" i="4"/>
  <c r="O213" i="4"/>
  <c r="P213" i="4"/>
  <c r="O214" i="4"/>
  <c r="P214" i="4"/>
  <c r="O215" i="4"/>
  <c r="P215" i="4"/>
  <c r="O216" i="4"/>
  <c r="N216" i="4" s="1"/>
  <c r="M216" i="4" s="1"/>
  <c r="P216" i="4"/>
  <c r="O217" i="4"/>
  <c r="N217" i="4" s="1"/>
  <c r="M217" i="4" s="1"/>
  <c r="H217" i="4" s="1"/>
  <c r="P217" i="4"/>
  <c r="O218" i="4"/>
  <c r="P218" i="4"/>
  <c r="O219" i="4"/>
  <c r="P219" i="4"/>
  <c r="O220" i="4"/>
  <c r="P220" i="4"/>
  <c r="O221" i="4"/>
  <c r="N221" i="4" s="1"/>
  <c r="M221" i="4" s="1"/>
  <c r="P221" i="4"/>
  <c r="O222" i="4"/>
  <c r="P222" i="4"/>
  <c r="O223" i="4"/>
  <c r="P223" i="4"/>
  <c r="O224" i="4"/>
  <c r="P224" i="4"/>
  <c r="O225" i="4"/>
  <c r="N225" i="4" s="1"/>
  <c r="M225" i="4" s="1"/>
  <c r="P225" i="4"/>
  <c r="O226" i="4"/>
  <c r="P226" i="4"/>
  <c r="O227" i="4"/>
  <c r="P227" i="4"/>
  <c r="O228" i="4"/>
  <c r="N228" i="4" s="1"/>
  <c r="M228" i="4" s="1"/>
  <c r="P228" i="4"/>
  <c r="O229" i="4"/>
  <c r="N229" i="4" s="1"/>
  <c r="M229" i="4" s="1"/>
  <c r="P229" i="4"/>
  <c r="O230" i="4"/>
  <c r="P230" i="4"/>
  <c r="O231" i="4"/>
  <c r="P231" i="4"/>
  <c r="O232" i="4"/>
  <c r="P232" i="4"/>
  <c r="O233" i="4"/>
  <c r="N233" i="4" s="1"/>
  <c r="M233" i="4" s="1"/>
  <c r="P233" i="4"/>
  <c r="O234" i="4"/>
  <c r="P234" i="4"/>
  <c r="O235" i="4"/>
  <c r="N235" i="4" s="1"/>
  <c r="P235" i="4"/>
  <c r="O236" i="4"/>
  <c r="P236" i="4"/>
  <c r="O237" i="4"/>
  <c r="P237" i="4"/>
  <c r="O238" i="4"/>
  <c r="P238" i="4"/>
  <c r="O239" i="4"/>
  <c r="P239" i="4"/>
  <c r="O240" i="4"/>
  <c r="P240"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5" i="4"/>
  <c r="O6" i="4"/>
  <c r="O7" i="4"/>
  <c r="N7" i="4" s="1"/>
  <c r="M7" i="4" s="1"/>
  <c r="O8" i="4"/>
  <c r="N8" i="4" s="1"/>
  <c r="M8" i="4" s="1"/>
  <c r="O9" i="4"/>
  <c r="O10" i="4"/>
  <c r="O11" i="4"/>
  <c r="O13" i="4"/>
  <c r="O14" i="4"/>
  <c r="O16" i="4"/>
  <c r="O17" i="4"/>
  <c r="N17" i="4" s="1"/>
  <c r="M17" i="4" s="1"/>
  <c r="O18" i="4"/>
  <c r="N18" i="4" s="1"/>
  <c r="M18" i="4" s="1"/>
  <c r="O20" i="4"/>
  <c r="O21" i="4"/>
  <c r="I21" i="4" s="1"/>
  <c r="O22" i="4"/>
  <c r="O23" i="4"/>
  <c r="O24" i="4"/>
  <c r="O26" i="4"/>
  <c r="O27" i="4"/>
  <c r="N27" i="4" s="1"/>
  <c r="M27" i="4" s="1"/>
  <c r="O29" i="4"/>
  <c r="N29" i="4" s="1"/>
  <c r="M29" i="4" s="1"/>
  <c r="O30" i="4"/>
  <c r="O31" i="4"/>
  <c r="N31" i="4" s="1"/>
  <c r="M31" i="4" s="1"/>
  <c r="O32" i="4"/>
  <c r="O34" i="4"/>
  <c r="N34" i="4" s="1"/>
  <c r="M34" i="4" s="1"/>
  <c r="O35" i="4"/>
  <c r="N35" i="4" s="1"/>
  <c r="M35" i="4" s="1"/>
  <c r="H35" i="4" s="1"/>
  <c r="O36" i="4"/>
  <c r="O37" i="4"/>
  <c r="N37" i="4" s="1"/>
  <c r="M37" i="4" s="1"/>
  <c r="H37" i="4" s="1"/>
  <c r="O40" i="4"/>
  <c r="N40" i="4" s="1"/>
  <c r="M40" i="4" s="1"/>
  <c r="O41" i="4"/>
  <c r="O42" i="4"/>
  <c r="N42" i="4" s="1"/>
  <c r="M42" i="4" s="1"/>
  <c r="O43" i="4"/>
  <c r="O45" i="4"/>
  <c r="N45" i="4" s="1"/>
  <c r="M45" i="4" s="1"/>
  <c r="O46" i="4"/>
  <c r="O47" i="4"/>
  <c r="N47" i="4" s="1"/>
  <c r="M47" i="4" s="1"/>
  <c r="O48" i="4"/>
  <c r="O49" i="4"/>
  <c r="N49" i="4" s="1"/>
  <c r="M49" i="4" s="1"/>
  <c r="O50" i="4"/>
  <c r="O51" i="4"/>
  <c r="N51" i="4" s="1"/>
  <c r="M51" i="4" s="1"/>
  <c r="O53" i="4"/>
  <c r="O54" i="4"/>
  <c r="N54" i="4" s="1"/>
  <c r="M54" i="4" s="1"/>
  <c r="O55" i="4"/>
  <c r="O57" i="4"/>
  <c r="O58" i="4"/>
  <c r="O59" i="4"/>
  <c r="N59" i="4" s="1"/>
  <c r="M59" i="4" s="1"/>
  <c r="O60" i="4"/>
  <c r="N60" i="4" s="1"/>
  <c r="M60" i="4" s="1"/>
  <c r="H60" i="4" s="1"/>
  <c r="O61" i="4"/>
  <c r="N61" i="4" s="1"/>
  <c r="M61" i="4" s="1"/>
  <c r="O62" i="4"/>
  <c r="O63" i="4"/>
  <c r="O66" i="4"/>
  <c r="O67" i="4"/>
  <c r="O68" i="4"/>
  <c r="N68" i="4" s="1"/>
  <c r="M68" i="4" s="1"/>
  <c r="H68" i="4" s="1"/>
  <c r="O69" i="4"/>
  <c r="O70" i="4"/>
  <c r="O71" i="4"/>
  <c r="N71" i="4" s="1"/>
  <c r="M71" i="4" s="1"/>
  <c r="O72" i="4"/>
  <c r="O74" i="4"/>
  <c r="N74" i="4" s="1"/>
  <c r="M74" i="4" s="1"/>
  <c r="O75" i="4"/>
  <c r="O78" i="4"/>
  <c r="O79" i="4"/>
  <c r="N79" i="4" s="1"/>
  <c r="M79" i="4" s="1"/>
  <c r="H79" i="4" s="1"/>
  <c r="O80" i="4"/>
  <c r="O81" i="4"/>
  <c r="O82" i="4"/>
  <c r="N82" i="4" s="1"/>
  <c r="M82" i="4" s="1"/>
  <c r="O83" i="4"/>
  <c r="O84" i="4"/>
  <c r="N84" i="4" s="1"/>
  <c r="M84" i="4" s="1"/>
  <c r="O85" i="4"/>
  <c r="N85" i="4" s="1"/>
  <c r="M85" i="4" s="1"/>
  <c r="H85" i="4" s="1"/>
  <c r="O87" i="4"/>
  <c r="O88" i="4"/>
  <c r="O89" i="4"/>
  <c r="O91" i="4"/>
  <c r="O94" i="4"/>
  <c r="N94" i="4" s="1"/>
  <c r="M94" i="4" s="1"/>
  <c r="O95" i="4"/>
  <c r="O96" i="4"/>
  <c r="N96" i="4" s="1"/>
  <c r="M96" i="4" s="1"/>
  <c r="H96" i="4" s="1"/>
  <c r="O97" i="4"/>
  <c r="O98" i="4"/>
  <c r="O99" i="4"/>
  <c r="H99" i="4" s="1"/>
  <c r="O100" i="4"/>
  <c r="N100" i="4" s="1"/>
  <c r="M100" i="4" s="1"/>
  <c r="O101" i="4"/>
  <c r="O102" i="4"/>
  <c r="N102" i="4" s="1"/>
  <c r="M102" i="4" s="1"/>
  <c r="O103" i="4"/>
  <c r="O105" i="4"/>
  <c r="N105" i="4" s="1"/>
  <c r="M105" i="4" s="1"/>
  <c r="O106" i="4"/>
  <c r="N106" i="4" s="1"/>
  <c r="M106" i="4" s="1"/>
  <c r="H106" i="4" s="1"/>
  <c r="O107" i="4"/>
  <c r="O108" i="4"/>
  <c r="O110" i="4"/>
  <c r="O112" i="4"/>
  <c r="O113" i="4"/>
  <c r="N113" i="4" s="1"/>
  <c r="M113" i="4" s="1"/>
  <c r="O115" i="4"/>
  <c r="O116" i="4"/>
  <c r="N116" i="4" s="1"/>
  <c r="M116" i="4" s="1"/>
  <c r="O117" i="4"/>
  <c r="N117" i="4" s="1"/>
  <c r="M117" i="4" s="1"/>
  <c r="O118" i="4"/>
  <c r="O119" i="4"/>
  <c r="N119" i="4" s="1"/>
  <c r="M119" i="4" s="1"/>
  <c r="O121" i="4"/>
  <c r="N121" i="4" s="1"/>
  <c r="M121" i="4" s="1"/>
  <c r="O124" i="4"/>
  <c r="O125" i="4"/>
  <c r="O128" i="4"/>
  <c r="O129" i="4"/>
  <c r="N129" i="4" s="1"/>
  <c r="M129" i="4" s="1"/>
  <c r="O130" i="4"/>
  <c r="O131" i="4"/>
  <c r="O132" i="4"/>
  <c r="O133" i="4"/>
  <c r="O134" i="4"/>
  <c r="O135" i="4"/>
  <c r="N135" i="4" s="1"/>
  <c r="M135" i="4" s="1"/>
  <c r="O136" i="4"/>
  <c r="O137" i="4"/>
  <c r="O139" i="4"/>
  <c r="N139" i="4" s="1"/>
  <c r="M139" i="4" s="1"/>
  <c r="O140" i="4"/>
  <c r="N140" i="4" s="1"/>
  <c r="M140" i="4" s="1"/>
  <c r="O141" i="4"/>
  <c r="N141" i="4" s="1"/>
  <c r="M141" i="4" s="1"/>
  <c r="O142" i="4"/>
  <c r="O143" i="4"/>
  <c r="O144" i="4"/>
  <c r="N144" i="4" s="1"/>
  <c r="M144" i="4" s="1"/>
  <c r="H144" i="4" s="1"/>
  <c r="O146" i="4"/>
  <c r="O147" i="4"/>
  <c r="O148" i="4"/>
  <c r="N148" i="4" s="1"/>
  <c r="M148" i="4" s="1"/>
  <c r="H148" i="4" s="1"/>
  <c r="O149" i="4"/>
  <c r="O150" i="4"/>
  <c r="N150" i="4" s="1"/>
  <c r="M150" i="4" s="1"/>
  <c r="H150" i="4" s="1"/>
  <c r="O153" i="4"/>
  <c r="N153" i="4" s="1"/>
  <c r="M153" i="4" s="1"/>
  <c r="O154" i="4"/>
  <c r="O155" i="4"/>
  <c r="N155" i="4" s="1"/>
  <c r="M155" i="4" s="1"/>
  <c r="O156" i="4"/>
  <c r="O157" i="4"/>
  <c r="N157" i="4" s="1"/>
  <c r="M157" i="4" s="1"/>
  <c r="O158" i="4"/>
  <c r="N158" i="4" s="1"/>
  <c r="M158" i="4" s="1"/>
  <c r="O159" i="4"/>
  <c r="O160" i="4"/>
  <c r="N160" i="4" s="1"/>
  <c r="M160" i="4" s="1"/>
  <c r="O164" i="4"/>
  <c r="O166" i="4"/>
  <c r="O168" i="4"/>
  <c r="O169" i="4"/>
  <c r="O170" i="4"/>
  <c r="N170" i="4" s="1"/>
  <c r="M170" i="4" s="1"/>
  <c r="O171" i="4"/>
  <c r="N171" i="4" s="1"/>
  <c r="M171" i="4" s="1"/>
  <c r="O172" i="4"/>
  <c r="O173" i="4"/>
  <c r="N173" i="4" s="1"/>
  <c r="M173" i="4" s="1"/>
  <c r="O174" i="4"/>
  <c r="N174" i="4" s="1"/>
  <c r="M174" i="4" s="1"/>
  <c r="O175" i="4"/>
  <c r="O176" i="4"/>
  <c r="N176" i="4" s="1"/>
  <c r="O177" i="4"/>
  <c r="O178" i="4"/>
  <c r="N178" i="4" s="1"/>
  <c r="M178" i="4" s="1"/>
  <c r="H178" i="4" s="1"/>
  <c r="O179" i="4"/>
  <c r="O180" i="4"/>
  <c r="O181" i="4"/>
  <c r="N181" i="4" s="1"/>
  <c r="M181" i="4" s="1"/>
  <c r="H181" i="4" s="1"/>
  <c r="O182" i="4"/>
  <c r="N182" i="4" s="1"/>
  <c r="M182" i="4" s="1"/>
  <c r="O185" i="4"/>
  <c r="N185" i="4" s="1"/>
  <c r="M185" i="4" s="1"/>
  <c r="O186" i="4"/>
  <c r="N186" i="4" s="1"/>
  <c r="M186" i="4" s="1"/>
  <c r="O187" i="4"/>
  <c r="O188" i="4"/>
  <c r="N188" i="4" s="1"/>
  <c r="M188" i="4" s="1"/>
  <c r="O189" i="4"/>
  <c r="O191" i="4"/>
  <c r="O192" i="4"/>
  <c r="N192" i="4" s="1"/>
  <c r="M192" i="4" s="1"/>
  <c r="O193" i="4"/>
  <c r="N193" i="4" s="1"/>
  <c r="O194" i="4"/>
  <c r="O195" i="4"/>
  <c r="N195" i="4" s="1"/>
  <c r="M195" i="4" s="1"/>
  <c r="H195" i="4" s="1"/>
  <c r="O196" i="4"/>
  <c r="O197" i="4"/>
  <c r="N197" i="4" s="1"/>
  <c r="M197" i="4" s="1"/>
  <c r="O198" i="4"/>
  <c r="O199" i="4"/>
  <c r="O201" i="4"/>
  <c r="N201" i="4" s="1"/>
  <c r="M201" i="4" s="1"/>
  <c r="O202" i="4"/>
  <c r="N202" i="4" s="1"/>
  <c r="M202" i="4" s="1"/>
  <c r="O203" i="4"/>
  <c r="N203" i="4" s="1"/>
  <c r="M203" i="4" s="1"/>
  <c r="O205" i="4"/>
  <c r="N205" i="4" s="1"/>
  <c r="M205" i="4" s="1"/>
  <c r="O206" i="4"/>
  <c r="O207" i="4"/>
  <c r="N207" i="4" s="1"/>
  <c r="M207" i="4" s="1"/>
  <c r="O208" i="4"/>
  <c r="N208" i="4" s="1"/>
  <c r="M208" i="4" s="1"/>
  <c r="O209" i="4"/>
  <c r="O210" i="4"/>
  <c r="O211" i="4"/>
  <c r="O241" i="4"/>
  <c r="O242" i="4"/>
  <c r="N242" i="4" s="1"/>
  <c r="M242" i="4" s="1"/>
  <c r="H242" i="4" s="1"/>
  <c r="O243" i="4"/>
  <c r="O244" i="4"/>
  <c r="N244" i="4" s="1"/>
  <c r="M244" i="4" s="1"/>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5" i="4"/>
  <c r="BX5" i="15"/>
  <c r="BW5" i="15"/>
  <c r="BK5" i="15"/>
  <c r="BJ5" i="15"/>
  <c r="I7" i="15"/>
  <c r="I8" i="15"/>
  <c r="J8" i="15" s="1"/>
  <c r="I9" i="15"/>
  <c r="J9" i="15" s="1"/>
  <c r="N9" i="15" s="1"/>
  <c r="O9" i="15" s="1"/>
  <c r="I10" i="15"/>
  <c r="J10" i="15" s="1"/>
  <c r="N10" i="15" s="1"/>
  <c r="I11" i="15"/>
  <c r="I12" i="15"/>
  <c r="J12" i="15" s="1"/>
  <c r="N12" i="15" s="1"/>
  <c r="I13" i="15"/>
  <c r="J13" i="15" s="1"/>
  <c r="N13" i="15" s="1"/>
  <c r="CG13" i="15" s="1"/>
  <c r="I14" i="15"/>
  <c r="J14" i="15" s="1"/>
  <c r="N14" i="15" s="1"/>
  <c r="I15" i="15"/>
  <c r="J15" i="15" s="1"/>
  <c r="N15" i="15" s="1"/>
  <c r="C17" i="3" s="1"/>
  <c r="I16" i="15"/>
  <c r="I17" i="15"/>
  <c r="I18" i="15"/>
  <c r="M18" i="15" s="1"/>
  <c r="I19" i="15"/>
  <c r="J19" i="15" s="1"/>
  <c r="N19" i="15" s="1"/>
  <c r="O19" i="15" s="1"/>
  <c r="I20" i="15"/>
  <c r="J20" i="15" s="1"/>
  <c r="N20" i="15" s="1"/>
  <c r="O20" i="15" s="1"/>
  <c r="I21" i="15"/>
  <c r="J21" i="15" s="1"/>
  <c r="N21" i="15" s="1"/>
  <c r="O21" i="15" s="1"/>
  <c r="I22" i="15"/>
  <c r="I23" i="15"/>
  <c r="J23" i="15" s="1"/>
  <c r="N23" i="15" s="1"/>
  <c r="C25" i="3" s="1"/>
  <c r="BK25" i="3" s="1"/>
  <c r="I24" i="15"/>
  <c r="J24" i="15" s="1"/>
  <c r="N24" i="15" s="1"/>
  <c r="BE24" i="15" s="1"/>
  <c r="I25" i="15"/>
  <c r="I26" i="15"/>
  <c r="I27" i="15"/>
  <c r="J27" i="15" s="1"/>
  <c r="N27" i="15" s="1"/>
  <c r="I28" i="15"/>
  <c r="I29" i="15"/>
  <c r="I30" i="15"/>
  <c r="I31" i="15"/>
  <c r="I32" i="15"/>
  <c r="I33" i="15"/>
  <c r="M33" i="15" s="1"/>
  <c r="BD33" i="15" s="1"/>
  <c r="I34" i="15"/>
  <c r="I35" i="15"/>
  <c r="I36" i="15"/>
  <c r="J36" i="15" s="1"/>
  <c r="N36" i="15" s="1"/>
  <c r="O36" i="15" s="1"/>
  <c r="I37" i="15"/>
  <c r="J37" i="15" s="1"/>
  <c r="N37" i="15" s="1"/>
  <c r="I38" i="15"/>
  <c r="J38" i="15" s="1"/>
  <c r="N38" i="15" s="1"/>
  <c r="CG38" i="15" s="1"/>
  <c r="I39" i="15"/>
  <c r="I40" i="15"/>
  <c r="J40" i="15" s="1"/>
  <c r="N40" i="15" s="1"/>
  <c r="I41" i="15"/>
  <c r="I42" i="15"/>
  <c r="J42" i="15" s="1"/>
  <c r="N42" i="15" s="1"/>
  <c r="I43" i="15"/>
  <c r="J43" i="15" s="1"/>
  <c r="N43" i="15" s="1"/>
  <c r="O43" i="15" s="1"/>
  <c r="I44" i="15"/>
  <c r="J44" i="15" s="1"/>
  <c r="N44" i="15" s="1"/>
  <c r="I45" i="15"/>
  <c r="I46" i="15"/>
  <c r="I47" i="15"/>
  <c r="I48" i="15"/>
  <c r="I49" i="15"/>
  <c r="I50" i="15"/>
  <c r="J50" i="15" s="1"/>
  <c r="N50" i="15" s="1"/>
  <c r="BE50" i="15" s="1"/>
  <c r="I51" i="15"/>
  <c r="J51" i="15" s="1"/>
  <c r="N51" i="15" s="1"/>
  <c r="I52" i="15"/>
  <c r="J52" i="15" s="1"/>
  <c r="N52" i="15" s="1"/>
  <c r="BA52" i="15" s="1"/>
  <c r="I53" i="15"/>
  <c r="M53" i="15" s="1"/>
  <c r="CH53" i="15" s="1"/>
  <c r="I54" i="15"/>
  <c r="J54" i="15" s="1"/>
  <c r="N54" i="15" s="1"/>
  <c r="CG54" i="15" s="1"/>
  <c r="I55" i="15"/>
  <c r="J55" i="15" s="1"/>
  <c r="N55" i="15" s="1"/>
  <c r="I56" i="15"/>
  <c r="I57" i="15"/>
  <c r="J57" i="15" s="1"/>
  <c r="N57" i="15" s="1"/>
  <c r="I58" i="15"/>
  <c r="J58" i="15" s="1"/>
  <c r="N58" i="15" s="1"/>
  <c r="CG58" i="15" s="1"/>
  <c r="I59" i="15"/>
  <c r="J59" i="15" s="1"/>
  <c r="N59" i="15" s="1"/>
  <c r="I60" i="15"/>
  <c r="J60" i="15" s="1"/>
  <c r="N60" i="15" s="1"/>
  <c r="CG60" i="15" s="1"/>
  <c r="I61" i="15"/>
  <c r="I62" i="15"/>
  <c r="I63" i="15"/>
  <c r="I64" i="15"/>
  <c r="J64" i="15" s="1"/>
  <c r="N64" i="15" s="1"/>
  <c r="CG64" i="15" s="1"/>
  <c r="I65" i="15"/>
  <c r="J65" i="15" s="1"/>
  <c r="N65" i="15" s="1"/>
  <c r="I66" i="15"/>
  <c r="I67" i="15"/>
  <c r="J67" i="15" s="1"/>
  <c r="N67" i="15" s="1"/>
  <c r="I68" i="15"/>
  <c r="I69" i="15"/>
  <c r="I70" i="15"/>
  <c r="J70" i="15" s="1"/>
  <c r="N70" i="15" s="1"/>
  <c r="O70" i="15" s="1"/>
  <c r="I71" i="15"/>
  <c r="M71" i="15" s="1"/>
  <c r="I72" i="15"/>
  <c r="I73" i="15"/>
  <c r="J73" i="15" s="1"/>
  <c r="N73" i="15" s="1"/>
  <c r="O73" i="15" s="1"/>
  <c r="I74" i="15"/>
  <c r="J74" i="15" s="1"/>
  <c r="N74" i="15" s="1"/>
  <c r="BA74" i="15" s="1"/>
  <c r="I75" i="15"/>
  <c r="M75" i="15" s="1"/>
  <c r="P75" i="15" s="1"/>
  <c r="I76" i="15"/>
  <c r="J76" i="15" s="1"/>
  <c r="N76" i="15" s="1"/>
  <c r="C78" i="3" s="1"/>
  <c r="AI78" i="3" s="1"/>
  <c r="I77" i="15"/>
  <c r="I78" i="15"/>
  <c r="I79" i="15"/>
  <c r="I80" i="15"/>
  <c r="J80" i="15" s="1"/>
  <c r="N80" i="15" s="1"/>
  <c r="I81" i="15"/>
  <c r="I82" i="15"/>
  <c r="J82" i="15" s="1"/>
  <c r="N82" i="15" s="1"/>
  <c r="BE82" i="15" s="1"/>
  <c r="I83" i="15"/>
  <c r="J83" i="15" s="1"/>
  <c r="N83" i="15" s="1"/>
  <c r="I84" i="15"/>
  <c r="I85" i="15"/>
  <c r="I86" i="15"/>
  <c r="J86" i="15" s="1"/>
  <c r="N86" i="15" s="1"/>
  <c r="I87" i="15"/>
  <c r="I88" i="15"/>
  <c r="I89" i="15"/>
  <c r="J89" i="15" s="1"/>
  <c r="N89" i="15" s="1"/>
  <c r="I90" i="15"/>
  <c r="J90" i="15" s="1"/>
  <c r="N90" i="15" s="1"/>
  <c r="CG90" i="15" s="1"/>
  <c r="I91" i="15"/>
  <c r="I92" i="15"/>
  <c r="I93" i="15"/>
  <c r="J93" i="15" s="1"/>
  <c r="N93" i="15" s="1"/>
  <c r="I94" i="15"/>
  <c r="J94" i="15" s="1"/>
  <c r="N94" i="15" s="1"/>
  <c r="BA94" i="15" s="1"/>
  <c r="I95" i="15"/>
  <c r="J95" i="15" s="1"/>
  <c r="N95" i="15" s="1"/>
  <c r="C97" i="3" s="1"/>
  <c r="AI97" i="3" s="1"/>
  <c r="I96" i="15"/>
  <c r="I97" i="15"/>
  <c r="J97" i="15" s="1"/>
  <c r="N97" i="15" s="1"/>
  <c r="C99" i="3" s="1"/>
  <c r="I98" i="15"/>
  <c r="I99" i="15"/>
  <c r="I100" i="15"/>
  <c r="I101" i="15"/>
  <c r="I102" i="15"/>
  <c r="J102" i="15" s="1"/>
  <c r="N102" i="15" s="1"/>
  <c r="BE102" i="15" s="1"/>
  <c r="I103" i="15"/>
  <c r="I104" i="15"/>
  <c r="I105" i="15"/>
  <c r="J105" i="15" s="1"/>
  <c r="N105" i="15" s="1"/>
  <c r="I106" i="15"/>
  <c r="I107" i="15"/>
  <c r="I108" i="15"/>
  <c r="J108" i="15" s="1"/>
  <c r="N108" i="15" s="1"/>
  <c r="I109" i="15"/>
  <c r="I110" i="15"/>
  <c r="I111" i="15"/>
  <c r="M111" i="15" s="1"/>
  <c r="BB111" i="15" s="1"/>
  <c r="I112" i="15"/>
  <c r="J112" i="15" s="1"/>
  <c r="N112" i="15" s="1"/>
  <c r="I113" i="15"/>
  <c r="J113" i="15" s="1"/>
  <c r="N113" i="15" s="1"/>
  <c r="CG113" i="15" s="1"/>
  <c r="I114" i="15"/>
  <c r="J114" i="15" s="1"/>
  <c r="N114" i="15" s="1"/>
  <c r="I115" i="15"/>
  <c r="J115" i="15" s="1"/>
  <c r="N115" i="15" s="1"/>
  <c r="I116" i="15"/>
  <c r="I117" i="15"/>
  <c r="I118" i="15"/>
  <c r="I119" i="15"/>
  <c r="J119" i="15" s="1"/>
  <c r="N119" i="15" s="1"/>
  <c r="CG119" i="15" s="1"/>
  <c r="I120" i="15"/>
  <c r="I121" i="15"/>
  <c r="J121" i="15" s="1"/>
  <c r="N121" i="15" s="1"/>
  <c r="C123" i="3" s="1"/>
  <c r="I122" i="15"/>
  <c r="J122" i="15" s="1"/>
  <c r="N122" i="15" s="1"/>
  <c r="I123" i="15"/>
  <c r="I124" i="15"/>
  <c r="I125" i="15"/>
  <c r="I126" i="15"/>
  <c r="M126" i="15" s="1"/>
  <c r="BB126" i="15" s="1"/>
  <c r="I127" i="15"/>
  <c r="I128" i="15"/>
  <c r="J128" i="15" s="1"/>
  <c r="N128" i="15" s="1"/>
  <c r="BE128" i="15" s="1"/>
  <c r="I129" i="15"/>
  <c r="M129" i="15" s="1"/>
  <c r="P129" i="15" s="1"/>
  <c r="I130" i="15"/>
  <c r="I131" i="15"/>
  <c r="J131" i="15" s="1"/>
  <c r="N131" i="15" s="1"/>
  <c r="X131" i="15" s="1"/>
  <c r="I132" i="15"/>
  <c r="J132" i="15" s="1"/>
  <c r="N132" i="15" s="1"/>
  <c r="I133" i="15"/>
  <c r="I134" i="15"/>
  <c r="I135" i="15"/>
  <c r="I136" i="15"/>
  <c r="I137" i="15"/>
  <c r="J137" i="15" s="1"/>
  <c r="N137" i="15" s="1"/>
  <c r="BE137" i="15" s="1"/>
  <c r="I138" i="15"/>
  <c r="I139" i="15"/>
  <c r="J139" i="15" s="1"/>
  <c r="N139" i="15" s="1"/>
  <c r="X139" i="15" s="1"/>
  <c r="I140" i="15"/>
  <c r="I141" i="15"/>
  <c r="I142" i="15"/>
  <c r="I143" i="15"/>
  <c r="J143" i="15" s="1"/>
  <c r="N143" i="15" s="1"/>
  <c r="I144" i="15"/>
  <c r="I145" i="15"/>
  <c r="J145" i="15" s="1"/>
  <c r="N145" i="15" s="1"/>
  <c r="I146" i="15"/>
  <c r="I147" i="15"/>
  <c r="M147" i="15" s="1"/>
  <c r="P147" i="15" s="1"/>
  <c r="I148" i="15"/>
  <c r="J148" i="15" s="1"/>
  <c r="N148" i="15" s="1"/>
  <c r="I149" i="15"/>
  <c r="I150" i="15"/>
  <c r="I151" i="15"/>
  <c r="I152" i="15"/>
  <c r="J152" i="15" s="1"/>
  <c r="N152" i="15" s="1"/>
  <c r="C154" i="3" s="1"/>
  <c r="AI154" i="3" s="1"/>
  <c r="I153" i="15"/>
  <c r="M153" i="15" s="1"/>
  <c r="BB153" i="15" s="1"/>
  <c r="I154" i="15"/>
  <c r="J154" i="15" s="1"/>
  <c r="N154" i="15" s="1"/>
  <c r="O154" i="15" s="1"/>
  <c r="I155" i="15"/>
  <c r="I156" i="15"/>
  <c r="J156" i="15" s="1"/>
  <c r="N156" i="15" s="1"/>
  <c r="C158" i="3" s="1"/>
  <c r="I157" i="15"/>
  <c r="J157" i="15" s="1"/>
  <c r="N157" i="15" s="1"/>
  <c r="CG157" i="15" s="1"/>
  <c r="I158" i="15"/>
  <c r="I159" i="15"/>
  <c r="I160" i="15"/>
  <c r="I161" i="15"/>
  <c r="I162" i="15"/>
  <c r="J162" i="15" s="1"/>
  <c r="N162" i="15" s="1"/>
  <c r="BA162" i="15" s="1"/>
  <c r="I163" i="15"/>
  <c r="I164" i="15"/>
  <c r="I165" i="15"/>
  <c r="I166" i="15"/>
  <c r="J166" i="15" s="1"/>
  <c r="N166" i="15" s="1"/>
  <c r="I167" i="15"/>
  <c r="J167" i="15" s="1"/>
  <c r="N167" i="15" s="1"/>
  <c r="C169" i="3" s="1"/>
  <c r="I168" i="15"/>
  <c r="I169" i="15"/>
  <c r="I170" i="15"/>
  <c r="I171" i="15"/>
  <c r="J171" i="15" s="1"/>
  <c r="N171" i="15" s="1"/>
  <c r="I172" i="15"/>
  <c r="M172" i="15" s="1"/>
  <c r="I173" i="15"/>
  <c r="I174" i="15"/>
  <c r="J174" i="15" s="1"/>
  <c r="N174" i="15" s="1"/>
  <c r="I175" i="15"/>
  <c r="J175" i="15" s="1"/>
  <c r="N175" i="15" s="1"/>
  <c r="CG175" i="15" s="1"/>
  <c r="I176" i="15"/>
  <c r="I177" i="15"/>
  <c r="J177" i="15" s="1"/>
  <c r="N177" i="15" s="1"/>
  <c r="C179" i="3" s="1"/>
  <c r="AI179" i="3" s="1"/>
  <c r="I178" i="15"/>
  <c r="I179" i="15"/>
  <c r="J179" i="15" s="1"/>
  <c r="N179" i="15" s="1"/>
  <c r="I180" i="15"/>
  <c r="J180" i="15" s="1"/>
  <c r="N180" i="15" s="1"/>
  <c r="I181" i="15"/>
  <c r="J181" i="15" s="1"/>
  <c r="N181" i="15" s="1"/>
  <c r="I182" i="15"/>
  <c r="I183" i="15"/>
  <c r="J183" i="15" s="1"/>
  <c r="N183" i="15" s="1"/>
  <c r="BE183" i="15" s="1"/>
  <c r="I184" i="15"/>
  <c r="M184" i="15" s="1"/>
  <c r="P184" i="15" s="1"/>
  <c r="I185" i="15"/>
  <c r="I186" i="15"/>
  <c r="I187" i="15"/>
  <c r="I188" i="15"/>
  <c r="I189" i="15"/>
  <c r="I190" i="15"/>
  <c r="J190" i="15" s="1"/>
  <c r="N190" i="15" s="1"/>
  <c r="I191" i="15"/>
  <c r="M191" i="15" s="1"/>
  <c r="W191" i="15" s="1"/>
  <c r="I192" i="15"/>
  <c r="I193" i="15"/>
  <c r="I194" i="15"/>
  <c r="J194" i="15" s="1"/>
  <c r="N194" i="15" s="1"/>
  <c r="I195" i="15"/>
  <c r="I196" i="15"/>
  <c r="M196" i="15" s="1"/>
  <c r="BD196" i="15" s="1"/>
  <c r="I197" i="15"/>
  <c r="J197" i="15" s="1"/>
  <c r="N197" i="15" s="1"/>
  <c r="I198" i="15"/>
  <c r="I199" i="15"/>
  <c r="J199" i="15" s="1"/>
  <c r="N199" i="15" s="1"/>
  <c r="X199" i="15" s="1"/>
  <c r="I200" i="15"/>
  <c r="J200" i="15" s="1"/>
  <c r="N200" i="15" s="1"/>
  <c r="CG200" i="15" s="1"/>
  <c r="I201" i="15"/>
  <c r="J201" i="15" s="1"/>
  <c r="N201" i="15" s="1"/>
  <c r="C203" i="3" s="1"/>
  <c r="I202" i="15"/>
  <c r="I203" i="15"/>
  <c r="I204" i="15"/>
  <c r="J204" i="15" s="1"/>
  <c r="N204" i="15" s="1"/>
  <c r="I205" i="15"/>
  <c r="C5" i="2"/>
  <c r="L5" i="2" s="1"/>
  <c r="C38" i="2"/>
  <c r="L38" i="2" s="1"/>
  <c r="C42" i="2"/>
  <c r="G42" i="2" s="1"/>
  <c r="C9" i="2"/>
  <c r="D9" i="2" s="1"/>
  <c r="C46" i="2"/>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N146" i="4"/>
  <c r="M146" i="4" s="1"/>
  <c r="N126" i="4"/>
  <c r="M126" i="4" s="1"/>
  <c r="N123" i="4"/>
  <c r="M123" i="4" s="1"/>
  <c r="N83" i="4"/>
  <c r="M83" i="4" s="1"/>
  <c r="N200" i="4"/>
  <c r="M200" i="4" s="1"/>
  <c r="H200" i="4" s="1"/>
  <c r="N204" i="4"/>
  <c r="K6" i="15"/>
  <c r="C13" i="2"/>
  <c r="P139" i="4"/>
  <c r="P69" i="4"/>
  <c r="P128" i="4"/>
  <c r="I128" i="4" s="1"/>
  <c r="J128" i="4" s="1"/>
  <c r="L128" i="4" s="1"/>
  <c r="P48" i="4"/>
  <c r="P83" i="4"/>
  <c r="I83" i="4" s="1"/>
  <c r="P140" i="4"/>
  <c r="P89" i="4"/>
  <c r="P129" i="4"/>
  <c r="P141" i="4"/>
  <c r="P5" i="4"/>
  <c r="P62" i="4"/>
  <c r="I62" i="4" s="1"/>
  <c r="J62" i="4" s="1"/>
  <c r="L62" i="4" s="1"/>
  <c r="K62" i="4" s="1"/>
  <c r="P66" i="4"/>
  <c r="P68" i="4"/>
  <c r="P100" i="4"/>
  <c r="P96" i="4"/>
  <c r="P94" i="4"/>
  <c r="P95" i="4"/>
  <c r="I95" i="4" s="1"/>
  <c r="J95" i="4" s="1"/>
  <c r="L95" i="4" s="1"/>
  <c r="P79" i="4"/>
  <c r="P195" i="4"/>
  <c r="P31" i="4"/>
  <c r="P199" i="4"/>
  <c r="P201" i="4"/>
  <c r="I201" i="4" s="1"/>
  <c r="J201" i="4" s="1"/>
  <c r="P202" i="4"/>
  <c r="P203" i="4"/>
  <c r="P168" i="4"/>
  <c r="K7" i="15"/>
  <c r="H7" i="15"/>
  <c r="H8" i="15"/>
  <c r="H9" i="15"/>
  <c r="H10" i="15"/>
  <c r="K13" i="15"/>
  <c r="K17" i="15"/>
  <c r="K19" i="15"/>
  <c r="K21" i="15"/>
  <c r="K25" i="15"/>
  <c r="K27" i="15"/>
  <c r="K29" i="15"/>
  <c r="K33" i="15"/>
  <c r="K35" i="15"/>
  <c r="K37" i="15"/>
  <c r="K41" i="15"/>
  <c r="K43" i="15"/>
  <c r="K45" i="15"/>
  <c r="K49" i="15"/>
  <c r="K51" i="15"/>
  <c r="K53" i="15"/>
  <c r="K57" i="15"/>
  <c r="K59" i="15"/>
  <c r="K61" i="15"/>
  <c r="K65" i="15"/>
  <c r="K69" i="15"/>
  <c r="K71" i="15"/>
  <c r="K73" i="15"/>
  <c r="K75" i="15"/>
  <c r="K77" i="15"/>
  <c r="K81" i="15"/>
  <c r="K85" i="15"/>
  <c r="K87" i="15"/>
  <c r="K89" i="15"/>
  <c r="K93" i="15"/>
  <c r="K97" i="15"/>
  <c r="K101" i="15"/>
  <c r="K103" i="15"/>
  <c r="K105" i="15"/>
  <c r="K109" i="15"/>
  <c r="K110" i="15"/>
  <c r="K111" i="15"/>
  <c r="K112" i="15"/>
  <c r="K113" i="15"/>
  <c r="K115" i="15"/>
  <c r="K117" i="15"/>
  <c r="K119" i="15"/>
  <c r="K121" i="15"/>
  <c r="K125" i="15"/>
  <c r="K126" i="15"/>
  <c r="K127" i="15"/>
  <c r="K128" i="15"/>
  <c r="K129" i="15"/>
  <c r="K131" i="15"/>
  <c r="K133" i="15"/>
  <c r="K137" i="15"/>
  <c r="K141" i="15"/>
  <c r="K142" i="15"/>
  <c r="K143" i="15"/>
  <c r="K144" i="15"/>
  <c r="K145" i="15"/>
  <c r="K147" i="15"/>
  <c r="K149" i="15"/>
  <c r="K153" i="15"/>
  <c r="K157" i="15"/>
  <c r="K158" i="15"/>
  <c r="K159" i="15"/>
  <c r="K160" i="15"/>
  <c r="K161" i="15"/>
  <c r="K165" i="15"/>
  <c r="K173" i="15"/>
  <c r="K174" i="15"/>
  <c r="K175" i="15"/>
  <c r="K176" i="15"/>
  <c r="K191" i="15"/>
  <c r="K193" i="15"/>
  <c r="G7" i="15"/>
  <c r="C17" i="2"/>
  <c r="C21" i="2"/>
  <c r="D77" i="4"/>
  <c r="C50" i="2"/>
  <c r="F33" i="4"/>
  <c r="F76" i="4"/>
  <c r="F38" i="4"/>
  <c r="F39" i="4"/>
  <c r="F152" i="4"/>
  <c r="F5" i="4"/>
  <c r="F77" i="4"/>
  <c r="F91" i="4"/>
  <c r="F155" i="4"/>
  <c r="F82" i="4"/>
  <c r="F78" i="4"/>
  <c r="F111" i="4"/>
  <c r="F34" i="4"/>
  <c r="F35" i="4"/>
  <c r="F218" i="4"/>
  <c r="F237" i="4"/>
  <c r="F240" i="4"/>
  <c r="AE5" i="15"/>
  <c r="C25" i="2"/>
  <c r="N25" i="2" s="1"/>
  <c r="AR5" i="15"/>
  <c r="C54" i="2"/>
  <c r="N54" i="2" s="1"/>
  <c r="C58" i="2"/>
  <c r="E58" i="2" s="1"/>
  <c r="AL7" i="15"/>
  <c r="AM7" i="15"/>
  <c r="Y7" i="15"/>
  <c r="Z7" i="15"/>
  <c r="G8" i="15"/>
  <c r="AL8" i="15"/>
  <c r="AM8" i="15"/>
  <c r="Y8" i="15"/>
  <c r="Z8" i="15"/>
  <c r="G9" i="15"/>
  <c r="AL9" i="15"/>
  <c r="AM9" i="15"/>
  <c r="Y9" i="15"/>
  <c r="Z9" i="15"/>
  <c r="G10" i="15"/>
  <c r="AL10" i="15"/>
  <c r="AM10" i="15"/>
  <c r="Y10" i="15"/>
  <c r="Z10" i="15"/>
  <c r="AL11" i="15"/>
  <c r="AM11" i="15"/>
  <c r="Y11" i="15"/>
  <c r="Z11" i="15"/>
  <c r="AL12" i="15"/>
  <c r="AM12" i="15"/>
  <c r="Y12" i="15"/>
  <c r="Z12" i="15"/>
  <c r="AL13" i="15"/>
  <c r="AM13" i="15"/>
  <c r="Y13" i="15"/>
  <c r="Z13" i="15"/>
  <c r="AL14" i="15"/>
  <c r="AM14" i="15"/>
  <c r="Y14" i="15"/>
  <c r="Z14" i="15"/>
  <c r="AL15" i="15"/>
  <c r="AM15" i="15"/>
  <c r="Y15" i="15"/>
  <c r="Z15" i="15"/>
  <c r="AL16" i="15"/>
  <c r="AM16" i="15"/>
  <c r="Y16" i="15"/>
  <c r="Z16" i="15"/>
  <c r="AL17" i="15"/>
  <c r="AM17" i="15"/>
  <c r="Y17" i="15"/>
  <c r="Z17" i="15"/>
  <c r="AL18" i="15"/>
  <c r="AM18" i="15"/>
  <c r="Y18" i="15"/>
  <c r="Z18" i="15"/>
  <c r="AL19" i="15"/>
  <c r="AM19" i="15"/>
  <c r="Y19" i="15"/>
  <c r="Z19" i="15"/>
  <c r="AL20" i="15"/>
  <c r="AM20" i="15"/>
  <c r="Y20" i="15"/>
  <c r="Z20" i="15"/>
  <c r="AL21" i="15"/>
  <c r="AM21" i="15"/>
  <c r="Y21" i="15"/>
  <c r="Z21" i="15"/>
  <c r="AL22" i="15"/>
  <c r="AM22" i="15"/>
  <c r="Y22" i="15"/>
  <c r="Z22" i="15"/>
  <c r="AL23" i="15"/>
  <c r="AM23" i="15"/>
  <c r="Y23" i="15"/>
  <c r="Z23" i="15"/>
  <c r="AL24" i="15"/>
  <c r="AM24" i="15"/>
  <c r="Y24" i="15"/>
  <c r="Z24" i="15"/>
  <c r="AL25" i="15"/>
  <c r="AM25" i="15"/>
  <c r="Y25" i="15"/>
  <c r="Z25" i="15"/>
  <c r="AL26" i="15"/>
  <c r="AM26" i="15"/>
  <c r="Y26" i="15"/>
  <c r="Z26" i="15"/>
  <c r="AL27" i="15"/>
  <c r="AM27" i="15"/>
  <c r="Y27" i="15"/>
  <c r="Z27" i="15"/>
  <c r="AL28" i="15"/>
  <c r="AM28" i="15"/>
  <c r="Y28" i="15"/>
  <c r="Z28" i="15"/>
  <c r="AL29" i="15"/>
  <c r="AM29" i="15"/>
  <c r="Y29" i="15"/>
  <c r="Z29" i="15"/>
  <c r="AL30" i="15"/>
  <c r="AM30" i="15"/>
  <c r="Y30" i="15"/>
  <c r="Z30" i="15"/>
  <c r="AL31" i="15"/>
  <c r="AM31" i="15"/>
  <c r="Y31" i="15"/>
  <c r="Z31" i="15"/>
  <c r="AL32" i="15"/>
  <c r="AM32" i="15"/>
  <c r="Y32" i="15"/>
  <c r="Z32" i="15"/>
  <c r="AL33" i="15"/>
  <c r="AM33" i="15"/>
  <c r="Y33" i="15"/>
  <c r="Z33" i="15"/>
  <c r="AL34" i="15"/>
  <c r="AM34" i="15"/>
  <c r="Y34" i="15"/>
  <c r="Z34" i="15"/>
  <c r="AL35" i="15"/>
  <c r="AM35" i="15"/>
  <c r="Y35" i="15"/>
  <c r="Z35" i="15"/>
  <c r="AL36" i="15"/>
  <c r="AM36" i="15"/>
  <c r="Y36" i="15"/>
  <c r="Z36" i="15"/>
  <c r="AL37" i="15"/>
  <c r="AM37" i="15"/>
  <c r="Y37" i="15"/>
  <c r="Z37" i="15"/>
  <c r="AL38" i="15"/>
  <c r="AM38" i="15"/>
  <c r="Y38" i="15"/>
  <c r="Z38" i="15"/>
  <c r="AL39" i="15"/>
  <c r="AM39" i="15"/>
  <c r="Y39" i="15"/>
  <c r="Z39" i="15"/>
  <c r="AL40" i="15"/>
  <c r="AM40" i="15"/>
  <c r="Y40" i="15"/>
  <c r="Z40" i="15"/>
  <c r="AL41" i="15"/>
  <c r="AM41" i="15"/>
  <c r="Y41" i="15"/>
  <c r="Z41" i="15"/>
  <c r="AL42" i="15"/>
  <c r="AM42" i="15"/>
  <c r="Y42" i="15"/>
  <c r="Z42" i="15"/>
  <c r="AL43" i="15"/>
  <c r="AM43" i="15"/>
  <c r="Y43" i="15"/>
  <c r="Z43" i="15"/>
  <c r="AL44" i="15"/>
  <c r="AM44" i="15"/>
  <c r="Y44" i="15"/>
  <c r="Z44" i="15"/>
  <c r="AL45" i="15"/>
  <c r="AM45" i="15"/>
  <c r="Y45" i="15"/>
  <c r="Z45" i="15"/>
  <c r="AL46" i="15"/>
  <c r="AM46" i="15"/>
  <c r="Y46" i="15"/>
  <c r="Z46" i="15"/>
  <c r="AL47" i="15"/>
  <c r="AM47" i="15"/>
  <c r="Y47" i="15"/>
  <c r="Z47" i="15"/>
  <c r="AL48" i="15"/>
  <c r="AM48" i="15"/>
  <c r="Y48" i="15"/>
  <c r="Z48" i="15"/>
  <c r="AL49" i="15"/>
  <c r="AM49" i="15"/>
  <c r="Y49" i="15"/>
  <c r="Z49" i="15"/>
  <c r="AL50" i="15"/>
  <c r="AM50" i="15"/>
  <c r="Y50" i="15"/>
  <c r="Z50" i="15"/>
  <c r="AL51" i="15"/>
  <c r="AM51" i="15"/>
  <c r="Y51" i="15"/>
  <c r="Z51" i="15"/>
  <c r="AL52" i="15"/>
  <c r="AM52" i="15"/>
  <c r="Y52" i="15"/>
  <c r="Z52" i="15"/>
  <c r="AL53" i="15"/>
  <c r="AM53" i="15"/>
  <c r="Y53" i="15"/>
  <c r="Z53" i="15"/>
  <c r="AL54" i="15"/>
  <c r="AM54" i="15"/>
  <c r="Y54" i="15"/>
  <c r="Z54" i="15"/>
  <c r="AL55" i="15"/>
  <c r="AM55" i="15"/>
  <c r="Y55" i="15"/>
  <c r="Z55" i="15"/>
  <c r="AL56" i="15"/>
  <c r="AM56" i="15"/>
  <c r="Y56" i="15"/>
  <c r="Z56" i="15"/>
  <c r="AL57" i="15"/>
  <c r="AM57" i="15"/>
  <c r="Y57" i="15"/>
  <c r="Z57" i="15"/>
  <c r="AL58" i="15"/>
  <c r="AM58" i="15"/>
  <c r="Y58" i="15"/>
  <c r="Z58" i="15"/>
  <c r="AL59" i="15"/>
  <c r="AM59" i="15"/>
  <c r="Y59" i="15"/>
  <c r="Z59" i="15"/>
  <c r="AL60" i="15"/>
  <c r="AM60" i="15"/>
  <c r="Y60" i="15"/>
  <c r="Z60" i="15"/>
  <c r="AL61" i="15"/>
  <c r="AM61" i="15"/>
  <c r="Y61" i="15"/>
  <c r="Z61" i="15"/>
  <c r="AL62" i="15"/>
  <c r="AM62" i="15"/>
  <c r="Y62" i="15"/>
  <c r="Z62" i="15"/>
  <c r="AL63" i="15"/>
  <c r="AM63" i="15"/>
  <c r="Y63" i="15"/>
  <c r="Z63" i="15"/>
  <c r="AL64" i="15"/>
  <c r="AM64" i="15"/>
  <c r="Y64" i="15"/>
  <c r="Z64" i="15"/>
  <c r="AL65" i="15"/>
  <c r="AM65" i="15"/>
  <c r="Y65" i="15"/>
  <c r="Z65" i="15"/>
  <c r="AL66" i="15"/>
  <c r="AM66" i="15"/>
  <c r="Y66" i="15"/>
  <c r="Z66" i="15"/>
  <c r="AL67" i="15"/>
  <c r="AM67" i="15"/>
  <c r="Y67" i="15"/>
  <c r="Z67" i="15"/>
  <c r="AL68" i="15"/>
  <c r="AM68" i="15"/>
  <c r="Y68" i="15"/>
  <c r="Z68" i="15"/>
  <c r="AL69" i="15"/>
  <c r="AM69" i="15"/>
  <c r="Y69" i="15"/>
  <c r="Z69" i="15"/>
  <c r="AL70" i="15"/>
  <c r="AM70" i="15"/>
  <c r="Y70" i="15"/>
  <c r="Z70" i="15"/>
  <c r="AL71" i="15"/>
  <c r="AM71" i="15"/>
  <c r="Y71" i="15"/>
  <c r="Z71" i="15"/>
  <c r="AL72" i="15"/>
  <c r="AM72" i="15"/>
  <c r="Y72" i="15"/>
  <c r="Z72" i="15"/>
  <c r="AL73" i="15"/>
  <c r="AM73" i="15"/>
  <c r="Y73" i="15"/>
  <c r="Z73" i="15"/>
  <c r="AL74" i="15"/>
  <c r="AM74" i="15"/>
  <c r="Y74" i="15"/>
  <c r="Z74" i="15"/>
  <c r="AL75" i="15"/>
  <c r="AM75" i="15"/>
  <c r="Y75" i="15"/>
  <c r="Z75" i="15"/>
  <c r="AL76" i="15"/>
  <c r="AM76" i="15"/>
  <c r="Y76" i="15"/>
  <c r="Z76" i="15"/>
  <c r="AL77" i="15"/>
  <c r="AM77" i="15"/>
  <c r="Y77" i="15"/>
  <c r="Z77" i="15"/>
  <c r="AL78" i="15"/>
  <c r="AM78" i="15"/>
  <c r="Y78" i="15"/>
  <c r="Z78" i="15"/>
  <c r="AL79" i="15"/>
  <c r="AM79" i="15"/>
  <c r="Y79" i="15"/>
  <c r="Z79" i="15"/>
  <c r="AL80" i="15"/>
  <c r="AM80" i="15"/>
  <c r="Y80" i="15"/>
  <c r="Z80" i="15"/>
  <c r="AL81" i="15"/>
  <c r="AM81" i="15"/>
  <c r="Y81" i="15"/>
  <c r="Z81" i="15"/>
  <c r="AL82" i="15"/>
  <c r="AM82" i="15"/>
  <c r="Y82" i="15"/>
  <c r="Z82" i="15"/>
  <c r="AL83" i="15"/>
  <c r="AM83" i="15"/>
  <c r="Y83" i="15"/>
  <c r="Z83" i="15"/>
  <c r="AL84" i="15"/>
  <c r="AM84" i="15"/>
  <c r="Y84" i="15"/>
  <c r="Z84" i="15"/>
  <c r="AL85" i="15"/>
  <c r="AM85" i="15"/>
  <c r="Y85" i="15"/>
  <c r="Z85" i="15"/>
  <c r="AL86" i="15"/>
  <c r="AM86" i="15"/>
  <c r="Y86" i="15"/>
  <c r="Z86" i="15"/>
  <c r="AL87" i="15"/>
  <c r="AM87" i="15"/>
  <c r="Y87" i="15"/>
  <c r="Z87" i="15"/>
  <c r="AL88" i="15"/>
  <c r="AM88" i="15"/>
  <c r="Y88" i="15"/>
  <c r="Z88" i="15"/>
  <c r="AL89" i="15"/>
  <c r="AM89" i="15"/>
  <c r="Y89" i="15"/>
  <c r="Z89" i="15"/>
  <c r="AL90" i="15"/>
  <c r="AM90" i="15"/>
  <c r="Y90" i="15"/>
  <c r="Z90" i="15"/>
  <c r="AL91" i="15"/>
  <c r="AM91" i="15"/>
  <c r="Y91" i="15"/>
  <c r="Z91" i="15"/>
  <c r="AL92" i="15"/>
  <c r="AM92" i="15"/>
  <c r="Y92" i="15"/>
  <c r="Z92" i="15"/>
  <c r="AL93" i="15"/>
  <c r="AM93" i="15"/>
  <c r="Y93" i="15"/>
  <c r="Z93" i="15"/>
  <c r="AL94" i="15"/>
  <c r="AM94" i="15"/>
  <c r="Y94" i="15"/>
  <c r="Z94" i="15"/>
  <c r="AL95" i="15"/>
  <c r="AM95" i="15"/>
  <c r="Y95" i="15"/>
  <c r="Z95" i="15"/>
  <c r="AL96" i="15"/>
  <c r="AM96" i="15"/>
  <c r="Y96" i="15"/>
  <c r="Z96" i="15"/>
  <c r="AL97" i="15"/>
  <c r="AM97" i="15"/>
  <c r="Y97" i="15"/>
  <c r="Z97" i="15"/>
  <c r="AL98" i="15"/>
  <c r="AM98" i="15"/>
  <c r="Y98" i="15"/>
  <c r="Z98" i="15"/>
  <c r="AL99" i="15"/>
  <c r="AM99" i="15"/>
  <c r="Y99" i="15"/>
  <c r="Z99" i="15"/>
  <c r="AL100" i="15"/>
  <c r="AM100" i="15"/>
  <c r="Y100" i="15"/>
  <c r="Z100" i="15"/>
  <c r="AL101" i="15"/>
  <c r="AM101" i="15"/>
  <c r="Y101" i="15"/>
  <c r="Z101" i="15"/>
  <c r="AL102" i="15"/>
  <c r="AM102" i="15"/>
  <c r="Y102" i="15"/>
  <c r="Z102" i="15"/>
  <c r="AL103" i="15"/>
  <c r="AM103" i="15"/>
  <c r="Y103" i="15"/>
  <c r="Z103" i="15"/>
  <c r="AL104" i="15"/>
  <c r="AM104" i="15"/>
  <c r="Y104" i="15"/>
  <c r="Z104" i="15"/>
  <c r="AL105" i="15"/>
  <c r="AM105" i="15"/>
  <c r="Y105" i="15"/>
  <c r="Z105" i="15"/>
  <c r="AL106" i="15"/>
  <c r="AM106" i="15"/>
  <c r="Y106" i="15"/>
  <c r="Z106" i="15"/>
  <c r="AL107" i="15"/>
  <c r="AM107" i="15"/>
  <c r="Y107" i="15"/>
  <c r="Z107" i="15"/>
  <c r="AL108" i="15"/>
  <c r="AM108" i="15"/>
  <c r="Y108" i="15"/>
  <c r="Z108" i="15"/>
  <c r="AL109" i="15"/>
  <c r="AM109" i="15"/>
  <c r="Y109" i="15"/>
  <c r="Z109" i="15"/>
  <c r="AL110" i="15"/>
  <c r="AM110" i="15"/>
  <c r="Y110" i="15"/>
  <c r="Z110" i="15"/>
  <c r="AL111" i="15"/>
  <c r="AM111" i="15"/>
  <c r="Y111" i="15"/>
  <c r="Z111" i="15"/>
  <c r="AL112" i="15"/>
  <c r="AM112" i="15"/>
  <c r="Y112" i="15"/>
  <c r="Z112" i="15"/>
  <c r="AL113" i="15"/>
  <c r="AM113" i="15"/>
  <c r="Y113" i="15"/>
  <c r="Z113" i="15"/>
  <c r="AL114" i="15"/>
  <c r="AM114" i="15"/>
  <c r="Y114" i="15"/>
  <c r="Z114" i="15"/>
  <c r="AL115" i="15"/>
  <c r="AM115" i="15"/>
  <c r="Y115" i="15"/>
  <c r="Z115" i="15"/>
  <c r="AL116" i="15"/>
  <c r="AM116" i="15"/>
  <c r="Y116" i="15"/>
  <c r="Z116" i="15"/>
  <c r="AL117" i="15"/>
  <c r="AM117" i="15"/>
  <c r="Y117" i="15"/>
  <c r="Z117" i="15"/>
  <c r="AL118" i="15"/>
  <c r="AM118" i="15"/>
  <c r="Y118" i="15"/>
  <c r="Z118" i="15"/>
  <c r="AL119" i="15"/>
  <c r="AM119" i="15"/>
  <c r="Y119" i="15"/>
  <c r="Z119" i="15"/>
  <c r="AL120" i="15"/>
  <c r="AM120" i="15"/>
  <c r="Y120" i="15"/>
  <c r="Z120" i="15"/>
  <c r="AL121" i="15"/>
  <c r="AM121" i="15"/>
  <c r="Y121" i="15"/>
  <c r="Z121" i="15"/>
  <c r="AL122" i="15"/>
  <c r="AM122" i="15"/>
  <c r="Y122" i="15"/>
  <c r="Z122" i="15"/>
  <c r="AL123" i="15"/>
  <c r="AM123" i="15"/>
  <c r="Y123" i="15"/>
  <c r="Z123" i="15"/>
  <c r="AL124" i="15"/>
  <c r="AM124" i="15"/>
  <c r="Y124" i="15"/>
  <c r="Z124" i="15"/>
  <c r="AL125" i="15"/>
  <c r="AM125" i="15"/>
  <c r="Y125" i="15"/>
  <c r="Z125" i="15"/>
  <c r="AL126" i="15"/>
  <c r="AM126" i="15"/>
  <c r="Y126" i="15"/>
  <c r="Z126" i="15"/>
  <c r="AL127" i="15"/>
  <c r="AM127" i="15"/>
  <c r="Y127" i="15"/>
  <c r="Z127" i="15"/>
  <c r="AL128" i="15"/>
  <c r="AM128" i="15"/>
  <c r="Y128" i="15"/>
  <c r="Z128" i="15"/>
  <c r="AL129" i="15"/>
  <c r="AM129" i="15"/>
  <c r="Y129" i="15"/>
  <c r="Z129" i="15"/>
  <c r="AL130" i="15"/>
  <c r="AM130" i="15"/>
  <c r="Y130" i="15"/>
  <c r="Z130" i="15"/>
  <c r="AL131" i="15"/>
  <c r="AM131" i="15"/>
  <c r="Y131" i="15"/>
  <c r="Z131" i="15"/>
  <c r="AL132" i="15"/>
  <c r="AM132" i="15"/>
  <c r="Y132" i="15"/>
  <c r="Z132" i="15"/>
  <c r="AL133" i="15"/>
  <c r="AM133" i="15"/>
  <c r="Y133" i="15"/>
  <c r="Z133" i="15"/>
  <c r="AL134" i="15"/>
  <c r="AM134" i="15"/>
  <c r="Y134" i="15"/>
  <c r="Z134" i="15"/>
  <c r="AL135" i="15"/>
  <c r="AM135" i="15"/>
  <c r="Y135" i="15"/>
  <c r="Z135" i="15"/>
  <c r="AL136" i="15"/>
  <c r="AM136" i="15"/>
  <c r="Y136" i="15"/>
  <c r="Z136" i="15"/>
  <c r="AL137" i="15"/>
  <c r="AM137" i="15"/>
  <c r="Y137" i="15"/>
  <c r="Z137" i="15"/>
  <c r="AL138" i="15"/>
  <c r="AM138" i="15"/>
  <c r="Y138" i="15"/>
  <c r="Z138" i="15"/>
  <c r="AL139" i="15"/>
  <c r="AM139" i="15"/>
  <c r="Y139" i="15"/>
  <c r="Z139" i="15"/>
  <c r="AL140" i="15"/>
  <c r="AM140" i="15"/>
  <c r="Y140" i="15"/>
  <c r="Z140" i="15"/>
  <c r="AL141" i="15"/>
  <c r="AM141" i="15"/>
  <c r="Y141" i="15"/>
  <c r="Z141" i="15"/>
  <c r="AL142" i="15"/>
  <c r="AM142" i="15"/>
  <c r="Y142" i="15"/>
  <c r="Z142" i="15"/>
  <c r="AL143" i="15"/>
  <c r="AM143" i="15"/>
  <c r="Y143" i="15"/>
  <c r="Z143" i="15"/>
  <c r="AL144" i="15"/>
  <c r="AM144" i="15"/>
  <c r="Y144" i="15"/>
  <c r="Z144" i="15"/>
  <c r="AL145" i="15"/>
  <c r="AM145" i="15"/>
  <c r="Y145" i="15"/>
  <c r="Z145" i="15"/>
  <c r="AL146" i="15"/>
  <c r="AM146" i="15"/>
  <c r="Y146" i="15"/>
  <c r="Z146" i="15"/>
  <c r="AL147" i="15"/>
  <c r="AM147" i="15"/>
  <c r="Y147" i="15"/>
  <c r="Z147" i="15"/>
  <c r="AL148" i="15"/>
  <c r="AM148" i="15"/>
  <c r="Y148" i="15"/>
  <c r="Z148" i="15"/>
  <c r="AL149" i="15"/>
  <c r="AM149" i="15"/>
  <c r="Y149" i="15"/>
  <c r="Z149" i="15"/>
  <c r="AL150" i="15"/>
  <c r="AM150" i="15"/>
  <c r="Y150" i="15"/>
  <c r="Z150" i="15"/>
  <c r="AL151" i="15"/>
  <c r="AM151" i="15"/>
  <c r="Y151" i="15"/>
  <c r="Z151" i="15"/>
  <c r="AL152" i="15"/>
  <c r="AM152" i="15"/>
  <c r="Y152" i="15"/>
  <c r="Z152" i="15"/>
  <c r="AL153" i="15"/>
  <c r="AM153" i="15"/>
  <c r="Y153" i="15"/>
  <c r="Z153" i="15"/>
  <c r="AL154" i="15"/>
  <c r="AM154" i="15"/>
  <c r="Y154" i="15"/>
  <c r="Z154" i="15"/>
  <c r="AL155" i="15"/>
  <c r="AM155" i="15"/>
  <c r="Y155" i="15"/>
  <c r="Z155" i="15"/>
  <c r="AL156" i="15"/>
  <c r="AM156" i="15"/>
  <c r="Y156" i="15"/>
  <c r="Z156" i="15"/>
  <c r="AL157" i="15"/>
  <c r="AM157" i="15"/>
  <c r="Y157" i="15"/>
  <c r="Z157" i="15"/>
  <c r="AL158" i="15"/>
  <c r="AM158" i="15"/>
  <c r="Y158" i="15"/>
  <c r="Z158" i="15"/>
  <c r="AL159" i="15"/>
  <c r="AM159" i="15"/>
  <c r="Y159" i="15"/>
  <c r="Z159" i="15"/>
  <c r="AL160" i="15"/>
  <c r="AM160" i="15"/>
  <c r="Y160" i="15"/>
  <c r="Z160" i="15"/>
  <c r="AL161" i="15"/>
  <c r="AM161" i="15"/>
  <c r="Y161" i="15"/>
  <c r="Z161" i="15"/>
  <c r="AL162" i="15"/>
  <c r="AM162" i="15"/>
  <c r="Y162" i="15"/>
  <c r="Z162" i="15"/>
  <c r="AL163" i="15"/>
  <c r="AM163" i="15"/>
  <c r="Y163" i="15"/>
  <c r="Z163" i="15"/>
  <c r="AL164" i="15"/>
  <c r="AM164" i="15"/>
  <c r="Y164" i="15"/>
  <c r="Z164" i="15"/>
  <c r="AL165" i="15"/>
  <c r="AM165" i="15"/>
  <c r="Y165" i="15"/>
  <c r="Z165" i="15"/>
  <c r="AL166" i="15"/>
  <c r="AM166" i="15"/>
  <c r="Y166" i="15"/>
  <c r="Z166" i="15"/>
  <c r="AL167" i="15"/>
  <c r="AM167" i="15"/>
  <c r="Y167" i="15"/>
  <c r="Z167" i="15"/>
  <c r="AL168" i="15"/>
  <c r="AM168" i="15"/>
  <c r="Y168" i="15"/>
  <c r="Z168" i="15"/>
  <c r="AL169" i="15"/>
  <c r="AM169" i="15"/>
  <c r="Y169" i="15"/>
  <c r="Z169" i="15"/>
  <c r="AL170" i="15"/>
  <c r="AM170" i="15"/>
  <c r="Y170" i="15"/>
  <c r="Z170" i="15"/>
  <c r="AL171" i="15"/>
  <c r="AM171" i="15"/>
  <c r="Y171" i="15"/>
  <c r="Z171" i="15"/>
  <c r="AL172" i="15"/>
  <c r="AM172" i="15"/>
  <c r="Y172" i="15"/>
  <c r="Z172" i="15"/>
  <c r="AL173" i="15"/>
  <c r="AM173" i="15"/>
  <c r="Y173" i="15"/>
  <c r="Z173" i="15"/>
  <c r="AL174" i="15"/>
  <c r="AM174" i="15"/>
  <c r="Y174" i="15"/>
  <c r="Z174" i="15"/>
  <c r="AL175" i="15"/>
  <c r="AM175" i="15"/>
  <c r="Y175" i="15"/>
  <c r="Z175" i="15"/>
  <c r="AL176" i="15"/>
  <c r="AM176" i="15"/>
  <c r="Y176" i="15"/>
  <c r="Z176" i="15"/>
  <c r="AL177" i="15"/>
  <c r="AM177" i="15"/>
  <c r="Y177" i="15"/>
  <c r="Z177" i="15"/>
  <c r="AL178" i="15"/>
  <c r="AM178" i="15"/>
  <c r="Y178" i="15"/>
  <c r="Z178" i="15"/>
  <c r="AL179" i="15"/>
  <c r="AM179" i="15"/>
  <c r="Y179" i="15"/>
  <c r="Z179" i="15"/>
  <c r="AL180" i="15"/>
  <c r="AM180" i="15"/>
  <c r="Y180" i="15"/>
  <c r="Z180" i="15"/>
  <c r="AL181" i="15"/>
  <c r="AM181" i="15"/>
  <c r="Y181" i="15"/>
  <c r="Z181" i="15"/>
  <c r="AL182" i="15"/>
  <c r="AM182" i="15"/>
  <c r="Y182" i="15"/>
  <c r="Z182" i="15"/>
  <c r="AL183" i="15"/>
  <c r="AM183" i="15"/>
  <c r="Y183" i="15"/>
  <c r="Z183" i="15"/>
  <c r="AL184" i="15"/>
  <c r="AM184" i="15"/>
  <c r="Y184" i="15"/>
  <c r="Z184" i="15"/>
  <c r="AL185" i="15"/>
  <c r="AM185" i="15"/>
  <c r="Y185" i="15"/>
  <c r="Z185" i="15"/>
  <c r="AL186" i="15"/>
  <c r="AM186" i="15"/>
  <c r="Y186" i="15"/>
  <c r="Z186" i="15"/>
  <c r="AL187" i="15"/>
  <c r="AM187" i="15"/>
  <c r="Y187" i="15"/>
  <c r="Z187" i="15"/>
  <c r="AL188" i="15"/>
  <c r="AM188" i="15"/>
  <c r="Y188" i="15"/>
  <c r="Z188" i="15"/>
  <c r="AL189" i="15"/>
  <c r="AM189" i="15"/>
  <c r="Y189" i="15"/>
  <c r="Z189" i="15"/>
  <c r="AL190" i="15"/>
  <c r="AM190" i="15"/>
  <c r="Y190" i="15"/>
  <c r="Z190" i="15"/>
  <c r="AL191" i="15"/>
  <c r="AM191" i="15"/>
  <c r="Y191" i="15"/>
  <c r="Z191" i="15"/>
  <c r="AL192" i="15"/>
  <c r="AM192" i="15"/>
  <c r="Y192" i="15"/>
  <c r="Z192" i="15"/>
  <c r="AL193" i="15"/>
  <c r="AM193" i="15"/>
  <c r="Y193" i="15"/>
  <c r="Z193" i="15"/>
  <c r="AL194" i="15"/>
  <c r="AM194" i="15"/>
  <c r="Y194" i="15"/>
  <c r="Z194" i="15"/>
  <c r="AL195" i="15"/>
  <c r="AM195" i="15"/>
  <c r="Y195" i="15"/>
  <c r="Z195" i="15"/>
  <c r="AL196" i="15"/>
  <c r="AM196" i="15"/>
  <c r="Y196" i="15"/>
  <c r="Z196" i="15"/>
  <c r="AL197" i="15"/>
  <c r="AM197" i="15"/>
  <c r="Y197" i="15"/>
  <c r="Z197" i="15"/>
  <c r="AL198" i="15"/>
  <c r="AM198" i="15"/>
  <c r="Y198" i="15"/>
  <c r="Z198" i="15"/>
  <c r="AL199" i="15"/>
  <c r="AM199" i="15"/>
  <c r="Y199" i="15"/>
  <c r="Z199" i="15"/>
  <c r="AL200" i="15"/>
  <c r="AM200" i="15"/>
  <c r="Y200" i="15"/>
  <c r="Z200" i="15"/>
  <c r="AL201" i="15"/>
  <c r="AM201" i="15"/>
  <c r="Y201" i="15"/>
  <c r="Z201" i="15"/>
  <c r="AL202" i="15"/>
  <c r="AM202" i="15"/>
  <c r="Y202" i="15"/>
  <c r="Z202" i="15"/>
  <c r="AL203" i="15"/>
  <c r="AM203" i="15"/>
  <c r="Y203" i="15"/>
  <c r="Z203" i="15"/>
  <c r="AL204" i="15"/>
  <c r="AM204" i="15"/>
  <c r="Y204" i="15"/>
  <c r="Z204" i="15"/>
  <c r="AL205" i="15"/>
  <c r="AM205" i="15"/>
  <c r="Y205" i="15"/>
  <c r="Z205" i="15"/>
  <c r="AL6" i="15"/>
  <c r="AM6" i="15"/>
  <c r="Y6" i="15"/>
  <c r="Z6" i="15"/>
  <c r="AC5" i="15"/>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B2" i="3"/>
  <c r="C501" i="4"/>
  <c r="D501" i="4"/>
  <c r="E501" i="4"/>
  <c r="F501" i="4"/>
  <c r="G501" i="4"/>
  <c r="H501" i="4"/>
  <c r="J501" i="4"/>
  <c r="K501" i="4"/>
  <c r="L501" i="4"/>
  <c r="M501" i="4"/>
  <c r="N501" i="4"/>
  <c r="P501" i="4"/>
  <c r="C502" i="4"/>
  <c r="D502" i="4"/>
  <c r="E502" i="4"/>
  <c r="F502" i="4"/>
  <c r="G502" i="4"/>
  <c r="H502" i="4"/>
  <c r="J502" i="4"/>
  <c r="K502" i="4"/>
  <c r="L502" i="4"/>
  <c r="M502" i="4"/>
  <c r="N502" i="4"/>
  <c r="P502" i="4"/>
  <c r="C503" i="4"/>
  <c r="D503" i="4"/>
  <c r="E503" i="4"/>
  <c r="F503" i="4"/>
  <c r="G503" i="4"/>
  <c r="H503" i="4"/>
  <c r="J503" i="4"/>
  <c r="K503" i="4"/>
  <c r="L503" i="4"/>
  <c r="M503" i="4"/>
  <c r="N503" i="4"/>
  <c r="P503" i="4"/>
  <c r="C504" i="4"/>
  <c r="D504" i="4"/>
  <c r="E504" i="4"/>
  <c r="F504" i="4"/>
  <c r="G504" i="4"/>
  <c r="H504" i="4"/>
  <c r="J504" i="4"/>
  <c r="K504" i="4"/>
  <c r="L504" i="4"/>
  <c r="M504" i="4"/>
  <c r="N504" i="4"/>
  <c r="P504" i="4"/>
  <c r="C505" i="4"/>
  <c r="D505" i="4"/>
  <c r="E505" i="4"/>
  <c r="F505" i="4"/>
  <c r="G505" i="4"/>
  <c r="H505" i="4"/>
  <c r="J505" i="4"/>
  <c r="K505" i="4"/>
  <c r="L505" i="4"/>
  <c r="M505" i="4"/>
  <c r="N505" i="4"/>
  <c r="P505" i="4"/>
  <c r="C506" i="4"/>
  <c r="D506" i="4"/>
  <c r="E506" i="4"/>
  <c r="F506" i="4"/>
  <c r="G506" i="4"/>
  <c r="H506" i="4"/>
  <c r="J506" i="4"/>
  <c r="K506" i="4"/>
  <c r="L506" i="4"/>
  <c r="M506" i="4"/>
  <c r="N506" i="4"/>
  <c r="P506" i="4"/>
  <c r="C507" i="4"/>
  <c r="D507" i="4"/>
  <c r="E507" i="4"/>
  <c r="F507" i="4"/>
  <c r="G507" i="4"/>
  <c r="H507" i="4"/>
  <c r="J507" i="4"/>
  <c r="K507" i="4"/>
  <c r="L507" i="4"/>
  <c r="M507" i="4"/>
  <c r="N507" i="4"/>
  <c r="P507" i="4"/>
  <c r="C508" i="4"/>
  <c r="D508" i="4"/>
  <c r="E508" i="4"/>
  <c r="F508" i="4"/>
  <c r="G508" i="4"/>
  <c r="H508" i="4"/>
  <c r="J508" i="4"/>
  <c r="K508" i="4"/>
  <c r="L508" i="4"/>
  <c r="M508" i="4"/>
  <c r="N508" i="4"/>
  <c r="P508" i="4"/>
  <c r="C509" i="4"/>
  <c r="D509" i="4"/>
  <c r="E509" i="4"/>
  <c r="F509" i="4"/>
  <c r="G509" i="4"/>
  <c r="H509" i="4"/>
  <c r="J509" i="4"/>
  <c r="K509" i="4"/>
  <c r="L509" i="4"/>
  <c r="M509" i="4"/>
  <c r="N509" i="4"/>
  <c r="P509" i="4"/>
  <c r="C510" i="4"/>
  <c r="D510" i="4"/>
  <c r="E510" i="4"/>
  <c r="F510" i="4"/>
  <c r="G510" i="4"/>
  <c r="H510" i="4"/>
  <c r="J510" i="4"/>
  <c r="K510" i="4"/>
  <c r="L510" i="4"/>
  <c r="M510" i="4"/>
  <c r="N510" i="4"/>
  <c r="P510" i="4"/>
  <c r="C511" i="4"/>
  <c r="D511" i="4"/>
  <c r="E511" i="4"/>
  <c r="F511" i="4"/>
  <c r="G511" i="4"/>
  <c r="H511" i="4"/>
  <c r="J511" i="4"/>
  <c r="K511" i="4"/>
  <c r="L511" i="4"/>
  <c r="M511" i="4"/>
  <c r="N511" i="4"/>
  <c r="P511" i="4"/>
  <c r="C512" i="4"/>
  <c r="D512" i="4"/>
  <c r="E512" i="4"/>
  <c r="F512" i="4"/>
  <c r="G512" i="4"/>
  <c r="H512" i="4"/>
  <c r="J512" i="4"/>
  <c r="K512" i="4"/>
  <c r="L512" i="4"/>
  <c r="M512" i="4"/>
  <c r="N512" i="4"/>
  <c r="P512" i="4"/>
  <c r="C513" i="4"/>
  <c r="D513" i="4"/>
  <c r="E513" i="4"/>
  <c r="F513" i="4"/>
  <c r="G513" i="4"/>
  <c r="H513" i="4"/>
  <c r="J513" i="4"/>
  <c r="K513" i="4"/>
  <c r="L513" i="4"/>
  <c r="M513" i="4"/>
  <c r="N513" i="4"/>
  <c r="P513" i="4"/>
  <c r="C514" i="4"/>
  <c r="D514" i="4"/>
  <c r="E514" i="4"/>
  <c r="F514" i="4"/>
  <c r="G514" i="4"/>
  <c r="H514" i="4"/>
  <c r="J514" i="4"/>
  <c r="K514" i="4"/>
  <c r="L514" i="4"/>
  <c r="M514" i="4"/>
  <c r="N514" i="4"/>
  <c r="P514" i="4"/>
  <c r="C515" i="4"/>
  <c r="D515" i="4"/>
  <c r="E515" i="4"/>
  <c r="F515" i="4"/>
  <c r="G515" i="4"/>
  <c r="H515" i="4"/>
  <c r="J515" i="4"/>
  <c r="K515" i="4"/>
  <c r="L515" i="4"/>
  <c r="M515" i="4"/>
  <c r="N515" i="4"/>
  <c r="P515" i="4"/>
  <c r="C516" i="4"/>
  <c r="D516" i="4"/>
  <c r="E516" i="4"/>
  <c r="F516" i="4"/>
  <c r="G516" i="4"/>
  <c r="H516" i="4"/>
  <c r="J516" i="4"/>
  <c r="K516" i="4"/>
  <c r="L516" i="4"/>
  <c r="M516" i="4"/>
  <c r="N516" i="4"/>
  <c r="P516" i="4"/>
  <c r="C517" i="4"/>
  <c r="D517" i="4"/>
  <c r="E517" i="4"/>
  <c r="F517" i="4"/>
  <c r="G517" i="4"/>
  <c r="H517" i="4"/>
  <c r="J517" i="4"/>
  <c r="K517" i="4"/>
  <c r="L517" i="4"/>
  <c r="M517" i="4"/>
  <c r="N517" i="4"/>
  <c r="P517" i="4"/>
  <c r="C518" i="4"/>
  <c r="D518" i="4"/>
  <c r="E518" i="4"/>
  <c r="F518" i="4"/>
  <c r="G518" i="4"/>
  <c r="H518" i="4"/>
  <c r="J518" i="4"/>
  <c r="K518" i="4"/>
  <c r="L518" i="4"/>
  <c r="M518" i="4"/>
  <c r="N518" i="4"/>
  <c r="P518" i="4"/>
  <c r="C519" i="4"/>
  <c r="D519" i="4"/>
  <c r="E519" i="4"/>
  <c r="F519" i="4"/>
  <c r="G519" i="4"/>
  <c r="H519" i="4"/>
  <c r="J519" i="4"/>
  <c r="K519" i="4"/>
  <c r="L519" i="4"/>
  <c r="M519" i="4"/>
  <c r="N519" i="4"/>
  <c r="P519" i="4"/>
  <c r="C520" i="4"/>
  <c r="D520" i="4"/>
  <c r="E520" i="4"/>
  <c r="F520" i="4"/>
  <c r="G520" i="4"/>
  <c r="H520" i="4"/>
  <c r="J520" i="4"/>
  <c r="K520" i="4"/>
  <c r="L520" i="4"/>
  <c r="M520" i="4"/>
  <c r="N520" i="4"/>
  <c r="P520" i="4"/>
  <c r="C521" i="4"/>
  <c r="D521" i="4"/>
  <c r="E521" i="4"/>
  <c r="F521" i="4"/>
  <c r="G521" i="4"/>
  <c r="H521" i="4"/>
  <c r="J521" i="4"/>
  <c r="K521" i="4"/>
  <c r="L521" i="4"/>
  <c r="M521" i="4"/>
  <c r="N521" i="4"/>
  <c r="P521" i="4"/>
  <c r="C522" i="4"/>
  <c r="D522" i="4"/>
  <c r="E522" i="4"/>
  <c r="F522" i="4"/>
  <c r="G522" i="4"/>
  <c r="H522" i="4"/>
  <c r="J522" i="4"/>
  <c r="K522" i="4"/>
  <c r="L522" i="4"/>
  <c r="M522" i="4"/>
  <c r="N522" i="4"/>
  <c r="P522" i="4"/>
  <c r="C523" i="4"/>
  <c r="D523" i="4"/>
  <c r="E523" i="4"/>
  <c r="F523" i="4"/>
  <c r="G523" i="4"/>
  <c r="H523" i="4"/>
  <c r="J523" i="4"/>
  <c r="K523" i="4"/>
  <c r="L523" i="4"/>
  <c r="M523" i="4"/>
  <c r="N523" i="4"/>
  <c r="P523" i="4"/>
  <c r="C524" i="4"/>
  <c r="D524" i="4"/>
  <c r="E524" i="4"/>
  <c r="F524" i="4"/>
  <c r="G524" i="4"/>
  <c r="H524" i="4"/>
  <c r="J524" i="4"/>
  <c r="K524" i="4"/>
  <c r="L524" i="4"/>
  <c r="M524" i="4"/>
  <c r="N524" i="4"/>
  <c r="P524" i="4"/>
  <c r="C525" i="4"/>
  <c r="D525" i="4"/>
  <c r="E525" i="4"/>
  <c r="F525" i="4"/>
  <c r="G525" i="4"/>
  <c r="H525" i="4"/>
  <c r="J525" i="4"/>
  <c r="K525" i="4"/>
  <c r="L525" i="4"/>
  <c r="M525" i="4"/>
  <c r="N525" i="4"/>
  <c r="P525" i="4"/>
  <c r="C526" i="4"/>
  <c r="D526" i="4"/>
  <c r="E526" i="4"/>
  <c r="F526" i="4"/>
  <c r="G526" i="4"/>
  <c r="H526" i="4"/>
  <c r="J526" i="4"/>
  <c r="K526" i="4"/>
  <c r="L526" i="4"/>
  <c r="M526" i="4"/>
  <c r="N526" i="4"/>
  <c r="P526" i="4"/>
  <c r="C527" i="4"/>
  <c r="D527" i="4"/>
  <c r="E527" i="4"/>
  <c r="F527" i="4"/>
  <c r="G527" i="4"/>
  <c r="H527" i="4"/>
  <c r="J527" i="4"/>
  <c r="K527" i="4"/>
  <c r="L527" i="4"/>
  <c r="M527" i="4"/>
  <c r="N527" i="4"/>
  <c r="P527" i="4"/>
  <c r="C528" i="4"/>
  <c r="D528" i="4"/>
  <c r="E528" i="4"/>
  <c r="F528" i="4"/>
  <c r="G528" i="4"/>
  <c r="H528" i="4"/>
  <c r="J528" i="4"/>
  <c r="K528" i="4"/>
  <c r="L528" i="4"/>
  <c r="M528" i="4"/>
  <c r="N528" i="4"/>
  <c r="P528" i="4"/>
  <c r="C529" i="4"/>
  <c r="D529" i="4"/>
  <c r="E529" i="4"/>
  <c r="F529" i="4"/>
  <c r="G529" i="4"/>
  <c r="H529" i="4"/>
  <c r="J529" i="4"/>
  <c r="K529" i="4"/>
  <c r="L529" i="4"/>
  <c r="M529" i="4"/>
  <c r="N529" i="4"/>
  <c r="P529" i="4"/>
  <c r="C530" i="4"/>
  <c r="D530" i="4"/>
  <c r="E530" i="4"/>
  <c r="F530" i="4"/>
  <c r="G530" i="4"/>
  <c r="H530" i="4"/>
  <c r="J530" i="4"/>
  <c r="K530" i="4"/>
  <c r="L530" i="4"/>
  <c r="M530" i="4"/>
  <c r="N530" i="4"/>
  <c r="P530" i="4"/>
  <c r="C531" i="4"/>
  <c r="D531" i="4"/>
  <c r="E531" i="4"/>
  <c r="F531" i="4"/>
  <c r="G531" i="4"/>
  <c r="H531" i="4"/>
  <c r="J531" i="4"/>
  <c r="K531" i="4"/>
  <c r="L531" i="4"/>
  <c r="M531" i="4"/>
  <c r="N531" i="4"/>
  <c r="P531" i="4"/>
  <c r="C532" i="4"/>
  <c r="D532" i="4"/>
  <c r="E532" i="4"/>
  <c r="F532" i="4"/>
  <c r="G532" i="4"/>
  <c r="H532" i="4"/>
  <c r="J532" i="4"/>
  <c r="K532" i="4"/>
  <c r="L532" i="4"/>
  <c r="M532" i="4"/>
  <c r="N532" i="4"/>
  <c r="P532" i="4"/>
  <c r="C533" i="4"/>
  <c r="D533" i="4"/>
  <c r="E533" i="4"/>
  <c r="F533" i="4"/>
  <c r="G533" i="4"/>
  <c r="H533" i="4"/>
  <c r="J533" i="4"/>
  <c r="K533" i="4"/>
  <c r="L533" i="4"/>
  <c r="M533" i="4"/>
  <c r="N533" i="4"/>
  <c r="P533" i="4"/>
  <c r="C534" i="4"/>
  <c r="D534" i="4"/>
  <c r="E534" i="4"/>
  <c r="F534" i="4"/>
  <c r="G534" i="4"/>
  <c r="H534" i="4"/>
  <c r="J534" i="4"/>
  <c r="K534" i="4"/>
  <c r="L534" i="4"/>
  <c r="M534" i="4"/>
  <c r="N534" i="4"/>
  <c r="P534" i="4"/>
  <c r="C535" i="4"/>
  <c r="D535" i="4"/>
  <c r="E535" i="4"/>
  <c r="F535" i="4"/>
  <c r="G535" i="4"/>
  <c r="H535" i="4"/>
  <c r="J535" i="4"/>
  <c r="K535" i="4"/>
  <c r="L535" i="4"/>
  <c r="M535" i="4"/>
  <c r="N535" i="4"/>
  <c r="P535" i="4"/>
  <c r="C536" i="4"/>
  <c r="D536" i="4"/>
  <c r="E536" i="4"/>
  <c r="F536" i="4"/>
  <c r="G536" i="4"/>
  <c r="H536" i="4"/>
  <c r="J536" i="4"/>
  <c r="K536" i="4"/>
  <c r="L536" i="4"/>
  <c r="M536" i="4"/>
  <c r="N536" i="4"/>
  <c r="P536" i="4"/>
  <c r="C537" i="4"/>
  <c r="D537" i="4"/>
  <c r="E537" i="4"/>
  <c r="F537" i="4"/>
  <c r="G537" i="4"/>
  <c r="H537" i="4"/>
  <c r="J537" i="4"/>
  <c r="K537" i="4"/>
  <c r="L537" i="4"/>
  <c r="M537" i="4"/>
  <c r="N537" i="4"/>
  <c r="P537" i="4"/>
  <c r="C538" i="4"/>
  <c r="D538" i="4"/>
  <c r="E538" i="4"/>
  <c r="F538" i="4"/>
  <c r="G538" i="4"/>
  <c r="H538" i="4"/>
  <c r="J538" i="4"/>
  <c r="K538" i="4"/>
  <c r="L538" i="4"/>
  <c r="M538" i="4"/>
  <c r="N538" i="4"/>
  <c r="P538" i="4"/>
  <c r="C539" i="4"/>
  <c r="D539" i="4"/>
  <c r="E539" i="4"/>
  <c r="F539" i="4"/>
  <c r="G539" i="4"/>
  <c r="H539" i="4"/>
  <c r="J539" i="4"/>
  <c r="K539" i="4"/>
  <c r="L539" i="4"/>
  <c r="M539" i="4"/>
  <c r="N539" i="4"/>
  <c r="P539" i="4"/>
  <c r="C540" i="4"/>
  <c r="D540" i="4"/>
  <c r="E540" i="4"/>
  <c r="F540" i="4"/>
  <c r="G540" i="4"/>
  <c r="H540" i="4"/>
  <c r="J540" i="4"/>
  <c r="K540" i="4"/>
  <c r="L540" i="4"/>
  <c r="M540" i="4"/>
  <c r="N540" i="4"/>
  <c r="P540" i="4"/>
  <c r="C541" i="4"/>
  <c r="D541" i="4"/>
  <c r="E541" i="4"/>
  <c r="F541" i="4"/>
  <c r="G541" i="4"/>
  <c r="H541" i="4"/>
  <c r="J541" i="4"/>
  <c r="K541" i="4"/>
  <c r="L541" i="4"/>
  <c r="M541" i="4"/>
  <c r="N541" i="4"/>
  <c r="P541" i="4"/>
  <c r="C542" i="4"/>
  <c r="D542" i="4"/>
  <c r="E542" i="4"/>
  <c r="F542" i="4"/>
  <c r="G542" i="4"/>
  <c r="H542" i="4"/>
  <c r="J542" i="4"/>
  <c r="K542" i="4"/>
  <c r="L542" i="4"/>
  <c r="M542" i="4"/>
  <c r="N542" i="4"/>
  <c r="P542" i="4"/>
  <c r="C543" i="4"/>
  <c r="D543" i="4"/>
  <c r="E543" i="4"/>
  <c r="F543" i="4"/>
  <c r="G543" i="4"/>
  <c r="H543" i="4"/>
  <c r="J543" i="4"/>
  <c r="K543" i="4"/>
  <c r="L543" i="4"/>
  <c r="M543" i="4"/>
  <c r="N543" i="4"/>
  <c r="P543" i="4"/>
  <c r="C544" i="4"/>
  <c r="D544" i="4"/>
  <c r="E544" i="4"/>
  <c r="F544" i="4"/>
  <c r="G544" i="4"/>
  <c r="H544" i="4"/>
  <c r="J544" i="4"/>
  <c r="K544" i="4"/>
  <c r="L544" i="4"/>
  <c r="M544" i="4"/>
  <c r="N544" i="4"/>
  <c r="P544" i="4"/>
  <c r="C545" i="4"/>
  <c r="D545" i="4"/>
  <c r="E545" i="4"/>
  <c r="F545" i="4"/>
  <c r="G545" i="4"/>
  <c r="H545" i="4"/>
  <c r="J545" i="4"/>
  <c r="K545" i="4"/>
  <c r="L545" i="4"/>
  <c r="M545" i="4"/>
  <c r="N545" i="4"/>
  <c r="P545" i="4"/>
  <c r="C546" i="4"/>
  <c r="D546" i="4"/>
  <c r="E546" i="4"/>
  <c r="F546" i="4"/>
  <c r="G546" i="4"/>
  <c r="H546" i="4"/>
  <c r="J546" i="4"/>
  <c r="K546" i="4"/>
  <c r="L546" i="4"/>
  <c r="M546" i="4"/>
  <c r="N546" i="4"/>
  <c r="P546" i="4"/>
  <c r="C547" i="4"/>
  <c r="D547" i="4"/>
  <c r="E547" i="4"/>
  <c r="F547" i="4"/>
  <c r="G547" i="4"/>
  <c r="H547" i="4"/>
  <c r="J547" i="4"/>
  <c r="K547" i="4"/>
  <c r="L547" i="4"/>
  <c r="M547" i="4"/>
  <c r="N547" i="4"/>
  <c r="P547" i="4"/>
  <c r="C548" i="4"/>
  <c r="D548" i="4"/>
  <c r="E548" i="4"/>
  <c r="F548" i="4"/>
  <c r="G548" i="4"/>
  <c r="H548" i="4"/>
  <c r="J548" i="4"/>
  <c r="K548" i="4"/>
  <c r="L548" i="4"/>
  <c r="M548" i="4"/>
  <c r="N548" i="4"/>
  <c r="P548" i="4"/>
  <c r="C549" i="4"/>
  <c r="D549" i="4"/>
  <c r="E549" i="4"/>
  <c r="F549" i="4"/>
  <c r="G549" i="4"/>
  <c r="H549" i="4"/>
  <c r="J549" i="4"/>
  <c r="K549" i="4"/>
  <c r="L549" i="4"/>
  <c r="M549" i="4"/>
  <c r="N549" i="4"/>
  <c r="P549" i="4"/>
  <c r="C550" i="4"/>
  <c r="D550" i="4"/>
  <c r="E550" i="4"/>
  <c r="F550" i="4"/>
  <c r="G550" i="4"/>
  <c r="H550" i="4"/>
  <c r="J550" i="4"/>
  <c r="K550" i="4"/>
  <c r="L550" i="4"/>
  <c r="M550" i="4"/>
  <c r="N550" i="4"/>
  <c r="P550" i="4"/>
  <c r="C551" i="4"/>
  <c r="D551" i="4"/>
  <c r="E551" i="4"/>
  <c r="F551" i="4"/>
  <c r="G551" i="4"/>
  <c r="H551" i="4"/>
  <c r="J551" i="4"/>
  <c r="K551" i="4"/>
  <c r="L551" i="4"/>
  <c r="M551" i="4"/>
  <c r="N551" i="4"/>
  <c r="P551" i="4"/>
  <c r="C552" i="4"/>
  <c r="D552" i="4"/>
  <c r="E552" i="4"/>
  <c r="F552" i="4"/>
  <c r="G552" i="4"/>
  <c r="H552" i="4"/>
  <c r="J552" i="4"/>
  <c r="K552" i="4"/>
  <c r="L552" i="4"/>
  <c r="M552" i="4"/>
  <c r="N552" i="4"/>
  <c r="P552" i="4"/>
  <c r="C553" i="4"/>
  <c r="D553" i="4"/>
  <c r="E553" i="4"/>
  <c r="F553" i="4"/>
  <c r="G553" i="4"/>
  <c r="H553" i="4"/>
  <c r="J553" i="4"/>
  <c r="K553" i="4"/>
  <c r="L553" i="4"/>
  <c r="M553" i="4"/>
  <c r="N553" i="4"/>
  <c r="P553" i="4"/>
  <c r="C554" i="4"/>
  <c r="D554" i="4"/>
  <c r="E554" i="4"/>
  <c r="F554" i="4"/>
  <c r="G554" i="4"/>
  <c r="H554" i="4"/>
  <c r="J554" i="4"/>
  <c r="K554" i="4"/>
  <c r="L554" i="4"/>
  <c r="M554" i="4"/>
  <c r="N554" i="4"/>
  <c r="P554" i="4"/>
  <c r="C555" i="4"/>
  <c r="D555" i="4"/>
  <c r="E555" i="4"/>
  <c r="F555" i="4"/>
  <c r="G555" i="4"/>
  <c r="H555" i="4"/>
  <c r="J555" i="4"/>
  <c r="K555" i="4"/>
  <c r="L555" i="4"/>
  <c r="M555" i="4"/>
  <c r="N555" i="4"/>
  <c r="P555" i="4"/>
  <c r="C556" i="4"/>
  <c r="D556" i="4"/>
  <c r="E556" i="4"/>
  <c r="F556" i="4"/>
  <c r="G556" i="4"/>
  <c r="H556" i="4"/>
  <c r="J556" i="4"/>
  <c r="K556" i="4"/>
  <c r="L556" i="4"/>
  <c r="M556" i="4"/>
  <c r="N556" i="4"/>
  <c r="P556" i="4"/>
  <c r="C557" i="4"/>
  <c r="D557" i="4"/>
  <c r="E557" i="4"/>
  <c r="F557" i="4"/>
  <c r="G557" i="4"/>
  <c r="H557" i="4"/>
  <c r="J557" i="4"/>
  <c r="K557" i="4"/>
  <c r="L557" i="4"/>
  <c r="M557" i="4"/>
  <c r="N557" i="4"/>
  <c r="P557" i="4"/>
  <c r="C558" i="4"/>
  <c r="D558" i="4"/>
  <c r="E558" i="4"/>
  <c r="F558" i="4"/>
  <c r="G558" i="4"/>
  <c r="H558" i="4"/>
  <c r="J558" i="4"/>
  <c r="K558" i="4"/>
  <c r="L558" i="4"/>
  <c r="M558" i="4"/>
  <c r="N558" i="4"/>
  <c r="P558" i="4"/>
  <c r="C559" i="4"/>
  <c r="D559" i="4"/>
  <c r="E559" i="4"/>
  <c r="F559" i="4"/>
  <c r="G559" i="4"/>
  <c r="H559" i="4"/>
  <c r="J559" i="4"/>
  <c r="K559" i="4"/>
  <c r="L559" i="4"/>
  <c r="M559" i="4"/>
  <c r="N559" i="4"/>
  <c r="P559" i="4"/>
  <c r="C560" i="4"/>
  <c r="D560" i="4"/>
  <c r="E560" i="4"/>
  <c r="F560" i="4"/>
  <c r="G560" i="4"/>
  <c r="H560" i="4"/>
  <c r="J560" i="4"/>
  <c r="K560" i="4"/>
  <c r="L560" i="4"/>
  <c r="M560" i="4"/>
  <c r="N560" i="4"/>
  <c r="P560" i="4"/>
  <c r="C561" i="4"/>
  <c r="D561" i="4"/>
  <c r="E561" i="4"/>
  <c r="F561" i="4"/>
  <c r="G561" i="4"/>
  <c r="H561" i="4"/>
  <c r="J561" i="4"/>
  <c r="K561" i="4"/>
  <c r="L561" i="4"/>
  <c r="M561" i="4"/>
  <c r="N561" i="4"/>
  <c r="P561" i="4"/>
  <c r="C562" i="4"/>
  <c r="D562" i="4"/>
  <c r="E562" i="4"/>
  <c r="F562" i="4"/>
  <c r="G562" i="4"/>
  <c r="H562" i="4"/>
  <c r="J562" i="4"/>
  <c r="K562" i="4"/>
  <c r="L562" i="4"/>
  <c r="M562" i="4"/>
  <c r="N562" i="4"/>
  <c r="P562" i="4"/>
  <c r="C563" i="4"/>
  <c r="D563" i="4"/>
  <c r="E563" i="4"/>
  <c r="F563" i="4"/>
  <c r="G563" i="4"/>
  <c r="H563" i="4"/>
  <c r="J563" i="4"/>
  <c r="K563" i="4"/>
  <c r="L563" i="4"/>
  <c r="M563" i="4"/>
  <c r="N563" i="4"/>
  <c r="P563" i="4"/>
  <c r="C564" i="4"/>
  <c r="D564" i="4"/>
  <c r="E564" i="4"/>
  <c r="F564" i="4"/>
  <c r="G564" i="4"/>
  <c r="H564" i="4"/>
  <c r="J564" i="4"/>
  <c r="K564" i="4"/>
  <c r="L564" i="4"/>
  <c r="M564" i="4"/>
  <c r="N564" i="4"/>
  <c r="P564" i="4"/>
  <c r="C565" i="4"/>
  <c r="D565" i="4"/>
  <c r="E565" i="4"/>
  <c r="F565" i="4"/>
  <c r="G565" i="4"/>
  <c r="H565" i="4"/>
  <c r="J565" i="4"/>
  <c r="K565" i="4"/>
  <c r="L565" i="4"/>
  <c r="M565" i="4"/>
  <c r="N565" i="4"/>
  <c r="P565" i="4"/>
  <c r="C566" i="4"/>
  <c r="D566" i="4"/>
  <c r="E566" i="4"/>
  <c r="F566" i="4"/>
  <c r="G566" i="4"/>
  <c r="H566" i="4"/>
  <c r="J566" i="4"/>
  <c r="K566" i="4"/>
  <c r="L566" i="4"/>
  <c r="M566" i="4"/>
  <c r="N566" i="4"/>
  <c r="P566" i="4"/>
  <c r="C567" i="4"/>
  <c r="D567" i="4"/>
  <c r="E567" i="4"/>
  <c r="F567" i="4"/>
  <c r="G567" i="4"/>
  <c r="H567" i="4"/>
  <c r="J567" i="4"/>
  <c r="K567" i="4"/>
  <c r="L567" i="4"/>
  <c r="M567" i="4"/>
  <c r="N567" i="4"/>
  <c r="P567" i="4"/>
  <c r="C568" i="4"/>
  <c r="D568" i="4"/>
  <c r="E568" i="4"/>
  <c r="F568" i="4"/>
  <c r="G568" i="4"/>
  <c r="H568" i="4"/>
  <c r="J568" i="4"/>
  <c r="K568" i="4"/>
  <c r="L568" i="4"/>
  <c r="M568" i="4"/>
  <c r="N568" i="4"/>
  <c r="P568" i="4"/>
  <c r="C569" i="4"/>
  <c r="D569" i="4"/>
  <c r="E569" i="4"/>
  <c r="F569" i="4"/>
  <c r="G569" i="4"/>
  <c r="H569" i="4"/>
  <c r="J569" i="4"/>
  <c r="K569" i="4"/>
  <c r="L569" i="4"/>
  <c r="M569" i="4"/>
  <c r="N569" i="4"/>
  <c r="P569" i="4"/>
  <c r="C570" i="4"/>
  <c r="D570" i="4"/>
  <c r="E570" i="4"/>
  <c r="F570" i="4"/>
  <c r="G570" i="4"/>
  <c r="H570" i="4"/>
  <c r="J570" i="4"/>
  <c r="K570" i="4"/>
  <c r="L570" i="4"/>
  <c r="M570" i="4"/>
  <c r="N570" i="4"/>
  <c r="P570" i="4"/>
  <c r="C571" i="4"/>
  <c r="D571" i="4"/>
  <c r="E571" i="4"/>
  <c r="F571" i="4"/>
  <c r="G571" i="4"/>
  <c r="H571" i="4"/>
  <c r="J571" i="4"/>
  <c r="K571" i="4"/>
  <c r="L571" i="4"/>
  <c r="M571" i="4"/>
  <c r="N571" i="4"/>
  <c r="P571" i="4"/>
  <c r="C572" i="4"/>
  <c r="D572" i="4"/>
  <c r="E572" i="4"/>
  <c r="F572" i="4"/>
  <c r="G572" i="4"/>
  <c r="H572" i="4"/>
  <c r="J572" i="4"/>
  <c r="K572" i="4"/>
  <c r="L572" i="4"/>
  <c r="M572" i="4"/>
  <c r="N572" i="4"/>
  <c r="P572" i="4"/>
  <c r="C573" i="4"/>
  <c r="D573" i="4"/>
  <c r="E573" i="4"/>
  <c r="F573" i="4"/>
  <c r="G573" i="4"/>
  <c r="H573" i="4"/>
  <c r="J573" i="4"/>
  <c r="K573" i="4"/>
  <c r="L573" i="4"/>
  <c r="M573" i="4"/>
  <c r="N573" i="4"/>
  <c r="P573" i="4"/>
  <c r="C574" i="4"/>
  <c r="D574" i="4"/>
  <c r="E574" i="4"/>
  <c r="F574" i="4"/>
  <c r="G574" i="4"/>
  <c r="H574" i="4"/>
  <c r="J574" i="4"/>
  <c r="K574" i="4"/>
  <c r="L574" i="4"/>
  <c r="M574" i="4"/>
  <c r="N574" i="4"/>
  <c r="P574" i="4"/>
  <c r="C575" i="4"/>
  <c r="D575" i="4"/>
  <c r="E575" i="4"/>
  <c r="F575" i="4"/>
  <c r="G575" i="4"/>
  <c r="H575" i="4"/>
  <c r="J575" i="4"/>
  <c r="K575" i="4"/>
  <c r="L575" i="4"/>
  <c r="M575" i="4"/>
  <c r="N575" i="4"/>
  <c r="P575" i="4"/>
  <c r="C576" i="4"/>
  <c r="D576" i="4"/>
  <c r="E576" i="4"/>
  <c r="F576" i="4"/>
  <c r="G576" i="4"/>
  <c r="H576" i="4"/>
  <c r="J576" i="4"/>
  <c r="K576" i="4"/>
  <c r="L576" i="4"/>
  <c r="M576" i="4"/>
  <c r="N576" i="4"/>
  <c r="P576" i="4"/>
  <c r="C577" i="4"/>
  <c r="D577" i="4"/>
  <c r="E577" i="4"/>
  <c r="F577" i="4"/>
  <c r="G577" i="4"/>
  <c r="H577" i="4"/>
  <c r="J577" i="4"/>
  <c r="K577" i="4"/>
  <c r="L577" i="4"/>
  <c r="M577" i="4"/>
  <c r="N577" i="4"/>
  <c r="P577" i="4"/>
  <c r="C578" i="4"/>
  <c r="D578" i="4"/>
  <c r="E578" i="4"/>
  <c r="F578" i="4"/>
  <c r="G578" i="4"/>
  <c r="H578" i="4"/>
  <c r="J578" i="4"/>
  <c r="K578" i="4"/>
  <c r="L578" i="4"/>
  <c r="M578" i="4"/>
  <c r="N578" i="4"/>
  <c r="P578" i="4"/>
  <c r="C579" i="4"/>
  <c r="D579" i="4"/>
  <c r="E579" i="4"/>
  <c r="F579" i="4"/>
  <c r="G579" i="4"/>
  <c r="H579" i="4"/>
  <c r="J579" i="4"/>
  <c r="K579" i="4"/>
  <c r="L579" i="4"/>
  <c r="M579" i="4"/>
  <c r="N579" i="4"/>
  <c r="P579" i="4"/>
  <c r="C580" i="4"/>
  <c r="D580" i="4"/>
  <c r="E580" i="4"/>
  <c r="F580" i="4"/>
  <c r="G580" i="4"/>
  <c r="H580" i="4"/>
  <c r="J580" i="4"/>
  <c r="K580" i="4"/>
  <c r="L580" i="4"/>
  <c r="M580" i="4"/>
  <c r="N580" i="4"/>
  <c r="P580" i="4"/>
  <c r="C581" i="4"/>
  <c r="D581" i="4"/>
  <c r="E581" i="4"/>
  <c r="F581" i="4"/>
  <c r="G581" i="4"/>
  <c r="H581" i="4"/>
  <c r="J581" i="4"/>
  <c r="K581" i="4"/>
  <c r="L581" i="4"/>
  <c r="M581" i="4"/>
  <c r="N581" i="4"/>
  <c r="P581" i="4"/>
  <c r="C582" i="4"/>
  <c r="D582" i="4"/>
  <c r="E582" i="4"/>
  <c r="F582" i="4"/>
  <c r="G582" i="4"/>
  <c r="H582" i="4"/>
  <c r="J582" i="4"/>
  <c r="K582" i="4"/>
  <c r="L582" i="4"/>
  <c r="M582" i="4"/>
  <c r="N582" i="4"/>
  <c r="P582" i="4"/>
  <c r="C583" i="4"/>
  <c r="D583" i="4"/>
  <c r="E583" i="4"/>
  <c r="F583" i="4"/>
  <c r="G583" i="4"/>
  <c r="H583" i="4"/>
  <c r="J583" i="4"/>
  <c r="K583" i="4"/>
  <c r="L583" i="4"/>
  <c r="M583" i="4"/>
  <c r="N583" i="4"/>
  <c r="P583" i="4"/>
  <c r="C584" i="4"/>
  <c r="D584" i="4"/>
  <c r="E584" i="4"/>
  <c r="F584" i="4"/>
  <c r="G584" i="4"/>
  <c r="H584" i="4"/>
  <c r="J584" i="4"/>
  <c r="K584" i="4"/>
  <c r="L584" i="4"/>
  <c r="M584" i="4"/>
  <c r="N584" i="4"/>
  <c r="P584" i="4"/>
  <c r="C585" i="4"/>
  <c r="D585" i="4"/>
  <c r="E585" i="4"/>
  <c r="F585" i="4"/>
  <c r="G585" i="4"/>
  <c r="H585" i="4"/>
  <c r="J585" i="4"/>
  <c r="K585" i="4"/>
  <c r="L585" i="4"/>
  <c r="M585" i="4"/>
  <c r="N585" i="4"/>
  <c r="P585" i="4"/>
  <c r="C586" i="4"/>
  <c r="D586" i="4"/>
  <c r="E586" i="4"/>
  <c r="F586" i="4"/>
  <c r="G586" i="4"/>
  <c r="H586" i="4"/>
  <c r="J586" i="4"/>
  <c r="K586" i="4"/>
  <c r="L586" i="4"/>
  <c r="M586" i="4"/>
  <c r="N586" i="4"/>
  <c r="P586" i="4"/>
  <c r="C587" i="4"/>
  <c r="D587" i="4"/>
  <c r="E587" i="4"/>
  <c r="F587" i="4"/>
  <c r="G587" i="4"/>
  <c r="H587" i="4"/>
  <c r="J587" i="4"/>
  <c r="K587" i="4"/>
  <c r="L587" i="4"/>
  <c r="M587" i="4"/>
  <c r="N587" i="4"/>
  <c r="P587" i="4"/>
  <c r="C588" i="4"/>
  <c r="D588" i="4"/>
  <c r="E588" i="4"/>
  <c r="F588" i="4"/>
  <c r="G588" i="4"/>
  <c r="H588" i="4"/>
  <c r="J588" i="4"/>
  <c r="K588" i="4"/>
  <c r="L588" i="4"/>
  <c r="M588" i="4"/>
  <c r="N588" i="4"/>
  <c r="P588" i="4"/>
  <c r="C589" i="4"/>
  <c r="D589" i="4"/>
  <c r="E589" i="4"/>
  <c r="F589" i="4"/>
  <c r="G589" i="4"/>
  <c r="H589" i="4"/>
  <c r="J589" i="4"/>
  <c r="K589" i="4"/>
  <c r="L589" i="4"/>
  <c r="M589" i="4"/>
  <c r="N589" i="4"/>
  <c r="P589" i="4"/>
  <c r="C590" i="4"/>
  <c r="D590" i="4"/>
  <c r="E590" i="4"/>
  <c r="F590" i="4"/>
  <c r="G590" i="4"/>
  <c r="H590" i="4"/>
  <c r="J590" i="4"/>
  <c r="K590" i="4"/>
  <c r="L590" i="4"/>
  <c r="M590" i="4"/>
  <c r="N590" i="4"/>
  <c r="P590" i="4"/>
  <c r="C591" i="4"/>
  <c r="D591" i="4"/>
  <c r="E591" i="4"/>
  <c r="F591" i="4"/>
  <c r="G591" i="4"/>
  <c r="H591" i="4"/>
  <c r="J591" i="4"/>
  <c r="K591" i="4"/>
  <c r="L591" i="4"/>
  <c r="M591" i="4"/>
  <c r="N591" i="4"/>
  <c r="P591" i="4"/>
  <c r="C592" i="4"/>
  <c r="D592" i="4"/>
  <c r="E592" i="4"/>
  <c r="F592" i="4"/>
  <c r="G592" i="4"/>
  <c r="H592" i="4"/>
  <c r="J592" i="4"/>
  <c r="K592" i="4"/>
  <c r="L592" i="4"/>
  <c r="M592" i="4"/>
  <c r="N592" i="4"/>
  <c r="P592" i="4"/>
  <c r="C593" i="4"/>
  <c r="D593" i="4"/>
  <c r="E593" i="4"/>
  <c r="F593" i="4"/>
  <c r="G593" i="4"/>
  <c r="H593" i="4"/>
  <c r="J593" i="4"/>
  <c r="K593" i="4"/>
  <c r="L593" i="4"/>
  <c r="M593" i="4"/>
  <c r="N593" i="4"/>
  <c r="P593" i="4"/>
  <c r="C594" i="4"/>
  <c r="D594" i="4"/>
  <c r="E594" i="4"/>
  <c r="F594" i="4"/>
  <c r="G594" i="4"/>
  <c r="H594" i="4"/>
  <c r="J594" i="4"/>
  <c r="K594" i="4"/>
  <c r="L594" i="4"/>
  <c r="M594" i="4"/>
  <c r="N594" i="4"/>
  <c r="P594" i="4"/>
  <c r="C595" i="4"/>
  <c r="D595" i="4"/>
  <c r="E595" i="4"/>
  <c r="F595" i="4"/>
  <c r="G595" i="4"/>
  <c r="H595" i="4"/>
  <c r="J595" i="4"/>
  <c r="K595" i="4"/>
  <c r="L595" i="4"/>
  <c r="M595" i="4"/>
  <c r="N595" i="4"/>
  <c r="P595" i="4"/>
  <c r="C596" i="4"/>
  <c r="D596" i="4"/>
  <c r="E596" i="4"/>
  <c r="F596" i="4"/>
  <c r="G596" i="4"/>
  <c r="H596" i="4"/>
  <c r="J596" i="4"/>
  <c r="K596" i="4"/>
  <c r="L596" i="4"/>
  <c r="M596" i="4"/>
  <c r="N596" i="4"/>
  <c r="P596" i="4"/>
  <c r="C597" i="4"/>
  <c r="D597" i="4"/>
  <c r="E597" i="4"/>
  <c r="F597" i="4"/>
  <c r="G597" i="4"/>
  <c r="H597" i="4"/>
  <c r="J597" i="4"/>
  <c r="K597" i="4"/>
  <c r="L597" i="4"/>
  <c r="M597" i="4"/>
  <c r="N597" i="4"/>
  <c r="P597" i="4"/>
  <c r="C598" i="4"/>
  <c r="D598" i="4"/>
  <c r="E598" i="4"/>
  <c r="F598" i="4"/>
  <c r="G598" i="4"/>
  <c r="H598" i="4"/>
  <c r="J598" i="4"/>
  <c r="K598" i="4"/>
  <c r="L598" i="4"/>
  <c r="M598" i="4"/>
  <c r="N598" i="4"/>
  <c r="P598" i="4"/>
  <c r="C599" i="4"/>
  <c r="D599" i="4"/>
  <c r="E599" i="4"/>
  <c r="F599" i="4"/>
  <c r="G599" i="4"/>
  <c r="H599" i="4"/>
  <c r="J599" i="4"/>
  <c r="K599" i="4"/>
  <c r="L599" i="4"/>
  <c r="M599" i="4"/>
  <c r="N599" i="4"/>
  <c r="P599" i="4"/>
  <c r="C600" i="4"/>
  <c r="D600" i="4"/>
  <c r="E600" i="4"/>
  <c r="F600" i="4"/>
  <c r="G600" i="4"/>
  <c r="H600" i="4"/>
  <c r="J600" i="4"/>
  <c r="K600" i="4"/>
  <c r="L600" i="4"/>
  <c r="M600" i="4"/>
  <c r="N600" i="4"/>
  <c r="P600" i="4"/>
  <c r="C601" i="4"/>
  <c r="D601" i="4"/>
  <c r="E601" i="4"/>
  <c r="F601" i="4"/>
  <c r="G601" i="4"/>
  <c r="H601" i="4"/>
  <c r="J601" i="4"/>
  <c r="K601" i="4"/>
  <c r="L601" i="4"/>
  <c r="M601" i="4"/>
  <c r="N601" i="4"/>
  <c r="P601" i="4"/>
  <c r="C602" i="4"/>
  <c r="D602" i="4"/>
  <c r="E602" i="4"/>
  <c r="F602" i="4"/>
  <c r="G602" i="4"/>
  <c r="H602" i="4"/>
  <c r="J602" i="4"/>
  <c r="K602" i="4"/>
  <c r="L602" i="4"/>
  <c r="M602" i="4"/>
  <c r="N602" i="4"/>
  <c r="P602" i="4"/>
  <c r="C603" i="4"/>
  <c r="D603" i="4"/>
  <c r="E603" i="4"/>
  <c r="F603" i="4"/>
  <c r="G603" i="4"/>
  <c r="H603" i="4"/>
  <c r="J603" i="4"/>
  <c r="K603" i="4"/>
  <c r="L603" i="4"/>
  <c r="M603" i="4"/>
  <c r="N603" i="4"/>
  <c r="P603" i="4"/>
  <c r="C604" i="4"/>
  <c r="D604" i="4"/>
  <c r="E604" i="4"/>
  <c r="F604" i="4"/>
  <c r="G604" i="4"/>
  <c r="H604" i="4"/>
  <c r="J604" i="4"/>
  <c r="K604" i="4"/>
  <c r="L604" i="4"/>
  <c r="M604" i="4"/>
  <c r="N604" i="4"/>
  <c r="P604" i="4"/>
  <c r="C605" i="4"/>
  <c r="D605" i="4"/>
  <c r="E605" i="4"/>
  <c r="F605" i="4"/>
  <c r="G605" i="4"/>
  <c r="H605" i="4"/>
  <c r="J605" i="4"/>
  <c r="K605" i="4"/>
  <c r="L605" i="4"/>
  <c r="M605" i="4"/>
  <c r="N605" i="4"/>
  <c r="P605" i="4"/>
  <c r="C606" i="4"/>
  <c r="D606" i="4"/>
  <c r="E606" i="4"/>
  <c r="F606" i="4"/>
  <c r="G606" i="4"/>
  <c r="H606" i="4"/>
  <c r="J606" i="4"/>
  <c r="K606" i="4"/>
  <c r="L606" i="4"/>
  <c r="M606" i="4"/>
  <c r="N606" i="4"/>
  <c r="P606" i="4"/>
  <c r="C607" i="4"/>
  <c r="D607" i="4"/>
  <c r="E607" i="4"/>
  <c r="F607" i="4"/>
  <c r="G607" i="4"/>
  <c r="H607" i="4"/>
  <c r="J607" i="4"/>
  <c r="K607" i="4"/>
  <c r="L607" i="4"/>
  <c r="M607" i="4"/>
  <c r="N607" i="4"/>
  <c r="P607" i="4"/>
  <c r="C608" i="4"/>
  <c r="D608" i="4"/>
  <c r="E608" i="4"/>
  <c r="F608" i="4"/>
  <c r="G608" i="4"/>
  <c r="H608" i="4"/>
  <c r="J608" i="4"/>
  <c r="K608" i="4"/>
  <c r="L608" i="4"/>
  <c r="M608" i="4"/>
  <c r="N608" i="4"/>
  <c r="P608" i="4"/>
  <c r="C609" i="4"/>
  <c r="D609" i="4"/>
  <c r="E609" i="4"/>
  <c r="F609" i="4"/>
  <c r="G609" i="4"/>
  <c r="H609" i="4"/>
  <c r="J609" i="4"/>
  <c r="K609" i="4"/>
  <c r="L609" i="4"/>
  <c r="M609" i="4"/>
  <c r="N609" i="4"/>
  <c r="P609" i="4"/>
  <c r="C610" i="4"/>
  <c r="D610" i="4"/>
  <c r="E610" i="4"/>
  <c r="F610" i="4"/>
  <c r="G610" i="4"/>
  <c r="H610" i="4"/>
  <c r="J610" i="4"/>
  <c r="K610" i="4"/>
  <c r="L610" i="4"/>
  <c r="M610" i="4"/>
  <c r="N610" i="4"/>
  <c r="P610" i="4"/>
  <c r="C611" i="4"/>
  <c r="D611" i="4"/>
  <c r="E611" i="4"/>
  <c r="F611" i="4"/>
  <c r="G611" i="4"/>
  <c r="H611" i="4"/>
  <c r="J611" i="4"/>
  <c r="K611" i="4"/>
  <c r="L611" i="4"/>
  <c r="M611" i="4"/>
  <c r="N611" i="4"/>
  <c r="P611" i="4"/>
  <c r="C612" i="4"/>
  <c r="D612" i="4"/>
  <c r="E612" i="4"/>
  <c r="F612" i="4"/>
  <c r="G612" i="4"/>
  <c r="H612" i="4"/>
  <c r="J612" i="4"/>
  <c r="K612" i="4"/>
  <c r="L612" i="4"/>
  <c r="M612" i="4"/>
  <c r="N612" i="4"/>
  <c r="P612" i="4"/>
  <c r="C613" i="4"/>
  <c r="D613" i="4"/>
  <c r="E613" i="4"/>
  <c r="F613" i="4"/>
  <c r="G613" i="4"/>
  <c r="H613" i="4"/>
  <c r="J613" i="4"/>
  <c r="K613" i="4"/>
  <c r="L613" i="4"/>
  <c r="M613" i="4"/>
  <c r="N613" i="4"/>
  <c r="P613" i="4"/>
  <c r="C614" i="4"/>
  <c r="D614" i="4"/>
  <c r="E614" i="4"/>
  <c r="F614" i="4"/>
  <c r="G614" i="4"/>
  <c r="H614" i="4"/>
  <c r="J614" i="4"/>
  <c r="K614" i="4"/>
  <c r="L614" i="4"/>
  <c r="M614" i="4"/>
  <c r="N614" i="4"/>
  <c r="P614" i="4"/>
  <c r="C615" i="4"/>
  <c r="D615" i="4"/>
  <c r="E615" i="4"/>
  <c r="F615" i="4"/>
  <c r="G615" i="4"/>
  <c r="H615" i="4"/>
  <c r="J615" i="4"/>
  <c r="K615" i="4"/>
  <c r="L615" i="4"/>
  <c r="M615" i="4"/>
  <c r="N615" i="4"/>
  <c r="P615" i="4"/>
  <c r="C616" i="4"/>
  <c r="D616" i="4"/>
  <c r="E616" i="4"/>
  <c r="F616" i="4"/>
  <c r="G616" i="4"/>
  <c r="H616" i="4"/>
  <c r="J616" i="4"/>
  <c r="K616" i="4"/>
  <c r="L616" i="4"/>
  <c r="M616" i="4"/>
  <c r="N616" i="4"/>
  <c r="P616" i="4"/>
  <c r="C617" i="4"/>
  <c r="D617" i="4"/>
  <c r="E617" i="4"/>
  <c r="F617" i="4"/>
  <c r="G617" i="4"/>
  <c r="H617" i="4"/>
  <c r="J617" i="4"/>
  <c r="K617" i="4"/>
  <c r="L617" i="4"/>
  <c r="M617" i="4"/>
  <c r="N617" i="4"/>
  <c r="P617" i="4"/>
  <c r="C618" i="4"/>
  <c r="D618" i="4"/>
  <c r="E618" i="4"/>
  <c r="F618" i="4"/>
  <c r="G618" i="4"/>
  <c r="H618" i="4"/>
  <c r="J618" i="4"/>
  <c r="K618" i="4"/>
  <c r="L618" i="4"/>
  <c r="M618" i="4"/>
  <c r="N618" i="4"/>
  <c r="P618" i="4"/>
  <c r="C619" i="4"/>
  <c r="D619" i="4"/>
  <c r="E619" i="4"/>
  <c r="F619" i="4"/>
  <c r="G619" i="4"/>
  <c r="H619" i="4"/>
  <c r="J619" i="4"/>
  <c r="K619" i="4"/>
  <c r="L619" i="4"/>
  <c r="M619" i="4"/>
  <c r="N619" i="4"/>
  <c r="P619" i="4"/>
  <c r="C620" i="4"/>
  <c r="D620" i="4"/>
  <c r="E620" i="4"/>
  <c r="F620" i="4"/>
  <c r="G620" i="4"/>
  <c r="H620" i="4"/>
  <c r="J620" i="4"/>
  <c r="K620" i="4"/>
  <c r="L620" i="4"/>
  <c r="M620" i="4"/>
  <c r="N620" i="4"/>
  <c r="P620" i="4"/>
  <c r="C621" i="4"/>
  <c r="D621" i="4"/>
  <c r="E621" i="4"/>
  <c r="F621" i="4"/>
  <c r="G621" i="4"/>
  <c r="H621" i="4"/>
  <c r="J621" i="4"/>
  <c r="K621" i="4"/>
  <c r="L621" i="4"/>
  <c r="M621" i="4"/>
  <c r="N621" i="4"/>
  <c r="P621" i="4"/>
  <c r="C622" i="4"/>
  <c r="D622" i="4"/>
  <c r="E622" i="4"/>
  <c r="F622" i="4"/>
  <c r="G622" i="4"/>
  <c r="H622" i="4"/>
  <c r="J622" i="4"/>
  <c r="K622" i="4"/>
  <c r="L622" i="4"/>
  <c r="M622" i="4"/>
  <c r="N622" i="4"/>
  <c r="P622" i="4"/>
  <c r="C623" i="4"/>
  <c r="D623" i="4"/>
  <c r="E623" i="4"/>
  <c r="F623" i="4"/>
  <c r="G623" i="4"/>
  <c r="H623" i="4"/>
  <c r="J623" i="4"/>
  <c r="K623" i="4"/>
  <c r="L623" i="4"/>
  <c r="M623" i="4"/>
  <c r="N623" i="4"/>
  <c r="P623" i="4"/>
  <c r="C624" i="4"/>
  <c r="D624" i="4"/>
  <c r="E624" i="4"/>
  <c r="F624" i="4"/>
  <c r="G624" i="4"/>
  <c r="H624" i="4"/>
  <c r="J624" i="4"/>
  <c r="K624" i="4"/>
  <c r="L624" i="4"/>
  <c r="M624" i="4"/>
  <c r="N624" i="4"/>
  <c r="P624" i="4"/>
  <c r="C625" i="4"/>
  <c r="D625" i="4"/>
  <c r="E625" i="4"/>
  <c r="F625" i="4"/>
  <c r="G625" i="4"/>
  <c r="H625" i="4"/>
  <c r="J625" i="4"/>
  <c r="K625" i="4"/>
  <c r="L625" i="4"/>
  <c r="M625" i="4"/>
  <c r="N625" i="4"/>
  <c r="P625" i="4"/>
  <c r="C626" i="4"/>
  <c r="D626" i="4"/>
  <c r="E626" i="4"/>
  <c r="F626" i="4"/>
  <c r="G626" i="4"/>
  <c r="H626" i="4"/>
  <c r="J626" i="4"/>
  <c r="K626" i="4"/>
  <c r="L626" i="4"/>
  <c r="M626" i="4"/>
  <c r="N626" i="4"/>
  <c r="P626" i="4"/>
  <c r="C627" i="4"/>
  <c r="D627" i="4"/>
  <c r="E627" i="4"/>
  <c r="F627" i="4"/>
  <c r="G627" i="4"/>
  <c r="H627" i="4"/>
  <c r="J627" i="4"/>
  <c r="K627" i="4"/>
  <c r="L627" i="4"/>
  <c r="M627" i="4"/>
  <c r="N627" i="4"/>
  <c r="P627" i="4"/>
  <c r="C628" i="4"/>
  <c r="D628" i="4"/>
  <c r="E628" i="4"/>
  <c r="F628" i="4"/>
  <c r="G628" i="4"/>
  <c r="H628" i="4"/>
  <c r="J628" i="4"/>
  <c r="K628" i="4"/>
  <c r="L628" i="4"/>
  <c r="M628" i="4"/>
  <c r="N628" i="4"/>
  <c r="P628" i="4"/>
  <c r="C629" i="4"/>
  <c r="D629" i="4"/>
  <c r="E629" i="4"/>
  <c r="F629" i="4"/>
  <c r="G629" i="4"/>
  <c r="H629" i="4"/>
  <c r="J629" i="4"/>
  <c r="K629" i="4"/>
  <c r="L629" i="4"/>
  <c r="M629" i="4"/>
  <c r="N629" i="4"/>
  <c r="P629" i="4"/>
  <c r="C630" i="4"/>
  <c r="D630" i="4"/>
  <c r="E630" i="4"/>
  <c r="F630" i="4"/>
  <c r="G630" i="4"/>
  <c r="H630" i="4"/>
  <c r="J630" i="4"/>
  <c r="K630" i="4"/>
  <c r="L630" i="4"/>
  <c r="M630" i="4"/>
  <c r="N630" i="4"/>
  <c r="P630" i="4"/>
  <c r="C631" i="4"/>
  <c r="D631" i="4"/>
  <c r="E631" i="4"/>
  <c r="F631" i="4"/>
  <c r="G631" i="4"/>
  <c r="H631" i="4"/>
  <c r="J631" i="4"/>
  <c r="K631" i="4"/>
  <c r="L631" i="4"/>
  <c r="M631" i="4"/>
  <c r="N631" i="4"/>
  <c r="P631" i="4"/>
  <c r="C632" i="4"/>
  <c r="D632" i="4"/>
  <c r="E632" i="4"/>
  <c r="F632" i="4"/>
  <c r="G632" i="4"/>
  <c r="H632" i="4"/>
  <c r="J632" i="4"/>
  <c r="K632" i="4"/>
  <c r="L632" i="4"/>
  <c r="M632" i="4"/>
  <c r="N632" i="4"/>
  <c r="P632" i="4"/>
  <c r="C633" i="4"/>
  <c r="D633" i="4"/>
  <c r="E633" i="4"/>
  <c r="F633" i="4"/>
  <c r="G633" i="4"/>
  <c r="H633" i="4"/>
  <c r="J633" i="4"/>
  <c r="K633" i="4"/>
  <c r="L633" i="4"/>
  <c r="M633" i="4"/>
  <c r="N633" i="4"/>
  <c r="P633" i="4"/>
  <c r="C634" i="4"/>
  <c r="D634" i="4"/>
  <c r="E634" i="4"/>
  <c r="F634" i="4"/>
  <c r="G634" i="4"/>
  <c r="H634" i="4"/>
  <c r="J634" i="4"/>
  <c r="K634" i="4"/>
  <c r="L634" i="4"/>
  <c r="M634" i="4"/>
  <c r="N634" i="4"/>
  <c r="P634" i="4"/>
  <c r="C635" i="4"/>
  <c r="D635" i="4"/>
  <c r="E635" i="4"/>
  <c r="F635" i="4"/>
  <c r="G635" i="4"/>
  <c r="H635" i="4"/>
  <c r="J635" i="4"/>
  <c r="K635" i="4"/>
  <c r="L635" i="4"/>
  <c r="M635" i="4"/>
  <c r="N635" i="4"/>
  <c r="P635" i="4"/>
  <c r="C636" i="4"/>
  <c r="D636" i="4"/>
  <c r="E636" i="4"/>
  <c r="F636" i="4"/>
  <c r="G636" i="4"/>
  <c r="H636" i="4"/>
  <c r="J636" i="4"/>
  <c r="K636" i="4"/>
  <c r="L636" i="4"/>
  <c r="M636" i="4"/>
  <c r="N636" i="4"/>
  <c r="P636" i="4"/>
  <c r="C637" i="4"/>
  <c r="D637" i="4"/>
  <c r="E637" i="4"/>
  <c r="F637" i="4"/>
  <c r="G637" i="4"/>
  <c r="H637" i="4"/>
  <c r="J637" i="4"/>
  <c r="K637" i="4"/>
  <c r="L637" i="4"/>
  <c r="M637" i="4"/>
  <c r="N637" i="4"/>
  <c r="P637" i="4"/>
  <c r="C638" i="4"/>
  <c r="D638" i="4"/>
  <c r="E638" i="4"/>
  <c r="F638" i="4"/>
  <c r="G638" i="4"/>
  <c r="H638" i="4"/>
  <c r="J638" i="4"/>
  <c r="K638" i="4"/>
  <c r="L638" i="4"/>
  <c r="M638" i="4"/>
  <c r="N638" i="4"/>
  <c r="P638" i="4"/>
  <c r="C639" i="4"/>
  <c r="D639" i="4"/>
  <c r="E639" i="4"/>
  <c r="F639" i="4"/>
  <c r="G639" i="4"/>
  <c r="H639" i="4"/>
  <c r="J639" i="4"/>
  <c r="K639" i="4"/>
  <c r="L639" i="4"/>
  <c r="M639" i="4"/>
  <c r="N639" i="4"/>
  <c r="P639" i="4"/>
  <c r="C640" i="4"/>
  <c r="D640" i="4"/>
  <c r="E640" i="4"/>
  <c r="F640" i="4"/>
  <c r="G640" i="4"/>
  <c r="H640" i="4"/>
  <c r="J640" i="4"/>
  <c r="K640" i="4"/>
  <c r="L640" i="4"/>
  <c r="M640" i="4"/>
  <c r="N640" i="4"/>
  <c r="P640" i="4"/>
  <c r="C641" i="4"/>
  <c r="D641" i="4"/>
  <c r="E641" i="4"/>
  <c r="F641" i="4"/>
  <c r="G641" i="4"/>
  <c r="H641" i="4"/>
  <c r="J641" i="4"/>
  <c r="K641" i="4"/>
  <c r="L641" i="4"/>
  <c r="M641" i="4"/>
  <c r="N641" i="4"/>
  <c r="P641" i="4"/>
  <c r="C642" i="4"/>
  <c r="D642" i="4"/>
  <c r="E642" i="4"/>
  <c r="F642" i="4"/>
  <c r="G642" i="4"/>
  <c r="H642" i="4"/>
  <c r="J642" i="4"/>
  <c r="K642" i="4"/>
  <c r="L642" i="4"/>
  <c r="M642" i="4"/>
  <c r="N642" i="4"/>
  <c r="P642" i="4"/>
  <c r="C643" i="4"/>
  <c r="D643" i="4"/>
  <c r="E643" i="4"/>
  <c r="F643" i="4"/>
  <c r="G643" i="4"/>
  <c r="H643" i="4"/>
  <c r="J643" i="4"/>
  <c r="K643" i="4"/>
  <c r="L643" i="4"/>
  <c r="M643" i="4"/>
  <c r="N643" i="4"/>
  <c r="P643" i="4"/>
  <c r="C644" i="4"/>
  <c r="D644" i="4"/>
  <c r="E644" i="4"/>
  <c r="F644" i="4"/>
  <c r="G644" i="4"/>
  <c r="H644" i="4"/>
  <c r="J644" i="4"/>
  <c r="K644" i="4"/>
  <c r="L644" i="4"/>
  <c r="M644" i="4"/>
  <c r="N644" i="4"/>
  <c r="P644" i="4"/>
  <c r="C645" i="4"/>
  <c r="D645" i="4"/>
  <c r="E645" i="4"/>
  <c r="F645" i="4"/>
  <c r="G645" i="4"/>
  <c r="H645" i="4"/>
  <c r="J645" i="4"/>
  <c r="K645" i="4"/>
  <c r="L645" i="4"/>
  <c r="M645" i="4"/>
  <c r="N645" i="4"/>
  <c r="P645" i="4"/>
  <c r="C646" i="4"/>
  <c r="D646" i="4"/>
  <c r="E646" i="4"/>
  <c r="F646" i="4"/>
  <c r="G646" i="4"/>
  <c r="H646" i="4"/>
  <c r="J646" i="4"/>
  <c r="K646" i="4"/>
  <c r="L646" i="4"/>
  <c r="M646" i="4"/>
  <c r="N646" i="4"/>
  <c r="P646" i="4"/>
  <c r="C647" i="4"/>
  <c r="D647" i="4"/>
  <c r="E647" i="4"/>
  <c r="F647" i="4"/>
  <c r="G647" i="4"/>
  <c r="H647" i="4"/>
  <c r="J647" i="4"/>
  <c r="K647" i="4"/>
  <c r="L647" i="4"/>
  <c r="M647" i="4"/>
  <c r="N647" i="4"/>
  <c r="P647" i="4"/>
  <c r="C648" i="4"/>
  <c r="D648" i="4"/>
  <c r="E648" i="4"/>
  <c r="F648" i="4"/>
  <c r="G648" i="4"/>
  <c r="H648" i="4"/>
  <c r="J648" i="4"/>
  <c r="K648" i="4"/>
  <c r="L648" i="4"/>
  <c r="M648" i="4"/>
  <c r="N648" i="4"/>
  <c r="P648" i="4"/>
  <c r="C649" i="4"/>
  <c r="D649" i="4"/>
  <c r="E649" i="4"/>
  <c r="F649" i="4"/>
  <c r="G649" i="4"/>
  <c r="H649" i="4"/>
  <c r="J649" i="4"/>
  <c r="K649" i="4"/>
  <c r="L649" i="4"/>
  <c r="M649" i="4"/>
  <c r="N649" i="4"/>
  <c r="P649" i="4"/>
  <c r="C650" i="4"/>
  <c r="D650" i="4"/>
  <c r="E650" i="4"/>
  <c r="F650" i="4"/>
  <c r="G650" i="4"/>
  <c r="H650" i="4"/>
  <c r="J650" i="4"/>
  <c r="K650" i="4"/>
  <c r="L650" i="4"/>
  <c r="M650" i="4"/>
  <c r="N650" i="4"/>
  <c r="P650" i="4"/>
  <c r="C651" i="4"/>
  <c r="D651" i="4"/>
  <c r="E651" i="4"/>
  <c r="F651" i="4"/>
  <c r="G651" i="4"/>
  <c r="H651" i="4"/>
  <c r="J651" i="4"/>
  <c r="K651" i="4"/>
  <c r="L651" i="4"/>
  <c r="M651" i="4"/>
  <c r="N651" i="4"/>
  <c r="P651" i="4"/>
  <c r="C652" i="4"/>
  <c r="D652" i="4"/>
  <c r="E652" i="4"/>
  <c r="F652" i="4"/>
  <c r="G652" i="4"/>
  <c r="H652" i="4"/>
  <c r="J652" i="4"/>
  <c r="K652" i="4"/>
  <c r="L652" i="4"/>
  <c r="M652" i="4"/>
  <c r="N652" i="4"/>
  <c r="P652" i="4"/>
  <c r="C653" i="4"/>
  <c r="D653" i="4"/>
  <c r="E653" i="4"/>
  <c r="F653" i="4"/>
  <c r="G653" i="4"/>
  <c r="H653" i="4"/>
  <c r="J653" i="4"/>
  <c r="K653" i="4"/>
  <c r="L653" i="4"/>
  <c r="M653" i="4"/>
  <c r="N653" i="4"/>
  <c r="P653" i="4"/>
  <c r="C654" i="4"/>
  <c r="D654" i="4"/>
  <c r="E654" i="4"/>
  <c r="F654" i="4"/>
  <c r="G654" i="4"/>
  <c r="H654" i="4"/>
  <c r="J654" i="4"/>
  <c r="K654" i="4"/>
  <c r="L654" i="4"/>
  <c r="M654" i="4"/>
  <c r="N654" i="4"/>
  <c r="P654" i="4"/>
  <c r="C655" i="4"/>
  <c r="D655" i="4"/>
  <c r="E655" i="4"/>
  <c r="F655" i="4"/>
  <c r="G655" i="4"/>
  <c r="H655" i="4"/>
  <c r="J655" i="4"/>
  <c r="K655" i="4"/>
  <c r="L655" i="4"/>
  <c r="M655" i="4"/>
  <c r="N655" i="4"/>
  <c r="P655" i="4"/>
  <c r="C656" i="4"/>
  <c r="D656" i="4"/>
  <c r="E656" i="4"/>
  <c r="F656" i="4"/>
  <c r="G656" i="4"/>
  <c r="H656" i="4"/>
  <c r="J656" i="4"/>
  <c r="K656" i="4"/>
  <c r="L656" i="4"/>
  <c r="M656" i="4"/>
  <c r="N656" i="4"/>
  <c r="P656" i="4"/>
  <c r="C657" i="4"/>
  <c r="D657" i="4"/>
  <c r="E657" i="4"/>
  <c r="F657" i="4"/>
  <c r="G657" i="4"/>
  <c r="H657" i="4"/>
  <c r="J657" i="4"/>
  <c r="K657" i="4"/>
  <c r="L657" i="4"/>
  <c r="M657" i="4"/>
  <c r="N657" i="4"/>
  <c r="P657" i="4"/>
  <c r="C658" i="4"/>
  <c r="D658" i="4"/>
  <c r="E658" i="4"/>
  <c r="F658" i="4"/>
  <c r="G658" i="4"/>
  <c r="H658" i="4"/>
  <c r="J658" i="4"/>
  <c r="K658" i="4"/>
  <c r="L658" i="4"/>
  <c r="M658" i="4"/>
  <c r="N658" i="4"/>
  <c r="P658" i="4"/>
  <c r="C659" i="4"/>
  <c r="D659" i="4"/>
  <c r="E659" i="4"/>
  <c r="F659" i="4"/>
  <c r="G659" i="4"/>
  <c r="H659" i="4"/>
  <c r="J659" i="4"/>
  <c r="K659" i="4"/>
  <c r="L659" i="4"/>
  <c r="M659" i="4"/>
  <c r="N659" i="4"/>
  <c r="P659" i="4"/>
  <c r="C660" i="4"/>
  <c r="D660" i="4"/>
  <c r="E660" i="4"/>
  <c r="F660" i="4"/>
  <c r="G660" i="4"/>
  <c r="H660" i="4"/>
  <c r="J660" i="4"/>
  <c r="K660" i="4"/>
  <c r="L660" i="4"/>
  <c r="M660" i="4"/>
  <c r="N660" i="4"/>
  <c r="P660" i="4"/>
  <c r="C661" i="4"/>
  <c r="D661" i="4"/>
  <c r="E661" i="4"/>
  <c r="F661" i="4"/>
  <c r="G661" i="4"/>
  <c r="H661" i="4"/>
  <c r="J661" i="4"/>
  <c r="K661" i="4"/>
  <c r="L661" i="4"/>
  <c r="M661" i="4"/>
  <c r="N661" i="4"/>
  <c r="P661" i="4"/>
  <c r="C662" i="4"/>
  <c r="D662" i="4"/>
  <c r="E662" i="4"/>
  <c r="F662" i="4"/>
  <c r="G662" i="4"/>
  <c r="H662" i="4"/>
  <c r="J662" i="4"/>
  <c r="K662" i="4"/>
  <c r="L662" i="4"/>
  <c r="M662" i="4"/>
  <c r="N662" i="4"/>
  <c r="P662" i="4"/>
  <c r="C663" i="4"/>
  <c r="D663" i="4"/>
  <c r="E663" i="4"/>
  <c r="F663" i="4"/>
  <c r="G663" i="4"/>
  <c r="H663" i="4"/>
  <c r="J663" i="4"/>
  <c r="K663" i="4"/>
  <c r="L663" i="4"/>
  <c r="M663" i="4"/>
  <c r="N663" i="4"/>
  <c r="P663" i="4"/>
  <c r="C664" i="4"/>
  <c r="D664" i="4"/>
  <c r="E664" i="4"/>
  <c r="F664" i="4"/>
  <c r="G664" i="4"/>
  <c r="H664" i="4"/>
  <c r="J664" i="4"/>
  <c r="K664" i="4"/>
  <c r="L664" i="4"/>
  <c r="M664" i="4"/>
  <c r="N664" i="4"/>
  <c r="P664" i="4"/>
  <c r="C665" i="4"/>
  <c r="D665" i="4"/>
  <c r="E665" i="4"/>
  <c r="F665" i="4"/>
  <c r="G665" i="4"/>
  <c r="H665" i="4"/>
  <c r="J665" i="4"/>
  <c r="K665" i="4"/>
  <c r="L665" i="4"/>
  <c r="M665" i="4"/>
  <c r="N665" i="4"/>
  <c r="P665" i="4"/>
  <c r="C666" i="4"/>
  <c r="D666" i="4"/>
  <c r="E666" i="4"/>
  <c r="F666" i="4"/>
  <c r="G666" i="4"/>
  <c r="H666" i="4"/>
  <c r="J666" i="4"/>
  <c r="K666" i="4"/>
  <c r="L666" i="4"/>
  <c r="M666" i="4"/>
  <c r="N666" i="4"/>
  <c r="P666" i="4"/>
  <c r="C667" i="4"/>
  <c r="D667" i="4"/>
  <c r="E667" i="4"/>
  <c r="F667" i="4"/>
  <c r="G667" i="4"/>
  <c r="H667" i="4"/>
  <c r="J667" i="4"/>
  <c r="K667" i="4"/>
  <c r="L667" i="4"/>
  <c r="M667" i="4"/>
  <c r="N667" i="4"/>
  <c r="P667" i="4"/>
  <c r="C668" i="4"/>
  <c r="D668" i="4"/>
  <c r="E668" i="4"/>
  <c r="F668" i="4"/>
  <c r="G668" i="4"/>
  <c r="H668" i="4"/>
  <c r="J668" i="4"/>
  <c r="K668" i="4"/>
  <c r="L668" i="4"/>
  <c r="M668" i="4"/>
  <c r="N668" i="4"/>
  <c r="P668" i="4"/>
  <c r="C669" i="4"/>
  <c r="D669" i="4"/>
  <c r="E669" i="4"/>
  <c r="F669" i="4"/>
  <c r="G669" i="4"/>
  <c r="H669" i="4"/>
  <c r="J669" i="4"/>
  <c r="K669" i="4"/>
  <c r="L669" i="4"/>
  <c r="M669" i="4"/>
  <c r="N669" i="4"/>
  <c r="P669" i="4"/>
  <c r="C670" i="4"/>
  <c r="D670" i="4"/>
  <c r="E670" i="4"/>
  <c r="F670" i="4"/>
  <c r="G670" i="4"/>
  <c r="H670" i="4"/>
  <c r="J670" i="4"/>
  <c r="K670" i="4"/>
  <c r="L670" i="4"/>
  <c r="M670" i="4"/>
  <c r="N670" i="4"/>
  <c r="P670" i="4"/>
  <c r="C671" i="4"/>
  <c r="D671" i="4"/>
  <c r="E671" i="4"/>
  <c r="F671" i="4"/>
  <c r="G671" i="4"/>
  <c r="H671" i="4"/>
  <c r="J671" i="4"/>
  <c r="K671" i="4"/>
  <c r="L671" i="4"/>
  <c r="M671" i="4"/>
  <c r="N671" i="4"/>
  <c r="P671" i="4"/>
  <c r="C672" i="4"/>
  <c r="D672" i="4"/>
  <c r="E672" i="4"/>
  <c r="F672" i="4"/>
  <c r="G672" i="4"/>
  <c r="H672" i="4"/>
  <c r="J672" i="4"/>
  <c r="K672" i="4"/>
  <c r="L672" i="4"/>
  <c r="M672" i="4"/>
  <c r="N672" i="4"/>
  <c r="P672" i="4"/>
  <c r="C673" i="4"/>
  <c r="D673" i="4"/>
  <c r="E673" i="4"/>
  <c r="F673" i="4"/>
  <c r="G673" i="4"/>
  <c r="H673" i="4"/>
  <c r="J673" i="4"/>
  <c r="K673" i="4"/>
  <c r="L673" i="4"/>
  <c r="M673" i="4"/>
  <c r="N673" i="4"/>
  <c r="P673" i="4"/>
  <c r="C674" i="4"/>
  <c r="D674" i="4"/>
  <c r="E674" i="4"/>
  <c r="F674" i="4"/>
  <c r="G674" i="4"/>
  <c r="H674" i="4"/>
  <c r="J674" i="4"/>
  <c r="K674" i="4"/>
  <c r="L674" i="4"/>
  <c r="M674" i="4"/>
  <c r="N674" i="4"/>
  <c r="P674" i="4"/>
  <c r="C675" i="4"/>
  <c r="D675" i="4"/>
  <c r="E675" i="4"/>
  <c r="F675" i="4"/>
  <c r="G675" i="4"/>
  <c r="H675" i="4"/>
  <c r="J675" i="4"/>
  <c r="K675" i="4"/>
  <c r="L675" i="4"/>
  <c r="M675" i="4"/>
  <c r="N675" i="4"/>
  <c r="P675" i="4"/>
  <c r="C676" i="4"/>
  <c r="D676" i="4"/>
  <c r="E676" i="4"/>
  <c r="F676" i="4"/>
  <c r="G676" i="4"/>
  <c r="H676" i="4"/>
  <c r="J676" i="4"/>
  <c r="K676" i="4"/>
  <c r="L676" i="4"/>
  <c r="M676" i="4"/>
  <c r="N676" i="4"/>
  <c r="P676" i="4"/>
  <c r="C677" i="4"/>
  <c r="D677" i="4"/>
  <c r="E677" i="4"/>
  <c r="F677" i="4"/>
  <c r="G677" i="4"/>
  <c r="H677" i="4"/>
  <c r="J677" i="4"/>
  <c r="K677" i="4"/>
  <c r="L677" i="4"/>
  <c r="M677" i="4"/>
  <c r="N677" i="4"/>
  <c r="P677" i="4"/>
  <c r="C678" i="4"/>
  <c r="D678" i="4"/>
  <c r="E678" i="4"/>
  <c r="F678" i="4"/>
  <c r="G678" i="4"/>
  <c r="H678" i="4"/>
  <c r="J678" i="4"/>
  <c r="K678" i="4"/>
  <c r="L678" i="4"/>
  <c r="M678" i="4"/>
  <c r="N678" i="4"/>
  <c r="P678" i="4"/>
  <c r="C679" i="4"/>
  <c r="D679" i="4"/>
  <c r="E679" i="4"/>
  <c r="F679" i="4"/>
  <c r="G679" i="4"/>
  <c r="H679" i="4"/>
  <c r="J679" i="4"/>
  <c r="K679" i="4"/>
  <c r="L679" i="4"/>
  <c r="M679" i="4"/>
  <c r="N679" i="4"/>
  <c r="P679" i="4"/>
  <c r="C680" i="4"/>
  <c r="D680" i="4"/>
  <c r="E680" i="4"/>
  <c r="F680" i="4"/>
  <c r="G680" i="4"/>
  <c r="H680" i="4"/>
  <c r="J680" i="4"/>
  <c r="K680" i="4"/>
  <c r="L680" i="4"/>
  <c r="M680" i="4"/>
  <c r="N680" i="4"/>
  <c r="P680" i="4"/>
  <c r="C681" i="4"/>
  <c r="D681" i="4"/>
  <c r="E681" i="4"/>
  <c r="F681" i="4"/>
  <c r="G681" i="4"/>
  <c r="H681" i="4"/>
  <c r="J681" i="4"/>
  <c r="K681" i="4"/>
  <c r="L681" i="4"/>
  <c r="M681" i="4"/>
  <c r="N681" i="4"/>
  <c r="P681" i="4"/>
  <c r="C682" i="4"/>
  <c r="D682" i="4"/>
  <c r="E682" i="4"/>
  <c r="F682" i="4"/>
  <c r="G682" i="4"/>
  <c r="H682" i="4"/>
  <c r="J682" i="4"/>
  <c r="K682" i="4"/>
  <c r="L682" i="4"/>
  <c r="M682" i="4"/>
  <c r="N682" i="4"/>
  <c r="P682" i="4"/>
  <c r="C683" i="4"/>
  <c r="D683" i="4"/>
  <c r="E683" i="4"/>
  <c r="F683" i="4"/>
  <c r="G683" i="4"/>
  <c r="H683" i="4"/>
  <c r="J683" i="4"/>
  <c r="K683" i="4"/>
  <c r="L683" i="4"/>
  <c r="M683" i="4"/>
  <c r="N683" i="4"/>
  <c r="P683" i="4"/>
  <c r="C684" i="4"/>
  <c r="D684" i="4"/>
  <c r="E684" i="4"/>
  <c r="F684" i="4"/>
  <c r="G684" i="4"/>
  <c r="H684" i="4"/>
  <c r="J684" i="4"/>
  <c r="K684" i="4"/>
  <c r="L684" i="4"/>
  <c r="M684" i="4"/>
  <c r="N684" i="4"/>
  <c r="P684" i="4"/>
  <c r="C685" i="4"/>
  <c r="D685" i="4"/>
  <c r="E685" i="4"/>
  <c r="F685" i="4"/>
  <c r="G685" i="4"/>
  <c r="H685" i="4"/>
  <c r="J685" i="4"/>
  <c r="K685" i="4"/>
  <c r="L685" i="4"/>
  <c r="M685" i="4"/>
  <c r="N685" i="4"/>
  <c r="P685" i="4"/>
  <c r="C686" i="4"/>
  <c r="D686" i="4"/>
  <c r="E686" i="4"/>
  <c r="F686" i="4"/>
  <c r="G686" i="4"/>
  <c r="H686" i="4"/>
  <c r="J686" i="4"/>
  <c r="K686" i="4"/>
  <c r="L686" i="4"/>
  <c r="M686" i="4"/>
  <c r="N686" i="4"/>
  <c r="P686" i="4"/>
  <c r="C687" i="4"/>
  <c r="D687" i="4"/>
  <c r="E687" i="4"/>
  <c r="F687" i="4"/>
  <c r="G687" i="4"/>
  <c r="H687" i="4"/>
  <c r="J687" i="4"/>
  <c r="K687" i="4"/>
  <c r="L687" i="4"/>
  <c r="M687" i="4"/>
  <c r="N687" i="4"/>
  <c r="P687" i="4"/>
  <c r="C688" i="4"/>
  <c r="D688" i="4"/>
  <c r="E688" i="4"/>
  <c r="F688" i="4"/>
  <c r="G688" i="4"/>
  <c r="H688" i="4"/>
  <c r="J688" i="4"/>
  <c r="K688" i="4"/>
  <c r="L688" i="4"/>
  <c r="M688" i="4"/>
  <c r="N688" i="4"/>
  <c r="P688" i="4"/>
  <c r="C689" i="4"/>
  <c r="D689" i="4"/>
  <c r="E689" i="4"/>
  <c r="F689" i="4"/>
  <c r="G689" i="4"/>
  <c r="H689" i="4"/>
  <c r="J689" i="4"/>
  <c r="K689" i="4"/>
  <c r="L689" i="4"/>
  <c r="M689" i="4"/>
  <c r="N689" i="4"/>
  <c r="P689" i="4"/>
  <c r="C690" i="4"/>
  <c r="D690" i="4"/>
  <c r="E690" i="4"/>
  <c r="F690" i="4"/>
  <c r="G690" i="4"/>
  <c r="H690" i="4"/>
  <c r="J690" i="4"/>
  <c r="K690" i="4"/>
  <c r="L690" i="4"/>
  <c r="M690" i="4"/>
  <c r="N690" i="4"/>
  <c r="P690" i="4"/>
  <c r="C691" i="4"/>
  <c r="D691" i="4"/>
  <c r="E691" i="4"/>
  <c r="F691" i="4"/>
  <c r="G691" i="4"/>
  <c r="H691" i="4"/>
  <c r="J691" i="4"/>
  <c r="K691" i="4"/>
  <c r="L691" i="4"/>
  <c r="M691" i="4"/>
  <c r="N691" i="4"/>
  <c r="P691" i="4"/>
  <c r="C692" i="4"/>
  <c r="D692" i="4"/>
  <c r="E692" i="4"/>
  <c r="F692" i="4"/>
  <c r="G692" i="4"/>
  <c r="H692" i="4"/>
  <c r="J692" i="4"/>
  <c r="K692" i="4"/>
  <c r="L692" i="4"/>
  <c r="M692" i="4"/>
  <c r="N692" i="4"/>
  <c r="P692" i="4"/>
  <c r="C693" i="4"/>
  <c r="D693" i="4"/>
  <c r="E693" i="4"/>
  <c r="F693" i="4"/>
  <c r="G693" i="4"/>
  <c r="H693" i="4"/>
  <c r="J693" i="4"/>
  <c r="K693" i="4"/>
  <c r="L693" i="4"/>
  <c r="M693" i="4"/>
  <c r="N693" i="4"/>
  <c r="P693" i="4"/>
  <c r="C694" i="4"/>
  <c r="D694" i="4"/>
  <c r="E694" i="4"/>
  <c r="F694" i="4"/>
  <c r="G694" i="4"/>
  <c r="H694" i="4"/>
  <c r="J694" i="4"/>
  <c r="K694" i="4"/>
  <c r="L694" i="4"/>
  <c r="M694" i="4"/>
  <c r="N694" i="4"/>
  <c r="P694" i="4"/>
  <c r="C695" i="4"/>
  <c r="D695" i="4"/>
  <c r="E695" i="4"/>
  <c r="F695" i="4"/>
  <c r="G695" i="4"/>
  <c r="H695" i="4"/>
  <c r="J695" i="4"/>
  <c r="K695" i="4"/>
  <c r="L695" i="4"/>
  <c r="M695" i="4"/>
  <c r="N695" i="4"/>
  <c r="P695" i="4"/>
  <c r="C696" i="4"/>
  <c r="D696" i="4"/>
  <c r="E696" i="4"/>
  <c r="F696" i="4"/>
  <c r="G696" i="4"/>
  <c r="H696" i="4"/>
  <c r="J696" i="4"/>
  <c r="K696" i="4"/>
  <c r="L696" i="4"/>
  <c r="M696" i="4"/>
  <c r="N696" i="4"/>
  <c r="P696" i="4"/>
  <c r="C697" i="4"/>
  <c r="D697" i="4"/>
  <c r="E697" i="4"/>
  <c r="F697" i="4"/>
  <c r="G697" i="4"/>
  <c r="H697" i="4"/>
  <c r="J697" i="4"/>
  <c r="K697" i="4"/>
  <c r="L697" i="4"/>
  <c r="M697" i="4"/>
  <c r="N697" i="4"/>
  <c r="P697" i="4"/>
  <c r="C698" i="4"/>
  <c r="D698" i="4"/>
  <c r="E698" i="4"/>
  <c r="F698" i="4"/>
  <c r="G698" i="4"/>
  <c r="H698" i="4"/>
  <c r="J698" i="4"/>
  <c r="K698" i="4"/>
  <c r="L698" i="4"/>
  <c r="M698" i="4"/>
  <c r="N698" i="4"/>
  <c r="P698" i="4"/>
  <c r="C699" i="4"/>
  <c r="D699" i="4"/>
  <c r="E699" i="4"/>
  <c r="F699" i="4"/>
  <c r="G699" i="4"/>
  <c r="H699" i="4"/>
  <c r="J699" i="4"/>
  <c r="K699" i="4"/>
  <c r="L699" i="4"/>
  <c r="M699" i="4"/>
  <c r="N699" i="4"/>
  <c r="P699" i="4"/>
  <c r="C700" i="4"/>
  <c r="D700" i="4"/>
  <c r="E700" i="4"/>
  <c r="F700" i="4"/>
  <c r="G700" i="4"/>
  <c r="H700" i="4"/>
  <c r="J700" i="4"/>
  <c r="K700" i="4"/>
  <c r="L700" i="4"/>
  <c r="M700" i="4"/>
  <c r="N700" i="4"/>
  <c r="P700"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5" i="4"/>
  <c r="J351" i="4"/>
  <c r="J353" i="4"/>
  <c r="K351" i="4"/>
  <c r="L353" i="4"/>
  <c r="K353" i="4"/>
  <c r="L351" i="4"/>
  <c r="P351" i="4"/>
  <c r="P353" i="4"/>
  <c r="J352" i="4"/>
  <c r="K352" i="4"/>
  <c r="L352" i="4"/>
  <c r="D237" i="4"/>
  <c r="D353" i="4"/>
  <c r="F353" i="4"/>
  <c r="M351" i="4"/>
  <c r="M352" i="4"/>
  <c r="N237" i="4"/>
  <c r="M237" i="4" s="1"/>
  <c r="N159" i="4"/>
  <c r="M159" i="4" s="1"/>
  <c r="N353" i="4"/>
  <c r="M353" i="4"/>
  <c r="N48" i="4"/>
  <c r="M48" i="4" s="1"/>
  <c r="H48" i="4" s="1"/>
  <c r="N351" i="4"/>
  <c r="N352" i="4"/>
  <c r="P348" i="4"/>
  <c r="D348" i="4"/>
  <c r="D351" i="4"/>
  <c r="F348" i="4"/>
  <c r="F351" i="4"/>
  <c r="N348" i="4"/>
  <c r="M348" i="4"/>
  <c r="J348" i="4"/>
  <c r="L348" i="4"/>
  <c r="K348" i="4"/>
  <c r="N227" i="4"/>
  <c r="M227" i="4" s="1"/>
  <c r="J6" i="4"/>
  <c r="K6" i="4"/>
  <c r="L6" i="4"/>
  <c r="J22" i="4"/>
  <c r="K22" i="4"/>
  <c r="L22" i="4"/>
  <c r="J23" i="4"/>
  <c r="K23" i="4"/>
  <c r="L23" i="4"/>
  <c r="P80" i="4"/>
  <c r="I80" i="4" s="1"/>
  <c r="P82" i="4"/>
  <c r="P84" i="4"/>
  <c r="I84" i="4" s="1"/>
  <c r="G229" i="4"/>
  <c r="P47" i="4"/>
  <c r="I47" i="4" s="1"/>
  <c r="P146" i="4"/>
  <c r="I146" i="4" s="1"/>
  <c r="P174" i="4"/>
  <c r="P185" i="4"/>
  <c r="I185" i="4" s="1"/>
  <c r="J185" i="4" s="1"/>
  <c r="L185" i="4" s="1"/>
  <c r="K185" i="4" s="1"/>
  <c r="P60" i="4"/>
  <c r="I60" i="4" s="1"/>
  <c r="P150" i="4"/>
  <c r="P27" i="4"/>
  <c r="I27" i="4" s="1"/>
  <c r="J27" i="4" s="1"/>
  <c r="P205" i="4"/>
  <c r="P158" i="4"/>
  <c r="I158" i="4" s="1"/>
  <c r="J158" i="4" s="1"/>
  <c r="L158" i="4" s="1"/>
  <c r="K158" i="4" s="1"/>
  <c r="J260" i="4"/>
  <c r="K260" i="4"/>
  <c r="L260" i="4"/>
  <c r="J261" i="4"/>
  <c r="K261" i="4"/>
  <c r="L261" i="4"/>
  <c r="J262" i="4"/>
  <c r="K262" i="4"/>
  <c r="L262" i="4"/>
  <c r="J263" i="4"/>
  <c r="K263" i="4"/>
  <c r="L263" i="4"/>
  <c r="J264" i="4"/>
  <c r="K264" i="4"/>
  <c r="L264" i="4"/>
  <c r="J265" i="4"/>
  <c r="K265" i="4"/>
  <c r="L265" i="4"/>
  <c r="J266" i="4"/>
  <c r="K266" i="4"/>
  <c r="L266" i="4"/>
  <c r="J267" i="4"/>
  <c r="K267" i="4"/>
  <c r="L267" i="4"/>
  <c r="J268" i="4"/>
  <c r="K268" i="4"/>
  <c r="L268" i="4"/>
  <c r="J269" i="4"/>
  <c r="K269" i="4"/>
  <c r="L269" i="4"/>
  <c r="J270" i="4"/>
  <c r="K270" i="4"/>
  <c r="L270" i="4"/>
  <c r="J271" i="4"/>
  <c r="K271" i="4"/>
  <c r="L271" i="4"/>
  <c r="J272" i="4"/>
  <c r="K272" i="4"/>
  <c r="L272" i="4"/>
  <c r="J273" i="4"/>
  <c r="K273" i="4"/>
  <c r="L273" i="4"/>
  <c r="J274" i="4"/>
  <c r="K274" i="4"/>
  <c r="L274" i="4"/>
  <c r="J275" i="4"/>
  <c r="K275" i="4"/>
  <c r="L275" i="4"/>
  <c r="J276" i="4"/>
  <c r="K276" i="4"/>
  <c r="L276" i="4"/>
  <c r="J277" i="4"/>
  <c r="K277" i="4"/>
  <c r="L277" i="4"/>
  <c r="J278" i="4"/>
  <c r="K278" i="4"/>
  <c r="L278" i="4"/>
  <c r="J279" i="4"/>
  <c r="K279" i="4"/>
  <c r="L279" i="4"/>
  <c r="J280" i="4"/>
  <c r="K280" i="4"/>
  <c r="L280" i="4"/>
  <c r="J281" i="4"/>
  <c r="K281" i="4"/>
  <c r="L281" i="4"/>
  <c r="J282" i="4"/>
  <c r="K282" i="4"/>
  <c r="L282" i="4"/>
  <c r="J283" i="4"/>
  <c r="K283" i="4"/>
  <c r="L283" i="4"/>
  <c r="J284" i="4"/>
  <c r="K284" i="4"/>
  <c r="L284" i="4"/>
  <c r="J285" i="4"/>
  <c r="K285" i="4"/>
  <c r="L285" i="4"/>
  <c r="J286" i="4"/>
  <c r="K286" i="4"/>
  <c r="L286" i="4"/>
  <c r="J287" i="4"/>
  <c r="K287" i="4"/>
  <c r="L287" i="4"/>
  <c r="J288" i="4"/>
  <c r="K288" i="4"/>
  <c r="L288" i="4"/>
  <c r="J289" i="4"/>
  <c r="K289" i="4"/>
  <c r="L289" i="4"/>
  <c r="J290" i="4"/>
  <c r="K290" i="4"/>
  <c r="L290" i="4"/>
  <c r="J291" i="4"/>
  <c r="K291" i="4"/>
  <c r="L291" i="4"/>
  <c r="J292" i="4"/>
  <c r="K292" i="4"/>
  <c r="L292" i="4"/>
  <c r="J293" i="4"/>
  <c r="K293" i="4"/>
  <c r="L293" i="4"/>
  <c r="J294" i="4"/>
  <c r="K294" i="4"/>
  <c r="L294" i="4"/>
  <c r="J295" i="4"/>
  <c r="K295" i="4"/>
  <c r="L295" i="4"/>
  <c r="J296" i="4"/>
  <c r="K296" i="4"/>
  <c r="L296" i="4"/>
  <c r="J297" i="4"/>
  <c r="K297" i="4"/>
  <c r="L297" i="4"/>
  <c r="J298" i="4"/>
  <c r="K298" i="4"/>
  <c r="L298" i="4"/>
  <c r="J299" i="4"/>
  <c r="K299" i="4"/>
  <c r="L299" i="4"/>
  <c r="J300" i="4"/>
  <c r="K300" i="4"/>
  <c r="L300" i="4"/>
  <c r="J301" i="4"/>
  <c r="K301" i="4"/>
  <c r="L301" i="4"/>
  <c r="J302" i="4"/>
  <c r="K302" i="4"/>
  <c r="L302" i="4"/>
  <c r="J303" i="4"/>
  <c r="K303" i="4"/>
  <c r="L303" i="4"/>
  <c r="J304" i="4"/>
  <c r="K304" i="4"/>
  <c r="L304" i="4"/>
  <c r="J305" i="4"/>
  <c r="K305" i="4"/>
  <c r="L305" i="4"/>
  <c r="J306" i="4"/>
  <c r="K306" i="4"/>
  <c r="L306" i="4"/>
  <c r="J307" i="4"/>
  <c r="K307" i="4"/>
  <c r="L307" i="4"/>
  <c r="J308" i="4"/>
  <c r="K308" i="4"/>
  <c r="L308" i="4"/>
  <c r="J309" i="4"/>
  <c r="K309" i="4"/>
  <c r="L309" i="4"/>
  <c r="J310" i="4"/>
  <c r="K310" i="4"/>
  <c r="L310" i="4"/>
  <c r="J311" i="4"/>
  <c r="K311" i="4"/>
  <c r="L311" i="4"/>
  <c r="J312" i="4"/>
  <c r="K312" i="4"/>
  <c r="L312" i="4"/>
  <c r="J313" i="4"/>
  <c r="K313" i="4"/>
  <c r="L313" i="4"/>
  <c r="J314" i="4"/>
  <c r="K314" i="4"/>
  <c r="L314" i="4"/>
  <c r="J315" i="4"/>
  <c r="K315" i="4"/>
  <c r="L315" i="4"/>
  <c r="J316" i="4"/>
  <c r="K316" i="4"/>
  <c r="L316" i="4"/>
  <c r="J317" i="4"/>
  <c r="K317" i="4"/>
  <c r="L317" i="4"/>
  <c r="J318" i="4"/>
  <c r="K318" i="4"/>
  <c r="L318" i="4"/>
  <c r="J319" i="4"/>
  <c r="K319" i="4"/>
  <c r="L319" i="4"/>
  <c r="J320" i="4"/>
  <c r="K320" i="4"/>
  <c r="L320" i="4"/>
  <c r="J321" i="4"/>
  <c r="K321" i="4"/>
  <c r="L321" i="4"/>
  <c r="J322" i="4"/>
  <c r="K322" i="4"/>
  <c r="L322" i="4"/>
  <c r="J323" i="4"/>
  <c r="K323" i="4"/>
  <c r="L323" i="4"/>
  <c r="J324" i="4"/>
  <c r="K324" i="4"/>
  <c r="L324" i="4"/>
  <c r="J325" i="4"/>
  <c r="K325" i="4"/>
  <c r="L325" i="4"/>
  <c r="J326" i="4"/>
  <c r="K326" i="4"/>
  <c r="L326" i="4"/>
  <c r="J327" i="4"/>
  <c r="K327" i="4"/>
  <c r="L327" i="4"/>
  <c r="J328" i="4"/>
  <c r="K328" i="4"/>
  <c r="L328" i="4"/>
  <c r="J329" i="4"/>
  <c r="K329" i="4"/>
  <c r="L329" i="4"/>
  <c r="J330" i="4"/>
  <c r="K330" i="4"/>
  <c r="L330" i="4"/>
  <c r="J331" i="4"/>
  <c r="K331" i="4"/>
  <c r="L331" i="4"/>
  <c r="J332" i="4"/>
  <c r="K332" i="4"/>
  <c r="L332" i="4"/>
  <c r="J333" i="4"/>
  <c r="K333" i="4"/>
  <c r="L333" i="4"/>
  <c r="J334" i="4"/>
  <c r="K334" i="4"/>
  <c r="L334" i="4"/>
  <c r="J335" i="4"/>
  <c r="K335" i="4"/>
  <c r="L335" i="4"/>
  <c r="J336" i="4"/>
  <c r="K336" i="4"/>
  <c r="L336" i="4"/>
  <c r="J337" i="4"/>
  <c r="K337" i="4"/>
  <c r="L337" i="4"/>
  <c r="J338" i="4"/>
  <c r="K338" i="4"/>
  <c r="L338" i="4"/>
  <c r="J339" i="4"/>
  <c r="K339" i="4"/>
  <c r="L339" i="4"/>
  <c r="J340" i="4"/>
  <c r="K340" i="4"/>
  <c r="L340" i="4"/>
  <c r="J341" i="4"/>
  <c r="K341" i="4"/>
  <c r="L341" i="4"/>
  <c r="J342" i="4"/>
  <c r="K342" i="4"/>
  <c r="L342" i="4"/>
  <c r="J343" i="4"/>
  <c r="K343" i="4"/>
  <c r="L343" i="4"/>
  <c r="J344" i="4"/>
  <c r="K344" i="4"/>
  <c r="L344" i="4"/>
  <c r="J345" i="4"/>
  <c r="K345" i="4"/>
  <c r="L345" i="4"/>
  <c r="J346" i="4"/>
  <c r="K346" i="4"/>
  <c r="L346" i="4"/>
  <c r="J347" i="4"/>
  <c r="K347" i="4"/>
  <c r="L347" i="4"/>
  <c r="J349" i="4"/>
  <c r="K349" i="4"/>
  <c r="L349" i="4"/>
  <c r="J350" i="4"/>
  <c r="K350" i="4"/>
  <c r="L350" i="4"/>
  <c r="G351"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J5" i="4"/>
  <c r="L5" i="4"/>
  <c r="M6" i="4"/>
  <c r="N6" i="4"/>
  <c r="H7" i="4"/>
  <c r="N9" i="4"/>
  <c r="M9" i="4" s="1"/>
  <c r="H9" i="4"/>
  <c r="N10" i="4"/>
  <c r="M10" i="4" s="1"/>
  <c r="N11" i="4"/>
  <c r="M11" i="4" s="1"/>
  <c r="H11" i="4" s="1"/>
  <c r="N12" i="4"/>
  <c r="M12" i="4" s="1"/>
  <c r="H12" i="4" s="1"/>
  <c r="N13" i="4"/>
  <c r="M13" i="4" s="1"/>
  <c r="N14" i="4"/>
  <c r="M14" i="4" s="1"/>
  <c r="H14" i="4" s="1"/>
  <c r="N15" i="4"/>
  <c r="M15" i="4" s="1"/>
  <c r="H15" i="4"/>
  <c r="N16" i="4"/>
  <c r="M16" i="4" s="1"/>
  <c r="H16" i="4" s="1"/>
  <c r="H17" i="4"/>
  <c r="H18" i="4"/>
  <c r="N19" i="4"/>
  <c r="M19" i="4" s="1"/>
  <c r="H19" i="4"/>
  <c r="N20" i="4"/>
  <c r="M20" i="4" s="1"/>
  <c r="M22" i="4"/>
  <c r="N22" i="4"/>
  <c r="M23" i="4"/>
  <c r="N23" i="4"/>
  <c r="N24" i="4"/>
  <c r="M24" i="4"/>
  <c r="N26" i="4"/>
  <c r="M26" i="4" s="1"/>
  <c r="H26" i="4"/>
  <c r="N28" i="4"/>
  <c r="M28" i="4" s="1"/>
  <c r="H28" i="4" s="1"/>
  <c r="H29" i="4"/>
  <c r="N30" i="4"/>
  <c r="M30" i="4" s="1"/>
  <c r="H30" i="4"/>
  <c r="H31" i="4"/>
  <c r="N32" i="4"/>
  <c r="H34" i="4"/>
  <c r="N36" i="4"/>
  <c r="M36" i="4" s="1"/>
  <c r="H36" i="4" s="1"/>
  <c r="N38" i="4"/>
  <c r="M38" i="4" s="1"/>
  <c r="H38" i="4"/>
  <c r="H39" i="4"/>
  <c r="H40" i="4"/>
  <c r="N41" i="4"/>
  <c r="M41" i="4" s="1"/>
  <c r="H42" i="4"/>
  <c r="N43" i="4"/>
  <c r="M43" i="4" s="1"/>
  <c r="H43" i="4" s="1"/>
  <c r="N44" i="4"/>
  <c r="M44" i="4" s="1"/>
  <c r="H44" i="4" s="1"/>
  <c r="H45" i="4"/>
  <c r="N46" i="4"/>
  <c r="M46" i="4" s="1"/>
  <c r="H49" i="4"/>
  <c r="N50" i="4"/>
  <c r="M50" i="4" s="1"/>
  <c r="H50" i="4" s="1"/>
  <c r="H51" i="4"/>
  <c r="N52" i="4"/>
  <c r="M52" i="4" s="1"/>
  <c r="N53" i="4"/>
  <c r="M53" i="4" s="1"/>
  <c r="H53" i="4"/>
  <c r="H54" i="4"/>
  <c r="N55" i="4"/>
  <c r="M55" i="4" s="1"/>
  <c r="N56" i="4"/>
  <c r="M56" i="4" s="1"/>
  <c r="H56" i="4" s="1"/>
  <c r="N57" i="4"/>
  <c r="M57" i="4" s="1"/>
  <c r="H57" i="4" s="1"/>
  <c r="N58" i="4"/>
  <c r="M58" i="4" s="1"/>
  <c r="H58" i="4"/>
  <c r="H59" i="4"/>
  <c r="H61" i="4"/>
  <c r="N62" i="4"/>
  <c r="M62" i="4" s="1"/>
  <c r="H62" i="4" s="1"/>
  <c r="N64" i="4"/>
  <c r="M64" i="4" s="1"/>
  <c r="H65" i="4"/>
  <c r="N66" i="4"/>
  <c r="M66" i="4" s="1"/>
  <c r="N67" i="4"/>
  <c r="M67" i="4" s="1"/>
  <c r="H67" i="4" s="1"/>
  <c r="H69" i="4"/>
  <c r="N70" i="4"/>
  <c r="M70" i="4" s="1"/>
  <c r="H70" i="4" s="1"/>
  <c r="H71" i="4"/>
  <c r="N72" i="4"/>
  <c r="M72" i="4" s="1"/>
  <c r="H72" i="4" s="1"/>
  <c r="H74" i="4"/>
  <c r="N75" i="4"/>
  <c r="M75" i="4" s="1"/>
  <c r="H75" i="4"/>
  <c r="N76" i="4"/>
  <c r="M76" i="4" s="1"/>
  <c r="H76" i="4"/>
  <c r="N78" i="4"/>
  <c r="M78" i="4" s="1"/>
  <c r="H78" i="4"/>
  <c r="N80" i="4"/>
  <c r="M80" i="4" s="1"/>
  <c r="H80" i="4"/>
  <c r="N81" i="4"/>
  <c r="M81" i="4" s="1"/>
  <c r="H81" i="4" s="1"/>
  <c r="N87" i="4"/>
  <c r="M87" i="4" s="1"/>
  <c r="H87" i="4" s="1"/>
  <c r="N88" i="4"/>
  <c r="M88" i="4" s="1"/>
  <c r="H88" i="4" s="1"/>
  <c r="N89" i="4"/>
  <c r="H90" i="4"/>
  <c r="N91" i="4"/>
  <c r="M91" i="4" s="1"/>
  <c r="H91" i="4" s="1"/>
  <c r="N92" i="4"/>
  <c r="M92" i="4" s="1"/>
  <c r="H92" i="4" s="1"/>
  <c r="N93" i="4"/>
  <c r="M93" i="4" s="1"/>
  <c r="N95" i="4"/>
  <c r="M95" i="4" s="1"/>
  <c r="H95" i="4" s="1"/>
  <c r="N97" i="4"/>
  <c r="M97" i="4" s="1"/>
  <c r="H97" i="4" s="1"/>
  <c r="N98" i="4"/>
  <c r="M98" i="4" s="1"/>
  <c r="N99" i="4"/>
  <c r="M99" i="4" s="1"/>
  <c r="H100" i="4"/>
  <c r="I21" i="2" s="1"/>
  <c r="N101" i="4"/>
  <c r="M101" i="4" s="1"/>
  <c r="H101" i="4" s="1"/>
  <c r="H102" i="4"/>
  <c r="N103" i="4"/>
  <c r="M103" i="4" s="1"/>
  <c r="H103" i="4"/>
  <c r="N104" i="4"/>
  <c r="M104" i="4" s="1"/>
  <c r="H105" i="4"/>
  <c r="N107" i="4"/>
  <c r="M107" i="4" s="1"/>
  <c r="H107" i="4"/>
  <c r="N108" i="4"/>
  <c r="M108" i="4" s="1"/>
  <c r="H109" i="4"/>
  <c r="N110" i="4"/>
  <c r="M110" i="4" s="1"/>
  <c r="N111" i="4"/>
  <c r="M111" i="4" s="1"/>
  <c r="H111" i="4" s="1"/>
  <c r="N112" i="4"/>
  <c r="M112" i="4" s="1"/>
  <c r="H112" i="4" s="1"/>
  <c r="H113" i="4"/>
  <c r="H114" i="4"/>
  <c r="N115" i="4"/>
  <c r="M115" i="4" s="1"/>
  <c r="H115" i="4" s="1"/>
  <c r="H116" i="4"/>
  <c r="H117" i="4"/>
  <c r="N118" i="4"/>
  <c r="M118" i="4" s="1"/>
  <c r="H118" i="4" s="1"/>
  <c r="H119" i="4"/>
  <c r="N120" i="4"/>
  <c r="M120" i="4" s="1"/>
  <c r="H120" i="4" s="1"/>
  <c r="H121" i="4"/>
  <c r="N122" i="4"/>
  <c r="M122" i="4" s="1"/>
  <c r="H122" i="4"/>
  <c r="N124" i="4"/>
  <c r="M124" i="4" s="1"/>
  <c r="H124" i="4"/>
  <c r="N125" i="4"/>
  <c r="M125" i="4" s="1"/>
  <c r="H125" i="4" s="1"/>
  <c r="H126" i="4"/>
  <c r="N127" i="4"/>
  <c r="M127" i="4" s="1"/>
  <c r="H127" i="4" s="1"/>
  <c r="N128" i="4"/>
  <c r="M128" i="4" s="1"/>
  <c r="H128" i="4"/>
  <c r="N130" i="4"/>
  <c r="M130" i="4" s="1"/>
  <c r="N131" i="4"/>
  <c r="M131" i="4" s="1"/>
  <c r="H131" i="4" s="1"/>
  <c r="N132" i="4"/>
  <c r="M132" i="4" s="1"/>
  <c r="H132" i="4" s="1"/>
  <c r="N133" i="4"/>
  <c r="M133" i="4" s="1"/>
  <c r="N134" i="4"/>
  <c r="M134" i="4" s="1"/>
  <c r="H134" i="4" s="1"/>
  <c r="H135" i="4"/>
  <c r="N136" i="4"/>
  <c r="M136" i="4" s="1"/>
  <c r="H136" i="4" s="1"/>
  <c r="N137" i="4"/>
  <c r="M137" i="4" s="1"/>
  <c r="H138" i="4"/>
  <c r="H140" i="4"/>
  <c r="N142" i="4"/>
  <c r="M142" i="4" s="1"/>
  <c r="N143" i="4"/>
  <c r="M143" i="4" s="1"/>
  <c r="H143" i="4" s="1"/>
  <c r="N145" i="4"/>
  <c r="M145" i="4" s="1"/>
  <c r="H145" i="4" s="1"/>
  <c r="N149" i="4"/>
  <c r="M149" i="4" s="1"/>
  <c r="H149" i="4" s="1"/>
  <c r="N151" i="4"/>
  <c r="M151" i="4" s="1"/>
  <c r="H152" i="4"/>
  <c r="H153" i="4"/>
  <c r="N154" i="4"/>
  <c r="M154" i="4" s="1"/>
  <c r="H154" i="4" s="1"/>
  <c r="H155" i="4"/>
  <c r="N156" i="4"/>
  <c r="M156" i="4" s="1"/>
  <c r="H156" i="4" s="1"/>
  <c r="H157" i="4"/>
  <c r="H158" i="4"/>
  <c r="H159" i="4"/>
  <c r="H160" i="4"/>
  <c r="N162" i="4"/>
  <c r="M162" i="4" s="1"/>
  <c r="H162" i="4"/>
  <c r="N164" i="4"/>
  <c r="M164" i="4" s="1"/>
  <c r="H164" i="4"/>
  <c r="N165" i="4"/>
  <c r="M165" i="4" s="1"/>
  <c r="N166" i="4"/>
  <c r="M166" i="4" s="1"/>
  <c r="H166" i="4"/>
  <c r="H167" i="4"/>
  <c r="N168" i="4"/>
  <c r="M168" i="4" s="1"/>
  <c r="H168" i="4" s="1"/>
  <c r="N169" i="4"/>
  <c r="M169" i="4" s="1"/>
  <c r="H169" i="4"/>
  <c r="H171" i="4"/>
  <c r="N172" i="4"/>
  <c r="M172" i="4" s="1"/>
  <c r="H172" i="4" s="1"/>
  <c r="H173" i="4"/>
  <c r="H174" i="4"/>
  <c r="N175" i="4"/>
  <c r="M175" i="4" s="1"/>
  <c r="H175" i="4"/>
  <c r="N177" i="4"/>
  <c r="M177" i="4" s="1"/>
  <c r="H177" i="4" s="1"/>
  <c r="N180" i="4"/>
  <c r="M180" i="4" s="1"/>
  <c r="H180" i="4" s="1"/>
  <c r="H182" i="4"/>
  <c r="N183" i="4"/>
  <c r="M183" i="4" s="1"/>
  <c r="H183" i="4" s="1"/>
  <c r="H184" i="4"/>
  <c r="H185" i="4"/>
  <c r="H186" i="4"/>
  <c r="N187" i="4"/>
  <c r="M187" i="4" s="1"/>
  <c r="H187" i="4"/>
  <c r="N189" i="4"/>
  <c r="M189" i="4" s="1"/>
  <c r="N191" i="4"/>
  <c r="M191" i="4" s="1"/>
  <c r="H191" i="4" s="1"/>
  <c r="N194" i="4"/>
  <c r="M194" i="4" s="1"/>
  <c r="H194" i="4" s="1"/>
  <c r="N196" i="4"/>
  <c r="M196" i="4" s="1"/>
  <c r="H196" i="4" s="1"/>
  <c r="H197" i="4"/>
  <c r="N198" i="4"/>
  <c r="M198" i="4" s="1"/>
  <c r="H198" i="4" s="1"/>
  <c r="N199" i="4"/>
  <c r="M199" i="4" s="1"/>
  <c r="H199" i="4" s="1"/>
  <c r="H201" i="4"/>
  <c r="H202" i="4"/>
  <c r="H203" i="4"/>
  <c r="M204" i="4"/>
  <c r="H204" i="4"/>
  <c r="H205" i="4"/>
  <c r="N206" i="4"/>
  <c r="M206" i="4" s="1"/>
  <c r="H206" i="4"/>
  <c r="H207" i="4"/>
  <c r="H208" i="4"/>
  <c r="N209" i="4"/>
  <c r="M209" i="4" s="1"/>
  <c r="H209" i="4" s="1"/>
  <c r="H210" i="4"/>
  <c r="N211" i="4"/>
  <c r="N212" i="4"/>
  <c r="M212" i="4" s="1"/>
  <c r="H212" i="4"/>
  <c r="N213" i="4"/>
  <c r="M213" i="4" s="1"/>
  <c r="H213" i="4" s="1"/>
  <c r="H214" i="4"/>
  <c r="N215" i="4"/>
  <c r="M215" i="4" s="1"/>
  <c r="H215" i="4" s="1"/>
  <c r="H216" i="4"/>
  <c r="N218" i="4"/>
  <c r="M218" i="4" s="1"/>
  <c r="H218" i="4"/>
  <c r="N219" i="4"/>
  <c r="M219" i="4" s="1"/>
  <c r="H219" i="4" s="1"/>
  <c r="N220" i="4"/>
  <c r="M220" i="4" s="1"/>
  <c r="H220" i="4" s="1"/>
  <c r="N222" i="4"/>
  <c r="M222" i="4" s="1"/>
  <c r="H222" i="4" s="1"/>
  <c r="N223" i="4"/>
  <c r="M223" i="4" s="1"/>
  <c r="H223" i="4" s="1"/>
  <c r="N224" i="4"/>
  <c r="M224" i="4" s="1"/>
  <c r="H224" i="4" s="1"/>
  <c r="N226" i="4"/>
  <c r="M226" i="4" s="1"/>
  <c r="H226" i="4"/>
  <c r="H227" i="4"/>
  <c r="H229" i="4"/>
  <c r="N230" i="4"/>
  <c r="N231" i="4"/>
  <c r="M231" i="4" s="1"/>
  <c r="H231" i="4" s="1"/>
  <c r="N232" i="4"/>
  <c r="M232" i="4" s="1"/>
  <c r="H232" i="4" s="1"/>
  <c r="H233" i="4"/>
  <c r="H73" i="4"/>
  <c r="M5" i="4"/>
  <c r="N5" i="4"/>
  <c r="H66" i="4"/>
  <c r="N234" i="4"/>
  <c r="M234" i="4" s="1"/>
  <c r="N236" i="4"/>
  <c r="M236" i="4" s="1"/>
  <c r="H236" i="4" s="1"/>
  <c r="H237" i="4"/>
  <c r="N238" i="4"/>
  <c r="M238" i="4" s="1"/>
  <c r="H238" i="4" s="1"/>
  <c r="N240" i="4"/>
  <c r="M240" i="4" s="1"/>
  <c r="H240" i="4" s="1"/>
  <c r="N241" i="4"/>
  <c r="M241" i="4" s="1"/>
  <c r="N243" i="4"/>
  <c r="M243" i="4" s="1"/>
  <c r="H244" i="4"/>
  <c r="N245" i="4"/>
  <c r="M245" i="4" s="1"/>
  <c r="N246" i="4"/>
  <c r="M246" i="4" s="1"/>
  <c r="H246" i="4"/>
  <c r="N248" i="4"/>
  <c r="M248" i="4" s="1"/>
  <c r="N249" i="4"/>
  <c r="M249" i="4" s="1"/>
  <c r="N250" i="4"/>
  <c r="M250" i="4" s="1"/>
  <c r="N251" i="4"/>
  <c r="M251" i="4" s="1"/>
  <c r="H251" i="4" s="1"/>
  <c r="N252" i="4"/>
  <c r="M252" i="4" s="1"/>
  <c r="N253" i="4"/>
  <c r="M253" i="4" s="1"/>
  <c r="N254" i="4"/>
  <c r="M254" i="4" s="1"/>
  <c r="H254" i="4" s="1"/>
  <c r="N255" i="4"/>
  <c r="M255" i="4" s="1"/>
  <c r="N256" i="4"/>
  <c r="M256" i="4" s="1"/>
  <c r="N257" i="4"/>
  <c r="M257" i="4" s="1"/>
  <c r="H257" i="4" s="1"/>
  <c r="N258" i="4"/>
  <c r="M258" i="4" s="1"/>
  <c r="N259" i="4"/>
  <c r="M259" i="4" s="1"/>
  <c r="H259" i="4" s="1"/>
  <c r="M260" i="4"/>
  <c r="N260" i="4"/>
  <c r="H260" i="4"/>
  <c r="M261" i="4"/>
  <c r="N261" i="4"/>
  <c r="H261" i="4"/>
  <c r="M262" i="4"/>
  <c r="N262" i="4"/>
  <c r="H262" i="4"/>
  <c r="M263" i="4"/>
  <c r="N263" i="4"/>
  <c r="H263" i="4"/>
  <c r="M264" i="4"/>
  <c r="N264" i="4"/>
  <c r="H264" i="4"/>
  <c r="M265" i="4"/>
  <c r="N265" i="4"/>
  <c r="H265" i="4"/>
  <c r="M266" i="4"/>
  <c r="N266" i="4"/>
  <c r="H266" i="4"/>
  <c r="M267" i="4"/>
  <c r="N267" i="4"/>
  <c r="H267" i="4"/>
  <c r="M268" i="4"/>
  <c r="N268" i="4"/>
  <c r="H268" i="4"/>
  <c r="M269" i="4"/>
  <c r="N269" i="4"/>
  <c r="H269" i="4"/>
  <c r="M270" i="4"/>
  <c r="N270" i="4"/>
  <c r="H270" i="4"/>
  <c r="M271" i="4"/>
  <c r="N271" i="4"/>
  <c r="H271" i="4"/>
  <c r="M272" i="4"/>
  <c r="N272" i="4"/>
  <c r="H272" i="4"/>
  <c r="M273" i="4"/>
  <c r="N273" i="4"/>
  <c r="H273" i="4"/>
  <c r="M274" i="4"/>
  <c r="N274" i="4"/>
  <c r="H274" i="4"/>
  <c r="M275" i="4"/>
  <c r="N275" i="4"/>
  <c r="H275" i="4"/>
  <c r="M276" i="4"/>
  <c r="N276" i="4"/>
  <c r="H276" i="4"/>
  <c r="M277" i="4"/>
  <c r="N277" i="4"/>
  <c r="H277" i="4"/>
  <c r="M278" i="4"/>
  <c r="N278" i="4"/>
  <c r="H278" i="4"/>
  <c r="M279" i="4"/>
  <c r="N279" i="4"/>
  <c r="H279" i="4"/>
  <c r="M280" i="4"/>
  <c r="N280" i="4"/>
  <c r="H280" i="4"/>
  <c r="M281" i="4"/>
  <c r="N281" i="4"/>
  <c r="H281" i="4"/>
  <c r="M282" i="4"/>
  <c r="N282" i="4"/>
  <c r="H282" i="4"/>
  <c r="M283" i="4"/>
  <c r="N283" i="4"/>
  <c r="H283" i="4"/>
  <c r="M284" i="4"/>
  <c r="N284" i="4"/>
  <c r="H284" i="4"/>
  <c r="M285" i="4"/>
  <c r="N285" i="4"/>
  <c r="H285" i="4"/>
  <c r="M286" i="4"/>
  <c r="N286" i="4"/>
  <c r="H286" i="4"/>
  <c r="M287" i="4"/>
  <c r="N287" i="4"/>
  <c r="H287" i="4"/>
  <c r="M288" i="4"/>
  <c r="N288" i="4"/>
  <c r="H288" i="4"/>
  <c r="M289" i="4"/>
  <c r="N289" i="4"/>
  <c r="H289" i="4"/>
  <c r="M290" i="4"/>
  <c r="N290" i="4"/>
  <c r="H290" i="4"/>
  <c r="M291" i="4"/>
  <c r="N291" i="4"/>
  <c r="H291" i="4"/>
  <c r="M292" i="4"/>
  <c r="N292" i="4"/>
  <c r="H292" i="4"/>
  <c r="M293" i="4"/>
  <c r="N293" i="4"/>
  <c r="H293" i="4"/>
  <c r="M294" i="4"/>
  <c r="N294" i="4"/>
  <c r="H294" i="4"/>
  <c r="M295" i="4"/>
  <c r="N295" i="4"/>
  <c r="H295" i="4"/>
  <c r="M296" i="4"/>
  <c r="N296" i="4"/>
  <c r="H296" i="4"/>
  <c r="M297" i="4"/>
  <c r="N297" i="4"/>
  <c r="H297" i="4"/>
  <c r="M298" i="4"/>
  <c r="N298" i="4"/>
  <c r="H298" i="4"/>
  <c r="M299" i="4"/>
  <c r="N299" i="4"/>
  <c r="H299" i="4"/>
  <c r="M300" i="4"/>
  <c r="N300" i="4"/>
  <c r="H300" i="4"/>
  <c r="M301" i="4"/>
  <c r="N301" i="4"/>
  <c r="H301" i="4"/>
  <c r="M302" i="4"/>
  <c r="N302" i="4"/>
  <c r="H302" i="4"/>
  <c r="M303" i="4"/>
  <c r="N303" i="4"/>
  <c r="H303" i="4"/>
  <c r="M304" i="4"/>
  <c r="N304" i="4"/>
  <c r="H304" i="4"/>
  <c r="M305" i="4"/>
  <c r="N305" i="4"/>
  <c r="H305" i="4"/>
  <c r="M306" i="4"/>
  <c r="N306" i="4"/>
  <c r="H306" i="4"/>
  <c r="M307" i="4"/>
  <c r="N307" i="4"/>
  <c r="H307" i="4"/>
  <c r="M308" i="4"/>
  <c r="N308" i="4"/>
  <c r="H308" i="4"/>
  <c r="M309" i="4"/>
  <c r="N309" i="4"/>
  <c r="H309" i="4"/>
  <c r="M310" i="4"/>
  <c r="H310" i="4"/>
  <c r="N310" i="4"/>
  <c r="M311" i="4"/>
  <c r="N311" i="4"/>
  <c r="H311" i="4"/>
  <c r="M312" i="4"/>
  <c r="N312" i="4"/>
  <c r="H312" i="4"/>
  <c r="M313" i="4"/>
  <c r="N313" i="4"/>
  <c r="H313" i="4"/>
  <c r="M314" i="4"/>
  <c r="N314" i="4"/>
  <c r="H314" i="4"/>
  <c r="M315" i="4"/>
  <c r="N315" i="4"/>
  <c r="H315" i="4"/>
  <c r="M316" i="4"/>
  <c r="N316" i="4"/>
  <c r="H316" i="4"/>
  <c r="M317" i="4"/>
  <c r="N317" i="4"/>
  <c r="H317" i="4"/>
  <c r="M318" i="4"/>
  <c r="N318" i="4"/>
  <c r="H318" i="4"/>
  <c r="M319" i="4"/>
  <c r="N319" i="4"/>
  <c r="H319" i="4"/>
  <c r="M320" i="4"/>
  <c r="N320" i="4"/>
  <c r="H320" i="4"/>
  <c r="M321" i="4"/>
  <c r="N321" i="4"/>
  <c r="H321" i="4"/>
  <c r="M322" i="4"/>
  <c r="N322" i="4"/>
  <c r="H322" i="4"/>
  <c r="M323" i="4"/>
  <c r="N323" i="4"/>
  <c r="H323" i="4"/>
  <c r="M324" i="4"/>
  <c r="N324" i="4"/>
  <c r="H324" i="4"/>
  <c r="M325" i="4"/>
  <c r="N325" i="4"/>
  <c r="H325" i="4"/>
  <c r="M326" i="4"/>
  <c r="N326" i="4"/>
  <c r="H326" i="4"/>
  <c r="M327" i="4"/>
  <c r="N327" i="4"/>
  <c r="H327" i="4"/>
  <c r="M328" i="4"/>
  <c r="N328" i="4"/>
  <c r="H328" i="4"/>
  <c r="M329" i="4"/>
  <c r="N329" i="4"/>
  <c r="H329" i="4"/>
  <c r="M330" i="4"/>
  <c r="N330" i="4"/>
  <c r="H330" i="4"/>
  <c r="M331" i="4"/>
  <c r="N331" i="4"/>
  <c r="H331" i="4"/>
  <c r="M332" i="4"/>
  <c r="N332" i="4"/>
  <c r="H332" i="4"/>
  <c r="M333" i="4"/>
  <c r="N333" i="4"/>
  <c r="H333" i="4"/>
  <c r="M334" i="4"/>
  <c r="N334" i="4"/>
  <c r="H334" i="4"/>
  <c r="M335" i="4"/>
  <c r="N335" i="4"/>
  <c r="H335" i="4"/>
  <c r="M336" i="4"/>
  <c r="N336" i="4"/>
  <c r="H336" i="4"/>
  <c r="M337" i="4"/>
  <c r="N337" i="4"/>
  <c r="H337" i="4"/>
  <c r="M338" i="4"/>
  <c r="N338" i="4"/>
  <c r="M339" i="4"/>
  <c r="N339" i="4"/>
  <c r="H339" i="4"/>
  <c r="M340" i="4"/>
  <c r="N340" i="4"/>
  <c r="H340" i="4"/>
  <c r="M341" i="4"/>
  <c r="N341" i="4"/>
  <c r="H341" i="4"/>
  <c r="M342" i="4"/>
  <c r="N342" i="4"/>
  <c r="H342" i="4"/>
  <c r="M343" i="4"/>
  <c r="N343" i="4"/>
  <c r="H343" i="4"/>
  <c r="M344" i="4"/>
  <c r="N344" i="4"/>
  <c r="H344" i="4"/>
  <c r="M345" i="4"/>
  <c r="N345" i="4"/>
  <c r="H345" i="4"/>
  <c r="M346" i="4"/>
  <c r="N346" i="4"/>
  <c r="M347" i="4"/>
  <c r="N347" i="4"/>
  <c r="H347" i="4"/>
  <c r="H348" i="4"/>
  <c r="M349" i="4"/>
  <c r="N349" i="4"/>
  <c r="H349" i="4"/>
  <c r="M350" i="4"/>
  <c r="N350"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D349" i="4"/>
  <c r="F349" i="4"/>
  <c r="R7" i="15"/>
  <c r="R16" i="15"/>
  <c r="R25" i="15"/>
  <c r="R8" i="15"/>
  <c r="R17" i="15"/>
  <c r="R26" i="15"/>
  <c r="R9" i="15"/>
  <c r="R18" i="15"/>
  <c r="R27" i="15"/>
  <c r="R10" i="15"/>
  <c r="R19" i="15"/>
  <c r="R28" i="15"/>
  <c r="R11" i="15"/>
  <c r="R20" i="15"/>
  <c r="R29" i="15"/>
  <c r="R12" i="15"/>
  <c r="R21" i="15"/>
  <c r="R30" i="15"/>
  <c r="R13" i="15"/>
  <c r="R22" i="15"/>
  <c r="R31" i="15"/>
  <c r="R14" i="15"/>
  <c r="R23" i="15"/>
  <c r="R32" i="15"/>
  <c r="R15" i="15"/>
  <c r="R24" i="15"/>
  <c r="P349" i="4"/>
  <c r="E348" i="4"/>
  <c r="E349" i="4"/>
  <c r="E351" i="4"/>
  <c r="E353" i="4"/>
  <c r="E224" i="4"/>
  <c r="E237" i="4"/>
  <c r="F310" i="4"/>
  <c r="E310" i="4"/>
  <c r="D310" i="4"/>
  <c r="F307" i="4"/>
  <c r="E307" i="4"/>
  <c r="D307" i="4"/>
  <c r="F158" i="4"/>
  <c r="E158" i="4"/>
  <c r="D158" i="4"/>
  <c r="F296" i="4"/>
  <c r="E296" i="4"/>
  <c r="D296" i="4"/>
  <c r="F146" i="4"/>
  <c r="E146" i="4"/>
  <c r="D146" i="4"/>
  <c r="F257" i="4"/>
  <c r="E257" i="4"/>
  <c r="D257" i="4"/>
  <c r="F224" i="4"/>
  <c r="D224" i="4"/>
  <c r="C310" i="4"/>
  <c r="C348" i="4"/>
  <c r="C349" i="4"/>
  <c r="C351" i="4"/>
  <c r="C353" i="4"/>
  <c r="C307" i="4"/>
  <c r="C158" i="4"/>
  <c r="C296" i="4"/>
  <c r="C224" i="4"/>
  <c r="C237" i="4"/>
  <c r="C146" i="4"/>
  <c r="C257" i="4"/>
  <c r="J354" i="4"/>
  <c r="K354" i="4"/>
  <c r="L354" i="4"/>
  <c r="M354" i="4"/>
  <c r="N354" i="4"/>
  <c r="J355" i="4"/>
  <c r="K355" i="4"/>
  <c r="L355" i="4"/>
  <c r="M355" i="4"/>
  <c r="N355" i="4"/>
  <c r="J356" i="4"/>
  <c r="K356" i="4"/>
  <c r="L356" i="4"/>
  <c r="M356" i="4"/>
  <c r="N356" i="4"/>
  <c r="J357" i="4"/>
  <c r="K357" i="4"/>
  <c r="L357" i="4"/>
  <c r="M357" i="4"/>
  <c r="N357" i="4"/>
  <c r="J358" i="4"/>
  <c r="K358" i="4"/>
  <c r="L358" i="4"/>
  <c r="M358" i="4"/>
  <c r="N358" i="4"/>
  <c r="J359" i="4"/>
  <c r="K359" i="4"/>
  <c r="L359" i="4"/>
  <c r="M359" i="4"/>
  <c r="N359" i="4"/>
  <c r="J360" i="4"/>
  <c r="K360" i="4"/>
  <c r="L360" i="4"/>
  <c r="M360" i="4"/>
  <c r="N360" i="4"/>
  <c r="J361" i="4"/>
  <c r="K361" i="4"/>
  <c r="L361" i="4"/>
  <c r="M361" i="4"/>
  <c r="N361" i="4"/>
  <c r="J362" i="4"/>
  <c r="K362" i="4"/>
  <c r="L362" i="4"/>
  <c r="M362" i="4"/>
  <c r="N362" i="4"/>
  <c r="J363" i="4"/>
  <c r="K363" i="4"/>
  <c r="L363" i="4"/>
  <c r="M363" i="4"/>
  <c r="N363" i="4"/>
  <c r="J364" i="4"/>
  <c r="K364" i="4"/>
  <c r="L364" i="4"/>
  <c r="M364" i="4"/>
  <c r="N364" i="4"/>
  <c r="J365" i="4"/>
  <c r="K365" i="4"/>
  <c r="L365" i="4"/>
  <c r="M365" i="4"/>
  <c r="N365" i="4"/>
  <c r="J366" i="4"/>
  <c r="K366" i="4"/>
  <c r="L366" i="4"/>
  <c r="M366" i="4"/>
  <c r="N366" i="4"/>
  <c r="J367" i="4"/>
  <c r="K367" i="4"/>
  <c r="L367" i="4"/>
  <c r="M367" i="4"/>
  <c r="N367" i="4"/>
  <c r="J368" i="4"/>
  <c r="K368" i="4"/>
  <c r="L368" i="4"/>
  <c r="M368" i="4"/>
  <c r="N368" i="4"/>
  <c r="J369" i="4"/>
  <c r="K369" i="4"/>
  <c r="L369" i="4"/>
  <c r="M369" i="4"/>
  <c r="N369" i="4"/>
  <c r="J370" i="4"/>
  <c r="K370" i="4"/>
  <c r="L370" i="4"/>
  <c r="M370" i="4"/>
  <c r="N370" i="4"/>
  <c r="J371" i="4"/>
  <c r="K371" i="4"/>
  <c r="L371" i="4"/>
  <c r="M371" i="4"/>
  <c r="N371" i="4"/>
  <c r="J372" i="4"/>
  <c r="K372" i="4"/>
  <c r="L372" i="4"/>
  <c r="M372" i="4"/>
  <c r="N372" i="4"/>
  <c r="J373" i="4"/>
  <c r="K373" i="4"/>
  <c r="L373" i="4"/>
  <c r="M373" i="4"/>
  <c r="N373" i="4"/>
  <c r="J374" i="4"/>
  <c r="K374" i="4"/>
  <c r="L374" i="4"/>
  <c r="M374" i="4"/>
  <c r="N374" i="4"/>
  <c r="J375" i="4"/>
  <c r="K375" i="4"/>
  <c r="L375" i="4"/>
  <c r="M375" i="4"/>
  <c r="N375" i="4"/>
  <c r="J376" i="4"/>
  <c r="K376" i="4"/>
  <c r="L376" i="4"/>
  <c r="M376" i="4"/>
  <c r="N376" i="4"/>
  <c r="J377" i="4"/>
  <c r="K377" i="4"/>
  <c r="L377" i="4"/>
  <c r="M377" i="4"/>
  <c r="N377" i="4"/>
  <c r="J378" i="4"/>
  <c r="K378" i="4"/>
  <c r="L378" i="4"/>
  <c r="M378" i="4"/>
  <c r="N378" i="4"/>
  <c r="J379" i="4"/>
  <c r="K379" i="4"/>
  <c r="L379" i="4"/>
  <c r="M379" i="4"/>
  <c r="N379" i="4"/>
  <c r="J380" i="4"/>
  <c r="K380" i="4"/>
  <c r="L380" i="4"/>
  <c r="M380" i="4"/>
  <c r="N380" i="4"/>
  <c r="J381" i="4"/>
  <c r="K381" i="4"/>
  <c r="L381" i="4"/>
  <c r="M381" i="4"/>
  <c r="N381" i="4"/>
  <c r="J382" i="4"/>
  <c r="K382" i="4"/>
  <c r="L382" i="4"/>
  <c r="M382" i="4"/>
  <c r="N382" i="4"/>
  <c r="J383" i="4"/>
  <c r="K383" i="4"/>
  <c r="L383" i="4"/>
  <c r="M383" i="4"/>
  <c r="N383" i="4"/>
  <c r="J384" i="4"/>
  <c r="K384" i="4"/>
  <c r="L384" i="4"/>
  <c r="M384" i="4"/>
  <c r="N384" i="4"/>
  <c r="J385" i="4"/>
  <c r="K385" i="4"/>
  <c r="L385" i="4"/>
  <c r="M385" i="4"/>
  <c r="N385" i="4"/>
  <c r="J386" i="4"/>
  <c r="K386" i="4"/>
  <c r="L386" i="4"/>
  <c r="M386" i="4"/>
  <c r="N386" i="4"/>
  <c r="J387" i="4"/>
  <c r="K387" i="4"/>
  <c r="L387" i="4"/>
  <c r="M387" i="4"/>
  <c r="N387" i="4"/>
  <c r="J388" i="4"/>
  <c r="K388" i="4"/>
  <c r="L388" i="4"/>
  <c r="M388" i="4"/>
  <c r="N388" i="4"/>
  <c r="J389" i="4"/>
  <c r="K389" i="4"/>
  <c r="L389" i="4"/>
  <c r="M389" i="4"/>
  <c r="N389" i="4"/>
  <c r="J390" i="4"/>
  <c r="K390" i="4"/>
  <c r="L390" i="4"/>
  <c r="M390" i="4"/>
  <c r="N390" i="4"/>
  <c r="J391" i="4"/>
  <c r="K391" i="4"/>
  <c r="L391" i="4"/>
  <c r="M391" i="4"/>
  <c r="N391" i="4"/>
  <c r="J392" i="4"/>
  <c r="K392" i="4"/>
  <c r="L392" i="4"/>
  <c r="M392" i="4"/>
  <c r="N392" i="4"/>
  <c r="J393" i="4"/>
  <c r="K393" i="4"/>
  <c r="L393" i="4"/>
  <c r="M393" i="4"/>
  <c r="N393" i="4"/>
  <c r="J394" i="4"/>
  <c r="K394" i="4"/>
  <c r="L394" i="4"/>
  <c r="M394" i="4"/>
  <c r="N394" i="4"/>
  <c r="J395" i="4"/>
  <c r="K395" i="4"/>
  <c r="L395" i="4"/>
  <c r="M395" i="4"/>
  <c r="N395" i="4"/>
  <c r="J396" i="4"/>
  <c r="K396" i="4"/>
  <c r="L396" i="4"/>
  <c r="M396" i="4"/>
  <c r="N396" i="4"/>
  <c r="J397" i="4"/>
  <c r="K397" i="4"/>
  <c r="L397" i="4"/>
  <c r="M397" i="4"/>
  <c r="N397" i="4"/>
  <c r="J398" i="4"/>
  <c r="K398" i="4"/>
  <c r="L398" i="4"/>
  <c r="M398" i="4"/>
  <c r="N398" i="4"/>
  <c r="J399" i="4"/>
  <c r="K399" i="4"/>
  <c r="L399" i="4"/>
  <c r="M399" i="4"/>
  <c r="N399" i="4"/>
  <c r="J400" i="4"/>
  <c r="K400" i="4"/>
  <c r="L400" i="4"/>
  <c r="M400" i="4"/>
  <c r="N400" i="4"/>
  <c r="J401" i="4"/>
  <c r="K401" i="4"/>
  <c r="L401" i="4"/>
  <c r="M401" i="4"/>
  <c r="N401" i="4"/>
  <c r="J402" i="4"/>
  <c r="K402" i="4"/>
  <c r="L402" i="4"/>
  <c r="M402" i="4"/>
  <c r="N402" i="4"/>
  <c r="J403" i="4"/>
  <c r="K403" i="4"/>
  <c r="L403" i="4"/>
  <c r="M403" i="4"/>
  <c r="N403" i="4"/>
  <c r="J404" i="4"/>
  <c r="K404" i="4"/>
  <c r="L404" i="4"/>
  <c r="M404" i="4"/>
  <c r="N404" i="4"/>
  <c r="J405" i="4"/>
  <c r="K405" i="4"/>
  <c r="L405" i="4"/>
  <c r="M405" i="4"/>
  <c r="N405" i="4"/>
  <c r="J406" i="4"/>
  <c r="K406" i="4"/>
  <c r="L406" i="4"/>
  <c r="M406" i="4"/>
  <c r="N406" i="4"/>
  <c r="J407" i="4"/>
  <c r="K407" i="4"/>
  <c r="L407" i="4"/>
  <c r="M407" i="4"/>
  <c r="N407" i="4"/>
  <c r="J408" i="4"/>
  <c r="K408" i="4"/>
  <c r="L408" i="4"/>
  <c r="M408" i="4"/>
  <c r="N408" i="4"/>
  <c r="J409" i="4"/>
  <c r="K409" i="4"/>
  <c r="L409" i="4"/>
  <c r="M409" i="4"/>
  <c r="N409" i="4"/>
  <c r="J410" i="4"/>
  <c r="K410" i="4"/>
  <c r="L410" i="4"/>
  <c r="M410" i="4"/>
  <c r="N410" i="4"/>
  <c r="J411" i="4"/>
  <c r="K411" i="4"/>
  <c r="L411" i="4"/>
  <c r="M411" i="4"/>
  <c r="N411" i="4"/>
  <c r="J412" i="4"/>
  <c r="K412" i="4"/>
  <c r="L412" i="4"/>
  <c r="M412" i="4"/>
  <c r="N412" i="4"/>
  <c r="J413" i="4"/>
  <c r="K413" i="4"/>
  <c r="L413" i="4"/>
  <c r="M413" i="4"/>
  <c r="N413" i="4"/>
  <c r="J414" i="4"/>
  <c r="K414" i="4"/>
  <c r="L414" i="4"/>
  <c r="M414" i="4"/>
  <c r="N414" i="4"/>
  <c r="J415" i="4"/>
  <c r="K415" i="4"/>
  <c r="L415" i="4"/>
  <c r="M415" i="4"/>
  <c r="N415" i="4"/>
  <c r="J416" i="4"/>
  <c r="K416" i="4"/>
  <c r="L416" i="4"/>
  <c r="M416" i="4"/>
  <c r="N416" i="4"/>
  <c r="J417" i="4"/>
  <c r="K417" i="4"/>
  <c r="L417" i="4"/>
  <c r="M417" i="4"/>
  <c r="N417" i="4"/>
  <c r="J418" i="4"/>
  <c r="K418" i="4"/>
  <c r="L418" i="4"/>
  <c r="M418" i="4"/>
  <c r="N418" i="4"/>
  <c r="J419" i="4"/>
  <c r="K419" i="4"/>
  <c r="L419" i="4"/>
  <c r="M419" i="4"/>
  <c r="N419" i="4"/>
  <c r="J420" i="4"/>
  <c r="K420" i="4"/>
  <c r="L420" i="4"/>
  <c r="M420" i="4"/>
  <c r="N420" i="4"/>
  <c r="J421" i="4"/>
  <c r="K421" i="4"/>
  <c r="L421" i="4"/>
  <c r="M421" i="4"/>
  <c r="N421" i="4"/>
  <c r="J422" i="4"/>
  <c r="K422" i="4"/>
  <c r="L422" i="4"/>
  <c r="M422" i="4"/>
  <c r="N422" i="4"/>
  <c r="J423" i="4"/>
  <c r="K423" i="4"/>
  <c r="L423" i="4"/>
  <c r="M423" i="4"/>
  <c r="N423" i="4"/>
  <c r="J424" i="4"/>
  <c r="K424" i="4"/>
  <c r="L424" i="4"/>
  <c r="M424" i="4"/>
  <c r="N424" i="4"/>
  <c r="J425" i="4"/>
  <c r="K425" i="4"/>
  <c r="L425" i="4"/>
  <c r="M425" i="4"/>
  <c r="N425" i="4"/>
  <c r="J426" i="4"/>
  <c r="K426" i="4"/>
  <c r="L426" i="4"/>
  <c r="M426" i="4"/>
  <c r="N426" i="4"/>
  <c r="J427" i="4"/>
  <c r="K427" i="4"/>
  <c r="L427" i="4"/>
  <c r="M427" i="4"/>
  <c r="N427" i="4"/>
  <c r="J428" i="4"/>
  <c r="K428" i="4"/>
  <c r="L428" i="4"/>
  <c r="M428" i="4"/>
  <c r="N428" i="4"/>
  <c r="J429" i="4"/>
  <c r="K429" i="4"/>
  <c r="L429" i="4"/>
  <c r="M429" i="4"/>
  <c r="N429" i="4"/>
  <c r="J430" i="4"/>
  <c r="K430" i="4"/>
  <c r="L430" i="4"/>
  <c r="M430" i="4"/>
  <c r="N430" i="4"/>
  <c r="J431" i="4"/>
  <c r="K431" i="4"/>
  <c r="L431" i="4"/>
  <c r="M431" i="4"/>
  <c r="N431" i="4"/>
  <c r="J432" i="4"/>
  <c r="K432" i="4"/>
  <c r="L432" i="4"/>
  <c r="M432" i="4"/>
  <c r="N432" i="4"/>
  <c r="J433" i="4"/>
  <c r="K433" i="4"/>
  <c r="L433" i="4"/>
  <c r="M433" i="4"/>
  <c r="N433" i="4"/>
  <c r="J434" i="4"/>
  <c r="K434" i="4"/>
  <c r="L434" i="4"/>
  <c r="M434" i="4"/>
  <c r="N434" i="4"/>
  <c r="J435" i="4"/>
  <c r="K435" i="4"/>
  <c r="L435" i="4"/>
  <c r="M435" i="4"/>
  <c r="N435" i="4"/>
  <c r="J436" i="4"/>
  <c r="K436" i="4"/>
  <c r="L436" i="4"/>
  <c r="M436" i="4"/>
  <c r="N436" i="4"/>
  <c r="J437" i="4"/>
  <c r="K437" i="4"/>
  <c r="L437" i="4"/>
  <c r="M437" i="4"/>
  <c r="N437" i="4"/>
  <c r="J438" i="4"/>
  <c r="K438" i="4"/>
  <c r="L438" i="4"/>
  <c r="M438" i="4"/>
  <c r="N438" i="4"/>
  <c r="J439" i="4"/>
  <c r="K439" i="4"/>
  <c r="L439" i="4"/>
  <c r="M439" i="4"/>
  <c r="N439" i="4"/>
  <c r="J440" i="4"/>
  <c r="K440" i="4"/>
  <c r="L440" i="4"/>
  <c r="M440" i="4"/>
  <c r="N440" i="4"/>
  <c r="J441" i="4"/>
  <c r="K441" i="4"/>
  <c r="L441" i="4"/>
  <c r="M441" i="4"/>
  <c r="N441" i="4"/>
  <c r="J442" i="4"/>
  <c r="K442" i="4"/>
  <c r="L442" i="4"/>
  <c r="M442" i="4"/>
  <c r="N442" i="4"/>
  <c r="J443" i="4"/>
  <c r="K443" i="4"/>
  <c r="L443" i="4"/>
  <c r="M443" i="4"/>
  <c r="N443" i="4"/>
  <c r="J444" i="4"/>
  <c r="K444" i="4"/>
  <c r="L444" i="4"/>
  <c r="M444" i="4"/>
  <c r="N444" i="4"/>
  <c r="J445" i="4"/>
  <c r="K445" i="4"/>
  <c r="L445" i="4"/>
  <c r="M445" i="4"/>
  <c r="N445" i="4"/>
  <c r="J446" i="4"/>
  <c r="K446" i="4"/>
  <c r="L446" i="4"/>
  <c r="M446" i="4"/>
  <c r="N446" i="4"/>
  <c r="J447" i="4"/>
  <c r="K447" i="4"/>
  <c r="L447" i="4"/>
  <c r="M447" i="4"/>
  <c r="N447" i="4"/>
  <c r="J448" i="4"/>
  <c r="K448" i="4"/>
  <c r="L448" i="4"/>
  <c r="M448" i="4"/>
  <c r="N448" i="4"/>
  <c r="J449" i="4"/>
  <c r="K449" i="4"/>
  <c r="L449" i="4"/>
  <c r="M449" i="4"/>
  <c r="N449" i="4"/>
  <c r="J450" i="4"/>
  <c r="K450" i="4"/>
  <c r="L450" i="4"/>
  <c r="M450" i="4"/>
  <c r="N450" i="4"/>
  <c r="J451" i="4"/>
  <c r="K451" i="4"/>
  <c r="L451" i="4"/>
  <c r="M451" i="4"/>
  <c r="N451" i="4"/>
  <c r="J452" i="4"/>
  <c r="K452" i="4"/>
  <c r="L452" i="4"/>
  <c r="M452" i="4"/>
  <c r="N452" i="4"/>
  <c r="J453" i="4"/>
  <c r="K453" i="4"/>
  <c r="L453" i="4"/>
  <c r="M453" i="4"/>
  <c r="N453" i="4"/>
  <c r="J454" i="4"/>
  <c r="K454" i="4"/>
  <c r="L454" i="4"/>
  <c r="M454" i="4"/>
  <c r="N454" i="4"/>
  <c r="J455" i="4"/>
  <c r="K455" i="4"/>
  <c r="L455" i="4"/>
  <c r="M455" i="4"/>
  <c r="N455" i="4"/>
  <c r="J456" i="4"/>
  <c r="K456" i="4"/>
  <c r="L456" i="4"/>
  <c r="M456" i="4"/>
  <c r="N456" i="4"/>
  <c r="J457" i="4"/>
  <c r="K457" i="4"/>
  <c r="L457" i="4"/>
  <c r="M457" i="4"/>
  <c r="N457" i="4"/>
  <c r="J458" i="4"/>
  <c r="K458" i="4"/>
  <c r="L458" i="4"/>
  <c r="M458" i="4"/>
  <c r="N458" i="4"/>
  <c r="J459" i="4"/>
  <c r="K459" i="4"/>
  <c r="L459" i="4"/>
  <c r="M459" i="4"/>
  <c r="N459" i="4"/>
  <c r="J460" i="4"/>
  <c r="K460" i="4"/>
  <c r="L460" i="4"/>
  <c r="M460" i="4"/>
  <c r="N460" i="4"/>
  <c r="J461" i="4"/>
  <c r="K461" i="4"/>
  <c r="L461" i="4"/>
  <c r="M461" i="4"/>
  <c r="N461" i="4"/>
  <c r="J462" i="4"/>
  <c r="K462" i="4"/>
  <c r="L462" i="4"/>
  <c r="M462" i="4"/>
  <c r="N462" i="4"/>
  <c r="J463" i="4"/>
  <c r="K463" i="4"/>
  <c r="L463" i="4"/>
  <c r="M463" i="4"/>
  <c r="N463" i="4"/>
  <c r="J464" i="4"/>
  <c r="K464" i="4"/>
  <c r="L464" i="4"/>
  <c r="M464" i="4"/>
  <c r="N464" i="4"/>
  <c r="J465" i="4"/>
  <c r="K465" i="4"/>
  <c r="L465" i="4"/>
  <c r="M465" i="4"/>
  <c r="N465" i="4"/>
  <c r="J466" i="4"/>
  <c r="K466" i="4"/>
  <c r="L466" i="4"/>
  <c r="M466" i="4"/>
  <c r="N466" i="4"/>
  <c r="J467" i="4"/>
  <c r="K467" i="4"/>
  <c r="L467" i="4"/>
  <c r="M467" i="4"/>
  <c r="N467" i="4"/>
  <c r="J468" i="4"/>
  <c r="K468" i="4"/>
  <c r="L468" i="4"/>
  <c r="M468" i="4"/>
  <c r="N468" i="4"/>
  <c r="J469" i="4"/>
  <c r="K469" i="4"/>
  <c r="L469" i="4"/>
  <c r="M469" i="4"/>
  <c r="N469" i="4"/>
  <c r="J470" i="4"/>
  <c r="K470" i="4"/>
  <c r="L470" i="4"/>
  <c r="M470" i="4"/>
  <c r="N470" i="4"/>
  <c r="J471" i="4"/>
  <c r="K471" i="4"/>
  <c r="L471" i="4"/>
  <c r="M471" i="4"/>
  <c r="N471" i="4"/>
  <c r="J472" i="4"/>
  <c r="K472" i="4"/>
  <c r="L472" i="4"/>
  <c r="M472" i="4"/>
  <c r="N472" i="4"/>
  <c r="J473" i="4"/>
  <c r="K473" i="4"/>
  <c r="L473" i="4"/>
  <c r="M473" i="4"/>
  <c r="N473" i="4"/>
  <c r="J474" i="4"/>
  <c r="K474" i="4"/>
  <c r="L474" i="4"/>
  <c r="M474" i="4"/>
  <c r="N474" i="4"/>
  <c r="J475" i="4"/>
  <c r="K475" i="4"/>
  <c r="L475" i="4"/>
  <c r="M475" i="4"/>
  <c r="N475" i="4"/>
  <c r="J476" i="4"/>
  <c r="K476" i="4"/>
  <c r="L476" i="4"/>
  <c r="M476" i="4"/>
  <c r="N476" i="4"/>
  <c r="J477" i="4"/>
  <c r="K477" i="4"/>
  <c r="L477" i="4"/>
  <c r="M477" i="4"/>
  <c r="N477" i="4"/>
  <c r="J478" i="4"/>
  <c r="K478" i="4"/>
  <c r="L478" i="4"/>
  <c r="M478" i="4"/>
  <c r="N478" i="4"/>
  <c r="J479" i="4"/>
  <c r="K479" i="4"/>
  <c r="L479" i="4"/>
  <c r="M479" i="4"/>
  <c r="N479" i="4"/>
  <c r="J480" i="4"/>
  <c r="K480" i="4"/>
  <c r="L480" i="4"/>
  <c r="M480" i="4"/>
  <c r="N480" i="4"/>
  <c r="J481" i="4"/>
  <c r="K481" i="4"/>
  <c r="L481" i="4"/>
  <c r="M481" i="4"/>
  <c r="N481" i="4"/>
  <c r="J482" i="4"/>
  <c r="K482" i="4"/>
  <c r="L482" i="4"/>
  <c r="M482" i="4"/>
  <c r="N482" i="4"/>
  <c r="J483" i="4"/>
  <c r="K483" i="4"/>
  <c r="L483" i="4"/>
  <c r="M483" i="4"/>
  <c r="N483" i="4"/>
  <c r="J484" i="4"/>
  <c r="K484" i="4"/>
  <c r="L484" i="4"/>
  <c r="M484" i="4"/>
  <c r="N484" i="4"/>
  <c r="J485" i="4"/>
  <c r="K485" i="4"/>
  <c r="L485" i="4"/>
  <c r="M485" i="4"/>
  <c r="N485" i="4"/>
  <c r="J486" i="4"/>
  <c r="K486" i="4"/>
  <c r="L486" i="4"/>
  <c r="M486" i="4"/>
  <c r="N486" i="4"/>
  <c r="J487" i="4"/>
  <c r="K487" i="4"/>
  <c r="L487" i="4"/>
  <c r="M487" i="4"/>
  <c r="N487" i="4"/>
  <c r="J488" i="4"/>
  <c r="K488" i="4"/>
  <c r="L488" i="4"/>
  <c r="M488" i="4"/>
  <c r="N488" i="4"/>
  <c r="J489" i="4"/>
  <c r="K489" i="4"/>
  <c r="L489" i="4"/>
  <c r="M489" i="4"/>
  <c r="N489" i="4"/>
  <c r="J490" i="4"/>
  <c r="K490" i="4"/>
  <c r="L490" i="4"/>
  <c r="M490" i="4"/>
  <c r="N490" i="4"/>
  <c r="J491" i="4"/>
  <c r="K491" i="4"/>
  <c r="L491" i="4"/>
  <c r="M491" i="4"/>
  <c r="N491" i="4"/>
  <c r="J492" i="4"/>
  <c r="K492" i="4"/>
  <c r="L492" i="4"/>
  <c r="M492" i="4"/>
  <c r="N492" i="4"/>
  <c r="J493" i="4"/>
  <c r="K493" i="4"/>
  <c r="L493" i="4"/>
  <c r="M493" i="4"/>
  <c r="N493" i="4"/>
  <c r="J494" i="4"/>
  <c r="K494" i="4"/>
  <c r="L494" i="4"/>
  <c r="M494" i="4"/>
  <c r="N494" i="4"/>
  <c r="J495" i="4"/>
  <c r="K495" i="4"/>
  <c r="L495" i="4"/>
  <c r="M495" i="4"/>
  <c r="N495" i="4"/>
  <c r="J496" i="4"/>
  <c r="K496" i="4"/>
  <c r="L496" i="4"/>
  <c r="M496" i="4"/>
  <c r="N496" i="4"/>
  <c r="J497" i="4"/>
  <c r="K497" i="4"/>
  <c r="L497" i="4"/>
  <c r="M497" i="4"/>
  <c r="N497" i="4"/>
  <c r="J498" i="4"/>
  <c r="K498" i="4"/>
  <c r="L498" i="4"/>
  <c r="M498" i="4"/>
  <c r="N498" i="4"/>
  <c r="J499" i="4"/>
  <c r="K499" i="4"/>
  <c r="L499" i="4"/>
  <c r="M499" i="4"/>
  <c r="N499" i="4"/>
  <c r="J500" i="4"/>
  <c r="K500" i="4"/>
  <c r="L500" i="4"/>
  <c r="M500" i="4"/>
  <c r="N500" i="4"/>
  <c r="P6" i="4"/>
  <c r="P7" i="4"/>
  <c r="P8" i="4"/>
  <c r="I8" i="4" s="1"/>
  <c r="J8" i="4" s="1"/>
  <c r="L8" i="4" s="1"/>
  <c r="K8" i="4" s="1"/>
  <c r="P9" i="4"/>
  <c r="I9" i="4" s="1"/>
  <c r="J9" i="4" s="1"/>
  <c r="L9" i="4" s="1"/>
  <c r="K9" i="4" s="1"/>
  <c r="P10" i="4"/>
  <c r="P11" i="4"/>
  <c r="P13" i="4"/>
  <c r="P14" i="4"/>
  <c r="P16" i="4"/>
  <c r="I16" i="4" s="1"/>
  <c r="J16" i="4" s="1"/>
  <c r="L16" i="4" s="1"/>
  <c r="P17" i="4"/>
  <c r="P18" i="4"/>
  <c r="P20" i="4"/>
  <c r="I20" i="4" s="1"/>
  <c r="P21" i="4"/>
  <c r="P22" i="4"/>
  <c r="P23" i="4"/>
  <c r="P24" i="4"/>
  <c r="P26" i="4"/>
  <c r="I26" i="4" s="1"/>
  <c r="J26" i="4" s="1"/>
  <c r="L26" i="4" s="1"/>
  <c r="P29" i="4"/>
  <c r="P30" i="4"/>
  <c r="I30" i="4" s="1"/>
  <c r="J30" i="4" s="1"/>
  <c r="L30" i="4" s="1"/>
  <c r="P32" i="4"/>
  <c r="I32" i="4" s="1"/>
  <c r="J32" i="4" s="1"/>
  <c r="L32" i="4" s="1"/>
  <c r="P34" i="4"/>
  <c r="I34" i="4" s="1"/>
  <c r="P35" i="4"/>
  <c r="P36" i="4"/>
  <c r="I36" i="4" s="1"/>
  <c r="P37" i="4"/>
  <c r="P40" i="4"/>
  <c r="I40" i="4" s="1"/>
  <c r="P41" i="4"/>
  <c r="I41" i="4" s="1"/>
  <c r="P42" i="4"/>
  <c r="P43" i="4"/>
  <c r="I43" i="4" s="1"/>
  <c r="J43" i="4" s="1"/>
  <c r="L43" i="4" s="1"/>
  <c r="P45" i="4"/>
  <c r="I45" i="4" s="1"/>
  <c r="J45" i="4" s="1"/>
  <c r="L45" i="4" s="1"/>
  <c r="P46" i="4"/>
  <c r="P49" i="4"/>
  <c r="P50" i="4"/>
  <c r="I50" i="4" s="1"/>
  <c r="J50" i="4" s="1"/>
  <c r="L50" i="4" s="1"/>
  <c r="P51" i="4"/>
  <c r="P53" i="4"/>
  <c r="I53" i="4" s="1"/>
  <c r="P54" i="4"/>
  <c r="P55" i="4"/>
  <c r="I55" i="4" s="1"/>
  <c r="J55" i="4" s="1"/>
  <c r="L55" i="4" s="1"/>
  <c r="P57" i="4"/>
  <c r="I57" i="4" s="1"/>
  <c r="J57" i="4" s="1"/>
  <c r="L57" i="4" s="1"/>
  <c r="P58" i="4"/>
  <c r="I58" i="4" s="1"/>
  <c r="P59" i="4"/>
  <c r="P61" i="4"/>
  <c r="P63" i="4"/>
  <c r="P67" i="4"/>
  <c r="I67" i="4" s="1"/>
  <c r="J67" i="4" s="1"/>
  <c r="L67" i="4" s="1"/>
  <c r="P70" i="4"/>
  <c r="I70" i="4" s="1"/>
  <c r="J70" i="4" s="1"/>
  <c r="L70" i="4" s="1"/>
  <c r="P71" i="4"/>
  <c r="P72" i="4"/>
  <c r="I72" i="4" s="1"/>
  <c r="P74" i="4"/>
  <c r="P75" i="4"/>
  <c r="P78" i="4"/>
  <c r="I78" i="4" s="1"/>
  <c r="J78" i="4" s="1"/>
  <c r="L78" i="4" s="1"/>
  <c r="K78" i="4" s="1"/>
  <c r="P81" i="4"/>
  <c r="I81" i="4" s="1"/>
  <c r="P85" i="4"/>
  <c r="I85" i="4" s="1"/>
  <c r="J85" i="4" s="1"/>
  <c r="L85" i="4" s="1"/>
  <c r="P87" i="4"/>
  <c r="P88" i="4"/>
  <c r="P91" i="4"/>
  <c r="I91" i="4" s="1"/>
  <c r="P97" i="4"/>
  <c r="P98" i="4"/>
  <c r="I98" i="4" s="1"/>
  <c r="J98" i="4" s="1"/>
  <c r="L98" i="4" s="1"/>
  <c r="P99" i="4"/>
  <c r="I99" i="4" s="1"/>
  <c r="J99" i="4" s="1"/>
  <c r="L99" i="4" s="1"/>
  <c r="P101" i="4"/>
  <c r="I101" i="4" s="1"/>
  <c r="P102" i="4"/>
  <c r="P103" i="4"/>
  <c r="I103" i="4" s="1"/>
  <c r="J103" i="4" s="1"/>
  <c r="L103" i="4" s="1"/>
  <c r="P105" i="4"/>
  <c r="P106" i="4"/>
  <c r="P107" i="4"/>
  <c r="I107" i="4" s="1"/>
  <c r="P108" i="4"/>
  <c r="I108" i="4" s="1"/>
  <c r="J108" i="4" s="1"/>
  <c r="L108" i="4" s="1"/>
  <c r="P110" i="4"/>
  <c r="I110" i="4" s="1"/>
  <c r="J110" i="4" s="1"/>
  <c r="P112" i="4"/>
  <c r="I112" i="4" s="1"/>
  <c r="J112" i="4" s="1"/>
  <c r="L112" i="4" s="1"/>
  <c r="K112" i="4" s="1"/>
  <c r="P113" i="4"/>
  <c r="P115" i="4"/>
  <c r="I115" i="4" s="1"/>
  <c r="J115" i="4" s="1"/>
  <c r="L115" i="4" s="1"/>
  <c r="P116" i="4"/>
  <c r="P117" i="4"/>
  <c r="P118" i="4"/>
  <c r="I118" i="4" s="1"/>
  <c r="J118" i="4" s="1"/>
  <c r="L118" i="4" s="1"/>
  <c r="P119" i="4"/>
  <c r="P121" i="4"/>
  <c r="P124" i="4"/>
  <c r="I124" i="4" s="1"/>
  <c r="J124" i="4" s="1"/>
  <c r="L124" i="4" s="1"/>
  <c r="P125" i="4"/>
  <c r="P130" i="4"/>
  <c r="I130" i="4" s="1"/>
  <c r="J130" i="4" s="1"/>
  <c r="L130" i="4" s="1"/>
  <c r="P131" i="4"/>
  <c r="I131" i="4" s="1"/>
  <c r="J131" i="4" s="1"/>
  <c r="P132" i="4"/>
  <c r="P133" i="4"/>
  <c r="I133" i="4" s="1"/>
  <c r="J133" i="4" s="1"/>
  <c r="L133" i="4" s="1"/>
  <c r="P134" i="4"/>
  <c r="I134" i="4" s="1"/>
  <c r="P135" i="4"/>
  <c r="P136" i="4"/>
  <c r="I136" i="4" s="1"/>
  <c r="J136" i="4" s="1"/>
  <c r="L136" i="4" s="1"/>
  <c r="P137" i="4"/>
  <c r="I137" i="4" s="1"/>
  <c r="J137" i="4" s="1"/>
  <c r="L137" i="4" s="1"/>
  <c r="P142" i="4"/>
  <c r="I142" i="4" s="1"/>
  <c r="J142" i="4" s="1"/>
  <c r="P143" i="4"/>
  <c r="I143" i="4" s="1"/>
  <c r="P144" i="4"/>
  <c r="P147" i="4"/>
  <c r="P148" i="4"/>
  <c r="P149" i="4"/>
  <c r="I149" i="4" s="1"/>
  <c r="J149" i="4" s="1"/>
  <c r="L149" i="4" s="1"/>
  <c r="P153" i="4"/>
  <c r="I153" i="4" s="1"/>
  <c r="J153" i="4" s="1"/>
  <c r="P154" i="4"/>
  <c r="I154" i="4" s="1"/>
  <c r="P155" i="4"/>
  <c r="P156" i="4"/>
  <c r="I156" i="4" s="1"/>
  <c r="J156" i="4" s="1"/>
  <c r="L156" i="4" s="1"/>
  <c r="K156" i="4" s="1"/>
  <c r="P157" i="4"/>
  <c r="I157" i="4" s="1"/>
  <c r="P159" i="4"/>
  <c r="I159" i="4" s="1"/>
  <c r="J159" i="4" s="1"/>
  <c r="P160" i="4"/>
  <c r="P164" i="4"/>
  <c r="I164" i="4" s="1"/>
  <c r="J164" i="4" s="1"/>
  <c r="L164" i="4" s="1"/>
  <c r="P166" i="4"/>
  <c r="I166" i="4" s="1"/>
  <c r="J166" i="4" s="1"/>
  <c r="L166" i="4" s="1"/>
  <c r="P169" i="4"/>
  <c r="I169" i="4" s="1"/>
  <c r="J169" i="4" s="1"/>
  <c r="L169" i="4" s="1"/>
  <c r="P170" i="4"/>
  <c r="P171" i="4"/>
  <c r="P172" i="4"/>
  <c r="I172" i="4" s="1"/>
  <c r="P173" i="4"/>
  <c r="I173" i="4" s="1"/>
  <c r="P175" i="4"/>
  <c r="I175" i="4" s="1"/>
  <c r="P176" i="4"/>
  <c r="P177" i="4"/>
  <c r="I177" i="4" s="1"/>
  <c r="P178" i="4"/>
  <c r="P179" i="4"/>
  <c r="P180" i="4"/>
  <c r="I180" i="4" s="1"/>
  <c r="P181" i="4"/>
  <c r="P182" i="4"/>
  <c r="P186" i="4"/>
  <c r="P187" i="4"/>
  <c r="I187" i="4" s="1"/>
  <c r="J187" i="4" s="1"/>
  <c r="L187" i="4" s="1"/>
  <c r="P188" i="4"/>
  <c r="P189" i="4"/>
  <c r="I189" i="4" s="1"/>
  <c r="J189" i="4" s="1"/>
  <c r="L189" i="4" s="1"/>
  <c r="P191" i="4"/>
  <c r="I191" i="4" s="1"/>
  <c r="P192" i="4"/>
  <c r="P193" i="4"/>
  <c r="P194" i="4"/>
  <c r="I194" i="4" s="1"/>
  <c r="J194" i="4" s="1"/>
  <c r="L194" i="4" s="1"/>
  <c r="P196" i="4"/>
  <c r="I196" i="4" s="1"/>
  <c r="P197" i="4"/>
  <c r="P198" i="4"/>
  <c r="I198" i="4" s="1"/>
  <c r="P206" i="4"/>
  <c r="I206" i="4" s="1"/>
  <c r="J206" i="4" s="1"/>
  <c r="L206" i="4" s="1"/>
  <c r="P207" i="4"/>
  <c r="P208" i="4"/>
  <c r="I208" i="4" s="1"/>
  <c r="J208" i="4" s="1"/>
  <c r="L208" i="4" s="1"/>
  <c r="P209" i="4"/>
  <c r="I209" i="4" s="1"/>
  <c r="J209" i="4" s="1"/>
  <c r="L209" i="4" s="1"/>
  <c r="K209" i="4" s="1"/>
  <c r="P210" i="4"/>
  <c r="P211" i="4"/>
  <c r="I211" i="4" s="1"/>
  <c r="J211" i="4" s="1"/>
  <c r="L211" i="4" s="1"/>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50" i="4"/>
  <c r="P352"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C6" i="4"/>
  <c r="D6" i="4"/>
  <c r="E6" i="4"/>
  <c r="F6" i="4"/>
  <c r="C7" i="4"/>
  <c r="D7" i="4"/>
  <c r="E7" i="4"/>
  <c r="F7" i="4"/>
  <c r="C8" i="4"/>
  <c r="D8" i="4"/>
  <c r="E8" i="4"/>
  <c r="F8" i="4"/>
  <c r="C9" i="4"/>
  <c r="D9" i="4"/>
  <c r="E9" i="4"/>
  <c r="F9" i="4"/>
  <c r="C10" i="4"/>
  <c r="D10" i="4"/>
  <c r="E10" i="4"/>
  <c r="F10" i="4"/>
  <c r="C11" i="4"/>
  <c r="D11" i="4"/>
  <c r="E11" i="4"/>
  <c r="F11" i="4"/>
  <c r="C12" i="4"/>
  <c r="D12" i="4"/>
  <c r="E12" i="4"/>
  <c r="F12" i="4"/>
  <c r="C13" i="4"/>
  <c r="D13" i="4"/>
  <c r="E13" i="4"/>
  <c r="F13" i="4"/>
  <c r="C14" i="4"/>
  <c r="D14" i="4"/>
  <c r="E14" i="4"/>
  <c r="F14" i="4"/>
  <c r="C15" i="4"/>
  <c r="D15" i="4"/>
  <c r="E15" i="4"/>
  <c r="F15" i="4"/>
  <c r="C16" i="4"/>
  <c r="D16" i="4"/>
  <c r="E16" i="4"/>
  <c r="F16" i="4"/>
  <c r="C17" i="4"/>
  <c r="D17" i="4"/>
  <c r="E17" i="4"/>
  <c r="F17" i="4"/>
  <c r="C18" i="4"/>
  <c r="D18" i="4"/>
  <c r="E18" i="4"/>
  <c r="F18" i="4"/>
  <c r="C19" i="4"/>
  <c r="D19" i="4"/>
  <c r="E19" i="4"/>
  <c r="F19" i="4"/>
  <c r="C20" i="4"/>
  <c r="D20" i="4"/>
  <c r="E20" i="4"/>
  <c r="F20" i="4"/>
  <c r="C21" i="4"/>
  <c r="D21" i="4"/>
  <c r="E21" i="4"/>
  <c r="F21" i="4"/>
  <c r="C22" i="4"/>
  <c r="D22" i="4"/>
  <c r="E22" i="4"/>
  <c r="F22" i="4"/>
  <c r="C23" i="4"/>
  <c r="D23" i="4"/>
  <c r="E23" i="4"/>
  <c r="F23" i="4"/>
  <c r="C24" i="4"/>
  <c r="D24" i="4"/>
  <c r="E24" i="4"/>
  <c r="F24" i="4"/>
  <c r="C25" i="4"/>
  <c r="D25" i="4"/>
  <c r="E25" i="4"/>
  <c r="F25" i="4"/>
  <c r="C26" i="4"/>
  <c r="D26" i="4"/>
  <c r="E26" i="4"/>
  <c r="F26" i="4"/>
  <c r="C27" i="4"/>
  <c r="D27" i="4"/>
  <c r="E27" i="4"/>
  <c r="F27" i="4"/>
  <c r="C28" i="4"/>
  <c r="D28" i="4"/>
  <c r="E28" i="4"/>
  <c r="F28" i="4"/>
  <c r="C29" i="4"/>
  <c r="D29" i="4"/>
  <c r="E29" i="4"/>
  <c r="F29" i="4"/>
  <c r="C30" i="4"/>
  <c r="D30" i="4"/>
  <c r="E30" i="4"/>
  <c r="F30" i="4"/>
  <c r="C31" i="4"/>
  <c r="D31" i="4"/>
  <c r="E31" i="4"/>
  <c r="F31" i="4"/>
  <c r="C32" i="4"/>
  <c r="D32" i="4"/>
  <c r="E32" i="4"/>
  <c r="F32" i="4"/>
  <c r="C33" i="4"/>
  <c r="D33" i="4"/>
  <c r="E33" i="4"/>
  <c r="C34" i="4"/>
  <c r="D34" i="4"/>
  <c r="E34" i="4"/>
  <c r="C35" i="4"/>
  <c r="D35" i="4"/>
  <c r="E35" i="4"/>
  <c r="C36" i="4"/>
  <c r="D36" i="4"/>
  <c r="E36" i="4"/>
  <c r="F36" i="4"/>
  <c r="C37" i="4"/>
  <c r="D37" i="4"/>
  <c r="E37" i="4"/>
  <c r="F37" i="4"/>
  <c r="C38" i="4"/>
  <c r="D38" i="4"/>
  <c r="E38" i="4"/>
  <c r="C39" i="4"/>
  <c r="D39" i="4"/>
  <c r="E39" i="4"/>
  <c r="C40" i="4"/>
  <c r="D40" i="4"/>
  <c r="E40" i="4"/>
  <c r="F40" i="4"/>
  <c r="C41" i="4"/>
  <c r="D41" i="4"/>
  <c r="E41" i="4"/>
  <c r="F41" i="4"/>
  <c r="C42" i="4"/>
  <c r="D42" i="4"/>
  <c r="E42" i="4"/>
  <c r="F42" i="4"/>
  <c r="C43" i="4"/>
  <c r="D43" i="4"/>
  <c r="E43" i="4"/>
  <c r="F43" i="4"/>
  <c r="C44" i="4"/>
  <c r="D44" i="4"/>
  <c r="E44" i="4"/>
  <c r="F44" i="4"/>
  <c r="C45" i="4"/>
  <c r="D45" i="4"/>
  <c r="E45" i="4"/>
  <c r="F45" i="4"/>
  <c r="C46" i="4"/>
  <c r="D46" i="4"/>
  <c r="E46" i="4"/>
  <c r="F46" i="4"/>
  <c r="C47" i="4"/>
  <c r="D47" i="4"/>
  <c r="E47" i="4"/>
  <c r="F47" i="4"/>
  <c r="C48" i="4"/>
  <c r="D48" i="4"/>
  <c r="E48" i="4"/>
  <c r="F48" i="4"/>
  <c r="C49" i="4"/>
  <c r="D49" i="4"/>
  <c r="E49" i="4"/>
  <c r="F49" i="4"/>
  <c r="C50" i="4"/>
  <c r="D50" i="4"/>
  <c r="E50" i="4"/>
  <c r="F50" i="4"/>
  <c r="C51" i="4"/>
  <c r="D51" i="4"/>
  <c r="E51" i="4"/>
  <c r="F51" i="4"/>
  <c r="C52" i="4"/>
  <c r="D52" i="4"/>
  <c r="E52" i="4"/>
  <c r="F52" i="4"/>
  <c r="C53" i="4"/>
  <c r="D53" i="4"/>
  <c r="E53" i="4"/>
  <c r="F53" i="4"/>
  <c r="C54" i="4"/>
  <c r="D54" i="4"/>
  <c r="E54" i="4"/>
  <c r="F54" i="4"/>
  <c r="C55" i="4"/>
  <c r="D55" i="4"/>
  <c r="E55" i="4"/>
  <c r="F55" i="4"/>
  <c r="C56" i="4"/>
  <c r="D56" i="4"/>
  <c r="E56" i="4"/>
  <c r="F56" i="4"/>
  <c r="C57" i="4"/>
  <c r="D57" i="4"/>
  <c r="E57" i="4"/>
  <c r="F57" i="4"/>
  <c r="C58" i="4"/>
  <c r="D58" i="4"/>
  <c r="E58" i="4"/>
  <c r="F58" i="4"/>
  <c r="C59" i="4"/>
  <c r="D59" i="4"/>
  <c r="E59" i="4"/>
  <c r="F59" i="4"/>
  <c r="C60" i="4"/>
  <c r="D60" i="4"/>
  <c r="E60" i="4"/>
  <c r="F60" i="4"/>
  <c r="C61" i="4"/>
  <c r="D61" i="4"/>
  <c r="E61" i="4"/>
  <c r="F61" i="4"/>
  <c r="C62" i="4"/>
  <c r="D62" i="4"/>
  <c r="E62" i="4"/>
  <c r="F62" i="4"/>
  <c r="C63" i="4"/>
  <c r="D63" i="4"/>
  <c r="E63" i="4"/>
  <c r="F63" i="4"/>
  <c r="C64" i="4"/>
  <c r="D64" i="4"/>
  <c r="E64" i="4"/>
  <c r="F64" i="4"/>
  <c r="C65" i="4"/>
  <c r="D65" i="4"/>
  <c r="E65" i="4"/>
  <c r="F65" i="4"/>
  <c r="C66" i="4"/>
  <c r="D66" i="4"/>
  <c r="E66" i="4"/>
  <c r="F66" i="4"/>
  <c r="C67" i="4"/>
  <c r="D67" i="4"/>
  <c r="E67" i="4"/>
  <c r="F67" i="4"/>
  <c r="C68" i="4"/>
  <c r="D68" i="4"/>
  <c r="E68" i="4"/>
  <c r="F68" i="4"/>
  <c r="C69" i="4"/>
  <c r="D69" i="4"/>
  <c r="E69" i="4"/>
  <c r="F69" i="4"/>
  <c r="C70" i="4"/>
  <c r="D70" i="4"/>
  <c r="E70" i="4"/>
  <c r="F70" i="4"/>
  <c r="C71" i="4"/>
  <c r="D71" i="4"/>
  <c r="E71" i="4"/>
  <c r="F71" i="4"/>
  <c r="C72" i="4"/>
  <c r="D72" i="4"/>
  <c r="E72" i="4"/>
  <c r="F72" i="4"/>
  <c r="C73" i="4"/>
  <c r="D73" i="4"/>
  <c r="E73" i="4"/>
  <c r="F73" i="4"/>
  <c r="C74" i="4"/>
  <c r="D74" i="4"/>
  <c r="E74" i="4"/>
  <c r="F74" i="4"/>
  <c r="C75" i="4"/>
  <c r="D75" i="4"/>
  <c r="E75" i="4"/>
  <c r="F75" i="4"/>
  <c r="C76" i="4"/>
  <c r="D76" i="4"/>
  <c r="E76" i="4"/>
  <c r="C77" i="4"/>
  <c r="E77" i="4"/>
  <c r="C78" i="4"/>
  <c r="D78" i="4"/>
  <c r="E78" i="4"/>
  <c r="C79" i="4"/>
  <c r="D79" i="4"/>
  <c r="E79" i="4"/>
  <c r="F79" i="4"/>
  <c r="C80" i="4"/>
  <c r="D80" i="4"/>
  <c r="E80" i="4"/>
  <c r="F80" i="4"/>
  <c r="C81" i="4"/>
  <c r="D81" i="4"/>
  <c r="E81" i="4"/>
  <c r="F81" i="4"/>
  <c r="C82" i="4"/>
  <c r="D82" i="4"/>
  <c r="E82" i="4"/>
  <c r="C83" i="4"/>
  <c r="D83" i="4"/>
  <c r="E83" i="4"/>
  <c r="F83" i="4"/>
  <c r="C84" i="4"/>
  <c r="D84" i="4"/>
  <c r="E84" i="4"/>
  <c r="F84" i="4"/>
  <c r="C85" i="4"/>
  <c r="D85" i="4"/>
  <c r="E85" i="4"/>
  <c r="F85" i="4"/>
  <c r="C86" i="4"/>
  <c r="D86" i="4"/>
  <c r="E86" i="4"/>
  <c r="F86" i="4"/>
  <c r="C87" i="4"/>
  <c r="D87" i="4"/>
  <c r="E87" i="4"/>
  <c r="F87" i="4"/>
  <c r="C88" i="4"/>
  <c r="D88" i="4"/>
  <c r="E88" i="4"/>
  <c r="F88" i="4"/>
  <c r="C89" i="4"/>
  <c r="D89" i="4"/>
  <c r="E89" i="4"/>
  <c r="F89" i="4"/>
  <c r="C90" i="4"/>
  <c r="D90" i="4"/>
  <c r="E90" i="4"/>
  <c r="F90" i="4"/>
  <c r="C91" i="4"/>
  <c r="D91" i="4"/>
  <c r="E91" i="4"/>
  <c r="C92" i="4"/>
  <c r="D92" i="4"/>
  <c r="E92" i="4"/>
  <c r="F92" i="4"/>
  <c r="C93" i="4"/>
  <c r="D93" i="4"/>
  <c r="E93" i="4"/>
  <c r="F93" i="4"/>
  <c r="C94" i="4"/>
  <c r="D94" i="4"/>
  <c r="E94" i="4"/>
  <c r="F94" i="4"/>
  <c r="C95" i="4"/>
  <c r="D95" i="4"/>
  <c r="E95" i="4"/>
  <c r="F95" i="4"/>
  <c r="C96" i="4"/>
  <c r="D96" i="4"/>
  <c r="E96" i="4"/>
  <c r="F96" i="4"/>
  <c r="C97" i="4"/>
  <c r="D97" i="4"/>
  <c r="E97" i="4"/>
  <c r="F97" i="4"/>
  <c r="C98" i="4"/>
  <c r="D98" i="4"/>
  <c r="E98" i="4"/>
  <c r="F98" i="4"/>
  <c r="C99" i="4"/>
  <c r="D99" i="4"/>
  <c r="E99" i="4"/>
  <c r="F99" i="4"/>
  <c r="C100" i="4"/>
  <c r="D21" i="2" s="1"/>
  <c r="D100" i="4"/>
  <c r="E100" i="4"/>
  <c r="F21" i="2" s="1"/>
  <c r="F100" i="4"/>
  <c r="G21" i="2" s="1"/>
  <c r="C101" i="4"/>
  <c r="D101" i="4"/>
  <c r="E101" i="4"/>
  <c r="F101" i="4"/>
  <c r="C102" i="4"/>
  <c r="D102" i="4"/>
  <c r="E102" i="4"/>
  <c r="F102" i="4"/>
  <c r="C103" i="4"/>
  <c r="D103" i="4"/>
  <c r="E103" i="4"/>
  <c r="F103" i="4"/>
  <c r="C104" i="4"/>
  <c r="D104" i="4"/>
  <c r="E104" i="4"/>
  <c r="F104" i="4"/>
  <c r="C105" i="4"/>
  <c r="D105" i="4"/>
  <c r="E105" i="4"/>
  <c r="F105" i="4"/>
  <c r="C106" i="4"/>
  <c r="D106" i="4"/>
  <c r="E106" i="4"/>
  <c r="F106" i="4"/>
  <c r="C107" i="4"/>
  <c r="D107" i="4"/>
  <c r="E107" i="4"/>
  <c r="F107" i="4"/>
  <c r="C108" i="4"/>
  <c r="D108" i="4"/>
  <c r="E108" i="4"/>
  <c r="F108" i="4"/>
  <c r="C109" i="4"/>
  <c r="D109" i="4"/>
  <c r="E109" i="4"/>
  <c r="F109" i="4"/>
  <c r="C110" i="4"/>
  <c r="D110" i="4"/>
  <c r="E110" i="4"/>
  <c r="F110" i="4"/>
  <c r="C111" i="4"/>
  <c r="D111" i="4"/>
  <c r="E111" i="4"/>
  <c r="C112" i="4"/>
  <c r="D112" i="4"/>
  <c r="E112" i="4"/>
  <c r="F112" i="4"/>
  <c r="C113" i="4"/>
  <c r="D113" i="4"/>
  <c r="E113" i="4"/>
  <c r="F113" i="4"/>
  <c r="C114" i="4"/>
  <c r="D114" i="4"/>
  <c r="E114" i="4"/>
  <c r="F114" i="4"/>
  <c r="C115" i="4"/>
  <c r="D115" i="4"/>
  <c r="E115" i="4"/>
  <c r="F115" i="4"/>
  <c r="C116" i="4"/>
  <c r="D116" i="4"/>
  <c r="E116" i="4"/>
  <c r="F116" i="4"/>
  <c r="C117" i="4"/>
  <c r="D117" i="4"/>
  <c r="E117" i="4"/>
  <c r="F117" i="4"/>
  <c r="C118" i="4"/>
  <c r="D118" i="4"/>
  <c r="E118" i="4"/>
  <c r="F118" i="4"/>
  <c r="C119" i="4"/>
  <c r="D119" i="4"/>
  <c r="E119" i="4"/>
  <c r="F119" i="4"/>
  <c r="C120" i="4"/>
  <c r="D120" i="4"/>
  <c r="E120" i="4"/>
  <c r="F120" i="4"/>
  <c r="C121" i="4"/>
  <c r="D121" i="4"/>
  <c r="E121" i="4"/>
  <c r="F121" i="4"/>
  <c r="C122" i="4"/>
  <c r="D122" i="4"/>
  <c r="E122" i="4"/>
  <c r="F122" i="4"/>
  <c r="C123" i="4"/>
  <c r="D123" i="4"/>
  <c r="E123" i="4"/>
  <c r="F123" i="4"/>
  <c r="C124" i="4"/>
  <c r="D124" i="4"/>
  <c r="E124" i="4"/>
  <c r="F124" i="4"/>
  <c r="C125" i="4"/>
  <c r="D125" i="4"/>
  <c r="E125" i="4"/>
  <c r="F125" i="4"/>
  <c r="C126" i="4"/>
  <c r="D126" i="4"/>
  <c r="E126" i="4"/>
  <c r="F126" i="4"/>
  <c r="C127" i="4"/>
  <c r="D127" i="4"/>
  <c r="E127" i="4"/>
  <c r="F127" i="4"/>
  <c r="C128" i="4"/>
  <c r="D128" i="4"/>
  <c r="E128" i="4"/>
  <c r="F128" i="4"/>
  <c r="C129" i="4"/>
  <c r="D129" i="4"/>
  <c r="E129" i="4"/>
  <c r="F129" i="4"/>
  <c r="C130" i="4"/>
  <c r="D130" i="4"/>
  <c r="E130" i="4"/>
  <c r="F130" i="4"/>
  <c r="C131" i="4"/>
  <c r="D131" i="4"/>
  <c r="E131" i="4"/>
  <c r="F131" i="4"/>
  <c r="C132" i="4"/>
  <c r="D132" i="4"/>
  <c r="E132" i="4"/>
  <c r="F132" i="4"/>
  <c r="C133" i="4"/>
  <c r="D133" i="4"/>
  <c r="E133" i="4"/>
  <c r="F133" i="4"/>
  <c r="C134" i="4"/>
  <c r="D134" i="4"/>
  <c r="E134" i="4"/>
  <c r="F134" i="4"/>
  <c r="C135" i="4"/>
  <c r="D135" i="4"/>
  <c r="E135" i="4"/>
  <c r="F135" i="4"/>
  <c r="C136" i="4"/>
  <c r="D136" i="4"/>
  <c r="E136" i="4"/>
  <c r="F136" i="4"/>
  <c r="C137" i="4"/>
  <c r="D137" i="4"/>
  <c r="E137" i="4"/>
  <c r="F137" i="4"/>
  <c r="C138" i="4"/>
  <c r="D138" i="4"/>
  <c r="E138" i="4"/>
  <c r="F138" i="4"/>
  <c r="C139" i="4"/>
  <c r="D139" i="4"/>
  <c r="E139" i="4"/>
  <c r="F139" i="4"/>
  <c r="C140" i="4"/>
  <c r="D140" i="4"/>
  <c r="E140" i="4"/>
  <c r="F140" i="4"/>
  <c r="C141" i="4"/>
  <c r="D141" i="4"/>
  <c r="E141" i="4"/>
  <c r="F141" i="4"/>
  <c r="C142" i="4"/>
  <c r="D142" i="4"/>
  <c r="E142" i="4"/>
  <c r="F142" i="4"/>
  <c r="C143" i="4"/>
  <c r="D143" i="4"/>
  <c r="E143" i="4"/>
  <c r="F143" i="4"/>
  <c r="C144" i="4"/>
  <c r="D144" i="4"/>
  <c r="E144" i="4"/>
  <c r="F144" i="4"/>
  <c r="C145" i="4"/>
  <c r="D145" i="4"/>
  <c r="E145" i="4"/>
  <c r="F145" i="4"/>
  <c r="C147" i="4"/>
  <c r="D147" i="4"/>
  <c r="E147" i="4"/>
  <c r="F147" i="4"/>
  <c r="C148" i="4"/>
  <c r="D148" i="4"/>
  <c r="E148" i="4"/>
  <c r="F148" i="4"/>
  <c r="C149" i="4"/>
  <c r="D149" i="4"/>
  <c r="E149" i="4"/>
  <c r="F149" i="4"/>
  <c r="C150" i="4"/>
  <c r="D150" i="4"/>
  <c r="E150" i="4"/>
  <c r="F150" i="4"/>
  <c r="C151" i="4"/>
  <c r="D151" i="4"/>
  <c r="E151" i="4"/>
  <c r="F151" i="4"/>
  <c r="C152" i="4"/>
  <c r="D152" i="4"/>
  <c r="E152" i="4"/>
  <c r="C153" i="4"/>
  <c r="D153" i="4"/>
  <c r="E153" i="4"/>
  <c r="F153" i="4"/>
  <c r="C154" i="4"/>
  <c r="D154" i="4"/>
  <c r="E154" i="4"/>
  <c r="F154" i="4"/>
  <c r="C155" i="4"/>
  <c r="D155" i="4"/>
  <c r="E155" i="4"/>
  <c r="C156" i="4"/>
  <c r="D156" i="4"/>
  <c r="E156" i="4"/>
  <c r="F156" i="4"/>
  <c r="C157" i="4"/>
  <c r="D157" i="4"/>
  <c r="E157" i="4"/>
  <c r="F157" i="4"/>
  <c r="C159" i="4"/>
  <c r="D159" i="4"/>
  <c r="E159" i="4"/>
  <c r="F159" i="4"/>
  <c r="C160" i="4"/>
  <c r="D160" i="4"/>
  <c r="E160" i="4"/>
  <c r="F160" i="4"/>
  <c r="C161" i="4"/>
  <c r="D161" i="4"/>
  <c r="E161" i="4"/>
  <c r="F161" i="4"/>
  <c r="C162" i="4"/>
  <c r="D162" i="4"/>
  <c r="E162" i="4"/>
  <c r="F162" i="4"/>
  <c r="C163" i="4"/>
  <c r="D163" i="4"/>
  <c r="E163" i="4"/>
  <c r="F163" i="4"/>
  <c r="C164" i="4"/>
  <c r="D164" i="4"/>
  <c r="E164" i="4"/>
  <c r="F164" i="4"/>
  <c r="C165" i="4"/>
  <c r="D165" i="4"/>
  <c r="E165" i="4"/>
  <c r="F165" i="4"/>
  <c r="C166" i="4"/>
  <c r="D166" i="4"/>
  <c r="E166" i="4"/>
  <c r="F166" i="4"/>
  <c r="C167" i="4"/>
  <c r="D167" i="4"/>
  <c r="E167" i="4"/>
  <c r="F167" i="4"/>
  <c r="C168" i="4"/>
  <c r="D168" i="4"/>
  <c r="E168" i="4"/>
  <c r="F168" i="4"/>
  <c r="C169" i="4"/>
  <c r="D169" i="4"/>
  <c r="E169" i="4"/>
  <c r="F169" i="4"/>
  <c r="C170" i="4"/>
  <c r="D170" i="4"/>
  <c r="E170" i="4"/>
  <c r="F170" i="4"/>
  <c r="C171" i="4"/>
  <c r="D171" i="4"/>
  <c r="E171" i="4"/>
  <c r="F171" i="4"/>
  <c r="C172" i="4"/>
  <c r="D172" i="4"/>
  <c r="E172" i="4"/>
  <c r="F172" i="4"/>
  <c r="C173" i="4"/>
  <c r="D173" i="4"/>
  <c r="E173" i="4"/>
  <c r="F173" i="4"/>
  <c r="C174" i="4"/>
  <c r="D174" i="4"/>
  <c r="E174" i="4"/>
  <c r="F174" i="4"/>
  <c r="C175" i="4"/>
  <c r="D175" i="4"/>
  <c r="E175" i="4"/>
  <c r="F175" i="4"/>
  <c r="C176" i="4"/>
  <c r="D176" i="4"/>
  <c r="E176" i="4"/>
  <c r="F176" i="4"/>
  <c r="C177" i="4"/>
  <c r="D177" i="4"/>
  <c r="E177" i="4"/>
  <c r="F177" i="4"/>
  <c r="C178" i="4"/>
  <c r="D178" i="4"/>
  <c r="E178" i="4"/>
  <c r="F178" i="4"/>
  <c r="C179" i="4"/>
  <c r="D179" i="4"/>
  <c r="E179" i="4"/>
  <c r="F179" i="4"/>
  <c r="C180" i="4"/>
  <c r="D180" i="4"/>
  <c r="E180" i="4"/>
  <c r="F180" i="4"/>
  <c r="C181" i="4"/>
  <c r="D181" i="4"/>
  <c r="E181" i="4"/>
  <c r="F181" i="4"/>
  <c r="C182" i="4"/>
  <c r="D182" i="4"/>
  <c r="E182" i="4"/>
  <c r="F182" i="4"/>
  <c r="C183" i="4"/>
  <c r="D183" i="4"/>
  <c r="E183" i="4"/>
  <c r="F183" i="4"/>
  <c r="C184" i="4"/>
  <c r="D184" i="4"/>
  <c r="E184" i="4"/>
  <c r="F184" i="4"/>
  <c r="C185" i="4"/>
  <c r="D185" i="4"/>
  <c r="E185" i="4"/>
  <c r="F185" i="4"/>
  <c r="C186" i="4"/>
  <c r="D186" i="4"/>
  <c r="E186" i="4"/>
  <c r="F186" i="4"/>
  <c r="C187" i="4"/>
  <c r="D187" i="4"/>
  <c r="E187" i="4"/>
  <c r="F187" i="4"/>
  <c r="C188" i="4"/>
  <c r="D188" i="4"/>
  <c r="E188" i="4"/>
  <c r="F188" i="4"/>
  <c r="C189" i="4"/>
  <c r="D189" i="4"/>
  <c r="E189" i="4"/>
  <c r="F189" i="4"/>
  <c r="C190" i="4"/>
  <c r="D190" i="4"/>
  <c r="E190" i="4"/>
  <c r="F190" i="4"/>
  <c r="C191" i="4"/>
  <c r="D191" i="4"/>
  <c r="E191" i="4"/>
  <c r="F191" i="4"/>
  <c r="C192" i="4"/>
  <c r="D192" i="4"/>
  <c r="E192" i="4"/>
  <c r="F192" i="4"/>
  <c r="C193" i="4"/>
  <c r="D193" i="4"/>
  <c r="E193" i="4"/>
  <c r="F193" i="4"/>
  <c r="C194" i="4"/>
  <c r="D194" i="4"/>
  <c r="E194" i="4"/>
  <c r="F194" i="4"/>
  <c r="C195" i="4"/>
  <c r="D195" i="4"/>
  <c r="E195" i="4"/>
  <c r="F195" i="4"/>
  <c r="C196" i="4"/>
  <c r="D196" i="4"/>
  <c r="E196" i="4"/>
  <c r="F196" i="4"/>
  <c r="C197" i="4"/>
  <c r="D197" i="4"/>
  <c r="E197" i="4"/>
  <c r="F197" i="4"/>
  <c r="C198" i="4"/>
  <c r="D198" i="4"/>
  <c r="E198" i="4"/>
  <c r="F198" i="4"/>
  <c r="C199" i="4"/>
  <c r="D199" i="4"/>
  <c r="E199" i="4"/>
  <c r="F199" i="4"/>
  <c r="C200" i="4"/>
  <c r="D200" i="4"/>
  <c r="E200" i="4"/>
  <c r="F200" i="4"/>
  <c r="C201" i="4"/>
  <c r="D201" i="4"/>
  <c r="E201" i="4"/>
  <c r="F201" i="4"/>
  <c r="C202" i="4"/>
  <c r="D202" i="4"/>
  <c r="E202" i="4"/>
  <c r="F202" i="4"/>
  <c r="C203" i="4"/>
  <c r="D203" i="4"/>
  <c r="E203" i="4"/>
  <c r="F203" i="4"/>
  <c r="C204" i="4"/>
  <c r="D204" i="4"/>
  <c r="E204" i="4"/>
  <c r="F204" i="4"/>
  <c r="C205" i="4"/>
  <c r="D205" i="4"/>
  <c r="E205" i="4"/>
  <c r="F205" i="4"/>
  <c r="C206" i="4"/>
  <c r="D206" i="4"/>
  <c r="E206" i="4"/>
  <c r="F206" i="4"/>
  <c r="C207" i="4"/>
  <c r="D207" i="4"/>
  <c r="E207" i="4"/>
  <c r="F207" i="4"/>
  <c r="C208" i="4"/>
  <c r="D208" i="4"/>
  <c r="E208" i="4"/>
  <c r="F208" i="4"/>
  <c r="C209" i="4"/>
  <c r="D209" i="4"/>
  <c r="E209" i="4"/>
  <c r="F209" i="4"/>
  <c r="C210" i="4"/>
  <c r="D210" i="4"/>
  <c r="E210" i="4"/>
  <c r="F210" i="4"/>
  <c r="C211" i="4"/>
  <c r="D211" i="4"/>
  <c r="E211" i="4"/>
  <c r="F211" i="4"/>
  <c r="C212" i="4"/>
  <c r="D212" i="4"/>
  <c r="E212" i="4"/>
  <c r="F212" i="4"/>
  <c r="C213" i="4"/>
  <c r="D213" i="4"/>
  <c r="E213" i="4"/>
  <c r="F213" i="4"/>
  <c r="C214" i="4"/>
  <c r="D214" i="4"/>
  <c r="E214" i="4"/>
  <c r="F214" i="4"/>
  <c r="C215" i="4"/>
  <c r="D215" i="4"/>
  <c r="E215" i="4"/>
  <c r="F215" i="4"/>
  <c r="C216" i="4"/>
  <c r="D216" i="4"/>
  <c r="E216" i="4"/>
  <c r="F216" i="4"/>
  <c r="C217" i="4"/>
  <c r="D217" i="4"/>
  <c r="E217" i="4"/>
  <c r="F217" i="4"/>
  <c r="C218" i="4"/>
  <c r="D218" i="4"/>
  <c r="E218" i="4"/>
  <c r="C219" i="4"/>
  <c r="D219" i="4"/>
  <c r="E219" i="4"/>
  <c r="F219" i="4"/>
  <c r="C220" i="4"/>
  <c r="D220" i="4"/>
  <c r="E220" i="4"/>
  <c r="F220" i="4"/>
  <c r="C221" i="4"/>
  <c r="D221" i="4"/>
  <c r="E221" i="4"/>
  <c r="F221" i="4"/>
  <c r="C222" i="4"/>
  <c r="D222" i="4"/>
  <c r="E222" i="4"/>
  <c r="F222" i="4"/>
  <c r="C223" i="4"/>
  <c r="D223" i="4"/>
  <c r="E223" i="4"/>
  <c r="F223" i="4"/>
  <c r="C225" i="4"/>
  <c r="D225" i="4"/>
  <c r="E225" i="4"/>
  <c r="F225" i="4"/>
  <c r="C226" i="4"/>
  <c r="D226" i="4"/>
  <c r="E226" i="4"/>
  <c r="F226" i="4"/>
  <c r="C227" i="4"/>
  <c r="D227" i="4"/>
  <c r="E227" i="4"/>
  <c r="F227" i="4"/>
  <c r="C228" i="4"/>
  <c r="D228" i="4"/>
  <c r="E228" i="4"/>
  <c r="F228" i="4"/>
  <c r="C229" i="4"/>
  <c r="D229" i="4"/>
  <c r="E229" i="4"/>
  <c r="F229" i="4"/>
  <c r="C230" i="4"/>
  <c r="D230" i="4"/>
  <c r="E230" i="4"/>
  <c r="F230" i="4"/>
  <c r="C231" i="4"/>
  <c r="D231" i="4"/>
  <c r="E231" i="4"/>
  <c r="F231" i="4"/>
  <c r="C232" i="4"/>
  <c r="D232" i="4"/>
  <c r="E232" i="4"/>
  <c r="F232" i="4"/>
  <c r="C233" i="4"/>
  <c r="D233" i="4"/>
  <c r="E233" i="4"/>
  <c r="F233" i="4"/>
  <c r="C234" i="4"/>
  <c r="D234" i="4"/>
  <c r="E234" i="4"/>
  <c r="F234" i="4"/>
  <c r="C235" i="4"/>
  <c r="D235" i="4"/>
  <c r="E235" i="4"/>
  <c r="F235" i="4"/>
  <c r="C236" i="4"/>
  <c r="D236" i="4"/>
  <c r="E236" i="4"/>
  <c r="F236" i="4"/>
  <c r="C238" i="4"/>
  <c r="D238" i="4"/>
  <c r="E238" i="4"/>
  <c r="F238" i="4"/>
  <c r="C239" i="4"/>
  <c r="D239" i="4"/>
  <c r="E239" i="4"/>
  <c r="F239" i="4"/>
  <c r="C240" i="4"/>
  <c r="D240" i="4"/>
  <c r="E240" i="4"/>
  <c r="C241" i="4"/>
  <c r="D241" i="4"/>
  <c r="E241" i="4"/>
  <c r="F241" i="4"/>
  <c r="C242" i="4"/>
  <c r="D242" i="4"/>
  <c r="E242" i="4"/>
  <c r="F242" i="4"/>
  <c r="C243" i="4"/>
  <c r="D243" i="4"/>
  <c r="E243" i="4"/>
  <c r="F243" i="4"/>
  <c r="C244" i="4"/>
  <c r="D244" i="4"/>
  <c r="E244" i="4"/>
  <c r="F244" i="4"/>
  <c r="C245" i="4"/>
  <c r="D245" i="4"/>
  <c r="E245" i="4"/>
  <c r="F245" i="4"/>
  <c r="C246" i="4"/>
  <c r="D246" i="4"/>
  <c r="E246" i="4"/>
  <c r="F246" i="4"/>
  <c r="C247" i="4"/>
  <c r="D247" i="4"/>
  <c r="E247" i="4"/>
  <c r="F247" i="4"/>
  <c r="C248" i="4"/>
  <c r="D248" i="4"/>
  <c r="E248" i="4"/>
  <c r="F248" i="4"/>
  <c r="C249" i="4"/>
  <c r="D249" i="4"/>
  <c r="E249" i="4"/>
  <c r="F249" i="4"/>
  <c r="C250" i="4"/>
  <c r="D250" i="4"/>
  <c r="E250" i="4"/>
  <c r="F250" i="4"/>
  <c r="C251" i="4"/>
  <c r="D251" i="4"/>
  <c r="E251" i="4"/>
  <c r="F251" i="4"/>
  <c r="C252" i="4"/>
  <c r="D252" i="4"/>
  <c r="E252" i="4"/>
  <c r="F252" i="4"/>
  <c r="C253" i="4"/>
  <c r="D253" i="4"/>
  <c r="E253" i="4"/>
  <c r="F253" i="4"/>
  <c r="C254" i="4"/>
  <c r="D254" i="4"/>
  <c r="E254" i="4"/>
  <c r="F254" i="4"/>
  <c r="C255" i="4"/>
  <c r="D255" i="4"/>
  <c r="E255" i="4"/>
  <c r="F255" i="4"/>
  <c r="C256" i="4"/>
  <c r="D256" i="4"/>
  <c r="E256" i="4"/>
  <c r="F256" i="4"/>
  <c r="C258" i="4"/>
  <c r="D258" i="4"/>
  <c r="E258" i="4"/>
  <c r="F258" i="4"/>
  <c r="C259" i="4"/>
  <c r="D259" i="4"/>
  <c r="E259" i="4"/>
  <c r="F259" i="4"/>
  <c r="C260" i="4"/>
  <c r="D260" i="4"/>
  <c r="E260" i="4"/>
  <c r="F260" i="4"/>
  <c r="C261" i="4"/>
  <c r="D261" i="4"/>
  <c r="E261" i="4"/>
  <c r="F261" i="4"/>
  <c r="C262" i="4"/>
  <c r="D262" i="4"/>
  <c r="E262" i="4"/>
  <c r="F262" i="4"/>
  <c r="C263" i="4"/>
  <c r="D263" i="4"/>
  <c r="E263" i="4"/>
  <c r="F263" i="4"/>
  <c r="C264" i="4"/>
  <c r="D264" i="4"/>
  <c r="E264" i="4"/>
  <c r="F264" i="4"/>
  <c r="C265" i="4"/>
  <c r="D265" i="4"/>
  <c r="E265" i="4"/>
  <c r="F265" i="4"/>
  <c r="C266" i="4"/>
  <c r="D266" i="4"/>
  <c r="E266" i="4"/>
  <c r="F266" i="4"/>
  <c r="C267" i="4"/>
  <c r="D267" i="4"/>
  <c r="E267" i="4"/>
  <c r="F267" i="4"/>
  <c r="C268" i="4"/>
  <c r="D268" i="4"/>
  <c r="E268" i="4"/>
  <c r="F268" i="4"/>
  <c r="C269" i="4"/>
  <c r="D269" i="4"/>
  <c r="E269" i="4"/>
  <c r="F269" i="4"/>
  <c r="C270" i="4"/>
  <c r="D270" i="4"/>
  <c r="E270" i="4"/>
  <c r="F270" i="4"/>
  <c r="C271" i="4"/>
  <c r="D271" i="4"/>
  <c r="E271" i="4"/>
  <c r="F271" i="4"/>
  <c r="C272" i="4"/>
  <c r="D272" i="4"/>
  <c r="E272" i="4"/>
  <c r="F272" i="4"/>
  <c r="C273" i="4"/>
  <c r="D273" i="4"/>
  <c r="E273" i="4"/>
  <c r="F273" i="4"/>
  <c r="C274" i="4"/>
  <c r="D274" i="4"/>
  <c r="E274" i="4"/>
  <c r="F274" i="4"/>
  <c r="C275" i="4"/>
  <c r="D275" i="4"/>
  <c r="E275" i="4"/>
  <c r="F275" i="4"/>
  <c r="C276" i="4"/>
  <c r="D276" i="4"/>
  <c r="E276" i="4"/>
  <c r="F276" i="4"/>
  <c r="C277" i="4"/>
  <c r="D277" i="4"/>
  <c r="E277" i="4"/>
  <c r="F277" i="4"/>
  <c r="C278" i="4"/>
  <c r="D278" i="4"/>
  <c r="E278" i="4"/>
  <c r="F278" i="4"/>
  <c r="C279" i="4"/>
  <c r="D279" i="4"/>
  <c r="E279" i="4"/>
  <c r="F279" i="4"/>
  <c r="C280" i="4"/>
  <c r="D280" i="4"/>
  <c r="E280" i="4"/>
  <c r="F280" i="4"/>
  <c r="C281" i="4"/>
  <c r="D281" i="4"/>
  <c r="E281" i="4"/>
  <c r="F281" i="4"/>
  <c r="C282" i="4"/>
  <c r="D282" i="4"/>
  <c r="E282" i="4"/>
  <c r="F282" i="4"/>
  <c r="C283" i="4"/>
  <c r="D283" i="4"/>
  <c r="E283" i="4"/>
  <c r="F283" i="4"/>
  <c r="C284" i="4"/>
  <c r="D284" i="4"/>
  <c r="E284" i="4"/>
  <c r="F284" i="4"/>
  <c r="C285" i="4"/>
  <c r="D285" i="4"/>
  <c r="E285" i="4"/>
  <c r="F285" i="4"/>
  <c r="C286" i="4"/>
  <c r="D286" i="4"/>
  <c r="E286" i="4"/>
  <c r="F286" i="4"/>
  <c r="C287" i="4"/>
  <c r="D287" i="4"/>
  <c r="E287" i="4"/>
  <c r="F287" i="4"/>
  <c r="C288" i="4"/>
  <c r="D288" i="4"/>
  <c r="E288" i="4"/>
  <c r="F288" i="4"/>
  <c r="C289" i="4"/>
  <c r="D289" i="4"/>
  <c r="E289" i="4"/>
  <c r="F289" i="4"/>
  <c r="C290" i="4"/>
  <c r="D290" i="4"/>
  <c r="E290" i="4"/>
  <c r="F290" i="4"/>
  <c r="C291" i="4"/>
  <c r="D291" i="4"/>
  <c r="E291" i="4"/>
  <c r="F291" i="4"/>
  <c r="C292" i="4"/>
  <c r="D292" i="4"/>
  <c r="E292" i="4"/>
  <c r="F292" i="4"/>
  <c r="C293" i="4"/>
  <c r="D293" i="4"/>
  <c r="E293" i="4"/>
  <c r="F293" i="4"/>
  <c r="C294" i="4"/>
  <c r="D294" i="4"/>
  <c r="E294" i="4"/>
  <c r="F294" i="4"/>
  <c r="C295" i="4"/>
  <c r="D295" i="4"/>
  <c r="E295" i="4"/>
  <c r="F295" i="4"/>
  <c r="C297" i="4"/>
  <c r="D297" i="4"/>
  <c r="E297" i="4"/>
  <c r="F297" i="4"/>
  <c r="C298" i="4"/>
  <c r="D298" i="4"/>
  <c r="E298" i="4"/>
  <c r="F298" i="4"/>
  <c r="C299" i="4"/>
  <c r="D299" i="4"/>
  <c r="E299" i="4"/>
  <c r="F299" i="4"/>
  <c r="C300" i="4"/>
  <c r="D300" i="4"/>
  <c r="E300" i="4"/>
  <c r="F300" i="4"/>
  <c r="C301" i="4"/>
  <c r="D301" i="4"/>
  <c r="E301" i="4"/>
  <c r="F301" i="4"/>
  <c r="C302" i="4"/>
  <c r="D302" i="4"/>
  <c r="E302" i="4"/>
  <c r="F302" i="4"/>
  <c r="C303" i="4"/>
  <c r="D303" i="4"/>
  <c r="E303" i="4"/>
  <c r="F303" i="4"/>
  <c r="C304" i="4"/>
  <c r="D304" i="4"/>
  <c r="E304" i="4"/>
  <c r="F304" i="4"/>
  <c r="C305" i="4"/>
  <c r="D305" i="4"/>
  <c r="E305" i="4"/>
  <c r="F305" i="4"/>
  <c r="C306" i="4"/>
  <c r="D306" i="4"/>
  <c r="E306" i="4"/>
  <c r="F306" i="4"/>
  <c r="C308" i="4"/>
  <c r="D308" i="4"/>
  <c r="E308" i="4"/>
  <c r="F308" i="4"/>
  <c r="C309" i="4"/>
  <c r="D309" i="4"/>
  <c r="E309" i="4"/>
  <c r="F309" i="4"/>
  <c r="C311" i="4"/>
  <c r="D311" i="4"/>
  <c r="E311" i="4"/>
  <c r="F311" i="4"/>
  <c r="C312" i="4"/>
  <c r="D312" i="4"/>
  <c r="E312" i="4"/>
  <c r="F312" i="4"/>
  <c r="C313" i="4"/>
  <c r="D313" i="4"/>
  <c r="E313" i="4"/>
  <c r="F313" i="4"/>
  <c r="C314" i="4"/>
  <c r="D314" i="4"/>
  <c r="E314" i="4"/>
  <c r="F314" i="4"/>
  <c r="C315" i="4"/>
  <c r="D315" i="4"/>
  <c r="E315" i="4"/>
  <c r="F315" i="4"/>
  <c r="C316" i="4"/>
  <c r="D316" i="4"/>
  <c r="E316" i="4"/>
  <c r="F316" i="4"/>
  <c r="C317" i="4"/>
  <c r="D317" i="4"/>
  <c r="E317" i="4"/>
  <c r="F317" i="4"/>
  <c r="C318" i="4"/>
  <c r="D318" i="4"/>
  <c r="E318" i="4"/>
  <c r="F318" i="4"/>
  <c r="C319" i="4"/>
  <c r="D319" i="4"/>
  <c r="E319" i="4"/>
  <c r="F319" i="4"/>
  <c r="C320" i="4"/>
  <c r="D320" i="4"/>
  <c r="E320" i="4"/>
  <c r="F320" i="4"/>
  <c r="C321" i="4"/>
  <c r="D321" i="4"/>
  <c r="E321" i="4"/>
  <c r="F321" i="4"/>
  <c r="C322" i="4"/>
  <c r="D322" i="4"/>
  <c r="E322" i="4"/>
  <c r="F322" i="4"/>
  <c r="C323" i="4"/>
  <c r="D323" i="4"/>
  <c r="E323" i="4"/>
  <c r="F323" i="4"/>
  <c r="C324" i="4"/>
  <c r="D324" i="4"/>
  <c r="E324" i="4"/>
  <c r="F324" i="4"/>
  <c r="C325" i="4"/>
  <c r="D325" i="4"/>
  <c r="E325" i="4"/>
  <c r="F325" i="4"/>
  <c r="C326" i="4"/>
  <c r="D326" i="4"/>
  <c r="E326" i="4"/>
  <c r="F326" i="4"/>
  <c r="C327" i="4"/>
  <c r="D327" i="4"/>
  <c r="E327" i="4"/>
  <c r="F327" i="4"/>
  <c r="C328" i="4"/>
  <c r="D328" i="4"/>
  <c r="E328" i="4"/>
  <c r="F328" i="4"/>
  <c r="C329" i="4"/>
  <c r="D329" i="4"/>
  <c r="E329" i="4"/>
  <c r="F329" i="4"/>
  <c r="C330" i="4"/>
  <c r="D330" i="4"/>
  <c r="E330" i="4"/>
  <c r="F330" i="4"/>
  <c r="C331" i="4"/>
  <c r="D331" i="4"/>
  <c r="E331" i="4"/>
  <c r="F331" i="4"/>
  <c r="C332" i="4"/>
  <c r="D332" i="4"/>
  <c r="E332" i="4"/>
  <c r="F332" i="4"/>
  <c r="C333" i="4"/>
  <c r="D333" i="4"/>
  <c r="E333" i="4"/>
  <c r="F333" i="4"/>
  <c r="C334" i="4"/>
  <c r="D334" i="4"/>
  <c r="E334" i="4"/>
  <c r="F334" i="4"/>
  <c r="C335" i="4"/>
  <c r="D335" i="4"/>
  <c r="E335" i="4"/>
  <c r="F335" i="4"/>
  <c r="C336" i="4"/>
  <c r="D336" i="4"/>
  <c r="E336" i="4"/>
  <c r="F336" i="4"/>
  <c r="C337" i="4"/>
  <c r="D337" i="4"/>
  <c r="E337" i="4"/>
  <c r="F337" i="4"/>
  <c r="C338" i="4"/>
  <c r="D338" i="4"/>
  <c r="E338" i="4"/>
  <c r="F338" i="4"/>
  <c r="C339" i="4"/>
  <c r="D339" i="4"/>
  <c r="E339" i="4"/>
  <c r="F339" i="4"/>
  <c r="C340" i="4"/>
  <c r="D340" i="4"/>
  <c r="E340" i="4"/>
  <c r="F340" i="4"/>
  <c r="C341" i="4"/>
  <c r="D341" i="4"/>
  <c r="E341" i="4"/>
  <c r="F341" i="4"/>
  <c r="C342" i="4"/>
  <c r="D342" i="4"/>
  <c r="E342" i="4"/>
  <c r="F342" i="4"/>
  <c r="C343" i="4"/>
  <c r="D343" i="4"/>
  <c r="E343" i="4"/>
  <c r="F343" i="4"/>
  <c r="C344" i="4"/>
  <c r="D344" i="4"/>
  <c r="E344" i="4"/>
  <c r="F344" i="4"/>
  <c r="C345" i="4"/>
  <c r="D345" i="4"/>
  <c r="E345" i="4"/>
  <c r="F345" i="4"/>
  <c r="C346" i="4"/>
  <c r="D346" i="4"/>
  <c r="E346" i="4"/>
  <c r="F346" i="4"/>
  <c r="C347" i="4"/>
  <c r="D347" i="4"/>
  <c r="E347" i="4"/>
  <c r="F347" i="4"/>
  <c r="C350" i="4"/>
  <c r="D350" i="4"/>
  <c r="E350" i="4"/>
  <c r="F350" i="4"/>
  <c r="C352" i="4"/>
  <c r="D352" i="4"/>
  <c r="E352" i="4"/>
  <c r="F352" i="4"/>
  <c r="C354" i="4"/>
  <c r="D354" i="4"/>
  <c r="E354" i="4"/>
  <c r="F354" i="4"/>
  <c r="C355" i="4"/>
  <c r="D355" i="4"/>
  <c r="E355" i="4"/>
  <c r="F355" i="4"/>
  <c r="C356" i="4"/>
  <c r="D356" i="4"/>
  <c r="E356" i="4"/>
  <c r="F356" i="4"/>
  <c r="C357" i="4"/>
  <c r="D357" i="4"/>
  <c r="E357" i="4"/>
  <c r="F357" i="4"/>
  <c r="C358" i="4"/>
  <c r="D358" i="4"/>
  <c r="E358" i="4"/>
  <c r="F358" i="4"/>
  <c r="C359" i="4"/>
  <c r="D359" i="4"/>
  <c r="E359" i="4"/>
  <c r="F359" i="4"/>
  <c r="C360" i="4"/>
  <c r="D360" i="4"/>
  <c r="E360" i="4"/>
  <c r="F360" i="4"/>
  <c r="C361" i="4"/>
  <c r="D361" i="4"/>
  <c r="E361" i="4"/>
  <c r="F361" i="4"/>
  <c r="C362" i="4"/>
  <c r="D362" i="4"/>
  <c r="E362" i="4"/>
  <c r="F362" i="4"/>
  <c r="C363" i="4"/>
  <c r="D363" i="4"/>
  <c r="E363" i="4"/>
  <c r="F363" i="4"/>
  <c r="C364" i="4"/>
  <c r="D364" i="4"/>
  <c r="E364" i="4"/>
  <c r="F364" i="4"/>
  <c r="C365" i="4"/>
  <c r="D365" i="4"/>
  <c r="E365" i="4"/>
  <c r="F365" i="4"/>
  <c r="C366" i="4"/>
  <c r="D366" i="4"/>
  <c r="E366" i="4"/>
  <c r="F366" i="4"/>
  <c r="C367" i="4"/>
  <c r="D367" i="4"/>
  <c r="E367" i="4"/>
  <c r="F367" i="4"/>
  <c r="C368" i="4"/>
  <c r="D368" i="4"/>
  <c r="E368" i="4"/>
  <c r="F368" i="4"/>
  <c r="C369" i="4"/>
  <c r="D369" i="4"/>
  <c r="E369" i="4"/>
  <c r="F369" i="4"/>
  <c r="C370" i="4"/>
  <c r="D370" i="4"/>
  <c r="E370" i="4"/>
  <c r="F370" i="4"/>
  <c r="C371" i="4"/>
  <c r="D371" i="4"/>
  <c r="E371" i="4"/>
  <c r="F371" i="4"/>
  <c r="C372" i="4"/>
  <c r="D372" i="4"/>
  <c r="E372" i="4"/>
  <c r="F372" i="4"/>
  <c r="C373" i="4"/>
  <c r="D373" i="4"/>
  <c r="E373" i="4"/>
  <c r="F373" i="4"/>
  <c r="C374" i="4"/>
  <c r="D374" i="4"/>
  <c r="E374" i="4"/>
  <c r="F374" i="4"/>
  <c r="C375" i="4"/>
  <c r="D375" i="4"/>
  <c r="E375" i="4"/>
  <c r="F375" i="4"/>
  <c r="C376" i="4"/>
  <c r="D376" i="4"/>
  <c r="E376" i="4"/>
  <c r="F376" i="4"/>
  <c r="C377" i="4"/>
  <c r="D377" i="4"/>
  <c r="E377" i="4"/>
  <c r="F377" i="4"/>
  <c r="C378" i="4"/>
  <c r="D378" i="4"/>
  <c r="E378" i="4"/>
  <c r="F378" i="4"/>
  <c r="C379" i="4"/>
  <c r="D379" i="4"/>
  <c r="E379" i="4"/>
  <c r="F379" i="4"/>
  <c r="C380" i="4"/>
  <c r="D380" i="4"/>
  <c r="E380" i="4"/>
  <c r="F380" i="4"/>
  <c r="C381" i="4"/>
  <c r="D381" i="4"/>
  <c r="E381" i="4"/>
  <c r="F381" i="4"/>
  <c r="C382" i="4"/>
  <c r="D382" i="4"/>
  <c r="E382" i="4"/>
  <c r="F382" i="4"/>
  <c r="C383" i="4"/>
  <c r="D383" i="4"/>
  <c r="E383" i="4"/>
  <c r="F383" i="4"/>
  <c r="C384" i="4"/>
  <c r="D384" i="4"/>
  <c r="E384" i="4"/>
  <c r="F384" i="4"/>
  <c r="C385" i="4"/>
  <c r="D385" i="4"/>
  <c r="E385" i="4"/>
  <c r="F385" i="4"/>
  <c r="C386" i="4"/>
  <c r="D386" i="4"/>
  <c r="E386" i="4"/>
  <c r="F386" i="4"/>
  <c r="C387" i="4"/>
  <c r="D387" i="4"/>
  <c r="E387" i="4"/>
  <c r="F387" i="4"/>
  <c r="C388" i="4"/>
  <c r="D388" i="4"/>
  <c r="E388" i="4"/>
  <c r="F388" i="4"/>
  <c r="C389" i="4"/>
  <c r="D389" i="4"/>
  <c r="E389" i="4"/>
  <c r="F389" i="4"/>
  <c r="C390" i="4"/>
  <c r="D390" i="4"/>
  <c r="E390" i="4"/>
  <c r="F390" i="4"/>
  <c r="C391" i="4"/>
  <c r="D391" i="4"/>
  <c r="E391" i="4"/>
  <c r="F391" i="4"/>
  <c r="C392" i="4"/>
  <c r="D392" i="4"/>
  <c r="E392" i="4"/>
  <c r="F392" i="4"/>
  <c r="C393" i="4"/>
  <c r="D393" i="4"/>
  <c r="E393" i="4"/>
  <c r="F393" i="4"/>
  <c r="C394" i="4"/>
  <c r="D394" i="4"/>
  <c r="E394" i="4"/>
  <c r="F394" i="4"/>
  <c r="C395" i="4"/>
  <c r="D395" i="4"/>
  <c r="E395" i="4"/>
  <c r="F395" i="4"/>
  <c r="C396" i="4"/>
  <c r="D396" i="4"/>
  <c r="E396" i="4"/>
  <c r="F396" i="4"/>
  <c r="C397" i="4"/>
  <c r="D397" i="4"/>
  <c r="E397" i="4"/>
  <c r="F397" i="4"/>
  <c r="C398" i="4"/>
  <c r="D398" i="4"/>
  <c r="E398" i="4"/>
  <c r="F398" i="4"/>
  <c r="C399" i="4"/>
  <c r="D399" i="4"/>
  <c r="E399" i="4"/>
  <c r="F399" i="4"/>
  <c r="C400" i="4"/>
  <c r="D400" i="4"/>
  <c r="E400" i="4"/>
  <c r="F400" i="4"/>
  <c r="C401" i="4"/>
  <c r="D401" i="4"/>
  <c r="E401" i="4"/>
  <c r="F401" i="4"/>
  <c r="C402" i="4"/>
  <c r="D402" i="4"/>
  <c r="E402" i="4"/>
  <c r="F402" i="4"/>
  <c r="C403" i="4"/>
  <c r="D403" i="4"/>
  <c r="E403" i="4"/>
  <c r="F403" i="4"/>
  <c r="C404" i="4"/>
  <c r="D404" i="4"/>
  <c r="E404" i="4"/>
  <c r="F404" i="4"/>
  <c r="C405" i="4"/>
  <c r="D405" i="4"/>
  <c r="E405" i="4"/>
  <c r="F405" i="4"/>
  <c r="C406" i="4"/>
  <c r="D406" i="4"/>
  <c r="E406" i="4"/>
  <c r="F406" i="4"/>
  <c r="C407" i="4"/>
  <c r="D407" i="4"/>
  <c r="E407" i="4"/>
  <c r="F407" i="4"/>
  <c r="C408" i="4"/>
  <c r="D408" i="4"/>
  <c r="E408" i="4"/>
  <c r="F408" i="4"/>
  <c r="C409" i="4"/>
  <c r="D409" i="4"/>
  <c r="E409" i="4"/>
  <c r="F409" i="4"/>
  <c r="C410" i="4"/>
  <c r="D410" i="4"/>
  <c r="E410" i="4"/>
  <c r="F410" i="4"/>
  <c r="C411" i="4"/>
  <c r="D411" i="4"/>
  <c r="E411" i="4"/>
  <c r="F411" i="4"/>
  <c r="C412" i="4"/>
  <c r="D412" i="4"/>
  <c r="E412" i="4"/>
  <c r="F412" i="4"/>
  <c r="C413" i="4"/>
  <c r="D413" i="4"/>
  <c r="E413" i="4"/>
  <c r="F413" i="4"/>
  <c r="C414" i="4"/>
  <c r="D414" i="4"/>
  <c r="E414" i="4"/>
  <c r="F414" i="4"/>
  <c r="C415" i="4"/>
  <c r="D415" i="4"/>
  <c r="E415" i="4"/>
  <c r="F415" i="4"/>
  <c r="C416" i="4"/>
  <c r="D416" i="4"/>
  <c r="E416" i="4"/>
  <c r="F416" i="4"/>
  <c r="C417" i="4"/>
  <c r="D417" i="4"/>
  <c r="E417" i="4"/>
  <c r="F417" i="4"/>
  <c r="C418" i="4"/>
  <c r="D418" i="4"/>
  <c r="E418" i="4"/>
  <c r="F418" i="4"/>
  <c r="C419" i="4"/>
  <c r="D419" i="4"/>
  <c r="E419" i="4"/>
  <c r="F419" i="4"/>
  <c r="C420" i="4"/>
  <c r="D420" i="4"/>
  <c r="E420" i="4"/>
  <c r="F420" i="4"/>
  <c r="C421" i="4"/>
  <c r="D421" i="4"/>
  <c r="E421" i="4"/>
  <c r="F421" i="4"/>
  <c r="C422" i="4"/>
  <c r="D422" i="4"/>
  <c r="E422" i="4"/>
  <c r="F422" i="4"/>
  <c r="C423" i="4"/>
  <c r="D423" i="4"/>
  <c r="E423" i="4"/>
  <c r="F423" i="4"/>
  <c r="C424" i="4"/>
  <c r="D424" i="4"/>
  <c r="E424" i="4"/>
  <c r="F424" i="4"/>
  <c r="C425" i="4"/>
  <c r="D425" i="4"/>
  <c r="E425" i="4"/>
  <c r="F425" i="4"/>
  <c r="C426" i="4"/>
  <c r="D426" i="4"/>
  <c r="E426" i="4"/>
  <c r="F426" i="4"/>
  <c r="C427" i="4"/>
  <c r="D427" i="4"/>
  <c r="E427" i="4"/>
  <c r="F427" i="4"/>
  <c r="C428" i="4"/>
  <c r="D428" i="4"/>
  <c r="E428" i="4"/>
  <c r="F428" i="4"/>
  <c r="C429" i="4"/>
  <c r="D429" i="4"/>
  <c r="E429" i="4"/>
  <c r="F429" i="4"/>
  <c r="C430" i="4"/>
  <c r="D430" i="4"/>
  <c r="E430" i="4"/>
  <c r="F430" i="4"/>
  <c r="C431" i="4"/>
  <c r="D431" i="4"/>
  <c r="E431" i="4"/>
  <c r="F431" i="4"/>
  <c r="C432" i="4"/>
  <c r="D432" i="4"/>
  <c r="E432" i="4"/>
  <c r="F432" i="4"/>
  <c r="C433" i="4"/>
  <c r="D433" i="4"/>
  <c r="E433" i="4"/>
  <c r="F433" i="4"/>
  <c r="C434" i="4"/>
  <c r="D434" i="4"/>
  <c r="E434" i="4"/>
  <c r="F434" i="4"/>
  <c r="C435" i="4"/>
  <c r="D435" i="4"/>
  <c r="E435" i="4"/>
  <c r="F435" i="4"/>
  <c r="C436" i="4"/>
  <c r="D436" i="4"/>
  <c r="E436" i="4"/>
  <c r="F436" i="4"/>
  <c r="C437" i="4"/>
  <c r="D437" i="4"/>
  <c r="E437" i="4"/>
  <c r="F437" i="4"/>
  <c r="C438" i="4"/>
  <c r="D438" i="4"/>
  <c r="E438" i="4"/>
  <c r="F438" i="4"/>
  <c r="C439" i="4"/>
  <c r="D439" i="4"/>
  <c r="E439" i="4"/>
  <c r="F439" i="4"/>
  <c r="C440" i="4"/>
  <c r="D440" i="4"/>
  <c r="E440" i="4"/>
  <c r="F440" i="4"/>
  <c r="C441" i="4"/>
  <c r="D441" i="4"/>
  <c r="E441" i="4"/>
  <c r="F441" i="4"/>
  <c r="C442" i="4"/>
  <c r="D442" i="4"/>
  <c r="E442" i="4"/>
  <c r="F442" i="4"/>
  <c r="C443" i="4"/>
  <c r="D443" i="4"/>
  <c r="E443" i="4"/>
  <c r="F443" i="4"/>
  <c r="C444" i="4"/>
  <c r="D444" i="4"/>
  <c r="E444" i="4"/>
  <c r="F444" i="4"/>
  <c r="C445" i="4"/>
  <c r="D445" i="4"/>
  <c r="E445" i="4"/>
  <c r="F445" i="4"/>
  <c r="C446" i="4"/>
  <c r="D446" i="4"/>
  <c r="E446" i="4"/>
  <c r="F446" i="4"/>
  <c r="C447" i="4"/>
  <c r="D447" i="4"/>
  <c r="E447" i="4"/>
  <c r="F447" i="4"/>
  <c r="C448" i="4"/>
  <c r="D448" i="4"/>
  <c r="E448" i="4"/>
  <c r="F448" i="4"/>
  <c r="C449" i="4"/>
  <c r="D449" i="4"/>
  <c r="E449" i="4"/>
  <c r="F449" i="4"/>
  <c r="C450" i="4"/>
  <c r="D450" i="4"/>
  <c r="E450" i="4"/>
  <c r="F450" i="4"/>
  <c r="C451" i="4"/>
  <c r="D451" i="4"/>
  <c r="E451" i="4"/>
  <c r="F451" i="4"/>
  <c r="C452" i="4"/>
  <c r="D452" i="4"/>
  <c r="E452" i="4"/>
  <c r="F452" i="4"/>
  <c r="C453" i="4"/>
  <c r="D453" i="4"/>
  <c r="E453" i="4"/>
  <c r="F453" i="4"/>
  <c r="C454" i="4"/>
  <c r="D454" i="4"/>
  <c r="E454" i="4"/>
  <c r="F454" i="4"/>
  <c r="C455" i="4"/>
  <c r="D455" i="4"/>
  <c r="E455" i="4"/>
  <c r="F455" i="4"/>
  <c r="C456" i="4"/>
  <c r="D456" i="4"/>
  <c r="E456" i="4"/>
  <c r="F456" i="4"/>
  <c r="C457" i="4"/>
  <c r="D457" i="4"/>
  <c r="E457" i="4"/>
  <c r="F457" i="4"/>
  <c r="C458" i="4"/>
  <c r="D458" i="4"/>
  <c r="E458" i="4"/>
  <c r="F458" i="4"/>
  <c r="C459" i="4"/>
  <c r="D459" i="4"/>
  <c r="E459" i="4"/>
  <c r="F459" i="4"/>
  <c r="C460" i="4"/>
  <c r="D460" i="4"/>
  <c r="E460" i="4"/>
  <c r="F460" i="4"/>
  <c r="C461" i="4"/>
  <c r="D461" i="4"/>
  <c r="E461" i="4"/>
  <c r="F461" i="4"/>
  <c r="C462" i="4"/>
  <c r="D462" i="4"/>
  <c r="E462" i="4"/>
  <c r="F462" i="4"/>
  <c r="C463" i="4"/>
  <c r="D463" i="4"/>
  <c r="E463" i="4"/>
  <c r="F463" i="4"/>
  <c r="C464" i="4"/>
  <c r="D464" i="4"/>
  <c r="E464" i="4"/>
  <c r="F464" i="4"/>
  <c r="C465" i="4"/>
  <c r="D465" i="4"/>
  <c r="E465" i="4"/>
  <c r="F465" i="4"/>
  <c r="C466" i="4"/>
  <c r="D466" i="4"/>
  <c r="E466" i="4"/>
  <c r="F466" i="4"/>
  <c r="C467" i="4"/>
  <c r="D467" i="4"/>
  <c r="E467" i="4"/>
  <c r="F467" i="4"/>
  <c r="C468" i="4"/>
  <c r="D468" i="4"/>
  <c r="E468" i="4"/>
  <c r="F468" i="4"/>
  <c r="C469" i="4"/>
  <c r="D469" i="4"/>
  <c r="E469" i="4"/>
  <c r="F469" i="4"/>
  <c r="C470" i="4"/>
  <c r="D470" i="4"/>
  <c r="E470" i="4"/>
  <c r="F470" i="4"/>
  <c r="C471" i="4"/>
  <c r="D471" i="4"/>
  <c r="E471" i="4"/>
  <c r="F471" i="4"/>
  <c r="C472" i="4"/>
  <c r="D472" i="4"/>
  <c r="E472" i="4"/>
  <c r="F472" i="4"/>
  <c r="C473" i="4"/>
  <c r="D473" i="4"/>
  <c r="E473" i="4"/>
  <c r="F473" i="4"/>
  <c r="C474" i="4"/>
  <c r="D474" i="4"/>
  <c r="E474" i="4"/>
  <c r="F474" i="4"/>
  <c r="C475" i="4"/>
  <c r="D475" i="4"/>
  <c r="E475" i="4"/>
  <c r="F475" i="4"/>
  <c r="C476" i="4"/>
  <c r="D476" i="4"/>
  <c r="E476" i="4"/>
  <c r="F476" i="4"/>
  <c r="C477" i="4"/>
  <c r="D477" i="4"/>
  <c r="E477" i="4"/>
  <c r="F477" i="4"/>
  <c r="C478" i="4"/>
  <c r="D478" i="4"/>
  <c r="E478" i="4"/>
  <c r="F478" i="4"/>
  <c r="C479" i="4"/>
  <c r="D479" i="4"/>
  <c r="E479" i="4"/>
  <c r="F479" i="4"/>
  <c r="C480" i="4"/>
  <c r="D480" i="4"/>
  <c r="E480" i="4"/>
  <c r="F480" i="4"/>
  <c r="C481" i="4"/>
  <c r="D481" i="4"/>
  <c r="E481" i="4"/>
  <c r="F481" i="4"/>
  <c r="C482" i="4"/>
  <c r="D482" i="4"/>
  <c r="E482" i="4"/>
  <c r="F482" i="4"/>
  <c r="C483" i="4"/>
  <c r="D483" i="4"/>
  <c r="E483" i="4"/>
  <c r="F483" i="4"/>
  <c r="C484" i="4"/>
  <c r="D484" i="4"/>
  <c r="E484" i="4"/>
  <c r="F484" i="4"/>
  <c r="C485" i="4"/>
  <c r="D485" i="4"/>
  <c r="E485" i="4"/>
  <c r="F485" i="4"/>
  <c r="C486" i="4"/>
  <c r="D486" i="4"/>
  <c r="E486" i="4"/>
  <c r="F486" i="4"/>
  <c r="C487" i="4"/>
  <c r="D487" i="4"/>
  <c r="E487" i="4"/>
  <c r="F487" i="4"/>
  <c r="C488" i="4"/>
  <c r="D488" i="4"/>
  <c r="E488" i="4"/>
  <c r="F488" i="4"/>
  <c r="C489" i="4"/>
  <c r="D489" i="4"/>
  <c r="E489" i="4"/>
  <c r="F489" i="4"/>
  <c r="C490" i="4"/>
  <c r="D490" i="4"/>
  <c r="E490" i="4"/>
  <c r="F490" i="4"/>
  <c r="C491" i="4"/>
  <c r="D491" i="4"/>
  <c r="E491" i="4"/>
  <c r="F491" i="4"/>
  <c r="C492" i="4"/>
  <c r="D492" i="4"/>
  <c r="E492" i="4"/>
  <c r="F492" i="4"/>
  <c r="C493" i="4"/>
  <c r="D493" i="4"/>
  <c r="E493" i="4"/>
  <c r="F493" i="4"/>
  <c r="C494" i="4"/>
  <c r="D494" i="4"/>
  <c r="E494" i="4"/>
  <c r="F494" i="4"/>
  <c r="C495" i="4"/>
  <c r="D495" i="4"/>
  <c r="E495" i="4"/>
  <c r="F495" i="4"/>
  <c r="C496" i="4"/>
  <c r="D496" i="4"/>
  <c r="E496" i="4"/>
  <c r="F496" i="4"/>
  <c r="C497" i="4"/>
  <c r="D497" i="4"/>
  <c r="E497" i="4"/>
  <c r="F497" i="4"/>
  <c r="C498" i="4"/>
  <c r="D498" i="4"/>
  <c r="E498" i="4"/>
  <c r="F498" i="4"/>
  <c r="C499" i="4"/>
  <c r="D499" i="4"/>
  <c r="E499" i="4"/>
  <c r="F499" i="4"/>
  <c r="C500" i="4"/>
  <c r="D500" i="4"/>
  <c r="E500" i="4"/>
  <c r="F500" i="4"/>
  <c r="C5" i="4"/>
  <c r="D5" i="4"/>
  <c r="E5" i="4"/>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T33" i="15"/>
  <c r="T34" i="15"/>
  <c r="T35" i="15"/>
  <c r="T36" i="15"/>
  <c r="T37" i="15"/>
  <c r="T38" i="15"/>
  <c r="T39" i="15"/>
  <c r="T40" i="15"/>
  <c r="T41" i="15"/>
  <c r="T42" i="15"/>
  <c r="T43"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6"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G11" i="15"/>
  <c r="H11" i="15"/>
  <c r="G12" i="15"/>
  <c r="H12" i="15"/>
  <c r="G13" i="15"/>
  <c r="H13" i="15"/>
  <c r="G14" i="15"/>
  <c r="H14" i="15"/>
  <c r="G15" i="15"/>
  <c r="H15" i="15"/>
  <c r="G16" i="15"/>
  <c r="H16" i="15"/>
  <c r="G17" i="15"/>
  <c r="H17" i="15"/>
  <c r="G18" i="15"/>
  <c r="H18" i="15"/>
  <c r="G19" i="15"/>
  <c r="H19" i="15"/>
  <c r="G20" i="15"/>
  <c r="H20" i="15"/>
  <c r="G21" i="15"/>
  <c r="H21" i="15"/>
  <c r="G22" i="15"/>
  <c r="H22" i="15"/>
  <c r="G23" i="15"/>
  <c r="H23" i="15"/>
  <c r="G24" i="15"/>
  <c r="H24" i="15"/>
  <c r="G25" i="15"/>
  <c r="H25" i="15"/>
  <c r="G26" i="15"/>
  <c r="H26" i="15"/>
  <c r="G27" i="15"/>
  <c r="H27" i="15"/>
  <c r="G28" i="15"/>
  <c r="H28" i="15"/>
  <c r="G29" i="15"/>
  <c r="H29" i="15"/>
  <c r="G30" i="15"/>
  <c r="H30" i="15"/>
  <c r="G31" i="15"/>
  <c r="H31" i="15"/>
  <c r="G32" i="15"/>
  <c r="H32" i="15"/>
  <c r="G33" i="15"/>
  <c r="H33" i="15"/>
  <c r="G34" i="15"/>
  <c r="H34" i="15"/>
  <c r="G35" i="15"/>
  <c r="H35" i="15"/>
  <c r="G36" i="15"/>
  <c r="H36" i="15"/>
  <c r="G37" i="15"/>
  <c r="H37" i="15"/>
  <c r="G38" i="15"/>
  <c r="H38" i="15"/>
  <c r="G39" i="15"/>
  <c r="H39" i="15"/>
  <c r="G40" i="15"/>
  <c r="H40" i="15"/>
  <c r="G41" i="15"/>
  <c r="H41" i="15"/>
  <c r="G42" i="15"/>
  <c r="H42" i="15"/>
  <c r="G43" i="15"/>
  <c r="H43" i="15"/>
  <c r="G44" i="15"/>
  <c r="H44" i="15"/>
  <c r="G45" i="15"/>
  <c r="H45" i="15"/>
  <c r="G46" i="15"/>
  <c r="H46" i="15"/>
  <c r="G47" i="15"/>
  <c r="H47" i="15"/>
  <c r="G48" i="15"/>
  <c r="H48" i="15"/>
  <c r="G49" i="15"/>
  <c r="H49" i="15"/>
  <c r="G50" i="15"/>
  <c r="H50" i="15"/>
  <c r="G51" i="15"/>
  <c r="H51" i="15"/>
  <c r="G52" i="15"/>
  <c r="H52" i="15"/>
  <c r="G53" i="15"/>
  <c r="H53" i="15"/>
  <c r="G54" i="15"/>
  <c r="H54" i="15"/>
  <c r="G55" i="15"/>
  <c r="H55" i="15"/>
  <c r="G56" i="15"/>
  <c r="H56" i="15"/>
  <c r="G57" i="15"/>
  <c r="H57" i="15"/>
  <c r="G58" i="15"/>
  <c r="H58" i="15"/>
  <c r="G59" i="15"/>
  <c r="H59" i="15"/>
  <c r="G60" i="15"/>
  <c r="H60" i="15"/>
  <c r="G61" i="15"/>
  <c r="H61" i="15"/>
  <c r="G62" i="15"/>
  <c r="H62" i="15"/>
  <c r="G63" i="15"/>
  <c r="H63" i="15"/>
  <c r="G64" i="15"/>
  <c r="H64" i="15"/>
  <c r="G65" i="15"/>
  <c r="H65" i="15"/>
  <c r="G66" i="15"/>
  <c r="H66" i="15"/>
  <c r="G67" i="15"/>
  <c r="H67" i="15"/>
  <c r="G68" i="15"/>
  <c r="H68" i="15"/>
  <c r="G69" i="15"/>
  <c r="H69" i="15"/>
  <c r="G70" i="15"/>
  <c r="H70" i="15"/>
  <c r="G71" i="15"/>
  <c r="H71" i="15"/>
  <c r="G72" i="15"/>
  <c r="H72" i="15"/>
  <c r="G73" i="15"/>
  <c r="H73" i="15"/>
  <c r="G74" i="15"/>
  <c r="H74" i="15"/>
  <c r="G75" i="15"/>
  <c r="H75" i="15"/>
  <c r="G76" i="15"/>
  <c r="H76" i="15"/>
  <c r="G77" i="15"/>
  <c r="H77" i="15"/>
  <c r="G78" i="15"/>
  <c r="H78" i="15"/>
  <c r="G79" i="15"/>
  <c r="H79" i="15"/>
  <c r="G80" i="15"/>
  <c r="H80" i="15"/>
  <c r="G81" i="15"/>
  <c r="H81" i="15"/>
  <c r="G82" i="15"/>
  <c r="H82" i="15"/>
  <c r="G83" i="15"/>
  <c r="H83" i="15"/>
  <c r="G84" i="15"/>
  <c r="H84" i="15"/>
  <c r="G85" i="15"/>
  <c r="H85" i="15"/>
  <c r="G86" i="15"/>
  <c r="H86" i="15"/>
  <c r="G87" i="15"/>
  <c r="H87" i="15"/>
  <c r="G88" i="15"/>
  <c r="H88" i="15"/>
  <c r="G89" i="15"/>
  <c r="H89" i="15"/>
  <c r="G90" i="15"/>
  <c r="H90" i="15"/>
  <c r="G91" i="15"/>
  <c r="H91" i="15"/>
  <c r="G92" i="15"/>
  <c r="H92" i="15"/>
  <c r="G93" i="15"/>
  <c r="H93" i="15"/>
  <c r="G94" i="15"/>
  <c r="H94" i="15"/>
  <c r="G95" i="15"/>
  <c r="H95" i="15"/>
  <c r="G96" i="15"/>
  <c r="H96" i="15"/>
  <c r="G97" i="15"/>
  <c r="H97" i="15"/>
  <c r="G98" i="15"/>
  <c r="H98" i="15"/>
  <c r="G99" i="15"/>
  <c r="H99" i="15"/>
  <c r="G100" i="15"/>
  <c r="H100" i="15"/>
  <c r="G101" i="15"/>
  <c r="H101" i="15"/>
  <c r="G102" i="15"/>
  <c r="H102" i="15"/>
  <c r="G103" i="15"/>
  <c r="H103" i="15"/>
  <c r="G104" i="15"/>
  <c r="H104" i="15"/>
  <c r="G105" i="15"/>
  <c r="H105" i="15"/>
  <c r="G106" i="15"/>
  <c r="H106" i="15"/>
  <c r="G107" i="15"/>
  <c r="H107" i="15"/>
  <c r="G108" i="15"/>
  <c r="H108" i="15"/>
  <c r="G109" i="15"/>
  <c r="H109" i="15"/>
  <c r="G110" i="15"/>
  <c r="H110" i="15"/>
  <c r="G111" i="15"/>
  <c r="H111" i="15"/>
  <c r="G112" i="15"/>
  <c r="H112" i="15"/>
  <c r="G113" i="15"/>
  <c r="H113" i="15"/>
  <c r="G114" i="15"/>
  <c r="H114" i="15"/>
  <c r="G115" i="15"/>
  <c r="H115" i="15"/>
  <c r="G116" i="15"/>
  <c r="H116" i="15"/>
  <c r="G117" i="15"/>
  <c r="H117" i="15"/>
  <c r="G118" i="15"/>
  <c r="H118" i="15"/>
  <c r="G119" i="15"/>
  <c r="H119" i="15"/>
  <c r="G120" i="15"/>
  <c r="H120" i="15"/>
  <c r="G121" i="15"/>
  <c r="H121" i="15"/>
  <c r="G122" i="15"/>
  <c r="H122" i="15"/>
  <c r="G123" i="15"/>
  <c r="H123" i="15"/>
  <c r="G124" i="15"/>
  <c r="H124" i="15"/>
  <c r="G125" i="15"/>
  <c r="H125" i="15"/>
  <c r="G126" i="15"/>
  <c r="H126" i="15"/>
  <c r="G127" i="15"/>
  <c r="H127" i="15"/>
  <c r="G128" i="15"/>
  <c r="H128" i="15"/>
  <c r="G129" i="15"/>
  <c r="H129" i="15"/>
  <c r="G130" i="15"/>
  <c r="H130" i="15"/>
  <c r="G131" i="15"/>
  <c r="H131" i="15"/>
  <c r="G132" i="15"/>
  <c r="H132" i="15"/>
  <c r="G133" i="15"/>
  <c r="H133" i="15"/>
  <c r="G134" i="15"/>
  <c r="H134" i="15"/>
  <c r="G135" i="15"/>
  <c r="H135" i="15"/>
  <c r="G136" i="15"/>
  <c r="H136" i="15"/>
  <c r="G137" i="15"/>
  <c r="H137" i="15"/>
  <c r="G138" i="15"/>
  <c r="H138" i="15"/>
  <c r="G139" i="15"/>
  <c r="H139" i="15"/>
  <c r="G140" i="15"/>
  <c r="H140" i="15"/>
  <c r="G141" i="15"/>
  <c r="H141" i="15"/>
  <c r="G142" i="15"/>
  <c r="H142" i="15"/>
  <c r="G143" i="15"/>
  <c r="H143" i="15"/>
  <c r="G144" i="15"/>
  <c r="H144" i="15"/>
  <c r="G145" i="15"/>
  <c r="H145" i="15"/>
  <c r="G146" i="15"/>
  <c r="H146" i="15"/>
  <c r="G147" i="15"/>
  <c r="H147" i="15"/>
  <c r="G148" i="15"/>
  <c r="H148" i="15"/>
  <c r="G149" i="15"/>
  <c r="H149" i="15"/>
  <c r="G150" i="15"/>
  <c r="H150" i="15"/>
  <c r="G151" i="15"/>
  <c r="H151" i="15"/>
  <c r="G152" i="15"/>
  <c r="H152" i="15"/>
  <c r="G153" i="15"/>
  <c r="H153" i="15"/>
  <c r="G154" i="15"/>
  <c r="H154" i="15"/>
  <c r="G155" i="15"/>
  <c r="H155" i="15"/>
  <c r="G156" i="15"/>
  <c r="H156" i="15"/>
  <c r="G157" i="15"/>
  <c r="H157" i="15"/>
  <c r="G158" i="15"/>
  <c r="H158" i="15"/>
  <c r="G159" i="15"/>
  <c r="H159" i="15"/>
  <c r="G160" i="15"/>
  <c r="H160" i="15"/>
  <c r="G161" i="15"/>
  <c r="H161" i="15"/>
  <c r="G162" i="15"/>
  <c r="H162" i="15"/>
  <c r="G163" i="15"/>
  <c r="H163" i="15"/>
  <c r="G164" i="15"/>
  <c r="H164" i="15"/>
  <c r="G165" i="15"/>
  <c r="H165" i="15"/>
  <c r="G166" i="15"/>
  <c r="H166" i="15"/>
  <c r="G167" i="15"/>
  <c r="H167" i="15"/>
  <c r="G168" i="15"/>
  <c r="H168" i="15"/>
  <c r="G169" i="15"/>
  <c r="H169" i="15"/>
  <c r="G170" i="15"/>
  <c r="H170" i="15"/>
  <c r="G171" i="15"/>
  <c r="H171" i="15"/>
  <c r="G172" i="15"/>
  <c r="H172" i="15"/>
  <c r="G173" i="15"/>
  <c r="H173" i="15"/>
  <c r="G174" i="15"/>
  <c r="H174" i="15"/>
  <c r="G175" i="15"/>
  <c r="H175" i="15"/>
  <c r="G176" i="15"/>
  <c r="H176" i="15"/>
  <c r="G177" i="15"/>
  <c r="H177" i="15"/>
  <c r="G178" i="15"/>
  <c r="H178" i="15"/>
  <c r="G179" i="15"/>
  <c r="H179" i="15"/>
  <c r="G180" i="15"/>
  <c r="H180" i="15"/>
  <c r="G181" i="15"/>
  <c r="H181" i="15"/>
  <c r="G182" i="15"/>
  <c r="H182" i="15"/>
  <c r="G183" i="15"/>
  <c r="H183" i="15"/>
  <c r="G184" i="15"/>
  <c r="H184" i="15"/>
  <c r="G185" i="15"/>
  <c r="H185" i="15"/>
  <c r="G186" i="15"/>
  <c r="H186" i="15"/>
  <c r="G187" i="15"/>
  <c r="H187" i="15"/>
  <c r="G188" i="15"/>
  <c r="H188" i="15"/>
  <c r="G189" i="15"/>
  <c r="H189" i="15"/>
  <c r="G190" i="15"/>
  <c r="H190" i="15"/>
  <c r="G191" i="15"/>
  <c r="H191" i="15"/>
  <c r="G192" i="15"/>
  <c r="H192" i="15"/>
  <c r="G193" i="15"/>
  <c r="H193" i="15"/>
  <c r="G194" i="15"/>
  <c r="H194" i="15"/>
  <c r="G195" i="15"/>
  <c r="H195" i="15"/>
  <c r="G196" i="15"/>
  <c r="H196" i="15"/>
  <c r="G197" i="15"/>
  <c r="H197" i="15"/>
  <c r="G198" i="15"/>
  <c r="H198" i="15"/>
  <c r="G199" i="15"/>
  <c r="H199" i="15"/>
  <c r="G200" i="15"/>
  <c r="H200" i="15"/>
  <c r="G201" i="15"/>
  <c r="H201" i="15"/>
  <c r="G202" i="15"/>
  <c r="H202" i="15"/>
  <c r="G203" i="15"/>
  <c r="H203" i="15"/>
  <c r="G204" i="15"/>
  <c r="H204" i="15"/>
  <c r="G205" i="15"/>
  <c r="H205" i="15"/>
  <c r="BF106" i="15"/>
  <c r="BG106" i="15"/>
  <c r="BS106" i="15"/>
  <c r="BT106" i="15"/>
  <c r="BF107" i="15"/>
  <c r="BG107" i="15"/>
  <c r="BS107" i="15"/>
  <c r="BT107" i="15"/>
  <c r="BF108" i="15"/>
  <c r="BG108" i="15"/>
  <c r="BS108" i="15"/>
  <c r="BT108" i="15"/>
  <c r="BF109" i="15"/>
  <c r="BG109" i="15"/>
  <c r="BS109" i="15"/>
  <c r="BT109" i="15"/>
  <c r="BF110" i="15"/>
  <c r="BG110" i="15"/>
  <c r="BS110" i="15"/>
  <c r="BT110" i="15"/>
  <c r="BF111" i="15"/>
  <c r="BG111" i="15"/>
  <c r="BS111" i="15"/>
  <c r="BT111" i="15"/>
  <c r="BF112" i="15"/>
  <c r="BG112" i="15"/>
  <c r="BS112" i="15"/>
  <c r="BT112" i="15"/>
  <c r="BF113" i="15"/>
  <c r="BG113" i="15"/>
  <c r="BS113" i="15"/>
  <c r="BT113" i="15"/>
  <c r="BF114" i="15"/>
  <c r="BG114" i="15"/>
  <c r="BS114" i="15"/>
  <c r="BT114" i="15"/>
  <c r="BF115" i="15"/>
  <c r="BG115" i="15"/>
  <c r="BS115" i="15"/>
  <c r="BT115" i="15"/>
  <c r="BF116" i="15"/>
  <c r="BG116" i="15"/>
  <c r="BS116" i="15"/>
  <c r="BT116" i="15"/>
  <c r="BF117" i="15"/>
  <c r="BG117" i="15"/>
  <c r="BS117" i="15"/>
  <c r="BT117" i="15"/>
  <c r="BF118" i="15"/>
  <c r="BG118" i="15"/>
  <c r="BS118" i="15"/>
  <c r="BT118" i="15"/>
  <c r="BF119" i="15"/>
  <c r="BG119" i="15"/>
  <c r="BS119" i="15"/>
  <c r="BT119" i="15"/>
  <c r="BF120" i="15"/>
  <c r="BG120" i="15"/>
  <c r="BS120" i="15"/>
  <c r="BT120" i="15"/>
  <c r="BF121" i="15"/>
  <c r="BG121" i="15"/>
  <c r="BS121" i="15"/>
  <c r="BT121" i="15"/>
  <c r="BF122" i="15"/>
  <c r="BG122" i="15"/>
  <c r="BS122" i="15"/>
  <c r="BT122" i="15"/>
  <c r="BF123" i="15"/>
  <c r="BG123" i="15"/>
  <c r="BS123" i="15"/>
  <c r="BT123" i="15"/>
  <c r="BF124" i="15"/>
  <c r="BG124" i="15"/>
  <c r="BS124" i="15"/>
  <c r="BT124" i="15"/>
  <c r="BF125" i="15"/>
  <c r="BG125" i="15"/>
  <c r="BS125" i="15"/>
  <c r="BT125" i="15"/>
  <c r="BF126" i="15"/>
  <c r="BG126" i="15"/>
  <c r="BS126" i="15"/>
  <c r="BT126" i="15"/>
  <c r="BF127" i="15"/>
  <c r="BG127" i="15"/>
  <c r="BS127" i="15"/>
  <c r="BT127" i="15"/>
  <c r="BF128" i="15"/>
  <c r="BG128" i="15"/>
  <c r="BS128" i="15"/>
  <c r="BT128" i="15"/>
  <c r="BF129" i="15"/>
  <c r="BG129" i="15"/>
  <c r="BS129" i="15"/>
  <c r="BT129" i="15"/>
  <c r="BF130" i="15"/>
  <c r="BG130" i="15"/>
  <c r="BS130" i="15"/>
  <c r="BT130" i="15"/>
  <c r="BF131" i="15"/>
  <c r="BG131" i="15"/>
  <c r="BS131" i="15"/>
  <c r="BT131" i="15"/>
  <c r="BF132" i="15"/>
  <c r="BG132" i="15"/>
  <c r="BS132" i="15"/>
  <c r="BT132" i="15"/>
  <c r="BF133" i="15"/>
  <c r="BG133" i="15"/>
  <c r="BS133" i="15"/>
  <c r="BT133" i="15"/>
  <c r="BF134" i="15"/>
  <c r="BG134" i="15"/>
  <c r="BS134" i="15"/>
  <c r="BT134" i="15"/>
  <c r="BF135" i="15"/>
  <c r="BG135" i="15"/>
  <c r="BS135" i="15"/>
  <c r="BT135" i="15"/>
  <c r="BF136" i="15"/>
  <c r="BG136" i="15"/>
  <c r="BS136" i="15"/>
  <c r="BT136" i="15"/>
  <c r="BF137" i="15"/>
  <c r="BG137" i="15"/>
  <c r="BS137" i="15"/>
  <c r="BT137" i="15"/>
  <c r="BF138" i="15"/>
  <c r="BG138" i="15"/>
  <c r="BS138" i="15"/>
  <c r="BT138" i="15"/>
  <c r="BF139" i="15"/>
  <c r="BG139" i="15"/>
  <c r="BS139" i="15"/>
  <c r="BT139" i="15"/>
  <c r="BF140" i="15"/>
  <c r="BG140" i="15"/>
  <c r="BS140" i="15"/>
  <c r="BT140" i="15"/>
  <c r="BF141" i="15"/>
  <c r="BG141" i="15"/>
  <c r="BS141" i="15"/>
  <c r="BT141" i="15"/>
  <c r="BF142" i="15"/>
  <c r="BG142" i="15"/>
  <c r="BS142" i="15"/>
  <c r="BT142" i="15"/>
  <c r="BF143" i="15"/>
  <c r="BG143" i="15"/>
  <c r="BS143" i="15"/>
  <c r="BT143" i="15"/>
  <c r="BF144" i="15"/>
  <c r="BG144" i="15"/>
  <c r="BS144" i="15"/>
  <c r="BT144" i="15"/>
  <c r="BF145" i="15"/>
  <c r="BG145" i="15"/>
  <c r="BS145" i="15"/>
  <c r="BT145" i="15"/>
  <c r="BF146" i="15"/>
  <c r="BG146" i="15"/>
  <c r="BS146" i="15"/>
  <c r="BT146" i="15"/>
  <c r="BF147" i="15"/>
  <c r="BG147" i="15"/>
  <c r="BS147" i="15"/>
  <c r="BT147" i="15"/>
  <c r="BF148" i="15"/>
  <c r="BG148" i="15"/>
  <c r="BS148" i="15"/>
  <c r="BT148" i="15"/>
  <c r="BF149" i="15"/>
  <c r="BG149" i="15"/>
  <c r="BS149" i="15"/>
  <c r="BT149" i="15"/>
  <c r="BF150" i="15"/>
  <c r="BG150" i="15"/>
  <c r="BS150" i="15"/>
  <c r="BT150" i="15"/>
  <c r="BF151" i="15"/>
  <c r="BG151" i="15"/>
  <c r="BS151" i="15"/>
  <c r="BT151" i="15"/>
  <c r="BF152" i="15"/>
  <c r="BG152" i="15"/>
  <c r="BS152" i="15"/>
  <c r="BT152" i="15"/>
  <c r="BF153" i="15"/>
  <c r="BG153" i="15"/>
  <c r="BS153" i="15"/>
  <c r="BT153" i="15"/>
  <c r="BF154" i="15"/>
  <c r="BG154" i="15"/>
  <c r="BS154" i="15"/>
  <c r="BT154" i="15"/>
  <c r="BF155" i="15"/>
  <c r="BG155" i="15"/>
  <c r="BS155" i="15"/>
  <c r="BT155" i="15"/>
  <c r="BF156" i="15"/>
  <c r="BG156" i="15"/>
  <c r="BS156" i="15"/>
  <c r="BT156" i="15"/>
  <c r="BF157" i="15"/>
  <c r="BG157" i="15"/>
  <c r="BS157" i="15"/>
  <c r="BT157" i="15"/>
  <c r="BF158" i="15"/>
  <c r="BG158" i="15"/>
  <c r="BS158" i="15"/>
  <c r="BT158" i="15"/>
  <c r="BF159" i="15"/>
  <c r="BG159" i="15"/>
  <c r="BS159" i="15"/>
  <c r="BT159" i="15"/>
  <c r="BF160" i="15"/>
  <c r="BG160" i="15"/>
  <c r="BS160" i="15"/>
  <c r="BT160" i="15"/>
  <c r="BF161" i="15"/>
  <c r="BG161" i="15"/>
  <c r="BS161" i="15"/>
  <c r="BT161" i="15"/>
  <c r="BF162" i="15"/>
  <c r="BG162" i="15"/>
  <c r="BS162" i="15"/>
  <c r="BT162" i="15"/>
  <c r="BF163" i="15"/>
  <c r="BG163" i="15"/>
  <c r="BS163" i="15"/>
  <c r="BT163" i="15"/>
  <c r="BF164" i="15"/>
  <c r="BG164" i="15"/>
  <c r="BS164" i="15"/>
  <c r="BT164" i="15"/>
  <c r="BF165" i="15"/>
  <c r="BG165" i="15"/>
  <c r="BS165" i="15"/>
  <c r="BT165" i="15"/>
  <c r="BF166" i="15"/>
  <c r="BG166" i="15"/>
  <c r="BS166" i="15"/>
  <c r="BT166" i="15"/>
  <c r="BF167" i="15"/>
  <c r="BG167" i="15"/>
  <c r="BS167" i="15"/>
  <c r="BT167" i="15"/>
  <c r="BF168" i="15"/>
  <c r="BG168" i="15"/>
  <c r="BS168" i="15"/>
  <c r="BT168" i="15"/>
  <c r="BF169" i="15"/>
  <c r="BG169" i="15"/>
  <c r="BS169" i="15"/>
  <c r="BT169" i="15"/>
  <c r="BF170" i="15"/>
  <c r="BG170" i="15"/>
  <c r="BS170" i="15"/>
  <c r="BT170" i="15"/>
  <c r="BF171" i="15"/>
  <c r="BG171" i="15"/>
  <c r="BS171" i="15"/>
  <c r="BT171" i="15"/>
  <c r="BF172" i="15"/>
  <c r="BG172" i="15"/>
  <c r="BS172" i="15"/>
  <c r="BT172" i="15"/>
  <c r="BF173" i="15"/>
  <c r="BG173" i="15"/>
  <c r="BS173" i="15"/>
  <c r="BT173" i="15"/>
  <c r="BF174" i="15"/>
  <c r="BG174" i="15"/>
  <c r="BS174" i="15"/>
  <c r="BT174" i="15"/>
  <c r="BF175" i="15"/>
  <c r="BG175" i="15"/>
  <c r="BS175" i="15"/>
  <c r="BT175" i="15"/>
  <c r="BF176" i="15"/>
  <c r="BG176" i="15"/>
  <c r="BS176" i="15"/>
  <c r="BT176" i="15"/>
  <c r="BF177" i="15"/>
  <c r="BG177" i="15"/>
  <c r="BS177" i="15"/>
  <c r="BT177" i="15"/>
  <c r="BF178" i="15"/>
  <c r="BG178" i="15"/>
  <c r="BS178" i="15"/>
  <c r="BT178" i="15"/>
  <c r="BF179" i="15"/>
  <c r="BG179" i="15"/>
  <c r="BS179" i="15"/>
  <c r="BT179" i="15"/>
  <c r="BF180" i="15"/>
  <c r="BG180" i="15"/>
  <c r="BS180" i="15"/>
  <c r="BT180" i="15"/>
  <c r="BF181" i="15"/>
  <c r="BG181" i="15"/>
  <c r="BS181" i="15"/>
  <c r="BT181" i="15"/>
  <c r="BF182" i="15"/>
  <c r="BG182" i="15"/>
  <c r="BS182" i="15"/>
  <c r="BT182" i="15"/>
  <c r="BF183" i="15"/>
  <c r="BG183" i="15"/>
  <c r="BS183" i="15"/>
  <c r="BT183" i="15"/>
  <c r="BF184" i="15"/>
  <c r="BG184" i="15"/>
  <c r="BS184" i="15"/>
  <c r="BT184" i="15"/>
  <c r="BF185" i="15"/>
  <c r="BG185" i="15"/>
  <c r="BS185" i="15"/>
  <c r="BT185" i="15"/>
  <c r="BF186" i="15"/>
  <c r="BG186" i="15"/>
  <c r="BS186" i="15"/>
  <c r="BT186" i="15"/>
  <c r="BF187" i="15"/>
  <c r="BG187" i="15"/>
  <c r="BS187" i="15"/>
  <c r="BT187" i="15"/>
  <c r="BF188" i="15"/>
  <c r="BG188" i="15"/>
  <c r="BS188" i="15"/>
  <c r="BT188" i="15"/>
  <c r="BF189" i="15"/>
  <c r="BG189" i="15"/>
  <c r="BS189" i="15"/>
  <c r="BT189" i="15"/>
  <c r="BF190" i="15"/>
  <c r="BG190" i="15"/>
  <c r="BS190" i="15"/>
  <c r="BT190" i="15"/>
  <c r="BF191" i="15"/>
  <c r="BG191" i="15"/>
  <c r="BS191" i="15"/>
  <c r="BT191" i="15"/>
  <c r="BF192" i="15"/>
  <c r="BG192" i="15"/>
  <c r="BS192" i="15"/>
  <c r="BT192" i="15"/>
  <c r="BF193" i="15"/>
  <c r="BG193" i="15"/>
  <c r="BS193" i="15"/>
  <c r="BT193" i="15"/>
  <c r="BF194" i="15"/>
  <c r="BG194" i="15"/>
  <c r="BS194" i="15"/>
  <c r="BT194" i="15"/>
  <c r="BF195" i="15"/>
  <c r="BG195" i="15"/>
  <c r="BS195" i="15"/>
  <c r="BT195" i="15"/>
  <c r="BF196" i="15"/>
  <c r="BG196" i="15"/>
  <c r="BS196" i="15"/>
  <c r="BT196" i="15"/>
  <c r="BF197" i="15"/>
  <c r="BG197" i="15"/>
  <c r="BS197" i="15"/>
  <c r="BT197" i="15"/>
  <c r="BF198" i="15"/>
  <c r="BG198" i="15"/>
  <c r="BS198" i="15"/>
  <c r="BT198" i="15"/>
  <c r="BF199" i="15"/>
  <c r="BG199" i="15"/>
  <c r="BS199" i="15"/>
  <c r="BT199" i="15"/>
  <c r="BF200" i="15"/>
  <c r="BG200" i="15"/>
  <c r="BS200" i="15"/>
  <c r="BT200" i="15"/>
  <c r="BF201" i="15"/>
  <c r="BG201" i="15"/>
  <c r="BS201" i="15"/>
  <c r="BT201" i="15"/>
  <c r="BF202" i="15"/>
  <c r="BG202" i="15"/>
  <c r="BS202" i="15"/>
  <c r="BT202" i="15"/>
  <c r="BF203" i="15"/>
  <c r="BG203" i="15"/>
  <c r="BS203" i="15"/>
  <c r="BT203" i="15"/>
  <c r="BF204" i="15"/>
  <c r="BG204" i="15"/>
  <c r="BS204" i="15"/>
  <c r="BT204" i="15"/>
  <c r="BF205" i="15"/>
  <c r="BG205" i="15"/>
  <c r="BS205" i="15"/>
  <c r="BT205" i="15"/>
  <c r="BS7" i="15"/>
  <c r="BT7" i="15"/>
  <c r="BS8" i="15"/>
  <c r="BT8" i="15"/>
  <c r="BS9" i="15"/>
  <c r="BT9" i="15"/>
  <c r="BS10" i="15"/>
  <c r="BT10" i="15"/>
  <c r="BS11" i="15"/>
  <c r="BT11" i="15"/>
  <c r="BS12" i="15"/>
  <c r="BT12" i="15"/>
  <c r="BS13" i="15"/>
  <c r="BT13" i="15"/>
  <c r="BS14" i="15"/>
  <c r="BT14" i="15"/>
  <c r="BS15" i="15"/>
  <c r="BT15" i="15"/>
  <c r="BS16" i="15"/>
  <c r="BT16" i="15"/>
  <c r="BS17" i="15"/>
  <c r="BT17" i="15"/>
  <c r="BS18" i="15"/>
  <c r="BT18" i="15"/>
  <c r="BS19" i="15"/>
  <c r="BT19" i="15"/>
  <c r="BS20" i="15"/>
  <c r="BT20" i="15"/>
  <c r="BS21" i="15"/>
  <c r="BT21" i="15"/>
  <c r="BS22" i="15"/>
  <c r="BT22" i="15"/>
  <c r="BS23" i="15"/>
  <c r="BT23" i="15"/>
  <c r="BS24" i="15"/>
  <c r="BT24" i="15"/>
  <c r="BS25" i="15"/>
  <c r="BT25" i="15"/>
  <c r="BS26" i="15"/>
  <c r="BT26" i="15"/>
  <c r="BS27" i="15"/>
  <c r="BT27" i="15"/>
  <c r="BS28" i="15"/>
  <c r="BT28" i="15"/>
  <c r="BS29" i="15"/>
  <c r="BT29" i="15"/>
  <c r="BS30" i="15"/>
  <c r="BT30" i="15"/>
  <c r="BS31" i="15"/>
  <c r="BT31" i="15"/>
  <c r="BS32" i="15"/>
  <c r="BT32" i="15"/>
  <c r="BS33" i="15"/>
  <c r="BT33" i="15"/>
  <c r="BS34" i="15"/>
  <c r="BT34" i="15"/>
  <c r="BS35" i="15"/>
  <c r="BT35" i="15"/>
  <c r="BS36" i="15"/>
  <c r="BT36" i="15"/>
  <c r="BS37" i="15"/>
  <c r="BT37" i="15"/>
  <c r="BS38" i="15"/>
  <c r="BT38" i="15"/>
  <c r="BS39" i="15"/>
  <c r="BT39" i="15"/>
  <c r="BS40" i="15"/>
  <c r="BT40" i="15"/>
  <c r="BS41" i="15"/>
  <c r="BT41" i="15"/>
  <c r="BS42" i="15"/>
  <c r="BT42" i="15"/>
  <c r="BS43" i="15"/>
  <c r="BT43" i="15"/>
  <c r="BS44" i="15"/>
  <c r="BT44" i="15"/>
  <c r="BS45" i="15"/>
  <c r="BT45" i="15"/>
  <c r="BS46" i="15"/>
  <c r="BT46" i="15"/>
  <c r="BS47" i="15"/>
  <c r="BT47" i="15"/>
  <c r="BS48" i="15"/>
  <c r="BT48" i="15"/>
  <c r="BS49" i="15"/>
  <c r="BT49" i="15"/>
  <c r="BS50" i="15"/>
  <c r="BT50" i="15"/>
  <c r="BS51" i="15"/>
  <c r="BT51" i="15"/>
  <c r="BS52" i="15"/>
  <c r="BT52" i="15"/>
  <c r="BS53" i="15"/>
  <c r="BT53" i="15"/>
  <c r="BS54" i="15"/>
  <c r="BT54" i="15"/>
  <c r="BS55" i="15"/>
  <c r="BT55" i="15"/>
  <c r="BS56" i="15"/>
  <c r="BT56" i="15"/>
  <c r="BS57" i="15"/>
  <c r="BT57" i="15"/>
  <c r="BS58" i="15"/>
  <c r="BT58" i="15"/>
  <c r="BS59" i="15"/>
  <c r="BT59" i="15"/>
  <c r="BS60" i="15"/>
  <c r="BT60" i="15"/>
  <c r="BS61" i="15"/>
  <c r="BT61" i="15"/>
  <c r="BS62" i="15"/>
  <c r="BT62" i="15"/>
  <c r="BS63" i="15"/>
  <c r="BT63" i="15"/>
  <c r="BS64" i="15"/>
  <c r="BT64" i="15"/>
  <c r="BS65" i="15"/>
  <c r="BT65" i="15"/>
  <c r="BS66" i="15"/>
  <c r="BT66" i="15"/>
  <c r="BS67" i="15"/>
  <c r="BT67" i="15"/>
  <c r="BS68" i="15"/>
  <c r="BT68" i="15"/>
  <c r="BS69" i="15"/>
  <c r="BT69" i="15"/>
  <c r="BS70" i="15"/>
  <c r="BT70" i="15"/>
  <c r="BS71" i="15"/>
  <c r="BT71" i="15"/>
  <c r="BS72" i="15"/>
  <c r="BT72" i="15"/>
  <c r="BS73" i="15"/>
  <c r="BT73" i="15"/>
  <c r="BS74" i="15"/>
  <c r="BT74" i="15"/>
  <c r="BS75" i="15"/>
  <c r="BT75" i="15"/>
  <c r="BS76" i="15"/>
  <c r="BT76" i="15"/>
  <c r="BS77" i="15"/>
  <c r="BT77" i="15"/>
  <c r="BS78" i="15"/>
  <c r="BT78" i="15"/>
  <c r="BS79" i="15"/>
  <c r="BT79" i="15"/>
  <c r="BS80" i="15"/>
  <c r="BT80" i="15"/>
  <c r="BS81" i="15"/>
  <c r="BT81" i="15"/>
  <c r="BS82" i="15"/>
  <c r="BT82" i="15"/>
  <c r="BS83" i="15"/>
  <c r="BT83" i="15"/>
  <c r="BS84" i="15"/>
  <c r="BT84" i="15"/>
  <c r="BS85" i="15"/>
  <c r="BT85" i="15"/>
  <c r="BS86" i="15"/>
  <c r="BT86" i="15"/>
  <c r="BS87" i="15"/>
  <c r="BT87" i="15"/>
  <c r="BS88" i="15"/>
  <c r="BT88" i="15"/>
  <c r="BS89" i="15"/>
  <c r="BT89" i="15"/>
  <c r="BS90" i="15"/>
  <c r="BT90" i="15"/>
  <c r="BS91" i="15"/>
  <c r="BT91" i="15"/>
  <c r="BS92" i="15"/>
  <c r="BT92" i="15"/>
  <c r="BS93" i="15"/>
  <c r="BT93" i="15"/>
  <c r="BS94" i="15"/>
  <c r="BT94" i="15"/>
  <c r="BS95" i="15"/>
  <c r="BT95" i="15"/>
  <c r="BS96" i="15"/>
  <c r="BT96" i="15"/>
  <c r="BS97" i="15"/>
  <c r="BT97" i="15"/>
  <c r="BS98" i="15"/>
  <c r="BT98" i="15"/>
  <c r="BS99" i="15"/>
  <c r="BT99" i="15"/>
  <c r="BS100" i="15"/>
  <c r="BT100" i="15"/>
  <c r="BS101" i="15"/>
  <c r="BT101" i="15"/>
  <c r="BS102" i="15"/>
  <c r="BT102" i="15"/>
  <c r="BS103" i="15"/>
  <c r="BT103" i="15"/>
  <c r="BS104" i="15"/>
  <c r="BT104" i="15"/>
  <c r="BS105" i="15"/>
  <c r="BT105" i="15"/>
  <c r="BT6" i="15"/>
  <c r="BS6" i="15"/>
  <c r="BF7" i="15"/>
  <c r="BG7" i="15"/>
  <c r="BF8" i="15"/>
  <c r="BG8" i="15"/>
  <c r="BF9" i="15"/>
  <c r="BG9" i="15"/>
  <c r="BF10" i="15"/>
  <c r="BG10" i="15"/>
  <c r="BF11" i="15"/>
  <c r="BG11" i="15"/>
  <c r="BF12" i="15"/>
  <c r="BG12" i="15"/>
  <c r="BF13" i="15"/>
  <c r="BG13" i="15"/>
  <c r="BF14" i="15"/>
  <c r="BG14" i="15"/>
  <c r="BF15" i="15"/>
  <c r="BG15" i="15"/>
  <c r="BF16" i="15"/>
  <c r="BG16" i="15"/>
  <c r="BF17" i="15"/>
  <c r="BG17" i="15"/>
  <c r="BF18" i="15"/>
  <c r="BG18" i="15"/>
  <c r="BF19" i="15"/>
  <c r="BG19" i="15"/>
  <c r="BF20" i="15"/>
  <c r="BG20" i="15"/>
  <c r="BF21" i="15"/>
  <c r="BG21" i="15"/>
  <c r="BF22" i="15"/>
  <c r="BG22" i="15"/>
  <c r="BF23" i="15"/>
  <c r="BG23" i="15"/>
  <c r="BF24" i="15"/>
  <c r="BG24" i="15"/>
  <c r="BF25" i="15"/>
  <c r="BG25" i="15"/>
  <c r="BF26" i="15"/>
  <c r="BG26" i="15"/>
  <c r="BF27" i="15"/>
  <c r="BG27" i="15"/>
  <c r="BF28" i="15"/>
  <c r="BG28" i="15"/>
  <c r="BF29" i="15"/>
  <c r="BG29" i="15"/>
  <c r="BF30" i="15"/>
  <c r="BG30" i="15"/>
  <c r="BF31" i="15"/>
  <c r="BG31" i="15"/>
  <c r="BF32" i="15"/>
  <c r="BG32" i="15"/>
  <c r="BF33" i="15"/>
  <c r="BG33" i="15"/>
  <c r="BF34" i="15"/>
  <c r="BG34" i="15"/>
  <c r="BF35" i="15"/>
  <c r="BG35" i="15"/>
  <c r="BF36" i="15"/>
  <c r="BG36" i="15"/>
  <c r="BF37" i="15"/>
  <c r="BG37" i="15"/>
  <c r="BF38" i="15"/>
  <c r="BG38" i="15"/>
  <c r="BF39" i="15"/>
  <c r="BG39" i="15"/>
  <c r="BF40" i="15"/>
  <c r="BG40" i="15"/>
  <c r="BF41" i="15"/>
  <c r="BG41" i="15"/>
  <c r="BF42" i="15"/>
  <c r="BG42" i="15"/>
  <c r="BF43" i="15"/>
  <c r="BG43" i="15"/>
  <c r="BF44" i="15"/>
  <c r="BG44" i="15"/>
  <c r="BF45" i="15"/>
  <c r="BG45" i="15"/>
  <c r="BF46" i="15"/>
  <c r="BG46" i="15"/>
  <c r="BF47" i="15"/>
  <c r="BG47" i="15"/>
  <c r="BF48" i="15"/>
  <c r="BG48" i="15"/>
  <c r="BF49" i="15"/>
  <c r="BG49" i="15"/>
  <c r="BF50" i="15"/>
  <c r="BG50" i="15"/>
  <c r="BF51" i="15"/>
  <c r="BG51" i="15"/>
  <c r="BF52" i="15"/>
  <c r="BG52" i="15"/>
  <c r="BF53" i="15"/>
  <c r="BG53" i="15"/>
  <c r="BF54" i="15"/>
  <c r="BG54" i="15"/>
  <c r="BF55" i="15"/>
  <c r="BG55" i="15"/>
  <c r="BF56" i="15"/>
  <c r="BG56" i="15"/>
  <c r="BF57" i="15"/>
  <c r="BG57" i="15"/>
  <c r="BF58" i="15"/>
  <c r="BG58" i="15"/>
  <c r="BF59" i="15"/>
  <c r="BG59" i="15"/>
  <c r="BF60" i="15"/>
  <c r="BG60" i="15"/>
  <c r="BF61" i="15"/>
  <c r="BG61" i="15"/>
  <c r="BF62" i="15"/>
  <c r="BG62" i="15"/>
  <c r="BF63" i="15"/>
  <c r="BG63" i="15"/>
  <c r="BF64" i="15"/>
  <c r="BG64" i="15"/>
  <c r="BF65" i="15"/>
  <c r="BG65" i="15"/>
  <c r="BF66" i="15"/>
  <c r="BG66" i="15"/>
  <c r="BF67" i="15"/>
  <c r="BG67" i="15"/>
  <c r="BF68" i="15"/>
  <c r="BG68" i="15"/>
  <c r="BF69" i="15"/>
  <c r="BG69" i="15"/>
  <c r="BF70" i="15"/>
  <c r="BG70" i="15"/>
  <c r="BF71" i="15"/>
  <c r="BG71" i="15"/>
  <c r="BF72" i="15"/>
  <c r="BG72" i="15"/>
  <c r="BF73" i="15"/>
  <c r="BG73" i="15"/>
  <c r="BF74" i="15"/>
  <c r="BG74" i="15"/>
  <c r="BF75" i="15"/>
  <c r="BG75" i="15"/>
  <c r="BF76" i="15"/>
  <c r="BG76" i="15"/>
  <c r="BF77" i="15"/>
  <c r="BG77" i="15"/>
  <c r="BF78" i="15"/>
  <c r="BG78" i="15"/>
  <c r="BF79" i="15"/>
  <c r="BG79" i="15"/>
  <c r="BF80" i="15"/>
  <c r="BG80" i="15"/>
  <c r="BF81" i="15"/>
  <c r="BG81" i="15"/>
  <c r="BF82" i="15"/>
  <c r="BG82" i="15"/>
  <c r="BF83" i="15"/>
  <c r="BG83" i="15"/>
  <c r="BF84" i="15"/>
  <c r="BG84" i="15"/>
  <c r="BF85" i="15"/>
  <c r="BG85" i="15"/>
  <c r="BF86" i="15"/>
  <c r="BG86" i="15"/>
  <c r="BF87" i="15"/>
  <c r="BG87" i="15"/>
  <c r="BF88" i="15"/>
  <c r="BG88" i="15"/>
  <c r="BF89" i="15"/>
  <c r="BG89" i="15"/>
  <c r="BF90" i="15"/>
  <c r="BG90" i="15"/>
  <c r="BF91" i="15"/>
  <c r="BG91" i="15"/>
  <c r="BF92" i="15"/>
  <c r="BG92" i="15"/>
  <c r="BF93" i="15"/>
  <c r="BG93" i="15"/>
  <c r="BF94" i="15"/>
  <c r="BG94" i="15"/>
  <c r="BF95" i="15"/>
  <c r="BG95" i="15"/>
  <c r="BF96" i="15"/>
  <c r="BG96" i="15"/>
  <c r="BF97" i="15"/>
  <c r="BG97" i="15"/>
  <c r="BF98" i="15"/>
  <c r="BG98" i="15"/>
  <c r="BF99" i="15"/>
  <c r="BG99" i="15"/>
  <c r="BF100" i="15"/>
  <c r="BG100" i="15"/>
  <c r="BF101" i="15"/>
  <c r="BG101" i="15"/>
  <c r="BF102" i="15"/>
  <c r="BG102" i="15"/>
  <c r="BF103" i="15"/>
  <c r="BG103" i="15"/>
  <c r="BF104" i="15"/>
  <c r="BG104" i="15"/>
  <c r="BF105" i="15"/>
  <c r="BG105" i="15"/>
  <c r="BG6" i="15"/>
  <c r="BF6" i="15"/>
  <c r="BF7" i="3"/>
  <c r="BE7" i="3"/>
  <c r="BD7" i="3"/>
  <c r="BC7" i="3"/>
  <c r="BB7" i="3"/>
  <c r="BA7" i="3"/>
  <c r="AX7" i="3"/>
  <c r="AW7" i="3"/>
  <c r="AS7" i="3"/>
  <c r="AR7" i="3"/>
  <c r="AQ7" i="3"/>
  <c r="AP7" i="3"/>
  <c r="AO7" i="3"/>
  <c r="AN7" i="3"/>
  <c r="AJ7" i="3"/>
  <c r="CC5" i="15"/>
  <c r="CB5" i="15"/>
  <c r="CA5" i="15"/>
  <c r="BZ5" i="15"/>
  <c r="BY5" i="15"/>
  <c r="BT5" i="15"/>
  <c r="BS5" i="15"/>
  <c r="BP5" i="15"/>
  <c r="BO5" i="15"/>
  <c r="BN5" i="15"/>
  <c r="BM5" i="15"/>
  <c r="BL5" i="15"/>
  <c r="BG5" i="15"/>
  <c r="BF5" i="15"/>
  <c r="AU5" i="15"/>
  <c r="AQ5" i="15"/>
  <c r="AP5" i="15"/>
  <c r="AH5" i="15"/>
  <c r="AG5" i="15"/>
  <c r="AD5" i="15"/>
  <c r="AB7" i="3"/>
  <c r="Y7" i="3"/>
  <c r="X7" i="3"/>
  <c r="W7" i="3"/>
  <c r="O7" i="3"/>
  <c r="N7" i="3"/>
  <c r="K7" i="3"/>
  <c r="J7" i="3"/>
  <c r="Y5" i="15"/>
  <c r="AT5" i="15"/>
  <c r="AS5" i="15"/>
  <c r="AL5" i="15"/>
  <c r="AF5" i="15"/>
  <c r="AA7" i="3"/>
  <c r="Z7" i="3"/>
  <c r="S7" i="3"/>
  <c r="M7" i="3"/>
  <c r="L7" i="3"/>
  <c r="F7" i="3"/>
  <c r="J5" i="2"/>
  <c r="E5" i="2"/>
  <c r="K5" i="2"/>
  <c r="H346" i="4"/>
  <c r="H225" i="4"/>
  <c r="G105" i="4"/>
  <c r="H338" i="4"/>
  <c r="H221" i="4"/>
  <c r="G65" i="4"/>
  <c r="H98" i="4"/>
  <c r="H82" i="4"/>
  <c r="H8" i="4"/>
  <c r="G121" i="4"/>
  <c r="I48" i="4"/>
  <c r="G107" i="4"/>
  <c r="G75" i="4"/>
  <c r="G69" i="4"/>
  <c r="H33" i="4"/>
  <c r="H77" i="4"/>
  <c r="G5" i="2"/>
  <c r="AC130" i="15" s="1"/>
  <c r="J132" i="3" s="1"/>
  <c r="I5" i="2"/>
  <c r="H5" i="2" s="1"/>
  <c r="J42" i="2"/>
  <c r="D54" i="2"/>
  <c r="G208" i="4"/>
  <c r="H54" i="2"/>
  <c r="I54" i="2"/>
  <c r="I9" i="2"/>
  <c r="E9" i="2"/>
  <c r="K9" i="2"/>
  <c r="K42" i="2"/>
  <c r="E42" i="2"/>
  <c r="L42" i="2"/>
  <c r="I42" i="2"/>
  <c r="F54" i="2"/>
  <c r="M54" i="2"/>
  <c r="K8" i="15"/>
  <c r="K204" i="15"/>
  <c r="K202" i="15"/>
  <c r="K200" i="15"/>
  <c r="K198" i="15"/>
  <c r="K196" i="15"/>
  <c r="K194" i="15"/>
  <c r="K192" i="15"/>
  <c r="K190" i="15"/>
  <c r="K188" i="15"/>
  <c r="K186" i="15"/>
  <c r="K184" i="15"/>
  <c r="K182" i="15"/>
  <c r="K180" i="15"/>
  <c r="K178" i="15"/>
  <c r="K172" i="15"/>
  <c r="K170" i="15"/>
  <c r="K168" i="15"/>
  <c r="K166" i="15"/>
  <c r="K164" i="15"/>
  <c r="K162" i="15"/>
  <c r="K156" i="15"/>
  <c r="K154" i="15"/>
  <c r="K152" i="15"/>
  <c r="K150" i="15"/>
  <c r="K148" i="15"/>
  <c r="K146" i="15"/>
  <c r="K140" i="15"/>
  <c r="K138" i="15"/>
  <c r="K136" i="15"/>
  <c r="K134" i="15"/>
  <c r="K132" i="15"/>
  <c r="K130" i="15"/>
  <c r="K124" i="15"/>
  <c r="K122" i="15"/>
  <c r="K120" i="15"/>
  <c r="K118" i="15"/>
  <c r="K116" i="15"/>
  <c r="K114" i="15"/>
  <c r="K108" i="15"/>
  <c r="K106" i="15"/>
  <c r="K104" i="15"/>
  <c r="K102" i="15"/>
  <c r="K100" i="15"/>
  <c r="K98" i="15"/>
  <c r="K96" i="15"/>
  <c r="K94" i="15"/>
  <c r="K92" i="15"/>
  <c r="K90" i="15"/>
  <c r="K88" i="15"/>
  <c r="K86" i="15"/>
  <c r="K84" i="15"/>
  <c r="K82" i="15"/>
  <c r="K80" i="15"/>
  <c r="K78" i="15"/>
  <c r="K76" i="15"/>
  <c r="K74" i="15"/>
  <c r="K72" i="15"/>
  <c r="K70" i="15"/>
  <c r="K68" i="15"/>
  <c r="K66" i="15"/>
  <c r="K64" i="15"/>
  <c r="K62" i="15"/>
  <c r="K60" i="15"/>
  <c r="K58" i="15"/>
  <c r="K56" i="15"/>
  <c r="K54" i="15"/>
  <c r="K52" i="15"/>
  <c r="K50" i="15"/>
  <c r="K48" i="15"/>
  <c r="K46" i="15"/>
  <c r="K44" i="15"/>
  <c r="K42" i="15"/>
  <c r="K40" i="15"/>
  <c r="K38" i="15"/>
  <c r="K36" i="15"/>
  <c r="K34" i="15"/>
  <c r="K32" i="15"/>
  <c r="K30" i="15"/>
  <c r="K28" i="15"/>
  <c r="K26" i="15"/>
  <c r="K24" i="15"/>
  <c r="K22" i="15"/>
  <c r="K20" i="15"/>
  <c r="K18" i="15"/>
  <c r="K16" i="15"/>
  <c r="K14" i="15"/>
  <c r="K12" i="15"/>
  <c r="K10" i="15"/>
  <c r="K9" i="15"/>
  <c r="K205" i="15"/>
  <c r="K203" i="15"/>
  <c r="K201" i="15"/>
  <c r="K199" i="15"/>
  <c r="K197" i="15"/>
  <c r="K195" i="15"/>
  <c r="K189" i="15"/>
  <c r="K187" i="15"/>
  <c r="K185" i="15"/>
  <c r="K183" i="15"/>
  <c r="K181" i="15"/>
  <c r="K179" i="15"/>
  <c r="K177" i="15"/>
  <c r="K171" i="15"/>
  <c r="K169" i="15"/>
  <c r="K167" i="15"/>
  <c r="K163" i="15"/>
  <c r="K155" i="15"/>
  <c r="K151" i="15"/>
  <c r="K139" i="15"/>
  <c r="K135" i="15"/>
  <c r="K123" i="15"/>
  <c r="K107" i="15"/>
  <c r="K99" i="15"/>
  <c r="K95" i="15"/>
  <c r="K91" i="15"/>
  <c r="K83" i="15"/>
  <c r="K79" i="15"/>
  <c r="K67" i="15"/>
  <c r="K63" i="15"/>
  <c r="K55" i="15"/>
  <c r="K47" i="15"/>
  <c r="K39" i="15"/>
  <c r="K31" i="15"/>
  <c r="K23" i="15"/>
  <c r="K15" i="15"/>
  <c r="K11" i="15"/>
  <c r="I89" i="4"/>
  <c r="J89" i="4" s="1"/>
  <c r="L89" i="4" s="1"/>
  <c r="I94" i="4"/>
  <c r="J94" i="4" s="1"/>
  <c r="L94" i="4" s="1"/>
  <c r="O25" i="2"/>
  <c r="O54" i="2"/>
  <c r="Q54" i="2"/>
  <c r="G54" i="2"/>
  <c r="K54" i="2"/>
  <c r="O58" i="2"/>
  <c r="K58" i="2"/>
  <c r="P54" i="2"/>
  <c r="J54" i="2"/>
  <c r="E54" i="2"/>
  <c r="L54" i="2"/>
  <c r="P21" i="2"/>
  <c r="F5" i="2"/>
  <c r="D42" i="2"/>
  <c r="H42" i="2"/>
  <c r="G25" i="2"/>
  <c r="L25" i="2"/>
  <c r="J25" i="2"/>
  <c r="Q25" i="2"/>
  <c r="O21" i="2"/>
  <c r="Q21" i="2"/>
  <c r="N21" i="2"/>
  <c r="E38" i="2"/>
  <c r="F9" i="2"/>
  <c r="F58" i="2"/>
  <c r="F25" i="2"/>
  <c r="J91" i="4"/>
  <c r="L91" i="4" s="1"/>
  <c r="J58" i="2"/>
  <c r="Q58" i="2"/>
  <c r="I58" i="2"/>
  <c r="P58" i="2"/>
  <c r="N58" i="2"/>
  <c r="L58" i="2"/>
  <c r="M58" i="2"/>
  <c r="G58" i="2"/>
  <c r="D58" i="2"/>
  <c r="H58" i="2"/>
  <c r="H123" i="4"/>
  <c r="I25" i="2"/>
  <c r="AD67" i="15"/>
  <c r="K69" i="3" s="1"/>
  <c r="AD51" i="15"/>
  <c r="K53" i="3" s="1"/>
  <c r="AD19" i="15"/>
  <c r="K21" i="3" s="1"/>
  <c r="AQ98" i="15"/>
  <c r="X100" i="3" s="1"/>
  <c r="AD6" i="15"/>
  <c r="K8" i="3" s="1"/>
  <c r="AD147" i="15"/>
  <c r="K149" i="3" s="1"/>
  <c r="AD41" i="15"/>
  <c r="K43" i="3" s="1"/>
  <c r="AD35" i="15"/>
  <c r="K37" i="3" s="1"/>
  <c r="AC119" i="15"/>
  <c r="J121" i="3" s="1"/>
  <c r="AD46" i="15"/>
  <c r="K48" i="3" s="1"/>
  <c r="AQ7" i="15"/>
  <c r="X9" i="3" s="1"/>
  <c r="AQ27" i="15"/>
  <c r="X29" i="3" s="1"/>
  <c r="AD59" i="15"/>
  <c r="K61" i="3" s="1"/>
  <c r="AD115" i="15"/>
  <c r="K117" i="3" s="1"/>
  <c r="AD131" i="15"/>
  <c r="K133" i="3" s="1"/>
  <c r="AD155" i="15"/>
  <c r="K157" i="3" s="1"/>
  <c r="AD30" i="15"/>
  <c r="K32" i="3" s="1"/>
  <c r="AQ62" i="15"/>
  <c r="X64" i="3" s="1"/>
  <c r="AQ82" i="15"/>
  <c r="X84" i="3" s="1"/>
  <c r="AD43" i="15"/>
  <c r="K45" i="3" s="1"/>
  <c r="AQ29" i="15"/>
  <c r="X31" i="3" s="1"/>
  <c r="AD139" i="15"/>
  <c r="K141" i="3" s="1"/>
  <c r="AD107" i="15"/>
  <c r="K109" i="3" s="1"/>
  <c r="AD163" i="15"/>
  <c r="K165" i="3" s="1"/>
  <c r="AQ66" i="15"/>
  <c r="X68" i="3" s="1"/>
  <c r="AD123" i="15"/>
  <c r="K125" i="3" s="1"/>
  <c r="AD78" i="15"/>
  <c r="K80" i="3" s="1"/>
  <c r="AD91" i="15"/>
  <c r="K93" i="3" s="1"/>
  <c r="AC187" i="15"/>
  <c r="J189" i="3" s="1"/>
  <c r="AD54" i="15"/>
  <c r="K56" i="3" s="1"/>
  <c r="AQ86" i="15"/>
  <c r="X88" i="3" s="1"/>
  <c r="K5" i="4"/>
  <c r="G175" i="4"/>
  <c r="G162" i="4"/>
  <c r="G157" i="4"/>
  <c r="G109" i="4"/>
  <c r="G103" i="4"/>
  <c r="I87" i="4"/>
  <c r="J87" i="4" s="1"/>
  <c r="L87" i="4" s="1"/>
  <c r="G77" i="4"/>
  <c r="G73" i="4"/>
  <c r="G53" i="4"/>
  <c r="G39" i="4"/>
  <c r="G31" i="4"/>
  <c r="G19" i="4"/>
  <c r="I13" i="4"/>
  <c r="J13" i="4" s="1"/>
  <c r="L13" i="4" s="1"/>
  <c r="G9" i="4"/>
  <c r="G7" i="4"/>
  <c r="G348" i="4"/>
  <c r="G185" i="4"/>
  <c r="G126" i="4"/>
  <c r="G158" i="4"/>
  <c r="G353" i="4"/>
  <c r="G76" i="4"/>
  <c r="G275" i="4"/>
  <c r="G339" i="4"/>
  <c r="G259" i="4"/>
  <c r="G255" i="4"/>
  <c r="G349" i="4"/>
  <c r="G199" i="4"/>
  <c r="G173" i="4"/>
  <c r="G166" i="4"/>
  <c r="G210" i="4"/>
  <c r="G291" i="4"/>
  <c r="G276" i="4"/>
  <c r="G307" i="4"/>
  <c r="G299" i="4"/>
  <c r="G42" i="4"/>
  <c r="G323" i="4"/>
  <c r="G319" i="4"/>
  <c r="G318" i="4"/>
  <c r="G317" i="4"/>
  <c r="G311" i="4"/>
  <c r="G209" i="4"/>
  <c r="G335" i="4"/>
  <c r="G334" i="4"/>
  <c r="G333" i="4"/>
  <c r="G327" i="4"/>
  <c r="G315" i="4"/>
  <c r="G292" i="4"/>
  <c r="G271" i="4"/>
  <c r="G270" i="4"/>
  <c r="G269" i="4"/>
  <c r="G263" i="4"/>
  <c r="G216" i="4"/>
  <c r="G160" i="4"/>
  <c r="G124" i="4"/>
  <c r="G62" i="4"/>
  <c r="G347" i="4"/>
  <c r="G324" i="4"/>
  <c r="G303" i="4"/>
  <c r="G302" i="4"/>
  <c r="G301" i="4"/>
  <c r="G295" i="4"/>
  <c r="G283" i="4"/>
  <c r="G260" i="4"/>
  <c r="G212" i="4"/>
  <c r="G159" i="4"/>
  <c r="G343" i="4"/>
  <c r="G331" i="4"/>
  <c r="G308" i="4"/>
  <c r="G287" i="4"/>
  <c r="G286" i="4"/>
  <c r="G285" i="4"/>
  <c r="G279" i="4"/>
  <c r="G267" i="4"/>
  <c r="G342" i="4"/>
  <c r="G341" i="4"/>
  <c r="G332" i="4"/>
  <c r="G326" i="4"/>
  <c r="G325" i="4"/>
  <c r="G316" i="4"/>
  <c r="G310" i="4"/>
  <c r="G309" i="4"/>
  <c r="G300" i="4"/>
  <c r="G294" i="4"/>
  <c r="G293" i="4"/>
  <c r="G284" i="4"/>
  <c r="G278" i="4"/>
  <c r="G277" i="4"/>
  <c r="G268" i="4"/>
  <c r="G262" i="4"/>
  <c r="G261" i="4"/>
  <c r="G252" i="4"/>
  <c r="G164" i="4"/>
  <c r="G78" i="4"/>
  <c r="G38" i="4"/>
  <c r="G352" i="4"/>
  <c r="G350" i="4"/>
  <c r="G344" i="4"/>
  <c r="G338" i="4"/>
  <c r="G337" i="4"/>
  <c r="G328" i="4"/>
  <c r="G322" i="4"/>
  <c r="G321" i="4"/>
  <c r="G312" i="4"/>
  <c r="G306" i="4"/>
  <c r="G305" i="4"/>
  <c r="G296" i="4"/>
  <c r="G290" i="4"/>
  <c r="G289" i="4"/>
  <c r="G280" i="4"/>
  <c r="G274" i="4"/>
  <c r="G273" i="4"/>
  <c r="G264" i="4"/>
  <c r="G207" i="4"/>
  <c r="G128" i="4"/>
  <c r="G74" i="4"/>
  <c r="G40" i="4"/>
  <c r="G30" i="4"/>
  <c r="G8" i="4"/>
  <c r="G346" i="4"/>
  <c r="G345" i="4"/>
  <c r="G336" i="4"/>
  <c r="G330" i="4"/>
  <c r="G329" i="4"/>
  <c r="G320" i="4"/>
  <c r="G314" i="4"/>
  <c r="G313" i="4"/>
  <c r="G304" i="4"/>
  <c r="G298" i="4"/>
  <c r="G297" i="4"/>
  <c r="G288" i="4"/>
  <c r="G282" i="4"/>
  <c r="G281" i="4"/>
  <c r="G272" i="4"/>
  <c r="G266" i="4"/>
  <c r="G265" i="4"/>
  <c r="G256" i="4"/>
  <c r="G169" i="4"/>
  <c r="G122" i="4"/>
  <c r="G58" i="4"/>
  <c r="I46" i="4"/>
  <c r="J46" i="4" s="1"/>
  <c r="L46" i="4" s="1"/>
  <c r="I24" i="4"/>
  <c r="J24" i="4"/>
  <c r="K24" i="4"/>
  <c r="L24" i="4"/>
  <c r="AQ199" i="15"/>
  <c r="X201" i="3" s="1"/>
  <c r="AD199" i="15"/>
  <c r="K201" i="3" s="1"/>
  <c r="AD118" i="15"/>
  <c r="K120" i="3" s="1"/>
  <c r="AQ118" i="15"/>
  <c r="X120" i="3" s="1"/>
  <c r="AD185" i="15"/>
  <c r="K187" i="3" s="1"/>
  <c r="AQ185" i="15"/>
  <c r="X187" i="3" s="1"/>
  <c r="AD94" i="15"/>
  <c r="K96" i="3" s="1"/>
  <c r="AQ94" i="15"/>
  <c r="X96" i="3" s="1"/>
  <c r="AD170" i="15"/>
  <c r="K172" i="3" s="1"/>
  <c r="AQ170" i="15"/>
  <c r="X172" i="3" s="1"/>
  <c r="AQ134" i="15"/>
  <c r="X136" i="3" s="1"/>
  <c r="AD134" i="15"/>
  <c r="K136" i="3" s="1"/>
  <c r="AD90" i="15"/>
  <c r="K92" i="3" s="1"/>
  <c r="AQ90" i="15"/>
  <c r="X92" i="3" s="1"/>
  <c r="AQ166" i="15"/>
  <c r="X168" i="3" s="1"/>
  <c r="AD166" i="15"/>
  <c r="K168" i="3" s="1"/>
  <c r="AD202" i="15"/>
  <c r="K204" i="3" s="1"/>
  <c r="AQ202" i="15"/>
  <c r="X204" i="3" s="1"/>
  <c r="AQ69" i="15"/>
  <c r="X71" i="3" s="1"/>
  <c r="AD69" i="15"/>
  <c r="K71" i="3" s="1"/>
  <c r="AQ159" i="15"/>
  <c r="X161" i="3" s="1"/>
  <c r="AD159" i="15"/>
  <c r="K161" i="3" s="1"/>
  <c r="AD190" i="15"/>
  <c r="K192" i="3" s="1"/>
  <c r="AQ190" i="15"/>
  <c r="X192" i="3" s="1"/>
  <c r="AD157" i="15"/>
  <c r="K159" i="3" s="1"/>
  <c r="AQ157" i="15"/>
  <c r="X159" i="3" s="1"/>
  <c r="AD61" i="15"/>
  <c r="K63" i="3" s="1"/>
  <c r="AQ61" i="15"/>
  <c r="X63" i="3" s="1"/>
  <c r="AQ179" i="15"/>
  <c r="X181" i="3" s="1"/>
  <c r="AD179" i="15"/>
  <c r="K181" i="3" s="1"/>
  <c r="AD114" i="15"/>
  <c r="K116" i="3" s="1"/>
  <c r="AQ114" i="15"/>
  <c r="X116" i="3" s="1"/>
  <c r="AD39" i="15"/>
  <c r="K41" i="3" s="1"/>
  <c r="AQ39" i="15"/>
  <c r="X41" i="3" s="1"/>
  <c r="AQ87" i="15"/>
  <c r="X89" i="3" s="1"/>
  <c r="AD87" i="15"/>
  <c r="K89" i="3" s="1"/>
  <c r="AD58" i="15"/>
  <c r="K60" i="3" s="1"/>
  <c r="AQ58" i="15"/>
  <c r="X60" i="3" s="1"/>
  <c r="AD186" i="15"/>
  <c r="K188" i="3" s="1"/>
  <c r="AQ186" i="15"/>
  <c r="X188" i="3" s="1"/>
  <c r="AQ205" i="15"/>
  <c r="X207" i="3" s="1"/>
  <c r="AD205" i="15"/>
  <c r="K207" i="3" s="1"/>
  <c r="AQ135" i="15"/>
  <c r="X137" i="3" s="1"/>
  <c r="AD135" i="15"/>
  <c r="K137" i="3" s="1"/>
  <c r="AQ55" i="15"/>
  <c r="X57" i="3" s="1"/>
  <c r="AD55" i="15"/>
  <c r="K57" i="3" s="1"/>
  <c r="AQ74" i="15"/>
  <c r="X76" i="3" s="1"/>
  <c r="AD74" i="15"/>
  <c r="K76" i="3" s="1"/>
  <c r="AD167" i="15"/>
  <c r="K169" i="3" s="1"/>
  <c r="AQ167" i="15"/>
  <c r="X169" i="3" s="1"/>
  <c r="AD11" i="15"/>
  <c r="K13" i="3" s="1"/>
  <c r="AQ11" i="15"/>
  <c r="X13" i="3" s="1"/>
  <c r="AQ150" i="15"/>
  <c r="X152" i="3" s="1"/>
  <c r="AD150" i="15"/>
  <c r="K152" i="3" s="1"/>
  <c r="AD171" i="15"/>
  <c r="K173" i="3" s="1"/>
  <c r="AQ171" i="15"/>
  <c r="X173" i="3" s="1"/>
  <c r="AQ63" i="15"/>
  <c r="X65" i="3" s="1"/>
  <c r="AD63" i="15"/>
  <c r="K65" i="3" s="1"/>
  <c r="AQ165" i="15"/>
  <c r="X167" i="3" s="1"/>
  <c r="AD165" i="15"/>
  <c r="K167" i="3" s="1"/>
  <c r="AQ181" i="15"/>
  <c r="X183" i="3" s="1"/>
  <c r="AD181" i="15"/>
  <c r="K183" i="3" s="1"/>
  <c r="AD174" i="15"/>
  <c r="K176" i="3" s="1"/>
  <c r="AQ174" i="15"/>
  <c r="X176" i="3" s="1"/>
  <c r="AD26" i="15"/>
  <c r="K28" i="3" s="1"/>
  <c r="AQ26" i="15"/>
  <c r="X28" i="3" s="1"/>
  <c r="AQ31" i="15"/>
  <c r="X33" i="3" s="1"/>
  <c r="AD31" i="15"/>
  <c r="K33" i="3" s="1"/>
  <c r="AQ42" i="15"/>
  <c r="X44" i="3" s="1"/>
  <c r="AD42" i="15"/>
  <c r="K44" i="3" s="1"/>
  <c r="AD71" i="15"/>
  <c r="K73" i="3" s="1"/>
  <c r="AQ71" i="15"/>
  <c r="X73" i="3" s="1"/>
  <c r="AD125" i="15"/>
  <c r="K127" i="3" s="1"/>
  <c r="AQ125" i="15"/>
  <c r="X127" i="3" s="1"/>
  <c r="AQ47" i="15"/>
  <c r="X49" i="3" s="1"/>
  <c r="AD47" i="15"/>
  <c r="K49" i="3" s="1"/>
  <c r="AD62" i="15"/>
  <c r="K64" i="3" s="1"/>
  <c r="AD66" i="15"/>
  <c r="K68" i="3" s="1"/>
  <c r="AQ54" i="15"/>
  <c r="X56" i="3" s="1"/>
  <c r="AQ43" i="15"/>
  <c r="X45" i="3" s="1"/>
  <c r="AQ107" i="15"/>
  <c r="X109" i="3" s="1"/>
  <c r="AQ139" i="15"/>
  <c r="X141" i="3" s="1"/>
  <c r="AQ6" i="15"/>
  <c r="X8" i="3" s="1"/>
  <c r="AD195" i="15"/>
  <c r="K197" i="3" s="1"/>
  <c r="AQ195" i="15"/>
  <c r="X197" i="3" s="1"/>
  <c r="AD10" i="15"/>
  <c r="K12" i="3" s="1"/>
  <c r="AQ10" i="15"/>
  <c r="X12" i="3" s="1"/>
  <c r="AQ133" i="15"/>
  <c r="X135" i="3" s="1"/>
  <c r="AD133" i="15"/>
  <c r="K135" i="3" s="1"/>
  <c r="AD154" i="15"/>
  <c r="K156" i="3" s="1"/>
  <c r="AQ154" i="15"/>
  <c r="X156" i="3" s="1"/>
  <c r="AD34" i="15"/>
  <c r="K36" i="3" s="1"/>
  <c r="AQ34" i="15"/>
  <c r="X36" i="3" s="1"/>
  <c r="AD183" i="15"/>
  <c r="K185" i="3" s="1"/>
  <c r="AQ183" i="15"/>
  <c r="X185" i="3" s="1"/>
  <c r="AQ191" i="15"/>
  <c r="X193" i="3" s="1"/>
  <c r="AD191" i="15"/>
  <c r="K193" i="3" s="1"/>
  <c r="AD151" i="15"/>
  <c r="K153" i="3" s="1"/>
  <c r="AQ151" i="15"/>
  <c r="X153" i="3" s="1"/>
  <c r="AQ189" i="15"/>
  <c r="X191" i="3" s="1"/>
  <c r="AD189" i="15"/>
  <c r="K191" i="3" s="1"/>
  <c r="AD106" i="15"/>
  <c r="K108" i="3" s="1"/>
  <c r="AQ106" i="15"/>
  <c r="X108" i="3" s="1"/>
  <c r="AQ127" i="15"/>
  <c r="X129" i="3" s="1"/>
  <c r="AD127" i="15"/>
  <c r="K129" i="3" s="1"/>
  <c r="AD175" i="15"/>
  <c r="K177" i="3" s="1"/>
  <c r="AQ175" i="15"/>
  <c r="X177" i="3" s="1"/>
  <c r="AD50" i="15"/>
  <c r="K52" i="3" s="1"/>
  <c r="AQ50" i="15"/>
  <c r="X52" i="3" s="1"/>
  <c r="AQ126" i="15"/>
  <c r="X128" i="3" s="1"/>
  <c r="AD126" i="15"/>
  <c r="K128" i="3" s="1"/>
  <c r="AQ111" i="15"/>
  <c r="X113" i="3" s="1"/>
  <c r="AD111" i="15"/>
  <c r="K113" i="3" s="1"/>
  <c r="AQ15" i="15"/>
  <c r="X17" i="3" s="1"/>
  <c r="AD15" i="15"/>
  <c r="K17" i="3" s="1"/>
  <c r="AC190" i="15"/>
  <c r="J192" i="3" s="1"/>
  <c r="AC51" i="15"/>
  <c r="J53" i="3" s="1"/>
  <c r="AD82" i="15"/>
  <c r="K84" i="3" s="1"/>
  <c r="AD70" i="15"/>
  <c r="K72" i="3" s="1"/>
  <c r="AD7" i="15"/>
  <c r="K9" i="3" s="1"/>
  <c r="AQ30" i="15"/>
  <c r="X32" i="3" s="1"/>
  <c r="AQ19" i="15"/>
  <c r="X21" i="3" s="1"/>
  <c r="AQ51" i="15"/>
  <c r="X53" i="3" s="1"/>
  <c r="AQ115" i="15"/>
  <c r="X117" i="3" s="1"/>
  <c r="AQ147" i="15"/>
  <c r="X149" i="3" s="1"/>
  <c r="AQ119" i="15"/>
  <c r="X121" i="3" s="1"/>
  <c r="AD119" i="15"/>
  <c r="K121" i="3" s="1"/>
  <c r="AD27" i="15"/>
  <c r="K29" i="3" s="1"/>
  <c r="AD86" i="15"/>
  <c r="K88" i="3" s="1"/>
  <c r="AQ41" i="15"/>
  <c r="X43" i="3" s="1"/>
  <c r="AQ70" i="15"/>
  <c r="X72" i="3" s="1"/>
  <c r="AQ59" i="15"/>
  <c r="X61" i="3" s="1"/>
  <c r="AQ91" i="15"/>
  <c r="X93" i="3" s="1"/>
  <c r="AQ123" i="15"/>
  <c r="X125" i="3" s="1"/>
  <c r="AQ155" i="15"/>
  <c r="X157" i="3" s="1"/>
  <c r="AD203" i="15"/>
  <c r="K205" i="3" s="1"/>
  <c r="AQ203" i="15"/>
  <c r="X205" i="3" s="1"/>
  <c r="AQ146" i="15"/>
  <c r="X148" i="3" s="1"/>
  <c r="AD146" i="15"/>
  <c r="K148" i="3" s="1"/>
  <c r="AD23" i="15"/>
  <c r="K25" i="3" s="1"/>
  <c r="AQ23" i="15"/>
  <c r="X25" i="3" s="1"/>
  <c r="AD110" i="15"/>
  <c r="K112" i="3" s="1"/>
  <c r="AQ110" i="15"/>
  <c r="X112" i="3" s="1"/>
  <c r="AD187" i="15"/>
  <c r="K189" i="3" s="1"/>
  <c r="AQ187" i="15"/>
  <c r="X189" i="3" s="1"/>
  <c r="AD194" i="15"/>
  <c r="K196" i="3" s="1"/>
  <c r="AQ194" i="15"/>
  <c r="X196" i="3" s="1"/>
  <c r="AD37" i="15"/>
  <c r="K39" i="3" s="1"/>
  <c r="AQ37" i="15"/>
  <c r="X39" i="3" s="1"/>
  <c r="AD122" i="15"/>
  <c r="K124" i="3" s="1"/>
  <c r="AQ122" i="15"/>
  <c r="X124" i="3" s="1"/>
  <c r="AQ102" i="15"/>
  <c r="X104" i="3" s="1"/>
  <c r="AD102" i="15"/>
  <c r="K104" i="3" s="1"/>
  <c r="AD130" i="15"/>
  <c r="K132" i="3" s="1"/>
  <c r="AQ130" i="15"/>
  <c r="X132" i="3" s="1"/>
  <c r="AQ198" i="15"/>
  <c r="X200" i="3" s="1"/>
  <c r="AD198" i="15"/>
  <c r="K200" i="3" s="1"/>
  <c r="AD79" i="15"/>
  <c r="K81" i="3" s="1"/>
  <c r="AQ79" i="15"/>
  <c r="X81" i="3" s="1"/>
  <c r="AQ197" i="15"/>
  <c r="X199" i="3" s="1"/>
  <c r="AD197" i="15"/>
  <c r="K199" i="3" s="1"/>
  <c r="AQ143" i="15"/>
  <c r="X145" i="3" s="1"/>
  <c r="AD143" i="15"/>
  <c r="K145" i="3" s="1"/>
  <c r="AC170" i="15"/>
  <c r="J172" i="3" s="1"/>
  <c r="AC50" i="15"/>
  <c r="J52" i="3" s="1"/>
  <c r="AC66" i="15"/>
  <c r="J68" i="3" s="1"/>
  <c r="AD29" i="15"/>
  <c r="K31" i="3" s="1"/>
  <c r="AQ46" i="15"/>
  <c r="X48" i="3" s="1"/>
  <c r="AQ78" i="15"/>
  <c r="X80" i="3" s="1"/>
  <c r="AQ35" i="15"/>
  <c r="X37" i="3" s="1"/>
  <c r="AQ67" i="15"/>
  <c r="X69" i="3" s="1"/>
  <c r="AQ131" i="15"/>
  <c r="X133" i="3" s="1"/>
  <c r="AQ163" i="15"/>
  <c r="X165" i="3" s="1"/>
  <c r="AD98" i="15"/>
  <c r="K100" i="3" s="1"/>
  <c r="O64" i="15"/>
  <c r="X65" i="15"/>
  <c r="CD6" i="15"/>
  <c r="BH8" i="3" s="1"/>
  <c r="CE6" i="15"/>
  <c r="BI8" i="3" s="1"/>
  <c r="BR6" i="15"/>
  <c r="AV8" i="3" s="1"/>
  <c r="BQ6" i="15"/>
  <c r="AU8" i="3" s="1"/>
  <c r="AU6" i="15"/>
  <c r="AB8" i="3" s="1"/>
  <c r="AV6" i="15"/>
  <c r="AC8" i="3" s="1"/>
  <c r="AK6" i="15"/>
  <c r="R8" i="3" s="1"/>
  <c r="AX6" i="15"/>
  <c r="AE8" i="3" s="1"/>
  <c r="AW6" i="15"/>
  <c r="AD8" i="3" s="1"/>
  <c r="AJ6" i="15"/>
  <c r="Q8" i="3" s="1"/>
  <c r="AI6" i="15"/>
  <c r="P8" i="3" s="1"/>
  <c r="AQ178" i="15"/>
  <c r="X180" i="3" s="1"/>
  <c r="AD178" i="15"/>
  <c r="K180" i="3" s="1"/>
  <c r="AQ168" i="15"/>
  <c r="X170" i="3" s="1"/>
  <c r="AD168" i="15"/>
  <c r="K170" i="3" s="1"/>
  <c r="AD75" i="15"/>
  <c r="K77" i="3" s="1"/>
  <c r="AQ75" i="15"/>
  <c r="X77" i="3" s="1"/>
  <c r="AD9" i="15"/>
  <c r="K11" i="3" s="1"/>
  <c r="AQ9" i="15"/>
  <c r="X11" i="3" s="1"/>
  <c r="AD49" i="15"/>
  <c r="K51" i="3" s="1"/>
  <c r="AQ49" i="15"/>
  <c r="X51" i="3" s="1"/>
  <c r="AQ21" i="15"/>
  <c r="X23" i="3" s="1"/>
  <c r="AD21" i="15"/>
  <c r="K23" i="3" s="1"/>
  <c r="AQ173" i="15"/>
  <c r="X175" i="3" s="1"/>
  <c r="AD173" i="15"/>
  <c r="K175" i="3" s="1"/>
  <c r="AD64" i="15"/>
  <c r="K66" i="3" s="1"/>
  <c r="AQ64" i="15"/>
  <c r="X66" i="3" s="1"/>
  <c r="AQ18" i="15"/>
  <c r="X20" i="3" s="1"/>
  <c r="AD18" i="15"/>
  <c r="K20" i="3" s="1"/>
  <c r="AD200" i="15"/>
  <c r="K202" i="3" s="1"/>
  <c r="AQ200" i="15"/>
  <c r="X202" i="3" s="1"/>
  <c r="AD117" i="15"/>
  <c r="K119" i="3" s="1"/>
  <c r="AQ117" i="15"/>
  <c r="X119" i="3" s="1"/>
  <c r="AD101" i="15"/>
  <c r="K103" i="3" s="1"/>
  <c r="AQ101" i="15"/>
  <c r="X103" i="3" s="1"/>
  <c r="AD164" i="15"/>
  <c r="K166" i="3" s="1"/>
  <c r="AQ164" i="15"/>
  <c r="X166" i="3" s="1"/>
  <c r="AD77" i="15"/>
  <c r="K79" i="3" s="1"/>
  <c r="AQ77" i="15"/>
  <c r="X79" i="3" s="1"/>
  <c r="AQ48" i="15"/>
  <c r="X50" i="3" s="1"/>
  <c r="AD48" i="15"/>
  <c r="K50" i="3" s="1"/>
  <c r="AQ76" i="15"/>
  <c r="X78" i="3" s="1"/>
  <c r="AD76" i="15"/>
  <c r="K78" i="3" s="1"/>
  <c r="AQ158" i="15"/>
  <c r="X160" i="3" s="1"/>
  <c r="AD158" i="15"/>
  <c r="K160" i="3" s="1"/>
  <c r="AD60" i="15"/>
  <c r="K62" i="3" s="1"/>
  <c r="AQ60" i="15"/>
  <c r="X62" i="3" s="1"/>
  <c r="AD92" i="15"/>
  <c r="K94" i="3" s="1"/>
  <c r="AQ92" i="15"/>
  <c r="X94" i="3" s="1"/>
  <c r="AC92" i="15"/>
  <c r="J94" i="3" s="1"/>
  <c r="AD172" i="15"/>
  <c r="K174" i="3" s="1"/>
  <c r="AQ172" i="15"/>
  <c r="X174" i="3" s="1"/>
  <c r="AQ176" i="15"/>
  <c r="X178" i="3" s="1"/>
  <c r="AD176" i="15"/>
  <c r="K178" i="3" s="1"/>
  <c r="AD38" i="15"/>
  <c r="K40" i="3" s="1"/>
  <c r="AQ38" i="15"/>
  <c r="X40" i="3" s="1"/>
  <c r="AC38" i="15"/>
  <c r="J40" i="3" s="1"/>
  <c r="AD161" i="15"/>
  <c r="K163" i="3" s="1"/>
  <c r="AQ161" i="15"/>
  <c r="X163" i="3" s="1"/>
  <c r="AD141" i="15"/>
  <c r="K143" i="3" s="1"/>
  <c r="AQ141" i="15"/>
  <c r="X143" i="3" s="1"/>
  <c r="AD153" i="15"/>
  <c r="K155" i="3" s="1"/>
  <c r="AQ153" i="15"/>
  <c r="X155" i="3" s="1"/>
  <c r="AD144" i="15"/>
  <c r="K146" i="3" s="1"/>
  <c r="AQ144" i="15"/>
  <c r="X146" i="3" s="1"/>
  <c r="AD149" i="15"/>
  <c r="K151" i="3" s="1"/>
  <c r="AQ149" i="15"/>
  <c r="X151" i="3" s="1"/>
  <c r="AD109" i="15"/>
  <c r="K111" i="3" s="1"/>
  <c r="AQ109" i="15"/>
  <c r="X111" i="3" s="1"/>
  <c r="AD45" i="15"/>
  <c r="K47" i="3" s="1"/>
  <c r="AQ45" i="15"/>
  <c r="X47" i="3" s="1"/>
  <c r="AQ13" i="15"/>
  <c r="X15" i="3" s="1"/>
  <c r="AD13" i="15"/>
  <c r="K15" i="3" s="1"/>
  <c r="AQ180" i="15"/>
  <c r="X182" i="3" s="1"/>
  <c r="AD180" i="15"/>
  <c r="K182" i="3" s="1"/>
  <c r="AQ32" i="15"/>
  <c r="X34" i="3" s="1"/>
  <c r="AD32" i="15"/>
  <c r="K34" i="3" s="1"/>
  <c r="AD8" i="15"/>
  <c r="K10" i="3" s="1"/>
  <c r="AC8" i="15"/>
  <c r="J10" i="3" s="1"/>
  <c r="AQ8" i="15"/>
  <c r="X10" i="3" s="1"/>
  <c r="AQ52" i="15"/>
  <c r="X54" i="3" s="1"/>
  <c r="AD52" i="15"/>
  <c r="K54" i="3" s="1"/>
  <c r="AD36" i="15"/>
  <c r="K38" i="3" s="1"/>
  <c r="AQ36" i="15"/>
  <c r="X38" i="3" s="1"/>
  <c r="AQ12" i="15"/>
  <c r="X14" i="3" s="1"/>
  <c r="AD12" i="15"/>
  <c r="K14" i="3" s="1"/>
  <c r="AD22" i="15"/>
  <c r="K24" i="3" s="1"/>
  <c r="AQ22" i="15"/>
  <c r="X24" i="3" s="1"/>
  <c r="AQ136" i="15"/>
  <c r="X138" i="3" s="1"/>
  <c r="AD136" i="15"/>
  <c r="K138" i="3" s="1"/>
  <c r="AQ177" i="15"/>
  <c r="X179" i="3" s="1"/>
  <c r="AD177" i="15"/>
  <c r="K179" i="3" s="1"/>
  <c r="AD105" i="15"/>
  <c r="K107" i="3" s="1"/>
  <c r="AQ105" i="15"/>
  <c r="X107" i="3" s="1"/>
  <c r="AQ85" i="15"/>
  <c r="X87" i="3" s="1"/>
  <c r="AD85" i="15"/>
  <c r="K87" i="3" s="1"/>
  <c r="AD132" i="15"/>
  <c r="K134" i="3" s="1"/>
  <c r="AQ132" i="15"/>
  <c r="X134" i="3" s="1"/>
  <c r="AD113" i="15"/>
  <c r="K115" i="3" s="1"/>
  <c r="AQ113" i="15"/>
  <c r="X115" i="3" s="1"/>
  <c r="AC113" i="15"/>
  <c r="J115" i="3" s="1"/>
  <c r="AD99" i="15"/>
  <c r="K101" i="3" s="1"/>
  <c r="AQ99" i="15"/>
  <c r="X101" i="3" s="1"/>
  <c r="AD83" i="15"/>
  <c r="K85" i="3" s="1"/>
  <c r="AQ83" i="15"/>
  <c r="X85" i="3" s="1"/>
  <c r="AD156" i="15"/>
  <c r="K158" i="3" s="1"/>
  <c r="AQ156" i="15"/>
  <c r="X158" i="3" s="1"/>
  <c r="AC156" i="15"/>
  <c r="J158" i="3" s="1"/>
  <c r="AD124" i="15"/>
  <c r="K126" i="3" s="1"/>
  <c r="AQ124" i="15"/>
  <c r="X126" i="3" s="1"/>
  <c r="AD116" i="15"/>
  <c r="K118" i="3" s="1"/>
  <c r="AQ116" i="15"/>
  <c r="X118" i="3" s="1"/>
  <c r="AQ68" i="15"/>
  <c r="X70" i="3" s="1"/>
  <c r="AD68" i="15"/>
  <c r="K70" i="3" s="1"/>
  <c r="AD96" i="15"/>
  <c r="K98" i="3" s="1"/>
  <c r="AQ96" i="15"/>
  <c r="X98" i="3" s="1"/>
  <c r="AD89" i="15"/>
  <c r="K91" i="3" s="1"/>
  <c r="AQ89" i="15"/>
  <c r="X91" i="3" s="1"/>
  <c r="AD56" i="15"/>
  <c r="K58" i="3" s="1"/>
  <c r="AQ56" i="15"/>
  <c r="X58" i="3" s="1"/>
  <c r="AQ192" i="15"/>
  <c r="X194" i="3" s="1"/>
  <c r="AD192" i="15"/>
  <c r="K194" i="3" s="1"/>
  <c r="AD16" i="15"/>
  <c r="K18" i="3" s="1"/>
  <c r="AQ16" i="15"/>
  <c r="X18" i="3" s="1"/>
  <c r="AC16" i="15"/>
  <c r="J18" i="3" s="1"/>
  <c r="AD204" i="15"/>
  <c r="K206" i="3" s="1"/>
  <c r="AQ204" i="15"/>
  <c r="X206" i="3" s="1"/>
  <c r="AD145" i="15"/>
  <c r="K147" i="3" s="1"/>
  <c r="AQ145" i="15"/>
  <c r="X147" i="3" s="1"/>
  <c r="AD128" i="15"/>
  <c r="K130" i="3" s="1"/>
  <c r="AQ128" i="15"/>
  <c r="X130" i="3" s="1"/>
  <c r="AD104" i="15"/>
  <c r="K106" i="3" s="1"/>
  <c r="AQ104" i="15"/>
  <c r="X106" i="3" s="1"/>
  <c r="AD100" i="15"/>
  <c r="K102" i="3" s="1"/>
  <c r="AQ100" i="15"/>
  <c r="X102" i="3" s="1"/>
  <c r="AQ33" i="15"/>
  <c r="X35" i="3" s="1"/>
  <c r="AD33" i="15"/>
  <c r="K35" i="3" s="1"/>
  <c r="AD14" i="15"/>
  <c r="K16" i="3" s="1"/>
  <c r="AQ14" i="15"/>
  <c r="X16" i="3" s="1"/>
  <c r="AD72" i="15"/>
  <c r="K74" i="3" s="1"/>
  <c r="AQ72" i="15"/>
  <c r="X74" i="3" s="1"/>
  <c r="AQ162" i="15"/>
  <c r="X164" i="3" s="1"/>
  <c r="AD162" i="15"/>
  <c r="K164" i="3" s="1"/>
  <c r="AD129" i="15"/>
  <c r="K131" i="3" s="1"/>
  <c r="AQ129" i="15"/>
  <c r="X131" i="3" s="1"/>
  <c r="AQ17" i="15"/>
  <c r="X19" i="3" s="1"/>
  <c r="AC17" i="15"/>
  <c r="J19" i="3" s="1"/>
  <c r="AD17" i="15"/>
  <c r="K19" i="3" s="1"/>
  <c r="AD81" i="15"/>
  <c r="K83" i="3" s="1"/>
  <c r="AQ81" i="15"/>
  <c r="X83" i="3" s="1"/>
  <c r="AD108" i="15"/>
  <c r="K110" i="3" s="1"/>
  <c r="AQ108" i="15"/>
  <c r="X110" i="3" s="1"/>
  <c r="AD169" i="15"/>
  <c r="K171" i="3" s="1"/>
  <c r="AQ169" i="15"/>
  <c r="X171" i="3" s="1"/>
  <c r="AQ142" i="15"/>
  <c r="X144" i="3" s="1"/>
  <c r="AD142" i="15"/>
  <c r="K144" i="3" s="1"/>
  <c r="AD20" i="15"/>
  <c r="K22" i="3" s="1"/>
  <c r="AQ20" i="15"/>
  <c r="X22" i="3" s="1"/>
  <c r="AD137" i="15"/>
  <c r="K139" i="3" s="1"/>
  <c r="AQ137" i="15"/>
  <c r="X139" i="3" s="1"/>
  <c r="AD182" i="15"/>
  <c r="K184" i="3" s="1"/>
  <c r="AQ182" i="15"/>
  <c r="X184" i="3" s="1"/>
  <c r="AD84" i="15"/>
  <c r="K86" i="3" s="1"/>
  <c r="AQ84" i="15"/>
  <c r="X86" i="3" s="1"/>
  <c r="AQ24" i="15"/>
  <c r="X26" i="3" s="1"/>
  <c r="AD24" i="15"/>
  <c r="K26" i="3" s="1"/>
  <c r="AD25" i="15"/>
  <c r="K27" i="3" s="1"/>
  <c r="AQ25" i="15"/>
  <c r="X27" i="3" s="1"/>
  <c r="AD93" i="15"/>
  <c r="K95" i="3" s="1"/>
  <c r="AQ93" i="15"/>
  <c r="X95" i="3" s="1"/>
  <c r="AD65" i="15"/>
  <c r="K67" i="3" s="1"/>
  <c r="AQ65" i="15"/>
  <c r="X67" i="3" s="1"/>
  <c r="AD140" i="15"/>
  <c r="K142" i="3" s="1"/>
  <c r="AQ140" i="15"/>
  <c r="X142" i="3" s="1"/>
  <c r="AQ44" i="15"/>
  <c r="X46" i="3" s="1"/>
  <c r="AD44" i="15"/>
  <c r="K46" i="3" s="1"/>
  <c r="AQ95" i="15"/>
  <c r="X97" i="3" s="1"/>
  <c r="AD95" i="15"/>
  <c r="K97" i="3" s="1"/>
  <c r="AD138" i="15"/>
  <c r="K140" i="3" s="1"/>
  <c r="AQ138" i="15"/>
  <c r="X140" i="3" s="1"/>
  <c r="AD73" i="15"/>
  <c r="K75" i="3" s="1"/>
  <c r="AQ73" i="15"/>
  <c r="X75" i="3" s="1"/>
  <c r="AD97" i="15"/>
  <c r="K99" i="3" s="1"/>
  <c r="AQ97" i="15"/>
  <c r="X99" i="3" s="1"/>
  <c r="AC97" i="15"/>
  <c r="J99" i="3" s="1"/>
  <c r="AD196" i="15"/>
  <c r="K198" i="3" s="1"/>
  <c r="AQ196" i="15"/>
  <c r="X198" i="3" s="1"/>
  <c r="AD80" i="15"/>
  <c r="K82" i="3" s="1"/>
  <c r="AQ80" i="15"/>
  <c r="X82" i="3" s="1"/>
  <c r="AD57" i="15"/>
  <c r="K59" i="3" s="1"/>
  <c r="AQ57" i="15"/>
  <c r="X59" i="3" s="1"/>
  <c r="AC57" i="15"/>
  <c r="J59" i="3" s="1"/>
  <c r="AD201" i="15"/>
  <c r="K203" i="3" s="1"/>
  <c r="AQ201" i="15"/>
  <c r="X203" i="3" s="1"/>
  <c r="AD121" i="15"/>
  <c r="K123" i="3" s="1"/>
  <c r="AQ121" i="15"/>
  <c r="X123" i="3" s="1"/>
  <c r="AD88" i="15"/>
  <c r="K90" i="3" s="1"/>
  <c r="AQ88" i="15"/>
  <c r="X90" i="3" s="1"/>
  <c r="AD120" i="15"/>
  <c r="K122" i="3" s="1"/>
  <c r="AQ120" i="15"/>
  <c r="X122" i="3" s="1"/>
  <c r="AD152" i="15"/>
  <c r="K154" i="3" s="1"/>
  <c r="AQ152" i="15"/>
  <c r="X154" i="3" s="1"/>
  <c r="AD53" i="15"/>
  <c r="K55" i="3" s="1"/>
  <c r="AQ53" i="15"/>
  <c r="X55" i="3" s="1"/>
  <c r="AQ160" i="15"/>
  <c r="X162" i="3" s="1"/>
  <c r="AD160" i="15"/>
  <c r="K162" i="3" s="1"/>
  <c r="AD28" i="15"/>
  <c r="K30" i="3" s="1"/>
  <c r="AQ28" i="15"/>
  <c r="X30" i="3" s="1"/>
  <c r="AD103" i="15"/>
  <c r="K105" i="3" s="1"/>
  <c r="AQ103" i="15"/>
  <c r="X105" i="3" s="1"/>
  <c r="AQ184" i="15"/>
  <c r="X186" i="3" s="1"/>
  <c r="AD184" i="15"/>
  <c r="K186" i="3" s="1"/>
  <c r="AC184" i="15"/>
  <c r="J186" i="3" s="1"/>
  <c r="AD148" i="15"/>
  <c r="K150" i="3" s="1"/>
  <c r="AQ148" i="15"/>
  <c r="X150" i="3" s="1"/>
  <c r="AQ40" i="15"/>
  <c r="X42" i="3" s="1"/>
  <c r="AD40" i="15"/>
  <c r="K42" i="3" s="1"/>
  <c r="AQ112" i="15"/>
  <c r="X114" i="3" s="1"/>
  <c r="AD112" i="15"/>
  <c r="K114" i="3" s="1"/>
  <c r="AD188" i="15"/>
  <c r="K190" i="3" s="1"/>
  <c r="AQ188" i="15"/>
  <c r="X190" i="3" s="1"/>
  <c r="AQ193" i="15"/>
  <c r="X195" i="3" s="1"/>
  <c r="AD193" i="15"/>
  <c r="K195" i="3" s="1"/>
  <c r="G233" i="4"/>
  <c r="BP12" i="15"/>
  <c r="AT14" i="3" s="1"/>
  <c r="CC12" i="15"/>
  <c r="BG14" i="3" s="1"/>
  <c r="CD12" i="15"/>
  <c r="BH14" i="3" s="1"/>
  <c r="BP11" i="15"/>
  <c r="AT13" i="3" s="1"/>
  <c r="CB11" i="15"/>
  <c r="BF13" i="3" s="1"/>
  <c r="CE11" i="15"/>
  <c r="BI13" i="3" s="1"/>
  <c r="BP8" i="15"/>
  <c r="AT10" i="3" s="1"/>
  <c r="CC8" i="15"/>
  <c r="BG10" i="3" s="1"/>
  <c r="CD8" i="15"/>
  <c r="BH10" i="3" s="1"/>
  <c r="BP7" i="15"/>
  <c r="AT9" i="3" s="1"/>
  <c r="CC7" i="15"/>
  <c r="BG9" i="3" s="1"/>
  <c r="CD7" i="15"/>
  <c r="BH9" i="3" s="1"/>
  <c r="BP86" i="15"/>
  <c r="AT88" i="3" s="1"/>
  <c r="CB86" i="15"/>
  <c r="BF88" i="3" s="1"/>
  <c r="CD86" i="15"/>
  <c r="BH88" i="3" s="1"/>
  <c r="BP107" i="15"/>
  <c r="AT109" i="3" s="1"/>
  <c r="CB107" i="15"/>
  <c r="BF109" i="3" s="1"/>
  <c r="CD107" i="15"/>
  <c r="BH109" i="3" s="1"/>
  <c r="CC88" i="15"/>
  <c r="BG90" i="3" s="1"/>
  <c r="CB88" i="15"/>
  <c r="BF90" i="3" s="1"/>
  <c r="BP88" i="15"/>
  <c r="AT90" i="3" s="1"/>
  <c r="CD88" i="15"/>
  <c r="BH90" i="3" s="1"/>
  <c r="BP147" i="15"/>
  <c r="AT149" i="3" s="1"/>
  <c r="CC147" i="15"/>
  <c r="BG149" i="3" s="1"/>
  <c r="CD147" i="15"/>
  <c r="BH149" i="3" s="1"/>
  <c r="BP200" i="15"/>
  <c r="AT202" i="3" s="1"/>
  <c r="CC200" i="15"/>
  <c r="BG202" i="3" s="1"/>
  <c r="CD200" i="15"/>
  <c r="BH202" i="3" s="1"/>
  <c r="BP22" i="15"/>
  <c r="AT24" i="3" s="1"/>
  <c r="CC22" i="15"/>
  <c r="BG24" i="3" s="1"/>
  <c r="CD22" i="15"/>
  <c r="BH24" i="3" s="1"/>
  <c r="BP157" i="15"/>
  <c r="AT159" i="3" s="1"/>
  <c r="CC157" i="15"/>
  <c r="BG159" i="3" s="1"/>
  <c r="CD157" i="15"/>
  <c r="BH159" i="3" s="1"/>
  <c r="BP135" i="15"/>
  <c r="AT137" i="3" s="1"/>
  <c r="CB135" i="15"/>
  <c r="BF137" i="3" s="1"/>
  <c r="BQ135" i="15"/>
  <c r="AU137" i="3" s="1"/>
  <c r="BP150" i="15"/>
  <c r="AT152" i="3" s="1"/>
  <c r="CC150" i="15"/>
  <c r="BG152" i="3" s="1"/>
  <c r="CD150" i="15"/>
  <c r="BH152" i="3" s="1"/>
  <c r="BP161" i="15"/>
  <c r="AT163" i="3" s="1"/>
  <c r="CC161" i="15"/>
  <c r="BG163" i="3" s="1"/>
  <c r="CD161" i="15"/>
  <c r="BH163" i="3" s="1"/>
  <c r="BP128" i="15"/>
  <c r="AT130" i="3" s="1"/>
  <c r="CC128" i="15"/>
  <c r="BG130" i="3" s="1"/>
  <c r="CD128" i="15"/>
  <c r="BH130" i="3" s="1"/>
  <c r="BP27" i="15"/>
  <c r="AT29" i="3" s="1"/>
  <c r="CB27" i="15"/>
  <c r="BF29" i="3" s="1"/>
  <c r="CE27" i="15"/>
  <c r="BI29" i="3" s="1"/>
  <c r="CB41" i="15"/>
  <c r="BF43" i="3" s="1"/>
  <c r="BP41" i="15"/>
  <c r="AT43" i="3" s="1"/>
  <c r="CD41" i="15"/>
  <c r="BH43" i="3" s="1"/>
  <c r="CB165" i="15"/>
  <c r="BF167" i="3" s="1"/>
  <c r="BP165" i="15"/>
  <c r="AT167" i="3" s="1"/>
  <c r="CD165" i="15"/>
  <c r="BH167" i="3" s="1"/>
  <c r="CB168" i="15"/>
  <c r="BF170" i="3" s="1"/>
  <c r="BP168" i="15"/>
  <c r="AT170" i="3" s="1"/>
  <c r="CD168" i="15"/>
  <c r="BH170" i="3" s="1"/>
  <c r="CC50" i="15"/>
  <c r="BG52" i="3" s="1"/>
  <c r="CB50" i="15"/>
  <c r="BF52" i="3" s="1"/>
  <c r="CD50" i="15"/>
  <c r="BH52" i="3" s="1"/>
  <c r="BP25" i="15"/>
  <c r="AT27" i="3" s="1"/>
  <c r="CC25" i="15"/>
  <c r="BG27" i="3" s="1"/>
  <c r="CD25" i="15"/>
  <c r="BH27" i="3" s="1"/>
  <c r="BP145" i="15"/>
  <c r="AT147" i="3" s="1"/>
  <c r="CC145" i="15"/>
  <c r="BG147" i="3" s="1"/>
  <c r="CD145" i="15"/>
  <c r="BH147" i="3" s="1"/>
  <c r="BP119" i="15"/>
  <c r="AT121" i="3" s="1"/>
  <c r="CC119" i="15"/>
  <c r="BG121" i="3" s="1"/>
  <c r="CD119" i="15"/>
  <c r="BH121" i="3" s="1"/>
  <c r="CC24" i="15"/>
  <c r="BG26" i="3" s="1"/>
  <c r="CB24" i="15"/>
  <c r="BF26" i="3" s="1"/>
  <c r="CD24" i="15"/>
  <c r="BH26" i="3" s="1"/>
  <c r="BP26" i="15"/>
  <c r="AT28" i="3" s="1"/>
  <c r="CC26" i="15"/>
  <c r="BG28" i="3" s="1"/>
  <c r="CD26" i="15"/>
  <c r="BH28" i="3" s="1"/>
  <c r="BP38" i="15"/>
  <c r="AT40" i="3" s="1"/>
  <c r="CB38" i="15"/>
  <c r="BF40" i="3" s="1"/>
  <c r="CD38" i="15"/>
  <c r="BH40" i="3" s="1"/>
  <c r="BP36" i="15"/>
  <c r="AT38" i="3" s="1"/>
  <c r="CC36" i="15"/>
  <c r="BG38" i="3" s="1"/>
  <c r="CD36" i="15"/>
  <c r="BH38" i="3" s="1"/>
  <c r="BP94" i="15"/>
  <c r="AT96" i="3" s="1"/>
  <c r="CC94" i="15"/>
  <c r="BG96" i="3" s="1"/>
  <c r="CD94" i="15"/>
  <c r="BH96" i="3" s="1"/>
  <c r="BP55" i="15"/>
  <c r="AT57" i="3" s="1"/>
  <c r="CB55" i="15"/>
  <c r="BF57" i="3" s="1"/>
  <c r="CD55" i="15"/>
  <c r="BH57" i="3" s="1"/>
  <c r="CB59" i="15"/>
  <c r="BF61" i="3" s="1"/>
  <c r="CC59" i="15"/>
  <c r="BG61" i="3" s="1"/>
  <c r="BP106" i="15"/>
  <c r="AT108" i="3" s="1"/>
  <c r="CC106" i="15"/>
  <c r="BG108" i="3" s="1"/>
  <c r="CB106" i="15"/>
  <c r="BF108" i="3" s="1"/>
  <c r="BP177" i="15"/>
  <c r="AT179" i="3" s="1"/>
  <c r="CC177" i="15"/>
  <c r="BG179" i="3" s="1"/>
  <c r="CB177" i="15"/>
  <c r="BF179" i="3" s="1"/>
  <c r="BP125" i="15"/>
  <c r="AT127" i="3" s="1"/>
  <c r="CC125" i="15"/>
  <c r="BG127" i="3" s="1"/>
  <c r="CB125" i="15"/>
  <c r="BF127" i="3" s="1"/>
  <c r="BP69" i="15"/>
  <c r="AT71" i="3" s="1"/>
  <c r="CC69" i="15"/>
  <c r="BG71" i="3" s="1"/>
  <c r="CB69" i="15"/>
  <c r="BF71" i="3" s="1"/>
  <c r="BP23" i="15"/>
  <c r="AT25" i="3" s="1"/>
  <c r="CC23" i="15"/>
  <c r="BG25" i="3" s="1"/>
  <c r="CB23" i="15"/>
  <c r="BF25" i="3" s="1"/>
  <c r="CC198" i="15"/>
  <c r="BG200" i="3" s="1"/>
  <c r="CB198" i="15"/>
  <c r="BF200" i="3" s="1"/>
  <c r="BP198" i="15"/>
  <c r="AT200" i="3" s="1"/>
  <c r="BP29" i="15"/>
  <c r="AT31" i="3" s="1"/>
  <c r="CC29" i="15"/>
  <c r="BG31" i="3" s="1"/>
  <c r="CB29" i="15"/>
  <c r="BF31" i="3" s="1"/>
  <c r="BP70" i="15"/>
  <c r="AT72" i="3" s="1"/>
  <c r="CC70" i="15"/>
  <c r="BG72" i="3" s="1"/>
  <c r="CB70" i="15"/>
  <c r="BF72" i="3" s="1"/>
  <c r="BP202" i="15"/>
  <c r="AT204" i="3" s="1"/>
  <c r="CB202" i="15"/>
  <c r="BF204" i="3" s="1"/>
  <c r="CC202" i="15"/>
  <c r="BG204" i="3" s="1"/>
  <c r="BP124" i="15"/>
  <c r="AT126" i="3" s="1"/>
  <c r="CB124" i="15"/>
  <c r="BF126" i="3" s="1"/>
  <c r="CC124" i="15"/>
  <c r="BG126" i="3" s="1"/>
  <c r="BP123" i="15"/>
  <c r="AT125" i="3" s="1"/>
  <c r="CB123" i="15"/>
  <c r="BF125" i="3" s="1"/>
  <c r="CC123" i="15"/>
  <c r="BG125" i="3" s="1"/>
  <c r="BP104" i="15"/>
  <c r="AT106" i="3" s="1"/>
  <c r="CB104" i="15"/>
  <c r="BF106" i="3" s="1"/>
  <c r="CC104" i="15"/>
  <c r="BG106" i="3" s="1"/>
  <c r="CC34" i="15"/>
  <c r="BG36" i="3" s="1"/>
  <c r="CB34" i="15"/>
  <c r="BF36" i="3" s="1"/>
  <c r="BP34" i="15"/>
  <c r="AT36" i="3" s="1"/>
  <c r="BP37" i="15"/>
  <c r="AT39" i="3" s="1"/>
  <c r="CC37" i="15"/>
  <c r="BG39" i="3" s="1"/>
  <c r="CB37" i="15"/>
  <c r="BF39" i="3" s="1"/>
  <c r="BP19" i="15"/>
  <c r="AT21" i="3" s="1"/>
  <c r="CC19" i="15"/>
  <c r="BG21" i="3" s="1"/>
  <c r="CB19" i="15"/>
  <c r="BF21" i="3" s="1"/>
  <c r="BP176" i="15"/>
  <c r="AT178" i="3" s="1"/>
  <c r="CC176" i="15"/>
  <c r="BG178" i="3" s="1"/>
  <c r="CB176" i="15"/>
  <c r="BF178" i="3" s="1"/>
  <c r="BP65" i="15"/>
  <c r="AT67" i="3" s="1"/>
  <c r="CC65" i="15"/>
  <c r="BG67" i="3" s="1"/>
  <c r="CB65" i="15"/>
  <c r="BF67" i="3" s="1"/>
  <c r="BP71" i="15"/>
  <c r="AT73" i="3" s="1"/>
  <c r="CC71" i="15"/>
  <c r="BG73" i="3" s="1"/>
  <c r="CB71" i="15"/>
  <c r="BF73" i="3" s="1"/>
  <c r="BP52" i="15"/>
  <c r="AT54" i="3" s="1"/>
  <c r="CC52" i="15"/>
  <c r="BG54" i="3" s="1"/>
  <c r="CB52" i="15"/>
  <c r="BF54" i="3" s="1"/>
  <c r="BP53" i="15"/>
  <c r="AT55" i="3" s="1"/>
  <c r="CC53" i="15"/>
  <c r="BG55" i="3" s="1"/>
  <c r="CB53" i="15"/>
  <c r="BF55" i="3" s="1"/>
  <c r="BP183" i="15"/>
  <c r="AT185" i="3" s="1"/>
  <c r="CC183" i="15"/>
  <c r="BG185" i="3" s="1"/>
  <c r="CB183" i="15"/>
  <c r="BF185" i="3" s="1"/>
  <c r="BP203" i="15"/>
  <c r="AT205" i="3" s="1"/>
  <c r="CC203" i="15"/>
  <c r="BG205" i="3" s="1"/>
  <c r="CB203" i="15"/>
  <c r="BF205" i="3" s="1"/>
  <c r="BP136" i="15"/>
  <c r="AT138" i="3" s="1"/>
  <c r="CC136" i="15"/>
  <c r="BG138" i="3" s="1"/>
  <c r="CB136" i="15"/>
  <c r="BF138" i="3" s="1"/>
  <c r="BP51" i="15"/>
  <c r="AT53" i="3" s="1"/>
  <c r="CC51" i="15"/>
  <c r="BG53" i="3" s="1"/>
  <c r="CB51" i="15"/>
  <c r="BF53" i="3" s="1"/>
  <c r="BP32" i="15"/>
  <c r="AT34" i="3" s="1"/>
  <c r="CC32" i="15"/>
  <c r="BG34" i="3" s="1"/>
  <c r="CB32" i="15"/>
  <c r="BF34" i="3" s="1"/>
  <c r="BP91" i="15"/>
  <c r="AT93" i="3" s="1"/>
  <c r="CC91" i="15"/>
  <c r="BG93" i="3" s="1"/>
  <c r="CB91" i="15"/>
  <c r="BF93" i="3" s="1"/>
  <c r="CC180" i="15"/>
  <c r="BG182" i="3" s="1"/>
  <c r="BP180" i="15"/>
  <c r="AT182" i="3" s="1"/>
  <c r="CB180" i="15"/>
  <c r="BF182" i="3" s="1"/>
  <c r="BP126" i="15"/>
  <c r="AT128" i="3" s="1"/>
  <c r="CC126" i="15"/>
  <c r="BG128" i="3" s="1"/>
  <c r="CB126" i="15"/>
  <c r="BF128" i="3" s="1"/>
  <c r="BP115" i="15"/>
  <c r="AT117" i="3" s="1"/>
  <c r="CC115" i="15"/>
  <c r="BG117" i="3" s="1"/>
  <c r="CB115" i="15"/>
  <c r="BF117" i="3" s="1"/>
  <c r="BP134" i="15"/>
  <c r="AT136" i="3" s="1"/>
  <c r="CB134" i="15"/>
  <c r="BF136" i="3" s="1"/>
  <c r="CC134" i="15"/>
  <c r="BG136" i="3" s="1"/>
  <c r="CB130" i="15"/>
  <c r="BF132" i="3" s="1"/>
  <c r="BP130" i="15"/>
  <c r="AT132" i="3" s="1"/>
  <c r="CC130" i="15"/>
  <c r="BG132" i="3" s="1"/>
  <c r="CC79" i="15"/>
  <c r="BG81" i="3" s="1"/>
  <c r="BP79" i="15"/>
  <c r="AT81" i="3" s="1"/>
  <c r="CB79" i="15"/>
  <c r="BF81" i="3" s="1"/>
  <c r="BP160" i="15"/>
  <c r="AT162" i="3" s="1"/>
  <c r="CC160" i="15"/>
  <c r="BG162" i="3" s="1"/>
  <c r="CB160" i="15"/>
  <c r="BF162" i="3" s="1"/>
  <c r="BP89" i="15"/>
  <c r="AT91" i="3" s="1"/>
  <c r="CC89" i="15"/>
  <c r="BG91" i="3" s="1"/>
  <c r="CB89" i="15"/>
  <c r="BF91" i="3" s="1"/>
  <c r="BP114" i="15"/>
  <c r="AT116" i="3" s="1"/>
  <c r="CC114" i="15"/>
  <c r="BG116" i="3" s="1"/>
  <c r="CB114" i="15"/>
  <c r="BF116" i="3" s="1"/>
  <c r="BP162" i="15"/>
  <c r="AT164" i="3" s="1"/>
  <c r="CB162" i="15"/>
  <c r="BF164" i="3" s="1"/>
  <c r="CC162" i="15"/>
  <c r="BG164" i="3" s="1"/>
  <c r="BP185" i="15"/>
  <c r="AT187" i="3" s="1"/>
  <c r="CB185" i="15"/>
  <c r="BF187" i="3" s="1"/>
  <c r="CC185" i="15"/>
  <c r="BG187" i="3" s="1"/>
  <c r="BP102" i="15"/>
  <c r="AT104" i="3" s="1"/>
  <c r="CC102" i="15"/>
  <c r="BG104" i="3" s="1"/>
  <c r="CB102" i="15"/>
  <c r="BF104" i="3" s="1"/>
  <c r="BP111" i="15"/>
  <c r="AT113" i="3" s="1"/>
  <c r="CC111" i="15"/>
  <c r="BG113" i="3" s="1"/>
  <c r="CB111" i="15"/>
  <c r="BF113" i="3" s="1"/>
  <c r="BP156" i="15"/>
  <c r="AT158" i="3" s="1"/>
  <c r="CC156" i="15"/>
  <c r="BG158" i="3" s="1"/>
  <c r="CB156" i="15"/>
  <c r="BF158" i="3" s="1"/>
  <c r="CB13" i="15"/>
  <c r="BF15" i="3" s="1"/>
  <c r="BP13" i="15"/>
  <c r="AT15" i="3" s="1"/>
  <c r="CC13" i="15"/>
  <c r="BG15" i="3" s="1"/>
  <c r="BQ13" i="15"/>
  <c r="AU15" i="3" s="1"/>
  <c r="BR13" i="15"/>
  <c r="AV15" i="3" s="1"/>
  <c r="CB73" i="15"/>
  <c r="BF75" i="3" s="1"/>
  <c r="BP73" i="15"/>
  <c r="AT75" i="3" s="1"/>
  <c r="CC73" i="15"/>
  <c r="BG75" i="3" s="1"/>
  <c r="BR73" i="15"/>
  <c r="AV75" i="3" s="1"/>
  <c r="BQ73" i="15"/>
  <c r="AU75" i="3" s="1"/>
  <c r="CD73" i="15"/>
  <c r="BH75" i="3" s="1"/>
  <c r="BP103" i="15"/>
  <c r="AT105" i="3" s="1"/>
  <c r="CB103" i="15"/>
  <c r="BF105" i="3" s="1"/>
  <c r="CC103" i="15"/>
  <c r="BG105" i="3" s="1"/>
  <c r="BR103" i="15"/>
  <c r="AV105" i="3" s="1"/>
  <c r="BQ103" i="15"/>
  <c r="AU105" i="3" s="1"/>
  <c r="CD103" i="15"/>
  <c r="BH105" i="3" s="1"/>
  <c r="CC80" i="15"/>
  <c r="BG82" i="3" s="1"/>
  <c r="CB80" i="15"/>
  <c r="BF82" i="3" s="1"/>
  <c r="BP80" i="15"/>
  <c r="AT82" i="3" s="1"/>
  <c r="BQ80" i="15"/>
  <c r="AU82" i="3" s="1"/>
  <c r="BR80" i="15"/>
  <c r="AV82" i="3" s="1"/>
  <c r="CD80" i="15"/>
  <c r="BH82" i="3" s="1"/>
  <c r="BP35" i="15"/>
  <c r="AT37" i="3" s="1"/>
  <c r="CC35" i="15"/>
  <c r="BG37" i="3" s="1"/>
  <c r="CB35" i="15"/>
  <c r="BF37" i="3" s="1"/>
  <c r="BQ35" i="15"/>
  <c r="AU37" i="3" s="1"/>
  <c r="CD35" i="15"/>
  <c r="BH37" i="3" s="1"/>
  <c r="CE35" i="15"/>
  <c r="BI37" i="3" s="1"/>
  <c r="BP121" i="15"/>
  <c r="AT123" i="3" s="1"/>
  <c r="CC121" i="15"/>
  <c r="BG123" i="3" s="1"/>
  <c r="CB121" i="15"/>
  <c r="BF123" i="3" s="1"/>
  <c r="CE121" i="15"/>
  <c r="BI123" i="3" s="1"/>
  <c r="BQ121" i="15"/>
  <c r="AU123" i="3" s="1"/>
  <c r="BR121" i="15"/>
  <c r="AV123" i="3" s="1"/>
  <c r="CD121" i="15"/>
  <c r="BH123" i="3" s="1"/>
  <c r="CB85" i="15"/>
  <c r="BF87" i="3" s="1"/>
  <c r="CC85" i="15"/>
  <c r="BG87" i="3" s="1"/>
  <c r="CE85" i="15"/>
  <c r="BI87" i="3" s="1"/>
  <c r="BR85" i="15"/>
  <c r="AV87" i="3" s="1"/>
  <c r="BQ85" i="15"/>
  <c r="AU87" i="3" s="1"/>
  <c r="CD85" i="15"/>
  <c r="BH87" i="3" s="1"/>
  <c r="CC101" i="15"/>
  <c r="BG103" i="3" s="1"/>
  <c r="CB101" i="15"/>
  <c r="BF103" i="3" s="1"/>
  <c r="CE101" i="15"/>
  <c r="BI103" i="3" s="1"/>
  <c r="BR101" i="15"/>
  <c r="AV103" i="3" s="1"/>
  <c r="BQ101" i="15"/>
  <c r="AU103" i="3" s="1"/>
  <c r="CD101" i="15"/>
  <c r="BH103" i="3" s="1"/>
  <c r="BP14" i="15"/>
  <c r="AT16" i="3" s="1"/>
  <c r="CC14" i="15"/>
  <c r="BG16" i="3" s="1"/>
  <c r="CB14" i="15"/>
  <c r="BF16" i="3" s="1"/>
  <c r="BR14" i="15"/>
  <c r="AV16" i="3" s="1"/>
  <c r="CE14" i="15"/>
  <c r="BI16" i="3" s="1"/>
  <c r="BQ14" i="15"/>
  <c r="AU16" i="3" s="1"/>
  <c r="CD14" i="15"/>
  <c r="BH16" i="3" s="1"/>
  <c r="BP84" i="15"/>
  <c r="AT86" i="3" s="1"/>
  <c r="CC84" i="15"/>
  <c r="BG86" i="3" s="1"/>
  <c r="CB84" i="15"/>
  <c r="BF86" i="3" s="1"/>
  <c r="BR84" i="15"/>
  <c r="AV86" i="3" s="1"/>
  <c r="BQ84" i="15"/>
  <c r="AU86" i="3" s="1"/>
  <c r="CE84" i="15"/>
  <c r="BI86" i="3" s="1"/>
  <c r="CD84" i="15"/>
  <c r="BH86" i="3" s="1"/>
  <c r="BP178" i="15"/>
  <c r="AT180" i="3" s="1"/>
  <c r="CC178" i="15"/>
  <c r="BG180" i="3" s="1"/>
  <c r="CB178" i="15"/>
  <c r="BF180" i="3" s="1"/>
  <c r="CE178" i="15"/>
  <c r="BI180" i="3" s="1"/>
  <c r="BR178" i="15"/>
  <c r="AV180" i="3" s="1"/>
  <c r="BQ178" i="15"/>
  <c r="AU180" i="3" s="1"/>
  <c r="CD178" i="15"/>
  <c r="BH180" i="3" s="1"/>
  <c r="CB144" i="15"/>
  <c r="BF146" i="3" s="1"/>
  <c r="BP144" i="15"/>
  <c r="AT146" i="3" s="1"/>
  <c r="CC144" i="15"/>
  <c r="BG146" i="3" s="1"/>
  <c r="CE144" i="15"/>
  <c r="BI146" i="3" s="1"/>
  <c r="BQ144" i="15"/>
  <c r="AU146" i="3" s="1"/>
  <c r="BR144" i="15"/>
  <c r="AV146" i="3" s="1"/>
  <c r="CD144" i="15"/>
  <c r="BH146" i="3" s="1"/>
  <c r="BP75" i="15"/>
  <c r="AT77" i="3" s="1"/>
  <c r="CC75" i="15"/>
  <c r="BG77" i="3" s="1"/>
  <c r="CB75" i="15"/>
  <c r="BF77" i="3" s="1"/>
  <c r="CE75" i="15"/>
  <c r="BI77" i="3" s="1"/>
  <c r="BR75" i="15"/>
  <c r="AV77" i="3" s="1"/>
  <c r="BQ75" i="15"/>
  <c r="AU77" i="3" s="1"/>
  <c r="CD75" i="15"/>
  <c r="BH77" i="3" s="1"/>
  <c r="BP95" i="15"/>
  <c r="AT97" i="3" s="1"/>
  <c r="CB95" i="15"/>
  <c r="BF97" i="3" s="1"/>
  <c r="CC95" i="15"/>
  <c r="BG97" i="3" s="1"/>
  <c r="CE95" i="15"/>
  <c r="BI97" i="3" s="1"/>
  <c r="BR95" i="15"/>
  <c r="AV97" i="3" s="1"/>
  <c r="BQ95" i="15"/>
  <c r="AU97" i="3" s="1"/>
  <c r="CD95" i="15"/>
  <c r="BH97" i="3" s="1"/>
  <c r="BP82" i="15"/>
  <c r="AT84" i="3" s="1"/>
  <c r="CC82" i="15"/>
  <c r="BG84" i="3" s="1"/>
  <c r="CB82" i="15"/>
  <c r="BF84" i="3" s="1"/>
  <c r="CE82" i="15"/>
  <c r="BI84" i="3" s="1"/>
  <c r="BR82" i="15"/>
  <c r="AV84" i="3" s="1"/>
  <c r="BQ82" i="15"/>
  <c r="AU84" i="3" s="1"/>
  <c r="CD82" i="15"/>
  <c r="BH84" i="3" s="1"/>
  <c r="CC184" i="15"/>
  <c r="BG186" i="3" s="1"/>
  <c r="BP184" i="15"/>
  <c r="AT186" i="3" s="1"/>
  <c r="CB184" i="15"/>
  <c r="BF186" i="3" s="1"/>
  <c r="BQ184" i="15"/>
  <c r="AU186" i="3" s="1"/>
  <c r="CE184" i="15"/>
  <c r="BI186" i="3" s="1"/>
  <c r="BR184" i="15"/>
  <c r="AV186" i="3" s="1"/>
  <c r="CD184" i="15"/>
  <c r="BH186" i="3" s="1"/>
  <c r="CC193" i="15"/>
  <c r="BG195" i="3" s="1"/>
  <c r="CB193" i="15"/>
  <c r="BF195" i="3" s="1"/>
  <c r="BP193" i="15"/>
  <c r="AT195" i="3" s="1"/>
  <c r="CE193" i="15"/>
  <c r="BI195" i="3" s="1"/>
  <c r="BR193" i="15"/>
  <c r="AV195" i="3" s="1"/>
  <c r="BQ193" i="15"/>
  <c r="AU195" i="3" s="1"/>
  <c r="CD193" i="15"/>
  <c r="BH195" i="3" s="1"/>
  <c r="CC47" i="15"/>
  <c r="BG49" i="3" s="1"/>
  <c r="CB47" i="15"/>
  <c r="BF49" i="3" s="1"/>
  <c r="BP47" i="15"/>
  <c r="AT49" i="3" s="1"/>
  <c r="CE47" i="15"/>
  <c r="BI49" i="3" s="1"/>
  <c r="BR47" i="15"/>
  <c r="AV49" i="3" s="1"/>
  <c r="BQ47" i="15"/>
  <c r="AU49" i="3" s="1"/>
  <c r="CD47" i="15"/>
  <c r="BH49" i="3" s="1"/>
  <c r="BP163" i="15"/>
  <c r="AT165" i="3" s="1"/>
  <c r="CC163" i="15"/>
  <c r="BG165" i="3" s="1"/>
  <c r="CB163" i="15"/>
  <c r="BF165" i="3" s="1"/>
  <c r="CE163" i="15"/>
  <c r="BI165" i="3" s="1"/>
  <c r="BR163" i="15"/>
  <c r="AV165" i="3" s="1"/>
  <c r="BQ163" i="15"/>
  <c r="AU165" i="3" s="1"/>
  <c r="CD163" i="15"/>
  <c r="BH165" i="3" s="1"/>
  <c r="BP127" i="15"/>
  <c r="AT129" i="3" s="1"/>
  <c r="CB127" i="15"/>
  <c r="BF129" i="3" s="1"/>
  <c r="CC127" i="15"/>
  <c r="BG129" i="3" s="1"/>
  <c r="CE127" i="15"/>
  <c r="BI129" i="3" s="1"/>
  <c r="BR127" i="15"/>
  <c r="AV129" i="3" s="1"/>
  <c r="CD127" i="15"/>
  <c r="BH129" i="3" s="1"/>
  <c r="BQ127" i="15"/>
  <c r="AU129" i="3" s="1"/>
  <c r="BP171" i="15"/>
  <c r="AT173" i="3" s="1"/>
  <c r="CB171" i="15"/>
  <c r="BF173" i="3" s="1"/>
  <c r="CC171" i="15"/>
  <c r="BG173" i="3" s="1"/>
  <c r="BQ171" i="15"/>
  <c r="AU173" i="3" s="1"/>
  <c r="BR171" i="15"/>
  <c r="AV173" i="3" s="1"/>
  <c r="CE171" i="15"/>
  <c r="BI173" i="3" s="1"/>
  <c r="CD171" i="15"/>
  <c r="BH173" i="3" s="1"/>
  <c r="BP96" i="15"/>
  <c r="AT98" i="3" s="1"/>
  <c r="CC96" i="15"/>
  <c r="BG98" i="3" s="1"/>
  <c r="CB96" i="15"/>
  <c r="BF98" i="3" s="1"/>
  <c r="BQ96" i="15"/>
  <c r="AU98" i="3" s="1"/>
  <c r="CE96" i="15"/>
  <c r="BI98" i="3" s="1"/>
  <c r="BR96" i="15"/>
  <c r="AV98" i="3" s="1"/>
  <c r="CD96" i="15"/>
  <c r="BH98" i="3" s="1"/>
  <c r="BP67" i="15"/>
  <c r="AT69" i="3" s="1"/>
  <c r="CC67" i="15"/>
  <c r="BG69" i="3" s="1"/>
  <c r="CB67" i="15"/>
  <c r="BF69" i="3" s="1"/>
  <c r="CE67" i="15"/>
  <c r="BI69" i="3" s="1"/>
  <c r="BR67" i="15"/>
  <c r="AV69" i="3" s="1"/>
  <c r="BQ67" i="15"/>
  <c r="AU69" i="3" s="1"/>
  <c r="CD67" i="15"/>
  <c r="BH69" i="3" s="1"/>
  <c r="BP66" i="15"/>
  <c r="AT68" i="3" s="1"/>
  <c r="CC66" i="15"/>
  <c r="BG68" i="3" s="1"/>
  <c r="CB66" i="15"/>
  <c r="BF68" i="3" s="1"/>
  <c r="BR66" i="15"/>
  <c r="AV68" i="3" s="1"/>
  <c r="CE66" i="15"/>
  <c r="BI68" i="3" s="1"/>
  <c r="BQ66" i="15"/>
  <c r="AU68" i="3" s="1"/>
  <c r="CD66" i="15"/>
  <c r="BH68" i="3" s="1"/>
  <c r="BP151" i="15"/>
  <c r="AT153" i="3" s="1"/>
  <c r="CC151" i="15"/>
  <c r="BG153" i="3" s="1"/>
  <c r="CB151" i="15"/>
  <c r="BF153" i="3" s="1"/>
  <c r="CE151" i="15"/>
  <c r="BI153" i="3" s="1"/>
  <c r="BR151" i="15"/>
  <c r="AV153" i="3" s="1"/>
  <c r="BQ151" i="15"/>
  <c r="AU153" i="3" s="1"/>
  <c r="CD151" i="15"/>
  <c r="BH153" i="3" s="1"/>
  <c r="BP159" i="15"/>
  <c r="AT161" i="3" s="1"/>
  <c r="CC159" i="15"/>
  <c r="BG161" i="3" s="1"/>
  <c r="CB159" i="15"/>
  <c r="BF161" i="3" s="1"/>
  <c r="CE159" i="15"/>
  <c r="BI161" i="3" s="1"/>
  <c r="BQ159" i="15"/>
  <c r="AU161" i="3" s="1"/>
  <c r="BR159" i="15"/>
  <c r="AV161" i="3" s="1"/>
  <c r="CD159" i="15"/>
  <c r="BH161" i="3" s="1"/>
  <c r="BP154" i="15"/>
  <c r="AT156" i="3" s="1"/>
  <c r="CB154" i="15"/>
  <c r="BF156" i="3" s="1"/>
  <c r="CC154" i="15"/>
  <c r="BG156" i="3" s="1"/>
  <c r="CE154" i="15"/>
  <c r="BI156" i="3" s="1"/>
  <c r="BR154" i="15"/>
  <c r="AV156" i="3" s="1"/>
  <c r="BQ154" i="15"/>
  <c r="AU156" i="3" s="1"/>
  <c r="CD154" i="15"/>
  <c r="BH156" i="3" s="1"/>
  <c r="CC63" i="15"/>
  <c r="BG65" i="3" s="1"/>
  <c r="CB63" i="15"/>
  <c r="BF65" i="3" s="1"/>
  <c r="BP63" i="15"/>
  <c r="AT65" i="3" s="1"/>
  <c r="CE63" i="15"/>
  <c r="BI65" i="3" s="1"/>
  <c r="BR63" i="15"/>
  <c r="AV65" i="3" s="1"/>
  <c r="BQ63" i="15"/>
  <c r="AU65" i="3" s="1"/>
  <c r="CD63" i="15"/>
  <c r="BH65" i="3" s="1"/>
  <c r="CC15" i="15"/>
  <c r="BG17" i="3" s="1"/>
  <c r="CB15" i="15"/>
  <c r="BF17" i="3" s="1"/>
  <c r="BP15" i="15"/>
  <c r="AT17" i="3" s="1"/>
  <c r="BQ15" i="15"/>
  <c r="AU17" i="3" s="1"/>
  <c r="CD15" i="15"/>
  <c r="BH17" i="3" s="1"/>
  <c r="BR15" i="15"/>
  <c r="AV17" i="3" s="1"/>
  <c r="CE15" i="15"/>
  <c r="BI17" i="3" s="1"/>
  <c r="CC17" i="15"/>
  <c r="BG19" i="3" s="1"/>
  <c r="BP17" i="15"/>
  <c r="AT19" i="3" s="1"/>
  <c r="CB17" i="15"/>
  <c r="BF19" i="3" s="1"/>
  <c r="BR17" i="15"/>
  <c r="AV19" i="3" s="1"/>
  <c r="BQ17" i="15"/>
  <c r="AU19" i="3" s="1"/>
  <c r="CD17" i="15"/>
  <c r="BH19" i="3" s="1"/>
  <c r="CE17" i="15"/>
  <c r="BI19" i="3" s="1"/>
  <c r="BP49" i="15"/>
  <c r="AT51" i="3" s="1"/>
  <c r="CB49" i="15"/>
  <c r="BF51" i="3" s="1"/>
  <c r="CC49" i="15"/>
  <c r="BG51" i="3" s="1"/>
  <c r="CE49" i="15"/>
  <c r="BI51" i="3" s="1"/>
  <c r="BR49" i="15"/>
  <c r="AV51" i="3" s="1"/>
  <c r="BQ49" i="15"/>
  <c r="AU51" i="3" s="1"/>
  <c r="CD49" i="15"/>
  <c r="BH51" i="3" s="1"/>
  <c r="BP78" i="15"/>
  <c r="AT80" i="3" s="1"/>
  <c r="CB78" i="15"/>
  <c r="BF80" i="3" s="1"/>
  <c r="CC78" i="15"/>
  <c r="BG80" i="3" s="1"/>
  <c r="BR78" i="15"/>
  <c r="AV80" i="3" s="1"/>
  <c r="BQ78" i="15"/>
  <c r="AU80" i="3" s="1"/>
  <c r="CE78" i="15"/>
  <c r="BI80" i="3" s="1"/>
  <c r="CD78" i="15"/>
  <c r="BH80" i="3" s="1"/>
  <c r="BP190" i="15"/>
  <c r="AT192" i="3" s="1"/>
  <c r="CC190" i="15"/>
  <c r="BG192" i="3" s="1"/>
  <c r="CB190" i="15"/>
  <c r="BF192" i="3" s="1"/>
  <c r="BR190" i="15"/>
  <c r="AV192" i="3" s="1"/>
  <c r="BQ190" i="15"/>
  <c r="AU192" i="3" s="1"/>
  <c r="CE190" i="15"/>
  <c r="BI192" i="3" s="1"/>
  <c r="CD190" i="15"/>
  <c r="BH192" i="3" s="1"/>
  <c r="CB43" i="15"/>
  <c r="BF45" i="3" s="1"/>
  <c r="BP43" i="15"/>
  <c r="AT45" i="3" s="1"/>
  <c r="CC43" i="15"/>
  <c r="BG45" i="3" s="1"/>
  <c r="BR43" i="15"/>
  <c r="AV45" i="3" s="1"/>
  <c r="BQ43" i="15"/>
  <c r="AU45" i="3" s="1"/>
  <c r="CD43" i="15"/>
  <c r="BH45" i="3" s="1"/>
  <c r="CE43" i="15"/>
  <c r="BI45" i="3" s="1"/>
  <c r="CC105" i="15"/>
  <c r="BG107" i="3" s="1"/>
  <c r="CB105" i="15"/>
  <c r="BF107" i="3" s="1"/>
  <c r="BP105" i="15"/>
  <c r="AT107" i="3" s="1"/>
  <c r="CE105" i="15"/>
  <c r="BI107" i="3" s="1"/>
  <c r="BR105" i="15"/>
  <c r="AV107" i="3" s="1"/>
  <c r="BQ105" i="15"/>
  <c r="AU107" i="3" s="1"/>
  <c r="CD105" i="15"/>
  <c r="BH107" i="3" s="1"/>
  <c r="BP72" i="15"/>
  <c r="AT74" i="3" s="1"/>
  <c r="CC72" i="15"/>
  <c r="BG74" i="3" s="1"/>
  <c r="CB72" i="15"/>
  <c r="BF74" i="3" s="1"/>
  <c r="BQ72" i="15"/>
  <c r="AU74" i="3" s="1"/>
  <c r="CE72" i="15"/>
  <c r="BI74" i="3" s="1"/>
  <c r="BR72" i="15"/>
  <c r="AV74" i="3" s="1"/>
  <c r="CD72" i="15"/>
  <c r="BH74" i="3" s="1"/>
  <c r="BP39" i="15"/>
  <c r="AT41" i="3" s="1"/>
  <c r="CC39" i="15"/>
  <c r="BG41" i="3" s="1"/>
  <c r="CB39" i="15"/>
  <c r="BF41" i="3" s="1"/>
  <c r="BR39" i="15"/>
  <c r="AV41" i="3" s="1"/>
  <c r="CE39" i="15"/>
  <c r="BI41" i="3" s="1"/>
  <c r="BQ39" i="15"/>
  <c r="AU41" i="3" s="1"/>
  <c r="CD39" i="15"/>
  <c r="BH41" i="3" s="1"/>
  <c r="CC40" i="15"/>
  <c r="BG42" i="3" s="1"/>
  <c r="BP40" i="15"/>
  <c r="AT42" i="3" s="1"/>
  <c r="CB40" i="15"/>
  <c r="BF42" i="3" s="1"/>
  <c r="BQ40" i="15"/>
  <c r="AU42" i="3" s="1"/>
  <c r="CE40" i="15"/>
  <c r="BI42" i="3" s="1"/>
  <c r="BR40" i="15"/>
  <c r="AV42" i="3" s="1"/>
  <c r="CD40" i="15"/>
  <c r="BH42" i="3" s="1"/>
  <c r="BP194" i="15"/>
  <c r="AT196" i="3" s="1"/>
  <c r="CB194" i="15"/>
  <c r="BF196" i="3" s="1"/>
  <c r="CC194" i="15"/>
  <c r="BG196" i="3" s="1"/>
  <c r="CE194" i="15"/>
  <c r="BI196" i="3" s="1"/>
  <c r="BR194" i="15"/>
  <c r="AV196" i="3" s="1"/>
  <c r="BQ194" i="15"/>
  <c r="AU196" i="3" s="1"/>
  <c r="CD194" i="15"/>
  <c r="BH196" i="3" s="1"/>
  <c r="BP175" i="15"/>
  <c r="AT177" i="3" s="1"/>
  <c r="CC175" i="15"/>
  <c r="BG177" i="3" s="1"/>
  <c r="CB175" i="15"/>
  <c r="BF177" i="3" s="1"/>
  <c r="CE175" i="15"/>
  <c r="BI177" i="3" s="1"/>
  <c r="BQ175" i="15"/>
  <c r="AU177" i="3" s="1"/>
  <c r="BR175" i="15"/>
  <c r="AV177" i="3" s="1"/>
  <c r="CD175" i="15"/>
  <c r="BH177" i="3" s="1"/>
  <c r="BP155" i="15"/>
  <c r="AT157" i="3" s="1"/>
  <c r="CC155" i="15"/>
  <c r="BG157" i="3" s="1"/>
  <c r="CB155" i="15"/>
  <c r="BF157" i="3" s="1"/>
  <c r="CE155" i="15"/>
  <c r="BI157" i="3" s="1"/>
  <c r="BR155" i="15"/>
  <c r="AV157" i="3" s="1"/>
  <c r="BQ155" i="15"/>
  <c r="AU157" i="3" s="1"/>
  <c r="CD155" i="15"/>
  <c r="BH157" i="3" s="1"/>
  <c r="BP120" i="15"/>
  <c r="AT122" i="3" s="1"/>
  <c r="CB120" i="15"/>
  <c r="BF122" i="3" s="1"/>
  <c r="CC120" i="15"/>
  <c r="BG122" i="3" s="1"/>
  <c r="BQ120" i="15"/>
  <c r="AU122" i="3" s="1"/>
  <c r="CE120" i="15"/>
  <c r="BI122" i="3" s="1"/>
  <c r="BR120" i="15"/>
  <c r="AV122" i="3" s="1"/>
  <c r="CD120" i="15"/>
  <c r="BH122" i="3" s="1"/>
  <c r="BP174" i="15"/>
  <c r="AT176" i="3" s="1"/>
  <c r="CC174" i="15"/>
  <c r="BG176" i="3" s="1"/>
  <c r="CB174" i="15"/>
  <c r="BF176" i="3" s="1"/>
  <c r="BR174" i="15"/>
  <c r="AV176" i="3" s="1"/>
  <c r="BQ174" i="15"/>
  <c r="AU176" i="3" s="1"/>
  <c r="CE174" i="15"/>
  <c r="BI176" i="3" s="1"/>
  <c r="CD174" i="15"/>
  <c r="BH176" i="3" s="1"/>
  <c r="BP179" i="15"/>
  <c r="AT181" i="3" s="1"/>
  <c r="CC179" i="15"/>
  <c r="BG181" i="3" s="1"/>
  <c r="CB179" i="15"/>
  <c r="BF181" i="3" s="1"/>
  <c r="CE179" i="15"/>
  <c r="BI181" i="3" s="1"/>
  <c r="BQ179" i="15"/>
  <c r="AU181" i="3" s="1"/>
  <c r="BR179" i="15"/>
  <c r="AV181" i="3" s="1"/>
  <c r="CD179" i="15"/>
  <c r="BH181" i="3" s="1"/>
  <c r="CB189" i="15"/>
  <c r="BF191" i="3" s="1"/>
  <c r="BP189" i="15"/>
  <c r="AT191" i="3" s="1"/>
  <c r="CC189" i="15"/>
  <c r="BG191" i="3" s="1"/>
  <c r="CE189" i="15"/>
  <c r="BI191" i="3" s="1"/>
  <c r="BR189" i="15"/>
  <c r="AV191" i="3" s="1"/>
  <c r="BQ189" i="15"/>
  <c r="AU191" i="3" s="1"/>
  <c r="CD189" i="15"/>
  <c r="BH191" i="3" s="1"/>
  <c r="CC31" i="15"/>
  <c r="BG33" i="3" s="1"/>
  <c r="BP31" i="15"/>
  <c r="AT33" i="3" s="1"/>
  <c r="CB31" i="15"/>
  <c r="BF33" i="3" s="1"/>
  <c r="CE31" i="15"/>
  <c r="BI33" i="3" s="1"/>
  <c r="BQ31" i="15"/>
  <c r="AU33" i="3" s="1"/>
  <c r="CD31" i="15"/>
  <c r="BH33" i="3" s="1"/>
  <c r="BR31" i="15"/>
  <c r="AV33" i="3" s="1"/>
  <c r="BP182" i="15"/>
  <c r="AT184" i="3" s="1"/>
  <c r="CC182" i="15"/>
  <c r="BG184" i="3" s="1"/>
  <c r="CB182" i="15"/>
  <c r="BF184" i="3" s="1"/>
  <c r="BR182" i="15"/>
  <c r="AV184" i="3" s="1"/>
  <c r="CE182" i="15"/>
  <c r="BI184" i="3" s="1"/>
  <c r="BQ182" i="15"/>
  <c r="AU184" i="3" s="1"/>
  <c r="CD182" i="15"/>
  <c r="BH184" i="3" s="1"/>
  <c r="BP181" i="15"/>
  <c r="AT183" i="3" s="1"/>
  <c r="CC181" i="15"/>
  <c r="BG183" i="3" s="1"/>
  <c r="CB181" i="15"/>
  <c r="BF183" i="3" s="1"/>
  <c r="CE181" i="15"/>
  <c r="BI183" i="3" s="1"/>
  <c r="BQ181" i="15"/>
  <c r="AU183" i="3" s="1"/>
  <c r="BR181" i="15"/>
  <c r="AV183" i="3" s="1"/>
  <c r="CD181" i="15"/>
  <c r="BH183" i="3" s="1"/>
  <c r="BP28" i="15"/>
  <c r="AT30" i="3" s="1"/>
  <c r="CC28" i="15"/>
  <c r="BG30" i="3" s="1"/>
  <c r="CB28" i="15"/>
  <c r="BF30" i="3" s="1"/>
  <c r="CE28" i="15"/>
  <c r="BI30" i="3" s="1"/>
  <c r="BR28" i="15"/>
  <c r="AV30" i="3" s="1"/>
  <c r="BQ28" i="15"/>
  <c r="AU30" i="3" s="1"/>
  <c r="CD28" i="15"/>
  <c r="BH30" i="3" s="1"/>
  <c r="CB108" i="15"/>
  <c r="BF110" i="3" s="1"/>
  <c r="BP108" i="15"/>
  <c r="AT110" i="3" s="1"/>
  <c r="CC108" i="15"/>
  <c r="BG110" i="3" s="1"/>
  <c r="BR108" i="15"/>
  <c r="AV110" i="3" s="1"/>
  <c r="CE108" i="15"/>
  <c r="BI110" i="3" s="1"/>
  <c r="BQ108" i="15"/>
  <c r="AU110" i="3" s="1"/>
  <c r="CD108" i="15"/>
  <c r="BH110" i="3" s="1"/>
  <c r="BP169" i="15"/>
  <c r="AT171" i="3" s="1"/>
  <c r="CC169" i="15"/>
  <c r="BG171" i="3" s="1"/>
  <c r="CB169" i="15"/>
  <c r="BF171" i="3" s="1"/>
  <c r="BQ169" i="15"/>
  <c r="AU171" i="3" s="1"/>
  <c r="CE169" i="15"/>
  <c r="BI171" i="3" s="1"/>
  <c r="BR169" i="15"/>
  <c r="AV171" i="3" s="1"/>
  <c r="CD169" i="15"/>
  <c r="BH171" i="3" s="1"/>
  <c r="BP133" i="15"/>
  <c r="AT135" i="3" s="1"/>
  <c r="CC133" i="15"/>
  <c r="BG135" i="3" s="1"/>
  <c r="CB133" i="15"/>
  <c r="BF135" i="3" s="1"/>
  <c r="BQ133" i="15"/>
  <c r="AU135" i="3" s="1"/>
  <c r="BR133" i="15"/>
  <c r="AV135" i="3" s="1"/>
  <c r="CE133" i="15"/>
  <c r="BI135" i="3" s="1"/>
  <c r="CD133" i="15"/>
  <c r="BH135" i="3" s="1"/>
  <c r="BP58" i="15"/>
  <c r="AT60" i="3" s="1"/>
  <c r="CC58" i="15"/>
  <c r="BG60" i="3" s="1"/>
  <c r="CB58" i="15"/>
  <c r="BF60" i="3" s="1"/>
  <c r="BR58" i="15"/>
  <c r="AV60" i="3" s="1"/>
  <c r="CE58" i="15"/>
  <c r="BI60" i="3" s="1"/>
  <c r="BQ58" i="15"/>
  <c r="AU60" i="3" s="1"/>
  <c r="CD58" i="15"/>
  <c r="BH60" i="3" s="1"/>
  <c r="BP87" i="15"/>
  <c r="AT89" i="3" s="1"/>
  <c r="CC87" i="15"/>
  <c r="BG89" i="3" s="1"/>
  <c r="CB87" i="15"/>
  <c r="BF89" i="3" s="1"/>
  <c r="CE87" i="15"/>
  <c r="BI89" i="3" s="1"/>
  <c r="BR87" i="15"/>
  <c r="AV89" i="3" s="1"/>
  <c r="BQ87" i="15"/>
  <c r="AU89" i="3" s="1"/>
  <c r="CD87" i="15"/>
  <c r="BH89" i="3" s="1"/>
  <c r="BP195" i="15"/>
  <c r="AT197" i="3" s="1"/>
  <c r="CB195" i="15"/>
  <c r="BF197" i="3" s="1"/>
  <c r="CC195" i="15"/>
  <c r="BG197" i="3" s="1"/>
  <c r="CE195" i="15"/>
  <c r="BI197" i="3" s="1"/>
  <c r="BR195" i="15"/>
  <c r="AV197" i="3" s="1"/>
  <c r="BQ195" i="15"/>
  <c r="AU197" i="3" s="1"/>
  <c r="CD195" i="15"/>
  <c r="BH197" i="3" s="1"/>
  <c r="BP197" i="15"/>
  <c r="AT199" i="3" s="1"/>
  <c r="CC197" i="15"/>
  <c r="BG199" i="3" s="1"/>
  <c r="CB197" i="15"/>
  <c r="BF199" i="3" s="1"/>
  <c r="CE197" i="15"/>
  <c r="BI199" i="3" s="1"/>
  <c r="BR197" i="15"/>
  <c r="AV199" i="3" s="1"/>
  <c r="BQ197" i="15"/>
  <c r="AU199" i="3" s="1"/>
  <c r="CD197" i="15"/>
  <c r="BH199" i="3" s="1"/>
  <c r="CB61" i="15"/>
  <c r="BF63" i="3" s="1"/>
  <c r="BP61" i="15"/>
  <c r="AT63" i="3" s="1"/>
  <c r="CC61" i="15"/>
  <c r="BG63" i="3" s="1"/>
  <c r="CE61" i="15"/>
  <c r="BI63" i="3" s="1"/>
  <c r="BQ61" i="15"/>
  <c r="AU63" i="3" s="1"/>
  <c r="CD61" i="15"/>
  <c r="BH63" i="3" s="1"/>
  <c r="BR61" i="15"/>
  <c r="AV63" i="3" s="1"/>
  <c r="AU14" i="15"/>
  <c r="AB16" i="3" s="1"/>
  <c r="AK183" i="15"/>
  <c r="R185" i="3" s="1"/>
  <c r="AX183" i="15"/>
  <c r="AE185" i="3" s="1"/>
  <c r="AI189" i="15"/>
  <c r="P191" i="3" s="1"/>
  <c r="AV189" i="15"/>
  <c r="AC191" i="3" s="1"/>
  <c r="AU71" i="15"/>
  <c r="AB73" i="3" s="1"/>
  <c r="AI175" i="15"/>
  <c r="P177" i="3" s="1"/>
  <c r="AV175" i="15"/>
  <c r="AC177" i="3" s="1"/>
  <c r="AJ136" i="15"/>
  <c r="Q138" i="3" s="1"/>
  <c r="AW136" i="15"/>
  <c r="AD138" i="3" s="1"/>
  <c r="AK182" i="15"/>
  <c r="R184" i="3" s="1"/>
  <c r="AX182" i="15"/>
  <c r="AE184" i="3" s="1"/>
  <c r="AJ51" i="15"/>
  <c r="Q53" i="3" s="1"/>
  <c r="AW51" i="15"/>
  <c r="AD53" i="3" s="1"/>
  <c r="AK28" i="15"/>
  <c r="R30" i="3" s="1"/>
  <c r="AX28" i="15"/>
  <c r="AE30" i="3" s="1"/>
  <c r="AU103" i="15"/>
  <c r="AB105" i="3" s="1"/>
  <c r="AU147" i="15"/>
  <c r="AB149" i="3" s="1"/>
  <c r="AK95" i="15"/>
  <c r="R97" i="3" s="1"/>
  <c r="AI7" i="15"/>
  <c r="P9" i="3" s="1"/>
  <c r="AV7" i="15"/>
  <c r="AC9" i="3" s="1"/>
  <c r="AK8" i="15"/>
  <c r="R10" i="3" s="1"/>
  <c r="AX8" i="15"/>
  <c r="AE10" i="3" s="1"/>
  <c r="AI14" i="15"/>
  <c r="P16" i="3" s="1"/>
  <c r="AV14" i="15"/>
  <c r="AC16" i="3" s="1"/>
  <c r="AK151" i="15"/>
  <c r="R153" i="3" s="1"/>
  <c r="AX151" i="15"/>
  <c r="AE153" i="3" s="1"/>
  <c r="AU183" i="15"/>
  <c r="AB185" i="3" s="1"/>
  <c r="AJ111" i="15"/>
  <c r="Q113" i="3" s="1"/>
  <c r="AW111" i="15"/>
  <c r="AD113" i="3" s="1"/>
  <c r="AJ189" i="15"/>
  <c r="Q191" i="3" s="1"/>
  <c r="AW189" i="15"/>
  <c r="AD191" i="3" s="1"/>
  <c r="AI71" i="15"/>
  <c r="P73" i="3" s="1"/>
  <c r="AV71" i="15"/>
  <c r="AC73" i="3" s="1"/>
  <c r="AK89" i="15"/>
  <c r="R91" i="3" s="1"/>
  <c r="AX89" i="15"/>
  <c r="AE91" i="3" s="1"/>
  <c r="AJ175" i="15"/>
  <c r="Q177" i="3" s="1"/>
  <c r="AW175" i="15"/>
  <c r="AD177" i="3" s="1"/>
  <c r="AU86" i="15"/>
  <c r="AB88" i="3" s="1"/>
  <c r="AK136" i="15"/>
  <c r="R138" i="3" s="1"/>
  <c r="AX136" i="15"/>
  <c r="AE138" i="3" s="1"/>
  <c r="AI185" i="15"/>
  <c r="P187" i="3" s="1"/>
  <c r="AV185" i="15"/>
  <c r="AC187" i="3" s="1"/>
  <c r="AU182" i="15"/>
  <c r="AB184" i="3" s="1"/>
  <c r="AK51" i="15"/>
  <c r="R53" i="3" s="1"/>
  <c r="AX51" i="15"/>
  <c r="AE53" i="3" s="1"/>
  <c r="AI102" i="15"/>
  <c r="P104" i="3" s="1"/>
  <c r="AV102" i="15"/>
  <c r="AC104" i="3" s="1"/>
  <c r="AU28" i="15"/>
  <c r="AB30" i="3" s="1"/>
  <c r="AJ88" i="15"/>
  <c r="Q90" i="3" s="1"/>
  <c r="AW88" i="15"/>
  <c r="AD90" i="3" s="1"/>
  <c r="AI103" i="15"/>
  <c r="P105" i="3" s="1"/>
  <c r="AV103" i="15"/>
  <c r="AC105" i="3" s="1"/>
  <c r="AK193" i="15"/>
  <c r="R195" i="3" s="1"/>
  <c r="AX193" i="15"/>
  <c r="AE195" i="3" s="1"/>
  <c r="AI147" i="15"/>
  <c r="P149" i="3" s="1"/>
  <c r="AV147" i="15"/>
  <c r="AC149" i="3" s="1"/>
  <c r="AK145" i="15"/>
  <c r="R147" i="3" s="1"/>
  <c r="AX145" i="15"/>
  <c r="AE147" i="3" s="1"/>
  <c r="AJ7" i="15"/>
  <c r="Q9" i="3" s="1"/>
  <c r="AW7" i="15"/>
  <c r="AD9" i="3" s="1"/>
  <c r="AU8" i="15"/>
  <c r="AB10" i="3" s="1"/>
  <c r="AJ14" i="15"/>
  <c r="Q16" i="3" s="1"/>
  <c r="AW14" i="15"/>
  <c r="AD16" i="3" s="1"/>
  <c r="AU151" i="15"/>
  <c r="AB153" i="3" s="1"/>
  <c r="AK165" i="15"/>
  <c r="R167" i="3" s="1"/>
  <c r="AX165" i="15"/>
  <c r="AE167" i="3" s="1"/>
  <c r="AI183" i="15"/>
  <c r="P185" i="3" s="1"/>
  <c r="AV183" i="15"/>
  <c r="AC185" i="3" s="1"/>
  <c r="AK111" i="15"/>
  <c r="R113" i="3" s="1"/>
  <c r="AX111" i="15"/>
  <c r="AE113" i="3" s="1"/>
  <c r="AJ75" i="15"/>
  <c r="Q77" i="3" s="1"/>
  <c r="AW75" i="15"/>
  <c r="AD77" i="3" s="1"/>
  <c r="AK189" i="15"/>
  <c r="R191" i="3" s="1"/>
  <c r="AX189" i="15"/>
  <c r="AE191" i="3" s="1"/>
  <c r="AJ168" i="15"/>
  <c r="Q170" i="3" s="1"/>
  <c r="AW168" i="15"/>
  <c r="AD170" i="3" s="1"/>
  <c r="AJ71" i="15"/>
  <c r="Q73" i="3" s="1"/>
  <c r="AW71" i="15"/>
  <c r="AD73" i="3" s="1"/>
  <c r="AU89" i="15"/>
  <c r="AB91" i="3" s="1"/>
  <c r="AJ84" i="15"/>
  <c r="Q86" i="3" s="1"/>
  <c r="AW84" i="15"/>
  <c r="AD86" i="3" s="1"/>
  <c r="AK175" i="15"/>
  <c r="R177" i="3" s="1"/>
  <c r="AX175" i="15"/>
  <c r="AE177" i="3" s="1"/>
  <c r="AI86" i="15"/>
  <c r="P88" i="3" s="1"/>
  <c r="AV86" i="15"/>
  <c r="AC88" i="3" s="1"/>
  <c r="AU119" i="15"/>
  <c r="AB121" i="3" s="1"/>
  <c r="AU136" i="15"/>
  <c r="AB138" i="3" s="1"/>
  <c r="AJ185" i="15"/>
  <c r="Q187" i="3" s="1"/>
  <c r="AW185" i="15"/>
  <c r="AD187" i="3" s="1"/>
  <c r="AU82" i="15"/>
  <c r="AB84" i="3" s="1"/>
  <c r="AI182" i="15"/>
  <c r="P184" i="3" s="1"/>
  <c r="AV182" i="15"/>
  <c r="AC184" i="3" s="1"/>
  <c r="AK41" i="15"/>
  <c r="R43" i="3" s="1"/>
  <c r="AX41" i="15"/>
  <c r="AE43" i="3" s="1"/>
  <c r="AU51" i="15"/>
  <c r="AB53" i="3" s="1"/>
  <c r="AJ102" i="15"/>
  <c r="Q104" i="3" s="1"/>
  <c r="AW102" i="15"/>
  <c r="AD104" i="3" s="1"/>
  <c r="AI184" i="15"/>
  <c r="P186" i="3" s="1"/>
  <c r="AV184" i="15"/>
  <c r="AC186" i="3" s="1"/>
  <c r="AI28" i="15"/>
  <c r="P30" i="3" s="1"/>
  <c r="AV28" i="15"/>
  <c r="AC30" i="3" s="1"/>
  <c r="AK88" i="15"/>
  <c r="R90" i="3" s="1"/>
  <c r="AX88" i="15"/>
  <c r="AE90" i="3" s="1"/>
  <c r="AI198" i="15"/>
  <c r="P200" i="3" s="1"/>
  <c r="AV198" i="15"/>
  <c r="AC200" i="3" s="1"/>
  <c r="AJ103" i="15"/>
  <c r="Q105" i="3" s="1"/>
  <c r="AW103" i="15"/>
  <c r="AD105" i="3" s="1"/>
  <c r="AU193" i="15"/>
  <c r="AB195" i="3" s="1"/>
  <c r="AK7" i="15"/>
  <c r="R9" i="3" s="1"/>
  <c r="AX7" i="15"/>
  <c r="AE9" i="3" s="1"/>
  <c r="AI8" i="15"/>
  <c r="P10" i="3" s="1"/>
  <c r="AV8" i="15"/>
  <c r="AC10" i="3" s="1"/>
  <c r="AK14" i="15"/>
  <c r="R16" i="3" s="1"/>
  <c r="AX14" i="15"/>
  <c r="AE16" i="3" s="1"/>
  <c r="AI151" i="15"/>
  <c r="P153" i="3" s="1"/>
  <c r="AV151" i="15"/>
  <c r="AC153" i="3" s="1"/>
  <c r="AU165" i="15"/>
  <c r="AB167" i="3" s="1"/>
  <c r="AK125" i="15"/>
  <c r="R127" i="3" s="1"/>
  <c r="AX125" i="15"/>
  <c r="AE127" i="3" s="1"/>
  <c r="AJ183" i="15"/>
  <c r="Q185" i="3" s="1"/>
  <c r="AW183" i="15"/>
  <c r="AD185" i="3" s="1"/>
  <c r="AU111" i="15"/>
  <c r="AB113" i="3" s="1"/>
  <c r="AK75" i="15"/>
  <c r="R77" i="3" s="1"/>
  <c r="AX75" i="15"/>
  <c r="AE77" i="3" s="1"/>
  <c r="AJ15" i="15"/>
  <c r="Q17" i="3" s="1"/>
  <c r="AW15" i="15"/>
  <c r="AD17" i="3" s="1"/>
  <c r="AU189" i="15"/>
  <c r="AB191" i="3" s="1"/>
  <c r="AK168" i="15"/>
  <c r="R170" i="3" s="1"/>
  <c r="AX168" i="15"/>
  <c r="AE170" i="3" s="1"/>
  <c r="AI69" i="15"/>
  <c r="P71" i="3" s="1"/>
  <c r="AV69" i="15"/>
  <c r="AC71" i="3" s="1"/>
  <c r="AK71" i="15"/>
  <c r="R73" i="3" s="1"/>
  <c r="AX71" i="15"/>
  <c r="AE73" i="3" s="1"/>
  <c r="AI89" i="15"/>
  <c r="P91" i="3" s="1"/>
  <c r="AV89" i="15"/>
  <c r="AC91" i="3" s="1"/>
  <c r="AK84" i="15"/>
  <c r="R86" i="3" s="1"/>
  <c r="AX84" i="15"/>
  <c r="AE86" i="3" s="1"/>
  <c r="AJ66" i="15"/>
  <c r="Q68" i="3" s="1"/>
  <c r="AW66" i="15"/>
  <c r="AD68" i="3" s="1"/>
  <c r="AU175" i="15"/>
  <c r="AB177" i="3" s="1"/>
  <c r="AJ86" i="15"/>
  <c r="Q88" i="3" s="1"/>
  <c r="AW86" i="15"/>
  <c r="AD88" i="3" s="1"/>
  <c r="AI119" i="15"/>
  <c r="P121" i="3" s="1"/>
  <c r="AV119" i="15"/>
  <c r="AC121" i="3" s="1"/>
  <c r="AK70" i="15"/>
  <c r="R72" i="3" s="1"/>
  <c r="AX70" i="15"/>
  <c r="AE72" i="3" s="1"/>
  <c r="AI136" i="15"/>
  <c r="P138" i="3" s="1"/>
  <c r="AV136" i="15"/>
  <c r="AC138" i="3" s="1"/>
  <c r="AK185" i="15"/>
  <c r="R187" i="3" s="1"/>
  <c r="AX185" i="15"/>
  <c r="AE187" i="3" s="1"/>
  <c r="AI82" i="15"/>
  <c r="P84" i="3" s="1"/>
  <c r="AV82" i="15"/>
  <c r="AC84" i="3" s="1"/>
  <c r="AU49" i="15"/>
  <c r="AB51" i="3" s="1"/>
  <c r="AJ182" i="15"/>
  <c r="Q184" i="3" s="1"/>
  <c r="AW182" i="15"/>
  <c r="AD184" i="3" s="1"/>
  <c r="AU41" i="15"/>
  <c r="AB43" i="3" s="1"/>
  <c r="AJ202" i="15"/>
  <c r="Q204" i="3" s="1"/>
  <c r="AW202" i="15"/>
  <c r="AD204" i="3" s="1"/>
  <c r="AV51" i="15"/>
  <c r="AC53" i="3" s="1"/>
  <c r="AK102" i="15"/>
  <c r="R104" i="3" s="1"/>
  <c r="AX102" i="15"/>
  <c r="AE104" i="3" s="1"/>
  <c r="AJ184" i="15"/>
  <c r="Q186" i="3" s="1"/>
  <c r="AW184" i="15"/>
  <c r="AD186" i="3" s="1"/>
  <c r="AU78" i="15"/>
  <c r="AB80" i="3" s="1"/>
  <c r="AJ28" i="15"/>
  <c r="Q30" i="3" s="1"/>
  <c r="AW28" i="15"/>
  <c r="AD30" i="3" s="1"/>
  <c r="AU88" i="15"/>
  <c r="AB90" i="3" s="1"/>
  <c r="AJ198" i="15"/>
  <c r="Q200" i="3" s="1"/>
  <c r="AW198" i="15"/>
  <c r="AD200" i="3" s="1"/>
  <c r="AU32" i="15"/>
  <c r="AB34" i="3" s="1"/>
  <c r="AK103" i="15"/>
  <c r="R105" i="3" s="1"/>
  <c r="AX103" i="15"/>
  <c r="AE105" i="3" s="1"/>
  <c r="AI193" i="15"/>
  <c r="P195" i="3" s="1"/>
  <c r="AV193" i="15"/>
  <c r="AC195" i="3" s="1"/>
  <c r="AK190" i="15"/>
  <c r="R192" i="3" s="1"/>
  <c r="AX190" i="15"/>
  <c r="AE192" i="3" s="1"/>
  <c r="AI108" i="15"/>
  <c r="P110" i="3" s="1"/>
  <c r="AV108" i="15"/>
  <c r="AC110" i="3" s="1"/>
  <c r="AK147" i="15"/>
  <c r="R149" i="3" s="1"/>
  <c r="AX147" i="15"/>
  <c r="AE149" i="3" s="1"/>
  <c r="AI145" i="15"/>
  <c r="P147" i="3" s="1"/>
  <c r="AV145" i="15"/>
  <c r="AC147" i="3" s="1"/>
  <c r="AU29" i="15"/>
  <c r="AB31" i="3" s="1"/>
  <c r="AJ156" i="15"/>
  <c r="Q158" i="3" s="1"/>
  <c r="AW147" i="15"/>
  <c r="AD149" i="3" s="1"/>
  <c r="AV156" i="15"/>
  <c r="AC158" i="3" s="1"/>
  <c r="AJ95" i="15"/>
  <c r="Q97" i="3" s="1"/>
  <c r="AX95" i="15"/>
  <c r="AE97" i="3" s="1"/>
  <c r="AI17" i="15"/>
  <c r="P19" i="3" s="1"/>
  <c r="AV17" i="15"/>
  <c r="AC19" i="3" s="1"/>
  <c r="AU31" i="15"/>
  <c r="AB33" i="3" s="1"/>
  <c r="AJ36" i="15"/>
  <c r="Q38" i="3" s="1"/>
  <c r="AW36" i="15"/>
  <c r="AD38" i="3" s="1"/>
  <c r="AU104" i="15"/>
  <c r="AB106" i="3" s="1"/>
  <c r="AJ180" i="15"/>
  <c r="Q182" i="3" s="1"/>
  <c r="AW180" i="15"/>
  <c r="AD182" i="3" s="1"/>
  <c r="AU13" i="15"/>
  <c r="AB15" i="3" s="1"/>
  <c r="AK105" i="15"/>
  <c r="R107" i="3" s="1"/>
  <c r="AX105" i="15"/>
  <c r="AE107" i="3" s="1"/>
  <c r="AJ181" i="15"/>
  <c r="Q183" i="3" s="1"/>
  <c r="AW181" i="15"/>
  <c r="AD183" i="3" s="1"/>
  <c r="AU107" i="15"/>
  <c r="AB109" i="3" s="1"/>
  <c r="AK34" i="15"/>
  <c r="R36" i="3" s="1"/>
  <c r="AX34" i="15"/>
  <c r="AE36" i="3" s="1"/>
  <c r="AI126" i="15"/>
  <c r="P128" i="3" s="1"/>
  <c r="AV126" i="15"/>
  <c r="AC128" i="3" s="1"/>
  <c r="AK73" i="15"/>
  <c r="R75" i="3" s="1"/>
  <c r="AX73" i="15"/>
  <c r="AE75" i="3" s="1"/>
  <c r="AI40" i="15"/>
  <c r="P42" i="3" s="1"/>
  <c r="AV40" i="15"/>
  <c r="AC42" i="3" s="1"/>
  <c r="AK12" i="15"/>
  <c r="R14" i="3" s="1"/>
  <c r="AX12" i="15"/>
  <c r="AE14" i="3" s="1"/>
  <c r="AI157" i="15"/>
  <c r="P159" i="3" s="1"/>
  <c r="AV157" i="15"/>
  <c r="AC159" i="3" s="1"/>
  <c r="AU115" i="15"/>
  <c r="AB117" i="3" s="1"/>
  <c r="AK35" i="15"/>
  <c r="R37" i="3" s="1"/>
  <c r="AX35" i="15"/>
  <c r="AE37" i="3" s="1"/>
  <c r="AI194" i="15"/>
  <c r="P196" i="3" s="1"/>
  <c r="AV194" i="15"/>
  <c r="AC196" i="3" s="1"/>
  <c r="AU58" i="15"/>
  <c r="AB60" i="3" s="1"/>
  <c r="AJ38" i="15"/>
  <c r="Q40" i="3" s="1"/>
  <c r="AW38" i="15"/>
  <c r="AD40" i="3" s="1"/>
  <c r="AI123" i="15"/>
  <c r="P125" i="3" s="1"/>
  <c r="AV123" i="15"/>
  <c r="AC125" i="3" s="1"/>
  <c r="AK80" i="15"/>
  <c r="R82" i="3" s="1"/>
  <c r="AX80" i="15"/>
  <c r="AE82" i="3" s="1"/>
  <c r="AJ47" i="15"/>
  <c r="Q49" i="3" s="1"/>
  <c r="AW47" i="15"/>
  <c r="AD49" i="3" s="1"/>
  <c r="AI27" i="15"/>
  <c r="P29" i="3" s="1"/>
  <c r="AV27" i="15"/>
  <c r="AC29" i="3" s="1"/>
  <c r="AK106" i="15"/>
  <c r="R108" i="3" s="1"/>
  <c r="AX106" i="15"/>
  <c r="AE108" i="3" s="1"/>
  <c r="AI130" i="15"/>
  <c r="P132" i="3" s="1"/>
  <c r="AV130" i="15"/>
  <c r="AC132" i="3" s="1"/>
  <c r="AU85" i="15"/>
  <c r="AB87" i="3" s="1"/>
  <c r="AJ39" i="15"/>
  <c r="Q41" i="3" s="1"/>
  <c r="AW39" i="15"/>
  <c r="AD41" i="3" s="1"/>
  <c r="AU22" i="15"/>
  <c r="AB24" i="3" s="1"/>
  <c r="AK176" i="15"/>
  <c r="R178" i="3" s="1"/>
  <c r="AX176" i="15"/>
  <c r="AE178" i="3" s="1"/>
  <c r="AI79" i="15"/>
  <c r="P81" i="3" s="1"/>
  <c r="AV79" i="15"/>
  <c r="AC81" i="3" s="1"/>
  <c r="AK159" i="15"/>
  <c r="R161" i="3" s="1"/>
  <c r="AX159" i="15"/>
  <c r="AE161" i="3" s="1"/>
  <c r="AI61" i="15"/>
  <c r="P63" i="3" s="1"/>
  <c r="AV61" i="15"/>
  <c r="AC63" i="3" s="1"/>
  <c r="AJ161" i="15"/>
  <c r="Q163" i="3" s="1"/>
  <c r="AW161" i="15"/>
  <c r="AD163" i="3" s="1"/>
  <c r="AI160" i="15"/>
  <c r="P162" i="3" s="1"/>
  <c r="AV160" i="15"/>
  <c r="AC162" i="3" s="1"/>
  <c r="AK154" i="15"/>
  <c r="R156" i="3" s="1"/>
  <c r="AX154" i="15"/>
  <c r="AE156" i="3" s="1"/>
  <c r="AI128" i="15"/>
  <c r="P130" i="3" s="1"/>
  <c r="AV128" i="15"/>
  <c r="AC130" i="3" s="1"/>
  <c r="AU59" i="15"/>
  <c r="AB61" i="3" s="1"/>
  <c r="AJ134" i="15"/>
  <c r="Q136" i="3" s="1"/>
  <c r="AW134" i="15"/>
  <c r="AD136" i="3" s="1"/>
  <c r="AU127" i="15"/>
  <c r="AB129" i="3" s="1"/>
  <c r="AJ195" i="15"/>
  <c r="Q197" i="3" s="1"/>
  <c r="AW195" i="15"/>
  <c r="AD197" i="3" s="1"/>
  <c r="AU23" i="15"/>
  <c r="AB25" i="3" s="1"/>
  <c r="AJ114" i="15"/>
  <c r="Q116" i="3" s="1"/>
  <c r="AW114" i="15"/>
  <c r="AD116" i="3" s="1"/>
  <c r="AU155" i="15"/>
  <c r="AB157" i="3" s="1"/>
  <c r="AK150" i="15"/>
  <c r="R152" i="3" s="1"/>
  <c r="AX150" i="15"/>
  <c r="AE152" i="3" s="1"/>
  <c r="AI53" i="15"/>
  <c r="P55" i="3" s="1"/>
  <c r="AV53" i="15"/>
  <c r="AC55" i="3" s="1"/>
  <c r="AK144" i="15"/>
  <c r="R146" i="3" s="1"/>
  <c r="AX144" i="15"/>
  <c r="AE146" i="3" s="1"/>
  <c r="AJ179" i="15"/>
  <c r="Q181" i="3" s="1"/>
  <c r="AW179" i="15"/>
  <c r="AD181" i="3" s="1"/>
  <c r="AU25" i="15"/>
  <c r="AB27" i="3" s="1"/>
  <c r="AK203" i="15"/>
  <c r="R205" i="3" s="1"/>
  <c r="AX203" i="15"/>
  <c r="AE205" i="3" s="1"/>
  <c r="AJ200" i="15"/>
  <c r="Q202" i="3" s="1"/>
  <c r="AW200" i="15"/>
  <c r="AD202" i="3" s="1"/>
  <c r="AU163" i="15"/>
  <c r="AB165" i="3" s="1"/>
  <c r="AJ24" i="15"/>
  <c r="Q26" i="3" s="1"/>
  <c r="AW24" i="15"/>
  <c r="AD26" i="3" s="1"/>
  <c r="AU96" i="15"/>
  <c r="AB98" i="3" s="1"/>
  <c r="AJ26" i="15"/>
  <c r="Q28" i="3" s="1"/>
  <c r="AW26" i="15"/>
  <c r="AD28" i="3" s="1"/>
  <c r="AJ190" i="15"/>
  <c r="Q192" i="3" s="1"/>
  <c r="AU108" i="15"/>
  <c r="AB110" i="3" s="1"/>
  <c r="AK29" i="15"/>
  <c r="R31" i="3" s="1"/>
  <c r="AW156" i="15"/>
  <c r="AD158" i="3" s="1"/>
  <c r="AU95" i="15"/>
  <c r="AB97" i="3" s="1"/>
  <c r="AJ17" i="15"/>
  <c r="Q19" i="3" s="1"/>
  <c r="AW17" i="15"/>
  <c r="AD19" i="3" s="1"/>
  <c r="AI31" i="15"/>
  <c r="P33" i="3" s="1"/>
  <c r="AV31" i="15"/>
  <c r="AC33" i="3" s="1"/>
  <c r="AK36" i="15"/>
  <c r="R38" i="3" s="1"/>
  <c r="AX36" i="15"/>
  <c r="AE38" i="3" s="1"/>
  <c r="AI104" i="15"/>
  <c r="P106" i="3" s="1"/>
  <c r="AV104" i="15"/>
  <c r="AC106" i="3" s="1"/>
  <c r="AK180" i="15"/>
  <c r="R182" i="3" s="1"/>
  <c r="AX180" i="15"/>
  <c r="AE182" i="3" s="1"/>
  <c r="AI13" i="15"/>
  <c r="P15" i="3" s="1"/>
  <c r="AV13" i="15"/>
  <c r="AC15" i="3" s="1"/>
  <c r="AU105" i="15"/>
  <c r="AB107" i="3" s="1"/>
  <c r="AK181" i="15"/>
  <c r="R183" i="3" s="1"/>
  <c r="AX181" i="15"/>
  <c r="AE183" i="3" s="1"/>
  <c r="AI107" i="15"/>
  <c r="P109" i="3" s="1"/>
  <c r="AV107" i="15"/>
  <c r="AC109" i="3" s="1"/>
  <c r="AU34" i="15"/>
  <c r="AB36" i="3" s="1"/>
  <c r="AJ126" i="15"/>
  <c r="Q128" i="3" s="1"/>
  <c r="AW126" i="15"/>
  <c r="AD128" i="3" s="1"/>
  <c r="AU73" i="15"/>
  <c r="AB75" i="3" s="1"/>
  <c r="AJ40" i="15"/>
  <c r="Q42" i="3" s="1"/>
  <c r="AW40" i="15"/>
  <c r="AD42" i="3" s="1"/>
  <c r="AU12" i="15"/>
  <c r="AB14" i="3" s="1"/>
  <c r="AJ157" i="15"/>
  <c r="Q159" i="3" s="1"/>
  <c r="AW157" i="15"/>
  <c r="AD159" i="3" s="1"/>
  <c r="AV115" i="15"/>
  <c r="AC117" i="3" s="1"/>
  <c r="AU35" i="15"/>
  <c r="AB37" i="3" s="1"/>
  <c r="AJ194" i="15"/>
  <c r="Q196" i="3" s="1"/>
  <c r="AW194" i="15"/>
  <c r="AD196" i="3" s="1"/>
  <c r="AV58" i="15"/>
  <c r="AC60" i="3" s="1"/>
  <c r="AK38" i="15"/>
  <c r="R40" i="3" s="1"/>
  <c r="AX38" i="15"/>
  <c r="AE40" i="3" s="1"/>
  <c r="AJ123" i="15"/>
  <c r="Q125" i="3" s="1"/>
  <c r="AW123" i="15"/>
  <c r="AD125" i="3" s="1"/>
  <c r="AU80" i="15"/>
  <c r="AB82" i="3" s="1"/>
  <c r="AK47" i="15"/>
  <c r="R49" i="3" s="1"/>
  <c r="AX47" i="15"/>
  <c r="AE49" i="3" s="1"/>
  <c r="AJ27" i="15"/>
  <c r="Q29" i="3" s="1"/>
  <c r="AW27" i="15"/>
  <c r="AD29" i="3" s="1"/>
  <c r="AU106" i="15"/>
  <c r="AB108" i="3" s="1"/>
  <c r="AJ130" i="15"/>
  <c r="Q132" i="3" s="1"/>
  <c r="AW130" i="15"/>
  <c r="AD132" i="3" s="1"/>
  <c r="AI85" i="15"/>
  <c r="P87" i="3" s="1"/>
  <c r="AV85" i="15"/>
  <c r="AC87" i="3" s="1"/>
  <c r="AK39" i="15"/>
  <c r="R41" i="3" s="1"/>
  <c r="AX39" i="15"/>
  <c r="AE41" i="3" s="1"/>
  <c r="AI22" i="15"/>
  <c r="P24" i="3" s="1"/>
  <c r="AV22" i="15"/>
  <c r="AC24" i="3" s="1"/>
  <c r="AU176" i="15"/>
  <c r="AB178" i="3" s="1"/>
  <c r="AJ79" i="15"/>
  <c r="Q81" i="3" s="1"/>
  <c r="AW79" i="15"/>
  <c r="AD81" i="3" s="1"/>
  <c r="AU159" i="15"/>
  <c r="AB161" i="3" s="1"/>
  <c r="AJ61" i="15"/>
  <c r="Q63" i="3" s="1"/>
  <c r="AW61" i="15"/>
  <c r="AD63" i="3" s="1"/>
  <c r="AK161" i="15"/>
  <c r="R163" i="3" s="1"/>
  <c r="AX161" i="15"/>
  <c r="AE163" i="3" s="1"/>
  <c r="AJ160" i="15"/>
  <c r="Q162" i="3" s="1"/>
  <c r="AW160" i="15"/>
  <c r="AD162" i="3" s="1"/>
  <c r="AU154" i="15"/>
  <c r="AB156" i="3" s="1"/>
  <c r="AJ128" i="15"/>
  <c r="Q130" i="3" s="1"/>
  <c r="AW128" i="15"/>
  <c r="AD130" i="3" s="1"/>
  <c r="AI59" i="15"/>
  <c r="P61" i="3" s="1"/>
  <c r="AV59" i="15"/>
  <c r="AC61" i="3" s="1"/>
  <c r="AK134" i="15"/>
  <c r="R136" i="3" s="1"/>
  <c r="AX134" i="15"/>
  <c r="AE136" i="3" s="1"/>
  <c r="AI127" i="15"/>
  <c r="P129" i="3" s="1"/>
  <c r="AV127" i="15"/>
  <c r="AC129" i="3" s="1"/>
  <c r="AK195" i="15"/>
  <c r="R197" i="3" s="1"/>
  <c r="AX195" i="15"/>
  <c r="AE197" i="3" s="1"/>
  <c r="AI23" i="15"/>
  <c r="P25" i="3" s="1"/>
  <c r="AV23" i="15"/>
  <c r="AC25" i="3" s="1"/>
  <c r="AK114" i="15"/>
  <c r="R116" i="3" s="1"/>
  <c r="AX114" i="15"/>
  <c r="AE116" i="3" s="1"/>
  <c r="AI155" i="15"/>
  <c r="P157" i="3" s="1"/>
  <c r="AV155" i="15"/>
  <c r="AC157" i="3" s="1"/>
  <c r="AU150" i="15"/>
  <c r="AB152" i="3" s="1"/>
  <c r="AJ53" i="15"/>
  <c r="Q55" i="3" s="1"/>
  <c r="AW53" i="15"/>
  <c r="AD55" i="3" s="1"/>
  <c r="AU144" i="15"/>
  <c r="AB146" i="3" s="1"/>
  <c r="AK179" i="15"/>
  <c r="R181" i="3" s="1"/>
  <c r="AX179" i="15"/>
  <c r="AE181" i="3" s="1"/>
  <c r="AI25" i="15"/>
  <c r="P27" i="3" s="1"/>
  <c r="AV25" i="15"/>
  <c r="AC27" i="3" s="1"/>
  <c r="AU203" i="15"/>
  <c r="AB205" i="3" s="1"/>
  <c r="AK200" i="15"/>
  <c r="R202" i="3" s="1"/>
  <c r="AX200" i="15"/>
  <c r="AE202" i="3" s="1"/>
  <c r="AI163" i="15"/>
  <c r="P165" i="3" s="1"/>
  <c r="AV163" i="15"/>
  <c r="AC165" i="3" s="1"/>
  <c r="AK24" i="15"/>
  <c r="R26" i="3" s="1"/>
  <c r="AX24" i="15"/>
  <c r="AE26" i="3" s="1"/>
  <c r="AI96" i="15"/>
  <c r="P98" i="3" s="1"/>
  <c r="AV96" i="15"/>
  <c r="AC98" i="3" s="1"/>
  <c r="AK26" i="15"/>
  <c r="R28" i="3" s="1"/>
  <c r="AX26" i="15"/>
  <c r="AE28" i="3" s="1"/>
  <c r="AJ67" i="15"/>
  <c r="Q69" i="3" s="1"/>
  <c r="AW67" i="15"/>
  <c r="AD69" i="3" s="1"/>
  <c r="AW190" i="15"/>
  <c r="AD192" i="3" s="1"/>
  <c r="AW29" i="15"/>
  <c r="AD31" i="3" s="1"/>
  <c r="AI156" i="15"/>
  <c r="P158" i="3" s="1"/>
  <c r="AV95" i="15"/>
  <c r="AC97" i="3" s="1"/>
  <c r="AK17" i="15"/>
  <c r="R19" i="3" s="1"/>
  <c r="AX17" i="15"/>
  <c r="AE19" i="3" s="1"/>
  <c r="AJ31" i="15"/>
  <c r="Q33" i="3" s="1"/>
  <c r="AW31" i="15"/>
  <c r="AD33" i="3" s="1"/>
  <c r="AU36" i="15"/>
  <c r="AB38" i="3" s="1"/>
  <c r="AJ104" i="15"/>
  <c r="Q106" i="3" s="1"/>
  <c r="AW104" i="15"/>
  <c r="AD106" i="3" s="1"/>
  <c r="AU180" i="15"/>
  <c r="AB182" i="3" s="1"/>
  <c r="AJ13" i="15"/>
  <c r="Q15" i="3" s="1"/>
  <c r="AW13" i="15"/>
  <c r="AD15" i="3" s="1"/>
  <c r="AI105" i="15"/>
  <c r="P107" i="3" s="1"/>
  <c r="AV105" i="15"/>
  <c r="AC107" i="3" s="1"/>
  <c r="AU181" i="15"/>
  <c r="AB183" i="3" s="1"/>
  <c r="AJ107" i="15"/>
  <c r="Q109" i="3" s="1"/>
  <c r="AW107" i="15"/>
  <c r="AD109" i="3" s="1"/>
  <c r="AV34" i="15"/>
  <c r="AC36" i="3" s="1"/>
  <c r="AK126" i="15"/>
  <c r="R128" i="3" s="1"/>
  <c r="AX126" i="15"/>
  <c r="AE128" i="3" s="1"/>
  <c r="AI73" i="15"/>
  <c r="P75" i="3" s="1"/>
  <c r="AV73" i="15"/>
  <c r="AC75" i="3" s="1"/>
  <c r="AK40" i="15"/>
  <c r="R42" i="3" s="1"/>
  <c r="AX40" i="15"/>
  <c r="AE42" i="3" s="1"/>
  <c r="AI12" i="15"/>
  <c r="P14" i="3" s="1"/>
  <c r="AV12" i="15"/>
  <c r="AC14" i="3" s="1"/>
  <c r="AK157" i="15"/>
  <c r="R159" i="3" s="1"/>
  <c r="AX157" i="15"/>
  <c r="AE159" i="3" s="1"/>
  <c r="AJ115" i="15"/>
  <c r="Q117" i="3" s="1"/>
  <c r="AW115" i="15"/>
  <c r="AD117" i="3" s="1"/>
  <c r="AI35" i="15"/>
  <c r="P37" i="3" s="1"/>
  <c r="AV35" i="15"/>
  <c r="AC37" i="3" s="1"/>
  <c r="AK194" i="15"/>
  <c r="R196" i="3" s="1"/>
  <c r="AX194" i="15"/>
  <c r="AE196" i="3" s="1"/>
  <c r="AJ58" i="15"/>
  <c r="Q60" i="3" s="1"/>
  <c r="AW58" i="15"/>
  <c r="AD60" i="3" s="1"/>
  <c r="AU38" i="15"/>
  <c r="AB40" i="3" s="1"/>
  <c r="AK123" i="15"/>
  <c r="R125" i="3" s="1"/>
  <c r="AX123" i="15"/>
  <c r="AE125" i="3" s="1"/>
  <c r="AI80" i="15"/>
  <c r="P82" i="3" s="1"/>
  <c r="AV80" i="15"/>
  <c r="AC82" i="3" s="1"/>
  <c r="AU47" i="15"/>
  <c r="AB49" i="3" s="1"/>
  <c r="AK27" i="15"/>
  <c r="R29" i="3" s="1"/>
  <c r="AX27" i="15"/>
  <c r="AE29" i="3" s="1"/>
  <c r="AI106" i="15"/>
  <c r="P108" i="3" s="1"/>
  <c r="AV106" i="15"/>
  <c r="AC108" i="3" s="1"/>
  <c r="AK130" i="15"/>
  <c r="R132" i="3" s="1"/>
  <c r="AX130" i="15"/>
  <c r="AE132" i="3" s="1"/>
  <c r="AJ85" i="15"/>
  <c r="Q87" i="3" s="1"/>
  <c r="AW85" i="15"/>
  <c r="AD87" i="3" s="1"/>
  <c r="AU39" i="15"/>
  <c r="AB41" i="3" s="1"/>
  <c r="AJ22" i="15"/>
  <c r="Q24" i="3" s="1"/>
  <c r="AW22" i="15"/>
  <c r="AD24" i="3" s="1"/>
  <c r="AI176" i="15"/>
  <c r="P178" i="3" s="1"/>
  <c r="AV176" i="15"/>
  <c r="AC178" i="3" s="1"/>
  <c r="AK79" i="15"/>
  <c r="R81" i="3" s="1"/>
  <c r="AX79" i="15"/>
  <c r="AE81" i="3" s="1"/>
  <c r="AI159" i="15"/>
  <c r="P161" i="3" s="1"/>
  <c r="AV159" i="15"/>
  <c r="AC161" i="3" s="1"/>
  <c r="AK61" i="15"/>
  <c r="R63" i="3" s="1"/>
  <c r="AX61" i="15"/>
  <c r="AE63" i="3" s="1"/>
  <c r="AU161" i="15"/>
  <c r="AB163" i="3" s="1"/>
  <c r="AK160" i="15"/>
  <c r="R162" i="3" s="1"/>
  <c r="AX160" i="15"/>
  <c r="AE162" i="3" s="1"/>
  <c r="AI154" i="15"/>
  <c r="P156" i="3" s="1"/>
  <c r="AV154" i="15"/>
  <c r="AC156" i="3" s="1"/>
  <c r="AK128" i="15"/>
  <c r="R130" i="3" s="1"/>
  <c r="AX128" i="15"/>
  <c r="AE130" i="3" s="1"/>
  <c r="AJ59" i="15"/>
  <c r="Q61" i="3" s="1"/>
  <c r="AW59" i="15"/>
  <c r="AD61" i="3" s="1"/>
  <c r="AU134" i="15"/>
  <c r="AB136" i="3" s="1"/>
  <c r="AJ127" i="15"/>
  <c r="Q129" i="3" s="1"/>
  <c r="AW127" i="15"/>
  <c r="AD129" i="3" s="1"/>
  <c r="AU195" i="15"/>
  <c r="AB197" i="3" s="1"/>
  <c r="AJ23" i="15"/>
  <c r="Q25" i="3" s="1"/>
  <c r="AW23" i="15"/>
  <c r="AD25" i="3" s="1"/>
  <c r="AU114" i="15"/>
  <c r="AB116" i="3" s="1"/>
  <c r="AJ155" i="15"/>
  <c r="Q157" i="3" s="1"/>
  <c r="AW155" i="15"/>
  <c r="AD157" i="3" s="1"/>
  <c r="AV150" i="15"/>
  <c r="AC152" i="3" s="1"/>
  <c r="AK53" i="15"/>
  <c r="R55" i="3" s="1"/>
  <c r="AX53" i="15"/>
  <c r="AE55" i="3" s="1"/>
  <c r="AI144" i="15"/>
  <c r="P146" i="3" s="1"/>
  <c r="AV144" i="15"/>
  <c r="AC146" i="3" s="1"/>
  <c r="AU179" i="15"/>
  <c r="AB181" i="3" s="1"/>
  <c r="AJ25" i="15"/>
  <c r="Q27" i="3" s="1"/>
  <c r="AW25" i="15"/>
  <c r="AD27" i="3" s="1"/>
  <c r="AI203" i="15"/>
  <c r="P205" i="3" s="1"/>
  <c r="AV203" i="15"/>
  <c r="AC205" i="3" s="1"/>
  <c r="AU200" i="15"/>
  <c r="AB202" i="3" s="1"/>
  <c r="AJ163" i="15"/>
  <c r="Q165" i="3" s="1"/>
  <c r="AW163" i="15"/>
  <c r="AD165" i="3" s="1"/>
  <c r="AU24" i="15"/>
  <c r="AB26" i="3" s="1"/>
  <c r="AJ96" i="15"/>
  <c r="Q98" i="3" s="1"/>
  <c r="AW96" i="15"/>
  <c r="AD98" i="3" s="1"/>
  <c r="AU26" i="15"/>
  <c r="AB28" i="3" s="1"/>
  <c r="AK67" i="15"/>
  <c r="R69" i="3" s="1"/>
  <c r="AX67" i="15"/>
  <c r="AE69" i="3" s="1"/>
  <c r="AJ147" i="15"/>
  <c r="Q149" i="3" s="1"/>
  <c r="AU145" i="15"/>
  <c r="AB147" i="3" s="1"/>
  <c r="AX29" i="15"/>
  <c r="AE31" i="3" s="1"/>
  <c r="AU156" i="15"/>
  <c r="AB158" i="3" s="1"/>
  <c r="AW95" i="15"/>
  <c r="AD97" i="3" s="1"/>
  <c r="AU17" i="15"/>
  <c r="AB19" i="3" s="1"/>
  <c r="AK31" i="15"/>
  <c r="R33" i="3" s="1"/>
  <c r="AX31" i="15"/>
  <c r="AE33" i="3" s="1"/>
  <c r="AI36" i="15"/>
  <c r="P38" i="3" s="1"/>
  <c r="AV36" i="15"/>
  <c r="AC38" i="3" s="1"/>
  <c r="AK104" i="15"/>
  <c r="R106" i="3" s="1"/>
  <c r="AX104" i="15"/>
  <c r="AE106" i="3" s="1"/>
  <c r="AI180" i="15"/>
  <c r="P182" i="3" s="1"/>
  <c r="AV180" i="15"/>
  <c r="AC182" i="3" s="1"/>
  <c r="AK13" i="15"/>
  <c r="R15" i="3" s="1"/>
  <c r="AX13" i="15"/>
  <c r="AE15" i="3" s="1"/>
  <c r="AJ105" i="15"/>
  <c r="Q107" i="3" s="1"/>
  <c r="AW105" i="15"/>
  <c r="AD107" i="3" s="1"/>
  <c r="AV181" i="15"/>
  <c r="AC183" i="3" s="1"/>
  <c r="AK107" i="15"/>
  <c r="R109" i="3" s="1"/>
  <c r="AX107" i="15"/>
  <c r="AE109" i="3" s="1"/>
  <c r="AJ34" i="15"/>
  <c r="Q36" i="3" s="1"/>
  <c r="AW34" i="15"/>
  <c r="AD36" i="3" s="1"/>
  <c r="AU126" i="15"/>
  <c r="AB128" i="3" s="1"/>
  <c r="AJ73" i="15"/>
  <c r="Q75" i="3" s="1"/>
  <c r="AW73" i="15"/>
  <c r="AD75" i="3" s="1"/>
  <c r="AU40" i="15"/>
  <c r="AB42" i="3" s="1"/>
  <c r="AJ12" i="15"/>
  <c r="Q14" i="3" s="1"/>
  <c r="AW12" i="15"/>
  <c r="AD14" i="3" s="1"/>
  <c r="AU157" i="15"/>
  <c r="AB159" i="3" s="1"/>
  <c r="AK115" i="15"/>
  <c r="R117" i="3" s="1"/>
  <c r="AX115" i="15"/>
  <c r="AE117" i="3" s="1"/>
  <c r="AJ35" i="15"/>
  <c r="Q37" i="3" s="1"/>
  <c r="AW35" i="15"/>
  <c r="AD37" i="3" s="1"/>
  <c r="AU194" i="15"/>
  <c r="AB196" i="3" s="1"/>
  <c r="AK58" i="15"/>
  <c r="R60" i="3" s="1"/>
  <c r="AX58" i="15"/>
  <c r="AE60" i="3" s="1"/>
  <c r="AI38" i="15"/>
  <c r="P40" i="3" s="1"/>
  <c r="AV38" i="15"/>
  <c r="AC40" i="3" s="1"/>
  <c r="AU123" i="15"/>
  <c r="AB125" i="3" s="1"/>
  <c r="AJ80" i="15"/>
  <c r="Q82" i="3" s="1"/>
  <c r="AW80" i="15"/>
  <c r="AD82" i="3" s="1"/>
  <c r="AV47" i="15"/>
  <c r="AC49" i="3" s="1"/>
  <c r="AU27" i="15"/>
  <c r="AB29" i="3" s="1"/>
  <c r="AJ106" i="15"/>
  <c r="Q108" i="3" s="1"/>
  <c r="AW106" i="15"/>
  <c r="AD108" i="3" s="1"/>
  <c r="AU130" i="15"/>
  <c r="AB132" i="3" s="1"/>
  <c r="AK85" i="15"/>
  <c r="R87" i="3" s="1"/>
  <c r="AX85" i="15"/>
  <c r="AE87" i="3" s="1"/>
  <c r="AI39" i="15"/>
  <c r="P41" i="3" s="1"/>
  <c r="AV39" i="15"/>
  <c r="AC41" i="3" s="1"/>
  <c r="AK22" i="15"/>
  <c r="R24" i="3" s="1"/>
  <c r="AX22" i="15"/>
  <c r="AE24" i="3" s="1"/>
  <c r="AJ176" i="15"/>
  <c r="Q178" i="3" s="1"/>
  <c r="AW176" i="15"/>
  <c r="AD178" i="3" s="1"/>
  <c r="AU79" i="15"/>
  <c r="AB81" i="3" s="1"/>
  <c r="AJ159" i="15"/>
  <c r="Q161" i="3" s="1"/>
  <c r="AW159" i="15"/>
  <c r="AD161" i="3" s="1"/>
  <c r="AU61" i="15"/>
  <c r="AB63" i="3" s="1"/>
  <c r="AV161" i="15"/>
  <c r="AC163" i="3" s="1"/>
  <c r="AU160" i="15"/>
  <c r="AB162" i="3" s="1"/>
  <c r="AJ154" i="15"/>
  <c r="Q156" i="3" s="1"/>
  <c r="AW154" i="15"/>
  <c r="AD156" i="3" s="1"/>
  <c r="AU128" i="15"/>
  <c r="AB130" i="3" s="1"/>
  <c r="AK59" i="15"/>
  <c r="R61" i="3" s="1"/>
  <c r="AX59" i="15"/>
  <c r="AE61" i="3" s="1"/>
  <c r="AI134" i="15"/>
  <c r="P136" i="3" s="1"/>
  <c r="AV134" i="15"/>
  <c r="AC136" i="3" s="1"/>
  <c r="AK127" i="15"/>
  <c r="R129" i="3" s="1"/>
  <c r="AX127" i="15"/>
  <c r="AE129" i="3" s="1"/>
  <c r="AI195" i="15"/>
  <c r="P197" i="3" s="1"/>
  <c r="AV195" i="15"/>
  <c r="AC197" i="3" s="1"/>
  <c r="AK23" i="15"/>
  <c r="R25" i="3" s="1"/>
  <c r="AX23" i="15"/>
  <c r="AE25" i="3" s="1"/>
  <c r="AI114" i="15"/>
  <c r="P116" i="3" s="1"/>
  <c r="AV114" i="15"/>
  <c r="AC116" i="3" s="1"/>
  <c r="AK155" i="15"/>
  <c r="R157" i="3" s="1"/>
  <c r="AX155" i="15"/>
  <c r="AE157" i="3" s="1"/>
  <c r="AJ150" i="15"/>
  <c r="Q152" i="3" s="1"/>
  <c r="AW150" i="15"/>
  <c r="AD152" i="3" s="1"/>
  <c r="AU53" i="15"/>
  <c r="AB55" i="3" s="1"/>
  <c r="AJ144" i="15"/>
  <c r="Q146" i="3" s="1"/>
  <c r="AW144" i="15"/>
  <c r="AD146" i="3" s="1"/>
  <c r="AV179" i="15"/>
  <c r="AC181" i="3" s="1"/>
  <c r="AK25" i="15"/>
  <c r="R27" i="3" s="1"/>
  <c r="AX25" i="15"/>
  <c r="AE27" i="3" s="1"/>
  <c r="AJ203" i="15"/>
  <c r="Q205" i="3" s="1"/>
  <c r="AW203" i="15"/>
  <c r="AD205" i="3" s="1"/>
  <c r="AK163" i="15"/>
  <c r="R165" i="3" s="1"/>
  <c r="AV24" i="15"/>
  <c r="AC26" i="3" s="1"/>
  <c r="AX96" i="15"/>
  <c r="AE98" i="3" s="1"/>
  <c r="AJ135" i="15"/>
  <c r="Q137" i="3" s="1"/>
  <c r="AW135" i="15"/>
  <c r="AD137" i="3" s="1"/>
  <c r="AI91" i="15"/>
  <c r="P93" i="3" s="1"/>
  <c r="AV91" i="15"/>
  <c r="AC93" i="3" s="1"/>
  <c r="AU43" i="15"/>
  <c r="AB45" i="3" s="1"/>
  <c r="AJ19" i="15"/>
  <c r="Q21" i="3" s="1"/>
  <c r="AW19" i="15"/>
  <c r="AD21" i="3" s="1"/>
  <c r="AI171" i="15"/>
  <c r="P173" i="3" s="1"/>
  <c r="AV171" i="15"/>
  <c r="AC173" i="3" s="1"/>
  <c r="AK94" i="15"/>
  <c r="R96" i="3" s="1"/>
  <c r="AX94" i="15"/>
  <c r="AE96" i="3" s="1"/>
  <c r="AK101" i="15"/>
  <c r="R103" i="3" s="1"/>
  <c r="AX101" i="15"/>
  <c r="AE103" i="3" s="1"/>
  <c r="AK65" i="15"/>
  <c r="R67" i="3" s="1"/>
  <c r="AX65" i="15"/>
  <c r="AE67" i="3" s="1"/>
  <c r="AI87" i="15"/>
  <c r="P89" i="3" s="1"/>
  <c r="AV87" i="15"/>
  <c r="AC89" i="3" s="1"/>
  <c r="AK121" i="15"/>
  <c r="R123" i="3" s="1"/>
  <c r="AX121" i="15"/>
  <c r="AE123" i="3" s="1"/>
  <c r="AI50" i="15"/>
  <c r="P52" i="3" s="1"/>
  <c r="AV50" i="15"/>
  <c r="AC52" i="3" s="1"/>
  <c r="AK178" i="15"/>
  <c r="R180" i="3" s="1"/>
  <c r="AX178" i="15"/>
  <c r="AE180" i="3" s="1"/>
  <c r="AI177" i="15"/>
  <c r="P179" i="3" s="1"/>
  <c r="AV177" i="15"/>
  <c r="AC179" i="3" s="1"/>
  <c r="AK63" i="15"/>
  <c r="R65" i="3" s="1"/>
  <c r="AX63" i="15"/>
  <c r="AE65" i="3" s="1"/>
  <c r="AI124" i="15"/>
  <c r="P126" i="3" s="1"/>
  <c r="AV124" i="15"/>
  <c r="AC126" i="3" s="1"/>
  <c r="AK169" i="15"/>
  <c r="R171" i="3" s="1"/>
  <c r="AX169" i="15"/>
  <c r="AE171" i="3" s="1"/>
  <c r="AI133" i="15"/>
  <c r="P135" i="3" s="1"/>
  <c r="AV133" i="15"/>
  <c r="AC135" i="3" s="1"/>
  <c r="AK120" i="15"/>
  <c r="R122" i="3" s="1"/>
  <c r="AX120" i="15"/>
  <c r="AE122" i="3" s="1"/>
  <c r="AJ55" i="15"/>
  <c r="Q57" i="3" s="1"/>
  <c r="AW55" i="15"/>
  <c r="AD57" i="3" s="1"/>
  <c r="AU174" i="15"/>
  <c r="AB176" i="3" s="1"/>
  <c r="AJ37" i="15"/>
  <c r="Q39" i="3" s="1"/>
  <c r="AW37" i="15"/>
  <c r="AD39" i="3" s="1"/>
  <c r="AI72" i="15"/>
  <c r="P74" i="3" s="1"/>
  <c r="AV72" i="15"/>
  <c r="AC74" i="3" s="1"/>
  <c r="AV52" i="15"/>
  <c r="AC54" i="3" s="1"/>
  <c r="AK197" i="15"/>
  <c r="R199" i="3" s="1"/>
  <c r="AX197" i="15"/>
  <c r="AE199" i="3" s="1"/>
  <c r="AV162" i="15"/>
  <c r="AC164" i="3" s="1"/>
  <c r="AV200" i="15"/>
  <c r="AC202" i="3" s="1"/>
  <c r="AX163" i="15"/>
  <c r="AE165" i="3" s="1"/>
  <c r="AK135" i="15"/>
  <c r="R137" i="3" s="1"/>
  <c r="AX135" i="15"/>
  <c r="AE137" i="3" s="1"/>
  <c r="AJ91" i="15"/>
  <c r="Q93" i="3" s="1"/>
  <c r="AW91" i="15"/>
  <c r="AD93" i="3" s="1"/>
  <c r="AV43" i="15"/>
  <c r="AC45" i="3" s="1"/>
  <c r="AK19" i="15"/>
  <c r="R21" i="3" s="1"/>
  <c r="AX19" i="15"/>
  <c r="AE21" i="3" s="1"/>
  <c r="AJ171" i="15"/>
  <c r="Q173" i="3" s="1"/>
  <c r="AW171" i="15"/>
  <c r="AD173" i="3" s="1"/>
  <c r="AU94" i="15"/>
  <c r="AB96" i="3" s="1"/>
  <c r="AU101" i="15"/>
  <c r="AB103" i="3" s="1"/>
  <c r="AU65" i="15"/>
  <c r="AB67" i="3" s="1"/>
  <c r="AJ87" i="15"/>
  <c r="Q89" i="3" s="1"/>
  <c r="AW87" i="15"/>
  <c r="AD89" i="3" s="1"/>
  <c r="AU121" i="15"/>
  <c r="AB123" i="3" s="1"/>
  <c r="AJ50" i="15"/>
  <c r="Q52" i="3" s="1"/>
  <c r="AW50" i="15"/>
  <c r="AD52" i="3" s="1"/>
  <c r="AU178" i="15"/>
  <c r="AB180" i="3" s="1"/>
  <c r="AJ177" i="15"/>
  <c r="Q179" i="3" s="1"/>
  <c r="AW177" i="15"/>
  <c r="AD179" i="3" s="1"/>
  <c r="AU63" i="15"/>
  <c r="AB65" i="3" s="1"/>
  <c r="AJ124" i="15"/>
  <c r="Q126" i="3" s="1"/>
  <c r="AW124" i="15"/>
  <c r="AD126" i="3" s="1"/>
  <c r="AU169" i="15"/>
  <c r="AB171" i="3" s="1"/>
  <c r="AJ133" i="15"/>
  <c r="Q135" i="3" s="1"/>
  <c r="AW133" i="15"/>
  <c r="AD135" i="3" s="1"/>
  <c r="AU120" i="15"/>
  <c r="AB122" i="3" s="1"/>
  <c r="AK55" i="15"/>
  <c r="R57" i="3" s="1"/>
  <c r="AX55" i="15"/>
  <c r="AE57" i="3" s="1"/>
  <c r="AI174" i="15"/>
  <c r="P176" i="3" s="1"/>
  <c r="AV174" i="15"/>
  <c r="AC176" i="3" s="1"/>
  <c r="AK37" i="15"/>
  <c r="R39" i="3" s="1"/>
  <c r="AX37" i="15"/>
  <c r="AE39" i="3" s="1"/>
  <c r="AJ72" i="15"/>
  <c r="Q74" i="3" s="1"/>
  <c r="AW72" i="15"/>
  <c r="AD74" i="3" s="1"/>
  <c r="AJ52" i="15"/>
  <c r="Q54" i="3" s="1"/>
  <c r="AW52" i="15"/>
  <c r="AD54" i="3" s="1"/>
  <c r="AU197" i="15"/>
  <c r="AB199" i="3" s="1"/>
  <c r="AJ162" i="15"/>
  <c r="Q164" i="3" s="1"/>
  <c r="AW162" i="15"/>
  <c r="AD164" i="3" s="1"/>
  <c r="AU11" i="15"/>
  <c r="AB13" i="3" s="1"/>
  <c r="AI11" i="15"/>
  <c r="P13" i="3" s="1"/>
  <c r="AW11" i="15"/>
  <c r="AD13" i="3" s="1"/>
  <c r="AK11" i="15"/>
  <c r="R13" i="3" s="1"/>
  <c r="AI26" i="15"/>
  <c r="P28" i="3" s="1"/>
  <c r="AU67" i="15"/>
  <c r="AB69" i="3" s="1"/>
  <c r="AU135" i="15"/>
  <c r="AB137" i="3" s="1"/>
  <c r="AK91" i="15"/>
  <c r="R93" i="3" s="1"/>
  <c r="AX91" i="15"/>
  <c r="AE93" i="3" s="1"/>
  <c r="AJ43" i="15"/>
  <c r="Q45" i="3" s="1"/>
  <c r="AW43" i="15"/>
  <c r="AD45" i="3" s="1"/>
  <c r="AU19" i="15"/>
  <c r="AB21" i="3" s="1"/>
  <c r="AK171" i="15"/>
  <c r="R173" i="3" s="1"/>
  <c r="AX171" i="15"/>
  <c r="AE173" i="3" s="1"/>
  <c r="AI94" i="15"/>
  <c r="P96" i="3" s="1"/>
  <c r="AV94" i="15"/>
  <c r="AC96" i="3" s="1"/>
  <c r="AV101" i="15"/>
  <c r="AC103" i="3" s="1"/>
  <c r="AV65" i="15"/>
  <c r="AC67" i="3" s="1"/>
  <c r="AK87" i="15"/>
  <c r="R89" i="3" s="1"/>
  <c r="AX87" i="15"/>
  <c r="AE89" i="3" s="1"/>
  <c r="AI121" i="15"/>
  <c r="P123" i="3" s="1"/>
  <c r="AV121" i="15"/>
  <c r="AC123" i="3" s="1"/>
  <c r="AK50" i="15"/>
  <c r="R52" i="3" s="1"/>
  <c r="AX50" i="15"/>
  <c r="AE52" i="3" s="1"/>
  <c r="AI178" i="15"/>
  <c r="P180" i="3" s="1"/>
  <c r="AV178" i="15"/>
  <c r="AC180" i="3" s="1"/>
  <c r="AK177" i="15"/>
  <c r="R179" i="3" s="1"/>
  <c r="AX177" i="15"/>
  <c r="AE179" i="3" s="1"/>
  <c r="AI63" i="15"/>
  <c r="P65" i="3" s="1"/>
  <c r="AV63" i="15"/>
  <c r="AC65" i="3" s="1"/>
  <c r="AK124" i="15"/>
  <c r="R126" i="3" s="1"/>
  <c r="AX124" i="15"/>
  <c r="AE126" i="3" s="1"/>
  <c r="AI169" i="15"/>
  <c r="P171" i="3" s="1"/>
  <c r="AV169" i="15"/>
  <c r="AC171" i="3" s="1"/>
  <c r="AK133" i="15"/>
  <c r="R135" i="3" s="1"/>
  <c r="AX133" i="15"/>
  <c r="AE135" i="3" s="1"/>
  <c r="AI120" i="15"/>
  <c r="P122" i="3" s="1"/>
  <c r="AV120" i="15"/>
  <c r="AC122" i="3" s="1"/>
  <c r="AU55" i="15"/>
  <c r="AB57" i="3" s="1"/>
  <c r="AJ174" i="15"/>
  <c r="Q176" i="3" s="1"/>
  <c r="AW174" i="15"/>
  <c r="AD176" i="3" s="1"/>
  <c r="AU37" i="15"/>
  <c r="AB39" i="3" s="1"/>
  <c r="AK72" i="15"/>
  <c r="R74" i="3" s="1"/>
  <c r="AX72" i="15"/>
  <c r="AE74" i="3" s="1"/>
  <c r="AK52" i="15"/>
  <c r="R54" i="3" s="1"/>
  <c r="AX52" i="15"/>
  <c r="AE54" i="3" s="1"/>
  <c r="AI197" i="15"/>
  <c r="P199" i="3" s="1"/>
  <c r="AV197" i="15"/>
  <c r="AC199" i="3" s="1"/>
  <c r="AK162" i="15"/>
  <c r="R164" i="3" s="1"/>
  <c r="AX162" i="15"/>
  <c r="AE164" i="3" s="1"/>
  <c r="AV11" i="15"/>
  <c r="AC13" i="3" s="1"/>
  <c r="AI24" i="15"/>
  <c r="P26" i="3" s="1"/>
  <c r="AK96" i="15"/>
  <c r="R98" i="3" s="1"/>
  <c r="AV26" i="15"/>
  <c r="AC28" i="3" s="1"/>
  <c r="AV67" i="15"/>
  <c r="AC69" i="3" s="1"/>
  <c r="AI135" i="15"/>
  <c r="P137" i="3" s="1"/>
  <c r="AV135" i="15"/>
  <c r="AC137" i="3" s="1"/>
  <c r="AU91" i="15"/>
  <c r="AB93" i="3" s="1"/>
  <c r="AK43" i="15"/>
  <c r="R45" i="3" s="1"/>
  <c r="AX43" i="15"/>
  <c r="AE45" i="3" s="1"/>
  <c r="AI19" i="15"/>
  <c r="P21" i="3" s="1"/>
  <c r="AV19" i="15"/>
  <c r="AC21" i="3" s="1"/>
  <c r="AU171" i="15"/>
  <c r="AB173" i="3" s="1"/>
  <c r="AJ94" i="15"/>
  <c r="Q96" i="3" s="1"/>
  <c r="AW94" i="15"/>
  <c r="AD96" i="3" s="1"/>
  <c r="AJ101" i="15"/>
  <c r="Q103" i="3" s="1"/>
  <c r="AW101" i="15"/>
  <c r="AD103" i="3" s="1"/>
  <c r="AJ65" i="15"/>
  <c r="Q67" i="3" s="1"/>
  <c r="AW65" i="15"/>
  <c r="AD67" i="3" s="1"/>
  <c r="AU87" i="15"/>
  <c r="AB89" i="3" s="1"/>
  <c r="AJ121" i="15"/>
  <c r="Q123" i="3" s="1"/>
  <c r="AW121" i="15"/>
  <c r="AD123" i="3" s="1"/>
  <c r="AU50" i="15"/>
  <c r="AB52" i="3" s="1"/>
  <c r="AJ178" i="15"/>
  <c r="Q180" i="3" s="1"/>
  <c r="AW178" i="15"/>
  <c r="AD180" i="3" s="1"/>
  <c r="AU177" i="15"/>
  <c r="AB179" i="3" s="1"/>
  <c r="AJ63" i="15"/>
  <c r="Q65" i="3" s="1"/>
  <c r="AW63" i="15"/>
  <c r="AD65" i="3" s="1"/>
  <c r="AU124" i="15"/>
  <c r="AB126" i="3" s="1"/>
  <c r="AJ169" i="15"/>
  <c r="Q171" i="3" s="1"/>
  <c r="AW169" i="15"/>
  <c r="AD171" i="3" s="1"/>
  <c r="AU133" i="15"/>
  <c r="AB135" i="3" s="1"/>
  <c r="AJ120" i="15"/>
  <c r="Q122" i="3" s="1"/>
  <c r="AW120" i="15"/>
  <c r="AD122" i="3" s="1"/>
  <c r="AV55" i="15"/>
  <c r="AC57" i="3" s="1"/>
  <c r="AK174" i="15"/>
  <c r="R176" i="3" s="1"/>
  <c r="AX174" i="15"/>
  <c r="AE176" i="3" s="1"/>
  <c r="AI37" i="15"/>
  <c r="P39" i="3" s="1"/>
  <c r="AV37" i="15"/>
  <c r="AC39" i="3" s="1"/>
  <c r="AU72" i="15"/>
  <c r="AB74" i="3" s="1"/>
  <c r="AU52" i="15"/>
  <c r="AB54" i="3" s="1"/>
  <c r="AJ197" i="15"/>
  <c r="Q199" i="3" s="1"/>
  <c r="AW197" i="15"/>
  <c r="AD199" i="3" s="1"/>
  <c r="AU162" i="15"/>
  <c r="AB164" i="3" s="1"/>
  <c r="AJ11" i="15"/>
  <c r="Q13" i="3" s="1"/>
  <c r="AI162" i="15"/>
  <c r="P164" i="3" s="1"/>
  <c r="AX11" i="15"/>
  <c r="AE13" i="3" s="1"/>
  <c r="AW151" i="15"/>
  <c r="AD153" i="3" s="1"/>
  <c r="AJ151" i="15"/>
  <c r="Q153" i="3" s="1"/>
  <c r="AV111" i="15"/>
  <c r="AC113" i="3" s="1"/>
  <c r="AI111" i="15"/>
  <c r="P113" i="3" s="1"/>
  <c r="AU7" i="15"/>
  <c r="AB9" i="3" s="1"/>
  <c r="AW89" i="15"/>
  <c r="AD91" i="3" s="1"/>
  <c r="AJ89" i="15"/>
  <c r="Q91" i="3" s="1"/>
  <c r="AX86" i="15"/>
  <c r="AE88" i="3" s="1"/>
  <c r="AK86" i="15"/>
  <c r="R88" i="3" s="1"/>
  <c r="AU185" i="15"/>
  <c r="AB187" i="3" s="1"/>
  <c r="AW8" i="15"/>
  <c r="AD10" i="3" s="1"/>
  <c r="AJ8" i="15"/>
  <c r="Q10" i="3" s="1"/>
  <c r="AU102" i="15"/>
  <c r="AB104" i="3" s="1"/>
  <c r="AV88" i="15"/>
  <c r="AC90" i="3" s="1"/>
  <c r="AI88" i="15"/>
  <c r="P90" i="3" s="1"/>
  <c r="AW193" i="15"/>
  <c r="AD195" i="3" s="1"/>
  <c r="AJ193" i="15"/>
  <c r="Q195" i="3" s="1"/>
  <c r="AW145" i="15"/>
  <c r="AD147" i="3" s="1"/>
  <c r="AJ145" i="15"/>
  <c r="Q147" i="3" s="1"/>
  <c r="AW165" i="15"/>
  <c r="AD167" i="3" s="1"/>
  <c r="AJ165" i="15"/>
  <c r="Q167" i="3" s="1"/>
  <c r="AV165" i="15"/>
  <c r="AC167" i="3" s="1"/>
  <c r="AI165" i="15"/>
  <c r="P167" i="3" s="1"/>
  <c r="AV75" i="15"/>
  <c r="AC77" i="3" s="1"/>
  <c r="AU75" i="15"/>
  <c r="AB77" i="3" s="1"/>
  <c r="AV168" i="15"/>
  <c r="AC170" i="3" s="1"/>
  <c r="AI168" i="15"/>
  <c r="P170" i="3" s="1"/>
  <c r="AU168" i="15"/>
  <c r="AB170" i="3" s="1"/>
  <c r="AV84" i="15"/>
  <c r="AC86" i="3" s="1"/>
  <c r="AI84" i="15"/>
  <c r="P86" i="3" s="1"/>
  <c r="AU84" i="15"/>
  <c r="AB86" i="3" s="1"/>
  <c r="AX119" i="15"/>
  <c r="AE121" i="3" s="1"/>
  <c r="AK119" i="15"/>
  <c r="R121" i="3" s="1"/>
  <c r="AW119" i="15"/>
  <c r="AD121" i="3" s="1"/>
  <c r="AJ119" i="15"/>
  <c r="Q121" i="3" s="1"/>
  <c r="AX82" i="15"/>
  <c r="AE84" i="3" s="1"/>
  <c r="AK82" i="15"/>
  <c r="R84" i="3" s="1"/>
  <c r="AW82" i="15"/>
  <c r="AD84" i="3" s="1"/>
  <c r="AJ82" i="15"/>
  <c r="Q84" i="3" s="1"/>
  <c r="AW41" i="15"/>
  <c r="AD43" i="3" s="1"/>
  <c r="AJ41" i="15"/>
  <c r="Q43" i="3" s="1"/>
  <c r="AV41" i="15"/>
  <c r="AC43" i="3" s="1"/>
  <c r="AI41" i="15"/>
  <c r="P43" i="3" s="1"/>
  <c r="AU184" i="15"/>
  <c r="AB186" i="3" s="1"/>
  <c r="AX184" i="15"/>
  <c r="AE186" i="3" s="1"/>
  <c r="AK184" i="15"/>
  <c r="R186" i="3" s="1"/>
  <c r="AU198" i="15"/>
  <c r="AB200" i="3" s="1"/>
  <c r="AX198" i="15"/>
  <c r="AE200" i="3" s="1"/>
  <c r="AK198" i="15"/>
  <c r="R200" i="3" s="1"/>
  <c r="AV190" i="15"/>
  <c r="AC192" i="3" s="1"/>
  <c r="AI190" i="15"/>
  <c r="P192" i="3" s="1"/>
  <c r="AU190" i="15"/>
  <c r="AB192" i="3" s="1"/>
  <c r="AJ29" i="15"/>
  <c r="Q31" i="3" s="1"/>
  <c r="AV29" i="15"/>
  <c r="AC31" i="3" s="1"/>
  <c r="AI29" i="15"/>
  <c r="P31" i="3" s="1"/>
  <c r="AW125" i="15"/>
  <c r="AD127" i="3" s="1"/>
  <c r="AJ125" i="15"/>
  <c r="Q127" i="3" s="1"/>
  <c r="AV125" i="15"/>
  <c r="AC127" i="3" s="1"/>
  <c r="AU125" i="15"/>
  <c r="AB127" i="3" s="1"/>
  <c r="AV15" i="15"/>
  <c r="AC17" i="3" s="1"/>
  <c r="AU15" i="15"/>
  <c r="AB17" i="3" s="1"/>
  <c r="AX15" i="15"/>
  <c r="AE17" i="3" s="1"/>
  <c r="AK15" i="15"/>
  <c r="R17" i="3" s="1"/>
  <c r="AU69" i="15"/>
  <c r="AB71" i="3" s="1"/>
  <c r="AX69" i="15"/>
  <c r="AE71" i="3" s="1"/>
  <c r="AK69" i="15"/>
  <c r="R71" i="3" s="1"/>
  <c r="AW69" i="15"/>
  <c r="AD71" i="3" s="1"/>
  <c r="AJ69" i="15"/>
  <c r="Q71" i="3" s="1"/>
  <c r="AV66" i="15"/>
  <c r="AC68" i="3" s="1"/>
  <c r="AU66" i="15"/>
  <c r="AB68" i="3" s="1"/>
  <c r="AX66" i="15"/>
  <c r="AE68" i="3" s="1"/>
  <c r="AK66" i="15"/>
  <c r="R68" i="3" s="1"/>
  <c r="AW70" i="15"/>
  <c r="AD72" i="3" s="1"/>
  <c r="AJ70" i="15"/>
  <c r="Q72" i="3" s="1"/>
  <c r="AV70" i="15"/>
  <c r="AC72" i="3" s="1"/>
  <c r="AI70" i="15"/>
  <c r="P72" i="3" s="1"/>
  <c r="AU70" i="15"/>
  <c r="AB72" i="3" s="1"/>
  <c r="AX49" i="15"/>
  <c r="AE51" i="3" s="1"/>
  <c r="AK49" i="15"/>
  <c r="R51" i="3" s="1"/>
  <c r="AW49" i="15"/>
  <c r="AD51" i="3" s="1"/>
  <c r="AJ49" i="15"/>
  <c r="Q51" i="3" s="1"/>
  <c r="AV49" i="15"/>
  <c r="AC51" i="3" s="1"/>
  <c r="AI49" i="15"/>
  <c r="P51" i="3" s="1"/>
  <c r="AV202" i="15"/>
  <c r="AC204" i="3" s="1"/>
  <c r="AI202" i="15"/>
  <c r="P204" i="3" s="1"/>
  <c r="AU202" i="15"/>
  <c r="AB204" i="3" s="1"/>
  <c r="AX202" i="15"/>
  <c r="AE204" i="3" s="1"/>
  <c r="AK202" i="15"/>
  <c r="R204" i="3" s="1"/>
  <c r="AX78" i="15"/>
  <c r="AE80" i="3" s="1"/>
  <c r="AK78" i="15"/>
  <c r="R80" i="3" s="1"/>
  <c r="AW78" i="15"/>
  <c r="AD80" i="3" s="1"/>
  <c r="AJ78" i="15"/>
  <c r="Q80" i="3" s="1"/>
  <c r="AV78" i="15"/>
  <c r="AC80" i="3" s="1"/>
  <c r="AI78" i="15"/>
  <c r="P80" i="3" s="1"/>
  <c r="AX32" i="15"/>
  <c r="AE34" i="3" s="1"/>
  <c r="AK32" i="15"/>
  <c r="R34" i="3" s="1"/>
  <c r="AW32" i="15"/>
  <c r="AD34" i="3" s="1"/>
  <c r="AJ32" i="15"/>
  <c r="Q34" i="3" s="1"/>
  <c r="AV32" i="15"/>
  <c r="AC34" i="3" s="1"/>
  <c r="AI32" i="15"/>
  <c r="P34" i="3" s="1"/>
  <c r="AX108" i="15"/>
  <c r="AE110" i="3" s="1"/>
  <c r="AK108" i="15"/>
  <c r="R110" i="3" s="1"/>
  <c r="AW108" i="15"/>
  <c r="AD110" i="3" s="1"/>
  <c r="AJ108" i="15"/>
  <c r="Q110" i="3" s="1"/>
  <c r="AX156" i="15"/>
  <c r="AE158" i="3" s="1"/>
  <c r="AK156" i="15"/>
  <c r="R158" i="3" s="1"/>
  <c r="H25" i="2"/>
  <c r="BP85" i="15"/>
  <c r="AT87" i="3" s="1"/>
  <c r="BP101" i="15"/>
  <c r="AT103" i="3" s="1"/>
  <c r="BP59" i="15"/>
  <c r="AT61" i="3" s="1"/>
  <c r="CC10" i="15"/>
  <c r="BG12" i="3" s="1"/>
  <c r="CB10" i="15"/>
  <c r="BF12" i="3" s="1"/>
  <c r="BP10" i="15"/>
  <c r="AT12" i="3" s="1"/>
  <c r="BR10" i="15"/>
  <c r="AV12" i="3" s="1"/>
  <c r="CE10" i="15"/>
  <c r="BI12" i="3" s="1"/>
  <c r="BQ10" i="15"/>
  <c r="AU12" i="3" s="1"/>
  <c r="CD10" i="15"/>
  <c r="BH12" i="3" s="1"/>
  <c r="CB9" i="15"/>
  <c r="BF11" i="3" s="1"/>
  <c r="BP9" i="15"/>
  <c r="AT11" i="3" s="1"/>
  <c r="CC9" i="15"/>
  <c r="BG11" i="3" s="1"/>
  <c r="BR9" i="15"/>
  <c r="AV11" i="3" s="1"/>
  <c r="BQ9" i="15"/>
  <c r="AU11" i="3" s="1"/>
  <c r="CD9" i="15"/>
  <c r="BH11" i="3" s="1"/>
  <c r="CE9" i="15"/>
  <c r="BI11" i="3" s="1"/>
  <c r="CB100" i="15"/>
  <c r="BF102" i="3" s="1"/>
  <c r="BP100" i="15"/>
  <c r="AT102" i="3" s="1"/>
  <c r="CC100" i="15"/>
  <c r="BG102" i="3" s="1"/>
  <c r="CE100" i="15"/>
  <c r="BI102" i="3" s="1"/>
  <c r="BR100" i="15"/>
  <c r="AV102" i="3" s="1"/>
  <c r="BQ100" i="15"/>
  <c r="AU102" i="3" s="1"/>
  <c r="CD100" i="15"/>
  <c r="BH102" i="3" s="1"/>
  <c r="BP158" i="15"/>
  <c r="AT160" i="3" s="1"/>
  <c r="CC158" i="15"/>
  <c r="BG160" i="3" s="1"/>
  <c r="CB158" i="15"/>
  <c r="BF160" i="3" s="1"/>
  <c r="BR158" i="15"/>
  <c r="AV160" i="3" s="1"/>
  <c r="CE158" i="15"/>
  <c r="BI160" i="3" s="1"/>
  <c r="BQ158" i="15"/>
  <c r="AU160" i="3" s="1"/>
  <c r="CD158" i="15"/>
  <c r="BH160" i="3" s="1"/>
  <c r="CC20" i="15"/>
  <c r="BG22" i="3" s="1"/>
  <c r="BP20" i="15"/>
  <c r="AT22" i="3" s="1"/>
  <c r="CB20" i="15"/>
  <c r="BF22" i="3" s="1"/>
  <c r="CE20" i="15"/>
  <c r="BI22" i="3" s="1"/>
  <c r="BR20" i="15"/>
  <c r="AV22" i="3" s="1"/>
  <c r="BQ20" i="15"/>
  <c r="AU22" i="3" s="1"/>
  <c r="CD20" i="15"/>
  <c r="BH22" i="3" s="1"/>
  <c r="BP118" i="15"/>
  <c r="AT120" i="3" s="1"/>
  <c r="CC118" i="15"/>
  <c r="BG120" i="3" s="1"/>
  <c r="CB118" i="15"/>
  <c r="BF120" i="3" s="1"/>
  <c r="BR118" i="15"/>
  <c r="AV120" i="3" s="1"/>
  <c r="BQ118" i="15"/>
  <c r="AU120" i="3" s="1"/>
  <c r="CE118" i="15"/>
  <c r="BI120" i="3" s="1"/>
  <c r="CD118" i="15"/>
  <c r="BH120" i="3" s="1"/>
  <c r="CB122" i="15"/>
  <c r="BF124" i="3" s="1"/>
  <c r="BP122" i="15"/>
  <c r="AT124" i="3" s="1"/>
  <c r="CC122" i="15"/>
  <c r="BG124" i="3" s="1"/>
  <c r="CE122" i="15"/>
  <c r="BI124" i="3" s="1"/>
  <c r="BR122" i="15"/>
  <c r="AV124" i="3" s="1"/>
  <c r="BQ122" i="15"/>
  <c r="AU124" i="3" s="1"/>
  <c r="CD122" i="15"/>
  <c r="BH124" i="3" s="1"/>
  <c r="BP117" i="15"/>
  <c r="AT119" i="3" s="1"/>
  <c r="CC117" i="15"/>
  <c r="BG119" i="3" s="1"/>
  <c r="CB117" i="15"/>
  <c r="BF119" i="3" s="1"/>
  <c r="BR117" i="15"/>
  <c r="AV119" i="3" s="1"/>
  <c r="CE117" i="15"/>
  <c r="BI119" i="3" s="1"/>
  <c r="BQ117" i="15"/>
  <c r="AU119" i="3" s="1"/>
  <c r="CD117" i="15"/>
  <c r="BH119" i="3" s="1"/>
  <c r="BP18" i="15"/>
  <c r="AT20" i="3" s="1"/>
  <c r="CC18" i="15"/>
  <c r="BG20" i="3" s="1"/>
  <c r="CB18" i="15"/>
  <c r="BF20" i="3" s="1"/>
  <c r="BR18" i="15"/>
  <c r="AV20" i="3" s="1"/>
  <c r="CE18" i="15"/>
  <c r="BI20" i="3" s="1"/>
  <c r="BQ18" i="15"/>
  <c r="AU20" i="3" s="1"/>
  <c r="CD18" i="15"/>
  <c r="BH20" i="3" s="1"/>
  <c r="BP143" i="15"/>
  <c r="AT145" i="3" s="1"/>
  <c r="CC143" i="15"/>
  <c r="BG145" i="3" s="1"/>
  <c r="CB143" i="15"/>
  <c r="BF145" i="3" s="1"/>
  <c r="CE143" i="15"/>
  <c r="BI145" i="3" s="1"/>
  <c r="BR143" i="15"/>
  <c r="AV145" i="3" s="1"/>
  <c r="BQ143" i="15"/>
  <c r="AU145" i="3" s="1"/>
  <c r="CD143" i="15"/>
  <c r="BH145" i="3" s="1"/>
  <c r="BP54" i="15"/>
  <c r="AT56" i="3" s="1"/>
  <c r="CC54" i="15"/>
  <c r="BG56" i="3" s="1"/>
  <c r="CB54" i="15"/>
  <c r="BF56" i="3" s="1"/>
  <c r="BR54" i="15"/>
  <c r="AV56" i="3" s="1"/>
  <c r="CE54" i="15"/>
  <c r="BI56" i="3" s="1"/>
  <c r="BQ54" i="15"/>
  <c r="AU56" i="3" s="1"/>
  <c r="CD54" i="15"/>
  <c r="BH56" i="3" s="1"/>
  <c r="BP99" i="15"/>
  <c r="AT101" i="3" s="1"/>
  <c r="CC99" i="15"/>
  <c r="BG101" i="3" s="1"/>
  <c r="CB99" i="15"/>
  <c r="BF101" i="3" s="1"/>
  <c r="CE99" i="15"/>
  <c r="BI101" i="3" s="1"/>
  <c r="BR99" i="15"/>
  <c r="AV101" i="3" s="1"/>
  <c r="BQ99" i="15"/>
  <c r="AU101" i="3" s="1"/>
  <c r="CD99" i="15"/>
  <c r="BH101" i="3" s="1"/>
  <c r="BP98" i="15"/>
  <c r="AT100" i="3" s="1"/>
  <c r="CC98" i="15"/>
  <c r="BG100" i="3" s="1"/>
  <c r="CB98" i="15"/>
  <c r="BF100" i="3" s="1"/>
  <c r="BR98" i="15"/>
  <c r="AV100" i="3" s="1"/>
  <c r="CE98" i="15"/>
  <c r="BI100" i="3" s="1"/>
  <c r="BQ98" i="15"/>
  <c r="AU100" i="3" s="1"/>
  <c r="CD98" i="15"/>
  <c r="BH100" i="3" s="1"/>
  <c r="BP166" i="15"/>
  <c r="AT168" i="3" s="1"/>
  <c r="CC166" i="15"/>
  <c r="BG168" i="3" s="1"/>
  <c r="CB166" i="15"/>
  <c r="BF168" i="3" s="1"/>
  <c r="BR166" i="15"/>
  <c r="AV168" i="3" s="1"/>
  <c r="CE166" i="15"/>
  <c r="BI168" i="3" s="1"/>
  <c r="BQ166" i="15"/>
  <c r="AU168" i="3" s="1"/>
  <c r="CD166" i="15"/>
  <c r="BH168" i="3" s="1"/>
  <c r="BP76" i="15"/>
  <c r="AT78" i="3" s="1"/>
  <c r="CC76" i="15"/>
  <c r="BG78" i="3" s="1"/>
  <c r="CB76" i="15"/>
  <c r="BF78" i="3" s="1"/>
  <c r="BR76" i="15"/>
  <c r="AV78" i="3" s="1"/>
  <c r="CE76" i="15"/>
  <c r="BI78" i="3" s="1"/>
  <c r="BQ76" i="15"/>
  <c r="AU78" i="3" s="1"/>
  <c r="CD76" i="15"/>
  <c r="BH78" i="3" s="1"/>
  <c r="BP56" i="15"/>
  <c r="AT58" i="3" s="1"/>
  <c r="CC56" i="15"/>
  <c r="BG58" i="3" s="1"/>
  <c r="CB56" i="15"/>
  <c r="BF58" i="3" s="1"/>
  <c r="BQ56" i="15"/>
  <c r="AU58" i="3" s="1"/>
  <c r="CE56" i="15"/>
  <c r="BI58" i="3" s="1"/>
  <c r="BR56" i="15"/>
  <c r="AV58" i="3" s="1"/>
  <c r="CD56" i="15"/>
  <c r="BH58" i="3" s="1"/>
  <c r="CC188" i="15"/>
  <c r="BG190" i="3" s="1"/>
  <c r="CB188" i="15"/>
  <c r="BF190" i="3" s="1"/>
  <c r="BP188" i="15"/>
  <c r="AT190" i="3" s="1"/>
  <c r="CE188" i="15"/>
  <c r="BI190" i="3" s="1"/>
  <c r="BR188" i="15"/>
  <c r="AV190" i="3" s="1"/>
  <c r="BQ188" i="15"/>
  <c r="AU190" i="3" s="1"/>
  <c r="CD188" i="15"/>
  <c r="BH190" i="3" s="1"/>
  <c r="CB204" i="15"/>
  <c r="BF206" i="3" s="1"/>
  <c r="CC204" i="15"/>
  <c r="BG206" i="3" s="1"/>
  <c r="BP204" i="15"/>
  <c r="AT206" i="3" s="1"/>
  <c r="CE204" i="15"/>
  <c r="BI206" i="3" s="1"/>
  <c r="BR204" i="15"/>
  <c r="AV206" i="3" s="1"/>
  <c r="BQ204" i="15"/>
  <c r="AU206" i="3" s="1"/>
  <c r="CD204" i="15"/>
  <c r="BH206" i="3" s="1"/>
  <c r="CC93" i="15"/>
  <c r="BG95" i="3" s="1"/>
  <c r="CB93" i="15"/>
  <c r="BF95" i="3" s="1"/>
  <c r="BP93" i="15"/>
  <c r="AT95" i="3" s="1"/>
  <c r="CE93" i="15"/>
  <c r="BI95" i="3" s="1"/>
  <c r="BQ93" i="15"/>
  <c r="AU95" i="3" s="1"/>
  <c r="CD93" i="15"/>
  <c r="BH95" i="3" s="1"/>
  <c r="BR93" i="15"/>
  <c r="AV95" i="3" s="1"/>
  <c r="BP141" i="15"/>
  <c r="AT143" i="3" s="1"/>
  <c r="CC141" i="15"/>
  <c r="BG143" i="3" s="1"/>
  <c r="CB141" i="15"/>
  <c r="BF143" i="3" s="1"/>
  <c r="BQ141" i="15"/>
  <c r="AU143" i="3" s="1"/>
  <c r="BR141" i="15"/>
  <c r="AV143" i="3" s="1"/>
  <c r="CE141" i="15"/>
  <c r="BI143" i="3" s="1"/>
  <c r="CD141" i="15"/>
  <c r="BH143" i="3" s="1"/>
  <c r="CB68" i="15"/>
  <c r="BF70" i="3" s="1"/>
  <c r="BP68" i="15"/>
  <c r="AT70" i="3" s="1"/>
  <c r="CC68" i="15"/>
  <c r="BG70" i="3" s="1"/>
  <c r="CE68" i="15"/>
  <c r="BI70" i="3" s="1"/>
  <c r="BR68" i="15"/>
  <c r="AV70" i="3" s="1"/>
  <c r="BQ68" i="15"/>
  <c r="AU70" i="3" s="1"/>
  <c r="CD68" i="15"/>
  <c r="BH70" i="3" s="1"/>
  <c r="BP138" i="15"/>
  <c r="AT140" i="3" s="1"/>
  <c r="CC138" i="15"/>
  <c r="BG140" i="3" s="1"/>
  <c r="CB138" i="15"/>
  <c r="BF140" i="3" s="1"/>
  <c r="CE138" i="15"/>
  <c r="BI140" i="3" s="1"/>
  <c r="BR138" i="15"/>
  <c r="AV140" i="3" s="1"/>
  <c r="BQ138" i="15"/>
  <c r="AU140" i="3" s="1"/>
  <c r="CD138" i="15"/>
  <c r="BH140" i="3" s="1"/>
  <c r="BP113" i="15"/>
  <c r="AT115" i="3" s="1"/>
  <c r="CC113" i="15"/>
  <c r="BG115" i="3" s="1"/>
  <c r="CB113" i="15"/>
  <c r="BF115" i="3" s="1"/>
  <c r="CE113" i="15"/>
  <c r="BI115" i="3" s="1"/>
  <c r="BR113" i="15"/>
  <c r="AV115" i="3" s="1"/>
  <c r="BQ113" i="15"/>
  <c r="AU115" i="3" s="1"/>
  <c r="CD113" i="15"/>
  <c r="BH115" i="3" s="1"/>
  <c r="BP16" i="15"/>
  <c r="AT18" i="3" s="1"/>
  <c r="CC16" i="15"/>
  <c r="BG18" i="3" s="1"/>
  <c r="CB16" i="15"/>
  <c r="BF18" i="3" s="1"/>
  <c r="BQ16" i="15"/>
  <c r="AU18" i="3" s="1"/>
  <c r="CE16" i="15"/>
  <c r="BI18" i="3" s="1"/>
  <c r="BR16" i="15"/>
  <c r="AV18" i="3" s="1"/>
  <c r="CD16" i="15"/>
  <c r="BH18" i="3" s="1"/>
  <c r="CB187" i="15"/>
  <c r="BF189" i="3" s="1"/>
  <c r="BP187" i="15"/>
  <c r="AT189" i="3" s="1"/>
  <c r="CC187" i="15"/>
  <c r="BG189" i="3" s="1"/>
  <c r="BQ187" i="15"/>
  <c r="AU189" i="3" s="1"/>
  <c r="CE187" i="15"/>
  <c r="BI189" i="3" s="1"/>
  <c r="BR187" i="15"/>
  <c r="AV189" i="3" s="1"/>
  <c r="CD187" i="15"/>
  <c r="BH189" i="3" s="1"/>
  <c r="BP90" i="15"/>
  <c r="AT92" i="3" s="1"/>
  <c r="CB90" i="15"/>
  <c r="BF92" i="3" s="1"/>
  <c r="CC90" i="15"/>
  <c r="BG92" i="3" s="1"/>
  <c r="CE90" i="15"/>
  <c r="BI92" i="3" s="1"/>
  <c r="BR90" i="15"/>
  <c r="AV92" i="3" s="1"/>
  <c r="BQ90" i="15"/>
  <c r="AU92" i="3" s="1"/>
  <c r="CD90" i="15"/>
  <c r="BH92" i="3" s="1"/>
  <c r="BP57" i="15"/>
  <c r="AT59" i="3" s="1"/>
  <c r="CC57" i="15"/>
  <c r="BG59" i="3" s="1"/>
  <c r="CB57" i="15"/>
  <c r="BF59" i="3" s="1"/>
  <c r="CE57" i="15"/>
  <c r="BI59" i="3" s="1"/>
  <c r="BR57" i="15"/>
  <c r="AV59" i="3" s="1"/>
  <c r="BQ57" i="15"/>
  <c r="AU59" i="3" s="1"/>
  <c r="CD57" i="15"/>
  <c r="BH59" i="3" s="1"/>
  <c r="BP186" i="15"/>
  <c r="AT188" i="3" s="1"/>
  <c r="CC186" i="15"/>
  <c r="BG188" i="3" s="1"/>
  <c r="CB186" i="15"/>
  <c r="BF188" i="3" s="1"/>
  <c r="CE186" i="15"/>
  <c r="BI188" i="3" s="1"/>
  <c r="BR186" i="15"/>
  <c r="AV188" i="3" s="1"/>
  <c r="BQ186" i="15"/>
  <c r="AU188" i="3" s="1"/>
  <c r="CD186" i="15"/>
  <c r="BH188" i="3" s="1"/>
  <c r="BP129" i="15"/>
  <c r="AT131" i="3" s="1"/>
  <c r="CC129" i="15"/>
  <c r="BG131" i="3" s="1"/>
  <c r="CB129" i="15"/>
  <c r="BF131" i="3" s="1"/>
  <c r="CE129" i="15"/>
  <c r="BI131" i="3" s="1"/>
  <c r="BQ129" i="15"/>
  <c r="AU131" i="3" s="1"/>
  <c r="BR129" i="15"/>
  <c r="AV131" i="3" s="1"/>
  <c r="CD129" i="15"/>
  <c r="BH131" i="3" s="1"/>
  <c r="BP192" i="15"/>
  <c r="AT194" i="3" s="1"/>
  <c r="CC192" i="15"/>
  <c r="BG194" i="3" s="1"/>
  <c r="CB192" i="15"/>
  <c r="BF194" i="3" s="1"/>
  <c r="BQ192" i="15"/>
  <c r="AU194" i="3" s="1"/>
  <c r="CE192" i="15"/>
  <c r="BI194" i="3" s="1"/>
  <c r="BR192" i="15"/>
  <c r="AV194" i="3" s="1"/>
  <c r="CD192" i="15"/>
  <c r="BH194" i="3" s="1"/>
  <c r="BP44" i="15"/>
  <c r="AT46" i="3" s="1"/>
  <c r="CC44" i="15"/>
  <c r="BG46" i="3" s="1"/>
  <c r="CB44" i="15"/>
  <c r="BF46" i="3" s="1"/>
  <c r="CE44" i="15"/>
  <c r="BI46" i="3" s="1"/>
  <c r="BR44" i="15"/>
  <c r="AV46" i="3" s="1"/>
  <c r="BQ44" i="15"/>
  <c r="AU46" i="3" s="1"/>
  <c r="CD44" i="15"/>
  <c r="BH46" i="3" s="1"/>
  <c r="BP199" i="15"/>
  <c r="AT201" i="3" s="1"/>
  <c r="CC199" i="15"/>
  <c r="BG201" i="3" s="1"/>
  <c r="CB199" i="15"/>
  <c r="BF201" i="3" s="1"/>
  <c r="BQ199" i="15"/>
  <c r="AU201" i="3" s="1"/>
  <c r="CE199" i="15"/>
  <c r="BI201" i="3" s="1"/>
  <c r="CD199" i="15"/>
  <c r="BH201" i="3" s="1"/>
  <c r="BR199" i="15"/>
  <c r="AV201" i="3" s="1"/>
  <c r="BP74" i="15"/>
  <c r="AT76" i="3" s="1"/>
  <c r="CC74" i="15"/>
  <c r="BG76" i="3" s="1"/>
  <c r="CB74" i="15"/>
  <c r="BF76" i="3" s="1"/>
  <c r="CE74" i="15"/>
  <c r="BI76" i="3" s="1"/>
  <c r="BR74" i="15"/>
  <c r="AV76" i="3" s="1"/>
  <c r="BQ74" i="15"/>
  <c r="AU76" i="3" s="1"/>
  <c r="CD74" i="15"/>
  <c r="BH76" i="3" s="1"/>
  <c r="BP45" i="15"/>
  <c r="AT47" i="3" s="1"/>
  <c r="CC45" i="15"/>
  <c r="BG47" i="3" s="1"/>
  <c r="CB45" i="15"/>
  <c r="BF47" i="3" s="1"/>
  <c r="CE45" i="15"/>
  <c r="BI47" i="3" s="1"/>
  <c r="BR45" i="15"/>
  <c r="AV47" i="3" s="1"/>
  <c r="BQ45" i="15"/>
  <c r="AU47" i="3" s="1"/>
  <c r="CD45" i="15"/>
  <c r="BH47" i="3" s="1"/>
  <c r="CC60" i="15"/>
  <c r="BG62" i="3" s="1"/>
  <c r="BP60" i="15"/>
  <c r="AT62" i="3" s="1"/>
  <c r="CB60" i="15"/>
  <c r="BF62" i="3" s="1"/>
  <c r="CE60" i="15"/>
  <c r="BI62" i="3" s="1"/>
  <c r="BR60" i="15"/>
  <c r="AV62" i="3" s="1"/>
  <c r="BQ60" i="15"/>
  <c r="AU62" i="3" s="1"/>
  <c r="CD60" i="15"/>
  <c r="BH62" i="3" s="1"/>
  <c r="CC153" i="15"/>
  <c r="BG155" i="3" s="1"/>
  <c r="BP153" i="15"/>
  <c r="AT155" i="3" s="1"/>
  <c r="CB153" i="15"/>
  <c r="BF155" i="3" s="1"/>
  <c r="BR153" i="15"/>
  <c r="AV155" i="3" s="1"/>
  <c r="CE153" i="15"/>
  <c r="BI155" i="3" s="1"/>
  <c r="BQ153" i="15"/>
  <c r="AU155" i="3" s="1"/>
  <c r="CD153" i="15"/>
  <c r="BH155" i="3" s="1"/>
  <c r="CC164" i="15"/>
  <c r="BG166" i="3" s="1"/>
  <c r="BP164" i="15"/>
  <c r="AT166" i="3" s="1"/>
  <c r="CB164" i="15"/>
  <c r="BF166" i="3" s="1"/>
  <c r="BR164" i="15"/>
  <c r="AV166" i="3" s="1"/>
  <c r="CE164" i="15"/>
  <c r="BI166" i="3" s="1"/>
  <c r="BQ164" i="15"/>
  <c r="AU166" i="3" s="1"/>
  <c r="CD164" i="15"/>
  <c r="BH166" i="3" s="1"/>
  <c r="CB116" i="15"/>
  <c r="BF118" i="3" s="1"/>
  <c r="BP116" i="15"/>
  <c r="AT118" i="3" s="1"/>
  <c r="CC116" i="15"/>
  <c r="BG118" i="3" s="1"/>
  <c r="BR116" i="15"/>
  <c r="AV118" i="3" s="1"/>
  <c r="BQ116" i="15"/>
  <c r="AU118" i="3" s="1"/>
  <c r="CE116" i="15"/>
  <c r="BI118" i="3" s="1"/>
  <c r="CD116" i="15"/>
  <c r="BH118" i="3" s="1"/>
  <c r="CB109" i="15"/>
  <c r="BF111" i="3" s="1"/>
  <c r="BP109" i="15"/>
  <c r="AT111" i="3" s="1"/>
  <c r="CC109" i="15"/>
  <c r="BG111" i="3" s="1"/>
  <c r="BR109" i="15"/>
  <c r="AV111" i="3" s="1"/>
  <c r="CE109" i="15"/>
  <c r="BI111" i="3" s="1"/>
  <c r="BQ109" i="15"/>
  <c r="AU111" i="3" s="1"/>
  <c r="CD109" i="15"/>
  <c r="BH111" i="3" s="1"/>
  <c r="CC30" i="15"/>
  <c r="BG32" i="3" s="1"/>
  <c r="BP30" i="15"/>
  <c r="AT32" i="3" s="1"/>
  <c r="CB30" i="15"/>
  <c r="BF32" i="3" s="1"/>
  <c r="BR30" i="15"/>
  <c r="AV32" i="3" s="1"/>
  <c r="CE30" i="15"/>
  <c r="BI32" i="3" s="1"/>
  <c r="BQ30" i="15"/>
  <c r="AU32" i="3" s="1"/>
  <c r="CD30" i="15"/>
  <c r="BH32" i="3" s="1"/>
  <c r="BP97" i="15"/>
  <c r="AT99" i="3" s="1"/>
  <c r="CC97" i="15"/>
  <c r="BG99" i="3" s="1"/>
  <c r="CB97" i="15"/>
  <c r="BF99" i="3" s="1"/>
  <c r="CE97" i="15"/>
  <c r="BI99" i="3" s="1"/>
  <c r="BR97" i="15"/>
  <c r="AV99" i="3" s="1"/>
  <c r="BQ97" i="15"/>
  <c r="AU99" i="3" s="1"/>
  <c r="CD97" i="15"/>
  <c r="BH99" i="3" s="1"/>
  <c r="CB62" i="15"/>
  <c r="BF64" i="3" s="1"/>
  <c r="BP62" i="15"/>
  <c r="AT64" i="3" s="1"/>
  <c r="CC62" i="15"/>
  <c r="BG64" i="3" s="1"/>
  <c r="BR62" i="15"/>
  <c r="AV64" i="3" s="1"/>
  <c r="CE62" i="15"/>
  <c r="BI64" i="3" s="1"/>
  <c r="BQ62" i="15"/>
  <c r="AU64" i="3" s="1"/>
  <c r="CD62" i="15"/>
  <c r="BH64" i="3" s="1"/>
  <c r="BP137" i="15"/>
  <c r="AT139" i="3" s="1"/>
  <c r="CC137" i="15"/>
  <c r="BG139" i="3" s="1"/>
  <c r="CB137" i="15"/>
  <c r="BF139" i="3" s="1"/>
  <c r="BR137" i="15"/>
  <c r="AV139" i="3" s="1"/>
  <c r="CE137" i="15"/>
  <c r="BI139" i="3" s="1"/>
  <c r="BQ137" i="15"/>
  <c r="AU139" i="3" s="1"/>
  <c r="CD137" i="15"/>
  <c r="BH139" i="3" s="1"/>
  <c r="BP148" i="15"/>
  <c r="AT150" i="3" s="1"/>
  <c r="CC148" i="15"/>
  <c r="BG150" i="3" s="1"/>
  <c r="CB148" i="15"/>
  <c r="BF150" i="3" s="1"/>
  <c r="BR148" i="15"/>
  <c r="AV150" i="3" s="1"/>
  <c r="BQ148" i="15"/>
  <c r="AU150" i="3" s="1"/>
  <c r="CE148" i="15"/>
  <c r="BI150" i="3" s="1"/>
  <c r="CD148" i="15"/>
  <c r="BH150" i="3" s="1"/>
  <c r="BP140" i="15"/>
  <c r="AT142" i="3" s="1"/>
  <c r="CC140" i="15"/>
  <c r="BG142" i="3" s="1"/>
  <c r="CB140" i="15"/>
  <c r="BF142" i="3" s="1"/>
  <c r="BR140" i="15"/>
  <c r="AV142" i="3" s="1"/>
  <c r="CE140" i="15"/>
  <c r="BI142" i="3" s="1"/>
  <c r="BQ140" i="15"/>
  <c r="AU142" i="3" s="1"/>
  <c r="CD140" i="15"/>
  <c r="BH142" i="3" s="1"/>
  <c r="BP112" i="15"/>
  <c r="AT114" i="3" s="1"/>
  <c r="CC112" i="15"/>
  <c r="BG114" i="3" s="1"/>
  <c r="CB112" i="15"/>
  <c r="BF114" i="3" s="1"/>
  <c r="CE112" i="15"/>
  <c r="BI114" i="3" s="1"/>
  <c r="BQ112" i="15"/>
  <c r="AU114" i="3" s="1"/>
  <c r="BR112" i="15"/>
  <c r="AV114" i="3" s="1"/>
  <c r="CD112" i="15"/>
  <c r="BH114" i="3" s="1"/>
  <c r="BP149" i="15"/>
  <c r="AT151" i="3" s="1"/>
  <c r="CC149" i="15"/>
  <c r="BG151" i="3" s="1"/>
  <c r="CB149" i="15"/>
  <c r="BF151" i="3" s="1"/>
  <c r="BR149" i="15"/>
  <c r="AV151" i="3" s="1"/>
  <c r="BQ149" i="15"/>
  <c r="AU151" i="3" s="1"/>
  <c r="CE149" i="15"/>
  <c r="BI151" i="3" s="1"/>
  <c r="CD149" i="15"/>
  <c r="BH151" i="3" s="1"/>
  <c r="BP132" i="15"/>
  <c r="AT134" i="3" s="1"/>
  <c r="CC132" i="15"/>
  <c r="BG134" i="3" s="1"/>
  <c r="CB132" i="15"/>
  <c r="BF134" i="3" s="1"/>
  <c r="CE132" i="15"/>
  <c r="BI134" i="3" s="1"/>
  <c r="BR132" i="15"/>
  <c r="AV134" i="3" s="1"/>
  <c r="BQ132" i="15"/>
  <c r="AU134" i="3" s="1"/>
  <c r="CD132" i="15"/>
  <c r="BH134" i="3" s="1"/>
  <c r="CB131" i="15"/>
  <c r="BF133" i="3" s="1"/>
  <c r="BP131" i="15"/>
  <c r="AT133" i="3" s="1"/>
  <c r="CC131" i="15"/>
  <c r="BG133" i="3" s="1"/>
  <c r="BQ131" i="15"/>
  <c r="AU133" i="3" s="1"/>
  <c r="CE131" i="15"/>
  <c r="BI133" i="3" s="1"/>
  <c r="BR131" i="15"/>
  <c r="AV133" i="3" s="1"/>
  <c r="CD131" i="15"/>
  <c r="BH133" i="3" s="1"/>
  <c r="BP146" i="15"/>
  <c r="AT148" i="3" s="1"/>
  <c r="CC146" i="15"/>
  <c r="BG148" i="3" s="1"/>
  <c r="CB146" i="15"/>
  <c r="BF148" i="3" s="1"/>
  <c r="CE146" i="15"/>
  <c r="BI148" i="3" s="1"/>
  <c r="BR146" i="15"/>
  <c r="AV148" i="3" s="1"/>
  <c r="BQ146" i="15"/>
  <c r="AU148" i="3" s="1"/>
  <c r="CD146" i="15"/>
  <c r="BH148" i="3" s="1"/>
  <c r="CC139" i="15"/>
  <c r="BG141" i="3" s="1"/>
  <c r="CB139" i="15"/>
  <c r="BF141" i="3" s="1"/>
  <c r="BP139" i="15"/>
  <c r="AT141" i="3" s="1"/>
  <c r="BQ139" i="15"/>
  <c r="AU141" i="3" s="1"/>
  <c r="CE139" i="15"/>
  <c r="BI141" i="3" s="1"/>
  <c r="BR139" i="15"/>
  <c r="AV141" i="3" s="1"/>
  <c r="CD139" i="15"/>
  <c r="BH141" i="3" s="1"/>
  <c r="CC42" i="15"/>
  <c r="BG44" i="3" s="1"/>
  <c r="CB42" i="15"/>
  <c r="BF44" i="3" s="1"/>
  <c r="BP42" i="15"/>
  <c r="AT44" i="3" s="1"/>
  <c r="BR42" i="15"/>
  <c r="AV44" i="3" s="1"/>
  <c r="CE42" i="15"/>
  <c r="BI44" i="3" s="1"/>
  <c r="BQ42" i="15"/>
  <c r="AU44" i="3" s="1"/>
  <c r="CD42" i="15"/>
  <c r="BH44" i="3" s="1"/>
  <c r="CC170" i="15"/>
  <c r="BG172" i="3" s="1"/>
  <c r="BP170" i="15"/>
  <c r="AT172" i="3" s="1"/>
  <c r="CB170" i="15"/>
  <c r="BF172" i="3" s="1"/>
  <c r="CE170" i="15"/>
  <c r="BI172" i="3" s="1"/>
  <c r="BR170" i="15"/>
  <c r="AV172" i="3" s="1"/>
  <c r="BQ170" i="15"/>
  <c r="AU172" i="3" s="1"/>
  <c r="CD170" i="15"/>
  <c r="BH172" i="3" s="1"/>
  <c r="CB81" i="15"/>
  <c r="BF83" i="3" s="1"/>
  <c r="CC81" i="15"/>
  <c r="BG83" i="3" s="1"/>
  <c r="BP81" i="15"/>
  <c r="AT83" i="3" s="1"/>
  <c r="CE81" i="15"/>
  <c r="BI83" i="3" s="1"/>
  <c r="BR81" i="15"/>
  <c r="AV83" i="3" s="1"/>
  <c r="BQ81" i="15"/>
  <c r="AU83" i="3" s="1"/>
  <c r="CD81" i="15"/>
  <c r="BH83" i="3" s="1"/>
  <c r="CC33" i="15"/>
  <c r="BG35" i="3" s="1"/>
  <c r="BP33" i="15"/>
  <c r="AT35" i="3" s="1"/>
  <c r="CB33" i="15"/>
  <c r="BF35" i="3" s="1"/>
  <c r="CE33" i="15"/>
  <c r="BI35" i="3" s="1"/>
  <c r="BR33" i="15"/>
  <c r="AV35" i="3" s="1"/>
  <c r="BQ33" i="15"/>
  <c r="AU35" i="3" s="1"/>
  <c r="CD33" i="15"/>
  <c r="BH35" i="3" s="1"/>
  <c r="CB152" i="15"/>
  <c r="BF154" i="3" s="1"/>
  <c r="BP152" i="15"/>
  <c r="AT154" i="3" s="1"/>
  <c r="CC152" i="15"/>
  <c r="BG154" i="3" s="1"/>
  <c r="BQ152" i="15"/>
  <c r="AU154" i="3" s="1"/>
  <c r="CE152" i="15"/>
  <c r="BI154" i="3" s="1"/>
  <c r="BR152" i="15"/>
  <c r="AV154" i="3" s="1"/>
  <c r="CD152" i="15"/>
  <c r="BH154" i="3" s="1"/>
  <c r="CC48" i="15"/>
  <c r="BG50" i="3" s="1"/>
  <c r="CB48" i="15"/>
  <c r="BF50" i="3" s="1"/>
  <c r="BP48" i="15"/>
  <c r="AT50" i="3" s="1"/>
  <c r="BQ48" i="15"/>
  <c r="AU50" i="3" s="1"/>
  <c r="CE48" i="15"/>
  <c r="BI50" i="3" s="1"/>
  <c r="BR48" i="15"/>
  <c r="AV50" i="3" s="1"/>
  <c r="CD48" i="15"/>
  <c r="BH50" i="3" s="1"/>
  <c r="CC142" i="15"/>
  <c r="BG144" i="3" s="1"/>
  <c r="BP142" i="15"/>
  <c r="AT144" i="3" s="1"/>
  <c r="CB142" i="15"/>
  <c r="BF144" i="3" s="1"/>
  <c r="BR142" i="15"/>
  <c r="AV144" i="3" s="1"/>
  <c r="BQ142" i="15"/>
  <c r="AU144" i="3" s="1"/>
  <c r="CE142" i="15"/>
  <c r="BI144" i="3" s="1"/>
  <c r="CD142" i="15"/>
  <c r="BH144" i="3" s="1"/>
  <c r="CB92" i="15"/>
  <c r="BF94" i="3" s="1"/>
  <c r="BP92" i="15"/>
  <c r="AT94" i="3" s="1"/>
  <c r="CC92" i="15"/>
  <c r="BG94" i="3" s="1"/>
  <c r="CE92" i="15"/>
  <c r="BI94" i="3" s="1"/>
  <c r="BR92" i="15"/>
  <c r="AV94" i="3" s="1"/>
  <c r="BQ92" i="15"/>
  <c r="AU94" i="3" s="1"/>
  <c r="CD92" i="15"/>
  <c r="BH94" i="3" s="1"/>
  <c r="BP172" i="15"/>
  <c r="AT174" i="3" s="1"/>
  <c r="CC172" i="15"/>
  <c r="BG174" i="3" s="1"/>
  <c r="CB172" i="15"/>
  <c r="BF174" i="3" s="1"/>
  <c r="CE172" i="15"/>
  <c r="BI174" i="3" s="1"/>
  <c r="BR172" i="15"/>
  <c r="AV174" i="3" s="1"/>
  <c r="BQ172" i="15"/>
  <c r="AU174" i="3" s="1"/>
  <c r="CD172" i="15"/>
  <c r="BH174" i="3" s="1"/>
  <c r="BP173" i="15"/>
  <c r="AT175" i="3" s="1"/>
  <c r="CC173" i="15"/>
  <c r="BG175" i="3" s="1"/>
  <c r="CB173" i="15"/>
  <c r="BF175" i="3" s="1"/>
  <c r="BR173" i="15"/>
  <c r="AV175" i="3" s="1"/>
  <c r="CE173" i="15"/>
  <c r="BI175" i="3" s="1"/>
  <c r="BQ173" i="15"/>
  <c r="AU175" i="3" s="1"/>
  <c r="CD173" i="15"/>
  <c r="BH175" i="3" s="1"/>
  <c r="BP191" i="15"/>
  <c r="AT193" i="3" s="1"/>
  <c r="CC191" i="15"/>
  <c r="BG193" i="3" s="1"/>
  <c r="CB191" i="15"/>
  <c r="BF193" i="3" s="1"/>
  <c r="BQ191" i="15"/>
  <c r="AU193" i="3" s="1"/>
  <c r="CE191" i="15"/>
  <c r="BI193" i="3" s="1"/>
  <c r="BR191" i="15"/>
  <c r="AV193" i="3" s="1"/>
  <c r="CD191" i="15"/>
  <c r="BH193" i="3" s="1"/>
  <c r="BP77" i="15"/>
  <c r="AT79" i="3" s="1"/>
  <c r="CC77" i="15"/>
  <c r="BG79" i="3" s="1"/>
  <c r="CB77" i="15"/>
  <c r="BF79" i="3" s="1"/>
  <c r="CE77" i="15"/>
  <c r="BI79" i="3" s="1"/>
  <c r="BQ77" i="15"/>
  <c r="AU79" i="3" s="1"/>
  <c r="CD77" i="15"/>
  <c r="BH79" i="3" s="1"/>
  <c r="BR77" i="15"/>
  <c r="AV79" i="3" s="1"/>
  <c r="BP205" i="15"/>
  <c r="AT207" i="3" s="1"/>
  <c r="CC205" i="15"/>
  <c r="BG207" i="3" s="1"/>
  <c r="CB205" i="15"/>
  <c r="BF207" i="3" s="1"/>
  <c r="CE205" i="15"/>
  <c r="BI207" i="3" s="1"/>
  <c r="BR205" i="15"/>
  <c r="AV207" i="3" s="1"/>
  <c r="BQ205" i="15"/>
  <c r="AU207" i="3" s="1"/>
  <c r="CD205" i="15"/>
  <c r="BH207" i="3" s="1"/>
  <c r="BP167" i="15"/>
  <c r="AT169" i="3" s="1"/>
  <c r="CC167" i="15"/>
  <c r="BG169" i="3" s="1"/>
  <c r="CB167" i="15"/>
  <c r="BF169" i="3" s="1"/>
  <c r="BR167" i="15"/>
  <c r="AV169" i="3" s="1"/>
  <c r="BQ167" i="15"/>
  <c r="AU169" i="3" s="1"/>
  <c r="CE167" i="15"/>
  <c r="BI169" i="3" s="1"/>
  <c r="CD167" i="15"/>
  <c r="BH169" i="3" s="1"/>
  <c r="BP83" i="15"/>
  <c r="AT85" i="3" s="1"/>
  <c r="CC83" i="15"/>
  <c r="BG85" i="3" s="1"/>
  <c r="CB83" i="15"/>
  <c r="BF85" i="3" s="1"/>
  <c r="CE83" i="15"/>
  <c r="BI85" i="3" s="1"/>
  <c r="BR83" i="15"/>
  <c r="AV85" i="3" s="1"/>
  <c r="BQ83" i="15"/>
  <c r="AU85" i="3" s="1"/>
  <c r="CD83" i="15"/>
  <c r="BH85" i="3" s="1"/>
  <c r="BP201" i="15"/>
  <c r="AT203" i="3" s="1"/>
  <c r="CC201" i="15"/>
  <c r="BG203" i="3" s="1"/>
  <c r="CB201" i="15"/>
  <c r="BF203" i="3" s="1"/>
  <c r="BR201" i="15"/>
  <c r="AV203" i="3" s="1"/>
  <c r="BQ201" i="15"/>
  <c r="AU203" i="3" s="1"/>
  <c r="CE201" i="15"/>
  <c r="BI203" i="3" s="1"/>
  <c r="CD201" i="15"/>
  <c r="BH203" i="3" s="1"/>
  <c r="BP21" i="15"/>
  <c r="AT23" i="3" s="1"/>
  <c r="CC21" i="15"/>
  <c r="BG23" i="3" s="1"/>
  <c r="CB21" i="15"/>
  <c r="BF23" i="3" s="1"/>
  <c r="BQ21" i="15"/>
  <c r="AU23" i="3" s="1"/>
  <c r="BR21" i="15"/>
  <c r="AV23" i="3" s="1"/>
  <c r="CD21" i="15"/>
  <c r="BH23" i="3" s="1"/>
  <c r="CE21" i="15"/>
  <c r="BI23" i="3" s="1"/>
  <c r="BP196" i="15"/>
  <c r="AT198" i="3" s="1"/>
  <c r="CC196" i="15"/>
  <c r="BG198" i="3" s="1"/>
  <c r="CB196" i="15"/>
  <c r="BF198" i="3" s="1"/>
  <c r="BR196" i="15"/>
  <c r="AV198" i="3" s="1"/>
  <c r="CE196" i="15"/>
  <c r="BI198" i="3" s="1"/>
  <c r="BQ196" i="15"/>
  <c r="AU198" i="3" s="1"/>
  <c r="CD196" i="15"/>
  <c r="BH198" i="3" s="1"/>
  <c r="CB110" i="15"/>
  <c r="BF112" i="3" s="1"/>
  <c r="CC110" i="15"/>
  <c r="BG112" i="3" s="1"/>
  <c r="BP110" i="15"/>
  <c r="AT112" i="3" s="1"/>
  <c r="BR110" i="15"/>
  <c r="AV112" i="3" s="1"/>
  <c r="BQ110" i="15"/>
  <c r="AU112" i="3" s="1"/>
  <c r="CE110" i="15"/>
  <c r="BI112" i="3" s="1"/>
  <c r="CD110" i="15"/>
  <c r="BH112" i="3" s="1"/>
  <c r="CB64" i="15"/>
  <c r="BF66" i="3" s="1"/>
  <c r="CC64" i="15"/>
  <c r="BG66" i="3" s="1"/>
  <c r="BP64" i="15"/>
  <c r="AT66" i="3" s="1"/>
  <c r="BQ64" i="15"/>
  <c r="AU66" i="3" s="1"/>
  <c r="CE64" i="15"/>
  <c r="BI66" i="3" s="1"/>
  <c r="BR64" i="15"/>
  <c r="AV66" i="3" s="1"/>
  <c r="CD64" i="15"/>
  <c r="BH66" i="3" s="1"/>
  <c r="CC46" i="15"/>
  <c r="BG48" i="3" s="1"/>
  <c r="BP46" i="15"/>
  <c r="AT48" i="3" s="1"/>
  <c r="CB46" i="15"/>
  <c r="BF48" i="3" s="1"/>
  <c r="BR46" i="15"/>
  <c r="AV48" i="3" s="1"/>
  <c r="CE46" i="15"/>
  <c r="BI48" i="3" s="1"/>
  <c r="BQ46" i="15"/>
  <c r="AU48" i="3" s="1"/>
  <c r="CD46" i="15"/>
  <c r="BH48" i="3" s="1"/>
  <c r="AI150" i="15"/>
  <c r="P152" i="3" s="1"/>
  <c r="AI95" i="15"/>
  <c r="P97" i="3" s="1"/>
  <c r="AI67" i="15"/>
  <c r="P69" i="3" s="1"/>
  <c r="AI161" i="15"/>
  <c r="P163" i="3" s="1"/>
  <c r="AI125" i="15"/>
  <c r="P127" i="3" s="1"/>
  <c r="AI115" i="15"/>
  <c r="P117" i="3" s="1"/>
  <c r="AI75" i="15"/>
  <c r="P77" i="3" s="1"/>
  <c r="AI47" i="15"/>
  <c r="P49" i="3" s="1"/>
  <c r="AI43" i="15"/>
  <c r="P45" i="3" s="1"/>
  <c r="AI66" i="15"/>
  <c r="P68" i="3" s="1"/>
  <c r="AI51" i="15"/>
  <c r="P53" i="3" s="1"/>
  <c r="AI52" i="15"/>
  <c r="P54" i="3" s="1"/>
  <c r="AI101" i="15"/>
  <c r="P103" i="3" s="1"/>
  <c r="AI58" i="15"/>
  <c r="P60" i="3" s="1"/>
  <c r="AI55" i="15"/>
  <c r="P57" i="3" s="1"/>
  <c r="AI34" i="15"/>
  <c r="P36" i="3" s="1"/>
  <c r="AI181" i="15"/>
  <c r="P183" i="3" s="1"/>
  <c r="AI15" i="15"/>
  <c r="P17" i="3" s="1"/>
  <c r="AI65" i="15"/>
  <c r="P67" i="3" s="1"/>
  <c r="AI179" i="15"/>
  <c r="P181" i="3" s="1"/>
  <c r="AI200" i="15"/>
  <c r="P202" i="3" s="1"/>
  <c r="AJ204" i="15"/>
  <c r="Q206" i="3" s="1"/>
  <c r="AW204" i="15"/>
  <c r="AD206" i="3" s="1"/>
  <c r="AJ93" i="15"/>
  <c r="Q95" i="3" s="1"/>
  <c r="AW93" i="15"/>
  <c r="AD95" i="3" s="1"/>
  <c r="AJ18" i="15"/>
  <c r="Q20" i="3" s="1"/>
  <c r="AW18" i="15"/>
  <c r="AD20" i="3" s="1"/>
  <c r="AJ143" i="15"/>
  <c r="Q145" i="3" s="1"/>
  <c r="AW143" i="15"/>
  <c r="AD145" i="3" s="1"/>
  <c r="AJ137" i="15"/>
  <c r="Q139" i="3" s="1"/>
  <c r="AW137" i="15"/>
  <c r="AD139" i="3" s="1"/>
  <c r="AJ132" i="15"/>
  <c r="Q134" i="3" s="1"/>
  <c r="AW132" i="15"/>
  <c r="AD134" i="3" s="1"/>
  <c r="AJ186" i="15"/>
  <c r="Q188" i="3" s="1"/>
  <c r="AW186" i="15"/>
  <c r="AD188" i="3" s="1"/>
  <c r="AJ173" i="15"/>
  <c r="Q175" i="3" s="1"/>
  <c r="AW173" i="15"/>
  <c r="AD175" i="3" s="1"/>
  <c r="AU204" i="15"/>
  <c r="AB206" i="3" s="1"/>
  <c r="AU170" i="15"/>
  <c r="AB172" i="3" s="1"/>
  <c r="AU93" i="15"/>
  <c r="AB95" i="3" s="1"/>
  <c r="AV191" i="15"/>
  <c r="AC193" i="3" s="1"/>
  <c r="AU18" i="15"/>
  <c r="AB20" i="3" s="1"/>
  <c r="AU143" i="15"/>
  <c r="AB145" i="3" s="1"/>
  <c r="AV113" i="15"/>
  <c r="AC115" i="3" s="1"/>
  <c r="AU137" i="15"/>
  <c r="AB139" i="3" s="1"/>
  <c r="AU142" i="15"/>
  <c r="AB144" i="3" s="1"/>
  <c r="AV68" i="15"/>
  <c r="AC70" i="3" s="1"/>
  <c r="AX139" i="15"/>
  <c r="AE141" i="3" s="1"/>
  <c r="AV138" i="15"/>
  <c r="AC140" i="3" s="1"/>
  <c r="AX152" i="15"/>
  <c r="AE154" i="3" s="1"/>
  <c r="AK16" i="15"/>
  <c r="R18" i="3" s="1"/>
  <c r="AV30" i="15"/>
  <c r="AC32" i="3" s="1"/>
  <c r="AK54" i="15"/>
  <c r="R56" i="3" s="1"/>
  <c r="AX187" i="15"/>
  <c r="AE189" i="3" s="1"/>
  <c r="AI110" i="15"/>
  <c r="P112" i="3" s="1"/>
  <c r="AK74" i="15"/>
  <c r="R76" i="3" s="1"/>
  <c r="AI205" i="15"/>
  <c r="P207" i="3" s="1"/>
  <c r="AX158" i="15"/>
  <c r="AE160" i="3" s="1"/>
  <c r="AK149" i="15"/>
  <c r="R151" i="3" s="1"/>
  <c r="AW30" i="15"/>
  <c r="AD32" i="3" s="1"/>
  <c r="AW110" i="15"/>
  <c r="AD112" i="3" s="1"/>
  <c r="AW205" i="15"/>
  <c r="AD207" i="3" s="1"/>
  <c r="AI46" i="15"/>
  <c r="P48" i="3" s="1"/>
  <c r="AX118" i="15"/>
  <c r="AE120" i="3" s="1"/>
  <c r="AK97" i="15"/>
  <c r="R99" i="3" s="1"/>
  <c r="AI148" i="15"/>
  <c r="P150" i="3" s="1"/>
  <c r="AV204" i="15"/>
  <c r="AC206" i="3" s="1"/>
  <c r="AV170" i="15"/>
  <c r="AC172" i="3" s="1"/>
  <c r="AI196" i="15"/>
  <c r="P198" i="3" s="1"/>
  <c r="AW196" i="15"/>
  <c r="AD198" i="3" s="1"/>
  <c r="AV93" i="15"/>
  <c r="AC95" i="3" s="1"/>
  <c r="AI191" i="15"/>
  <c r="P193" i="3" s="1"/>
  <c r="AW191" i="15"/>
  <c r="AD193" i="3" s="1"/>
  <c r="AV18" i="15"/>
  <c r="AC20" i="3" s="1"/>
  <c r="AI57" i="15"/>
  <c r="P59" i="3" s="1"/>
  <c r="AW57" i="15"/>
  <c r="AD59" i="3" s="1"/>
  <c r="AV143" i="15"/>
  <c r="AC145" i="3" s="1"/>
  <c r="AI113" i="15"/>
  <c r="P115" i="3" s="1"/>
  <c r="AW113" i="15"/>
  <c r="AD115" i="3" s="1"/>
  <c r="AV109" i="15"/>
  <c r="AC111" i="3" s="1"/>
  <c r="AV137" i="15"/>
  <c r="AC139" i="3" s="1"/>
  <c r="AV142" i="15"/>
  <c r="AC144" i="3" s="1"/>
  <c r="AI141" i="15"/>
  <c r="P143" i="3" s="1"/>
  <c r="AW141" i="15"/>
  <c r="AD143" i="3" s="1"/>
  <c r="AV132" i="15"/>
  <c r="AC134" i="3" s="1"/>
  <c r="AI83" i="15"/>
  <c r="P85" i="3" s="1"/>
  <c r="AW83" i="15"/>
  <c r="AD85" i="3" s="1"/>
  <c r="AV186" i="15"/>
  <c r="AC188" i="3" s="1"/>
  <c r="AI112" i="15"/>
  <c r="P114" i="3" s="1"/>
  <c r="AW112" i="15"/>
  <c r="AD114" i="3" s="1"/>
  <c r="AV173" i="15"/>
  <c r="AC175" i="3" s="1"/>
  <c r="AI68" i="15"/>
  <c r="P70" i="3" s="1"/>
  <c r="AW68" i="15"/>
  <c r="AD70" i="3" s="1"/>
  <c r="AV146" i="15"/>
  <c r="AC148" i="3" s="1"/>
  <c r="AU139" i="15"/>
  <c r="AB141" i="3" s="1"/>
  <c r="AU42" i="15"/>
  <c r="AB44" i="3" s="1"/>
  <c r="AJ46" i="15"/>
  <c r="Q48" i="3" s="1"/>
  <c r="AW46" i="15"/>
  <c r="AD48" i="3" s="1"/>
  <c r="AU99" i="15"/>
  <c r="AB101" i="3" s="1"/>
  <c r="AJ138" i="15"/>
  <c r="Q140" i="3" s="1"/>
  <c r="AW138" i="15"/>
  <c r="AD140" i="3" s="1"/>
  <c r="AU152" i="15"/>
  <c r="AB154" i="3" s="1"/>
  <c r="AJ188" i="15"/>
  <c r="Q190" i="3" s="1"/>
  <c r="AW188" i="15"/>
  <c r="AD190" i="3" s="1"/>
  <c r="AU16" i="15"/>
  <c r="AB18" i="3" s="1"/>
  <c r="AW148" i="15"/>
  <c r="AD150" i="3" s="1"/>
  <c r="AW153" i="15"/>
  <c r="AD155" i="3" s="1"/>
  <c r="AW117" i="15"/>
  <c r="AD119" i="3" s="1"/>
  <c r="AV100" i="15"/>
  <c r="AC102" i="3" s="1"/>
  <c r="AJ90" i="15"/>
  <c r="Q92" i="3" s="1"/>
  <c r="AX90" i="15"/>
  <c r="AE92" i="3" s="1"/>
  <c r="AI204" i="15"/>
  <c r="P206" i="3" s="1"/>
  <c r="AX204" i="15"/>
  <c r="AE206" i="3" s="1"/>
  <c r="AI170" i="15"/>
  <c r="P172" i="3" s="1"/>
  <c r="AX170" i="15"/>
  <c r="AE172" i="3" s="1"/>
  <c r="AJ196" i="15"/>
  <c r="Q198" i="3" s="1"/>
  <c r="AX196" i="15"/>
  <c r="AE198" i="3" s="1"/>
  <c r="AI93" i="15"/>
  <c r="P95" i="3" s="1"/>
  <c r="AX93" i="15"/>
  <c r="AE95" i="3" s="1"/>
  <c r="AJ129" i="15"/>
  <c r="Q131" i="3" s="1"/>
  <c r="AX129" i="15"/>
  <c r="AE131" i="3" s="1"/>
  <c r="AJ191" i="15"/>
  <c r="Q193" i="3" s="1"/>
  <c r="AX191" i="15"/>
  <c r="AE193" i="3" s="1"/>
  <c r="AI18" i="15"/>
  <c r="P20" i="3" s="1"/>
  <c r="AX18" i="15"/>
  <c r="AE20" i="3" s="1"/>
  <c r="AJ57" i="15"/>
  <c r="Q59" i="3" s="1"/>
  <c r="AX57" i="15"/>
  <c r="AE59" i="3" s="1"/>
  <c r="AI62" i="15"/>
  <c r="P64" i="3" s="1"/>
  <c r="AX62" i="15"/>
  <c r="AE64" i="3" s="1"/>
  <c r="AI143" i="15"/>
  <c r="P145" i="3" s="1"/>
  <c r="AX143" i="15"/>
  <c r="AE145" i="3" s="1"/>
  <c r="AJ113" i="15"/>
  <c r="Q115" i="3" s="1"/>
  <c r="AX113" i="15"/>
  <c r="AE115" i="3" s="1"/>
  <c r="AI109" i="15"/>
  <c r="P111" i="3" s="1"/>
  <c r="AX109" i="15"/>
  <c r="AE111" i="3" s="1"/>
  <c r="AJ48" i="15"/>
  <c r="Q50" i="3" s="1"/>
  <c r="AX48" i="15"/>
  <c r="AE50" i="3" s="1"/>
  <c r="AI137" i="15"/>
  <c r="P139" i="3" s="1"/>
  <c r="AX137" i="15"/>
  <c r="AE139" i="3" s="1"/>
  <c r="AI142" i="15"/>
  <c r="P144" i="3" s="1"/>
  <c r="AX142" i="15"/>
  <c r="AE144" i="3" s="1"/>
  <c r="AJ141" i="15"/>
  <c r="Q143" i="3" s="1"/>
  <c r="AX141" i="15"/>
  <c r="AE143" i="3" s="1"/>
  <c r="AI132" i="15"/>
  <c r="P134" i="3" s="1"/>
  <c r="AX132" i="15"/>
  <c r="AE134" i="3" s="1"/>
  <c r="AJ166" i="15"/>
  <c r="Q168" i="3" s="1"/>
  <c r="AX166" i="15"/>
  <c r="AE168" i="3" s="1"/>
  <c r="AJ83" i="15"/>
  <c r="Q85" i="3" s="1"/>
  <c r="AX83" i="15"/>
  <c r="AE85" i="3" s="1"/>
  <c r="AI186" i="15"/>
  <c r="P188" i="3" s="1"/>
  <c r="AX186" i="15"/>
  <c r="AE188" i="3" s="1"/>
  <c r="AJ112" i="15"/>
  <c r="Q114" i="3" s="1"/>
  <c r="AX112" i="15"/>
  <c r="AE114" i="3" s="1"/>
  <c r="AI172" i="15"/>
  <c r="P174" i="3" s="1"/>
  <c r="AX172" i="15"/>
  <c r="AE174" i="3" s="1"/>
  <c r="AI173" i="15"/>
  <c r="P175" i="3" s="1"/>
  <c r="AX173" i="15"/>
  <c r="AE175" i="3" s="1"/>
  <c r="AJ68" i="15"/>
  <c r="Q70" i="3" s="1"/>
  <c r="AX68" i="15"/>
  <c r="AE70" i="3" s="1"/>
  <c r="AI146" i="15"/>
  <c r="P148" i="3" s="1"/>
  <c r="AX146" i="15"/>
  <c r="AE148" i="3" s="1"/>
  <c r="AJ56" i="15"/>
  <c r="Q58" i="3" s="1"/>
  <c r="AX56" i="15"/>
  <c r="AE58" i="3" s="1"/>
  <c r="AI139" i="15"/>
  <c r="P141" i="3" s="1"/>
  <c r="AV139" i="15"/>
  <c r="AC141" i="3" s="1"/>
  <c r="AI42" i="15"/>
  <c r="P44" i="3" s="1"/>
  <c r="AV42" i="15"/>
  <c r="AC44" i="3" s="1"/>
  <c r="AK46" i="15"/>
  <c r="R48" i="3" s="1"/>
  <c r="AX46" i="15"/>
  <c r="AE48" i="3" s="1"/>
  <c r="AI99" i="15"/>
  <c r="P101" i="3" s="1"/>
  <c r="AV99" i="15"/>
  <c r="AC101" i="3" s="1"/>
  <c r="AK98" i="15"/>
  <c r="R100" i="3" s="1"/>
  <c r="AX98" i="15"/>
  <c r="AE100" i="3" s="1"/>
  <c r="AK138" i="15"/>
  <c r="R140" i="3" s="1"/>
  <c r="AX138" i="15"/>
  <c r="AE140" i="3" s="1"/>
  <c r="AI152" i="15"/>
  <c r="P154" i="3" s="1"/>
  <c r="AV152" i="15"/>
  <c r="AC154" i="3" s="1"/>
  <c r="AK188" i="15"/>
  <c r="R190" i="3" s="1"/>
  <c r="AX188" i="15"/>
  <c r="AE190" i="3" s="1"/>
  <c r="AI21" i="15"/>
  <c r="P23" i="3" s="1"/>
  <c r="AW201" i="15"/>
  <c r="AD203" i="3" s="1"/>
  <c r="AW33" i="15"/>
  <c r="AD35" i="3" s="1"/>
  <c r="AX45" i="15"/>
  <c r="AE47" i="3" s="1"/>
  <c r="AK90" i="15"/>
  <c r="R92" i="3" s="1"/>
  <c r="AK204" i="15"/>
  <c r="R206" i="3" s="1"/>
  <c r="AK60" i="15"/>
  <c r="R62" i="3" s="1"/>
  <c r="AK170" i="15"/>
  <c r="R172" i="3" s="1"/>
  <c r="AK196" i="15"/>
  <c r="R198" i="3" s="1"/>
  <c r="AK93" i="15"/>
  <c r="R95" i="3" s="1"/>
  <c r="AK129" i="15"/>
  <c r="R131" i="3" s="1"/>
  <c r="AK140" i="15"/>
  <c r="R142" i="3" s="1"/>
  <c r="AK191" i="15"/>
  <c r="R193" i="3" s="1"/>
  <c r="AK18" i="15"/>
  <c r="R20" i="3" s="1"/>
  <c r="AK57" i="15"/>
  <c r="R59" i="3" s="1"/>
  <c r="AK62" i="15"/>
  <c r="R64" i="3" s="1"/>
  <c r="AK92" i="15"/>
  <c r="R94" i="3" s="1"/>
  <c r="AK143" i="15"/>
  <c r="R145" i="3" s="1"/>
  <c r="AK113" i="15"/>
  <c r="R115" i="3" s="1"/>
  <c r="AK109" i="15"/>
  <c r="R111" i="3" s="1"/>
  <c r="AK48" i="15"/>
  <c r="R50" i="3" s="1"/>
  <c r="AK137" i="15"/>
  <c r="R139" i="3" s="1"/>
  <c r="AK9" i="15"/>
  <c r="R11" i="3" s="1"/>
  <c r="AK142" i="15"/>
  <c r="R144" i="3" s="1"/>
  <c r="AK141" i="15"/>
  <c r="R143" i="3" s="1"/>
  <c r="AK132" i="15"/>
  <c r="R134" i="3" s="1"/>
  <c r="AK166" i="15"/>
  <c r="R168" i="3" s="1"/>
  <c r="AK192" i="15"/>
  <c r="R194" i="3" s="1"/>
  <c r="AK83" i="15"/>
  <c r="R85" i="3" s="1"/>
  <c r="AK186" i="15"/>
  <c r="R188" i="3" s="1"/>
  <c r="AK112" i="15"/>
  <c r="R114" i="3" s="1"/>
  <c r="AK172" i="15"/>
  <c r="R174" i="3" s="1"/>
  <c r="AK122" i="15"/>
  <c r="R124" i="3" s="1"/>
  <c r="AK173" i="15"/>
  <c r="R175" i="3" s="1"/>
  <c r="AK68" i="15"/>
  <c r="R70" i="3" s="1"/>
  <c r="AK146" i="15"/>
  <c r="R148" i="3" s="1"/>
  <c r="AK56" i="15"/>
  <c r="R58" i="3" s="1"/>
  <c r="AJ139" i="15"/>
  <c r="Q141" i="3" s="1"/>
  <c r="AW139" i="15"/>
  <c r="AD141" i="3" s="1"/>
  <c r="AU76" i="15"/>
  <c r="AB78" i="3" s="1"/>
  <c r="AJ42" i="15"/>
  <c r="Q44" i="3" s="1"/>
  <c r="AW42" i="15"/>
  <c r="AD44" i="3" s="1"/>
  <c r="AU46" i="15"/>
  <c r="AB48" i="3" s="1"/>
  <c r="AJ99" i="15"/>
  <c r="Q101" i="3" s="1"/>
  <c r="AW99" i="15"/>
  <c r="AD101" i="3" s="1"/>
  <c r="AU98" i="15"/>
  <c r="AB100" i="3" s="1"/>
  <c r="AJ81" i="15"/>
  <c r="Q83" i="3" s="1"/>
  <c r="AW81" i="15"/>
  <c r="AD83" i="3" s="1"/>
  <c r="AU138" i="15"/>
  <c r="AB140" i="3" s="1"/>
  <c r="AJ152" i="15"/>
  <c r="Q154" i="3" s="1"/>
  <c r="AW152" i="15"/>
  <c r="AD154" i="3" s="1"/>
  <c r="AU188" i="15"/>
  <c r="AB190" i="3" s="1"/>
  <c r="AJ21" i="15"/>
  <c r="Q23" i="3" s="1"/>
  <c r="AW21" i="15"/>
  <c r="AD23" i="3" s="1"/>
  <c r="AU20" i="15"/>
  <c r="AB22" i="3" s="1"/>
  <c r="AJ16" i="15"/>
  <c r="Q18" i="3" s="1"/>
  <c r="AW16" i="15"/>
  <c r="AD18" i="3" s="1"/>
  <c r="AU30" i="15"/>
  <c r="AB32" i="3" s="1"/>
  <c r="AJ118" i="15"/>
  <c r="Q120" i="3" s="1"/>
  <c r="AW118" i="15"/>
  <c r="AD120" i="3" s="1"/>
  <c r="AU153" i="15"/>
  <c r="AB155" i="3" s="1"/>
  <c r="AJ167" i="15"/>
  <c r="Q169" i="3" s="1"/>
  <c r="AW167" i="15"/>
  <c r="AD169" i="3" s="1"/>
  <c r="AU131" i="15"/>
  <c r="AB133" i="3" s="1"/>
  <c r="AJ54" i="15"/>
  <c r="Q56" i="3" s="1"/>
  <c r="AW54" i="15"/>
  <c r="AD56" i="3" s="1"/>
  <c r="AU77" i="15"/>
  <c r="AB79" i="3" s="1"/>
  <c r="AJ187" i="15"/>
  <c r="Q189" i="3" s="1"/>
  <c r="AW187" i="15"/>
  <c r="AD189" i="3" s="1"/>
  <c r="AU117" i="15"/>
  <c r="AB119" i="3" s="1"/>
  <c r="AJ164" i="15"/>
  <c r="Q166" i="3" s="1"/>
  <c r="AW164" i="15"/>
  <c r="AD166" i="3" s="1"/>
  <c r="AU110" i="15"/>
  <c r="AB112" i="3" s="1"/>
  <c r="AJ74" i="15"/>
  <c r="Q76" i="3" s="1"/>
  <c r="AW74" i="15"/>
  <c r="AD76" i="3" s="1"/>
  <c r="AU64" i="15"/>
  <c r="AB66" i="3" s="1"/>
  <c r="AJ44" i="15"/>
  <c r="Q46" i="3" s="1"/>
  <c r="AW44" i="15"/>
  <c r="AD46" i="3" s="1"/>
  <c r="AU201" i="15"/>
  <c r="AB203" i="3" s="1"/>
  <c r="AJ199" i="15"/>
  <c r="Q201" i="3" s="1"/>
  <c r="AW199" i="15"/>
  <c r="AD201" i="3" s="1"/>
  <c r="AU205" i="15"/>
  <c r="AB207" i="3" s="1"/>
  <c r="AJ97" i="15"/>
  <c r="Q99" i="3" s="1"/>
  <c r="AW97" i="15"/>
  <c r="AD99" i="3" s="1"/>
  <c r="AU116" i="15"/>
  <c r="AB118" i="3" s="1"/>
  <c r="AJ158" i="15"/>
  <c r="Q160" i="3" s="1"/>
  <c r="AW158" i="15"/>
  <c r="AD160" i="3" s="1"/>
  <c r="AU33" i="15"/>
  <c r="AB35" i="3" s="1"/>
  <c r="AJ10" i="15"/>
  <c r="Q12" i="3" s="1"/>
  <c r="AW10" i="15"/>
  <c r="AD12" i="3" s="1"/>
  <c r="AU148" i="15"/>
  <c r="AB150" i="3" s="1"/>
  <c r="AJ149" i="15"/>
  <c r="Q151" i="3" s="1"/>
  <c r="AW149" i="15"/>
  <c r="AD151" i="3" s="1"/>
  <c r="AU100" i="15"/>
  <c r="AB102" i="3" s="1"/>
  <c r="AJ45" i="15"/>
  <c r="Q47" i="3" s="1"/>
  <c r="AW45" i="15"/>
  <c r="AD47" i="3" s="1"/>
  <c r="AU132" i="15"/>
  <c r="AB134" i="3" s="1"/>
  <c r="AV166" i="15"/>
  <c r="AC168" i="3" s="1"/>
  <c r="AV83" i="15"/>
  <c r="AC85" i="3" s="1"/>
  <c r="AU186" i="15"/>
  <c r="AB188" i="3" s="1"/>
  <c r="AV122" i="15"/>
  <c r="AC124" i="3" s="1"/>
  <c r="AU173" i="15"/>
  <c r="AB175" i="3" s="1"/>
  <c r="AU146" i="15"/>
  <c r="AB148" i="3" s="1"/>
  <c r="AK139" i="15"/>
  <c r="R141" i="3" s="1"/>
  <c r="AI76" i="15"/>
  <c r="P78" i="3" s="1"/>
  <c r="AV76" i="15"/>
  <c r="AC78" i="3" s="1"/>
  <c r="AK42" i="15"/>
  <c r="R44" i="3" s="1"/>
  <c r="AX42" i="15"/>
  <c r="AE44" i="3" s="1"/>
  <c r="AV46" i="15"/>
  <c r="AC48" i="3" s="1"/>
  <c r="AK99" i="15"/>
  <c r="R101" i="3" s="1"/>
  <c r="AX99" i="15"/>
  <c r="AE101" i="3" s="1"/>
  <c r="AV98" i="15"/>
  <c r="AC100" i="3" s="1"/>
  <c r="AX81" i="15"/>
  <c r="AE83" i="3" s="1"/>
  <c r="AI138" i="15"/>
  <c r="P140" i="3" s="1"/>
  <c r="AK152" i="15"/>
  <c r="R154" i="3" s="1"/>
  <c r="AI188" i="15"/>
  <c r="P190" i="3" s="1"/>
  <c r="AV188" i="15"/>
  <c r="AC190" i="3" s="1"/>
  <c r="AK21" i="15"/>
  <c r="R23" i="3" s="1"/>
  <c r="AX21" i="15"/>
  <c r="AE23" i="3" s="1"/>
  <c r="AV20" i="15"/>
  <c r="AC22" i="3" s="1"/>
  <c r="AX16" i="15"/>
  <c r="AE18" i="3" s="1"/>
  <c r="AI30" i="15"/>
  <c r="P32" i="3" s="1"/>
  <c r="AK118" i="15"/>
  <c r="R120" i="3" s="1"/>
  <c r="AI153" i="15"/>
  <c r="P155" i="3" s="1"/>
  <c r="AV153" i="15"/>
  <c r="AC155" i="3" s="1"/>
  <c r="AK167" i="15"/>
  <c r="R169" i="3" s="1"/>
  <c r="AX167" i="15"/>
  <c r="AE169" i="3" s="1"/>
  <c r="AV131" i="15"/>
  <c r="AC133" i="3" s="1"/>
  <c r="AX54" i="15"/>
  <c r="AE56" i="3" s="1"/>
  <c r="AI77" i="15"/>
  <c r="P79" i="3" s="1"/>
  <c r="AK187" i="15"/>
  <c r="R189" i="3" s="1"/>
  <c r="AI117" i="15"/>
  <c r="P119" i="3" s="1"/>
  <c r="AV117" i="15"/>
  <c r="AC119" i="3" s="1"/>
  <c r="AK164" i="15"/>
  <c r="R166" i="3" s="1"/>
  <c r="AX164" i="15"/>
  <c r="AE166" i="3" s="1"/>
  <c r="AV110" i="15"/>
  <c r="AC112" i="3" s="1"/>
  <c r="AX74" i="15"/>
  <c r="AE76" i="3" s="1"/>
  <c r="AI64" i="15"/>
  <c r="P66" i="3" s="1"/>
  <c r="AK44" i="15"/>
  <c r="R46" i="3" s="1"/>
  <c r="AI201" i="15"/>
  <c r="P203" i="3" s="1"/>
  <c r="AV201" i="15"/>
  <c r="AC203" i="3" s="1"/>
  <c r="AK199" i="15"/>
  <c r="R201" i="3" s="1"/>
  <c r="AX199" i="15"/>
  <c r="AE201" i="3" s="1"/>
  <c r="AV205" i="15"/>
  <c r="AC207" i="3" s="1"/>
  <c r="AX97" i="15"/>
  <c r="AE99" i="3" s="1"/>
  <c r="AI116" i="15"/>
  <c r="P118" i="3" s="1"/>
  <c r="AK158" i="15"/>
  <c r="R160" i="3" s="1"/>
  <c r="AI33" i="15"/>
  <c r="P35" i="3" s="1"/>
  <c r="AV33" i="15"/>
  <c r="AC35" i="3" s="1"/>
  <c r="AK10" i="15"/>
  <c r="R12" i="3" s="1"/>
  <c r="AX10" i="15"/>
  <c r="AE12" i="3" s="1"/>
  <c r="AV148" i="15"/>
  <c r="AC150" i="3" s="1"/>
  <c r="AX149" i="15"/>
  <c r="AE151" i="3" s="1"/>
  <c r="AI100" i="15"/>
  <c r="P102" i="3" s="1"/>
  <c r="AK45" i="15"/>
  <c r="R47" i="3" s="1"/>
  <c r="AJ30" i="15"/>
  <c r="Q32" i="3" s="1"/>
  <c r="AU118" i="15"/>
  <c r="AB120" i="3" s="1"/>
  <c r="AJ153" i="15"/>
  <c r="Q155" i="3" s="1"/>
  <c r="AU167" i="15"/>
  <c r="AB169" i="3" s="1"/>
  <c r="AJ131" i="15"/>
  <c r="Q133" i="3" s="1"/>
  <c r="AU54" i="15"/>
  <c r="AB56" i="3" s="1"/>
  <c r="AJ77" i="15"/>
  <c r="Q79" i="3" s="1"/>
  <c r="AU187" i="15"/>
  <c r="AB189" i="3" s="1"/>
  <c r="AJ117" i="15"/>
  <c r="Q119" i="3" s="1"/>
  <c r="AU164" i="15"/>
  <c r="AB166" i="3" s="1"/>
  <c r="AJ110" i="15"/>
  <c r="Q112" i="3" s="1"/>
  <c r="AU74" i="15"/>
  <c r="AB76" i="3" s="1"/>
  <c r="AW64" i="15"/>
  <c r="AD66" i="3" s="1"/>
  <c r="AU44" i="15"/>
  <c r="AB46" i="3" s="1"/>
  <c r="AJ201" i="15"/>
  <c r="Q203" i="3" s="1"/>
  <c r="AU199" i="15"/>
  <c r="AB201" i="3" s="1"/>
  <c r="AJ205" i="15"/>
  <c r="Q207" i="3" s="1"/>
  <c r="AU97" i="15"/>
  <c r="AB99" i="3" s="1"/>
  <c r="AW116" i="15"/>
  <c r="AD118" i="3" s="1"/>
  <c r="AU158" i="15"/>
  <c r="AB160" i="3" s="1"/>
  <c r="AJ33" i="15"/>
  <c r="Q35" i="3" s="1"/>
  <c r="AU10" i="15"/>
  <c r="AB12" i="3" s="1"/>
  <c r="AJ148" i="15"/>
  <c r="Q150" i="3" s="1"/>
  <c r="AU149" i="15"/>
  <c r="AB151" i="3" s="1"/>
  <c r="AV21" i="15"/>
  <c r="AC23" i="3" s="1"/>
  <c r="AX20" i="15"/>
  <c r="AE22" i="3" s="1"/>
  <c r="AI167" i="15"/>
  <c r="P169" i="3" s="1"/>
  <c r="AK131" i="15"/>
  <c r="R133" i="3" s="1"/>
  <c r="AV54" i="15"/>
  <c r="AC56" i="3" s="1"/>
  <c r="AX77" i="15"/>
  <c r="AE79" i="3" s="1"/>
  <c r="AI74" i="15"/>
  <c r="P76" i="3" s="1"/>
  <c r="AK64" i="15"/>
  <c r="R66" i="3" s="1"/>
  <c r="AV44" i="15"/>
  <c r="AC46" i="3" s="1"/>
  <c r="AX201" i="15"/>
  <c r="AE203" i="3" s="1"/>
  <c r="AI158" i="15"/>
  <c r="P160" i="3" s="1"/>
  <c r="AK33" i="15"/>
  <c r="R35" i="3" s="1"/>
  <c r="AV10" i="15"/>
  <c r="AC12" i="3" s="1"/>
  <c r="AX148" i="15"/>
  <c r="AE150" i="3" s="1"/>
  <c r="AW100" i="15"/>
  <c r="AD102" i="3" s="1"/>
  <c r="AI45" i="15"/>
  <c r="P47" i="3" s="1"/>
  <c r="AI97" i="15"/>
  <c r="P99" i="3" s="1"/>
  <c r="AV158" i="15"/>
  <c r="AC160" i="3" s="1"/>
  <c r="AX33" i="15"/>
  <c r="AE35" i="3" s="1"/>
  <c r="AX100" i="15"/>
  <c r="AE102" i="3" s="1"/>
  <c r="AU45" i="15"/>
  <c r="AB47" i="3" s="1"/>
  <c r="AV97" i="15"/>
  <c r="AC99" i="3" s="1"/>
  <c r="AX116" i="15"/>
  <c r="AE118" i="3" s="1"/>
  <c r="AJ100" i="15"/>
  <c r="Q102" i="3" s="1"/>
  <c r="AV45" i="15"/>
  <c r="AC47" i="3" s="1"/>
  <c r="AV149" i="15"/>
  <c r="AC151" i="3" s="1"/>
  <c r="AI118" i="15"/>
  <c r="P120" i="3" s="1"/>
  <c r="AK153" i="15"/>
  <c r="R155" i="3" s="1"/>
  <c r="AV167" i="15"/>
  <c r="AC169" i="3" s="1"/>
  <c r="AX131" i="15"/>
  <c r="AE133" i="3" s="1"/>
  <c r="AI164" i="15"/>
  <c r="P166" i="3" s="1"/>
  <c r="AK110" i="15"/>
  <c r="R112" i="3" s="1"/>
  <c r="AV74" i="15"/>
  <c r="AC76" i="3" s="1"/>
  <c r="AX64" i="15"/>
  <c r="AE66" i="3" s="1"/>
  <c r="AK116" i="15"/>
  <c r="R118" i="3" s="1"/>
  <c r="AI199" i="15"/>
  <c r="P201" i="3" s="1"/>
  <c r="AI149" i="15"/>
  <c r="P151" i="3" s="1"/>
  <c r="AK148" i="15"/>
  <c r="R150" i="3" s="1"/>
  <c r="AI16" i="15"/>
  <c r="P18" i="3" s="1"/>
  <c r="AK30" i="15"/>
  <c r="R32" i="3" s="1"/>
  <c r="AV118" i="15"/>
  <c r="AC120" i="3" s="1"/>
  <c r="AX153" i="15"/>
  <c r="AE155" i="3" s="1"/>
  <c r="AI187" i="15"/>
  <c r="P189" i="3" s="1"/>
  <c r="AK117" i="15"/>
  <c r="R119" i="3" s="1"/>
  <c r="AV164" i="15"/>
  <c r="AC166" i="3" s="1"/>
  <c r="AX110" i="15"/>
  <c r="AE112" i="3" s="1"/>
  <c r="AK205" i="15"/>
  <c r="R207" i="3" s="1"/>
  <c r="AK100" i="15"/>
  <c r="R102" i="3" s="1"/>
  <c r="AK20" i="15"/>
  <c r="R22" i="3" s="1"/>
  <c r="AV16" i="15"/>
  <c r="AC18" i="3" s="1"/>
  <c r="AX30" i="15"/>
  <c r="AE32" i="3" s="1"/>
  <c r="AI54" i="15"/>
  <c r="P56" i="3" s="1"/>
  <c r="AK77" i="15"/>
  <c r="R79" i="3" s="1"/>
  <c r="AV187" i="15"/>
  <c r="AC189" i="3" s="1"/>
  <c r="AX117" i="15"/>
  <c r="AE119" i="3" s="1"/>
  <c r="AI44" i="15"/>
  <c r="P46" i="3" s="1"/>
  <c r="AK201" i="15"/>
  <c r="R203" i="3" s="1"/>
  <c r="AV199" i="15"/>
  <c r="AC201" i="3" s="1"/>
  <c r="AX205" i="15"/>
  <c r="AE207" i="3" s="1"/>
  <c r="AI10" i="15"/>
  <c r="P12" i="3" s="1"/>
  <c r="AW170" i="15"/>
  <c r="AD172" i="3" s="1"/>
  <c r="AJ170" i="15"/>
  <c r="Q172" i="3" s="1"/>
  <c r="AU191" i="15"/>
  <c r="AB193" i="3" s="1"/>
  <c r="AU113" i="15"/>
  <c r="AB115" i="3" s="1"/>
  <c r="AW142" i="15"/>
  <c r="AD144" i="3" s="1"/>
  <c r="AJ142" i="15"/>
  <c r="Q144" i="3" s="1"/>
  <c r="AU83" i="15"/>
  <c r="AB85" i="3" s="1"/>
  <c r="AU68" i="15"/>
  <c r="AB70" i="3" s="1"/>
  <c r="AV196" i="15"/>
  <c r="AC198" i="3" s="1"/>
  <c r="AU196" i="15"/>
  <c r="AB198" i="3" s="1"/>
  <c r="AV57" i="15"/>
  <c r="AC59" i="3" s="1"/>
  <c r="AU57" i="15"/>
  <c r="AB59" i="3" s="1"/>
  <c r="AU109" i="15"/>
  <c r="AB111" i="3" s="1"/>
  <c r="AW109" i="15"/>
  <c r="AD111" i="3" s="1"/>
  <c r="AJ109" i="15"/>
  <c r="Q111" i="3" s="1"/>
  <c r="AV141" i="15"/>
  <c r="AC143" i="3" s="1"/>
  <c r="AU141" i="15"/>
  <c r="AB143" i="3" s="1"/>
  <c r="AV112" i="15"/>
  <c r="AC114" i="3" s="1"/>
  <c r="AU112" i="15"/>
  <c r="AB114" i="3" s="1"/>
  <c r="AW146" i="15"/>
  <c r="AD148" i="3" s="1"/>
  <c r="AJ146" i="15"/>
  <c r="Q148" i="3" s="1"/>
  <c r="AW77" i="15"/>
  <c r="AD79" i="3" s="1"/>
  <c r="AV77" i="15"/>
  <c r="AC79" i="3" s="1"/>
  <c r="AJ64" i="15"/>
  <c r="Q66" i="3" s="1"/>
  <c r="AV64" i="15"/>
  <c r="AC66" i="3" s="1"/>
  <c r="AW90" i="15"/>
  <c r="AD92" i="3" s="1"/>
  <c r="AI90" i="15"/>
  <c r="P92" i="3" s="1"/>
  <c r="AV90" i="15"/>
  <c r="AC92" i="3" s="1"/>
  <c r="AU90" i="15"/>
  <c r="AB92" i="3" s="1"/>
  <c r="AW129" i="15"/>
  <c r="AD131" i="3" s="1"/>
  <c r="AI129" i="15"/>
  <c r="P131" i="3" s="1"/>
  <c r="AV129" i="15"/>
  <c r="AC131" i="3" s="1"/>
  <c r="AU129" i="15"/>
  <c r="AB131" i="3" s="1"/>
  <c r="AV62" i="15"/>
  <c r="AC64" i="3" s="1"/>
  <c r="AU62" i="15"/>
  <c r="AB64" i="3" s="1"/>
  <c r="AW62" i="15"/>
  <c r="AD64" i="3" s="1"/>
  <c r="AJ62" i="15"/>
  <c r="Q64" i="3" s="1"/>
  <c r="AW48" i="15"/>
  <c r="AD50" i="3" s="1"/>
  <c r="AI48" i="15"/>
  <c r="P50" i="3" s="1"/>
  <c r="AV48" i="15"/>
  <c r="AC50" i="3" s="1"/>
  <c r="AU48" i="15"/>
  <c r="AB50" i="3" s="1"/>
  <c r="AW166" i="15"/>
  <c r="AD168" i="3" s="1"/>
  <c r="AI166" i="15"/>
  <c r="P168" i="3" s="1"/>
  <c r="AU166" i="15"/>
  <c r="AB168" i="3" s="1"/>
  <c r="AV172" i="15"/>
  <c r="AC174" i="3" s="1"/>
  <c r="AU172" i="15"/>
  <c r="AB174" i="3" s="1"/>
  <c r="AW172" i="15"/>
  <c r="AD174" i="3" s="1"/>
  <c r="AJ172" i="15"/>
  <c r="Q174" i="3" s="1"/>
  <c r="AW56" i="15"/>
  <c r="AD58" i="3" s="1"/>
  <c r="AI56" i="15"/>
  <c r="P58" i="3" s="1"/>
  <c r="AV56" i="15"/>
  <c r="AC58" i="3" s="1"/>
  <c r="AU56" i="15"/>
  <c r="AB58" i="3" s="1"/>
  <c r="AW98" i="15"/>
  <c r="AD100" i="3" s="1"/>
  <c r="AJ98" i="15"/>
  <c r="Q100" i="3" s="1"/>
  <c r="AI98" i="15"/>
  <c r="P100" i="3" s="1"/>
  <c r="AU21" i="15"/>
  <c r="AB23" i="3" s="1"/>
  <c r="AX44" i="15"/>
  <c r="AE46" i="3" s="1"/>
  <c r="AJ116" i="15"/>
  <c r="Q118" i="3" s="1"/>
  <c r="AV116" i="15"/>
  <c r="AC118" i="3" s="1"/>
  <c r="AX60" i="15"/>
  <c r="AE62" i="3" s="1"/>
  <c r="AJ60" i="15"/>
  <c r="Q62" i="3" s="1"/>
  <c r="AW60" i="15"/>
  <c r="AD62" i="3" s="1"/>
  <c r="AI60" i="15"/>
  <c r="P62" i="3" s="1"/>
  <c r="AV60" i="15"/>
  <c r="AC62" i="3" s="1"/>
  <c r="AU60" i="15"/>
  <c r="AB62" i="3" s="1"/>
  <c r="AX140" i="15"/>
  <c r="AE142" i="3" s="1"/>
  <c r="AI140" i="15"/>
  <c r="P142" i="3" s="1"/>
  <c r="AV140" i="15"/>
  <c r="AC142" i="3" s="1"/>
  <c r="AU140" i="15"/>
  <c r="AB142" i="3" s="1"/>
  <c r="AW140" i="15"/>
  <c r="AD142" i="3" s="1"/>
  <c r="AJ140" i="15"/>
  <c r="Q142" i="3" s="1"/>
  <c r="AX92" i="15"/>
  <c r="AE94" i="3" s="1"/>
  <c r="AJ92" i="15"/>
  <c r="Q94" i="3" s="1"/>
  <c r="AW92" i="15"/>
  <c r="AD94" i="3" s="1"/>
  <c r="AI92" i="15"/>
  <c r="P94" i="3" s="1"/>
  <c r="AV92" i="15"/>
  <c r="AC94" i="3" s="1"/>
  <c r="AU92" i="15"/>
  <c r="AB94" i="3" s="1"/>
  <c r="AX9" i="15"/>
  <c r="AE11" i="3" s="1"/>
  <c r="AJ9" i="15"/>
  <c r="Q11" i="3" s="1"/>
  <c r="AW9" i="15"/>
  <c r="AD11" i="3" s="1"/>
  <c r="AI9" i="15"/>
  <c r="P11" i="3" s="1"/>
  <c r="AV9" i="15"/>
  <c r="AC11" i="3" s="1"/>
  <c r="AU9" i="15"/>
  <c r="AB11" i="3" s="1"/>
  <c r="AX192" i="15"/>
  <c r="AE194" i="3" s="1"/>
  <c r="AI192" i="15"/>
  <c r="P194" i="3" s="1"/>
  <c r="AV192" i="15"/>
  <c r="AC194" i="3" s="1"/>
  <c r="AU192" i="15"/>
  <c r="AB194" i="3" s="1"/>
  <c r="AW192" i="15"/>
  <c r="AD194" i="3" s="1"/>
  <c r="AJ192" i="15"/>
  <c r="Q194" i="3" s="1"/>
  <c r="AX122" i="15"/>
  <c r="AE124" i="3" s="1"/>
  <c r="AJ122" i="15"/>
  <c r="Q124" i="3" s="1"/>
  <c r="AW122" i="15"/>
  <c r="AD124" i="3" s="1"/>
  <c r="AI122" i="15"/>
  <c r="P124" i="3" s="1"/>
  <c r="AU122" i="15"/>
  <c r="AB124" i="3" s="1"/>
  <c r="AX76" i="15"/>
  <c r="AE78" i="3" s="1"/>
  <c r="AK76" i="15"/>
  <c r="R78" i="3" s="1"/>
  <c r="AW76" i="15"/>
  <c r="AD78" i="3" s="1"/>
  <c r="AJ76" i="15"/>
  <c r="Q78" i="3" s="1"/>
  <c r="AV81" i="15"/>
  <c r="AC83" i="3" s="1"/>
  <c r="AI81" i="15"/>
  <c r="P83" i="3" s="1"/>
  <c r="AU81" i="15"/>
  <c r="AB83" i="3" s="1"/>
  <c r="AK81" i="15"/>
  <c r="R83" i="3" s="1"/>
  <c r="AW20" i="15"/>
  <c r="AD22" i="3" s="1"/>
  <c r="AJ20" i="15"/>
  <c r="Q22" i="3" s="1"/>
  <c r="AI20" i="15"/>
  <c r="P22" i="3" s="1"/>
  <c r="AW131" i="15"/>
  <c r="AD133" i="3" s="1"/>
  <c r="AI131" i="15"/>
  <c r="P133" i="3" s="1"/>
  <c r="I14" i="4"/>
  <c r="J14" i="4" s="1"/>
  <c r="G340" i="4"/>
  <c r="AE191" i="15"/>
  <c r="AE196" i="15"/>
  <c r="AC20" i="15" l="1"/>
  <c r="J22" i="3" s="1"/>
  <c r="AC136" i="15"/>
  <c r="J138" i="3" s="1"/>
  <c r="AC153" i="15"/>
  <c r="J155" i="3" s="1"/>
  <c r="AC77" i="15"/>
  <c r="J79" i="3" s="1"/>
  <c r="AC102" i="15"/>
  <c r="J104" i="3" s="1"/>
  <c r="AC23" i="15"/>
  <c r="J25" i="3" s="1"/>
  <c r="AC131" i="15"/>
  <c r="J133" i="3" s="1"/>
  <c r="AC181" i="15"/>
  <c r="J183" i="3" s="1"/>
  <c r="AC179" i="15"/>
  <c r="J181" i="3" s="1"/>
  <c r="AC46" i="15"/>
  <c r="J48" i="3" s="1"/>
  <c r="AC63" i="15"/>
  <c r="J65" i="3" s="1"/>
  <c r="AC35" i="15"/>
  <c r="J37" i="3" s="1"/>
  <c r="AC110" i="15"/>
  <c r="J112" i="3" s="1"/>
  <c r="AC71" i="15"/>
  <c r="J73" i="3" s="1"/>
  <c r="AC152" i="15"/>
  <c r="J154" i="3" s="1"/>
  <c r="AC100" i="15"/>
  <c r="J102" i="3" s="1"/>
  <c r="AC149" i="15"/>
  <c r="J151" i="3" s="1"/>
  <c r="AC21" i="15"/>
  <c r="J23" i="3" s="1"/>
  <c r="AC166" i="15"/>
  <c r="J168" i="3" s="1"/>
  <c r="AC55" i="15"/>
  <c r="J57" i="3" s="1"/>
  <c r="AC19" i="15"/>
  <c r="J21" i="3" s="1"/>
  <c r="AC175" i="15"/>
  <c r="J177" i="3" s="1"/>
  <c r="AC112" i="15"/>
  <c r="J114" i="3" s="1"/>
  <c r="AC140" i="15"/>
  <c r="J142" i="3" s="1"/>
  <c r="AC108" i="15"/>
  <c r="J110" i="3" s="1"/>
  <c r="AC36" i="15"/>
  <c r="J38" i="3" s="1"/>
  <c r="AC117" i="15"/>
  <c r="J119" i="3" s="1"/>
  <c r="AC159" i="15"/>
  <c r="J161" i="3" s="1"/>
  <c r="AC37" i="15"/>
  <c r="J39" i="3" s="1"/>
  <c r="AC150" i="15"/>
  <c r="J152" i="3" s="1"/>
  <c r="AC163" i="15"/>
  <c r="J165" i="3" s="1"/>
  <c r="AC91" i="15"/>
  <c r="J93" i="3" s="1"/>
  <c r="AC114" i="15"/>
  <c r="J116" i="3" s="1"/>
  <c r="AC79" i="15"/>
  <c r="J81" i="3" s="1"/>
  <c r="AC186" i="15"/>
  <c r="J188" i="3" s="1"/>
  <c r="AC28" i="15"/>
  <c r="J30" i="3" s="1"/>
  <c r="AC72" i="15"/>
  <c r="J74" i="3" s="1"/>
  <c r="AC13" i="15"/>
  <c r="J15" i="3" s="1"/>
  <c r="AC205" i="15"/>
  <c r="J207" i="3" s="1"/>
  <c r="AC188" i="15"/>
  <c r="J190" i="3" s="1"/>
  <c r="AC53" i="15"/>
  <c r="J55" i="3" s="1"/>
  <c r="AC196" i="15"/>
  <c r="J198" i="3" s="1"/>
  <c r="AC93" i="15"/>
  <c r="J95" i="3" s="1"/>
  <c r="AC137" i="15"/>
  <c r="J139" i="3" s="1"/>
  <c r="AC169" i="15"/>
  <c r="J171" i="3" s="1"/>
  <c r="AC33" i="15"/>
  <c r="J35" i="3" s="1"/>
  <c r="AC56" i="15"/>
  <c r="J58" i="3" s="1"/>
  <c r="AC99" i="15"/>
  <c r="J101" i="3" s="1"/>
  <c r="AC12" i="15"/>
  <c r="J14" i="3" s="1"/>
  <c r="AC109" i="15"/>
  <c r="J111" i="3" s="1"/>
  <c r="AC172" i="15"/>
  <c r="J174" i="3" s="1"/>
  <c r="AC101" i="15"/>
  <c r="J103" i="3" s="1"/>
  <c r="AC173" i="15"/>
  <c r="J175" i="3" s="1"/>
  <c r="AC67" i="15"/>
  <c r="J69" i="3" s="1"/>
  <c r="AC87" i="15"/>
  <c r="J89" i="3" s="1"/>
  <c r="AC115" i="15"/>
  <c r="J117" i="3" s="1"/>
  <c r="AC171" i="15"/>
  <c r="J173" i="3" s="1"/>
  <c r="AC157" i="15"/>
  <c r="J159" i="3" s="1"/>
  <c r="AC174" i="15"/>
  <c r="J176" i="3" s="1"/>
  <c r="AC123" i="15"/>
  <c r="J125" i="3" s="1"/>
  <c r="AC61" i="15"/>
  <c r="J63" i="3" s="1"/>
  <c r="AC90" i="15"/>
  <c r="J92" i="3" s="1"/>
  <c r="AC30" i="15"/>
  <c r="J32" i="3" s="1"/>
  <c r="AC26" i="15"/>
  <c r="J28" i="3" s="1"/>
  <c r="AC197" i="15"/>
  <c r="J199" i="3" s="1"/>
  <c r="AC106" i="15"/>
  <c r="J108" i="3" s="1"/>
  <c r="AC148" i="15"/>
  <c r="J150" i="3" s="1"/>
  <c r="AC88" i="15"/>
  <c r="J90" i="3" s="1"/>
  <c r="AC138" i="15"/>
  <c r="J140" i="3" s="1"/>
  <c r="AC84" i="15"/>
  <c r="J86" i="3" s="1"/>
  <c r="AC128" i="15"/>
  <c r="J130" i="3" s="1"/>
  <c r="AC68" i="15"/>
  <c r="J70" i="3" s="1"/>
  <c r="AC85" i="15"/>
  <c r="J87" i="3" s="1"/>
  <c r="AC158" i="15"/>
  <c r="J160" i="3" s="1"/>
  <c r="AC18" i="15"/>
  <c r="J20" i="3" s="1"/>
  <c r="AC9" i="15"/>
  <c r="J11" i="3" s="1"/>
  <c r="AC178" i="15"/>
  <c r="J180" i="3" s="1"/>
  <c r="AC125" i="15"/>
  <c r="J127" i="3" s="1"/>
  <c r="AC82" i="15"/>
  <c r="J84" i="3" s="1"/>
  <c r="AC39" i="15"/>
  <c r="J41" i="3" s="1"/>
  <c r="AC185" i="15"/>
  <c r="J187" i="3" s="1"/>
  <c r="AC10" i="15"/>
  <c r="J12" i="3" s="1"/>
  <c r="AC191" i="15"/>
  <c r="J193" i="3" s="1"/>
  <c r="AC183" i="15"/>
  <c r="J185" i="3" s="1"/>
  <c r="AC43" i="15"/>
  <c r="J45" i="3" s="1"/>
  <c r="AC94" i="15"/>
  <c r="J96" i="3" s="1"/>
  <c r="AC74" i="15"/>
  <c r="J76" i="3" s="1"/>
  <c r="AC62" i="15"/>
  <c r="J64" i="3" s="1"/>
  <c r="AC194" i="15"/>
  <c r="J196" i="3" s="1"/>
  <c r="AC47" i="15"/>
  <c r="J49" i="3" s="1"/>
  <c r="AC15" i="15"/>
  <c r="J17" i="3" s="1"/>
  <c r="AC95" i="15"/>
  <c r="J97" i="3" s="1"/>
  <c r="AC25" i="15"/>
  <c r="J27" i="3" s="1"/>
  <c r="AC182" i="15"/>
  <c r="J184" i="3" s="1"/>
  <c r="AC129" i="15"/>
  <c r="J131" i="3" s="1"/>
  <c r="AC145" i="15"/>
  <c r="J147" i="3" s="1"/>
  <c r="AC89" i="15"/>
  <c r="J91" i="3" s="1"/>
  <c r="AC116" i="15"/>
  <c r="J118" i="3" s="1"/>
  <c r="AC105" i="15"/>
  <c r="J107" i="3" s="1"/>
  <c r="AC32" i="15"/>
  <c r="J34" i="3" s="1"/>
  <c r="AC141" i="15"/>
  <c r="J143" i="3" s="1"/>
  <c r="AC76" i="15"/>
  <c r="J78" i="3" s="1"/>
  <c r="AC64" i="15"/>
  <c r="J66" i="3" s="1"/>
  <c r="AC75" i="15"/>
  <c r="J77" i="3" s="1"/>
  <c r="AC127" i="15"/>
  <c r="J129" i="3" s="1"/>
  <c r="AC198" i="15"/>
  <c r="J200" i="3" s="1"/>
  <c r="AC134" i="15"/>
  <c r="J136" i="3" s="1"/>
  <c r="AC69" i="15"/>
  <c r="J71" i="3" s="1"/>
  <c r="AC34" i="15"/>
  <c r="J36" i="3" s="1"/>
  <c r="AC7" i="15"/>
  <c r="J9" i="3" s="1"/>
  <c r="AC78" i="15"/>
  <c r="J80" i="3" s="1"/>
  <c r="AC31" i="15"/>
  <c r="J33" i="3" s="1"/>
  <c r="AC11" i="15"/>
  <c r="J13" i="3" s="1"/>
  <c r="AC154" i="15"/>
  <c r="J156" i="3" s="1"/>
  <c r="AC42" i="15"/>
  <c r="J44" i="3" s="1"/>
  <c r="AC193" i="15"/>
  <c r="J195" i="3" s="1"/>
  <c r="AC160" i="15"/>
  <c r="J162" i="3" s="1"/>
  <c r="AC121" i="15"/>
  <c r="J123" i="3" s="1"/>
  <c r="AC80" i="15"/>
  <c r="J82" i="3" s="1"/>
  <c r="AC65" i="15"/>
  <c r="J67" i="3" s="1"/>
  <c r="AC142" i="15"/>
  <c r="J144" i="3" s="1"/>
  <c r="AC14" i="15"/>
  <c r="J16" i="3" s="1"/>
  <c r="AC192" i="15"/>
  <c r="J194" i="3" s="1"/>
  <c r="AC83" i="15"/>
  <c r="J85" i="3" s="1"/>
  <c r="AC22" i="15"/>
  <c r="J24" i="3" s="1"/>
  <c r="AC45" i="15"/>
  <c r="J47" i="3" s="1"/>
  <c r="AC176" i="15"/>
  <c r="J178" i="3" s="1"/>
  <c r="AC164" i="15"/>
  <c r="J166" i="3" s="1"/>
  <c r="AC49" i="15"/>
  <c r="J51" i="3" s="1"/>
  <c r="AC111" i="15"/>
  <c r="J113" i="3" s="1"/>
  <c r="AC58" i="15"/>
  <c r="J60" i="3" s="1"/>
  <c r="AC189" i="15"/>
  <c r="J191" i="3" s="1"/>
  <c r="AC107" i="15"/>
  <c r="J109" i="3" s="1"/>
  <c r="AC147" i="15"/>
  <c r="J149" i="3" s="1"/>
  <c r="AC135" i="15"/>
  <c r="J137" i="3" s="1"/>
  <c r="AC54" i="15"/>
  <c r="J56" i="3" s="1"/>
  <c r="AC165" i="15"/>
  <c r="J167" i="3" s="1"/>
  <c r="AC167" i="15"/>
  <c r="J169" i="3" s="1"/>
  <c r="AC143" i="15"/>
  <c r="J145" i="3" s="1"/>
  <c r="AC126" i="15"/>
  <c r="J128" i="3" s="1"/>
  <c r="AC40" i="15"/>
  <c r="J42" i="3" s="1"/>
  <c r="AC120" i="15"/>
  <c r="J122" i="3" s="1"/>
  <c r="AC73" i="15"/>
  <c r="J75" i="3" s="1"/>
  <c r="AC24" i="15"/>
  <c r="J26" i="3" s="1"/>
  <c r="AC81" i="15"/>
  <c r="J83" i="3" s="1"/>
  <c r="AC104" i="15"/>
  <c r="J106" i="3" s="1"/>
  <c r="AC96" i="15"/>
  <c r="J98" i="3" s="1"/>
  <c r="AC132" i="15"/>
  <c r="J134" i="3" s="1"/>
  <c r="AC52" i="15"/>
  <c r="J54" i="3" s="1"/>
  <c r="AC144" i="15"/>
  <c r="J146" i="3" s="1"/>
  <c r="AC60" i="15"/>
  <c r="J62" i="3" s="1"/>
  <c r="AC200" i="15"/>
  <c r="J202" i="3" s="1"/>
  <c r="AC168" i="15"/>
  <c r="J170" i="3" s="1"/>
  <c r="AC59" i="15"/>
  <c r="J61" i="3" s="1"/>
  <c r="AC195" i="15"/>
  <c r="J197" i="3" s="1"/>
  <c r="AC151" i="15"/>
  <c r="J153" i="3" s="1"/>
  <c r="AC139" i="15"/>
  <c r="J141" i="3" s="1"/>
  <c r="AC86" i="15"/>
  <c r="J88" i="3" s="1"/>
  <c r="AC29" i="15"/>
  <c r="J31" i="3" s="1"/>
  <c r="AC98" i="15"/>
  <c r="J100" i="3" s="1"/>
  <c r="AC122" i="15"/>
  <c r="J124" i="3" s="1"/>
  <c r="AC203" i="15"/>
  <c r="J205" i="3" s="1"/>
  <c r="AC103" i="15"/>
  <c r="J105" i="3" s="1"/>
  <c r="AC201" i="15"/>
  <c r="J203" i="3" s="1"/>
  <c r="AC44" i="15"/>
  <c r="J46" i="3" s="1"/>
  <c r="AC162" i="15"/>
  <c r="J164" i="3" s="1"/>
  <c r="AC204" i="15"/>
  <c r="J206" i="3" s="1"/>
  <c r="AC124" i="15"/>
  <c r="J126" i="3" s="1"/>
  <c r="AC177" i="15"/>
  <c r="J179" i="3" s="1"/>
  <c r="AC180" i="15"/>
  <c r="J182" i="3" s="1"/>
  <c r="AC161" i="15"/>
  <c r="J163" i="3" s="1"/>
  <c r="AC48" i="15"/>
  <c r="J50" i="3" s="1"/>
  <c r="AC155" i="15"/>
  <c r="J157" i="3" s="1"/>
  <c r="AC118" i="15"/>
  <c r="J120" i="3" s="1"/>
  <c r="AC133" i="15"/>
  <c r="J135" i="3" s="1"/>
  <c r="AC199" i="15"/>
  <c r="J201" i="3" s="1"/>
  <c r="AC6" i="15"/>
  <c r="J8" i="3" s="1"/>
  <c r="AC27" i="15"/>
  <c r="J29" i="3" s="1"/>
  <c r="AC202" i="15"/>
  <c r="J204" i="3" s="1"/>
  <c r="AC41" i="15"/>
  <c r="J43" i="3" s="1"/>
  <c r="AC70" i="15"/>
  <c r="J72" i="3" s="1"/>
  <c r="AC146" i="15"/>
  <c r="J148" i="3" s="1"/>
  <c r="I255" i="4"/>
  <c r="J255" i="4" s="1"/>
  <c r="K29" i="2"/>
  <c r="H29" i="2"/>
  <c r="Q62" i="2"/>
  <c r="I66" i="2"/>
  <c r="M62" i="2"/>
  <c r="F66" i="2"/>
  <c r="H9" i="2"/>
  <c r="D25" i="2"/>
  <c r="J9" i="2"/>
  <c r="G9" i="2"/>
  <c r="E25" i="2"/>
  <c r="I140" i="4"/>
  <c r="J140" i="4" s="1"/>
  <c r="L140" i="4" s="1"/>
  <c r="L9" i="2"/>
  <c r="N29" i="2"/>
  <c r="L62" i="2"/>
  <c r="I62" i="2"/>
  <c r="P29" i="2"/>
  <c r="H62" i="2"/>
  <c r="E62" i="2"/>
  <c r="I259" i="4"/>
  <c r="J259" i="4" s="1"/>
  <c r="L259" i="4" s="1"/>
  <c r="K259" i="4" s="1"/>
  <c r="L29" i="2"/>
  <c r="Q29" i="2"/>
  <c r="D62" i="2"/>
  <c r="O62" i="2"/>
  <c r="K25" i="2"/>
  <c r="P25" i="2"/>
  <c r="I258" i="4"/>
  <c r="J258" i="4" s="1"/>
  <c r="G258" i="4" s="1"/>
  <c r="D29" i="2"/>
  <c r="N62" i="2"/>
  <c r="K62" i="2"/>
  <c r="P62" i="2"/>
  <c r="M25" i="2"/>
  <c r="I257" i="4"/>
  <c r="J257" i="4" s="1"/>
  <c r="I256" i="4"/>
  <c r="J256" i="4" s="1"/>
  <c r="L256" i="4" s="1"/>
  <c r="K256" i="4" s="1"/>
  <c r="CG201" i="15"/>
  <c r="I254" i="4"/>
  <c r="J254" i="4" s="1"/>
  <c r="L254" i="4" s="1"/>
  <c r="K254" i="4" s="1"/>
  <c r="I199" i="4"/>
  <c r="J199" i="4" s="1"/>
  <c r="L199" i="4" s="1"/>
  <c r="K199" i="4" s="1"/>
  <c r="L258" i="4"/>
  <c r="K258" i="4" s="1"/>
  <c r="L257" i="4"/>
  <c r="K257" i="4" s="1"/>
  <c r="G257" i="4" s="1"/>
  <c r="H256" i="4"/>
  <c r="H258" i="4"/>
  <c r="L255" i="4"/>
  <c r="K255" i="4" s="1"/>
  <c r="H255" i="4"/>
  <c r="K13" i="4"/>
  <c r="I203" i="4"/>
  <c r="J203" i="4" s="1"/>
  <c r="L203" i="4" s="1"/>
  <c r="K203" i="4" s="1"/>
  <c r="I253" i="4"/>
  <c r="J253" i="4" s="1"/>
  <c r="L253" i="4" s="1"/>
  <c r="K253" i="4" s="1"/>
  <c r="I252" i="4"/>
  <c r="J252" i="4" s="1"/>
  <c r="H151" i="4"/>
  <c r="G156" i="4"/>
  <c r="I10" i="4"/>
  <c r="I111" i="4"/>
  <c r="J111" i="4" s="1"/>
  <c r="L111" i="4" s="1"/>
  <c r="G254" i="4"/>
  <c r="I251" i="4"/>
  <c r="J251" i="4" s="1"/>
  <c r="L251" i="4" s="1"/>
  <c r="K251" i="4" s="1"/>
  <c r="I139" i="4"/>
  <c r="J139" i="4" s="1"/>
  <c r="L139" i="4" s="1"/>
  <c r="G253" i="4"/>
  <c r="H253" i="4"/>
  <c r="H252" i="4"/>
  <c r="I35" i="4"/>
  <c r="J35" i="4" s="1"/>
  <c r="L35" i="4" s="1"/>
  <c r="G203" i="4"/>
  <c r="I250" i="4"/>
  <c r="J250" i="4" s="1"/>
  <c r="L250" i="4" s="1"/>
  <c r="I64" i="4"/>
  <c r="J64" i="4" s="1"/>
  <c r="L64" i="4" s="1"/>
  <c r="I190" i="4"/>
  <c r="I127" i="4"/>
  <c r="J127" i="4" s="1"/>
  <c r="L127" i="4" s="1"/>
  <c r="I52" i="4"/>
  <c r="I249" i="4"/>
  <c r="J249" i="4" s="1"/>
  <c r="L249" i="4" s="1"/>
  <c r="K249" i="4" s="1"/>
  <c r="I123" i="4"/>
  <c r="J123" i="4" s="1"/>
  <c r="H250" i="4"/>
  <c r="G250" i="4"/>
  <c r="E21" i="2"/>
  <c r="D17" i="2"/>
  <c r="I247" i="4"/>
  <c r="J247" i="4" s="1"/>
  <c r="L247" i="4" s="1"/>
  <c r="K247" i="4" s="1"/>
  <c r="I210" i="4"/>
  <c r="J210" i="4" s="1"/>
  <c r="L210" i="4" s="1"/>
  <c r="I147" i="4"/>
  <c r="H137" i="4"/>
  <c r="H249" i="4"/>
  <c r="G249" i="4"/>
  <c r="AP192" i="15"/>
  <c r="W194" i="3" s="1"/>
  <c r="G38" i="2"/>
  <c r="AP50" i="15" s="1"/>
  <c r="W52" i="3" s="1"/>
  <c r="AP18" i="15"/>
  <c r="W20" i="3" s="1"/>
  <c r="AP57" i="15"/>
  <c r="W59" i="3" s="1"/>
  <c r="J38" i="2"/>
  <c r="F38" i="2"/>
  <c r="AP89" i="15"/>
  <c r="W91" i="3" s="1"/>
  <c r="AP25" i="15"/>
  <c r="W27" i="3" s="1"/>
  <c r="AP139" i="15"/>
  <c r="W141" i="3" s="1"/>
  <c r="I38" i="2"/>
  <c r="AP36" i="15" s="1"/>
  <c r="W38" i="3" s="1"/>
  <c r="AP178" i="15"/>
  <c r="W180" i="3" s="1"/>
  <c r="AP157" i="15"/>
  <c r="W159" i="3" s="1"/>
  <c r="D38" i="2"/>
  <c r="BW89" i="15" s="1"/>
  <c r="BA91" i="3" s="1"/>
  <c r="AP182" i="15"/>
  <c r="W184" i="3" s="1"/>
  <c r="AP24" i="15"/>
  <c r="W26" i="3" s="1"/>
  <c r="K38" i="2"/>
  <c r="P17" i="2"/>
  <c r="G17" i="2"/>
  <c r="F17" i="2"/>
  <c r="N8" i="15"/>
  <c r="BA8" i="15" s="1"/>
  <c r="L198" i="3"/>
  <c r="L193" i="3"/>
  <c r="CB12" i="15"/>
  <c r="BF14" i="3" s="1"/>
  <c r="CC11" i="15"/>
  <c r="BG13" i="3" s="1"/>
  <c r="CB8" i="15"/>
  <c r="BF10" i="3" s="1"/>
  <c r="CB7" i="15"/>
  <c r="BF9" i="3" s="1"/>
  <c r="CC86" i="15"/>
  <c r="BG88" i="3" s="1"/>
  <c r="CC107" i="15"/>
  <c r="BG109" i="3" s="1"/>
  <c r="CB147" i="15"/>
  <c r="BF149" i="3" s="1"/>
  <c r="CB200" i="15"/>
  <c r="BF202" i="3" s="1"/>
  <c r="CB22" i="15"/>
  <c r="BF24" i="3" s="1"/>
  <c r="CB157" i="15"/>
  <c r="BF159" i="3" s="1"/>
  <c r="CC135" i="15"/>
  <c r="BG137" i="3" s="1"/>
  <c r="CB150" i="15"/>
  <c r="BF152" i="3" s="1"/>
  <c r="CB161" i="15"/>
  <c r="BF163" i="3" s="1"/>
  <c r="CB128" i="15"/>
  <c r="BF130" i="3" s="1"/>
  <c r="CC27" i="15"/>
  <c r="BG29" i="3" s="1"/>
  <c r="CC41" i="15"/>
  <c r="BG43" i="3" s="1"/>
  <c r="CC165" i="15"/>
  <c r="BG167" i="3" s="1"/>
  <c r="CC168" i="15"/>
  <c r="BG170" i="3" s="1"/>
  <c r="BP50" i="15"/>
  <c r="AT52" i="3" s="1"/>
  <c r="CB25" i="15"/>
  <c r="BF27" i="3" s="1"/>
  <c r="CB145" i="15"/>
  <c r="BF147" i="3" s="1"/>
  <c r="CB119" i="15"/>
  <c r="BF121" i="3" s="1"/>
  <c r="BP24" i="15"/>
  <c r="AT26" i="3" s="1"/>
  <c r="CB26" i="15"/>
  <c r="BF28" i="3" s="1"/>
  <c r="CC38" i="15"/>
  <c r="BG40" i="3" s="1"/>
  <c r="CB36" i="15"/>
  <c r="BF38" i="3" s="1"/>
  <c r="CB94" i="15"/>
  <c r="BF96" i="3" s="1"/>
  <c r="CC55" i="15"/>
  <c r="BG57" i="3" s="1"/>
  <c r="CE59" i="15"/>
  <c r="BI61" i="3" s="1"/>
  <c r="CE106" i="15"/>
  <c r="BI108" i="3" s="1"/>
  <c r="BR177" i="15"/>
  <c r="AV179" i="3" s="1"/>
  <c r="BR125" i="15"/>
  <c r="AV127" i="3" s="1"/>
  <c r="CE69" i="15"/>
  <c r="BI71" i="3" s="1"/>
  <c r="CE23" i="15"/>
  <c r="BI25" i="3" s="1"/>
  <c r="BR198" i="15"/>
  <c r="AV200" i="3" s="1"/>
  <c r="CE29" i="15"/>
  <c r="BI31" i="3" s="1"/>
  <c r="BR70" i="15"/>
  <c r="AV72" i="3" s="1"/>
  <c r="CE202" i="15"/>
  <c r="BI204" i="3" s="1"/>
  <c r="CE124" i="15"/>
  <c r="BI126" i="3" s="1"/>
  <c r="BQ123" i="15"/>
  <c r="AU125" i="3" s="1"/>
  <c r="BQ104" i="15"/>
  <c r="AU106" i="3" s="1"/>
  <c r="BR34" i="15"/>
  <c r="AV36" i="3" s="1"/>
  <c r="CE37" i="15"/>
  <c r="BI39" i="3" s="1"/>
  <c r="BR19" i="15"/>
  <c r="AV21" i="3" s="1"/>
  <c r="BQ176" i="15"/>
  <c r="AU178" i="3" s="1"/>
  <c r="CE65" i="15"/>
  <c r="BI67" i="3" s="1"/>
  <c r="CE71" i="15"/>
  <c r="BI73" i="3" s="1"/>
  <c r="CE52" i="15"/>
  <c r="BI54" i="3" s="1"/>
  <c r="CE53" i="15"/>
  <c r="BI55" i="3" s="1"/>
  <c r="CE183" i="15"/>
  <c r="BI185" i="3" s="1"/>
  <c r="CE203" i="15"/>
  <c r="BI205" i="3" s="1"/>
  <c r="BQ136" i="15"/>
  <c r="AU138" i="3" s="1"/>
  <c r="BR51" i="15"/>
  <c r="AV53" i="3" s="1"/>
  <c r="BQ32" i="15"/>
  <c r="AU34" i="3" s="1"/>
  <c r="CE91" i="15"/>
  <c r="BI93" i="3" s="1"/>
  <c r="BR180" i="15"/>
  <c r="AV182" i="3" s="1"/>
  <c r="CE126" i="15"/>
  <c r="BI128" i="3" s="1"/>
  <c r="CE115" i="15"/>
  <c r="BI117" i="3" s="1"/>
  <c r="BR134" i="15"/>
  <c r="AV136" i="3" s="1"/>
  <c r="BR130" i="15"/>
  <c r="AV132" i="3" s="1"/>
  <c r="CE79" i="15"/>
  <c r="BI81" i="3" s="1"/>
  <c r="BQ160" i="15"/>
  <c r="AU162" i="3" s="1"/>
  <c r="CE89" i="15"/>
  <c r="BI91" i="3" s="1"/>
  <c r="CE114" i="15"/>
  <c r="BI116" i="3" s="1"/>
  <c r="CE162" i="15"/>
  <c r="BI164" i="3" s="1"/>
  <c r="BR185" i="15"/>
  <c r="AV187" i="3" s="1"/>
  <c r="BR102" i="15"/>
  <c r="AV104" i="3" s="1"/>
  <c r="CE111" i="15"/>
  <c r="BI113" i="3" s="1"/>
  <c r="BR156" i="15"/>
  <c r="AV158" i="3" s="1"/>
  <c r="CE13" i="15"/>
  <c r="BI15" i="3" s="1"/>
  <c r="CE73" i="15"/>
  <c r="BI75" i="3" s="1"/>
  <c r="CE103" i="15"/>
  <c r="BI105" i="3" s="1"/>
  <c r="CE80" i="15"/>
  <c r="BI82" i="3" s="1"/>
  <c r="BR35" i="15"/>
  <c r="AV37" i="3" s="1"/>
  <c r="CC6" i="15"/>
  <c r="BG8" i="3" s="1"/>
  <c r="CE12" i="15"/>
  <c r="BI14" i="3" s="1"/>
  <c r="BR11" i="15"/>
  <c r="AV13" i="3" s="1"/>
  <c r="BQ8" i="15"/>
  <c r="AU10" i="3" s="1"/>
  <c r="CE7" i="15"/>
  <c r="BI9" i="3" s="1"/>
  <c r="BR86" i="15"/>
  <c r="AV88" i="3" s="1"/>
  <c r="CE107" i="15"/>
  <c r="BI109" i="3" s="1"/>
  <c r="BQ88" i="15"/>
  <c r="AU90" i="3" s="1"/>
  <c r="BQ147" i="15"/>
  <c r="AU149" i="3" s="1"/>
  <c r="BQ200" i="15"/>
  <c r="AU202" i="3" s="1"/>
  <c r="BR22" i="15"/>
  <c r="AV24" i="3" s="1"/>
  <c r="CE157" i="15"/>
  <c r="BI159" i="3" s="1"/>
  <c r="CE135" i="15"/>
  <c r="BI137" i="3" s="1"/>
  <c r="BR150" i="15"/>
  <c r="AV152" i="3" s="1"/>
  <c r="CE161" i="15"/>
  <c r="BI163" i="3" s="1"/>
  <c r="BQ128" i="15"/>
  <c r="AU130" i="3" s="1"/>
  <c r="BR27" i="15"/>
  <c r="AV29" i="3" s="1"/>
  <c r="CE41" i="15"/>
  <c r="BI43" i="3" s="1"/>
  <c r="CE165" i="15"/>
  <c r="BI167" i="3" s="1"/>
  <c r="BQ168" i="15"/>
  <c r="AU170" i="3" s="1"/>
  <c r="BR50" i="15"/>
  <c r="AV52" i="3" s="1"/>
  <c r="CE25" i="15"/>
  <c r="BI27" i="3" s="1"/>
  <c r="CE145" i="15"/>
  <c r="BI147" i="3" s="1"/>
  <c r="CE119" i="15"/>
  <c r="BI121" i="3" s="1"/>
  <c r="BQ24" i="15"/>
  <c r="AU26" i="3" s="1"/>
  <c r="BR26" i="15"/>
  <c r="AV28" i="3" s="1"/>
  <c r="BR38" i="15"/>
  <c r="AV40" i="3" s="1"/>
  <c r="CE36" i="15"/>
  <c r="BI38" i="3" s="1"/>
  <c r="CE94" i="15"/>
  <c r="BI96" i="3" s="1"/>
  <c r="CE55" i="15"/>
  <c r="BI57" i="3" s="1"/>
  <c r="BR59" i="15"/>
  <c r="AV61" i="3" s="1"/>
  <c r="BR106" i="15"/>
  <c r="AV108" i="3" s="1"/>
  <c r="CE177" i="15"/>
  <c r="BI179" i="3" s="1"/>
  <c r="CE125" i="15"/>
  <c r="BI127" i="3" s="1"/>
  <c r="BR69" i="15"/>
  <c r="AV71" i="3" s="1"/>
  <c r="BQ23" i="15"/>
  <c r="AU25" i="3" s="1"/>
  <c r="CE198" i="15"/>
  <c r="BI200" i="3" s="1"/>
  <c r="BQ29" i="15"/>
  <c r="AU31" i="3" s="1"/>
  <c r="CE70" i="15"/>
  <c r="BI72" i="3" s="1"/>
  <c r="BR202" i="15"/>
  <c r="AV204" i="3" s="1"/>
  <c r="BR124" i="15"/>
  <c r="AV126" i="3" s="1"/>
  <c r="CE123" i="15"/>
  <c r="BI125" i="3" s="1"/>
  <c r="CE104" i="15"/>
  <c r="BI106" i="3" s="1"/>
  <c r="CE34" i="15"/>
  <c r="BI36" i="3" s="1"/>
  <c r="BQ37" i="15"/>
  <c r="AU39" i="3" s="1"/>
  <c r="CD19" i="15"/>
  <c r="BH21" i="3" s="1"/>
  <c r="CE176" i="15"/>
  <c r="BI178" i="3" s="1"/>
  <c r="BR65" i="15"/>
  <c r="AV67" i="3" s="1"/>
  <c r="BR71" i="15"/>
  <c r="AV73" i="3" s="1"/>
  <c r="BR52" i="15"/>
  <c r="AV54" i="3" s="1"/>
  <c r="BR53" i="15"/>
  <c r="AV55" i="3" s="1"/>
  <c r="BR183" i="15"/>
  <c r="AV185" i="3" s="1"/>
  <c r="BR203" i="15"/>
  <c r="AV205" i="3" s="1"/>
  <c r="CE136" i="15"/>
  <c r="BI138" i="3" s="1"/>
  <c r="BQ51" i="15"/>
  <c r="AU53" i="3" s="1"/>
  <c r="CE32" i="15"/>
  <c r="BI34" i="3" s="1"/>
  <c r="BR91" i="15"/>
  <c r="AV93" i="3" s="1"/>
  <c r="CE180" i="15"/>
  <c r="BI182" i="3" s="1"/>
  <c r="BR126" i="15"/>
  <c r="AV128" i="3" s="1"/>
  <c r="BR115" i="15"/>
  <c r="AV117" i="3" s="1"/>
  <c r="CE134" i="15"/>
  <c r="BI136" i="3" s="1"/>
  <c r="CE130" i="15"/>
  <c r="BI132" i="3" s="1"/>
  <c r="BR79" i="15"/>
  <c r="AV81" i="3" s="1"/>
  <c r="CE160" i="15"/>
  <c r="BI162" i="3" s="1"/>
  <c r="BR89" i="15"/>
  <c r="AV91" i="3" s="1"/>
  <c r="BR114" i="15"/>
  <c r="AV116" i="3" s="1"/>
  <c r="BR162" i="15"/>
  <c r="AV164" i="3" s="1"/>
  <c r="CE185" i="15"/>
  <c r="BI187" i="3" s="1"/>
  <c r="CE102" i="15"/>
  <c r="BI104" i="3" s="1"/>
  <c r="BR111" i="15"/>
  <c r="AV113" i="3" s="1"/>
  <c r="CE156" i="15"/>
  <c r="BI158" i="3" s="1"/>
  <c r="CD13" i="15"/>
  <c r="BH15" i="3" s="1"/>
  <c r="CB6" i="15"/>
  <c r="BF8" i="3" s="1"/>
  <c r="BR12" i="15"/>
  <c r="AV14" i="3" s="1"/>
  <c r="BQ11" i="15"/>
  <c r="AU13" i="3" s="1"/>
  <c r="CE8" i="15"/>
  <c r="BI10" i="3" s="1"/>
  <c r="BQ7" i="15"/>
  <c r="AU9" i="3" s="1"/>
  <c r="BQ86" i="15"/>
  <c r="AU88" i="3" s="1"/>
  <c r="BR107" i="15"/>
  <c r="AV109" i="3" s="1"/>
  <c r="CE88" i="15"/>
  <c r="BI90" i="3" s="1"/>
  <c r="BR147" i="15"/>
  <c r="AV149" i="3" s="1"/>
  <c r="CE200" i="15"/>
  <c r="BI202" i="3" s="1"/>
  <c r="CE22" i="15"/>
  <c r="BI24" i="3" s="1"/>
  <c r="BQ157" i="15"/>
  <c r="AU159" i="3" s="1"/>
  <c r="BR135" i="15"/>
  <c r="AV137" i="3" s="1"/>
  <c r="BQ150" i="15"/>
  <c r="AU152" i="3" s="1"/>
  <c r="BQ161" i="15"/>
  <c r="AU163" i="3" s="1"/>
  <c r="CE128" i="15"/>
  <c r="BI130" i="3" s="1"/>
  <c r="BQ27" i="15"/>
  <c r="AU29" i="3" s="1"/>
  <c r="BR41" i="15"/>
  <c r="AV43" i="3" s="1"/>
  <c r="BR165" i="15"/>
  <c r="AV167" i="3" s="1"/>
  <c r="CE168" i="15"/>
  <c r="BI170" i="3" s="1"/>
  <c r="CE50" i="15"/>
  <c r="BI52" i="3" s="1"/>
  <c r="BR25" i="15"/>
  <c r="AV27" i="3" s="1"/>
  <c r="BR145" i="15"/>
  <c r="AV147" i="3" s="1"/>
  <c r="BQ119" i="15"/>
  <c r="AU121" i="3" s="1"/>
  <c r="CE24" i="15"/>
  <c r="BI26" i="3" s="1"/>
  <c r="CE26" i="15"/>
  <c r="BI28" i="3" s="1"/>
  <c r="CE38" i="15"/>
  <c r="BI40" i="3" s="1"/>
  <c r="BR36" i="15"/>
  <c r="AV38" i="3" s="1"/>
  <c r="BR94" i="15"/>
  <c r="AV96" i="3" s="1"/>
  <c r="BR55" i="15"/>
  <c r="AV57" i="3" s="1"/>
  <c r="BQ59" i="15"/>
  <c r="AU61" i="3" s="1"/>
  <c r="BQ106" i="15"/>
  <c r="AU108" i="3" s="1"/>
  <c r="BQ177" i="15"/>
  <c r="AU179" i="3" s="1"/>
  <c r="BQ125" i="15"/>
  <c r="AU127" i="3" s="1"/>
  <c r="BQ69" i="15"/>
  <c r="AU71" i="3" s="1"/>
  <c r="BR23" i="15"/>
  <c r="AV25" i="3" s="1"/>
  <c r="BQ198" i="15"/>
  <c r="AU200" i="3" s="1"/>
  <c r="CD29" i="15"/>
  <c r="BH31" i="3" s="1"/>
  <c r="BQ70" i="15"/>
  <c r="AU72" i="3" s="1"/>
  <c r="BQ202" i="15"/>
  <c r="AU204" i="3" s="1"/>
  <c r="BQ124" i="15"/>
  <c r="AU126" i="3" s="1"/>
  <c r="BR123" i="15"/>
  <c r="AV125" i="3" s="1"/>
  <c r="BR104" i="15"/>
  <c r="AV106" i="3" s="1"/>
  <c r="BQ34" i="15"/>
  <c r="AU36" i="3" s="1"/>
  <c r="CD37" i="15"/>
  <c r="BH39" i="3" s="1"/>
  <c r="BQ19" i="15"/>
  <c r="AU21" i="3" s="1"/>
  <c r="BR176" i="15"/>
  <c r="AV178" i="3" s="1"/>
  <c r="BQ65" i="15"/>
  <c r="AU67" i="3" s="1"/>
  <c r="BQ71" i="15"/>
  <c r="AU73" i="3" s="1"/>
  <c r="BQ52" i="15"/>
  <c r="AU54" i="3" s="1"/>
  <c r="BQ53" i="15"/>
  <c r="AU55" i="3" s="1"/>
  <c r="BQ183" i="15"/>
  <c r="AU185" i="3" s="1"/>
  <c r="CD203" i="15"/>
  <c r="BH205" i="3" s="1"/>
  <c r="BR136" i="15"/>
  <c r="AV138" i="3" s="1"/>
  <c r="CD51" i="15"/>
  <c r="BH53" i="3" s="1"/>
  <c r="BR32" i="15"/>
  <c r="AV34" i="3" s="1"/>
  <c r="BQ91" i="15"/>
  <c r="AU93" i="3" s="1"/>
  <c r="BQ180" i="15"/>
  <c r="AU182" i="3" s="1"/>
  <c r="BQ126" i="15"/>
  <c r="AU128" i="3" s="1"/>
  <c r="BQ115" i="15"/>
  <c r="AU117" i="3" s="1"/>
  <c r="BQ134" i="15"/>
  <c r="AU136" i="3" s="1"/>
  <c r="BQ130" i="15"/>
  <c r="AU132" i="3" s="1"/>
  <c r="BQ79" i="15"/>
  <c r="AU81" i="3" s="1"/>
  <c r="BR160" i="15"/>
  <c r="AV162" i="3" s="1"/>
  <c r="BQ89" i="15"/>
  <c r="AU91" i="3" s="1"/>
  <c r="BQ114" i="15"/>
  <c r="AU116" i="3" s="1"/>
  <c r="BQ162" i="15"/>
  <c r="AU164" i="3" s="1"/>
  <c r="BQ185" i="15"/>
  <c r="AU187" i="3" s="1"/>
  <c r="BQ102" i="15"/>
  <c r="AU104" i="3" s="1"/>
  <c r="BQ111" i="15"/>
  <c r="AU113" i="3" s="1"/>
  <c r="BQ156" i="15"/>
  <c r="AU158" i="3" s="1"/>
  <c r="BP6" i="15"/>
  <c r="AT8" i="3" s="1"/>
  <c r="BQ12" i="15"/>
  <c r="AU14" i="3" s="1"/>
  <c r="CD11" i="15"/>
  <c r="BH13" i="3" s="1"/>
  <c r="BR8" i="15"/>
  <c r="AV10" i="3" s="1"/>
  <c r="BR7" i="15"/>
  <c r="AV9" i="3" s="1"/>
  <c r="CE86" i="15"/>
  <c r="BI88" i="3" s="1"/>
  <c r="BQ107" i="15"/>
  <c r="AU109" i="3" s="1"/>
  <c r="BR88" i="15"/>
  <c r="AV90" i="3" s="1"/>
  <c r="CE147" i="15"/>
  <c r="BI149" i="3" s="1"/>
  <c r="BR200" i="15"/>
  <c r="AV202" i="3" s="1"/>
  <c r="BQ22" i="15"/>
  <c r="AU24" i="3" s="1"/>
  <c r="BR157" i="15"/>
  <c r="AV159" i="3" s="1"/>
  <c r="CD135" i="15"/>
  <c r="BH137" i="3" s="1"/>
  <c r="CE150" i="15"/>
  <c r="BI152" i="3" s="1"/>
  <c r="BR161" i="15"/>
  <c r="AV163" i="3" s="1"/>
  <c r="BR128" i="15"/>
  <c r="AV130" i="3" s="1"/>
  <c r="CD27" i="15"/>
  <c r="BH29" i="3" s="1"/>
  <c r="BQ41" i="15"/>
  <c r="AU43" i="3" s="1"/>
  <c r="BQ165" i="15"/>
  <c r="AU167" i="3" s="1"/>
  <c r="BR168" i="15"/>
  <c r="AV170" i="3" s="1"/>
  <c r="BQ50" i="15"/>
  <c r="AU52" i="3" s="1"/>
  <c r="BQ25" i="15"/>
  <c r="AU27" i="3" s="1"/>
  <c r="BQ145" i="15"/>
  <c r="AU147" i="3" s="1"/>
  <c r="BR119" i="15"/>
  <c r="AV121" i="3" s="1"/>
  <c r="BR24" i="15"/>
  <c r="AV26" i="3" s="1"/>
  <c r="BQ26" i="15"/>
  <c r="AU28" i="3" s="1"/>
  <c r="BQ38" i="15"/>
  <c r="AU40" i="3" s="1"/>
  <c r="BQ36" i="15"/>
  <c r="AU38" i="3" s="1"/>
  <c r="BQ94" i="15"/>
  <c r="AU96" i="3" s="1"/>
  <c r="BQ55" i="15"/>
  <c r="AU57" i="3" s="1"/>
  <c r="CD59" i="15"/>
  <c r="BH61" i="3" s="1"/>
  <c r="CD106" i="15"/>
  <c r="BH108" i="3" s="1"/>
  <c r="CD177" i="15"/>
  <c r="BH179" i="3" s="1"/>
  <c r="CD125" i="15"/>
  <c r="BH127" i="3" s="1"/>
  <c r="CD69" i="15"/>
  <c r="BH71" i="3" s="1"/>
  <c r="CD23" i="15"/>
  <c r="BH25" i="3" s="1"/>
  <c r="CD198" i="15"/>
  <c r="BH200" i="3" s="1"/>
  <c r="BR29" i="15"/>
  <c r="AV31" i="3" s="1"/>
  <c r="CD70" i="15"/>
  <c r="BH72" i="3" s="1"/>
  <c r="CD202" i="15"/>
  <c r="BH204" i="3" s="1"/>
  <c r="CD124" i="15"/>
  <c r="BH126" i="3" s="1"/>
  <c r="CD123" i="15"/>
  <c r="BH125" i="3" s="1"/>
  <c r="CD104" i="15"/>
  <c r="BH106" i="3" s="1"/>
  <c r="CD34" i="15"/>
  <c r="BH36" i="3" s="1"/>
  <c r="BR37" i="15"/>
  <c r="AV39" i="3" s="1"/>
  <c r="CE19" i="15"/>
  <c r="BI21" i="3" s="1"/>
  <c r="CD176" i="15"/>
  <c r="BH178" i="3" s="1"/>
  <c r="CD65" i="15"/>
  <c r="BH67" i="3" s="1"/>
  <c r="CD71" i="15"/>
  <c r="BH73" i="3" s="1"/>
  <c r="CD52" i="15"/>
  <c r="BH54" i="3" s="1"/>
  <c r="CD53" i="15"/>
  <c r="BH55" i="3" s="1"/>
  <c r="CD183" i="15"/>
  <c r="BH185" i="3" s="1"/>
  <c r="BQ203" i="15"/>
  <c r="AU205" i="3" s="1"/>
  <c r="CD136" i="15"/>
  <c r="BH138" i="3" s="1"/>
  <c r="CE51" i="15"/>
  <c r="BI53" i="3" s="1"/>
  <c r="CD32" i="15"/>
  <c r="BH34" i="3" s="1"/>
  <c r="CD91" i="15"/>
  <c r="BH93" i="3" s="1"/>
  <c r="CD180" i="15"/>
  <c r="BH182" i="3" s="1"/>
  <c r="CD126" i="15"/>
  <c r="BH128" i="3" s="1"/>
  <c r="CD115" i="15"/>
  <c r="BH117" i="3" s="1"/>
  <c r="CD134" i="15"/>
  <c r="BH136" i="3" s="1"/>
  <c r="CD130" i="15"/>
  <c r="BH132" i="3" s="1"/>
  <c r="CD79" i="15"/>
  <c r="BH81" i="3" s="1"/>
  <c r="CD160" i="15"/>
  <c r="BH162" i="3" s="1"/>
  <c r="CD89" i="15"/>
  <c r="BH91" i="3" s="1"/>
  <c r="CD114" i="15"/>
  <c r="BH116" i="3" s="1"/>
  <c r="CD162" i="15"/>
  <c r="BH164" i="3" s="1"/>
  <c r="CD185" i="15"/>
  <c r="BH187" i="3" s="1"/>
  <c r="CD102" i="15"/>
  <c r="BH104" i="3" s="1"/>
  <c r="CD111" i="15"/>
  <c r="BH113" i="3" s="1"/>
  <c r="CD156" i="15"/>
  <c r="BH158" i="3" s="1"/>
  <c r="BW143" i="15"/>
  <c r="BA145" i="3" s="1"/>
  <c r="BW93" i="15"/>
  <c r="BA95" i="3" s="1"/>
  <c r="BX148" i="15"/>
  <c r="BB150" i="3" s="1"/>
  <c r="BK12" i="15"/>
  <c r="AO14" i="3" s="1"/>
  <c r="BX171" i="15"/>
  <c r="BB173" i="3" s="1"/>
  <c r="BK115" i="15"/>
  <c r="AO117" i="3" s="1"/>
  <c r="BK51" i="15"/>
  <c r="AO53" i="3" s="1"/>
  <c r="BW27" i="15"/>
  <c r="BA29" i="3" s="1"/>
  <c r="BK122" i="15"/>
  <c r="AO124" i="3" s="1"/>
  <c r="BK42" i="15"/>
  <c r="AO44" i="3" s="1"/>
  <c r="BK105" i="15"/>
  <c r="AO107" i="3" s="1"/>
  <c r="BX65" i="15"/>
  <c r="BB67" i="3" s="1"/>
  <c r="BK40" i="15"/>
  <c r="AO42" i="3" s="1"/>
  <c r="M6" i="15"/>
  <c r="P6" i="15" s="1"/>
  <c r="BA38" i="15"/>
  <c r="O37" i="15"/>
  <c r="M166" i="15"/>
  <c r="BD166" i="15" s="1"/>
  <c r="M102" i="15"/>
  <c r="W102" i="15" s="1"/>
  <c r="X38" i="15"/>
  <c r="W126" i="15"/>
  <c r="BW54" i="15"/>
  <c r="BA56" i="3" s="1"/>
  <c r="AI25" i="3"/>
  <c r="C40" i="3"/>
  <c r="AI40" i="3" s="1"/>
  <c r="BK38" i="15"/>
  <c r="AO40" i="3" s="1"/>
  <c r="C56" i="3"/>
  <c r="BK56" i="3" s="1"/>
  <c r="BA37" i="15"/>
  <c r="M38" i="15"/>
  <c r="M13" i="15"/>
  <c r="O38" i="15"/>
  <c r="BX38" i="15"/>
  <c r="BB40" i="3" s="1"/>
  <c r="BE37" i="15"/>
  <c r="CG37" i="15"/>
  <c r="X21" i="15"/>
  <c r="BE38" i="15"/>
  <c r="X37" i="15"/>
  <c r="CG102" i="15"/>
  <c r="BX37" i="15"/>
  <c r="BB39" i="3" s="1"/>
  <c r="M37" i="15"/>
  <c r="W37" i="15" s="1"/>
  <c r="M14" i="15"/>
  <c r="W14" i="15" s="1"/>
  <c r="BX36" i="15"/>
  <c r="BB38" i="3" s="1"/>
  <c r="C39" i="3"/>
  <c r="AI39" i="3" s="1"/>
  <c r="M21" i="15"/>
  <c r="BA93" i="15"/>
  <c r="O52" i="15"/>
  <c r="J172" i="15"/>
  <c r="N172" i="15" s="1"/>
  <c r="M157" i="15"/>
  <c r="BB157" i="15" s="1"/>
  <c r="CG93" i="15"/>
  <c r="X93" i="15"/>
  <c r="B55" i="3"/>
  <c r="BL55" i="3" s="1"/>
  <c r="C38" i="3"/>
  <c r="BK38" i="3" s="1"/>
  <c r="O156" i="15"/>
  <c r="W196" i="15"/>
  <c r="M93" i="15"/>
  <c r="BB93" i="15" s="1"/>
  <c r="BA156" i="15"/>
  <c r="BA36" i="15"/>
  <c r="O12" i="15"/>
  <c r="B198" i="3"/>
  <c r="BL198" i="3" s="1"/>
  <c r="BX12" i="15"/>
  <c r="BB14" i="3" s="1"/>
  <c r="M180" i="15"/>
  <c r="M167" i="15"/>
  <c r="BA76" i="15"/>
  <c r="C14" i="3"/>
  <c r="BE12" i="15"/>
  <c r="X12" i="15"/>
  <c r="CG15" i="15"/>
  <c r="M55" i="15"/>
  <c r="BE21" i="15"/>
  <c r="CG76" i="15"/>
  <c r="BE36" i="15"/>
  <c r="M199" i="15"/>
  <c r="CH199" i="15" s="1"/>
  <c r="BA12" i="15"/>
  <c r="C23" i="3"/>
  <c r="AI23" i="3" s="1"/>
  <c r="CG156" i="15"/>
  <c r="CG36" i="15"/>
  <c r="BB191" i="15"/>
  <c r="CG183" i="15"/>
  <c r="X175" i="15"/>
  <c r="BK15" i="15"/>
  <c r="AO17" i="3" s="1"/>
  <c r="M183" i="15"/>
  <c r="X36" i="15"/>
  <c r="C121" i="3"/>
  <c r="BK121" i="3" s="1"/>
  <c r="C145" i="3"/>
  <c r="AI145" i="3" s="1"/>
  <c r="BX143" i="15"/>
  <c r="BB145" i="3" s="1"/>
  <c r="M204" i="15"/>
  <c r="W204" i="15" s="1"/>
  <c r="M95" i="15"/>
  <c r="W95" i="15" s="1"/>
  <c r="X76" i="15"/>
  <c r="CG12" i="15"/>
  <c r="BE76" i="15"/>
  <c r="BK36" i="15"/>
  <c r="AO38" i="3" s="1"/>
  <c r="P191" i="15"/>
  <c r="O167" i="15"/>
  <c r="M175" i="15"/>
  <c r="B177" i="3" s="1"/>
  <c r="AH177" i="3" s="1"/>
  <c r="M132" i="15"/>
  <c r="BB132" i="15" s="1"/>
  <c r="N247" i="4"/>
  <c r="M247" i="4" s="1"/>
  <c r="I160" i="4"/>
  <c r="J160" i="4" s="1"/>
  <c r="L160" i="4" s="1"/>
  <c r="K160" i="4" s="1"/>
  <c r="I119" i="4"/>
  <c r="I248" i="4"/>
  <c r="J248" i="4" s="1"/>
  <c r="L248" i="4" s="1"/>
  <c r="G248" i="4" s="1"/>
  <c r="I181" i="4"/>
  <c r="J181" i="4" s="1"/>
  <c r="L181" i="4" s="1"/>
  <c r="I132" i="4"/>
  <c r="J132" i="4" s="1"/>
  <c r="L132" i="4" s="1"/>
  <c r="N210" i="4"/>
  <c r="M210" i="4" s="1"/>
  <c r="I68" i="4"/>
  <c r="I246" i="4"/>
  <c r="J246" i="4" s="1"/>
  <c r="L246" i="4" s="1"/>
  <c r="K246" i="4" s="1"/>
  <c r="I104" i="4"/>
  <c r="J104" i="4" s="1"/>
  <c r="I192" i="4"/>
  <c r="J192" i="4" s="1"/>
  <c r="L192" i="4" s="1"/>
  <c r="I88" i="4"/>
  <c r="J88" i="4" s="1"/>
  <c r="L88" i="4" s="1"/>
  <c r="I245" i="4"/>
  <c r="J245" i="4" s="1"/>
  <c r="L245" i="4" s="1"/>
  <c r="K245" i="4" s="1"/>
  <c r="I63" i="4"/>
  <c r="I93" i="4"/>
  <c r="J93" i="4" s="1"/>
  <c r="L93" i="4" s="1"/>
  <c r="K93" i="4" s="1"/>
  <c r="I150" i="4"/>
  <c r="J150" i="4" s="1"/>
  <c r="L150" i="4" s="1"/>
  <c r="I7" i="4"/>
  <c r="J7" i="4" s="1"/>
  <c r="L7" i="4" s="1"/>
  <c r="K7" i="4" s="1"/>
  <c r="I79" i="4"/>
  <c r="J79" i="4" s="1"/>
  <c r="L79" i="4" s="1"/>
  <c r="I17" i="4"/>
  <c r="I141" i="4"/>
  <c r="J141" i="4" s="1"/>
  <c r="L141" i="4" s="1"/>
  <c r="I37" i="4"/>
  <c r="J37" i="4" s="1"/>
  <c r="L37" i="4" s="1"/>
  <c r="H248" i="4"/>
  <c r="G247" i="4"/>
  <c r="H247" i="4"/>
  <c r="L110" i="4"/>
  <c r="K110" i="4" s="1"/>
  <c r="J190" i="4"/>
  <c r="L190" i="4" s="1"/>
  <c r="I96" i="4"/>
  <c r="J96" i="4" s="1"/>
  <c r="L96" i="4" s="1"/>
  <c r="I116" i="4"/>
  <c r="I105" i="4"/>
  <c r="J105" i="4" s="1"/>
  <c r="L105" i="4" s="1"/>
  <c r="N147" i="4"/>
  <c r="M147" i="4" s="1"/>
  <c r="I19" i="4"/>
  <c r="J19" i="4" s="1"/>
  <c r="L19" i="4" s="1"/>
  <c r="K19" i="4" s="1"/>
  <c r="I176" i="4"/>
  <c r="J176" i="4" s="1"/>
  <c r="L176" i="4" s="1"/>
  <c r="K176" i="4" s="1"/>
  <c r="I129" i="4"/>
  <c r="I178" i="4"/>
  <c r="J178" i="4" s="1"/>
  <c r="L178" i="4" s="1"/>
  <c r="I125" i="4"/>
  <c r="J125" i="4" s="1"/>
  <c r="L125" i="4" s="1"/>
  <c r="I113" i="4"/>
  <c r="J113" i="4" s="1"/>
  <c r="L113" i="4" s="1"/>
  <c r="I102" i="4"/>
  <c r="N190" i="4"/>
  <c r="M190" i="4" s="1"/>
  <c r="H190" i="4" s="1"/>
  <c r="I126" i="4"/>
  <c r="J126" i="4" s="1"/>
  <c r="L126" i="4" s="1"/>
  <c r="K126" i="4" s="1"/>
  <c r="I188" i="4"/>
  <c r="J188" i="4" s="1"/>
  <c r="L188" i="4" s="1"/>
  <c r="I51" i="4"/>
  <c r="N63" i="4"/>
  <c r="M63" i="4" s="1"/>
  <c r="H63" i="4" s="1"/>
  <c r="I207" i="4"/>
  <c r="J207" i="4" s="1"/>
  <c r="L207" i="4" s="1"/>
  <c r="G112" i="4"/>
  <c r="I197" i="4"/>
  <c r="I135" i="4"/>
  <c r="J135" i="4" s="1"/>
  <c r="L135" i="4" s="1"/>
  <c r="I61" i="4"/>
  <c r="I205" i="4"/>
  <c r="I25" i="4"/>
  <c r="J25" i="4" s="1"/>
  <c r="L25" i="4" s="1"/>
  <c r="I170" i="4"/>
  <c r="J170" i="4" s="1"/>
  <c r="L170" i="4" s="1"/>
  <c r="I195" i="4"/>
  <c r="I186" i="4"/>
  <c r="J186" i="4" s="1"/>
  <c r="L186" i="4" s="1"/>
  <c r="I54" i="4"/>
  <c r="J54" i="4" s="1"/>
  <c r="L54" i="4" s="1"/>
  <c r="I74" i="4"/>
  <c r="J74" i="4" s="1"/>
  <c r="L74" i="4" s="1"/>
  <c r="I179" i="4"/>
  <c r="J179" i="4" s="1"/>
  <c r="I66" i="4"/>
  <c r="J66" i="4" s="1"/>
  <c r="L66" i="4" s="1"/>
  <c r="K66" i="4" s="1"/>
  <c r="G246" i="4"/>
  <c r="H245" i="4"/>
  <c r="L142" i="4"/>
  <c r="K142" i="4" s="1"/>
  <c r="K55" i="4"/>
  <c r="G55" i="4" s="1"/>
  <c r="I168" i="4"/>
  <c r="I231" i="4"/>
  <c r="J231" i="4" s="1"/>
  <c r="L231" i="4" s="1"/>
  <c r="I227" i="4"/>
  <c r="K108" i="4"/>
  <c r="G22" i="4"/>
  <c r="I145" i="4"/>
  <c r="I65" i="4"/>
  <c r="J65" i="4" s="1"/>
  <c r="L65" i="4" s="1"/>
  <c r="H22" i="4"/>
  <c r="I161" i="4"/>
  <c r="J161" i="4" s="1"/>
  <c r="L161" i="4" s="1"/>
  <c r="I75" i="4"/>
  <c r="J75" i="4" s="1"/>
  <c r="L75" i="4" s="1"/>
  <c r="G5" i="4"/>
  <c r="I151" i="4"/>
  <c r="I31" i="4"/>
  <c r="J31" i="4" s="1"/>
  <c r="L31" i="4" s="1"/>
  <c r="K31" i="4" s="1"/>
  <c r="I155" i="4"/>
  <c r="I42" i="4"/>
  <c r="N179" i="4"/>
  <c r="M179" i="4" s="1"/>
  <c r="H179" i="4" s="1"/>
  <c r="N25" i="4"/>
  <c r="M25" i="4" s="1"/>
  <c r="H25" i="4" s="1"/>
  <c r="H20" i="4"/>
  <c r="P46" i="2"/>
  <c r="I216" i="4"/>
  <c r="J216" i="4" s="1"/>
  <c r="L216" i="4" s="1"/>
  <c r="I220" i="4"/>
  <c r="J220" i="4" s="1"/>
  <c r="L220" i="4" s="1"/>
  <c r="I148" i="4"/>
  <c r="J148" i="4" s="1"/>
  <c r="L148" i="4" s="1"/>
  <c r="G93" i="4"/>
  <c r="I97" i="4"/>
  <c r="H64" i="4"/>
  <c r="H83" i="4"/>
  <c r="I184" i="4"/>
  <c r="I163" i="4"/>
  <c r="J163" i="4" s="1"/>
  <c r="L163" i="4" s="1"/>
  <c r="I12" i="4"/>
  <c r="N65" i="4"/>
  <c r="M65" i="4" s="1"/>
  <c r="I144" i="4"/>
  <c r="I117" i="4"/>
  <c r="I106" i="4"/>
  <c r="J106" i="4" s="1"/>
  <c r="L106" i="4" s="1"/>
  <c r="H234" i="4"/>
  <c r="H161" i="4"/>
  <c r="I82" i="4"/>
  <c r="J82" i="4" s="1"/>
  <c r="L82" i="4" s="1"/>
  <c r="K82" i="4" s="1"/>
  <c r="G82" i="4" s="1"/>
  <c r="G6" i="4"/>
  <c r="I215" i="4"/>
  <c r="J215" i="4" s="1"/>
  <c r="L215" i="4" s="1"/>
  <c r="K215" i="4" s="1"/>
  <c r="G215" i="4" s="1"/>
  <c r="I171" i="4"/>
  <c r="I71" i="4"/>
  <c r="H189" i="4"/>
  <c r="H130" i="4"/>
  <c r="H84" i="4"/>
  <c r="D46" i="2"/>
  <c r="J50" i="2"/>
  <c r="Q46" i="2"/>
  <c r="I11" i="4"/>
  <c r="J11" i="4" s="1"/>
  <c r="L11" i="4" s="1"/>
  <c r="J41" i="4"/>
  <c r="L41" i="4" s="1"/>
  <c r="J47" i="4"/>
  <c r="L47" i="4" s="1"/>
  <c r="J52" i="4"/>
  <c r="J177" i="4"/>
  <c r="L177" i="4" s="1"/>
  <c r="J60" i="4"/>
  <c r="L60" i="4" s="1"/>
  <c r="K11" i="4"/>
  <c r="J21" i="4"/>
  <c r="J10" i="4"/>
  <c r="L10" i="4" s="1"/>
  <c r="K32" i="4"/>
  <c r="K130" i="4"/>
  <c r="G130" i="4" s="1"/>
  <c r="L27" i="4"/>
  <c r="K27" i="4" s="1"/>
  <c r="J84" i="4"/>
  <c r="L84" i="4" s="1"/>
  <c r="K16" i="4"/>
  <c r="G16" i="4" s="1"/>
  <c r="J20" i="4"/>
  <c r="L20" i="4" s="1"/>
  <c r="J146" i="4"/>
  <c r="J80" i="4"/>
  <c r="L80" i="4" s="1"/>
  <c r="K46" i="4"/>
  <c r="G46" i="4" s="1"/>
  <c r="K94" i="4"/>
  <c r="K89" i="4"/>
  <c r="H13" i="4"/>
  <c r="G190" i="4"/>
  <c r="N21" i="4"/>
  <c r="I233" i="4"/>
  <c r="I229" i="4"/>
  <c r="J229" i="4" s="1"/>
  <c r="L229" i="4" s="1"/>
  <c r="I214" i="4"/>
  <c r="J214" i="4" s="1"/>
  <c r="L214" i="4" s="1"/>
  <c r="K139" i="4"/>
  <c r="I224" i="4"/>
  <c r="I73" i="4"/>
  <c r="J73" i="4" s="1"/>
  <c r="L73" i="4" s="1"/>
  <c r="K73" i="4" s="1"/>
  <c r="I38" i="4"/>
  <c r="J38" i="4" s="1"/>
  <c r="J83" i="4"/>
  <c r="L83" i="4" s="1"/>
  <c r="L123" i="4"/>
  <c r="K123" i="4" s="1"/>
  <c r="G123" i="4" s="1"/>
  <c r="I243" i="4"/>
  <c r="J243" i="4" s="1"/>
  <c r="L243" i="4" s="1"/>
  <c r="K243" i="4" s="1"/>
  <c r="K35" i="4"/>
  <c r="K133" i="4"/>
  <c r="G133" i="4" s="1"/>
  <c r="M176" i="4"/>
  <c r="H176" i="4" s="1"/>
  <c r="M89" i="4"/>
  <c r="H89" i="4" s="1"/>
  <c r="K111" i="4"/>
  <c r="G111" i="4" s="1"/>
  <c r="I239" i="4"/>
  <c r="I212" i="4"/>
  <c r="J212" i="4" s="1"/>
  <c r="G110" i="4"/>
  <c r="J147" i="4"/>
  <c r="L147" i="4" s="1"/>
  <c r="M230" i="4"/>
  <c r="H230" i="4" s="1"/>
  <c r="M32" i="4"/>
  <c r="H32" i="4" s="1"/>
  <c r="K127" i="4"/>
  <c r="G127" i="4" s="1"/>
  <c r="K64" i="4"/>
  <c r="G64" i="4" s="1"/>
  <c r="P50" i="2"/>
  <c r="I69" i="4"/>
  <c r="J69" i="4" s="1"/>
  <c r="L69" i="4" s="1"/>
  <c r="I77" i="4"/>
  <c r="J77" i="4" s="1"/>
  <c r="L77" i="4" s="1"/>
  <c r="K77" i="4" s="1"/>
  <c r="I28" i="4"/>
  <c r="G23" i="4"/>
  <c r="I234" i="4"/>
  <c r="I230" i="4"/>
  <c r="J230" i="4" s="1"/>
  <c r="L230" i="4" s="1"/>
  <c r="I222" i="4"/>
  <c r="I76" i="4"/>
  <c r="J76" i="4" s="1"/>
  <c r="L76" i="4" s="1"/>
  <c r="K76" i="4" s="1"/>
  <c r="I39" i="4"/>
  <c r="J39" i="4" s="1"/>
  <c r="L39" i="4" s="1"/>
  <c r="K39" i="4" s="1"/>
  <c r="I244" i="4"/>
  <c r="M193" i="4"/>
  <c r="H193" i="4" s="1"/>
  <c r="H235" i="4"/>
  <c r="M235" i="4"/>
  <c r="J101" i="4"/>
  <c r="J81" i="4"/>
  <c r="L81" i="4" s="1"/>
  <c r="J40" i="4"/>
  <c r="L40" i="4" s="1"/>
  <c r="I18" i="4"/>
  <c r="G46" i="2"/>
  <c r="F50" i="2"/>
  <c r="G139" i="4"/>
  <c r="E50" i="2"/>
  <c r="I193" i="4"/>
  <c r="I46" i="2"/>
  <c r="H139" i="4"/>
  <c r="N69" i="4"/>
  <c r="M69" i="4" s="1"/>
  <c r="I114" i="4"/>
  <c r="G13" i="4"/>
  <c r="E46" i="2"/>
  <c r="N239" i="4"/>
  <c r="M239" i="4" s="1"/>
  <c r="H239" i="4" s="1"/>
  <c r="N214" i="4"/>
  <c r="M214" i="4" s="1"/>
  <c r="H93" i="4"/>
  <c r="N46" i="2"/>
  <c r="I202" i="4"/>
  <c r="I242" i="4"/>
  <c r="J242" i="4" s="1"/>
  <c r="L242" i="4" s="1"/>
  <c r="I240" i="4"/>
  <c r="I236" i="4"/>
  <c r="I232" i="4"/>
  <c r="J232" i="4" s="1"/>
  <c r="L232" i="4" s="1"/>
  <c r="K232" i="4" s="1"/>
  <c r="I228" i="4"/>
  <c r="I225" i="4"/>
  <c r="I86" i="4"/>
  <c r="Q50" i="2"/>
  <c r="I29" i="4"/>
  <c r="H188" i="4"/>
  <c r="H170" i="4"/>
  <c r="H108" i="4"/>
  <c r="H52" i="4"/>
  <c r="I174" i="4"/>
  <c r="I100" i="4"/>
  <c r="J21" i="2" s="1"/>
  <c r="I241" i="4"/>
  <c r="J241" i="4" s="1"/>
  <c r="L241" i="4" s="1"/>
  <c r="K241" i="4" s="1"/>
  <c r="I235" i="4"/>
  <c r="J235" i="4" s="1"/>
  <c r="L235" i="4" s="1"/>
  <c r="I217" i="4"/>
  <c r="J217" i="4" s="1"/>
  <c r="L217" i="4" s="1"/>
  <c r="N50" i="2"/>
  <c r="I121" i="4"/>
  <c r="J121" i="4" s="1"/>
  <c r="L121" i="4" s="1"/>
  <c r="K121" i="4" s="1"/>
  <c r="H142" i="4"/>
  <c r="H6" i="4"/>
  <c r="I183" i="4"/>
  <c r="I92" i="4"/>
  <c r="K115" i="4"/>
  <c r="G115" i="4" s="1"/>
  <c r="O50" i="2"/>
  <c r="F46" i="2"/>
  <c r="D50" i="2"/>
  <c r="I59" i="4"/>
  <c r="I49" i="4"/>
  <c r="J49" i="4" s="1"/>
  <c r="L49" i="4" s="1"/>
  <c r="H5" i="4"/>
  <c r="H110" i="4"/>
  <c r="H46" i="4"/>
  <c r="H10" i="4"/>
  <c r="I13" i="2" s="1"/>
  <c r="N77" i="4"/>
  <c r="M77" i="4" s="1"/>
  <c r="K95" i="4"/>
  <c r="G95" i="4" s="1"/>
  <c r="I182" i="4"/>
  <c r="I223" i="4"/>
  <c r="I167" i="4"/>
  <c r="I56" i="4"/>
  <c r="K30" i="4"/>
  <c r="J154" i="4"/>
  <c r="L201" i="4"/>
  <c r="K201" i="4" s="1"/>
  <c r="G201" i="4" s="1"/>
  <c r="K187" i="4"/>
  <c r="L14" i="4"/>
  <c r="K14" i="4" s="1"/>
  <c r="G14" i="4" s="1"/>
  <c r="J107" i="4"/>
  <c r="L107" i="4" s="1"/>
  <c r="J58" i="4"/>
  <c r="L58" i="4" s="1"/>
  <c r="J168" i="4"/>
  <c r="L168" i="4" s="1"/>
  <c r="K150" i="4"/>
  <c r="G150" i="4" s="1"/>
  <c r="K140" i="4"/>
  <c r="G140" i="4" s="1"/>
  <c r="K211" i="4"/>
  <c r="H147" i="4"/>
  <c r="G24" i="4"/>
  <c r="J180" i="4"/>
  <c r="G108" i="4"/>
  <c r="K149" i="4"/>
  <c r="G149" i="4" s="1"/>
  <c r="H146" i="4"/>
  <c r="F13" i="2"/>
  <c r="I226" i="4"/>
  <c r="I219" i="4"/>
  <c r="I213" i="4"/>
  <c r="I162" i="4"/>
  <c r="J162" i="4" s="1"/>
  <c r="L162" i="4" s="1"/>
  <c r="I122" i="4"/>
  <c r="J122" i="4" s="1"/>
  <c r="L122" i="4" s="1"/>
  <c r="I15" i="4"/>
  <c r="G176" i="4"/>
  <c r="H23" i="4"/>
  <c r="K91" i="4"/>
  <c r="G91" i="4" s="1"/>
  <c r="G142" i="4"/>
  <c r="G35" i="4"/>
  <c r="H133" i="4"/>
  <c r="I218" i="4"/>
  <c r="I120" i="4"/>
  <c r="I109" i="4"/>
  <c r="J109" i="4" s="1"/>
  <c r="L109" i="4" s="1"/>
  <c r="K109" i="4" s="1"/>
  <c r="I44" i="4"/>
  <c r="I33" i="4"/>
  <c r="I238" i="4"/>
  <c r="I221" i="4"/>
  <c r="I204" i="4"/>
  <c r="I165" i="4"/>
  <c r="I90" i="4"/>
  <c r="G89" i="4"/>
  <c r="H55" i="4"/>
  <c r="H41" i="4"/>
  <c r="I50" i="2" s="1"/>
  <c r="M211" i="4"/>
  <c r="H211" i="4" s="1"/>
  <c r="G50" i="2"/>
  <c r="O46" i="2"/>
  <c r="I237" i="4"/>
  <c r="I200" i="4"/>
  <c r="I152" i="4"/>
  <c r="I138" i="4"/>
  <c r="H243" i="4"/>
  <c r="H241" i="4"/>
  <c r="BK64" i="15"/>
  <c r="AO66" i="3" s="1"/>
  <c r="M114" i="15"/>
  <c r="X9" i="15"/>
  <c r="O60" i="15"/>
  <c r="BA201" i="15"/>
  <c r="CH153" i="15"/>
  <c r="O90" i="15"/>
  <c r="O65" i="15"/>
  <c r="M50" i="15"/>
  <c r="CH50" i="15" s="1"/>
  <c r="X201" i="15"/>
  <c r="M112" i="15"/>
  <c r="C139" i="3"/>
  <c r="AI139" i="3" s="1"/>
  <c r="BK201" i="15"/>
  <c r="AO203" i="3" s="1"/>
  <c r="BK24" i="15"/>
  <c r="AO26" i="3" s="1"/>
  <c r="O137" i="15"/>
  <c r="BA57" i="15"/>
  <c r="BX201" i="15"/>
  <c r="BB203" i="3" s="1"/>
  <c r="BX137" i="15"/>
  <c r="BB139" i="3" s="1"/>
  <c r="BK171" i="15"/>
  <c r="AO173" i="3" s="1"/>
  <c r="CG9" i="15"/>
  <c r="O177" i="15"/>
  <c r="BW201" i="15"/>
  <c r="BA203" i="3" s="1"/>
  <c r="BK137" i="15"/>
  <c r="AO139" i="3" s="1"/>
  <c r="M137" i="15"/>
  <c r="BD137" i="15" s="1"/>
  <c r="M89" i="15"/>
  <c r="M83" i="15"/>
  <c r="C85" i="3"/>
  <c r="AI85" i="3" s="1"/>
  <c r="BE83" i="15"/>
  <c r="BK83" i="15"/>
  <c r="AO85" i="3" s="1"/>
  <c r="BW145" i="15"/>
  <c r="BA147" i="3" s="1"/>
  <c r="CG145" i="15"/>
  <c r="BX145" i="15"/>
  <c r="BB147" i="3" s="1"/>
  <c r="M131" i="15"/>
  <c r="BE177" i="15"/>
  <c r="BA113" i="15"/>
  <c r="BK57" i="15"/>
  <c r="AO59" i="3" s="1"/>
  <c r="BK73" i="15"/>
  <c r="AO75" i="3" s="1"/>
  <c r="CG177" i="15"/>
  <c r="BE113" i="15"/>
  <c r="BE97" i="15"/>
  <c r="O57" i="15"/>
  <c r="BE201" i="15"/>
  <c r="BW65" i="15"/>
  <c r="BA67" i="3" s="1"/>
  <c r="BX177" i="15"/>
  <c r="BB179" i="3" s="1"/>
  <c r="X162" i="15"/>
  <c r="M122" i="15"/>
  <c r="M97" i="15"/>
  <c r="M74" i="15"/>
  <c r="M27" i="15"/>
  <c r="M43" i="15"/>
  <c r="BK89" i="15"/>
  <c r="AO91" i="3" s="1"/>
  <c r="BE74" i="15"/>
  <c r="BA154" i="15"/>
  <c r="M194" i="15"/>
  <c r="M162" i="15"/>
  <c r="M82" i="15"/>
  <c r="BD184" i="15"/>
  <c r="X177" i="15"/>
  <c r="BE89" i="15"/>
  <c r="BK21" i="15"/>
  <c r="AO23" i="3" s="1"/>
  <c r="BE171" i="15"/>
  <c r="CG154" i="15"/>
  <c r="BK74" i="15"/>
  <c r="AO76" i="3" s="1"/>
  <c r="M59" i="15"/>
  <c r="BA177" i="15"/>
  <c r="CG73" i="15"/>
  <c r="BA65" i="15"/>
  <c r="O201" i="15"/>
  <c r="BK162" i="15"/>
  <c r="AO164" i="3" s="1"/>
  <c r="X90" i="15"/>
  <c r="BW74" i="15"/>
  <c r="BA76" i="3" s="1"/>
  <c r="M145" i="15"/>
  <c r="M139" i="15"/>
  <c r="M121" i="15"/>
  <c r="M115" i="15"/>
  <c r="M90" i="15"/>
  <c r="C92" i="3"/>
  <c r="C133" i="3"/>
  <c r="AI133" i="3" s="1"/>
  <c r="X105" i="15"/>
  <c r="BA137" i="15"/>
  <c r="O24" i="15"/>
  <c r="BX162" i="15"/>
  <c r="BB164" i="3" s="1"/>
  <c r="BB33" i="15"/>
  <c r="BE90" i="15"/>
  <c r="BK90" i="15"/>
  <c r="AO92" i="3" s="1"/>
  <c r="M171" i="15"/>
  <c r="M51" i="15"/>
  <c r="CG204" i="15"/>
  <c r="C206" i="3"/>
  <c r="BK206" i="3" s="1"/>
  <c r="BK180" i="15"/>
  <c r="AO182" i="3" s="1"/>
  <c r="O180" i="15"/>
  <c r="BA180" i="15"/>
  <c r="BB172" i="15"/>
  <c r="B174" i="3"/>
  <c r="AH174" i="3" s="1"/>
  <c r="O108" i="15"/>
  <c r="C110" i="3"/>
  <c r="BK110" i="3" s="1"/>
  <c r="BA108" i="15"/>
  <c r="X44" i="15"/>
  <c r="O44" i="15"/>
  <c r="CG44" i="15"/>
  <c r="C46" i="3"/>
  <c r="BK46" i="3" s="1"/>
  <c r="BE44" i="15"/>
  <c r="BW44" i="15"/>
  <c r="BA46" i="3" s="1"/>
  <c r="BA44" i="15"/>
  <c r="BK44" i="15"/>
  <c r="AO46" i="3" s="1"/>
  <c r="M76" i="15"/>
  <c r="M40" i="15"/>
  <c r="CG21" i="15"/>
  <c r="X13" i="15"/>
  <c r="O76" i="15"/>
  <c r="X89" i="15"/>
  <c r="BE52" i="15"/>
  <c r="CG148" i="15"/>
  <c r="BA89" i="15"/>
  <c r="BB196" i="15"/>
  <c r="M200" i="15"/>
  <c r="M44" i="15"/>
  <c r="M12" i="15"/>
  <c r="M8" i="15"/>
  <c r="BA21" i="15"/>
  <c r="O13" i="15"/>
  <c r="C91" i="3"/>
  <c r="BK91" i="3" s="1"/>
  <c r="CG89" i="15"/>
  <c r="O89" i="15"/>
  <c r="M60" i="15"/>
  <c r="M108" i="15"/>
  <c r="M20" i="15"/>
  <c r="O83" i="15"/>
  <c r="BX83" i="15"/>
  <c r="BB85" i="3" s="1"/>
  <c r="BW13" i="15"/>
  <c r="BA15" i="3" s="1"/>
  <c r="J184" i="15"/>
  <c r="N184" i="15" s="1"/>
  <c r="M156" i="15"/>
  <c r="M52" i="15"/>
  <c r="O17" i="2"/>
  <c r="N17" i="2"/>
  <c r="Q17" i="2"/>
  <c r="E17" i="2"/>
  <c r="O204" i="15"/>
  <c r="BA204" i="15"/>
  <c r="BA115" i="15"/>
  <c r="BE51" i="15"/>
  <c r="BA60" i="15"/>
  <c r="BD191" i="15"/>
  <c r="B193" i="3"/>
  <c r="BL193" i="3" s="1"/>
  <c r="CG162" i="15"/>
  <c r="CH191" i="15"/>
  <c r="BB75" i="15"/>
  <c r="C156" i="3"/>
  <c r="AI156" i="3" s="1"/>
  <c r="BK183" i="15"/>
  <c r="AO185" i="3" s="1"/>
  <c r="BX74" i="15"/>
  <c r="BB76" i="3" s="1"/>
  <c r="BX121" i="15"/>
  <c r="BB123" i="3" s="1"/>
  <c r="C182" i="3"/>
  <c r="BK182" i="3" s="1"/>
  <c r="BE162" i="15"/>
  <c r="O162" i="15"/>
  <c r="BB147" i="15"/>
  <c r="C116" i="3"/>
  <c r="AI116" i="3" s="1"/>
  <c r="BA90" i="15"/>
  <c r="BA43" i="15"/>
  <c r="BE19" i="15"/>
  <c r="X74" i="15"/>
  <c r="BE115" i="15"/>
  <c r="W147" i="15"/>
  <c r="C164" i="3"/>
  <c r="AI164" i="3" s="1"/>
  <c r="BD147" i="15"/>
  <c r="BE167" i="15"/>
  <c r="BA82" i="15"/>
  <c r="C76" i="3"/>
  <c r="BK76" i="3" s="1"/>
  <c r="CG74" i="15"/>
  <c r="O74" i="15"/>
  <c r="BX131" i="15"/>
  <c r="BB133" i="3" s="1"/>
  <c r="CH147" i="15"/>
  <c r="O128" i="15"/>
  <c r="CG121" i="15"/>
  <c r="B149" i="3"/>
  <c r="CG131" i="15"/>
  <c r="X27" i="15"/>
  <c r="BX132" i="15"/>
  <c r="BB134" i="3" s="1"/>
  <c r="BK132" i="15"/>
  <c r="AO134" i="3" s="1"/>
  <c r="X132" i="15"/>
  <c r="O132" i="15"/>
  <c r="BK123" i="3"/>
  <c r="AI123" i="3"/>
  <c r="BB184" i="15"/>
  <c r="CG137" i="15"/>
  <c r="C115" i="3"/>
  <c r="BE73" i="15"/>
  <c r="BE13" i="15"/>
  <c r="X108" i="15"/>
  <c r="CG57" i="15"/>
  <c r="BA121" i="15"/>
  <c r="O121" i="15"/>
  <c r="W129" i="15"/>
  <c r="CG152" i="15"/>
  <c r="BB129" i="15"/>
  <c r="BE152" i="15"/>
  <c r="BK65" i="15"/>
  <c r="AO67" i="3" s="1"/>
  <c r="BX105" i="15"/>
  <c r="BB107" i="3" s="1"/>
  <c r="BX113" i="15"/>
  <c r="BB115" i="3" s="1"/>
  <c r="BK13" i="15"/>
  <c r="AO15" i="3" s="1"/>
  <c r="BA27" i="15"/>
  <c r="BE157" i="15"/>
  <c r="C21" i="3"/>
  <c r="BK21" i="3" s="1"/>
  <c r="X157" i="15"/>
  <c r="CG19" i="15"/>
  <c r="X19" i="15"/>
  <c r="BX102" i="15"/>
  <c r="BB104" i="3" s="1"/>
  <c r="BA50" i="15"/>
  <c r="BA105" i="15"/>
  <c r="W184" i="15"/>
  <c r="O113" i="15"/>
  <c r="X73" i="15"/>
  <c r="CG97" i="15"/>
  <c r="BA13" i="15"/>
  <c r="CG8" i="15"/>
  <c r="BD129" i="15"/>
  <c r="BA152" i="15"/>
  <c r="X60" i="15"/>
  <c r="BK113" i="15"/>
  <c r="AO115" i="3" s="1"/>
  <c r="BX13" i="15"/>
  <c r="BB15" i="3" s="1"/>
  <c r="BA157" i="15"/>
  <c r="C107" i="3"/>
  <c r="BK107" i="3" s="1"/>
  <c r="CH172" i="15"/>
  <c r="C75" i="3"/>
  <c r="BK75" i="3" s="1"/>
  <c r="CG65" i="15"/>
  <c r="BE57" i="15"/>
  <c r="BE121" i="15"/>
  <c r="B131" i="3"/>
  <c r="BL131" i="3" s="1"/>
  <c r="C29" i="3"/>
  <c r="CG50" i="15"/>
  <c r="O42" i="15"/>
  <c r="BA19" i="15"/>
  <c r="BK157" i="15"/>
  <c r="AO159" i="3" s="1"/>
  <c r="O105" i="15"/>
  <c r="W172" i="15"/>
  <c r="X137" i="15"/>
  <c r="X83" i="15"/>
  <c r="BA73" i="15"/>
  <c r="C67" i="3"/>
  <c r="X8" i="15"/>
  <c r="C59" i="3"/>
  <c r="BK59" i="3" s="1"/>
  <c r="X152" i="15"/>
  <c r="BW97" i="15"/>
  <c r="BA99" i="3" s="1"/>
  <c r="BK121" i="15"/>
  <c r="AO123" i="3" s="1"/>
  <c r="BW83" i="15"/>
  <c r="BA85" i="3" s="1"/>
  <c r="BE42" i="15"/>
  <c r="C52" i="3"/>
  <c r="AI52" i="3" s="1"/>
  <c r="BE27" i="15"/>
  <c r="BX157" i="15"/>
  <c r="BB159" i="3" s="1"/>
  <c r="BK19" i="15"/>
  <c r="AO21" i="3" s="1"/>
  <c r="BE105" i="15"/>
  <c r="B186" i="3"/>
  <c r="AH186" i="3" s="1"/>
  <c r="BD172" i="15"/>
  <c r="O152" i="15"/>
  <c r="CG83" i="15"/>
  <c r="BE65" i="15"/>
  <c r="C15" i="3"/>
  <c r="AI15" i="3" s="1"/>
  <c r="X121" i="15"/>
  <c r="CH129" i="15"/>
  <c r="BK97" i="15"/>
  <c r="AO99" i="3" s="1"/>
  <c r="X57" i="15"/>
  <c r="BX57" i="15"/>
  <c r="BB59" i="3" s="1"/>
  <c r="BX89" i="15"/>
  <c r="BB91" i="3" s="1"/>
  <c r="P172" i="15"/>
  <c r="O27" i="15"/>
  <c r="BA42" i="15"/>
  <c r="C44" i="3"/>
  <c r="AI44" i="3" s="1"/>
  <c r="C159" i="3"/>
  <c r="BW157" i="15"/>
  <c r="BA159" i="3" s="1"/>
  <c r="BW19" i="15"/>
  <c r="BA21" i="3" s="1"/>
  <c r="BK27" i="15"/>
  <c r="AO29" i="3" s="1"/>
  <c r="CG105" i="15"/>
  <c r="CH184" i="15"/>
  <c r="BA83" i="15"/>
  <c r="CG27" i="15"/>
  <c r="O157" i="15"/>
  <c r="BE112" i="15"/>
  <c r="CG112" i="15"/>
  <c r="O112" i="15"/>
  <c r="BA112" i="15"/>
  <c r="C114" i="3"/>
  <c r="X112" i="15"/>
  <c r="BA166" i="15"/>
  <c r="BW166" i="15"/>
  <c r="BA168" i="3" s="1"/>
  <c r="BA20" i="15"/>
  <c r="BW20" i="15"/>
  <c r="BA22" i="3" s="1"/>
  <c r="BE20" i="15"/>
  <c r="X20" i="15"/>
  <c r="CG20" i="15"/>
  <c r="J198" i="15"/>
  <c r="N198" i="15" s="1"/>
  <c r="M198" i="15"/>
  <c r="C192" i="3"/>
  <c r="BX190" i="15"/>
  <c r="BB192" i="3" s="1"/>
  <c r="BA174" i="15"/>
  <c r="C176" i="3"/>
  <c r="AI176" i="3" s="1"/>
  <c r="O174" i="15"/>
  <c r="BA143" i="15"/>
  <c r="BE143" i="15"/>
  <c r="CG143" i="15"/>
  <c r="X143" i="15"/>
  <c r="O143" i="15"/>
  <c r="J135" i="15"/>
  <c r="N135" i="15" s="1"/>
  <c r="M135" i="15"/>
  <c r="J104" i="15"/>
  <c r="N104" i="15" s="1"/>
  <c r="M104" i="15"/>
  <c r="J88" i="15"/>
  <c r="N88" i="15" s="1"/>
  <c r="M88" i="15"/>
  <c r="BX80" i="15"/>
  <c r="BB82" i="3" s="1"/>
  <c r="BK80" i="15"/>
  <c r="AO82" i="3" s="1"/>
  <c r="C82" i="3"/>
  <c r="X80" i="15"/>
  <c r="BE80" i="15"/>
  <c r="BA80" i="15"/>
  <c r="O80" i="15"/>
  <c r="CG80" i="15"/>
  <c r="J72" i="15"/>
  <c r="N72" i="15" s="1"/>
  <c r="M72" i="15"/>
  <c r="BD72" i="15" s="1"/>
  <c r="X64" i="15"/>
  <c r="BE64" i="15"/>
  <c r="BA64" i="15"/>
  <c r="C66" i="3"/>
  <c r="BK66" i="3" s="1"/>
  <c r="J56" i="15"/>
  <c r="N56" i="15" s="1"/>
  <c r="M56" i="15"/>
  <c r="P56" i="15" s="1"/>
  <c r="J18" i="15"/>
  <c r="N18" i="15" s="1"/>
  <c r="J205" i="15"/>
  <c r="N205" i="15" s="1"/>
  <c r="M205" i="15"/>
  <c r="P205" i="15" s="1"/>
  <c r="C199" i="3"/>
  <c r="BK199" i="3" s="1"/>
  <c r="X197" i="15"/>
  <c r="J173" i="15"/>
  <c r="N173" i="15" s="1"/>
  <c r="M173" i="15"/>
  <c r="P173" i="15" s="1"/>
  <c r="J158" i="15"/>
  <c r="N158" i="15" s="1"/>
  <c r="M158" i="15"/>
  <c r="J150" i="15"/>
  <c r="N150" i="15" s="1"/>
  <c r="M150" i="15"/>
  <c r="B152" i="3" s="1"/>
  <c r="J142" i="15"/>
  <c r="N142" i="15" s="1"/>
  <c r="M142" i="15"/>
  <c r="J127" i="15"/>
  <c r="N127" i="15" s="1"/>
  <c r="M127" i="15"/>
  <c r="BX119" i="15"/>
  <c r="BB121" i="3" s="1"/>
  <c r="X119" i="15"/>
  <c r="BD111" i="15"/>
  <c r="P111" i="15"/>
  <c r="BE95" i="15"/>
  <c r="BA95" i="15"/>
  <c r="BX95" i="15"/>
  <c r="BB97" i="3" s="1"/>
  <c r="CG95" i="15"/>
  <c r="BK95" i="15"/>
  <c r="AO97" i="3" s="1"/>
  <c r="X95" i="15"/>
  <c r="O95" i="15"/>
  <c r="O40" i="15"/>
  <c r="X40" i="15"/>
  <c r="BD18" i="15"/>
  <c r="CH18" i="15"/>
  <c r="BX200" i="15"/>
  <c r="BB202" i="3" s="1"/>
  <c r="BK200" i="15"/>
  <c r="AO202" i="3" s="1"/>
  <c r="C202" i="3"/>
  <c r="O200" i="15"/>
  <c r="M128" i="15"/>
  <c r="BA128" i="15"/>
  <c r="C130" i="3"/>
  <c r="AI130" i="3" s="1"/>
  <c r="CG128" i="15"/>
  <c r="BX128" i="15"/>
  <c r="BB130" i="3" s="1"/>
  <c r="X128" i="15"/>
  <c r="BK128" i="15"/>
  <c r="AO130" i="3" s="1"/>
  <c r="O119" i="15"/>
  <c r="M143" i="15"/>
  <c r="C22" i="3"/>
  <c r="BK22" i="3" s="1"/>
  <c r="BK154" i="3"/>
  <c r="BK203" i="3"/>
  <c r="AI203" i="3"/>
  <c r="J34" i="15"/>
  <c r="N34" i="15" s="1"/>
  <c r="M34" i="15"/>
  <c r="J26" i="15"/>
  <c r="N26" i="15" s="1"/>
  <c r="M26" i="15"/>
  <c r="O14" i="15"/>
  <c r="BE14" i="15"/>
  <c r="CG14" i="15"/>
  <c r="BE132" i="15"/>
  <c r="CG132" i="15"/>
  <c r="C134" i="3"/>
  <c r="BK134" i="3" s="1"/>
  <c r="BA132" i="15"/>
  <c r="BW8" i="15"/>
  <c r="BA10" i="3" s="1"/>
  <c r="C10" i="3"/>
  <c r="BK10" i="3" s="1"/>
  <c r="BX8" i="15"/>
  <c r="BB10" i="3" s="1"/>
  <c r="O8" i="15"/>
  <c r="BK8" i="15"/>
  <c r="AO10" i="3" s="1"/>
  <c r="BE8" i="15"/>
  <c r="BK158" i="3"/>
  <c r="AI158" i="3"/>
  <c r="J79" i="15"/>
  <c r="N79" i="15" s="1"/>
  <c r="M79" i="15"/>
  <c r="BD79" i="15" s="1"/>
  <c r="P71" i="15"/>
  <c r="CH71" i="15"/>
  <c r="W71" i="15"/>
  <c r="BB71" i="15"/>
  <c r="J48" i="15"/>
  <c r="N48" i="15" s="1"/>
  <c r="M48" i="15"/>
  <c r="BW40" i="15"/>
  <c r="BA42" i="3" s="1"/>
  <c r="CG40" i="15"/>
  <c r="BX40" i="15"/>
  <c r="BB42" i="3" s="1"/>
  <c r="P33" i="15"/>
  <c r="CH33" i="15"/>
  <c r="BX108" i="15"/>
  <c r="BB110" i="3" s="1"/>
  <c r="P126" i="15"/>
  <c r="CH126" i="15"/>
  <c r="BD126" i="15"/>
  <c r="J110" i="15"/>
  <c r="N110" i="15" s="1"/>
  <c r="M110" i="15"/>
  <c r="B112" i="3" s="1"/>
  <c r="O102" i="15"/>
  <c r="X102" i="15"/>
  <c r="CG94" i="15"/>
  <c r="C96" i="3"/>
  <c r="CG86" i="15"/>
  <c r="X86" i="15"/>
  <c r="BW86" i="15"/>
  <c r="BA88" i="3" s="1"/>
  <c r="BE86" i="15"/>
  <c r="BK86" i="15"/>
  <c r="AO88" i="3" s="1"/>
  <c r="BA86" i="15"/>
  <c r="O86" i="15"/>
  <c r="BE70" i="15"/>
  <c r="CG70" i="15"/>
  <c r="J62" i="15"/>
  <c r="N62" i="15" s="1"/>
  <c r="M62" i="15"/>
  <c r="P62" i="15" s="1"/>
  <c r="CG24" i="15"/>
  <c r="X24" i="15"/>
  <c r="BW204" i="15"/>
  <c r="BA206" i="3" s="1"/>
  <c r="BX204" i="15"/>
  <c r="BB206" i="3" s="1"/>
  <c r="J203" i="15"/>
  <c r="N203" i="15" s="1"/>
  <c r="M203" i="15"/>
  <c r="J187" i="15"/>
  <c r="N187" i="15" s="1"/>
  <c r="M187" i="15"/>
  <c r="BB187" i="15" s="1"/>
  <c r="CG179" i="15"/>
  <c r="C181" i="3"/>
  <c r="BK181" i="3" s="1"/>
  <c r="BA171" i="15"/>
  <c r="O171" i="15"/>
  <c r="CG171" i="15"/>
  <c r="C173" i="3"/>
  <c r="X171" i="15"/>
  <c r="J164" i="15"/>
  <c r="N164" i="15" s="1"/>
  <c r="M164" i="15"/>
  <c r="BX156" i="15"/>
  <c r="BB158" i="3" s="1"/>
  <c r="BK156" i="15"/>
  <c r="AO158" i="3" s="1"/>
  <c r="J109" i="15"/>
  <c r="N109" i="15" s="1"/>
  <c r="M109" i="15"/>
  <c r="J61" i="15"/>
  <c r="N61" i="15" s="1"/>
  <c r="M61" i="15"/>
  <c r="BK54" i="15"/>
  <c r="AO56" i="3" s="1"/>
  <c r="BX54" i="15"/>
  <c r="BB56" i="3" s="1"/>
  <c r="X54" i="15"/>
  <c r="BA54" i="15"/>
  <c r="J31" i="15"/>
  <c r="N31" i="15" s="1"/>
  <c r="M31" i="15"/>
  <c r="BD31" i="15" s="1"/>
  <c r="BE93" i="15"/>
  <c r="C11" i="3"/>
  <c r="BK11" i="3" s="1"/>
  <c r="BE60" i="15"/>
  <c r="BA200" i="15"/>
  <c r="X204" i="15"/>
  <c r="C42" i="3"/>
  <c r="BX24" i="15"/>
  <c r="BB26" i="3" s="1"/>
  <c r="BA40" i="15"/>
  <c r="BD71" i="15"/>
  <c r="W33" i="15"/>
  <c r="B73" i="3"/>
  <c r="BA70" i="15"/>
  <c r="X94" i="15"/>
  <c r="P18" i="15"/>
  <c r="BX112" i="15"/>
  <c r="BB114" i="3" s="1"/>
  <c r="BK112" i="15"/>
  <c r="AO114" i="3" s="1"/>
  <c r="J186" i="15"/>
  <c r="N186" i="15" s="1"/>
  <c r="M186" i="15"/>
  <c r="J178" i="15"/>
  <c r="N178" i="15" s="1"/>
  <c r="M178" i="15"/>
  <c r="J100" i="15"/>
  <c r="N100" i="15" s="1"/>
  <c r="M100" i="15"/>
  <c r="BB100" i="15" s="1"/>
  <c r="J68" i="15"/>
  <c r="N68" i="15" s="1"/>
  <c r="M68" i="15"/>
  <c r="C95" i="3"/>
  <c r="BK95" i="3" s="1"/>
  <c r="BA9" i="15"/>
  <c r="B128" i="3"/>
  <c r="X156" i="15"/>
  <c r="BK108" i="15"/>
  <c r="AO110" i="3" s="1"/>
  <c r="BK204" i="15"/>
  <c r="AO206" i="3" s="1"/>
  <c r="B20" i="3"/>
  <c r="C104" i="3"/>
  <c r="M86" i="15"/>
  <c r="M23" i="15"/>
  <c r="J193" i="15"/>
  <c r="N193" i="15" s="1"/>
  <c r="M193" i="15"/>
  <c r="J146" i="15"/>
  <c r="N146" i="15" s="1"/>
  <c r="M146" i="15"/>
  <c r="J138" i="15"/>
  <c r="N138" i="15" s="1"/>
  <c r="M138" i="15"/>
  <c r="J123" i="15"/>
  <c r="N123" i="15" s="1"/>
  <c r="M123" i="15"/>
  <c r="W123" i="15" s="1"/>
  <c r="O115" i="15"/>
  <c r="X115" i="15"/>
  <c r="C117" i="3"/>
  <c r="CG115" i="15"/>
  <c r="J91" i="15"/>
  <c r="N91" i="15" s="1"/>
  <c r="M91" i="15"/>
  <c r="BA24" i="15"/>
  <c r="BE9" i="15"/>
  <c r="BE156" i="15"/>
  <c r="C62" i="3"/>
  <c r="AI62" i="3" s="1"/>
  <c r="BB18" i="15"/>
  <c r="BE108" i="15"/>
  <c r="BK60" i="15"/>
  <c r="AO62" i="3" s="1"/>
  <c r="BK93" i="15"/>
  <c r="AO95" i="3" s="1"/>
  <c r="W18" i="15"/>
  <c r="B35" i="3"/>
  <c r="M179" i="15"/>
  <c r="M70" i="15"/>
  <c r="J192" i="15"/>
  <c r="N192" i="15" s="1"/>
  <c r="M192" i="15"/>
  <c r="CH192" i="15" s="1"/>
  <c r="M168" i="15"/>
  <c r="J168" i="15"/>
  <c r="N168" i="15" s="1"/>
  <c r="W153" i="15"/>
  <c r="BD153" i="15"/>
  <c r="O93" i="15"/>
  <c r="CG108" i="15"/>
  <c r="X148" i="15"/>
  <c r="X200" i="15"/>
  <c r="BE40" i="15"/>
  <c r="BE200" i="15"/>
  <c r="BX60" i="15"/>
  <c r="BB62" i="3" s="1"/>
  <c r="BX93" i="15"/>
  <c r="BB95" i="3" s="1"/>
  <c r="C26" i="3"/>
  <c r="BE204" i="15"/>
  <c r="BA102" i="15"/>
  <c r="M94" i="15"/>
  <c r="BX20" i="15"/>
  <c r="BB22" i="3" s="1"/>
  <c r="BK20" i="15"/>
  <c r="AO22" i="3" s="1"/>
  <c r="J195" i="15"/>
  <c r="N195" i="15" s="1"/>
  <c r="M195" i="15"/>
  <c r="BK148" i="15"/>
  <c r="AO150" i="3" s="1"/>
  <c r="C150" i="3"/>
  <c r="AI150" i="3" s="1"/>
  <c r="BA148" i="15"/>
  <c r="O148" i="15"/>
  <c r="BW148" i="15"/>
  <c r="BA150" i="3" s="1"/>
  <c r="BE148" i="15"/>
  <c r="CG55" i="15"/>
  <c r="C57" i="3"/>
  <c r="J49" i="15"/>
  <c r="N49" i="15" s="1"/>
  <c r="M49" i="15"/>
  <c r="J41" i="15"/>
  <c r="N41" i="15" s="1"/>
  <c r="M41" i="15"/>
  <c r="P41" i="15" s="1"/>
  <c r="J11" i="15"/>
  <c r="N11" i="15" s="1"/>
  <c r="M11" i="15"/>
  <c r="BB11" i="15" s="1"/>
  <c r="C16" i="3"/>
  <c r="BK16" i="3" s="1"/>
  <c r="BX14" i="15"/>
  <c r="BB16" i="3" s="1"/>
  <c r="X14" i="15"/>
  <c r="BK14" i="15"/>
  <c r="AO16" i="3" s="1"/>
  <c r="BA14" i="15"/>
  <c r="J163" i="15"/>
  <c r="N163" i="15" s="1"/>
  <c r="M163" i="15"/>
  <c r="P163" i="15" s="1"/>
  <c r="J155" i="15"/>
  <c r="N155" i="15" s="1"/>
  <c r="M155" i="15"/>
  <c r="M117" i="15"/>
  <c r="CH117" i="15" s="1"/>
  <c r="J117" i="15"/>
  <c r="N117" i="15" s="1"/>
  <c r="J25" i="15"/>
  <c r="N25" i="15" s="1"/>
  <c r="M25" i="15"/>
  <c r="J185" i="15"/>
  <c r="N185" i="15" s="1"/>
  <c r="M185" i="15"/>
  <c r="BK177" i="15"/>
  <c r="AO179" i="3" s="1"/>
  <c r="J124" i="15"/>
  <c r="N124" i="15" s="1"/>
  <c r="M124" i="15"/>
  <c r="J32" i="15"/>
  <c r="N32" i="15" s="1"/>
  <c r="M32" i="15"/>
  <c r="J39" i="15"/>
  <c r="N39" i="15" s="1"/>
  <c r="M39" i="15"/>
  <c r="W39" i="15" s="1"/>
  <c r="J144" i="15"/>
  <c r="N144" i="15" s="1"/>
  <c r="M144" i="15"/>
  <c r="BK52" i="15"/>
  <c r="AO54" i="3" s="1"/>
  <c r="X52" i="15"/>
  <c r="C54" i="3"/>
  <c r="BK54" i="3" s="1"/>
  <c r="BX52" i="15"/>
  <c r="BB54" i="3" s="1"/>
  <c r="CG52" i="15"/>
  <c r="M22" i="15"/>
  <c r="J22" i="15"/>
  <c r="N22" i="15" s="1"/>
  <c r="BX15" i="15"/>
  <c r="BB17" i="3" s="1"/>
  <c r="BE15" i="15"/>
  <c r="O15" i="15"/>
  <c r="J7" i="15"/>
  <c r="N7" i="15" s="1"/>
  <c r="M7" i="15"/>
  <c r="BB7" i="15" s="1"/>
  <c r="J151" i="15"/>
  <c r="N151" i="15" s="1"/>
  <c r="M151" i="15"/>
  <c r="X113" i="15"/>
  <c r="BA97" i="15"/>
  <c r="O97" i="15"/>
  <c r="X97" i="15"/>
  <c r="BX97" i="15"/>
  <c r="BB99" i="3" s="1"/>
  <c r="M29" i="15"/>
  <c r="J29" i="15"/>
  <c r="N29" i="15" s="1"/>
  <c r="CG180" i="15"/>
  <c r="BE180" i="15"/>
  <c r="X180" i="15"/>
  <c r="BE145" i="15"/>
  <c r="X145" i="15"/>
  <c r="C147" i="3"/>
  <c r="BK147" i="3" s="1"/>
  <c r="BA145" i="15"/>
  <c r="BK145" i="15"/>
  <c r="AO147" i="3" s="1"/>
  <c r="O145" i="15"/>
  <c r="CG181" i="15"/>
  <c r="C183" i="3"/>
  <c r="J120" i="15"/>
  <c r="N120" i="15" s="1"/>
  <c r="M120" i="15"/>
  <c r="J103" i="15"/>
  <c r="N103" i="15" s="1"/>
  <c r="M103" i="15"/>
  <c r="J129" i="15"/>
  <c r="N129" i="15" s="1"/>
  <c r="J33" i="15"/>
  <c r="N33" i="15" s="1"/>
  <c r="J134" i="15"/>
  <c r="N134" i="15" s="1"/>
  <c r="M134" i="15"/>
  <c r="M66" i="15"/>
  <c r="B68" i="3" s="1"/>
  <c r="J66" i="15"/>
  <c r="N66" i="15" s="1"/>
  <c r="BA58" i="15"/>
  <c r="BE58" i="15"/>
  <c r="O58" i="15"/>
  <c r="J45" i="15"/>
  <c r="N45" i="15" s="1"/>
  <c r="M45" i="15"/>
  <c r="P37" i="15"/>
  <c r="BB37" i="15"/>
  <c r="J147" i="15"/>
  <c r="N147" i="15" s="1"/>
  <c r="J140" i="15"/>
  <c r="N140" i="15" s="1"/>
  <c r="M140" i="15"/>
  <c r="P140" i="15" s="1"/>
  <c r="J133" i="15"/>
  <c r="N133" i="15" s="1"/>
  <c r="M133" i="15"/>
  <c r="CH133" i="15" s="1"/>
  <c r="J71" i="15"/>
  <c r="N71" i="15" s="1"/>
  <c r="C177" i="3"/>
  <c r="BA175" i="15"/>
  <c r="BE175" i="15"/>
  <c r="BX167" i="15"/>
  <c r="BB169" i="3" s="1"/>
  <c r="BK167" i="15"/>
  <c r="AO169" i="3" s="1"/>
  <c r="X167" i="15"/>
  <c r="CG167" i="15"/>
  <c r="J161" i="15"/>
  <c r="N161" i="15" s="1"/>
  <c r="M161" i="15"/>
  <c r="P153" i="15"/>
  <c r="B155" i="3"/>
  <c r="J78" i="15"/>
  <c r="N78" i="15" s="1"/>
  <c r="M78" i="15"/>
  <c r="M30" i="15"/>
  <c r="J30" i="15"/>
  <c r="N30" i="15" s="1"/>
  <c r="J189" i="15"/>
  <c r="N189" i="15" s="1"/>
  <c r="M189" i="15"/>
  <c r="P189" i="15" s="1"/>
  <c r="BX166" i="15"/>
  <c r="BB168" i="3" s="1"/>
  <c r="BE166" i="15"/>
  <c r="O166" i="15"/>
  <c r="X166" i="15"/>
  <c r="CG166" i="15"/>
  <c r="C168" i="3"/>
  <c r="M99" i="15"/>
  <c r="J99" i="15"/>
  <c r="N99" i="15" s="1"/>
  <c r="J92" i="15"/>
  <c r="N92" i="15" s="1"/>
  <c r="M92" i="15"/>
  <c r="J85" i="15"/>
  <c r="N85" i="15" s="1"/>
  <c r="M85" i="15"/>
  <c r="J77" i="15"/>
  <c r="N77" i="15" s="1"/>
  <c r="M77" i="15"/>
  <c r="X50" i="15"/>
  <c r="O50" i="15"/>
  <c r="M118" i="15"/>
  <c r="J118" i="15"/>
  <c r="N118" i="15" s="1"/>
  <c r="J111" i="15"/>
  <c r="N111" i="15" s="1"/>
  <c r="J98" i="15"/>
  <c r="N98" i="15" s="1"/>
  <c r="M98" i="15"/>
  <c r="J84" i="15"/>
  <c r="N84" i="15" s="1"/>
  <c r="M84" i="15"/>
  <c r="BD84" i="15" s="1"/>
  <c r="M35" i="15"/>
  <c r="J35" i="15"/>
  <c r="N35" i="15" s="1"/>
  <c r="BX82" i="15"/>
  <c r="BB84" i="3" s="1"/>
  <c r="C84" i="3"/>
  <c r="X82" i="15"/>
  <c r="J46" i="15"/>
  <c r="N46" i="15" s="1"/>
  <c r="M46" i="15"/>
  <c r="O94" i="15"/>
  <c r="X154" i="15"/>
  <c r="C185" i="3"/>
  <c r="O190" i="15"/>
  <c r="BA119" i="15"/>
  <c r="BX183" i="15"/>
  <c r="BB185" i="3" s="1"/>
  <c r="M190" i="15"/>
  <c r="M154" i="15"/>
  <c r="M119" i="15"/>
  <c r="M67" i="15"/>
  <c r="M36" i="15"/>
  <c r="M24" i="15"/>
  <c r="BE94" i="15"/>
  <c r="BE154" i="15"/>
  <c r="BA183" i="15"/>
  <c r="BK119" i="15"/>
  <c r="AO121" i="3" s="1"/>
  <c r="BW183" i="15"/>
  <c r="BA185" i="3" s="1"/>
  <c r="BX154" i="15"/>
  <c r="BB156" i="3" s="1"/>
  <c r="M54" i="15"/>
  <c r="J126" i="15"/>
  <c r="N126" i="15" s="1"/>
  <c r="J75" i="15"/>
  <c r="N75" i="15" s="1"/>
  <c r="C88" i="3"/>
  <c r="BK88" i="3" s="1"/>
  <c r="O183" i="15"/>
  <c r="BE119" i="15"/>
  <c r="BE54" i="15"/>
  <c r="M177" i="15"/>
  <c r="M113" i="15"/>
  <c r="M73" i="15"/>
  <c r="O54" i="15"/>
  <c r="X183" i="15"/>
  <c r="M80" i="15"/>
  <c r="M42" i="15"/>
  <c r="M10" i="15"/>
  <c r="J196" i="15"/>
  <c r="N196" i="15" s="1"/>
  <c r="J191" i="15"/>
  <c r="N191" i="15" s="1"/>
  <c r="CG191" i="15" s="1"/>
  <c r="P196" i="15"/>
  <c r="CH196" i="15"/>
  <c r="BK179" i="3"/>
  <c r="BK78" i="3"/>
  <c r="BA10" i="15"/>
  <c r="CG10" i="15"/>
  <c r="O10" i="15"/>
  <c r="C12" i="3"/>
  <c r="X10" i="15"/>
  <c r="BE10" i="15"/>
  <c r="BW21" i="15"/>
  <c r="BA23" i="3" s="1"/>
  <c r="BX21" i="15"/>
  <c r="BB23" i="3" s="1"/>
  <c r="BK9" i="15"/>
  <c r="AO11" i="3" s="1"/>
  <c r="BX9" i="15"/>
  <c r="BB11" i="3" s="1"/>
  <c r="BW181" i="15"/>
  <c r="BA183" i="3" s="1"/>
  <c r="BK181" i="15"/>
  <c r="AO183" i="3" s="1"/>
  <c r="X181" i="15"/>
  <c r="BE181" i="15"/>
  <c r="BX181" i="15"/>
  <c r="BB183" i="3" s="1"/>
  <c r="BA181" i="15"/>
  <c r="O181" i="15"/>
  <c r="BX152" i="15"/>
  <c r="BB154" i="3" s="1"/>
  <c r="BK152" i="15"/>
  <c r="AO154" i="3" s="1"/>
  <c r="CH111" i="15"/>
  <c r="W111" i="15"/>
  <c r="B113" i="3"/>
  <c r="BA59" i="15"/>
  <c r="X59" i="15"/>
  <c r="C61" i="3"/>
  <c r="BE59" i="15"/>
  <c r="BK59" i="15"/>
  <c r="AO61" i="3" s="1"/>
  <c r="O59" i="15"/>
  <c r="CG59" i="15"/>
  <c r="BW76" i="15"/>
  <c r="BA78" i="3" s="1"/>
  <c r="BX76" i="15"/>
  <c r="BB78" i="3" s="1"/>
  <c r="BK76" i="15"/>
  <c r="AO78" i="3" s="1"/>
  <c r="BX64" i="15"/>
  <c r="BB66" i="3" s="1"/>
  <c r="AI17" i="3"/>
  <c r="BK17" i="3"/>
  <c r="BW180" i="15"/>
  <c r="BA182" i="3" s="1"/>
  <c r="BX180" i="15"/>
  <c r="BB182" i="3" s="1"/>
  <c r="BX73" i="15"/>
  <c r="BB75" i="3" s="1"/>
  <c r="BE67" i="15"/>
  <c r="O67" i="15"/>
  <c r="C69" i="3"/>
  <c r="BX174" i="15"/>
  <c r="BB176" i="3" s="1"/>
  <c r="X174" i="15"/>
  <c r="BE174" i="15"/>
  <c r="CG174" i="15"/>
  <c r="J153" i="15"/>
  <c r="N153" i="15" s="1"/>
  <c r="J141" i="15"/>
  <c r="N141" i="15" s="1"/>
  <c r="M141" i="15"/>
  <c r="J106" i="15"/>
  <c r="N106" i="15" s="1"/>
  <c r="M106" i="15"/>
  <c r="J53" i="15"/>
  <c r="N53" i="15" s="1"/>
  <c r="BA197" i="15"/>
  <c r="BE197" i="15"/>
  <c r="J160" i="15"/>
  <c r="N160" i="15" s="1"/>
  <c r="M160" i="15"/>
  <c r="C60" i="3"/>
  <c r="BK58" i="15"/>
  <c r="AO60" i="3" s="1"/>
  <c r="X58" i="15"/>
  <c r="J47" i="15"/>
  <c r="N47" i="15" s="1"/>
  <c r="M47" i="15"/>
  <c r="BD47" i="15" s="1"/>
  <c r="J202" i="15"/>
  <c r="N202" i="15" s="1"/>
  <c r="M202" i="15"/>
  <c r="P202" i="15" s="1"/>
  <c r="J159" i="15"/>
  <c r="N159" i="15" s="1"/>
  <c r="M159" i="15"/>
  <c r="J17" i="15"/>
  <c r="N17" i="15" s="1"/>
  <c r="M17" i="15"/>
  <c r="B19" i="3" s="1"/>
  <c r="J165" i="15"/>
  <c r="N165" i="15" s="1"/>
  <c r="M165" i="15"/>
  <c r="CG122" i="15"/>
  <c r="X122" i="15"/>
  <c r="J16" i="15"/>
  <c r="N16" i="15" s="1"/>
  <c r="M16" i="15"/>
  <c r="CG67" i="15"/>
  <c r="CG197" i="15"/>
  <c r="M201" i="15"/>
  <c r="M65" i="15"/>
  <c r="M58" i="15"/>
  <c r="X190" i="15"/>
  <c r="BE190" i="15"/>
  <c r="BA190" i="15"/>
  <c r="CG190" i="15"/>
  <c r="BW190" i="15"/>
  <c r="BA192" i="3" s="1"/>
  <c r="J170" i="15"/>
  <c r="N170" i="15" s="1"/>
  <c r="M170" i="15"/>
  <c r="J116" i="15"/>
  <c r="N116" i="15" s="1"/>
  <c r="M116" i="15"/>
  <c r="J69" i="15"/>
  <c r="N69" i="15" s="1"/>
  <c r="M69" i="15"/>
  <c r="CH69" i="15" s="1"/>
  <c r="J63" i="15"/>
  <c r="N63" i="15" s="1"/>
  <c r="M63" i="15"/>
  <c r="CH63" i="15" s="1"/>
  <c r="BA15" i="15"/>
  <c r="X15" i="15"/>
  <c r="M197" i="15"/>
  <c r="M152" i="15"/>
  <c r="J169" i="15"/>
  <c r="N169" i="15" s="1"/>
  <c r="M169" i="15"/>
  <c r="J136" i="15"/>
  <c r="N136" i="15" s="1"/>
  <c r="M136" i="15"/>
  <c r="BK131" i="15"/>
  <c r="AO133" i="3" s="1"/>
  <c r="BA131" i="15"/>
  <c r="J96" i="15"/>
  <c r="N96" i="15" s="1"/>
  <c r="M96" i="15"/>
  <c r="BW43" i="15"/>
  <c r="BA45" i="3" s="1"/>
  <c r="C45" i="3"/>
  <c r="X43" i="15"/>
  <c r="BK43" i="15"/>
  <c r="AO45" i="3" s="1"/>
  <c r="CG43" i="15"/>
  <c r="BE43" i="15"/>
  <c r="J28" i="15"/>
  <c r="N28" i="15" s="1"/>
  <c r="M28" i="15"/>
  <c r="BW174" i="15"/>
  <c r="BA176" i="3" s="1"/>
  <c r="M181" i="15"/>
  <c r="M174" i="15"/>
  <c r="M148" i="15"/>
  <c r="M105" i="15"/>
  <c r="M64" i="15"/>
  <c r="M57" i="15"/>
  <c r="BX199" i="15"/>
  <c r="BB201" i="3" s="1"/>
  <c r="BW199" i="15"/>
  <c r="BA201" i="3" s="1"/>
  <c r="J188" i="15"/>
  <c r="N188" i="15" s="1"/>
  <c r="M188" i="15"/>
  <c r="J182" i="15"/>
  <c r="N182" i="15" s="1"/>
  <c r="M182" i="15"/>
  <c r="J176" i="15"/>
  <c r="N176" i="15" s="1"/>
  <c r="M176" i="15"/>
  <c r="J130" i="15"/>
  <c r="N130" i="15" s="1"/>
  <c r="M130" i="15"/>
  <c r="J125" i="15"/>
  <c r="N125" i="15" s="1"/>
  <c r="M125" i="15"/>
  <c r="J101" i="15"/>
  <c r="N101" i="15" s="1"/>
  <c r="M101" i="15"/>
  <c r="J81" i="15"/>
  <c r="N81" i="15" s="1"/>
  <c r="M81" i="15"/>
  <c r="P81" i="15" s="1"/>
  <c r="CG42" i="15"/>
  <c r="BW42" i="15"/>
  <c r="BA44" i="3" s="1"/>
  <c r="X42" i="15"/>
  <c r="BX42" i="15"/>
  <c r="BB44" i="3" s="1"/>
  <c r="O175" i="15"/>
  <c r="BX175" i="15"/>
  <c r="BB177" i="3" s="1"/>
  <c r="BK175" i="15"/>
  <c r="AO177" i="3" s="1"/>
  <c r="BA167" i="15"/>
  <c r="BW167" i="15"/>
  <c r="BA169" i="3" s="1"/>
  <c r="J149" i="15"/>
  <c r="N149" i="15" s="1"/>
  <c r="M149" i="15"/>
  <c r="J107" i="15"/>
  <c r="N107" i="15" s="1"/>
  <c r="M107" i="15"/>
  <c r="BX94" i="15"/>
  <c r="BB96" i="3" s="1"/>
  <c r="BK94" i="15"/>
  <c r="AO96" i="3" s="1"/>
  <c r="J87" i="15"/>
  <c r="N87" i="15" s="1"/>
  <c r="M87" i="15"/>
  <c r="M15" i="15"/>
  <c r="M19" i="15"/>
  <c r="M9" i="15"/>
  <c r="N13" i="2"/>
  <c r="P13" i="2"/>
  <c r="E13" i="2"/>
  <c r="O13" i="2"/>
  <c r="D13" i="2"/>
  <c r="J13" i="2"/>
  <c r="G13" i="2"/>
  <c r="BK97" i="3"/>
  <c r="BX114" i="15"/>
  <c r="BB116" i="3" s="1"/>
  <c r="BW197" i="15"/>
  <c r="BA199" i="3" s="1"/>
  <c r="BX197" i="15"/>
  <c r="BB199" i="3" s="1"/>
  <c r="BK197" i="15"/>
  <c r="AO199" i="3" s="1"/>
  <c r="O197" i="15"/>
  <c r="O131" i="15"/>
  <c r="BE131" i="15"/>
  <c r="C124" i="3"/>
  <c r="O122" i="15"/>
  <c r="BE122" i="15"/>
  <c r="BA122" i="15"/>
  <c r="CG82" i="15"/>
  <c r="O82" i="15"/>
  <c r="C72" i="3"/>
  <c r="X70" i="15"/>
  <c r="BK70" i="15"/>
  <c r="AO72" i="3" s="1"/>
  <c r="BE23" i="15"/>
  <c r="BA23" i="15"/>
  <c r="CG23" i="15"/>
  <c r="BK23" i="15"/>
  <c r="AO25" i="3" s="1"/>
  <c r="X23" i="15"/>
  <c r="O23" i="15"/>
  <c r="BX44" i="15"/>
  <c r="BB46" i="3" s="1"/>
  <c r="P157" i="15"/>
  <c r="O199" i="15"/>
  <c r="CG199" i="15"/>
  <c r="BK139" i="15"/>
  <c r="AO141" i="3" s="1"/>
  <c r="BA139" i="15"/>
  <c r="CG139" i="15"/>
  <c r="C141" i="3"/>
  <c r="BK141" i="3" s="1"/>
  <c r="O139" i="15"/>
  <c r="BA199" i="15"/>
  <c r="BE199" i="15"/>
  <c r="BK199" i="15"/>
  <c r="AO201" i="3" s="1"/>
  <c r="C196" i="3"/>
  <c r="O194" i="15"/>
  <c r="BX194" i="15"/>
  <c r="BB196" i="3" s="1"/>
  <c r="BE194" i="15"/>
  <c r="CG194" i="15"/>
  <c r="BA179" i="15"/>
  <c r="BE179" i="15"/>
  <c r="X179" i="15"/>
  <c r="BK179" i="15"/>
  <c r="AO181" i="3" s="1"/>
  <c r="X114" i="15"/>
  <c r="O114" i="15"/>
  <c r="BE114" i="15"/>
  <c r="BA55" i="15"/>
  <c r="O55" i="15"/>
  <c r="BA51" i="15"/>
  <c r="X51" i="15"/>
  <c r="C53" i="3"/>
  <c r="BK53" i="3" s="1"/>
  <c r="CG51" i="15"/>
  <c r="B159" i="3"/>
  <c r="W75" i="15"/>
  <c r="BB53" i="15"/>
  <c r="P53" i="15"/>
  <c r="C201" i="3"/>
  <c r="O179" i="15"/>
  <c r="BA114" i="15"/>
  <c r="X55" i="15"/>
  <c r="BX139" i="15"/>
  <c r="BB141" i="3" s="1"/>
  <c r="BK55" i="15"/>
  <c r="AO57" i="3" s="1"/>
  <c r="W157" i="15"/>
  <c r="BD199" i="15"/>
  <c r="CH75" i="15"/>
  <c r="B77" i="3"/>
  <c r="BD53" i="15"/>
  <c r="BA194" i="15"/>
  <c r="CG114" i="15"/>
  <c r="BE55" i="15"/>
  <c r="X194" i="15"/>
  <c r="O51" i="15"/>
  <c r="BX179" i="15"/>
  <c r="BB181" i="3" s="1"/>
  <c r="W53" i="15"/>
  <c r="BD75" i="15"/>
  <c r="BE139" i="15"/>
  <c r="BW179" i="15"/>
  <c r="BA181" i="3" s="1"/>
  <c r="X67" i="15"/>
  <c r="BK67" i="15"/>
  <c r="AO69" i="3" s="1"/>
  <c r="BA67" i="15"/>
  <c r="AI14" i="3"/>
  <c r="BK14" i="3"/>
  <c r="AI75" i="3"/>
  <c r="BK99" i="3"/>
  <c r="AI99" i="3"/>
  <c r="L131" i="4"/>
  <c r="K131" i="4" s="1"/>
  <c r="G131" i="4" s="1"/>
  <c r="BK169" i="3"/>
  <c r="AI169" i="3"/>
  <c r="J36" i="4"/>
  <c r="K70" i="4"/>
  <c r="G70" i="4" s="1"/>
  <c r="K164" i="4"/>
  <c r="K85" i="4"/>
  <c r="G85" i="4" s="1"/>
  <c r="K57" i="4"/>
  <c r="G57" i="4" s="1"/>
  <c r="J157" i="4"/>
  <c r="L157" i="4" s="1"/>
  <c r="K157" i="4" s="1"/>
  <c r="J198" i="4"/>
  <c r="L159" i="4"/>
  <c r="K159" i="4" s="1"/>
  <c r="K136" i="4"/>
  <c r="G136" i="4" s="1"/>
  <c r="K124" i="4"/>
  <c r="G32" i="4"/>
  <c r="L153" i="4"/>
  <c r="K153" i="4" s="1"/>
  <c r="G153" i="4" s="1"/>
  <c r="J175" i="4"/>
  <c r="L175" i="4" s="1"/>
  <c r="J143" i="4"/>
  <c r="J72" i="4"/>
  <c r="J134" i="4"/>
  <c r="K169" i="4"/>
  <c r="J42" i="4"/>
  <c r="L42" i="4" s="1"/>
  <c r="J172" i="4"/>
  <c r="L172" i="4" s="1"/>
  <c r="J144" i="4"/>
  <c r="J117" i="4"/>
  <c r="L117" i="4" s="1"/>
  <c r="J34" i="4"/>
  <c r="L34" i="4" s="1"/>
  <c r="K189" i="4"/>
  <c r="G189" i="4" s="1"/>
  <c r="K210" i="4"/>
  <c r="K45" i="4"/>
  <c r="G45" i="4" s="1"/>
  <c r="K103" i="4"/>
  <c r="K118" i="4"/>
  <c r="G118" i="4" s="1"/>
  <c r="K171" i="4"/>
  <c r="K96" i="4"/>
  <c r="G96" i="4" s="1"/>
  <c r="K98" i="4"/>
  <c r="G98" i="4" s="1"/>
  <c r="K181" i="4"/>
  <c r="G181" i="4" s="1"/>
  <c r="K206" i="4"/>
  <c r="G206" i="4" s="1"/>
  <c r="K74" i="4"/>
  <c r="J196" i="4"/>
  <c r="G187" i="4"/>
  <c r="G94" i="4"/>
  <c r="J173" i="4"/>
  <c r="L173" i="4" s="1"/>
  <c r="J53" i="4"/>
  <c r="L53" i="4" s="1"/>
  <c r="J61" i="4"/>
  <c r="L61" i="4" s="1"/>
  <c r="K50" i="4"/>
  <c r="G50" i="4" s="1"/>
  <c r="K128" i="4"/>
  <c r="K87" i="4"/>
  <c r="G87" i="4" s="1"/>
  <c r="K99" i="4"/>
  <c r="G99" i="4" s="1"/>
  <c r="K137" i="4"/>
  <c r="G137" i="4" s="1"/>
  <c r="K194" i="4"/>
  <c r="G194" i="4" s="1"/>
  <c r="K26" i="4"/>
  <c r="K148" i="4"/>
  <c r="K166" i="4"/>
  <c r="K67" i="4"/>
  <c r="G67" i="4" s="1"/>
  <c r="BK194" i="15"/>
  <c r="AO196" i="3" s="1"/>
  <c r="BK190" i="15"/>
  <c r="AO192" i="3" s="1"/>
  <c r="BK174" i="15"/>
  <c r="AO176" i="3" s="1"/>
  <c r="BK166" i="15"/>
  <c r="AO168" i="3" s="1"/>
  <c r="BK154" i="15"/>
  <c r="AO156" i="3" s="1"/>
  <c r="BK10" i="15"/>
  <c r="AO12" i="3" s="1"/>
  <c r="BK37" i="15"/>
  <c r="AO39" i="3" s="1"/>
  <c r="BK114" i="15"/>
  <c r="AO116" i="3" s="1"/>
  <c r="BK82" i="15"/>
  <c r="AO84" i="3" s="1"/>
  <c r="BK50" i="15"/>
  <c r="AO52" i="3" s="1"/>
  <c r="BX27" i="15"/>
  <c r="BX43" i="15"/>
  <c r="BX59" i="15"/>
  <c r="BX67" i="15"/>
  <c r="BX19" i="15"/>
  <c r="BX51" i="15"/>
  <c r="BX115" i="15"/>
  <c r="BX55" i="15"/>
  <c r="BB57" i="3" s="1"/>
  <c r="BX122" i="15"/>
  <c r="BX90" i="15"/>
  <c r="BX58" i="15"/>
  <c r="BX10" i="15"/>
  <c r="BX23" i="15"/>
  <c r="BB25" i="3" s="1"/>
  <c r="BK143" i="15"/>
  <c r="AO145" i="3" s="1"/>
  <c r="BX50" i="15"/>
  <c r="BX70" i="15"/>
  <c r="BX86" i="15"/>
  <c r="BK102" i="15"/>
  <c r="AO104" i="3" s="1"/>
  <c r="BW55" i="15"/>
  <c r="K43" i="4"/>
  <c r="G43" i="4" s="1"/>
  <c r="J191" i="4"/>
  <c r="G211" i="4"/>
  <c r="J48" i="4"/>
  <c r="L48" i="4" s="1"/>
  <c r="G47" i="4"/>
  <c r="L38" i="4"/>
  <c r="K38" i="4" s="1"/>
  <c r="K208" i="4"/>
  <c r="H228" i="4"/>
  <c r="I17" i="2" s="1"/>
  <c r="Q13" i="2"/>
  <c r="H104" i="4"/>
  <c r="H94" i="4"/>
  <c r="H27" i="4"/>
  <c r="H192" i="4"/>
  <c r="H129" i="4"/>
  <c r="H141" i="4"/>
  <c r="H47" i="4"/>
  <c r="H24" i="4"/>
  <c r="E33" i="2"/>
  <c r="F33" i="2"/>
  <c r="Q66" i="2"/>
  <c r="L66" i="2"/>
  <c r="M66" i="2"/>
  <c r="D5" i="2"/>
  <c r="O33" i="2"/>
  <c r="F42" i="2"/>
  <c r="K33" i="2"/>
  <c r="J66" i="2"/>
  <c r="D33" i="2"/>
  <c r="G33" i="2"/>
  <c r="K66" i="2"/>
  <c r="E66" i="2"/>
  <c r="J6" i="15"/>
  <c r="N6" i="15" s="1"/>
  <c r="G66" i="2"/>
  <c r="N66" i="2"/>
  <c r="Q33" i="2"/>
  <c r="M33" i="2"/>
  <c r="L33" i="2"/>
  <c r="N33" i="2"/>
  <c r="H33" i="2"/>
  <c r="D66" i="2"/>
  <c r="I33" i="2"/>
  <c r="O66" i="2"/>
  <c r="AR64" i="15"/>
  <c r="AR11" i="15"/>
  <c r="AR6" i="15"/>
  <c r="AR73" i="15"/>
  <c r="AR118" i="15"/>
  <c r="AR104" i="15"/>
  <c r="AR12" i="15"/>
  <c r="AR193" i="15"/>
  <c r="AR139" i="15"/>
  <c r="AR114" i="15"/>
  <c r="AR183" i="15"/>
  <c r="AR80" i="15"/>
  <c r="AR18" i="15"/>
  <c r="AR79" i="15"/>
  <c r="AR172" i="15"/>
  <c r="AR95" i="15"/>
  <c r="AR162" i="15"/>
  <c r="AR77" i="15"/>
  <c r="AR67" i="15"/>
  <c r="AR170" i="15"/>
  <c r="AR144" i="15"/>
  <c r="AR197" i="15"/>
  <c r="AR142" i="15"/>
  <c r="AR136" i="15"/>
  <c r="AR47" i="15"/>
  <c r="AR160" i="15"/>
  <c r="AR81" i="15"/>
  <c r="AR63" i="15"/>
  <c r="AR182" i="15"/>
  <c r="AR71" i="15"/>
  <c r="AR178" i="15"/>
  <c r="AR196" i="15"/>
  <c r="AR57" i="15"/>
  <c r="AR34" i="15"/>
  <c r="AR133" i="15"/>
  <c r="AR40" i="15"/>
  <c r="AR72" i="15"/>
  <c r="AR84" i="15"/>
  <c r="AR110" i="15"/>
  <c r="AR76" i="15"/>
  <c r="AR87" i="15"/>
  <c r="AR56" i="15"/>
  <c r="AR148" i="15"/>
  <c r="AR46" i="15"/>
  <c r="AR168" i="15"/>
  <c r="AR165" i="15"/>
  <c r="AR22" i="15"/>
  <c r="AR137" i="15"/>
  <c r="AR180" i="15"/>
  <c r="AR141" i="15"/>
  <c r="AR108" i="15"/>
  <c r="AR161" i="15"/>
  <c r="AR166" i="15"/>
  <c r="AR154" i="15"/>
  <c r="AR75" i="15"/>
  <c r="AR70" i="15"/>
  <c r="AR153" i="15"/>
  <c r="AR20" i="15"/>
  <c r="AR39" i="15"/>
  <c r="AR122" i="15"/>
  <c r="AR140" i="15"/>
  <c r="AR119" i="15"/>
  <c r="AR152" i="15"/>
  <c r="AR179" i="15"/>
  <c r="AR68" i="15"/>
  <c r="AR86" i="15"/>
  <c r="AR146" i="15"/>
  <c r="AR185" i="15"/>
  <c r="AR130" i="15"/>
  <c r="AR105" i="15"/>
  <c r="AR176" i="15"/>
  <c r="AR124" i="15"/>
  <c r="AR30" i="15"/>
  <c r="AR98" i="15"/>
  <c r="AR36" i="15"/>
  <c r="AR151" i="15"/>
  <c r="AR123" i="15"/>
  <c r="AR111" i="15"/>
  <c r="AR106" i="15"/>
  <c r="AR131" i="15"/>
  <c r="AR33" i="15"/>
  <c r="AR112" i="15"/>
  <c r="AR204" i="15"/>
  <c r="AR85" i="15"/>
  <c r="AR181" i="15"/>
  <c r="AR26" i="15"/>
  <c r="AR99" i="15"/>
  <c r="AR100" i="15"/>
  <c r="AR149" i="15"/>
  <c r="AR31" i="15"/>
  <c r="AR120" i="15"/>
  <c r="AR158" i="15"/>
  <c r="AR103" i="15"/>
  <c r="AR44" i="15"/>
  <c r="AR10" i="15"/>
  <c r="AR188" i="15"/>
  <c r="AR113" i="15"/>
  <c r="AR135" i="15"/>
  <c r="AR198" i="15"/>
  <c r="AR93" i="15"/>
  <c r="AR117" i="15"/>
  <c r="AR107" i="15"/>
  <c r="AR167" i="15"/>
  <c r="AR175" i="15"/>
  <c r="AR184" i="15"/>
  <c r="AR169" i="15"/>
  <c r="AR156" i="15"/>
  <c r="AR27" i="15"/>
  <c r="AR192" i="15"/>
  <c r="AR83" i="15"/>
  <c r="AR17" i="15"/>
  <c r="AR200" i="15"/>
  <c r="AR155" i="15"/>
  <c r="AR13" i="15"/>
  <c r="AR143" i="15"/>
  <c r="AR25" i="15"/>
  <c r="AR189" i="15"/>
  <c r="AR138" i="15"/>
  <c r="AR205" i="15"/>
  <c r="AR50" i="15"/>
  <c r="AR28" i="15"/>
  <c r="AR51" i="15"/>
  <c r="AR157" i="15"/>
  <c r="AR62" i="15"/>
  <c r="AR14" i="15"/>
  <c r="AR90" i="15"/>
  <c r="AR171" i="15"/>
  <c r="AR121" i="15"/>
  <c r="AR202" i="15"/>
  <c r="AR48" i="15"/>
  <c r="AR45" i="15"/>
  <c r="AR163" i="15"/>
  <c r="AR190" i="15"/>
  <c r="AR116" i="15"/>
  <c r="AR59" i="15"/>
  <c r="AR94" i="15"/>
  <c r="AR129" i="15"/>
  <c r="AR126" i="15"/>
  <c r="AR23" i="15"/>
  <c r="AR38" i="15"/>
  <c r="AR164" i="15"/>
  <c r="AR125" i="15"/>
  <c r="AR101" i="15"/>
  <c r="AR69" i="15"/>
  <c r="AR42" i="15"/>
  <c r="AR55" i="15"/>
  <c r="AR89" i="15"/>
  <c r="AR54" i="15"/>
  <c r="AR29" i="15"/>
  <c r="AR52" i="15"/>
  <c r="AR24" i="15"/>
  <c r="AR65" i="15"/>
  <c r="AR174" i="15"/>
  <c r="AR32" i="15"/>
  <c r="AR15" i="15"/>
  <c r="AR61" i="15"/>
  <c r="AR102" i="15"/>
  <c r="AR128" i="15"/>
  <c r="AR203" i="15"/>
  <c r="AR82" i="15"/>
  <c r="AR92" i="15"/>
  <c r="AR194" i="15"/>
  <c r="AR201" i="15"/>
  <c r="AR134" i="15"/>
  <c r="AR132" i="15"/>
  <c r="AR186" i="15"/>
  <c r="AR37" i="15"/>
  <c r="AR97" i="15"/>
  <c r="AR35" i="15"/>
  <c r="AR195" i="15"/>
  <c r="AR147" i="15"/>
  <c r="AR177" i="15"/>
  <c r="AR91" i="15"/>
  <c r="AR8" i="15"/>
  <c r="AR9" i="15"/>
  <c r="AR173" i="15"/>
  <c r="AR150" i="15"/>
  <c r="AR16" i="15"/>
  <c r="AR109" i="15"/>
  <c r="AR159" i="15"/>
  <c r="AR19" i="15"/>
  <c r="AR53" i="15"/>
  <c r="AR88" i="15"/>
  <c r="AR199" i="15"/>
  <c r="AR187" i="15"/>
  <c r="AR66" i="15"/>
  <c r="AR191" i="15"/>
  <c r="AR145" i="15"/>
  <c r="AR7" i="15"/>
  <c r="AR96" i="15"/>
  <c r="AR127" i="15"/>
  <c r="AR58" i="15"/>
  <c r="AR60" i="15"/>
  <c r="AR41" i="15"/>
  <c r="AR49" i="15"/>
  <c r="AR74" i="15"/>
  <c r="AR21" i="15"/>
  <c r="AR43" i="15"/>
  <c r="AR78" i="15"/>
  <c r="AR115" i="15"/>
  <c r="AE172" i="15"/>
  <c r="AE184" i="15"/>
  <c r="AE147" i="15"/>
  <c r="AE153" i="15"/>
  <c r="Q26" i="15"/>
  <c r="Q179" i="15"/>
  <c r="Q195" i="15"/>
  <c r="Q146" i="15"/>
  <c r="Q153" i="15"/>
  <c r="Q155" i="15"/>
  <c r="Q103" i="15"/>
  <c r="Q198" i="15"/>
  <c r="Q127" i="15"/>
  <c r="Q137" i="15"/>
  <c r="Q114" i="15"/>
  <c r="Q121" i="15"/>
  <c r="Q123" i="15"/>
  <c r="Q13" i="15"/>
  <c r="Q162" i="15"/>
  <c r="Q53" i="15"/>
  <c r="Q147" i="15"/>
  <c r="Q33" i="15"/>
  <c r="Q104" i="15"/>
  <c r="Q10" i="15"/>
  <c r="Q178" i="15"/>
  <c r="Q186" i="15"/>
  <c r="Q126" i="15"/>
  <c r="Q85" i="15"/>
  <c r="Q151" i="15"/>
  <c r="Q88" i="15"/>
  <c r="Q93" i="15"/>
  <c r="Q90" i="15"/>
  <c r="Q194" i="15"/>
  <c r="Q55" i="15"/>
  <c r="Q187" i="15"/>
  <c r="U205" i="15"/>
  <c r="Q134" i="15"/>
  <c r="Q120" i="15"/>
  <c r="Q203" i="15"/>
  <c r="Q42" i="15"/>
  <c r="Q132" i="15"/>
  <c r="Q68" i="15"/>
  <c r="Q79" i="15"/>
  <c r="Q56" i="15"/>
  <c r="Q43" i="15"/>
  <c r="Q158" i="15"/>
  <c r="U158" i="15" s="1"/>
  <c r="Q138" i="15"/>
  <c r="Q191" i="15"/>
  <c r="Q167" i="15"/>
  <c r="Q82" i="15"/>
  <c r="Q61" i="15"/>
  <c r="U194" i="15"/>
  <c r="Q193" i="15"/>
  <c r="Q102" i="15"/>
  <c r="Q34" i="15"/>
  <c r="Q32" i="15"/>
  <c r="Q135" i="15"/>
  <c r="Q50" i="15"/>
  <c r="Q92" i="15"/>
  <c r="Q184" i="15"/>
  <c r="Q171" i="15"/>
  <c r="Q21" i="15"/>
  <c r="U204" i="15"/>
  <c r="Q185" i="15"/>
  <c r="Q71" i="15"/>
  <c r="Q91" i="15"/>
  <c r="U91" i="15" s="1"/>
  <c r="Q86" i="15"/>
  <c r="Q73" i="15"/>
  <c r="Q46" i="15"/>
  <c r="Q31" i="15"/>
  <c r="Q124" i="15"/>
  <c r="Q99" i="15"/>
  <c r="Q111" i="15"/>
  <c r="Q172" i="15"/>
  <c r="Q150" i="15"/>
  <c r="Q75" i="15"/>
  <c r="Q23" i="15"/>
  <c r="Q119" i="15"/>
  <c r="Q122" i="15"/>
  <c r="Q196" i="15"/>
  <c r="S196" i="15" s="1"/>
  <c r="Q38" i="15"/>
  <c r="Q41" i="15"/>
  <c r="Q70" i="15"/>
  <c r="Q139" i="15"/>
  <c r="Q14" i="15"/>
  <c r="Q109" i="15"/>
  <c r="Q204" i="15"/>
  <c r="Q97" i="15"/>
  <c r="Q180" i="15"/>
  <c r="Q6" i="15"/>
  <c r="Q175" i="15"/>
  <c r="Q173" i="15"/>
  <c r="Q142" i="15"/>
  <c r="Q72" i="15"/>
  <c r="Q30" i="15"/>
  <c r="Q48" i="15"/>
  <c r="Q205" i="15"/>
  <c r="Q27" i="15"/>
  <c r="Q129" i="15"/>
  <c r="Q168" i="15"/>
  <c r="Q199" i="15"/>
  <c r="Q95" i="15"/>
  <c r="Q29" i="15"/>
  <c r="Q115" i="15"/>
  <c r="Q62" i="15"/>
  <c r="Q164" i="15"/>
  <c r="U164" i="15" s="1"/>
  <c r="U13" i="15"/>
  <c r="Q45" i="15"/>
  <c r="Q166" i="15"/>
  <c r="S166" i="15" s="1"/>
  <c r="Q18" i="15"/>
  <c r="Q157" i="15"/>
  <c r="U184" i="15"/>
  <c r="Q161" i="15"/>
  <c r="Q37" i="15"/>
  <c r="S37" i="15" s="1"/>
  <c r="Q35" i="15"/>
  <c r="Q83" i="15"/>
  <c r="Q154" i="15"/>
  <c r="Q67" i="15"/>
  <c r="Q118" i="15"/>
  <c r="Q22" i="15"/>
  <c r="Q143" i="15"/>
  <c r="Q54" i="15"/>
  <c r="Q36" i="15"/>
  <c r="Q128" i="15"/>
  <c r="S91" i="15"/>
  <c r="AE126" i="15"/>
  <c r="AE50" i="15"/>
  <c r="AE198" i="15"/>
  <c r="AE193" i="15"/>
  <c r="AE118" i="15"/>
  <c r="AE58" i="15"/>
  <c r="AE89" i="15"/>
  <c r="AE179" i="15"/>
  <c r="AE170" i="15"/>
  <c r="AE22" i="15"/>
  <c r="AE188" i="15"/>
  <c r="AE76" i="15"/>
  <c r="AE29" i="15"/>
  <c r="AE105" i="15"/>
  <c r="AE116" i="15"/>
  <c r="AE102" i="15"/>
  <c r="AE161" i="15"/>
  <c r="AE28" i="15"/>
  <c r="AE17" i="15"/>
  <c r="AE99" i="15"/>
  <c r="AE44" i="15"/>
  <c r="AE168" i="15"/>
  <c r="AE51" i="15"/>
  <c r="AE23" i="15"/>
  <c r="AE137" i="15"/>
  <c r="AE88" i="15"/>
  <c r="AE163" i="15"/>
  <c r="AE176" i="15"/>
  <c r="AE131" i="15"/>
  <c r="AE195" i="15"/>
  <c r="AE148" i="15"/>
  <c r="AE166" i="15"/>
  <c r="AE133" i="15"/>
  <c r="AE64" i="15"/>
  <c r="AE189" i="15"/>
  <c r="AE25" i="15"/>
  <c r="AE11" i="15"/>
  <c r="AE53" i="15"/>
  <c r="AE111" i="15"/>
  <c r="AE74" i="15"/>
  <c r="AE56" i="15"/>
  <c r="AE185" i="15"/>
  <c r="AE42" i="15"/>
  <c r="AE69" i="15"/>
  <c r="AE27" i="15"/>
  <c r="AE151" i="15"/>
  <c r="AE182" i="15"/>
  <c r="AE81" i="15"/>
  <c r="AE14" i="15"/>
  <c r="AE26" i="15"/>
  <c r="AE77" i="15"/>
  <c r="AE192" i="15"/>
  <c r="AE87" i="15"/>
  <c r="AE135" i="15"/>
  <c r="AE84" i="15"/>
  <c r="AE6" i="15"/>
  <c r="AE181" i="15"/>
  <c r="AE13" i="15"/>
  <c r="AE52" i="15"/>
  <c r="AE32" i="15"/>
  <c r="AE108" i="15"/>
  <c r="AE7" i="15"/>
  <c r="AE186" i="15"/>
  <c r="AE142" i="15"/>
  <c r="AE104" i="15"/>
  <c r="AE173" i="15"/>
  <c r="AE66" i="15"/>
  <c r="AE71" i="15"/>
  <c r="AE82" i="15"/>
  <c r="AE143" i="15"/>
  <c r="AE39" i="15"/>
  <c r="AE136" i="15"/>
  <c r="AE37" i="15"/>
  <c r="AE139" i="15"/>
  <c r="AE67" i="15"/>
  <c r="AE101" i="15"/>
  <c r="AE16" i="15"/>
  <c r="AE199" i="15"/>
  <c r="AE68" i="15"/>
  <c r="AE98" i="15"/>
  <c r="AE45" i="15"/>
  <c r="AE125" i="15"/>
  <c r="AE46" i="15"/>
  <c r="AE38" i="15"/>
  <c r="AE180" i="15"/>
  <c r="AE120" i="15"/>
  <c r="AE75" i="15"/>
  <c r="AE59" i="15"/>
  <c r="AE34" i="15"/>
  <c r="AE103" i="15"/>
  <c r="AE174" i="15"/>
  <c r="AE157" i="15"/>
  <c r="AE158" i="15"/>
  <c r="AE10" i="15"/>
  <c r="AE107" i="15"/>
  <c r="AE152" i="15"/>
  <c r="AE112" i="15"/>
  <c r="AE146" i="15"/>
  <c r="AE36" i="15"/>
  <c r="AE30" i="15"/>
  <c r="AE149" i="15"/>
  <c r="AE138" i="15"/>
  <c r="AE73" i="15"/>
  <c r="AE41" i="15"/>
  <c r="AE21" i="15"/>
  <c r="AE55" i="15"/>
  <c r="AE128" i="15"/>
  <c r="AE190" i="15"/>
  <c r="AE127" i="15"/>
  <c r="AE35" i="15"/>
  <c r="AE60" i="15"/>
  <c r="AE129" i="15"/>
  <c r="AE93" i="15"/>
  <c r="AE145" i="15"/>
  <c r="AE110" i="15"/>
  <c r="AE140" i="15"/>
  <c r="AE19" i="15"/>
  <c r="AE95" i="15"/>
  <c r="AE48" i="15"/>
  <c r="AE47" i="15"/>
  <c r="AE9" i="15"/>
  <c r="AE130" i="15"/>
  <c r="AE83" i="15"/>
  <c r="AE70" i="15"/>
  <c r="AE54" i="15"/>
  <c r="AE24" i="15"/>
  <c r="AE183" i="15"/>
  <c r="AE91" i="15"/>
  <c r="AE141" i="15"/>
  <c r="AE117" i="15"/>
  <c r="AE200" i="15"/>
  <c r="AE122" i="15"/>
  <c r="AE178" i="15"/>
  <c r="AE167" i="15"/>
  <c r="AE203" i="15"/>
  <c r="AE154" i="15"/>
  <c r="AE15" i="15"/>
  <c r="AE18" i="15"/>
  <c r="AE204" i="15"/>
  <c r="AE8" i="15"/>
  <c r="AE62" i="15"/>
  <c r="AE78" i="15"/>
  <c r="AE150" i="15"/>
  <c r="AE132" i="15"/>
  <c r="AE187" i="15"/>
  <c r="AE165" i="15"/>
  <c r="AE79" i="15"/>
  <c r="AE92" i="15"/>
  <c r="AE43" i="15"/>
  <c r="AE155" i="15"/>
  <c r="AE177" i="15"/>
  <c r="AE113" i="15"/>
  <c r="AE115" i="15"/>
  <c r="AE124" i="15"/>
  <c r="AE197" i="15"/>
  <c r="AE159" i="15"/>
  <c r="AE156" i="15"/>
  <c r="AE194" i="15"/>
  <c r="AE86" i="15"/>
  <c r="AE97" i="15"/>
  <c r="AE109" i="15"/>
  <c r="AE80" i="15"/>
  <c r="AE119" i="15"/>
  <c r="AE202" i="15"/>
  <c r="AE72" i="15"/>
  <c r="AE205" i="15"/>
  <c r="AE90" i="15"/>
  <c r="AE63" i="15"/>
  <c r="AE12" i="15"/>
  <c r="AE33" i="15"/>
  <c r="AE175" i="15"/>
  <c r="AE20" i="15"/>
  <c r="AE100" i="15"/>
  <c r="AE85" i="15"/>
  <c r="AE164" i="15"/>
  <c r="AE114" i="15"/>
  <c r="AE61" i="15"/>
  <c r="AE201" i="15"/>
  <c r="AE49" i="15"/>
  <c r="AE169" i="15"/>
  <c r="AE121" i="15"/>
  <c r="AE144" i="15"/>
  <c r="AE65" i="15"/>
  <c r="AE160" i="15"/>
  <c r="AE40" i="15"/>
  <c r="AE134" i="15"/>
  <c r="AE96" i="15"/>
  <c r="AE106" i="15"/>
  <c r="AE94" i="15"/>
  <c r="AE171" i="15"/>
  <c r="AE123" i="15"/>
  <c r="AE162" i="15"/>
  <c r="AE31" i="15"/>
  <c r="AE57" i="15"/>
  <c r="L155" i="3" l="1"/>
  <c r="L149" i="3"/>
  <c r="L186" i="3"/>
  <c r="L174" i="3"/>
  <c r="O147" i="15"/>
  <c r="BK40" i="3"/>
  <c r="CH166" i="15"/>
  <c r="K250" i="4"/>
  <c r="CH95" i="15"/>
  <c r="B97" i="3"/>
  <c r="AH97" i="3" s="1"/>
  <c r="W166" i="15"/>
  <c r="BB166" i="15"/>
  <c r="G251" i="4"/>
  <c r="BD157" i="15"/>
  <c r="B168" i="3"/>
  <c r="BL168" i="3" s="1"/>
  <c r="P166" i="15"/>
  <c r="BD37" i="15"/>
  <c r="B134" i="3"/>
  <c r="BL134" i="3" s="1"/>
  <c r="BY35" i="15"/>
  <c r="BC37" i="3" s="1"/>
  <c r="BY161" i="15"/>
  <c r="BC163" i="3" s="1"/>
  <c r="BY45" i="15"/>
  <c r="BC47" i="3" s="1"/>
  <c r="BY168" i="15"/>
  <c r="BC170" i="3" s="1"/>
  <c r="BY109" i="15"/>
  <c r="BC111" i="3" s="1"/>
  <c r="BY26" i="15"/>
  <c r="BC28" i="3" s="1"/>
  <c r="BY203" i="15"/>
  <c r="BC205" i="3" s="1"/>
  <c r="BY21" i="15"/>
  <c r="BC23" i="3" s="1"/>
  <c r="BY155" i="15"/>
  <c r="BC157" i="3" s="1"/>
  <c r="BY99" i="15"/>
  <c r="BC101" i="3" s="1"/>
  <c r="BY132" i="15"/>
  <c r="BC134" i="3" s="1"/>
  <c r="BY157" i="15"/>
  <c r="BC159" i="3" s="1"/>
  <c r="BY153" i="15"/>
  <c r="BC155" i="3" s="1"/>
  <c r="BY14" i="15"/>
  <c r="BC16" i="3" s="1"/>
  <c r="BY179" i="15"/>
  <c r="BC181" i="3" s="1"/>
  <c r="BY119" i="15"/>
  <c r="BC121" i="3" s="1"/>
  <c r="BY191" i="15"/>
  <c r="BC193" i="3" s="1"/>
  <c r="BY150" i="15"/>
  <c r="BC152" i="3" s="1"/>
  <c r="BY198" i="15"/>
  <c r="BC200" i="3" s="1"/>
  <c r="BY56" i="15"/>
  <c r="BC58" i="3" s="1"/>
  <c r="BY48" i="15"/>
  <c r="BC50" i="3" s="1"/>
  <c r="BY10" i="15"/>
  <c r="BC12" i="3" s="1"/>
  <c r="BY185" i="15"/>
  <c r="BC187" i="3" s="1"/>
  <c r="BY72" i="15"/>
  <c r="BC74" i="3" s="1"/>
  <c r="BY31" i="15"/>
  <c r="BC33" i="3" s="1"/>
  <c r="BY196" i="15"/>
  <c r="BC198" i="3" s="1"/>
  <c r="BY115" i="15"/>
  <c r="BC117" i="3" s="1"/>
  <c r="BY204" i="15"/>
  <c r="BC206" i="3" s="1"/>
  <c r="BY66" i="15"/>
  <c r="BC68" i="3" s="1"/>
  <c r="BY18" i="15"/>
  <c r="BC20" i="3" s="1"/>
  <c r="BY127" i="15"/>
  <c r="BC129" i="3" s="1"/>
  <c r="BY128" i="15"/>
  <c r="BC130" i="3" s="1"/>
  <c r="BY32" i="15"/>
  <c r="BC34" i="3" s="1"/>
  <c r="BY178" i="15"/>
  <c r="BC180" i="3" s="1"/>
  <c r="BY135" i="15"/>
  <c r="BC137" i="3" s="1"/>
  <c r="BY139" i="15"/>
  <c r="BC141" i="3" s="1"/>
  <c r="BY173" i="15"/>
  <c r="BC175" i="3" s="1"/>
  <c r="BY167" i="15"/>
  <c r="BC169" i="3" s="1"/>
  <c r="BY46" i="15"/>
  <c r="BC48" i="3" s="1"/>
  <c r="BY104" i="15"/>
  <c r="BC106" i="3" s="1"/>
  <c r="BY134" i="15"/>
  <c r="BC136" i="3" s="1"/>
  <c r="BY85" i="15"/>
  <c r="BC87" i="3" s="1"/>
  <c r="BY93" i="15"/>
  <c r="BC95" i="3" s="1"/>
  <c r="BY88" i="15"/>
  <c r="BC90" i="3" s="1"/>
  <c r="BY121" i="15"/>
  <c r="BC123" i="3" s="1"/>
  <c r="BY41" i="15"/>
  <c r="BC43" i="3" s="1"/>
  <c r="BY199" i="15"/>
  <c r="BC201" i="3" s="1"/>
  <c r="BY164" i="15"/>
  <c r="BC166" i="3" s="1"/>
  <c r="BY67" i="15"/>
  <c r="BC69" i="3" s="1"/>
  <c r="BY95" i="15"/>
  <c r="BC97" i="3" s="1"/>
  <c r="BY22" i="15"/>
  <c r="BC24" i="3" s="1"/>
  <c r="BY33" i="15"/>
  <c r="BC35" i="3" s="1"/>
  <c r="BY102" i="15"/>
  <c r="BC104" i="3" s="1"/>
  <c r="BY55" i="15"/>
  <c r="BC57" i="3" s="1"/>
  <c r="BY138" i="15"/>
  <c r="BC140" i="3" s="1"/>
  <c r="BY13" i="15"/>
  <c r="BC15" i="3" s="1"/>
  <c r="BY143" i="15"/>
  <c r="BC145" i="3" s="1"/>
  <c r="BY137" i="15"/>
  <c r="BC139" i="3" s="1"/>
  <c r="BY70" i="15"/>
  <c r="BC72" i="3" s="1"/>
  <c r="BY126" i="15"/>
  <c r="BC128" i="3" s="1"/>
  <c r="BY193" i="15"/>
  <c r="BC195" i="3" s="1"/>
  <c r="BY142" i="15"/>
  <c r="BC144" i="3" s="1"/>
  <c r="BY42" i="15"/>
  <c r="BC44" i="3" s="1"/>
  <c r="BY54" i="15"/>
  <c r="BC56" i="3" s="1"/>
  <c r="BY171" i="15"/>
  <c r="BC173" i="3" s="1"/>
  <c r="BY172" i="15"/>
  <c r="BC174" i="3" s="1"/>
  <c r="BY73" i="15"/>
  <c r="BC75" i="3" s="1"/>
  <c r="BY122" i="15"/>
  <c r="BC124" i="3" s="1"/>
  <c r="BY158" i="15"/>
  <c r="BC160" i="3" s="1"/>
  <c r="BY62" i="15"/>
  <c r="BC64" i="3" s="1"/>
  <c r="BY151" i="15"/>
  <c r="BC153" i="3" s="1"/>
  <c r="BY6" i="15"/>
  <c r="BC8" i="3" s="1"/>
  <c r="Y27" i="3"/>
  <c r="BY68" i="15"/>
  <c r="BC70" i="3" s="1"/>
  <c r="BY162" i="15"/>
  <c r="BC164" i="3" s="1"/>
  <c r="BY166" i="15"/>
  <c r="BC168" i="3" s="1"/>
  <c r="BY71" i="15"/>
  <c r="BC73" i="3" s="1"/>
  <c r="BY187" i="15"/>
  <c r="BC189" i="3" s="1"/>
  <c r="BY118" i="15"/>
  <c r="BC120" i="3" s="1"/>
  <c r="BY114" i="15"/>
  <c r="BC116" i="3" s="1"/>
  <c r="BY30" i="15"/>
  <c r="BC32" i="3" s="1"/>
  <c r="BY154" i="15"/>
  <c r="BC156" i="3" s="1"/>
  <c r="BY103" i="15"/>
  <c r="BC105" i="3" s="1"/>
  <c r="BY23" i="15"/>
  <c r="BC25" i="3" s="1"/>
  <c r="Y87" i="3"/>
  <c r="BY82" i="15"/>
  <c r="BC84" i="3" s="1"/>
  <c r="BY75" i="15"/>
  <c r="BC77" i="3" s="1"/>
  <c r="BY29" i="15"/>
  <c r="BC31" i="3" s="1"/>
  <c r="BY34" i="15"/>
  <c r="BC36" i="3" s="1"/>
  <c r="BY50" i="15"/>
  <c r="BC52" i="3" s="1"/>
  <c r="BY124" i="15"/>
  <c r="BC126" i="3" s="1"/>
  <c r="BY146" i="15"/>
  <c r="BC148" i="3" s="1"/>
  <c r="BY43" i="15"/>
  <c r="BC45" i="3" s="1"/>
  <c r="BY194" i="15"/>
  <c r="BC196" i="3" s="1"/>
  <c r="BY61" i="15"/>
  <c r="BC63" i="3" s="1"/>
  <c r="BY180" i="15"/>
  <c r="BC182" i="3" s="1"/>
  <c r="BY184" i="15"/>
  <c r="BC186" i="3" s="1"/>
  <c r="BY147" i="15"/>
  <c r="BC149" i="3" s="1"/>
  <c r="BY53" i="15"/>
  <c r="BC55" i="3" s="1"/>
  <c r="BY175" i="15"/>
  <c r="BC177" i="3" s="1"/>
  <c r="BY100" i="15"/>
  <c r="BC102" i="3" s="1"/>
  <c r="BY123" i="15"/>
  <c r="BC125" i="3" s="1"/>
  <c r="BY111" i="15"/>
  <c r="BC113" i="3" s="1"/>
  <c r="BY37" i="15"/>
  <c r="BC39" i="3" s="1"/>
  <c r="BY38" i="15"/>
  <c r="BC40" i="3" s="1"/>
  <c r="BY86" i="15"/>
  <c r="BC88" i="3" s="1"/>
  <c r="BY27" i="15"/>
  <c r="BC29" i="3" s="1"/>
  <c r="BY120" i="15"/>
  <c r="BC122" i="3" s="1"/>
  <c r="BY79" i="15"/>
  <c r="BC81" i="3" s="1"/>
  <c r="BY92" i="15"/>
  <c r="BC94" i="3" s="1"/>
  <c r="BY195" i="15"/>
  <c r="BC197" i="3" s="1"/>
  <c r="BY91" i="15"/>
  <c r="BC93" i="3" s="1"/>
  <c r="BY36" i="15"/>
  <c r="BC38" i="3" s="1"/>
  <c r="BY97" i="15"/>
  <c r="BC99" i="3" s="1"/>
  <c r="BY205" i="15"/>
  <c r="BC207" i="3" s="1"/>
  <c r="BY186" i="15"/>
  <c r="BC188" i="3" s="1"/>
  <c r="BY90" i="15"/>
  <c r="BC92" i="3" s="1"/>
  <c r="BY129" i="15"/>
  <c r="BC131" i="3" s="1"/>
  <c r="BY83" i="15"/>
  <c r="BC85" i="3" s="1"/>
  <c r="Y66" i="3"/>
  <c r="L252" i="4"/>
  <c r="K252" i="4" s="1"/>
  <c r="J120" i="4"/>
  <c r="L120" i="4" s="1"/>
  <c r="K120" i="4" s="1"/>
  <c r="J56" i="4"/>
  <c r="L56" i="4" s="1"/>
  <c r="K56" i="4" s="1"/>
  <c r="J12" i="4"/>
  <c r="L12" i="4" s="1"/>
  <c r="K12" i="4" s="1"/>
  <c r="J51" i="4"/>
  <c r="L51" i="4" s="1"/>
  <c r="J92" i="4"/>
  <c r="L92" i="4" s="1"/>
  <c r="J68" i="4"/>
  <c r="L68" i="4" s="1"/>
  <c r="K68" i="4" s="1"/>
  <c r="J204" i="4"/>
  <c r="L204" i="4" s="1"/>
  <c r="M13" i="2" s="1"/>
  <c r="J63" i="4"/>
  <c r="L63" i="4" s="1"/>
  <c r="K63" i="4" s="1"/>
  <c r="G148" i="4"/>
  <c r="K20" i="4"/>
  <c r="K10" i="4"/>
  <c r="J102" i="4"/>
  <c r="L102" i="4" s="1"/>
  <c r="K102" i="4" s="1"/>
  <c r="L72" i="4"/>
  <c r="J171" i="4"/>
  <c r="L171" i="4" s="1"/>
  <c r="G171" i="4"/>
  <c r="J17" i="4"/>
  <c r="L17" i="4" s="1"/>
  <c r="K17" i="4" s="1"/>
  <c r="G17" i="4" s="1"/>
  <c r="J28" i="4"/>
  <c r="L28" i="4" s="1"/>
  <c r="K28" i="4" s="1"/>
  <c r="BW58" i="15"/>
  <c r="BA60" i="3" s="1"/>
  <c r="BW50" i="15"/>
  <c r="BA52" i="3" s="1"/>
  <c r="BW113" i="15"/>
  <c r="BA115" i="3" s="1"/>
  <c r="BW152" i="15"/>
  <c r="BA154" i="3" s="1"/>
  <c r="BW132" i="15"/>
  <c r="BA134" i="3" s="1"/>
  <c r="J224" i="4"/>
  <c r="L224" i="4" s="1"/>
  <c r="J46" i="2"/>
  <c r="J155" i="4"/>
  <c r="L155" i="4" s="1"/>
  <c r="K155" i="4" s="1"/>
  <c r="G155" i="4" s="1"/>
  <c r="G245" i="4"/>
  <c r="J119" i="4"/>
  <c r="L119" i="4" s="1"/>
  <c r="K119" i="4" s="1"/>
  <c r="G27" i="4"/>
  <c r="K92" i="4"/>
  <c r="G92" i="4" s="1"/>
  <c r="K54" i="4"/>
  <c r="G54" i="4" s="1"/>
  <c r="J205" i="4"/>
  <c r="L205" i="4" s="1"/>
  <c r="K205" i="4" s="1"/>
  <c r="G205" i="4" s="1"/>
  <c r="J138" i="4"/>
  <c r="L138" i="4" s="1"/>
  <c r="K162" i="4"/>
  <c r="J239" i="4"/>
  <c r="L239" i="4" s="1"/>
  <c r="K138" i="4"/>
  <c r="K178" i="4"/>
  <c r="K105" i="4"/>
  <c r="J222" i="4"/>
  <c r="L222" i="4" s="1"/>
  <c r="K25" i="4"/>
  <c r="G25" i="4" s="1"/>
  <c r="J227" i="4"/>
  <c r="L227" i="4" s="1"/>
  <c r="G227" i="4"/>
  <c r="K216" i="4"/>
  <c r="K220" i="4"/>
  <c r="G220" i="4" s="1"/>
  <c r="K125" i="4"/>
  <c r="G125" i="4" s="1"/>
  <c r="K207" i="4"/>
  <c r="K229" i="4"/>
  <c r="K69" i="4"/>
  <c r="K135" i="4"/>
  <c r="G135" i="4" s="1"/>
  <c r="K214" i="4"/>
  <c r="G214" i="4" s="1"/>
  <c r="K239" i="4"/>
  <c r="G239" i="4" s="1"/>
  <c r="G178" i="4"/>
  <c r="K170" i="4"/>
  <c r="G170" i="4" s="1"/>
  <c r="K163" i="4"/>
  <c r="G163" i="4" s="1"/>
  <c r="J202" i="4"/>
  <c r="L202" i="4" s="1"/>
  <c r="K202" i="4" s="1"/>
  <c r="G202" i="4"/>
  <c r="K235" i="4"/>
  <c r="G235" i="4" s="1"/>
  <c r="G241" i="4"/>
  <c r="J218" i="4"/>
  <c r="L218" i="4" s="1"/>
  <c r="K218" i="4" s="1"/>
  <c r="G218" i="4"/>
  <c r="J226" i="4"/>
  <c r="L101" i="4"/>
  <c r="K75" i="4"/>
  <c r="J17" i="2"/>
  <c r="K190" i="4"/>
  <c r="J184" i="4"/>
  <c r="L184" i="4" s="1"/>
  <c r="K184" i="4" s="1"/>
  <c r="G184" i="4"/>
  <c r="K113" i="4"/>
  <c r="G113" i="4" s="1"/>
  <c r="K79" i="4"/>
  <c r="G79" i="4" s="1"/>
  <c r="J71" i="4"/>
  <c r="L71" i="4" s="1"/>
  <c r="K71" i="4" s="1"/>
  <c r="G71" i="4"/>
  <c r="K47" i="4"/>
  <c r="K231" i="4"/>
  <c r="G231" i="4" s="1"/>
  <c r="J44" i="4"/>
  <c r="L44" i="4" s="1"/>
  <c r="K44" i="4" s="1"/>
  <c r="L154" i="4"/>
  <c r="K222" i="4"/>
  <c r="G222" i="4" s="1"/>
  <c r="L36" i="4"/>
  <c r="K188" i="4"/>
  <c r="G188" i="4" s="1"/>
  <c r="J197" i="4"/>
  <c r="L197" i="4" s="1"/>
  <c r="K197" i="4" s="1"/>
  <c r="G197" i="4"/>
  <c r="K37" i="4"/>
  <c r="G37" i="4" s="1"/>
  <c r="Y185" i="3"/>
  <c r="Y172" i="3"/>
  <c r="Y84" i="3"/>
  <c r="Y30" i="3"/>
  <c r="Y151" i="3"/>
  <c r="Y80" i="3"/>
  <c r="Y57" i="3"/>
  <c r="Y144" i="3"/>
  <c r="Y130" i="3"/>
  <c r="Y85" i="3"/>
  <c r="Y158" i="3"/>
  <c r="Y189" i="3"/>
  <c r="Y44" i="3"/>
  <c r="Y155" i="3"/>
  <c r="Y70" i="3"/>
  <c r="Y121" i="3"/>
  <c r="Y178" i="3"/>
  <c r="Y115" i="3"/>
  <c r="Y23" i="3"/>
  <c r="Y190" i="3"/>
  <c r="Y16" i="3"/>
  <c r="Y125" i="3"/>
  <c r="Y20" i="3"/>
  <c r="BW23" i="15"/>
  <c r="BA25" i="3" s="1"/>
  <c r="BW73" i="15"/>
  <c r="BA75" i="3" s="1"/>
  <c r="BW10" i="15"/>
  <c r="BA12" i="3" s="1"/>
  <c r="BW154" i="15"/>
  <c r="BA156" i="3" s="1"/>
  <c r="BW82" i="15"/>
  <c r="BA84" i="3" s="1"/>
  <c r="BW24" i="15"/>
  <c r="BA26" i="3" s="1"/>
  <c r="BW171" i="15"/>
  <c r="BA173" i="3" s="1"/>
  <c r="BW112" i="15"/>
  <c r="BA114" i="3" s="1"/>
  <c r="BW105" i="15"/>
  <c r="BA107" i="3" s="1"/>
  <c r="BW172" i="15"/>
  <c r="BA174" i="3" s="1"/>
  <c r="BW37" i="15"/>
  <c r="BA39" i="3" s="1"/>
  <c r="AP118" i="15"/>
  <c r="W120" i="3" s="1"/>
  <c r="AP131" i="15"/>
  <c r="W133" i="3" s="1"/>
  <c r="AP101" i="15"/>
  <c r="W103" i="3" s="1"/>
  <c r="BW38" i="15"/>
  <c r="BA40" i="3" s="1"/>
  <c r="BW57" i="15"/>
  <c r="BA59" i="3" s="1"/>
  <c r="AP38" i="15"/>
  <c r="W40" i="3" s="1"/>
  <c r="AP177" i="15"/>
  <c r="W179" i="3" s="1"/>
  <c r="AP117" i="15"/>
  <c r="W119" i="3" s="1"/>
  <c r="BW94" i="15"/>
  <c r="BA96" i="3" s="1"/>
  <c r="BW52" i="15"/>
  <c r="BA54" i="3" s="1"/>
  <c r="BW70" i="15"/>
  <c r="BA72" i="3" s="1"/>
  <c r="BW95" i="15"/>
  <c r="BA97" i="3" s="1"/>
  <c r="BW60" i="15"/>
  <c r="BA62" i="3" s="1"/>
  <c r="BW121" i="15"/>
  <c r="BA123" i="3" s="1"/>
  <c r="BW102" i="15"/>
  <c r="BA104" i="3" s="1"/>
  <c r="BW137" i="15"/>
  <c r="BA139" i="3" s="1"/>
  <c r="BW36" i="15"/>
  <c r="BA38" i="3" s="1"/>
  <c r="BW12" i="15"/>
  <c r="BA14" i="3" s="1"/>
  <c r="AP113" i="15"/>
  <c r="W115" i="3" s="1"/>
  <c r="AP108" i="15"/>
  <c r="W110" i="3" s="1"/>
  <c r="AP23" i="15"/>
  <c r="W25" i="3" s="1"/>
  <c r="AP26" i="15"/>
  <c r="W28" i="3" s="1"/>
  <c r="BW51" i="15"/>
  <c r="BA53" i="3" s="1"/>
  <c r="BW139" i="15"/>
  <c r="BA141" i="3" s="1"/>
  <c r="BW122" i="15"/>
  <c r="BA124" i="3" s="1"/>
  <c r="BW67" i="15"/>
  <c r="BA69" i="3" s="1"/>
  <c r="BW64" i="15"/>
  <c r="BA66" i="3" s="1"/>
  <c r="BW59" i="15"/>
  <c r="BA61" i="3" s="1"/>
  <c r="BW119" i="15"/>
  <c r="BA121" i="3" s="1"/>
  <c r="BW177" i="15"/>
  <c r="BA179" i="3" s="1"/>
  <c r="BW108" i="15"/>
  <c r="BA110" i="3" s="1"/>
  <c r="BW128" i="15"/>
  <c r="BA130" i="3" s="1"/>
  <c r="BW200" i="15"/>
  <c r="BA202" i="3" s="1"/>
  <c r="BW131" i="15"/>
  <c r="BA133" i="3" s="1"/>
  <c r="BW162" i="15"/>
  <c r="BA164" i="3" s="1"/>
  <c r="BW115" i="15"/>
  <c r="BA117" i="3" s="1"/>
  <c r="AP183" i="15"/>
  <c r="W185" i="3" s="1"/>
  <c r="AP150" i="15"/>
  <c r="W152" i="3" s="1"/>
  <c r="AP191" i="15"/>
  <c r="W193" i="3" s="1"/>
  <c r="BW156" i="15"/>
  <c r="BA158" i="3" s="1"/>
  <c r="AP152" i="15"/>
  <c r="W154" i="3" s="1"/>
  <c r="BW15" i="15"/>
  <c r="BW194" i="15"/>
  <c r="BA196" i="3" s="1"/>
  <c r="BW175" i="15"/>
  <c r="BA177" i="3" s="1"/>
  <c r="BW9" i="15"/>
  <c r="BA11" i="3" s="1"/>
  <c r="BW14" i="15"/>
  <c r="BA16" i="3" s="1"/>
  <c r="BW90" i="15"/>
  <c r="BA92" i="3" s="1"/>
  <c r="BW114" i="15"/>
  <c r="BA116" i="3" s="1"/>
  <c r="BW80" i="15"/>
  <c r="BA82" i="3" s="1"/>
  <c r="AP205" i="15"/>
  <c r="W207" i="3" s="1"/>
  <c r="AP123" i="15"/>
  <c r="W125" i="3" s="1"/>
  <c r="AP44" i="15"/>
  <c r="W46" i="3" s="1"/>
  <c r="H38" i="2"/>
  <c r="AP114" i="15"/>
  <c r="W116" i="3" s="1"/>
  <c r="AP124" i="15"/>
  <c r="W126" i="3" s="1"/>
  <c r="AP133" i="15"/>
  <c r="W135" i="3" s="1"/>
  <c r="AP17" i="15"/>
  <c r="W19" i="3" s="1"/>
  <c r="AP12" i="15"/>
  <c r="W14" i="3" s="1"/>
  <c r="AP130" i="15"/>
  <c r="W132" i="3" s="1"/>
  <c r="AP121" i="15"/>
  <c r="W123" i="3" s="1"/>
  <c r="AP49" i="15"/>
  <c r="W51" i="3" s="1"/>
  <c r="AP10" i="15"/>
  <c r="W12" i="3" s="1"/>
  <c r="AP74" i="15"/>
  <c r="W76" i="3" s="1"/>
  <c r="AP184" i="15"/>
  <c r="W186" i="3" s="1"/>
  <c r="AP142" i="15"/>
  <c r="W144" i="3" s="1"/>
  <c r="AP189" i="15"/>
  <c r="W191" i="3" s="1"/>
  <c r="AP199" i="15"/>
  <c r="W201" i="3" s="1"/>
  <c r="AP90" i="15"/>
  <c r="W92" i="3" s="1"/>
  <c r="AP155" i="15"/>
  <c r="W157" i="3" s="1"/>
  <c r="AP87" i="15"/>
  <c r="W89" i="3" s="1"/>
  <c r="AP75" i="15"/>
  <c r="W77" i="3" s="1"/>
  <c r="AP37" i="15"/>
  <c r="W39" i="3" s="1"/>
  <c r="AP145" i="15"/>
  <c r="W147" i="3" s="1"/>
  <c r="AP99" i="15"/>
  <c r="W101" i="3" s="1"/>
  <c r="AP110" i="15"/>
  <c r="W112" i="3" s="1"/>
  <c r="AP6" i="15"/>
  <c r="W8" i="3" s="1"/>
  <c r="AP72" i="15"/>
  <c r="W74" i="3" s="1"/>
  <c r="AP125" i="15"/>
  <c r="W127" i="3" s="1"/>
  <c r="AP106" i="15"/>
  <c r="W108" i="3" s="1"/>
  <c r="AP95" i="15"/>
  <c r="W97" i="3" s="1"/>
  <c r="AP109" i="15"/>
  <c r="W111" i="3" s="1"/>
  <c r="AP69" i="15"/>
  <c r="W71" i="3" s="1"/>
  <c r="AP65" i="15"/>
  <c r="W67" i="3" s="1"/>
  <c r="AP162" i="15"/>
  <c r="W164" i="3" s="1"/>
  <c r="AP120" i="15"/>
  <c r="W122" i="3" s="1"/>
  <c r="AP42" i="15"/>
  <c r="W44" i="3" s="1"/>
  <c r="AP97" i="15"/>
  <c r="W99" i="3" s="1"/>
  <c r="AP160" i="15"/>
  <c r="W162" i="3" s="1"/>
  <c r="AP15" i="15"/>
  <c r="W17" i="3" s="1"/>
  <c r="AP71" i="15"/>
  <c r="W73" i="3" s="1"/>
  <c r="AP19" i="15"/>
  <c r="W21" i="3" s="1"/>
  <c r="AP167" i="15"/>
  <c r="W169" i="3" s="1"/>
  <c r="AP171" i="15"/>
  <c r="W173" i="3" s="1"/>
  <c r="AP116" i="15"/>
  <c r="W118" i="3" s="1"/>
  <c r="AP146" i="15"/>
  <c r="W148" i="3" s="1"/>
  <c r="AP20" i="15"/>
  <c r="W22" i="3" s="1"/>
  <c r="AP201" i="15"/>
  <c r="W203" i="3" s="1"/>
  <c r="AP202" i="15"/>
  <c r="W204" i="3" s="1"/>
  <c r="AP193" i="15"/>
  <c r="W195" i="3" s="1"/>
  <c r="AP16" i="15"/>
  <c r="W18" i="3" s="1"/>
  <c r="AP119" i="15"/>
  <c r="W121" i="3" s="1"/>
  <c r="AP58" i="15"/>
  <c r="W60" i="3" s="1"/>
  <c r="AP68" i="15"/>
  <c r="W70" i="3" s="1"/>
  <c r="AP28" i="15"/>
  <c r="W30" i="3" s="1"/>
  <c r="AP154" i="15"/>
  <c r="W156" i="3" s="1"/>
  <c r="AP93" i="15"/>
  <c r="W95" i="3" s="1"/>
  <c r="AP9" i="15"/>
  <c r="W11" i="3" s="1"/>
  <c r="AP100" i="15"/>
  <c r="W102" i="3" s="1"/>
  <c r="AP35" i="15"/>
  <c r="W37" i="3" s="1"/>
  <c r="AP147" i="15"/>
  <c r="W149" i="3" s="1"/>
  <c r="AP83" i="15"/>
  <c r="W85" i="3" s="1"/>
  <c r="AP195" i="15"/>
  <c r="W197" i="3" s="1"/>
  <c r="AP163" i="15"/>
  <c r="W165" i="3" s="1"/>
  <c r="AP79" i="15"/>
  <c r="W81" i="3" s="1"/>
  <c r="AP66" i="15"/>
  <c r="W68" i="3" s="1"/>
  <c r="AP198" i="15"/>
  <c r="W200" i="3" s="1"/>
  <c r="AP165" i="15"/>
  <c r="W167" i="3" s="1"/>
  <c r="AP135" i="15"/>
  <c r="W137" i="3" s="1"/>
  <c r="AP22" i="15"/>
  <c r="W24" i="3" s="1"/>
  <c r="AP169" i="15"/>
  <c r="W171" i="3" s="1"/>
  <c r="AP185" i="15"/>
  <c r="W187" i="3" s="1"/>
  <c r="AP40" i="15"/>
  <c r="W42" i="3" s="1"/>
  <c r="AP84" i="15"/>
  <c r="W86" i="3" s="1"/>
  <c r="AP187" i="15"/>
  <c r="W189" i="3" s="1"/>
  <c r="AP194" i="15"/>
  <c r="W196" i="3" s="1"/>
  <c r="AP48" i="15"/>
  <c r="W50" i="3" s="1"/>
  <c r="AP115" i="15"/>
  <c r="W117" i="3" s="1"/>
  <c r="AP54" i="15"/>
  <c r="W56" i="3" s="1"/>
  <c r="AP105" i="15"/>
  <c r="W107" i="3" s="1"/>
  <c r="AP55" i="15"/>
  <c r="W57" i="3" s="1"/>
  <c r="AP73" i="15"/>
  <c r="W75" i="3" s="1"/>
  <c r="AP51" i="15"/>
  <c r="W53" i="3" s="1"/>
  <c r="AP107" i="15"/>
  <c r="W109" i="3" s="1"/>
  <c r="AP180" i="15"/>
  <c r="W182" i="3" s="1"/>
  <c r="AP103" i="15"/>
  <c r="W105" i="3" s="1"/>
  <c r="AP176" i="15"/>
  <c r="W178" i="3" s="1"/>
  <c r="AP81" i="15"/>
  <c r="W83" i="3" s="1"/>
  <c r="AP60" i="15"/>
  <c r="W62" i="3" s="1"/>
  <c r="AP137" i="15"/>
  <c r="W139" i="3" s="1"/>
  <c r="AP168" i="15"/>
  <c r="W170" i="3" s="1"/>
  <c r="AP172" i="15"/>
  <c r="W174" i="3" s="1"/>
  <c r="AP173" i="15"/>
  <c r="W175" i="3" s="1"/>
  <c r="AP96" i="15"/>
  <c r="W98" i="3" s="1"/>
  <c r="AP77" i="15"/>
  <c r="W79" i="3" s="1"/>
  <c r="AP104" i="15"/>
  <c r="W106" i="3" s="1"/>
  <c r="AP196" i="15"/>
  <c r="W198" i="3" s="1"/>
  <c r="AP29" i="15"/>
  <c r="W31" i="3" s="1"/>
  <c r="AP181" i="15"/>
  <c r="W183" i="3" s="1"/>
  <c r="AP197" i="15"/>
  <c r="W199" i="3" s="1"/>
  <c r="AP11" i="15"/>
  <c r="W13" i="3" s="1"/>
  <c r="AP153" i="15"/>
  <c r="W155" i="3" s="1"/>
  <c r="AP43" i="15"/>
  <c r="W45" i="3" s="1"/>
  <c r="AP143" i="15"/>
  <c r="W145" i="3" s="1"/>
  <c r="AP158" i="15"/>
  <c r="W160" i="3" s="1"/>
  <c r="AP56" i="15"/>
  <c r="W58" i="3" s="1"/>
  <c r="AP98" i="15"/>
  <c r="W100" i="3" s="1"/>
  <c r="AP80" i="15"/>
  <c r="W82" i="3" s="1"/>
  <c r="AP52" i="15"/>
  <c r="W54" i="3" s="1"/>
  <c r="AP62" i="15"/>
  <c r="W64" i="3" s="1"/>
  <c r="AP30" i="15"/>
  <c r="W32" i="3" s="1"/>
  <c r="AP21" i="15"/>
  <c r="W23" i="3" s="1"/>
  <c r="AP67" i="15"/>
  <c r="W69" i="3" s="1"/>
  <c r="AP27" i="15"/>
  <c r="W29" i="3" s="1"/>
  <c r="AP136" i="15"/>
  <c r="W138" i="3" s="1"/>
  <c r="AP86" i="15"/>
  <c r="W88" i="3" s="1"/>
  <c r="AP76" i="15"/>
  <c r="W78" i="3" s="1"/>
  <c r="AP159" i="15"/>
  <c r="W161" i="3" s="1"/>
  <c r="AP174" i="15"/>
  <c r="W176" i="3" s="1"/>
  <c r="AP92" i="15"/>
  <c r="W94" i="3" s="1"/>
  <c r="AP179" i="15"/>
  <c r="W181" i="3" s="1"/>
  <c r="AP13" i="15"/>
  <c r="W15" i="3" s="1"/>
  <c r="AP34" i="15"/>
  <c r="W36" i="3" s="1"/>
  <c r="AP151" i="15"/>
  <c r="W153" i="3" s="1"/>
  <c r="AP47" i="15"/>
  <c r="W49" i="3" s="1"/>
  <c r="AP112" i="15"/>
  <c r="W114" i="3" s="1"/>
  <c r="AP132" i="15"/>
  <c r="W134" i="3" s="1"/>
  <c r="AP70" i="15"/>
  <c r="W72" i="3" s="1"/>
  <c r="AP7" i="15"/>
  <c r="W9" i="3" s="1"/>
  <c r="AP61" i="15"/>
  <c r="W63" i="3" s="1"/>
  <c r="AP140" i="15"/>
  <c r="W142" i="3" s="1"/>
  <c r="AP53" i="15"/>
  <c r="W55" i="3" s="1"/>
  <c r="AP59" i="15"/>
  <c r="W61" i="3" s="1"/>
  <c r="AP204" i="15"/>
  <c r="W206" i="3" s="1"/>
  <c r="AP200" i="15"/>
  <c r="W202" i="3" s="1"/>
  <c r="AP31" i="15"/>
  <c r="W33" i="3" s="1"/>
  <c r="AP46" i="15"/>
  <c r="W48" i="3" s="1"/>
  <c r="AP149" i="15"/>
  <c r="W151" i="3" s="1"/>
  <c r="AP111" i="15"/>
  <c r="W113" i="3" s="1"/>
  <c r="AP128" i="15"/>
  <c r="W130" i="3" s="1"/>
  <c r="AP122" i="15"/>
  <c r="W124" i="3" s="1"/>
  <c r="AP134" i="15"/>
  <c r="W136" i="3" s="1"/>
  <c r="AP33" i="15"/>
  <c r="W35" i="3" s="1"/>
  <c r="AP39" i="15"/>
  <c r="W41" i="3" s="1"/>
  <c r="AP32" i="15"/>
  <c r="W34" i="3" s="1"/>
  <c r="AP175" i="15"/>
  <c r="W177" i="3" s="1"/>
  <c r="AP88" i="15"/>
  <c r="W90" i="3" s="1"/>
  <c r="AP126" i="15"/>
  <c r="W128" i="3" s="1"/>
  <c r="AP129" i="15"/>
  <c r="W131" i="3" s="1"/>
  <c r="AP164" i="15"/>
  <c r="W166" i="3" s="1"/>
  <c r="AP190" i="15"/>
  <c r="W192" i="3" s="1"/>
  <c r="AP94" i="15"/>
  <c r="W96" i="3" s="1"/>
  <c r="AP156" i="15"/>
  <c r="W158" i="3" s="1"/>
  <c r="AP91" i="15"/>
  <c r="W93" i="3" s="1"/>
  <c r="AP102" i="15"/>
  <c r="W104" i="3" s="1"/>
  <c r="AP138" i="15"/>
  <c r="W140" i="3" s="1"/>
  <c r="AP45" i="15"/>
  <c r="W47" i="3" s="1"/>
  <c r="AP166" i="15"/>
  <c r="W168" i="3" s="1"/>
  <c r="AP14" i="15"/>
  <c r="W16" i="3" s="1"/>
  <c r="AP8" i="15"/>
  <c r="W10" i="3" s="1"/>
  <c r="AP186" i="15"/>
  <c r="W188" i="3" s="1"/>
  <c r="AP78" i="15"/>
  <c r="W80" i="3" s="1"/>
  <c r="AP85" i="15"/>
  <c r="W87" i="3" s="1"/>
  <c r="AP127" i="15"/>
  <c r="W129" i="3" s="1"/>
  <c r="AP161" i="15"/>
  <c r="W163" i="3" s="1"/>
  <c r="AP203" i="15"/>
  <c r="W205" i="3" s="1"/>
  <c r="AP188" i="15"/>
  <c r="W190" i="3" s="1"/>
  <c r="AP64" i="15"/>
  <c r="W66" i="3" s="1"/>
  <c r="AP170" i="15"/>
  <c r="W172" i="3" s="1"/>
  <c r="AP144" i="15"/>
  <c r="W146" i="3" s="1"/>
  <c r="AP82" i="15"/>
  <c r="W84" i="3" s="1"/>
  <c r="AP148" i="15"/>
  <c r="W150" i="3" s="1"/>
  <c r="AP63" i="15"/>
  <c r="W65" i="3" s="1"/>
  <c r="AP141" i="15"/>
  <c r="W143" i="3" s="1"/>
  <c r="AP41" i="15"/>
  <c r="W43" i="3" s="1"/>
  <c r="B39" i="3"/>
  <c r="AH39" i="3" s="1"/>
  <c r="W199" i="15"/>
  <c r="B16" i="3"/>
  <c r="BB14" i="15"/>
  <c r="CH204" i="15"/>
  <c r="CH93" i="15"/>
  <c r="BD50" i="15"/>
  <c r="P137" i="15"/>
  <c r="L77" i="3"/>
  <c r="L73" i="3"/>
  <c r="L113" i="3"/>
  <c r="L55" i="3"/>
  <c r="L128" i="3"/>
  <c r="L35" i="3"/>
  <c r="L20" i="3"/>
  <c r="L131" i="3"/>
  <c r="W50" i="15"/>
  <c r="BB50" i="15"/>
  <c r="X71" i="15"/>
  <c r="B52" i="3"/>
  <c r="AH52" i="3" s="1"/>
  <c r="X111" i="15"/>
  <c r="AI110" i="3"/>
  <c r="BX126" i="15"/>
  <c r="BB128" i="3" s="1"/>
  <c r="BX18" i="15"/>
  <c r="BB20" i="3" s="1"/>
  <c r="BL127" i="15"/>
  <c r="AP129" i="3" s="1"/>
  <c r="BL6" i="15"/>
  <c r="AP8" i="3" s="1"/>
  <c r="BL71" i="15"/>
  <c r="AP73" i="3" s="1"/>
  <c r="BL42" i="15"/>
  <c r="AP44" i="3" s="1"/>
  <c r="BL30" i="15"/>
  <c r="AP32" i="3" s="1"/>
  <c r="BL143" i="15"/>
  <c r="AP145" i="3" s="1"/>
  <c r="BL153" i="15"/>
  <c r="AP155" i="3" s="1"/>
  <c r="BL138" i="15"/>
  <c r="AP140" i="3" s="1"/>
  <c r="BL56" i="15"/>
  <c r="AP58" i="3" s="1"/>
  <c r="BL29" i="15"/>
  <c r="AP31" i="3" s="1"/>
  <c r="BL79" i="15"/>
  <c r="AP81" i="3" s="1"/>
  <c r="BL72" i="15"/>
  <c r="AP74" i="3" s="1"/>
  <c r="BL175" i="15"/>
  <c r="AP177" i="3" s="1"/>
  <c r="BL193" i="15"/>
  <c r="AP195" i="3" s="1"/>
  <c r="BL162" i="15"/>
  <c r="AP164" i="3" s="1"/>
  <c r="BL115" i="15"/>
  <c r="AP117" i="3" s="1"/>
  <c r="BL32" i="15"/>
  <c r="AP34" i="3" s="1"/>
  <c r="BL55" i="15"/>
  <c r="AP57" i="3" s="1"/>
  <c r="BL168" i="15"/>
  <c r="AP170" i="3" s="1"/>
  <c r="BL179" i="15"/>
  <c r="AP181" i="3" s="1"/>
  <c r="BL61" i="15"/>
  <c r="AP63" i="3" s="1"/>
  <c r="BL33" i="15"/>
  <c r="AP35" i="3" s="1"/>
  <c r="BL31" i="15"/>
  <c r="AP33" i="3" s="1"/>
  <c r="BL53" i="15"/>
  <c r="AP55" i="3" s="1"/>
  <c r="BL185" i="15"/>
  <c r="AP187" i="3" s="1"/>
  <c r="BL109" i="15"/>
  <c r="AP111" i="3" s="1"/>
  <c r="BL102" i="15"/>
  <c r="AP104" i="3" s="1"/>
  <c r="BL45" i="15"/>
  <c r="AP47" i="3" s="1"/>
  <c r="BL22" i="15"/>
  <c r="AP24" i="3" s="1"/>
  <c r="BL14" i="15"/>
  <c r="AP16" i="3" s="1"/>
  <c r="BL36" i="15"/>
  <c r="AP38" i="3" s="1"/>
  <c r="BL82" i="15"/>
  <c r="AP84" i="3" s="1"/>
  <c r="BL27" i="15"/>
  <c r="AP29" i="3" s="1"/>
  <c r="BL111" i="15"/>
  <c r="AP113" i="3" s="1"/>
  <c r="BL173" i="15"/>
  <c r="AP175" i="3" s="1"/>
  <c r="BL99" i="15"/>
  <c r="AP101" i="3" s="1"/>
  <c r="BL186" i="15"/>
  <c r="AP188" i="3" s="1"/>
  <c r="BL191" i="15"/>
  <c r="AP193" i="3" s="1"/>
  <c r="BL157" i="15"/>
  <c r="AP159" i="3" s="1"/>
  <c r="BL23" i="15"/>
  <c r="AP25" i="3" s="1"/>
  <c r="BL26" i="15"/>
  <c r="AP28" i="3" s="1"/>
  <c r="BL18" i="15"/>
  <c r="AP20" i="3" s="1"/>
  <c r="BL114" i="15"/>
  <c r="AP116" i="3" s="1"/>
  <c r="BL132" i="15"/>
  <c r="AP134" i="3" s="1"/>
  <c r="BL158" i="15"/>
  <c r="AP160" i="3" s="1"/>
  <c r="BL86" i="15"/>
  <c r="AP88" i="3" s="1"/>
  <c r="BL97" i="15"/>
  <c r="AP99" i="3" s="1"/>
  <c r="BL35" i="15"/>
  <c r="AP37" i="3" s="1"/>
  <c r="BL146" i="15"/>
  <c r="AP148" i="3" s="1"/>
  <c r="BL171" i="15"/>
  <c r="AP173" i="3" s="1"/>
  <c r="BL85" i="15"/>
  <c r="AP87" i="3" s="1"/>
  <c r="BL93" i="15"/>
  <c r="AP95" i="3" s="1"/>
  <c r="BL46" i="15"/>
  <c r="AP48" i="3" s="1"/>
  <c r="BL124" i="15"/>
  <c r="AP126" i="3" s="1"/>
  <c r="BL43" i="15"/>
  <c r="AP45" i="3" s="1"/>
  <c r="BL95" i="15"/>
  <c r="AP97" i="3" s="1"/>
  <c r="BL21" i="15"/>
  <c r="AP23" i="3" s="1"/>
  <c r="BL73" i="15"/>
  <c r="AP75" i="3" s="1"/>
  <c r="BL92" i="15"/>
  <c r="AP94" i="3" s="1"/>
  <c r="BL90" i="15"/>
  <c r="AP92" i="3" s="1"/>
  <c r="BL164" i="15"/>
  <c r="AP166" i="3" s="1"/>
  <c r="BL103" i="15"/>
  <c r="AP105" i="3" s="1"/>
  <c r="BL123" i="15"/>
  <c r="AP125" i="3" s="1"/>
  <c r="BL126" i="15"/>
  <c r="AP128" i="3" s="1"/>
  <c r="BL166" i="15"/>
  <c r="AP168" i="3" s="1"/>
  <c r="BL121" i="15"/>
  <c r="AP123" i="3" s="1"/>
  <c r="BL70" i="15"/>
  <c r="AP72" i="3" s="1"/>
  <c r="BL119" i="15"/>
  <c r="AP121" i="3" s="1"/>
  <c r="BL184" i="15"/>
  <c r="AP186" i="3" s="1"/>
  <c r="BL195" i="15"/>
  <c r="AP197" i="3" s="1"/>
  <c r="BL34" i="15"/>
  <c r="AP36" i="3" s="1"/>
  <c r="BL13" i="15"/>
  <c r="AP15" i="3" s="1"/>
  <c r="BL178" i="15"/>
  <c r="AP180" i="3" s="1"/>
  <c r="BL54" i="15"/>
  <c r="AP56" i="3" s="1"/>
  <c r="BL10" i="15"/>
  <c r="AP12" i="3" s="1"/>
  <c r="BL104" i="15"/>
  <c r="AP106" i="3" s="1"/>
  <c r="BL205" i="15"/>
  <c r="AP207" i="3" s="1"/>
  <c r="BL50" i="15"/>
  <c r="AP52" i="3" s="1"/>
  <c r="BL68" i="15"/>
  <c r="AP70" i="3" s="1"/>
  <c r="BL161" i="15"/>
  <c r="AP163" i="3" s="1"/>
  <c r="BL91" i="15"/>
  <c r="AP93" i="3" s="1"/>
  <c r="BL134" i="15"/>
  <c r="AP136" i="3" s="1"/>
  <c r="BL199" i="15"/>
  <c r="AP201" i="3" s="1"/>
  <c r="BL118" i="15"/>
  <c r="AP120" i="3" s="1"/>
  <c r="BL67" i="15"/>
  <c r="AP69" i="3" s="1"/>
  <c r="BL150" i="15"/>
  <c r="AP152" i="3" s="1"/>
  <c r="BL155" i="15"/>
  <c r="AP157" i="3" s="1"/>
  <c r="BL48" i="15"/>
  <c r="AP50" i="3" s="1"/>
  <c r="BL196" i="15"/>
  <c r="AP198" i="3" s="1"/>
  <c r="BL172" i="15"/>
  <c r="AP174" i="3" s="1"/>
  <c r="BL83" i="15"/>
  <c r="AP85" i="3" s="1"/>
  <c r="BL129" i="15"/>
  <c r="AP131" i="3" s="1"/>
  <c r="BL62" i="15"/>
  <c r="AP64" i="3" s="1"/>
  <c r="BL167" i="15"/>
  <c r="AP169" i="3" s="1"/>
  <c r="BL139" i="15"/>
  <c r="AP141" i="3" s="1"/>
  <c r="BL122" i="15"/>
  <c r="AP124" i="3" s="1"/>
  <c r="BL203" i="15"/>
  <c r="AP205" i="3" s="1"/>
  <c r="BL154" i="15"/>
  <c r="AP156" i="3" s="1"/>
  <c r="BL120" i="15"/>
  <c r="AP122" i="3" s="1"/>
  <c r="BL187" i="15"/>
  <c r="AP189" i="3" s="1"/>
  <c r="BL194" i="15"/>
  <c r="AP196" i="3" s="1"/>
  <c r="BL198" i="15"/>
  <c r="AP200" i="3" s="1"/>
  <c r="BL38" i="15"/>
  <c r="AP40" i="3" s="1"/>
  <c r="BL128" i="15"/>
  <c r="AP130" i="3" s="1"/>
  <c r="BL88" i="15"/>
  <c r="AP90" i="3" s="1"/>
  <c r="BL41" i="15"/>
  <c r="AP43" i="3" s="1"/>
  <c r="BL37" i="15"/>
  <c r="AP39" i="3" s="1"/>
  <c r="BL147" i="15"/>
  <c r="AP149" i="3" s="1"/>
  <c r="BL180" i="15"/>
  <c r="AP182" i="3" s="1"/>
  <c r="BL135" i="15"/>
  <c r="AP137" i="3" s="1"/>
  <c r="BL151" i="15"/>
  <c r="AP153" i="3" s="1"/>
  <c r="BL137" i="15"/>
  <c r="AP139" i="3" s="1"/>
  <c r="BL75" i="15"/>
  <c r="AP77" i="3" s="1"/>
  <c r="BL142" i="15"/>
  <c r="AP144" i="3" s="1"/>
  <c r="BL204" i="15"/>
  <c r="AP206" i="3" s="1"/>
  <c r="L82" i="3"/>
  <c r="L156" i="3"/>
  <c r="L37" i="3"/>
  <c r="L68" i="3"/>
  <c r="L9" i="3"/>
  <c r="L13" i="3"/>
  <c r="L25" i="3"/>
  <c r="L33" i="3"/>
  <c r="L111" i="3"/>
  <c r="L205" i="3"/>
  <c r="L129" i="3"/>
  <c r="L175" i="3"/>
  <c r="L110" i="3"/>
  <c r="L14" i="3"/>
  <c r="L53" i="3"/>
  <c r="L164" i="3"/>
  <c r="L99" i="3"/>
  <c r="L169" i="3"/>
  <c r="L192" i="3"/>
  <c r="L122" i="3"/>
  <c r="L34" i="3"/>
  <c r="L27" i="3"/>
  <c r="L170" i="3"/>
  <c r="L125" i="3"/>
  <c r="L88" i="3"/>
  <c r="L180" i="3"/>
  <c r="L130" i="3"/>
  <c r="L106" i="3"/>
  <c r="L54" i="3"/>
  <c r="L62" i="3"/>
  <c r="L46" i="3"/>
  <c r="L173" i="3"/>
  <c r="L196" i="3"/>
  <c r="L124" i="3"/>
  <c r="L57" i="3"/>
  <c r="L182" i="3"/>
  <c r="L15" i="3"/>
  <c r="L17" i="3"/>
  <c r="L101" i="3"/>
  <c r="L96" i="3"/>
  <c r="L158" i="3"/>
  <c r="L202" i="3"/>
  <c r="L23" i="3"/>
  <c r="L40" i="3"/>
  <c r="L183" i="3"/>
  <c r="L65" i="3"/>
  <c r="L19" i="3"/>
  <c r="L108" i="3"/>
  <c r="L161" i="3"/>
  <c r="L119" i="3"/>
  <c r="L43" i="3"/>
  <c r="L144" i="3"/>
  <c r="L8" i="3"/>
  <c r="L59" i="3"/>
  <c r="L30" i="3"/>
  <c r="L98" i="3"/>
  <c r="L199" i="3"/>
  <c r="L143" i="3"/>
  <c r="L75" i="3"/>
  <c r="L48" i="3"/>
  <c r="L86" i="3"/>
  <c r="L191" i="3"/>
  <c r="L163" i="3"/>
  <c r="L136" i="3"/>
  <c r="L126" i="3"/>
  <c r="L93" i="3"/>
  <c r="L140" i="3"/>
  <c r="L188" i="3"/>
  <c r="L137" i="3"/>
  <c r="L92" i="3"/>
  <c r="L104" i="3"/>
  <c r="L42" i="3"/>
  <c r="L117" i="3"/>
  <c r="L185" i="3"/>
  <c r="L151" i="3"/>
  <c r="L127" i="3"/>
  <c r="L89" i="3"/>
  <c r="L66" i="3"/>
  <c r="L118" i="3"/>
  <c r="L162" i="3"/>
  <c r="L115" i="3"/>
  <c r="L26" i="3"/>
  <c r="L32" i="3"/>
  <c r="L47" i="3"/>
  <c r="L194" i="3"/>
  <c r="L207" i="3"/>
  <c r="L107" i="3"/>
  <c r="L67" i="3"/>
  <c r="L179" i="3"/>
  <c r="L56" i="3"/>
  <c r="L38" i="3"/>
  <c r="L100" i="3"/>
  <c r="L79" i="3"/>
  <c r="L135" i="3"/>
  <c r="L31" i="3"/>
  <c r="L146" i="3"/>
  <c r="L157" i="3"/>
  <c r="L72" i="3"/>
  <c r="L148" i="3"/>
  <c r="L70" i="3"/>
  <c r="L28" i="3"/>
  <c r="L74" i="3"/>
  <c r="L78" i="3"/>
  <c r="L123" i="3"/>
  <c r="L45" i="3"/>
  <c r="L85" i="3"/>
  <c r="L114" i="3"/>
  <c r="L201" i="3"/>
  <c r="L16" i="3"/>
  <c r="L168" i="3"/>
  <c r="L190" i="3"/>
  <c r="L171" i="3"/>
  <c r="L94" i="3"/>
  <c r="L132" i="3"/>
  <c r="L154" i="3"/>
  <c r="L18" i="3"/>
  <c r="L83" i="3"/>
  <c r="L204" i="3"/>
  <c r="L24" i="3"/>
  <c r="L51" i="3"/>
  <c r="L81" i="3"/>
  <c r="L11" i="3"/>
  <c r="L109" i="3"/>
  <c r="L103" i="3"/>
  <c r="L184" i="3"/>
  <c r="L150" i="3"/>
  <c r="L172" i="3"/>
  <c r="L203" i="3"/>
  <c r="L167" i="3"/>
  <c r="L49" i="3"/>
  <c r="L12" i="3"/>
  <c r="L69" i="3"/>
  <c r="L153" i="3"/>
  <c r="L197" i="3"/>
  <c r="L181" i="3"/>
  <c r="L63" i="3"/>
  <c r="L189" i="3"/>
  <c r="L50" i="3"/>
  <c r="L160" i="3"/>
  <c r="L141" i="3"/>
  <c r="L29" i="3"/>
  <c r="L133" i="3"/>
  <c r="L91" i="3"/>
  <c r="L116" i="3"/>
  <c r="L134" i="3"/>
  <c r="L97" i="3"/>
  <c r="L159" i="3"/>
  <c r="L39" i="3"/>
  <c r="L71" i="3"/>
  <c r="L178" i="3"/>
  <c r="L60" i="3"/>
  <c r="L166" i="3"/>
  <c r="L152" i="3"/>
  <c r="L21" i="3"/>
  <c r="L176" i="3"/>
  <c r="L138" i="3"/>
  <c r="L44" i="3"/>
  <c r="L121" i="3"/>
  <c r="L120" i="3"/>
  <c r="L87" i="3"/>
  <c r="L80" i="3"/>
  <c r="L142" i="3"/>
  <c r="L105" i="3"/>
  <c r="L41" i="3"/>
  <c r="L187" i="3"/>
  <c r="L165" i="3"/>
  <c r="L195" i="3"/>
  <c r="L102" i="3"/>
  <c r="L64" i="3"/>
  <c r="L112" i="3"/>
  <c r="L36" i="3"/>
  <c r="L145" i="3"/>
  <c r="L58" i="3"/>
  <c r="L90" i="3"/>
  <c r="L200" i="3"/>
  <c r="L22" i="3"/>
  <c r="L10" i="3"/>
  <c r="L147" i="3"/>
  <c r="L61" i="3"/>
  <c r="L84" i="3"/>
  <c r="L76" i="3"/>
  <c r="L139" i="3"/>
  <c r="L52" i="3"/>
  <c r="L177" i="3"/>
  <c r="L206" i="3"/>
  <c r="L95" i="3"/>
  <c r="CG35" i="15"/>
  <c r="BX7" i="15"/>
  <c r="BB9" i="3" s="1"/>
  <c r="BX11" i="15"/>
  <c r="BD23" i="15"/>
  <c r="CG31" i="15"/>
  <c r="BX203" i="15"/>
  <c r="BB205" i="3" s="1"/>
  <c r="CG127" i="15"/>
  <c r="BB108" i="15"/>
  <c r="BB51" i="15"/>
  <c r="CH162" i="15"/>
  <c r="P97" i="15"/>
  <c r="B169" i="3"/>
  <c r="P190" i="15"/>
  <c r="BX120" i="15"/>
  <c r="BB122" i="3" s="1"/>
  <c r="BX32" i="15"/>
  <c r="BB34" i="3" s="1"/>
  <c r="BK123" i="15"/>
  <c r="AO125" i="3" s="1"/>
  <c r="BB128" i="15"/>
  <c r="BA104" i="15"/>
  <c r="P52" i="15"/>
  <c r="BD44" i="15"/>
  <c r="BB171" i="15"/>
  <c r="BD194" i="15"/>
  <c r="BB122" i="15"/>
  <c r="CH55" i="15"/>
  <c r="BD180" i="15"/>
  <c r="W13" i="15"/>
  <c r="BK99" i="15"/>
  <c r="AO101" i="3" s="1"/>
  <c r="P94" i="15"/>
  <c r="BB156" i="15"/>
  <c r="B202" i="3"/>
  <c r="BL202" i="3" s="1"/>
  <c r="P21" i="15"/>
  <c r="BB38" i="15"/>
  <c r="BW63" i="15"/>
  <c r="BX106" i="15"/>
  <c r="BB108" i="3" s="1"/>
  <c r="X41" i="15"/>
  <c r="BX46" i="15"/>
  <c r="BB48" i="3" s="1"/>
  <c r="BW134" i="15"/>
  <c r="BA136" i="3" s="1"/>
  <c r="CG186" i="15"/>
  <c r="O135" i="15"/>
  <c r="P90" i="15"/>
  <c r="B104" i="3"/>
  <c r="AH104" i="3" s="1"/>
  <c r="W40" i="15"/>
  <c r="W115" i="15"/>
  <c r="B185" i="3"/>
  <c r="BL185" i="3" s="1"/>
  <c r="BK125" i="15"/>
  <c r="AO127" i="3" s="1"/>
  <c r="BW87" i="15"/>
  <c r="BB113" i="15"/>
  <c r="BK30" i="15"/>
  <c r="AO32" i="3" s="1"/>
  <c r="BW192" i="15"/>
  <c r="BA194" i="3" s="1"/>
  <c r="P177" i="15"/>
  <c r="BX98" i="15"/>
  <c r="BB100" i="3" s="1"/>
  <c r="CG29" i="15"/>
  <c r="O155" i="15"/>
  <c r="BE146" i="15"/>
  <c r="BK68" i="15"/>
  <c r="AO70" i="3" s="1"/>
  <c r="BA26" i="15"/>
  <c r="C74" i="3"/>
  <c r="BK74" i="3" s="1"/>
  <c r="P76" i="15"/>
  <c r="BD121" i="15"/>
  <c r="CH43" i="15"/>
  <c r="CH83" i="15"/>
  <c r="CH112" i="15"/>
  <c r="P199" i="15"/>
  <c r="P14" i="15"/>
  <c r="BK130" i="15"/>
  <c r="AO132" i="3" s="1"/>
  <c r="CG202" i="15"/>
  <c r="BK79" i="15"/>
  <c r="AO81" i="3" s="1"/>
  <c r="BE182" i="15"/>
  <c r="BK170" i="15"/>
  <c r="AO172" i="3" s="1"/>
  <c r="O165" i="15"/>
  <c r="BW47" i="15"/>
  <c r="BA49" i="3" s="1"/>
  <c r="BA151" i="15"/>
  <c r="BK61" i="15"/>
  <c r="AO63" i="3" s="1"/>
  <c r="BK187" i="15"/>
  <c r="AO189" i="3" s="1"/>
  <c r="BW48" i="15"/>
  <c r="BA50" i="3" s="1"/>
  <c r="B141" i="3"/>
  <c r="AH141" i="3" s="1"/>
  <c r="W131" i="15"/>
  <c r="P89" i="15"/>
  <c r="BD114" i="15"/>
  <c r="W132" i="15"/>
  <c r="P95" i="15"/>
  <c r="BK69" i="15"/>
  <c r="AO71" i="3" s="1"/>
  <c r="CG176" i="15"/>
  <c r="BB58" i="15"/>
  <c r="BA150" i="15"/>
  <c r="BX140" i="15"/>
  <c r="BB142" i="3" s="1"/>
  <c r="BW39" i="15"/>
  <c r="BA41" i="3" s="1"/>
  <c r="BX185" i="15"/>
  <c r="BB187" i="3" s="1"/>
  <c r="BE163" i="15"/>
  <c r="CG193" i="15"/>
  <c r="O62" i="15"/>
  <c r="O110" i="15"/>
  <c r="BX56" i="15"/>
  <c r="BB58" i="3" s="1"/>
  <c r="BW88" i="15"/>
  <c r="BA90" i="3" s="1"/>
  <c r="BK198" i="15"/>
  <c r="AO200" i="3" s="1"/>
  <c r="B22" i="3"/>
  <c r="BL22" i="3" s="1"/>
  <c r="P8" i="15"/>
  <c r="W145" i="15"/>
  <c r="BB59" i="15"/>
  <c r="B76" i="3"/>
  <c r="BL76" i="3" s="1"/>
  <c r="B139" i="3"/>
  <c r="BL139" i="3" s="1"/>
  <c r="P175" i="15"/>
  <c r="BB204" i="15"/>
  <c r="B95" i="3"/>
  <c r="AH95" i="3" s="1"/>
  <c r="BD102" i="15"/>
  <c r="BB102" i="15"/>
  <c r="P102" i="15"/>
  <c r="BE26" i="15"/>
  <c r="AH198" i="3"/>
  <c r="B8" i="3"/>
  <c r="W6" i="15"/>
  <c r="CH6" i="15"/>
  <c r="BD6" i="15"/>
  <c r="BB6" i="15"/>
  <c r="AH193" i="3"/>
  <c r="W162" i="15"/>
  <c r="BL186" i="3"/>
  <c r="BD205" i="15"/>
  <c r="BK39" i="3"/>
  <c r="BL174" i="3"/>
  <c r="BB194" i="15"/>
  <c r="B124" i="3"/>
  <c r="AH124" i="3" s="1"/>
  <c r="P167" i="15"/>
  <c r="BK23" i="3"/>
  <c r="BK85" i="3"/>
  <c r="B206" i="3"/>
  <c r="AH206" i="3" s="1"/>
  <c r="W79" i="15"/>
  <c r="BE186" i="15"/>
  <c r="BB79" i="15"/>
  <c r="D186" i="3"/>
  <c r="W93" i="15"/>
  <c r="W175" i="15"/>
  <c r="B99" i="3"/>
  <c r="AH99" i="3" s="1"/>
  <c r="CH97" i="15"/>
  <c r="BK184" i="15"/>
  <c r="AO186" i="3" s="1"/>
  <c r="BD204" i="15"/>
  <c r="CH175" i="15"/>
  <c r="BB175" i="15"/>
  <c r="BE127" i="15"/>
  <c r="P171" i="15"/>
  <c r="BD122" i="15"/>
  <c r="W194" i="15"/>
  <c r="B173" i="3"/>
  <c r="AH173" i="3" s="1"/>
  <c r="W122" i="15"/>
  <c r="CH171" i="15"/>
  <c r="CH122" i="15"/>
  <c r="D168" i="3"/>
  <c r="BD93" i="15"/>
  <c r="P122" i="15"/>
  <c r="BK26" i="15"/>
  <c r="AO28" i="3" s="1"/>
  <c r="BA186" i="15"/>
  <c r="BB162" i="15"/>
  <c r="B196" i="3"/>
  <c r="BL196" i="3" s="1"/>
  <c r="P162" i="15"/>
  <c r="W171" i="15"/>
  <c r="B42" i="3"/>
  <c r="BL42" i="3" s="1"/>
  <c r="P194" i="15"/>
  <c r="P43" i="15"/>
  <c r="BB199" i="15"/>
  <c r="CH14" i="15"/>
  <c r="W112" i="15"/>
  <c r="BB83" i="15"/>
  <c r="P139" i="15"/>
  <c r="BD14" i="15"/>
  <c r="AI56" i="3"/>
  <c r="AI206" i="3"/>
  <c r="AI181" i="3"/>
  <c r="D104" i="3"/>
  <c r="BB150" i="15"/>
  <c r="CH205" i="15"/>
  <c r="CH102" i="15"/>
  <c r="B207" i="3"/>
  <c r="AH207" i="3" s="1"/>
  <c r="AI59" i="3"/>
  <c r="BB112" i="15"/>
  <c r="P183" i="15"/>
  <c r="CH21" i="15"/>
  <c r="X31" i="15"/>
  <c r="O79" i="15"/>
  <c r="C137" i="3"/>
  <c r="BK137" i="3" s="1"/>
  <c r="AI22" i="3"/>
  <c r="BX135" i="15"/>
  <c r="BB137" i="3" s="1"/>
  <c r="P83" i="15"/>
  <c r="P200" i="15"/>
  <c r="BE135" i="15"/>
  <c r="BB43" i="15"/>
  <c r="BD83" i="15"/>
  <c r="BK145" i="3"/>
  <c r="E168" i="3"/>
  <c r="Y10" i="3"/>
  <c r="Y99" i="3"/>
  <c r="Y54" i="3"/>
  <c r="Y73" i="3"/>
  <c r="Y194" i="3"/>
  <c r="Y123" i="3"/>
  <c r="Y104" i="3"/>
  <c r="Y47" i="3"/>
  <c r="Y124" i="3"/>
  <c r="Y98" i="3"/>
  <c r="Y149" i="3"/>
  <c r="Y148" i="3"/>
  <c r="Y42" i="3"/>
  <c r="Y78" i="3"/>
  <c r="Y45" i="3"/>
  <c r="Y169" i="3"/>
  <c r="Y19" i="3"/>
  <c r="Y157" i="3"/>
  <c r="Y49" i="3"/>
  <c r="Y207" i="3"/>
  <c r="Y43" i="3"/>
  <c r="Y74" i="3"/>
  <c r="Y142" i="3"/>
  <c r="Y109" i="3"/>
  <c r="Y137" i="3"/>
  <c r="Y204" i="3"/>
  <c r="Y166" i="3"/>
  <c r="Y168" i="3"/>
  <c r="Y111" i="3"/>
  <c r="Y202" i="3"/>
  <c r="Y48" i="3"/>
  <c r="Y162" i="3"/>
  <c r="Y21" i="3"/>
  <c r="Y106" i="3"/>
  <c r="Y133" i="3"/>
  <c r="Y132" i="3"/>
  <c r="Y50" i="3"/>
  <c r="Y62" i="3"/>
  <c r="Y29" i="3"/>
  <c r="Y113" i="3"/>
  <c r="Y131" i="3"/>
  <c r="Y86" i="3"/>
  <c r="Y24" i="3"/>
  <c r="Y138" i="3"/>
  <c r="Y14" i="3"/>
  <c r="Y196" i="3"/>
  <c r="Y18" i="3"/>
  <c r="Y83" i="3"/>
  <c r="Y38" i="3"/>
  <c r="Y17" i="3"/>
  <c r="Y175" i="3"/>
  <c r="Y107" i="3"/>
  <c r="Y112" i="3"/>
  <c r="Y55" i="3"/>
  <c r="Y108" i="3"/>
  <c r="Y56" i="3"/>
  <c r="Y170" i="3"/>
  <c r="Y206" i="3"/>
  <c r="Y114" i="3"/>
  <c r="Y117" i="3"/>
  <c r="Y116" i="3"/>
  <c r="Y177" i="3"/>
  <c r="Y174" i="3"/>
  <c r="Y141" i="3"/>
  <c r="Y88" i="3"/>
  <c r="Y31" i="3"/>
  <c r="Y69" i="3"/>
  <c r="Y68" i="3"/>
  <c r="Y82" i="3"/>
  <c r="Y126" i="3"/>
  <c r="Y93" i="3"/>
  <c r="Y81" i="3"/>
  <c r="Y195" i="3"/>
  <c r="Y150" i="3"/>
  <c r="Y176" i="3"/>
  <c r="Y119" i="3"/>
  <c r="Y193" i="3"/>
  <c r="Y120" i="3"/>
  <c r="Y63" i="3"/>
  <c r="Y92" i="3"/>
  <c r="Y64" i="3"/>
  <c r="Y186" i="3"/>
  <c r="Y201" i="3"/>
  <c r="Y58" i="3"/>
  <c r="Y46" i="3"/>
  <c r="Y13" i="3"/>
  <c r="Y152" i="3"/>
  <c r="Y95" i="3"/>
  <c r="Y156" i="3"/>
  <c r="Y32" i="3"/>
  <c r="Y146" i="3"/>
  <c r="Y181" i="3"/>
  <c r="Y180" i="3"/>
  <c r="Y145" i="3"/>
  <c r="Y67" i="3"/>
  <c r="Y22" i="3"/>
  <c r="Y25" i="3"/>
  <c r="Y183" i="3"/>
  <c r="Y91" i="3"/>
  <c r="Y184" i="3"/>
  <c r="Y127" i="3"/>
  <c r="Y203" i="3"/>
  <c r="Y128" i="3"/>
  <c r="Y71" i="3"/>
  <c r="Y76" i="3"/>
  <c r="Y8" i="3"/>
  <c r="Y122" i="3"/>
  <c r="Y101" i="3"/>
  <c r="Y100" i="3"/>
  <c r="Y198" i="3"/>
  <c r="Y159" i="3"/>
  <c r="Y28" i="3"/>
  <c r="Y96" i="3"/>
  <c r="Y39" i="3"/>
  <c r="Y53" i="3"/>
  <c r="Y52" i="3"/>
  <c r="Y26" i="3"/>
  <c r="Y110" i="3"/>
  <c r="Y77" i="3"/>
  <c r="Y89" i="3"/>
  <c r="Y179" i="3"/>
  <c r="Y134" i="3"/>
  <c r="Y33" i="3"/>
  <c r="Y191" i="3"/>
  <c r="Y75" i="3"/>
  <c r="Y192" i="3"/>
  <c r="Y135" i="3"/>
  <c r="Y187" i="3"/>
  <c r="Y72" i="3"/>
  <c r="Y15" i="3"/>
  <c r="Y188" i="3"/>
  <c r="Y65" i="3"/>
  <c r="Y205" i="3"/>
  <c r="Y139" i="3"/>
  <c r="Y160" i="3"/>
  <c r="Y103" i="3"/>
  <c r="Y140" i="3"/>
  <c r="Y90" i="3"/>
  <c r="Y165" i="3"/>
  <c r="Y164" i="3"/>
  <c r="Y153" i="3"/>
  <c r="Y51" i="3"/>
  <c r="Y197" i="3"/>
  <c r="Y97" i="3"/>
  <c r="Y163" i="3"/>
  <c r="Y118" i="3"/>
  <c r="Y41" i="3"/>
  <c r="Y199" i="3"/>
  <c r="Y59" i="3"/>
  <c r="Y136" i="3"/>
  <c r="Y79" i="3"/>
  <c r="Y60" i="3"/>
  <c r="Y129" i="3"/>
  <c r="Y182" i="3"/>
  <c r="Y11" i="3"/>
  <c r="Y9" i="3"/>
  <c r="Y167" i="3"/>
  <c r="Y12" i="3"/>
  <c r="Y40" i="3"/>
  <c r="Y154" i="3"/>
  <c r="Y37" i="3"/>
  <c r="Y36" i="3"/>
  <c r="Y34" i="3"/>
  <c r="Y94" i="3"/>
  <c r="Y61" i="3"/>
  <c r="Y161" i="3"/>
  <c r="Y35" i="3"/>
  <c r="Y173" i="3"/>
  <c r="Y105" i="3"/>
  <c r="Y147" i="3"/>
  <c r="Y102" i="3"/>
  <c r="Y200" i="3"/>
  <c r="Y143" i="3"/>
  <c r="Y171" i="3"/>
  <c r="BK146" i="15"/>
  <c r="AO148" i="3" s="1"/>
  <c r="BK139" i="3"/>
  <c r="BD38" i="15"/>
  <c r="BL97" i="3"/>
  <c r="BD139" i="15"/>
  <c r="CH180" i="15"/>
  <c r="BD40" i="15"/>
  <c r="AI121" i="3"/>
  <c r="CH38" i="15"/>
  <c r="BB13" i="15"/>
  <c r="P13" i="15"/>
  <c r="B182" i="3"/>
  <c r="BL182" i="3" s="1"/>
  <c r="P180" i="15"/>
  <c r="BB21" i="15"/>
  <c r="W180" i="15"/>
  <c r="BX187" i="15"/>
  <c r="BW31" i="15"/>
  <c r="BK52" i="3"/>
  <c r="B57" i="3"/>
  <c r="BL57" i="3" s="1"/>
  <c r="BD55" i="15"/>
  <c r="B23" i="3"/>
  <c r="CH13" i="15"/>
  <c r="C189" i="3"/>
  <c r="BK189" i="3" s="1"/>
  <c r="BD21" i="15"/>
  <c r="W55" i="15"/>
  <c r="BB139" i="15"/>
  <c r="W38" i="15"/>
  <c r="B40" i="3"/>
  <c r="BL40" i="3" s="1"/>
  <c r="B15" i="3"/>
  <c r="AH15" i="3" s="1"/>
  <c r="BB55" i="15"/>
  <c r="P55" i="15"/>
  <c r="AI91" i="3"/>
  <c r="P115" i="15"/>
  <c r="AI38" i="3"/>
  <c r="CH139" i="15"/>
  <c r="D15" i="3"/>
  <c r="D23" i="3"/>
  <c r="D40" i="3"/>
  <c r="D16" i="3"/>
  <c r="D39" i="3"/>
  <c r="BK172" i="15"/>
  <c r="AO174" i="3" s="1"/>
  <c r="W167" i="15"/>
  <c r="CH90" i="15"/>
  <c r="BX172" i="15"/>
  <c r="BB174" i="3" s="1"/>
  <c r="C174" i="3"/>
  <c r="BK174" i="3" s="1"/>
  <c r="CH167" i="15"/>
  <c r="O172" i="15"/>
  <c r="BD13" i="15"/>
  <c r="B92" i="3"/>
  <c r="AH92" i="3" s="1"/>
  <c r="W21" i="15"/>
  <c r="P38" i="15"/>
  <c r="BA172" i="15"/>
  <c r="BB90" i="15"/>
  <c r="BB167" i="15"/>
  <c r="X172" i="15"/>
  <c r="BE172" i="15"/>
  <c r="BD90" i="15"/>
  <c r="C113" i="3"/>
  <c r="BK113" i="3" s="1"/>
  <c r="BD167" i="15"/>
  <c r="W90" i="15"/>
  <c r="CG172" i="15"/>
  <c r="CH37" i="15"/>
  <c r="B147" i="3"/>
  <c r="AH147" i="3" s="1"/>
  <c r="B116" i="3"/>
  <c r="AH116" i="3" s="1"/>
  <c r="CH183" i="15"/>
  <c r="BD145" i="15"/>
  <c r="CH145" i="15"/>
  <c r="BB74" i="15"/>
  <c r="P145" i="15"/>
  <c r="BK44" i="3"/>
  <c r="W97" i="15"/>
  <c r="W89" i="15"/>
  <c r="CH194" i="15"/>
  <c r="W59" i="15"/>
  <c r="CH132" i="15"/>
  <c r="BD59" i="15"/>
  <c r="B84" i="3"/>
  <c r="BL84" i="3" s="1"/>
  <c r="CH74" i="15"/>
  <c r="AI107" i="3"/>
  <c r="AH131" i="3"/>
  <c r="BD131" i="15"/>
  <c r="BD89" i="15"/>
  <c r="BD200" i="15"/>
  <c r="BD95" i="15"/>
  <c r="P132" i="15"/>
  <c r="BD183" i="15"/>
  <c r="BX26" i="15"/>
  <c r="BB28" i="3" s="1"/>
  <c r="AI21" i="3"/>
  <c r="BB131" i="15"/>
  <c r="B91" i="3"/>
  <c r="BB200" i="15"/>
  <c r="BB95" i="15"/>
  <c r="C186" i="3"/>
  <c r="CH89" i="15"/>
  <c r="W114" i="15"/>
  <c r="CH114" i="15"/>
  <c r="BB183" i="15"/>
  <c r="BK186" i="15"/>
  <c r="AO188" i="3" s="1"/>
  <c r="AH55" i="3"/>
  <c r="P131" i="15"/>
  <c r="W200" i="15"/>
  <c r="BB114" i="15"/>
  <c r="D95" i="3"/>
  <c r="D159" i="3"/>
  <c r="BB137" i="15"/>
  <c r="P93" i="15"/>
  <c r="CH157" i="15"/>
  <c r="BA184" i="15"/>
  <c r="BD74" i="15"/>
  <c r="X184" i="15"/>
  <c r="D177" i="3"/>
  <c r="D206" i="3"/>
  <c r="D169" i="3"/>
  <c r="D57" i="3"/>
  <c r="D182" i="3"/>
  <c r="D201" i="3"/>
  <c r="D134" i="3"/>
  <c r="D97" i="3"/>
  <c r="BD175" i="15"/>
  <c r="P204" i="15"/>
  <c r="BB180" i="15"/>
  <c r="X127" i="15"/>
  <c r="AI16" i="3"/>
  <c r="W183" i="15"/>
  <c r="B201" i="3"/>
  <c r="P128" i="15"/>
  <c r="BD132" i="15"/>
  <c r="BA176" i="15"/>
  <c r="J195" i="4"/>
  <c r="L195" i="4" s="1"/>
  <c r="K195" i="4" s="1"/>
  <c r="K132" i="4"/>
  <c r="G132" i="4" s="1"/>
  <c r="J116" i="4"/>
  <c r="J152" i="4"/>
  <c r="L152" i="4" s="1"/>
  <c r="K152" i="4" s="1"/>
  <c r="G152" i="4"/>
  <c r="J240" i="4"/>
  <c r="L240" i="4" s="1"/>
  <c r="J200" i="4"/>
  <c r="L200" i="4" s="1"/>
  <c r="K200" i="4" s="1"/>
  <c r="G200" i="4" s="1"/>
  <c r="J167" i="4"/>
  <c r="L167" i="4" s="1"/>
  <c r="K167" i="4" s="1"/>
  <c r="G167" i="4"/>
  <c r="J90" i="4"/>
  <c r="L90" i="4" s="1"/>
  <c r="J183" i="4"/>
  <c r="L183" i="4" s="1"/>
  <c r="J100" i="4"/>
  <c r="J182" i="4"/>
  <c r="J225" i="4"/>
  <c r="L225" i="4" s="1"/>
  <c r="K225" i="4" s="1"/>
  <c r="K248" i="4"/>
  <c r="J59" i="4"/>
  <c r="L59" i="4" s="1"/>
  <c r="K59" i="4" s="1"/>
  <c r="G59" i="4"/>
  <c r="J97" i="4"/>
  <c r="L97" i="4" s="1"/>
  <c r="K97" i="4" s="1"/>
  <c r="K141" i="4"/>
  <c r="G141" i="4" s="1"/>
  <c r="J129" i="4"/>
  <c r="L198" i="4"/>
  <c r="L134" i="4"/>
  <c r="K134" i="4" s="1"/>
  <c r="L180" i="4"/>
  <c r="K180" i="4" s="1"/>
  <c r="G180" i="4" s="1"/>
  <c r="J165" i="4"/>
  <c r="J145" i="4"/>
  <c r="G145" i="4"/>
  <c r="J114" i="4"/>
  <c r="L114" i="4" s="1"/>
  <c r="J223" i="4"/>
  <c r="J151" i="4"/>
  <c r="K242" i="4"/>
  <c r="G242" i="4" s="1"/>
  <c r="J238" i="4"/>
  <c r="L238" i="4" s="1"/>
  <c r="J174" i="4"/>
  <c r="L174" i="4" s="1"/>
  <c r="K174" i="4" s="1"/>
  <c r="K48" i="4"/>
  <c r="K65" i="4"/>
  <c r="G66" i="4"/>
  <c r="G243" i="4"/>
  <c r="L182" i="4"/>
  <c r="K46" i="2"/>
  <c r="L52" i="4"/>
  <c r="K52" i="4" s="1"/>
  <c r="G52" i="4" s="1"/>
  <c r="K204" i="4"/>
  <c r="K42" i="4"/>
  <c r="G20" i="4"/>
  <c r="G10" i="4"/>
  <c r="G60" i="4"/>
  <c r="G11" i="4"/>
  <c r="L212" i="4"/>
  <c r="K212" i="4" s="1"/>
  <c r="J86" i="4"/>
  <c r="K40" i="4"/>
  <c r="J234" i="4"/>
  <c r="L234" i="4" s="1"/>
  <c r="L146" i="4"/>
  <c r="K146" i="4" s="1"/>
  <c r="G146" i="4" s="1"/>
  <c r="K60" i="4"/>
  <c r="G104" i="4"/>
  <c r="L104" i="4"/>
  <c r="K104" i="4" s="1"/>
  <c r="K36" i="4"/>
  <c r="G36" i="4" s="1"/>
  <c r="J221" i="4"/>
  <c r="G26" i="4"/>
  <c r="L21" i="4"/>
  <c r="K21" i="4" s="1"/>
  <c r="G21" i="4" s="1"/>
  <c r="G232" i="4"/>
  <c r="L179" i="4"/>
  <c r="L143" i="4"/>
  <c r="K217" i="4"/>
  <c r="G217" i="4" s="1"/>
  <c r="J236" i="4"/>
  <c r="J233" i="4"/>
  <c r="L233" i="4" s="1"/>
  <c r="K177" i="4"/>
  <c r="G177" i="4" s="1"/>
  <c r="K83" i="4"/>
  <c r="G83" i="4" s="1"/>
  <c r="K122" i="4"/>
  <c r="K230" i="4"/>
  <c r="G230" i="4" s="1"/>
  <c r="J29" i="4"/>
  <c r="G29" i="4"/>
  <c r="K147" i="4"/>
  <c r="G147" i="4" s="1"/>
  <c r="M21" i="4"/>
  <c r="H21" i="4" s="1"/>
  <c r="G48" i="4"/>
  <c r="L144" i="4"/>
  <c r="J18" i="4"/>
  <c r="G18" i="4"/>
  <c r="K90" i="4"/>
  <c r="G90" i="4" s="1"/>
  <c r="L196" i="4"/>
  <c r="K196" i="4" s="1"/>
  <c r="J15" i="4"/>
  <c r="K80" i="4"/>
  <c r="G80" i="4" s="1"/>
  <c r="K84" i="4"/>
  <c r="G84" i="4" s="1"/>
  <c r="K161" i="4"/>
  <c r="G161" i="4" s="1"/>
  <c r="K41" i="4"/>
  <c r="G41" i="4" s="1"/>
  <c r="J244" i="4"/>
  <c r="L244" i="4" s="1"/>
  <c r="J219" i="4"/>
  <c r="K182" i="4"/>
  <c r="J228" i="4"/>
  <c r="L228" i="4" s="1"/>
  <c r="J193" i="4"/>
  <c r="L193" i="4" s="1"/>
  <c r="K49" i="4"/>
  <c r="G49" i="4" s="1"/>
  <c r="K58" i="4"/>
  <c r="K51" i="4"/>
  <c r="G51" i="4" s="1"/>
  <c r="K186" i="4"/>
  <c r="G186" i="4" s="1"/>
  <c r="K107" i="4"/>
  <c r="K81" i="4"/>
  <c r="G81" i="4" s="1"/>
  <c r="K154" i="4"/>
  <c r="G154" i="4" s="1"/>
  <c r="K101" i="4"/>
  <c r="K168" i="4"/>
  <c r="G168" i="4" s="1"/>
  <c r="K172" i="4"/>
  <c r="G172" i="4" s="1"/>
  <c r="J213" i="4"/>
  <c r="L213" i="4" s="1"/>
  <c r="K34" i="4"/>
  <c r="G34" i="4" s="1"/>
  <c r="K192" i="4"/>
  <c r="G192" i="4" s="1"/>
  <c r="L191" i="4"/>
  <c r="K191" i="4" s="1"/>
  <c r="G191" i="4" s="1"/>
  <c r="J237" i="4"/>
  <c r="L237" i="4" s="1"/>
  <c r="J33" i="4"/>
  <c r="L33" i="4" s="1"/>
  <c r="CG126" i="15"/>
  <c r="W144" i="15"/>
  <c r="X186" i="15"/>
  <c r="P112" i="15"/>
  <c r="P150" i="15"/>
  <c r="B85" i="3"/>
  <c r="BL85" i="3" s="1"/>
  <c r="BB185" i="15"/>
  <c r="P160" i="15"/>
  <c r="BK18" i="15"/>
  <c r="AO20" i="3" s="1"/>
  <c r="P40" i="15"/>
  <c r="BL52" i="3"/>
  <c r="P79" i="15"/>
  <c r="BD7" i="15"/>
  <c r="AI95" i="3"/>
  <c r="B114" i="3"/>
  <c r="AH114" i="3" s="1"/>
  <c r="W60" i="15"/>
  <c r="B14" i="3"/>
  <c r="BL14" i="3" s="1"/>
  <c r="CH79" i="15"/>
  <c r="BW104" i="15"/>
  <c r="BA106" i="3" s="1"/>
  <c r="C106" i="3"/>
  <c r="AI106" i="3" s="1"/>
  <c r="CH62" i="15"/>
  <c r="B158" i="3"/>
  <c r="BL158" i="3" s="1"/>
  <c r="BX186" i="15"/>
  <c r="BB188" i="3" s="1"/>
  <c r="P91" i="15"/>
  <c r="O104" i="15"/>
  <c r="D116" i="3"/>
  <c r="CH115" i="15"/>
  <c r="CG79" i="15"/>
  <c r="P185" i="15"/>
  <c r="P108" i="15"/>
  <c r="P187" i="15"/>
  <c r="BB8" i="15"/>
  <c r="BB115" i="15"/>
  <c r="BD8" i="15"/>
  <c r="B110" i="3"/>
  <c r="BL110" i="3" s="1"/>
  <c r="BD76" i="15"/>
  <c r="CH8" i="15"/>
  <c r="B78" i="3"/>
  <c r="BL78" i="3" s="1"/>
  <c r="BK150" i="15"/>
  <c r="AO152" i="3" s="1"/>
  <c r="BE79" i="15"/>
  <c r="AI182" i="3"/>
  <c r="W76" i="15"/>
  <c r="BE184" i="15"/>
  <c r="P114" i="15"/>
  <c r="X79" i="15"/>
  <c r="CH108" i="15"/>
  <c r="CH76" i="15"/>
  <c r="AH134" i="3"/>
  <c r="BX150" i="15"/>
  <c r="BB152" i="3" s="1"/>
  <c r="BW79" i="15"/>
  <c r="BA81" i="3" s="1"/>
  <c r="BX79" i="15"/>
  <c r="BB81" i="3" s="1"/>
  <c r="BD58" i="15"/>
  <c r="BK116" i="3"/>
  <c r="D85" i="3"/>
  <c r="D139" i="3"/>
  <c r="D52" i="3"/>
  <c r="BA192" i="15"/>
  <c r="BB12" i="15"/>
  <c r="BA62" i="15"/>
  <c r="W121" i="15"/>
  <c r="BD156" i="15"/>
  <c r="P121" i="15"/>
  <c r="W83" i="15"/>
  <c r="BD112" i="15"/>
  <c r="CG48" i="15"/>
  <c r="CH52" i="15"/>
  <c r="BB89" i="15"/>
  <c r="BK134" i="15"/>
  <c r="AO136" i="3" s="1"/>
  <c r="CH58" i="15"/>
  <c r="BX170" i="15"/>
  <c r="BB172" i="3" s="1"/>
  <c r="BK29" i="15"/>
  <c r="AO31" i="3" s="1"/>
  <c r="C33" i="3"/>
  <c r="BK33" i="3" s="1"/>
  <c r="O134" i="15"/>
  <c r="BD60" i="15"/>
  <c r="W156" i="15"/>
  <c r="BB52" i="15"/>
  <c r="P44" i="15"/>
  <c r="CH137" i="15"/>
  <c r="W137" i="15"/>
  <c r="P50" i="15"/>
  <c r="O31" i="15"/>
  <c r="BA134" i="15"/>
  <c r="BK104" i="15"/>
  <c r="AO106" i="3" s="1"/>
  <c r="BE104" i="15"/>
  <c r="CH156" i="15"/>
  <c r="B54" i="3"/>
  <c r="BL54" i="3" s="1"/>
  <c r="BK191" i="15"/>
  <c r="AO193" i="3" s="1"/>
  <c r="BX29" i="15"/>
  <c r="BB31" i="3" s="1"/>
  <c r="AI134" i="3"/>
  <c r="BA31" i="15"/>
  <c r="BE31" i="15"/>
  <c r="C148" i="3"/>
  <c r="BK148" i="3" s="1"/>
  <c r="BX104" i="15"/>
  <c r="BB106" i="3" s="1"/>
  <c r="CG104" i="15"/>
  <c r="D84" i="3"/>
  <c r="D29" i="3"/>
  <c r="D173" i="3"/>
  <c r="D164" i="3"/>
  <c r="D196" i="3"/>
  <c r="D99" i="3"/>
  <c r="D92" i="3"/>
  <c r="D124" i="3"/>
  <c r="D117" i="3"/>
  <c r="D123" i="3"/>
  <c r="D141" i="3"/>
  <c r="D45" i="3"/>
  <c r="BD82" i="15"/>
  <c r="B29" i="3"/>
  <c r="W82" i="15"/>
  <c r="W51" i="15"/>
  <c r="BD171" i="15"/>
  <c r="B164" i="3"/>
  <c r="W74" i="15"/>
  <c r="B133" i="3"/>
  <c r="CH131" i="15"/>
  <c r="BW71" i="15"/>
  <c r="BA73" i="3" s="1"/>
  <c r="P27" i="15"/>
  <c r="BK202" i="15"/>
  <c r="AO204" i="3" s="1"/>
  <c r="C178" i="3"/>
  <c r="BK178" i="3" s="1"/>
  <c r="W128" i="15"/>
  <c r="W52" i="15"/>
  <c r="P74" i="15"/>
  <c r="AI92" i="3"/>
  <c r="BK92" i="3"/>
  <c r="BB97" i="15"/>
  <c r="BD97" i="15"/>
  <c r="BB82" i="15"/>
  <c r="P82" i="15"/>
  <c r="B117" i="3"/>
  <c r="BD51" i="15"/>
  <c r="P117" i="15"/>
  <c r="CH51" i="15"/>
  <c r="BB27" i="15"/>
  <c r="BD52" i="15"/>
  <c r="BD115" i="15"/>
  <c r="BK133" i="3"/>
  <c r="BB121" i="15"/>
  <c r="CH121" i="15"/>
  <c r="B123" i="3"/>
  <c r="BK15" i="3"/>
  <c r="O187" i="15"/>
  <c r="CG135" i="15"/>
  <c r="CG56" i="15"/>
  <c r="O150" i="15"/>
  <c r="BE192" i="15"/>
  <c r="CH27" i="15"/>
  <c r="P51" i="15"/>
  <c r="CH82" i="15"/>
  <c r="W139" i="15"/>
  <c r="C73" i="3"/>
  <c r="BK73" i="3" s="1"/>
  <c r="X134" i="15"/>
  <c r="BD27" i="15"/>
  <c r="BW187" i="15"/>
  <c r="BA189" i="3" s="1"/>
  <c r="BA135" i="15"/>
  <c r="BE150" i="15"/>
  <c r="X192" i="15"/>
  <c r="W110" i="15"/>
  <c r="B53" i="3"/>
  <c r="AH53" i="3" s="1"/>
  <c r="BD162" i="15"/>
  <c r="W27" i="15"/>
  <c r="BB145" i="15"/>
  <c r="B61" i="3"/>
  <c r="CH59" i="15"/>
  <c r="P59" i="15"/>
  <c r="W43" i="15"/>
  <c r="BD43" i="15"/>
  <c r="B45" i="3"/>
  <c r="D174" i="3"/>
  <c r="E39" i="3"/>
  <c r="BK130" i="3"/>
  <c r="BK163" i="15"/>
  <c r="AO165" i="3" s="1"/>
  <c r="BB192" i="15"/>
  <c r="BB140" i="15"/>
  <c r="CH11" i="15"/>
  <c r="O56" i="15"/>
  <c r="X104" i="15"/>
  <c r="CH150" i="15"/>
  <c r="O68" i="15"/>
  <c r="P20" i="15"/>
  <c r="W20" i="15"/>
  <c r="CH20" i="15"/>
  <c r="BB20" i="15"/>
  <c r="BD108" i="15"/>
  <c r="B10" i="3"/>
  <c r="CH40" i="15"/>
  <c r="BX202" i="15"/>
  <c r="BB204" i="3" s="1"/>
  <c r="B194" i="3"/>
  <c r="AH194" i="3" s="1"/>
  <c r="C128" i="3"/>
  <c r="BK128" i="3" s="1"/>
  <c r="AI199" i="3"/>
  <c r="X88" i="15"/>
  <c r="CH56" i="15"/>
  <c r="P60" i="15"/>
  <c r="CH60" i="15"/>
  <c r="B62" i="3"/>
  <c r="BB60" i="15"/>
  <c r="P12" i="15"/>
  <c r="CH12" i="15"/>
  <c r="BD12" i="15"/>
  <c r="W12" i="15"/>
  <c r="BB76" i="15"/>
  <c r="X202" i="15"/>
  <c r="BE126" i="15"/>
  <c r="AI66" i="3"/>
  <c r="BE56" i="15"/>
  <c r="BE88" i="15"/>
  <c r="BD150" i="15"/>
  <c r="B58" i="3"/>
  <c r="AH58" i="3" s="1"/>
  <c r="P156" i="15"/>
  <c r="W44" i="15"/>
  <c r="BB44" i="15"/>
  <c r="B46" i="3"/>
  <c r="CH44" i="15"/>
  <c r="BD189" i="15"/>
  <c r="W192" i="15"/>
  <c r="BD140" i="15"/>
  <c r="BK56" i="15"/>
  <c r="AO58" i="3" s="1"/>
  <c r="C90" i="3"/>
  <c r="AI90" i="3" s="1"/>
  <c r="BB40" i="15"/>
  <c r="W8" i="15"/>
  <c r="AI46" i="3"/>
  <c r="BD20" i="15"/>
  <c r="W108" i="15"/>
  <c r="BX184" i="15"/>
  <c r="BB186" i="3" s="1"/>
  <c r="BW184" i="15"/>
  <c r="BA186" i="3" s="1"/>
  <c r="CG184" i="15"/>
  <c r="O184" i="15"/>
  <c r="CH200" i="15"/>
  <c r="AI88" i="3"/>
  <c r="BX31" i="15"/>
  <c r="BB33" i="3" s="1"/>
  <c r="X26" i="15"/>
  <c r="X62" i="15"/>
  <c r="BW126" i="15"/>
  <c r="BA128" i="3" s="1"/>
  <c r="BX48" i="15"/>
  <c r="BB50" i="3" s="1"/>
  <c r="X150" i="15"/>
  <c r="BK164" i="3"/>
  <c r="BK156" i="3"/>
  <c r="C188" i="3"/>
  <c r="BK188" i="3" s="1"/>
  <c r="CG26" i="15"/>
  <c r="O26" i="15"/>
  <c r="BW110" i="15"/>
  <c r="BA112" i="3" s="1"/>
  <c r="C152" i="3"/>
  <c r="AI152" i="3" s="1"/>
  <c r="BX68" i="15"/>
  <c r="BB70" i="3" s="1"/>
  <c r="BK46" i="15"/>
  <c r="AO48" i="3" s="1"/>
  <c r="O111" i="15"/>
  <c r="BX111" i="15"/>
  <c r="BB113" i="3" s="1"/>
  <c r="BW123" i="15"/>
  <c r="BA125" i="3" s="1"/>
  <c r="CG150" i="15"/>
  <c r="BD128" i="15"/>
  <c r="C70" i="3"/>
  <c r="BK70" i="3" s="1"/>
  <c r="BW127" i="15"/>
  <c r="BA129" i="3" s="1"/>
  <c r="BK31" i="15"/>
  <c r="AO33" i="3" s="1"/>
  <c r="BK176" i="3"/>
  <c r="O123" i="15"/>
  <c r="BW150" i="15"/>
  <c r="BA152" i="3" s="1"/>
  <c r="BA68" i="15"/>
  <c r="O127" i="15"/>
  <c r="W56" i="15"/>
  <c r="B142" i="3"/>
  <c r="BL142" i="3" s="1"/>
  <c r="CG88" i="15"/>
  <c r="BL149" i="3"/>
  <c r="AH149" i="3"/>
  <c r="BK176" i="15"/>
  <c r="AO178" i="3" s="1"/>
  <c r="BE134" i="15"/>
  <c r="B146" i="3"/>
  <c r="BL146" i="3" s="1"/>
  <c r="BE123" i="15"/>
  <c r="BE62" i="15"/>
  <c r="BD56" i="15"/>
  <c r="B33" i="3"/>
  <c r="AH33" i="3" s="1"/>
  <c r="C125" i="3"/>
  <c r="CG62" i="15"/>
  <c r="BX165" i="15"/>
  <c r="BB167" i="3" s="1"/>
  <c r="BB39" i="15"/>
  <c r="W177" i="15"/>
  <c r="BX123" i="15"/>
  <c r="BB125" i="3" s="1"/>
  <c r="BW62" i="15"/>
  <c r="BA64" i="3" s="1"/>
  <c r="AI76" i="3"/>
  <c r="BD110" i="15"/>
  <c r="BW18" i="15"/>
  <c r="BA20" i="3" s="1"/>
  <c r="BW29" i="15"/>
  <c r="BA31" i="3" s="1"/>
  <c r="C31" i="3"/>
  <c r="O146" i="15"/>
  <c r="BX146" i="15"/>
  <c r="BB148" i="3" s="1"/>
  <c r="BB144" i="15"/>
  <c r="BW146" i="15"/>
  <c r="BA148" i="3" s="1"/>
  <c r="W23" i="15"/>
  <c r="BX62" i="15"/>
  <c r="BB64" i="3" s="1"/>
  <c r="P11" i="15"/>
  <c r="BK127" i="15"/>
  <c r="AO129" i="3" s="1"/>
  <c r="BA48" i="15"/>
  <c r="BW68" i="15"/>
  <c r="BA70" i="3" s="1"/>
  <c r="CH173" i="15"/>
  <c r="BE110" i="15"/>
  <c r="BK72" i="15"/>
  <c r="AO74" i="3" s="1"/>
  <c r="BB56" i="15"/>
  <c r="BK67" i="3"/>
  <c r="AI67" i="3"/>
  <c r="BA146" i="15"/>
  <c r="CH23" i="15"/>
  <c r="W7" i="15"/>
  <c r="B93" i="3"/>
  <c r="BL93" i="3" s="1"/>
  <c r="BX127" i="15"/>
  <c r="BB129" i="3" s="1"/>
  <c r="X48" i="15"/>
  <c r="CG68" i="15"/>
  <c r="BE18" i="15"/>
  <c r="C112" i="3"/>
  <c r="BW72" i="15"/>
  <c r="BA74" i="3" s="1"/>
  <c r="BX72" i="15"/>
  <c r="BB74" i="3" s="1"/>
  <c r="B191" i="3"/>
  <c r="AH191" i="3" s="1"/>
  <c r="X146" i="15"/>
  <c r="B187" i="3"/>
  <c r="BL187" i="3" s="1"/>
  <c r="CG146" i="15"/>
  <c r="P144" i="15"/>
  <c r="BK110" i="15"/>
  <c r="AO112" i="3" s="1"/>
  <c r="B9" i="3"/>
  <c r="BL9" i="3" s="1"/>
  <c r="BA29" i="15"/>
  <c r="C129" i="3"/>
  <c r="BK129" i="3" s="1"/>
  <c r="BE48" i="15"/>
  <c r="BE68" i="15"/>
  <c r="X110" i="15"/>
  <c r="BK159" i="3"/>
  <c r="AI159" i="3"/>
  <c r="AI115" i="3"/>
  <c r="BK115" i="3"/>
  <c r="AI141" i="3"/>
  <c r="BD144" i="15"/>
  <c r="P63" i="15"/>
  <c r="BX110" i="15"/>
  <c r="BB112" i="3" s="1"/>
  <c r="CH7" i="15"/>
  <c r="BK48" i="15"/>
  <c r="AO50" i="3" s="1"/>
  <c r="AI10" i="3"/>
  <c r="AH168" i="3"/>
  <c r="X29" i="15"/>
  <c r="BA127" i="15"/>
  <c r="X68" i="15"/>
  <c r="AI29" i="3"/>
  <c r="BK29" i="3"/>
  <c r="D160" i="3"/>
  <c r="D74" i="3"/>
  <c r="D129" i="3"/>
  <c r="D175" i="3"/>
  <c r="D20" i="3"/>
  <c r="D58" i="3"/>
  <c r="D90" i="3"/>
  <c r="D200" i="3"/>
  <c r="D144" i="3"/>
  <c r="D145" i="3"/>
  <c r="D106" i="3"/>
  <c r="D152" i="3"/>
  <c r="D207" i="3"/>
  <c r="D130" i="3"/>
  <c r="D137" i="3"/>
  <c r="BB158" i="15"/>
  <c r="P158" i="15"/>
  <c r="CH158" i="15"/>
  <c r="BD158" i="15"/>
  <c r="W158" i="15"/>
  <c r="B160" i="3"/>
  <c r="AI82" i="3"/>
  <c r="BK82" i="3"/>
  <c r="BK135" i="15"/>
  <c r="AO137" i="3" s="1"/>
  <c r="X135" i="15"/>
  <c r="BW135" i="15"/>
  <c r="BA137" i="3" s="1"/>
  <c r="BK158" i="15"/>
  <c r="AO160" i="3" s="1"/>
  <c r="O158" i="15"/>
  <c r="C160" i="3"/>
  <c r="CG158" i="15"/>
  <c r="BA158" i="15"/>
  <c r="X158" i="15"/>
  <c r="BE158" i="15"/>
  <c r="BW158" i="15"/>
  <c r="BA160" i="3" s="1"/>
  <c r="BX158" i="15"/>
  <c r="BB160" i="3" s="1"/>
  <c r="P72" i="15"/>
  <c r="BB72" i="15"/>
  <c r="W72" i="15"/>
  <c r="CH72" i="15"/>
  <c r="B74" i="3"/>
  <c r="BD127" i="15"/>
  <c r="P127" i="15"/>
  <c r="B129" i="3"/>
  <c r="CH127" i="15"/>
  <c r="W127" i="15"/>
  <c r="BB127" i="15"/>
  <c r="W173" i="15"/>
  <c r="B175" i="3"/>
  <c r="BD173" i="15"/>
  <c r="O18" i="15"/>
  <c r="C20" i="3"/>
  <c r="AI192" i="3"/>
  <c r="BK192" i="3"/>
  <c r="BK114" i="3"/>
  <c r="AI114" i="3"/>
  <c r="AI53" i="3"/>
  <c r="P133" i="15"/>
  <c r="BW151" i="15"/>
  <c r="BA153" i="3" s="1"/>
  <c r="X187" i="15"/>
  <c r="CG123" i="15"/>
  <c r="BB173" i="15"/>
  <c r="O72" i="15"/>
  <c r="BX173" i="15"/>
  <c r="BB175" i="3" s="1"/>
  <c r="CG173" i="15"/>
  <c r="C175" i="3"/>
  <c r="X173" i="15"/>
  <c r="BA173" i="15"/>
  <c r="BW173" i="15"/>
  <c r="BA175" i="3" s="1"/>
  <c r="BK173" i="15"/>
  <c r="AO175" i="3" s="1"/>
  <c r="O173" i="15"/>
  <c r="BE173" i="15"/>
  <c r="P88" i="15"/>
  <c r="B90" i="3"/>
  <c r="BB88" i="15"/>
  <c r="CH88" i="15"/>
  <c r="W88" i="15"/>
  <c r="BD88" i="15"/>
  <c r="W198" i="15"/>
  <c r="B200" i="3"/>
  <c r="BB198" i="15"/>
  <c r="CH198" i="15"/>
  <c r="P198" i="15"/>
  <c r="BD198" i="15"/>
  <c r="P142" i="15"/>
  <c r="W142" i="15"/>
  <c r="CH142" i="15"/>
  <c r="BD142" i="15"/>
  <c r="B144" i="3"/>
  <c r="BB142" i="15"/>
  <c r="C58" i="3"/>
  <c r="BW56" i="15"/>
  <c r="BA58" i="3" s="1"/>
  <c r="BK88" i="15"/>
  <c r="AO90" i="3" s="1"/>
  <c r="BA88" i="15"/>
  <c r="O88" i="15"/>
  <c r="BX198" i="15"/>
  <c r="BB200" i="3" s="1"/>
  <c r="BA198" i="15"/>
  <c r="X198" i="15"/>
  <c r="BW198" i="15"/>
  <c r="BA200" i="3" s="1"/>
  <c r="BE198" i="15"/>
  <c r="O198" i="15"/>
  <c r="CG198" i="15"/>
  <c r="C200" i="3"/>
  <c r="AH16" i="3"/>
  <c r="BL16" i="3"/>
  <c r="B135" i="3"/>
  <c r="AH135" i="3" s="1"/>
  <c r="BE41" i="15"/>
  <c r="BW140" i="15"/>
  <c r="BA142" i="3" s="1"/>
  <c r="AI147" i="3"/>
  <c r="BB31" i="15"/>
  <c r="BA123" i="15"/>
  <c r="X32" i="15"/>
  <c r="BB94" i="15"/>
  <c r="CH100" i="15"/>
  <c r="CG18" i="15"/>
  <c r="BA72" i="15"/>
  <c r="P143" i="15"/>
  <c r="BB143" i="15"/>
  <c r="W143" i="15"/>
  <c r="CH143" i="15"/>
  <c r="B145" i="3"/>
  <c r="BD143" i="15"/>
  <c r="AI202" i="3"/>
  <c r="BK202" i="3"/>
  <c r="BX142" i="15"/>
  <c r="BB144" i="3" s="1"/>
  <c r="BA142" i="15"/>
  <c r="C144" i="3"/>
  <c r="BW142" i="15"/>
  <c r="BA144" i="3" s="1"/>
  <c r="BE142" i="15"/>
  <c r="X142" i="15"/>
  <c r="O142" i="15"/>
  <c r="BK142" i="15"/>
  <c r="AO144" i="3" s="1"/>
  <c r="CG142" i="15"/>
  <c r="P104" i="15"/>
  <c r="W104" i="15"/>
  <c r="B106" i="3"/>
  <c r="BD104" i="15"/>
  <c r="BB104" i="15"/>
  <c r="CH104" i="15"/>
  <c r="BE71" i="15"/>
  <c r="BL177" i="3"/>
  <c r="X123" i="15"/>
  <c r="P100" i="15"/>
  <c r="BA18" i="15"/>
  <c r="CG72" i="15"/>
  <c r="X72" i="15"/>
  <c r="BE72" i="15"/>
  <c r="W150" i="15"/>
  <c r="W205" i="15"/>
  <c r="BB205" i="15"/>
  <c r="BD66" i="15"/>
  <c r="X18" i="15"/>
  <c r="BA56" i="15"/>
  <c r="X56" i="15"/>
  <c r="BX88" i="15"/>
  <c r="BB90" i="3" s="1"/>
  <c r="B130" i="3"/>
  <c r="CH128" i="15"/>
  <c r="X205" i="15"/>
  <c r="CG205" i="15"/>
  <c r="BW205" i="15"/>
  <c r="BA207" i="3" s="1"/>
  <c r="BX205" i="15"/>
  <c r="BB207" i="3" s="1"/>
  <c r="BA205" i="15"/>
  <c r="BE205" i="15"/>
  <c r="C207" i="3"/>
  <c r="O205" i="15"/>
  <c r="BK205" i="15"/>
  <c r="AO207" i="3" s="1"/>
  <c r="W135" i="15"/>
  <c r="P135" i="15"/>
  <c r="BB135" i="15"/>
  <c r="CH135" i="15"/>
  <c r="BD135" i="15"/>
  <c r="B137" i="3"/>
  <c r="E198" i="3"/>
  <c r="E93" i="3"/>
  <c r="D72" i="3"/>
  <c r="D88" i="3"/>
  <c r="D70" i="3"/>
  <c r="D113" i="3"/>
  <c r="D148" i="3"/>
  <c r="D63" i="3"/>
  <c r="D189" i="3"/>
  <c r="D193" i="3"/>
  <c r="D81" i="3"/>
  <c r="D198" i="3"/>
  <c r="D128" i="3"/>
  <c r="D149" i="3"/>
  <c r="D195" i="3"/>
  <c r="D33" i="3"/>
  <c r="D111" i="3"/>
  <c r="D205" i="3"/>
  <c r="D180" i="3"/>
  <c r="D64" i="3"/>
  <c r="D50" i="3"/>
  <c r="D155" i="3"/>
  <c r="D131" i="3"/>
  <c r="D170" i="3"/>
  <c r="D125" i="3"/>
  <c r="D28" i="3"/>
  <c r="D181" i="3"/>
  <c r="D188" i="3"/>
  <c r="D93" i="3"/>
  <c r="D140" i="3"/>
  <c r="D25" i="3"/>
  <c r="D166" i="3"/>
  <c r="D36" i="3"/>
  <c r="P70" i="15"/>
  <c r="CH70" i="15"/>
  <c r="BB70" i="15"/>
  <c r="W70" i="15"/>
  <c r="BD70" i="15"/>
  <c r="B72" i="3"/>
  <c r="X91" i="15"/>
  <c r="BE91" i="15"/>
  <c r="BK91" i="15"/>
  <c r="AO93" i="3" s="1"/>
  <c r="BA91" i="15"/>
  <c r="O91" i="15"/>
  <c r="BX138" i="15"/>
  <c r="BB140" i="3" s="1"/>
  <c r="BK138" i="15"/>
  <c r="AO140" i="3" s="1"/>
  <c r="CG138" i="15"/>
  <c r="O138" i="15"/>
  <c r="BE138" i="15"/>
  <c r="X138" i="15"/>
  <c r="BA138" i="15"/>
  <c r="C140" i="3"/>
  <c r="BW138" i="15"/>
  <c r="BA140" i="3" s="1"/>
  <c r="B88" i="3"/>
  <c r="W86" i="15"/>
  <c r="CH68" i="15"/>
  <c r="P68" i="15"/>
  <c r="BD68" i="15"/>
  <c r="B70" i="3"/>
  <c r="BB68" i="15"/>
  <c r="W68" i="15"/>
  <c r="CG164" i="15"/>
  <c r="C166" i="3"/>
  <c r="O164" i="15"/>
  <c r="BW164" i="15"/>
  <c r="BA166" i="3" s="1"/>
  <c r="BA164" i="15"/>
  <c r="BK164" i="15"/>
  <c r="AO166" i="3" s="1"/>
  <c r="BE164" i="15"/>
  <c r="X164" i="15"/>
  <c r="BX164" i="15"/>
  <c r="BB166" i="3" s="1"/>
  <c r="AI96" i="3"/>
  <c r="BK96" i="3"/>
  <c r="BW34" i="15"/>
  <c r="BA36" i="3" s="1"/>
  <c r="BX34" i="15"/>
  <c r="BB36" i="3" s="1"/>
  <c r="C36" i="3"/>
  <c r="X34" i="15"/>
  <c r="BX91" i="15"/>
  <c r="BB93" i="3" s="1"/>
  <c r="BA120" i="15"/>
  <c r="BB163" i="15"/>
  <c r="P39" i="15"/>
  <c r="BK150" i="3"/>
  <c r="P7" i="15"/>
  <c r="BE111" i="15"/>
  <c r="BW32" i="15"/>
  <c r="BA34" i="3" s="1"/>
  <c r="CH86" i="15"/>
  <c r="P146" i="15"/>
  <c r="BD146" i="15"/>
  <c r="BB146" i="15"/>
  <c r="CH146" i="15"/>
  <c r="W146" i="15"/>
  <c r="B148" i="3"/>
  <c r="BK104" i="3"/>
  <c r="AI104" i="3"/>
  <c r="AI42" i="3"/>
  <c r="BK42" i="3"/>
  <c r="B63" i="3"/>
  <c r="W61" i="15"/>
  <c r="BD61" i="15"/>
  <c r="P61" i="15"/>
  <c r="BB61" i="15"/>
  <c r="CH61" i="15"/>
  <c r="CH187" i="15"/>
  <c r="W187" i="15"/>
  <c r="B189" i="3"/>
  <c r="BD187" i="15"/>
  <c r="BE35" i="15"/>
  <c r="CH39" i="15"/>
  <c r="BW191" i="15"/>
  <c r="BA193" i="3" s="1"/>
  <c r="C34" i="3"/>
  <c r="BB86" i="15"/>
  <c r="AI117" i="3"/>
  <c r="BK117" i="3"/>
  <c r="W100" i="15"/>
  <c r="B102" i="3"/>
  <c r="BD100" i="15"/>
  <c r="X61" i="15"/>
  <c r="BA61" i="15"/>
  <c r="BW61" i="15"/>
  <c r="BA63" i="3" s="1"/>
  <c r="BE61" i="15"/>
  <c r="O61" i="15"/>
  <c r="C63" i="3"/>
  <c r="CG61" i="15"/>
  <c r="BX61" i="15"/>
  <c r="BB63" i="3" s="1"/>
  <c r="B81" i="3"/>
  <c r="AI11" i="3"/>
  <c r="BX147" i="15"/>
  <c r="BB149" i="3" s="1"/>
  <c r="O32" i="15"/>
  <c r="BE32" i="15"/>
  <c r="BD86" i="15"/>
  <c r="B96" i="3"/>
  <c r="BD94" i="15"/>
  <c r="CH94" i="15"/>
  <c r="B195" i="3"/>
  <c r="BB193" i="15"/>
  <c r="BD193" i="15"/>
  <c r="P193" i="15"/>
  <c r="CH193" i="15"/>
  <c r="W193" i="15"/>
  <c r="BL20" i="3"/>
  <c r="AH20" i="3"/>
  <c r="BL128" i="3"/>
  <c r="AH128" i="3"/>
  <c r="O100" i="15"/>
  <c r="C102" i="3"/>
  <c r="CG100" i="15"/>
  <c r="X100" i="15"/>
  <c r="BW100" i="15"/>
  <c r="BA102" i="3" s="1"/>
  <c r="BX100" i="15"/>
  <c r="BB102" i="3" s="1"/>
  <c r="BK100" i="15"/>
  <c r="AO102" i="3" s="1"/>
  <c r="BA100" i="15"/>
  <c r="BE100" i="15"/>
  <c r="W31" i="15"/>
  <c r="CH31" i="15"/>
  <c r="P31" i="15"/>
  <c r="W109" i="15"/>
  <c r="BB109" i="15"/>
  <c r="P109" i="15"/>
  <c r="CH109" i="15"/>
  <c r="B111" i="3"/>
  <c r="BD109" i="15"/>
  <c r="AI173" i="3"/>
  <c r="BK173" i="3"/>
  <c r="P203" i="15"/>
  <c r="BB203" i="15"/>
  <c r="B205" i="3"/>
  <c r="W203" i="15"/>
  <c r="CH203" i="15"/>
  <c r="BD203" i="15"/>
  <c r="C81" i="3"/>
  <c r="BA79" i="15"/>
  <c r="O34" i="15"/>
  <c r="BW91" i="15"/>
  <c r="BA93" i="3" s="1"/>
  <c r="BA32" i="15"/>
  <c r="P86" i="15"/>
  <c r="BK26" i="3"/>
  <c r="AI26" i="3"/>
  <c r="CG168" i="15"/>
  <c r="C170" i="3"/>
  <c r="BW168" i="15"/>
  <c r="BA170" i="3" s="1"/>
  <c r="BA168" i="15"/>
  <c r="BE168" i="15"/>
  <c r="BX168" i="15"/>
  <c r="BB170" i="3" s="1"/>
  <c r="BK168" i="15"/>
  <c r="AO170" i="3" s="1"/>
  <c r="O168" i="15"/>
  <c r="X168" i="15"/>
  <c r="BW193" i="15"/>
  <c r="BA195" i="3" s="1"/>
  <c r="BK193" i="15"/>
  <c r="AO195" i="3" s="1"/>
  <c r="BA193" i="15"/>
  <c r="X193" i="15"/>
  <c r="O193" i="15"/>
  <c r="C195" i="3"/>
  <c r="BE193" i="15"/>
  <c r="P178" i="15"/>
  <c r="BD178" i="15"/>
  <c r="W178" i="15"/>
  <c r="CH178" i="15"/>
  <c r="B180" i="3"/>
  <c r="BB178" i="15"/>
  <c r="BW109" i="15"/>
  <c r="BA111" i="3" s="1"/>
  <c r="BX109" i="15"/>
  <c r="BB111" i="3" s="1"/>
  <c r="CG109" i="15"/>
  <c r="C111" i="3"/>
  <c r="X109" i="15"/>
  <c r="O109" i="15"/>
  <c r="BA109" i="15"/>
  <c r="BE109" i="15"/>
  <c r="BK109" i="15"/>
  <c r="AO111" i="3" s="1"/>
  <c r="C205" i="3"/>
  <c r="BW203" i="15"/>
  <c r="BA205" i="3" s="1"/>
  <c r="CG203" i="15"/>
  <c r="BK203" i="15"/>
  <c r="AO205" i="3" s="1"/>
  <c r="BE203" i="15"/>
  <c r="O203" i="15"/>
  <c r="BA203" i="15"/>
  <c r="X203" i="15"/>
  <c r="W62" i="15"/>
  <c r="B64" i="3"/>
  <c r="P110" i="15"/>
  <c r="CH110" i="15"/>
  <c r="BB110" i="15"/>
  <c r="P48" i="15"/>
  <c r="BD48" i="15"/>
  <c r="CH48" i="15"/>
  <c r="W48" i="15"/>
  <c r="BB48" i="15"/>
  <c r="B50" i="3"/>
  <c r="BX35" i="15"/>
  <c r="BB37" i="3" s="1"/>
  <c r="BK34" i="15"/>
  <c r="AO36" i="3" s="1"/>
  <c r="BA191" i="15"/>
  <c r="O126" i="15"/>
  <c r="X151" i="15"/>
  <c r="CG46" i="15"/>
  <c r="CG187" i="15"/>
  <c r="CG34" i="15"/>
  <c r="CG91" i="15"/>
  <c r="CG32" i="15"/>
  <c r="P168" i="15"/>
  <c r="W168" i="15"/>
  <c r="B170" i="3"/>
  <c r="CH168" i="15"/>
  <c r="BB168" i="15"/>
  <c r="BD168" i="15"/>
  <c r="P123" i="15"/>
  <c r="BB123" i="15"/>
  <c r="BD123" i="15"/>
  <c r="CH123" i="15"/>
  <c r="B125" i="3"/>
  <c r="BX178" i="15"/>
  <c r="BB180" i="3" s="1"/>
  <c r="CG178" i="15"/>
  <c r="BK178" i="15"/>
  <c r="AO180" i="3" s="1"/>
  <c r="BE178" i="15"/>
  <c r="BW178" i="15"/>
  <c r="BA180" i="3" s="1"/>
  <c r="O178" i="15"/>
  <c r="X178" i="15"/>
  <c r="C180" i="3"/>
  <c r="BA178" i="15"/>
  <c r="C64" i="3"/>
  <c r="BK62" i="15"/>
  <c r="AO64" i="3" s="1"/>
  <c r="CG110" i="15"/>
  <c r="BA110" i="15"/>
  <c r="C50" i="3"/>
  <c r="O48" i="15"/>
  <c r="P26" i="15"/>
  <c r="BD26" i="15"/>
  <c r="B28" i="3"/>
  <c r="CH26" i="15"/>
  <c r="W26" i="15"/>
  <c r="BB26" i="15"/>
  <c r="BK35" i="15"/>
  <c r="AO37" i="3" s="1"/>
  <c r="C153" i="3"/>
  <c r="AI153" i="3" s="1"/>
  <c r="P69" i="15"/>
  <c r="BA98" i="15"/>
  <c r="CH160" i="15"/>
  <c r="BK151" i="15"/>
  <c r="AO153" i="3" s="1"/>
  <c r="BE46" i="15"/>
  <c r="BE187" i="15"/>
  <c r="BK62" i="3"/>
  <c r="BA34" i="15"/>
  <c r="C93" i="3"/>
  <c r="AI93" i="3" s="1"/>
  <c r="BK32" i="15"/>
  <c r="AO34" i="3" s="1"/>
  <c r="BB62" i="15"/>
  <c r="P192" i="15"/>
  <c r="BD192" i="15"/>
  <c r="B181" i="3"/>
  <c r="P179" i="15"/>
  <c r="BB179" i="15"/>
  <c r="W179" i="15"/>
  <c r="CH179" i="15"/>
  <c r="BD179" i="15"/>
  <c r="BB186" i="15"/>
  <c r="B188" i="3"/>
  <c r="CH186" i="15"/>
  <c r="P186" i="15"/>
  <c r="W186" i="15"/>
  <c r="BD186" i="15"/>
  <c r="AH73" i="3"/>
  <c r="BL73" i="3"/>
  <c r="BW26" i="15"/>
  <c r="BA28" i="3" s="1"/>
  <c r="C28" i="3"/>
  <c r="C100" i="3"/>
  <c r="AI100" i="3" s="1"/>
  <c r="BB202" i="15"/>
  <c r="BK126" i="15"/>
  <c r="AO128" i="3" s="1"/>
  <c r="X46" i="15"/>
  <c r="BA187" i="15"/>
  <c r="BE34" i="15"/>
  <c r="W94" i="15"/>
  <c r="BD62" i="15"/>
  <c r="BX193" i="15"/>
  <c r="BB195" i="3" s="1"/>
  <c r="C194" i="3"/>
  <c r="CG192" i="15"/>
  <c r="BX192" i="15"/>
  <c r="BB194" i="3" s="1"/>
  <c r="BK192" i="15"/>
  <c r="AO194" i="3" s="1"/>
  <c r="O192" i="15"/>
  <c r="AH35" i="3"/>
  <c r="BL35" i="3"/>
  <c r="CH91" i="15"/>
  <c r="W91" i="15"/>
  <c r="BB91" i="15"/>
  <c r="BD91" i="15"/>
  <c r="P138" i="15"/>
  <c r="W138" i="15"/>
  <c r="BD138" i="15"/>
  <c r="BB138" i="15"/>
  <c r="B140" i="3"/>
  <c r="CH138" i="15"/>
  <c r="P23" i="15"/>
  <c r="B25" i="3"/>
  <c r="BB23" i="15"/>
  <c r="BW186" i="15"/>
  <c r="BA188" i="3" s="1"/>
  <c r="O186" i="15"/>
  <c r="CH164" i="15"/>
  <c r="W164" i="15"/>
  <c r="B166" i="3"/>
  <c r="P164" i="15"/>
  <c r="BB164" i="15"/>
  <c r="BD164" i="15"/>
  <c r="P34" i="15"/>
  <c r="BB34" i="15"/>
  <c r="B36" i="3"/>
  <c r="BD34" i="15"/>
  <c r="W34" i="15"/>
  <c r="CH34" i="15"/>
  <c r="D35" i="3"/>
  <c r="D187" i="3"/>
  <c r="D73" i="3"/>
  <c r="D105" i="3"/>
  <c r="D153" i="3"/>
  <c r="D34" i="3"/>
  <c r="D77" i="3"/>
  <c r="D31" i="3"/>
  <c r="D24" i="3"/>
  <c r="D157" i="3"/>
  <c r="D122" i="3"/>
  <c r="D126" i="3"/>
  <c r="D43" i="3"/>
  <c r="D197" i="3"/>
  <c r="BA7" i="15"/>
  <c r="X7" i="15"/>
  <c r="O7" i="15"/>
  <c r="BX163" i="15"/>
  <c r="BB165" i="3" s="1"/>
  <c r="X163" i="15"/>
  <c r="CG163" i="15"/>
  <c r="C165" i="3"/>
  <c r="BK41" i="15"/>
  <c r="AO43" i="3" s="1"/>
  <c r="O41" i="15"/>
  <c r="X195" i="15"/>
  <c r="BA195" i="15"/>
  <c r="C197" i="3"/>
  <c r="O195" i="15"/>
  <c r="BW7" i="15"/>
  <c r="BA9" i="3" s="1"/>
  <c r="AI54" i="3"/>
  <c r="BA111" i="15"/>
  <c r="BW111" i="15"/>
  <c r="BA113" i="3" s="1"/>
  <c r="BW98" i="15"/>
  <c r="BA100" i="3" s="1"/>
  <c r="BA41" i="15"/>
  <c r="C193" i="3"/>
  <c r="AI193" i="3" s="1"/>
  <c r="BE147" i="15"/>
  <c r="O163" i="15"/>
  <c r="C35" i="3"/>
  <c r="X33" i="15"/>
  <c r="O33" i="15"/>
  <c r="BW33" i="15"/>
  <c r="BA35" i="3" s="1"/>
  <c r="BA33" i="15"/>
  <c r="CG33" i="15"/>
  <c r="BK33" i="15"/>
  <c r="AO35" i="3" s="1"/>
  <c r="BE33" i="15"/>
  <c r="BX33" i="15"/>
  <c r="BB35" i="3" s="1"/>
  <c r="W11" i="15"/>
  <c r="BD11" i="15"/>
  <c r="B13" i="3"/>
  <c r="P49" i="15"/>
  <c r="B51" i="3"/>
  <c r="BD49" i="15"/>
  <c r="W49" i="15"/>
  <c r="BB49" i="15"/>
  <c r="CH49" i="15"/>
  <c r="X147" i="15"/>
  <c r="BW195" i="15"/>
  <c r="BA197" i="3" s="1"/>
  <c r="BK195" i="15"/>
  <c r="AO197" i="3" s="1"/>
  <c r="BK129" i="15"/>
  <c r="AO131" i="3" s="1"/>
  <c r="X129" i="15"/>
  <c r="BE129" i="15"/>
  <c r="BW129" i="15"/>
  <c r="BA131" i="3" s="1"/>
  <c r="BX129" i="15"/>
  <c r="BB131" i="3" s="1"/>
  <c r="C131" i="3"/>
  <c r="BA129" i="15"/>
  <c r="CG129" i="15"/>
  <c r="O129" i="15"/>
  <c r="CH185" i="15"/>
  <c r="W185" i="15"/>
  <c r="BD185" i="15"/>
  <c r="BW11" i="15"/>
  <c r="BA13" i="3" s="1"/>
  <c r="BA11" i="15"/>
  <c r="X11" i="15"/>
  <c r="BK11" i="15"/>
  <c r="AO13" i="3" s="1"/>
  <c r="CG11" i="15"/>
  <c r="O11" i="15"/>
  <c r="BE11" i="15"/>
  <c r="C13" i="3"/>
  <c r="BW49" i="15"/>
  <c r="BA51" i="3" s="1"/>
  <c r="BX49" i="15"/>
  <c r="BB51" i="3" s="1"/>
  <c r="X49" i="15"/>
  <c r="CG49" i="15"/>
  <c r="BA49" i="15"/>
  <c r="BK49" i="15"/>
  <c r="AO51" i="3" s="1"/>
  <c r="O49" i="15"/>
  <c r="C51" i="3"/>
  <c r="BE49" i="15"/>
  <c r="BE7" i="15"/>
  <c r="CG147" i="15"/>
  <c r="BA163" i="15"/>
  <c r="BA71" i="15"/>
  <c r="CH103" i="15"/>
  <c r="B105" i="3"/>
  <c r="P103" i="15"/>
  <c r="BD103" i="15"/>
  <c r="W103" i="15"/>
  <c r="BB103" i="15"/>
  <c r="O185" i="15"/>
  <c r="X185" i="15"/>
  <c r="C187" i="3"/>
  <c r="BW185" i="15"/>
  <c r="BA187" i="3" s="1"/>
  <c r="BA185" i="15"/>
  <c r="BE185" i="15"/>
  <c r="CG185" i="15"/>
  <c r="BK185" i="15"/>
  <c r="AO187" i="3" s="1"/>
  <c r="BW117" i="15"/>
  <c r="BA119" i="3" s="1"/>
  <c r="CG117" i="15"/>
  <c r="X117" i="15"/>
  <c r="BA117" i="15"/>
  <c r="BX117" i="15"/>
  <c r="BB119" i="3" s="1"/>
  <c r="BE117" i="15"/>
  <c r="BK117" i="15"/>
  <c r="AO119" i="3" s="1"/>
  <c r="C119" i="3"/>
  <c r="O117" i="15"/>
  <c r="BK57" i="3"/>
  <c r="AI57" i="3"/>
  <c r="BW147" i="15"/>
  <c r="BA149" i="3" s="1"/>
  <c r="C9" i="3"/>
  <c r="BK9" i="3" s="1"/>
  <c r="BE195" i="15"/>
  <c r="CG103" i="15"/>
  <c r="C105" i="3"/>
  <c r="BX103" i="15"/>
  <c r="BB105" i="3" s="1"/>
  <c r="X103" i="15"/>
  <c r="BK103" i="15"/>
  <c r="AO105" i="3" s="1"/>
  <c r="BE103" i="15"/>
  <c r="BW103" i="15"/>
  <c r="BA105" i="3" s="1"/>
  <c r="BA103" i="15"/>
  <c r="O103" i="15"/>
  <c r="AI183" i="3"/>
  <c r="BK183" i="3"/>
  <c r="BE29" i="15"/>
  <c r="O29" i="15"/>
  <c r="B153" i="3"/>
  <c r="CH151" i="15"/>
  <c r="P151" i="15"/>
  <c r="W151" i="15"/>
  <c r="BD151" i="15"/>
  <c r="BB151" i="15"/>
  <c r="BK22" i="15"/>
  <c r="AO24" i="3" s="1"/>
  <c r="CG22" i="15"/>
  <c r="BW22" i="15"/>
  <c r="BA24" i="3" s="1"/>
  <c r="BA22" i="15"/>
  <c r="X22" i="15"/>
  <c r="BX22" i="15"/>
  <c r="BB24" i="3" s="1"/>
  <c r="C24" i="3"/>
  <c r="BE22" i="15"/>
  <c r="O22" i="15"/>
  <c r="CH144" i="15"/>
  <c r="P32" i="15"/>
  <c r="CH32" i="15"/>
  <c r="BD32" i="15"/>
  <c r="W32" i="15"/>
  <c r="B34" i="3"/>
  <c r="BB32" i="15"/>
  <c r="P25" i="15"/>
  <c r="CH25" i="15"/>
  <c r="BD25" i="15"/>
  <c r="BB25" i="15"/>
  <c r="B27" i="3"/>
  <c r="W25" i="15"/>
  <c r="B119" i="3"/>
  <c r="BX195" i="15"/>
  <c r="BB197" i="3" s="1"/>
  <c r="BX41" i="15"/>
  <c r="BB43" i="3" s="1"/>
  <c r="P113" i="15"/>
  <c r="W117" i="15"/>
  <c r="C43" i="3"/>
  <c r="AI43" i="3" s="1"/>
  <c r="BL152" i="3"/>
  <c r="AH152" i="3"/>
  <c r="P29" i="15"/>
  <c r="BB29" i="15"/>
  <c r="CH29" i="15"/>
  <c r="B31" i="3"/>
  <c r="BD29" i="15"/>
  <c r="W29" i="15"/>
  <c r="BX151" i="15"/>
  <c r="BB153" i="3" s="1"/>
  <c r="O151" i="15"/>
  <c r="BE151" i="15"/>
  <c r="CG151" i="15"/>
  <c r="BB22" i="15"/>
  <c r="P22" i="15"/>
  <c r="W22" i="15"/>
  <c r="BD22" i="15"/>
  <c r="B24" i="3"/>
  <c r="CH22" i="15"/>
  <c r="BW144" i="15"/>
  <c r="BA146" i="3" s="1"/>
  <c r="BA144" i="15"/>
  <c r="BX144" i="15"/>
  <c r="BB146" i="3" s="1"/>
  <c r="BE144" i="15"/>
  <c r="X144" i="15"/>
  <c r="O144" i="15"/>
  <c r="C146" i="3"/>
  <c r="CG144" i="15"/>
  <c r="BK144" i="15"/>
  <c r="AO146" i="3" s="1"/>
  <c r="BD39" i="15"/>
  <c r="B41" i="3"/>
  <c r="BW25" i="15"/>
  <c r="BA27" i="3" s="1"/>
  <c r="O25" i="15"/>
  <c r="BX25" i="15"/>
  <c r="BB27" i="3" s="1"/>
  <c r="BA25" i="15"/>
  <c r="BK25" i="15"/>
  <c r="AO27" i="3" s="1"/>
  <c r="CG25" i="15"/>
  <c r="C27" i="3"/>
  <c r="X25" i="15"/>
  <c r="BE25" i="15"/>
  <c r="BB155" i="15"/>
  <c r="P155" i="15"/>
  <c r="W155" i="15"/>
  <c r="B157" i="3"/>
  <c r="BD155" i="15"/>
  <c r="CH155" i="15"/>
  <c r="O98" i="15"/>
  <c r="CH66" i="15"/>
  <c r="BA147" i="15"/>
  <c r="BK147" i="15"/>
  <c r="AO149" i="3" s="1"/>
  <c r="X191" i="15"/>
  <c r="BD117" i="15"/>
  <c r="BW41" i="15"/>
  <c r="BA43" i="3" s="1"/>
  <c r="CG7" i="15"/>
  <c r="P120" i="15"/>
  <c r="W120" i="15"/>
  <c r="BD120" i="15"/>
  <c r="CH120" i="15"/>
  <c r="B122" i="3"/>
  <c r="BB120" i="15"/>
  <c r="BX39" i="15"/>
  <c r="BB41" i="3" s="1"/>
  <c r="O39" i="15"/>
  <c r="C41" i="3"/>
  <c r="BE39" i="15"/>
  <c r="CG39" i="15"/>
  <c r="BK39" i="15"/>
  <c r="AO41" i="3" s="1"/>
  <c r="BA39" i="15"/>
  <c r="X39" i="15"/>
  <c r="P124" i="15"/>
  <c r="W124" i="15"/>
  <c r="BB124" i="15"/>
  <c r="B126" i="3"/>
  <c r="BD124" i="15"/>
  <c r="CH124" i="15"/>
  <c r="AH112" i="3"/>
  <c r="BL112" i="3"/>
  <c r="C157" i="3"/>
  <c r="BW155" i="15"/>
  <c r="BA157" i="3" s="1"/>
  <c r="X155" i="15"/>
  <c r="BX155" i="15"/>
  <c r="BB157" i="3" s="1"/>
  <c r="BA155" i="15"/>
  <c r="BE155" i="15"/>
  <c r="CG155" i="15"/>
  <c r="BK155" i="15"/>
  <c r="AO157" i="3" s="1"/>
  <c r="CG41" i="15"/>
  <c r="BK98" i="15"/>
  <c r="AO100" i="3" s="1"/>
  <c r="O71" i="15"/>
  <c r="C149" i="3"/>
  <c r="O191" i="15"/>
  <c r="BB117" i="15"/>
  <c r="BW163" i="15"/>
  <c r="BA165" i="3" s="1"/>
  <c r="CG195" i="15"/>
  <c r="BK7" i="15"/>
  <c r="AO9" i="3" s="1"/>
  <c r="BW120" i="15"/>
  <c r="BA122" i="3" s="1"/>
  <c r="X120" i="15"/>
  <c r="O120" i="15"/>
  <c r="BK120" i="15"/>
  <c r="AO122" i="3" s="1"/>
  <c r="CG120" i="15"/>
  <c r="C122" i="3"/>
  <c r="BE120" i="15"/>
  <c r="BL169" i="3"/>
  <c r="AH169" i="3"/>
  <c r="C126" i="3"/>
  <c r="X124" i="15"/>
  <c r="BK124" i="15"/>
  <c r="AO126" i="3" s="1"/>
  <c r="BW124" i="15"/>
  <c r="BA126" i="3" s="1"/>
  <c r="O124" i="15"/>
  <c r="BX124" i="15"/>
  <c r="BB126" i="3" s="1"/>
  <c r="BE124" i="15"/>
  <c r="CG124" i="15"/>
  <c r="BA124" i="15"/>
  <c r="B165" i="3"/>
  <c r="BD163" i="15"/>
  <c r="W163" i="15"/>
  <c r="CH163" i="15"/>
  <c r="BD41" i="15"/>
  <c r="CH41" i="15"/>
  <c r="W41" i="15"/>
  <c r="BB41" i="15"/>
  <c r="B43" i="3"/>
  <c r="P195" i="15"/>
  <c r="BB195" i="15"/>
  <c r="CH195" i="15"/>
  <c r="BD195" i="15"/>
  <c r="B197" i="3"/>
  <c r="W195" i="15"/>
  <c r="D32" i="3"/>
  <c r="D75" i="3"/>
  <c r="D87" i="3"/>
  <c r="D38" i="3"/>
  <c r="D12" i="3"/>
  <c r="D69" i="3"/>
  <c r="D48" i="3"/>
  <c r="D37" i="3"/>
  <c r="D94" i="3"/>
  <c r="D44" i="3"/>
  <c r="D121" i="3"/>
  <c r="D136" i="3"/>
  <c r="D156" i="3"/>
  <c r="D120" i="3"/>
  <c r="D163" i="3"/>
  <c r="D47" i="3"/>
  <c r="D56" i="3"/>
  <c r="D101" i="3"/>
  <c r="AI84" i="3"/>
  <c r="BK84" i="3"/>
  <c r="BX77" i="15"/>
  <c r="BB79" i="3" s="1"/>
  <c r="X77" i="15"/>
  <c r="BK77" i="15"/>
  <c r="AO79" i="3" s="1"/>
  <c r="CG77" i="15"/>
  <c r="C79" i="3"/>
  <c r="O77" i="15"/>
  <c r="BA77" i="15"/>
  <c r="BE77" i="15"/>
  <c r="BW77" i="15"/>
  <c r="BA79" i="3" s="1"/>
  <c r="P30" i="15"/>
  <c r="CH30" i="15"/>
  <c r="B32" i="3"/>
  <c r="W30" i="15"/>
  <c r="BB30" i="15"/>
  <c r="BD30" i="15"/>
  <c r="CH73" i="15"/>
  <c r="B75" i="3"/>
  <c r="BB73" i="15"/>
  <c r="P24" i="15"/>
  <c r="W24" i="15"/>
  <c r="BB24" i="15"/>
  <c r="B26" i="3"/>
  <c r="BD24" i="15"/>
  <c r="CH24" i="15"/>
  <c r="BD98" i="15"/>
  <c r="CH98" i="15"/>
  <c r="W98" i="15"/>
  <c r="P98" i="15"/>
  <c r="BB98" i="15"/>
  <c r="B100" i="3"/>
  <c r="BD85" i="15"/>
  <c r="B87" i="3"/>
  <c r="CH85" i="15"/>
  <c r="W85" i="15"/>
  <c r="P85" i="15"/>
  <c r="BB85" i="15"/>
  <c r="P78" i="15"/>
  <c r="BD78" i="15"/>
  <c r="B80" i="3"/>
  <c r="BB78" i="15"/>
  <c r="W78" i="15"/>
  <c r="CH78" i="15"/>
  <c r="BW196" i="15"/>
  <c r="BA198" i="3" s="1"/>
  <c r="BA196" i="15"/>
  <c r="BX196" i="15"/>
  <c r="BB198" i="3" s="1"/>
  <c r="CG196" i="15"/>
  <c r="C198" i="3"/>
  <c r="BK196" i="15"/>
  <c r="AO198" i="3" s="1"/>
  <c r="O196" i="15"/>
  <c r="BE196" i="15"/>
  <c r="X196" i="15"/>
  <c r="BD113" i="15"/>
  <c r="W113" i="15"/>
  <c r="P36" i="15"/>
  <c r="CH36" i="15"/>
  <c r="B38" i="3"/>
  <c r="BB36" i="15"/>
  <c r="BD36" i="15"/>
  <c r="W36" i="15"/>
  <c r="BW35" i="15"/>
  <c r="BA37" i="3" s="1"/>
  <c r="O35" i="15"/>
  <c r="BA35" i="15"/>
  <c r="X35" i="15"/>
  <c r="C37" i="3"/>
  <c r="BK85" i="15"/>
  <c r="AO87" i="3" s="1"/>
  <c r="BX85" i="15"/>
  <c r="BB87" i="3" s="1"/>
  <c r="C87" i="3"/>
  <c r="BE85" i="15"/>
  <c r="BA85" i="15"/>
  <c r="CG85" i="15"/>
  <c r="X85" i="15"/>
  <c r="BW85" i="15"/>
  <c r="BA87" i="3" s="1"/>
  <c r="O85" i="15"/>
  <c r="BE78" i="15"/>
  <c r="BW78" i="15"/>
  <c r="BA80" i="3" s="1"/>
  <c r="O78" i="15"/>
  <c r="BX78" i="15"/>
  <c r="BB80" i="3" s="1"/>
  <c r="BA78" i="15"/>
  <c r="C80" i="3"/>
  <c r="BK78" i="15"/>
  <c r="AO80" i="3" s="1"/>
  <c r="CG78" i="15"/>
  <c r="X78" i="15"/>
  <c r="BW66" i="15"/>
  <c r="BA68" i="3" s="1"/>
  <c r="BX66" i="15"/>
  <c r="BB68" i="3" s="1"/>
  <c r="BK66" i="15"/>
  <c r="AO68" i="3" s="1"/>
  <c r="O66" i="15"/>
  <c r="X66" i="15"/>
  <c r="BA66" i="15"/>
  <c r="CG66" i="15"/>
  <c r="C68" i="3"/>
  <c r="BE66" i="15"/>
  <c r="CH113" i="15"/>
  <c r="X98" i="15"/>
  <c r="X165" i="15"/>
  <c r="BX191" i="15"/>
  <c r="BB193" i="3" s="1"/>
  <c r="CG71" i="15"/>
  <c r="P10" i="15"/>
  <c r="W10" i="15"/>
  <c r="B12" i="3"/>
  <c r="BD10" i="15"/>
  <c r="BB10" i="15"/>
  <c r="CH10" i="15"/>
  <c r="BD177" i="15"/>
  <c r="B179" i="3"/>
  <c r="BB177" i="15"/>
  <c r="CH177" i="15"/>
  <c r="CH67" i="15"/>
  <c r="B69" i="3"/>
  <c r="P67" i="15"/>
  <c r="BB67" i="15"/>
  <c r="BD67" i="15"/>
  <c r="W67" i="15"/>
  <c r="P46" i="15"/>
  <c r="B48" i="3"/>
  <c r="W46" i="15"/>
  <c r="CH46" i="15"/>
  <c r="BD46" i="15"/>
  <c r="BB46" i="15"/>
  <c r="P35" i="15"/>
  <c r="CH35" i="15"/>
  <c r="B37" i="3"/>
  <c r="BD35" i="15"/>
  <c r="BB35" i="15"/>
  <c r="W35" i="15"/>
  <c r="CG111" i="15"/>
  <c r="BK111" i="15"/>
  <c r="AO113" i="3" s="1"/>
  <c r="CH92" i="15"/>
  <c r="W92" i="15"/>
  <c r="B94" i="3"/>
  <c r="P92" i="15"/>
  <c r="BB92" i="15"/>
  <c r="BD92" i="15"/>
  <c r="BL155" i="3"/>
  <c r="AH155" i="3"/>
  <c r="W133" i="15"/>
  <c r="BD133" i="15"/>
  <c r="BB133" i="15"/>
  <c r="P66" i="15"/>
  <c r="BB66" i="15"/>
  <c r="W66" i="15"/>
  <c r="P42" i="15"/>
  <c r="BD42" i="15"/>
  <c r="B44" i="3"/>
  <c r="BB42" i="15"/>
  <c r="CH42" i="15"/>
  <c r="W42" i="15"/>
  <c r="C77" i="3"/>
  <c r="BE75" i="15"/>
  <c r="O75" i="15"/>
  <c r="BA75" i="15"/>
  <c r="BW75" i="15"/>
  <c r="BA77" i="3" s="1"/>
  <c r="BK75" i="15"/>
  <c r="AO77" i="3" s="1"/>
  <c r="BX75" i="15"/>
  <c r="BB77" i="3" s="1"/>
  <c r="CG75" i="15"/>
  <c r="X75" i="15"/>
  <c r="BB119" i="15"/>
  <c r="P119" i="15"/>
  <c r="W119" i="15"/>
  <c r="B121" i="3"/>
  <c r="CH119" i="15"/>
  <c r="BD119" i="15"/>
  <c r="BW46" i="15"/>
  <c r="BA48" i="3" s="1"/>
  <c r="O46" i="15"/>
  <c r="C48" i="3"/>
  <c r="BA46" i="15"/>
  <c r="P84" i="15"/>
  <c r="B86" i="3"/>
  <c r="W84" i="15"/>
  <c r="CH84" i="15"/>
  <c r="BB84" i="15"/>
  <c r="BK118" i="15"/>
  <c r="AO120" i="3" s="1"/>
  <c r="BA118" i="15"/>
  <c r="CG118" i="15"/>
  <c r="BE118" i="15"/>
  <c r="C120" i="3"/>
  <c r="O118" i="15"/>
  <c r="BW118" i="15"/>
  <c r="BA120" i="3" s="1"/>
  <c r="BX118" i="15"/>
  <c r="BB120" i="3" s="1"/>
  <c r="X118" i="15"/>
  <c r="O92" i="15"/>
  <c r="CG92" i="15"/>
  <c r="X92" i="15"/>
  <c r="C94" i="3"/>
  <c r="BE92" i="15"/>
  <c r="BW92" i="15"/>
  <c r="BA94" i="3" s="1"/>
  <c r="BX92" i="15"/>
  <c r="BB94" i="3" s="1"/>
  <c r="BK92" i="15"/>
  <c r="AO94" i="3" s="1"/>
  <c r="BA92" i="15"/>
  <c r="BW133" i="15"/>
  <c r="BA135" i="3" s="1"/>
  <c r="C135" i="3"/>
  <c r="BA133" i="15"/>
  <c r="BE133" i="15"/>
  <c r="BX133" i="15"/>
  <c r="BB135" i="3" s="1"/>
  <c r="X133" i="15"/>
  <c r="O133" i="15"/>
  <c r="CG133" i="15"/>
  <c r="BK133" i="15"/>
  <c r="AO135" i="3" s="1"/>
  <c r="BB134" i="15"/>
  <c r="W134" i="15"/>
  <c r="P134" i="15"/>
  <c r="B136" i="3"/>
  <c r="CH134" i="15"/>
  <c r="BD134" i="15"/>
  <c r="CG98" i="15"/>
  <c r="B71" i="3"/>
  <c r="AH71" i="3" s="1"/>
  <c r="BA165" i="15"/>
  <c r="BX71" i="15"/>
  <c r="BB73" i="3" s="1"/>
  <c r="P80" i="15"/>
  <c r="BD80" i="15"/>
  <c r="CH80" i="15"/>
  <c r="BB80" i="15"/>
  <c r="W80" i="15"/>
  <c r="B82" i="3"/>
  <c r="BA126" i="15"/>
  <c r="X126" i="15"/>
  <c r="P154" i="15"/>
  <c r="B156" i="3"/>
  <c r="W154" i="15"/>
  <c r="CH154" i="15"/>
  <c r="BD154" i="15"/>
  <c r="BB154" i="15"/>
  <c r="X84" i="15"/>
  <c r="BA84" i="15"/>
  <c r="BW84" i="15"/>
  <c r="BA86" i="3" s="1"/>
  <c r="BX84" i="15"/>
  <c r="BB86" i="3" s="1"/>
  <c r="O84" i="15"/>
  <c r="BE84" i="15"/>
  <c r="BK84" i="15"/>
  <c r="AO86" i="3" s="1"/>
  <c r="C86" i="3"/>
  <c r="CG84" i="15"/>
  <c r="P118" i="15"/>
  <c r="W118" i="15"/>
  <c r="B120" i="3"/>
  <c r="CH118" i="15"/>
  <c r="BB118" i="15"/>
  <c r="BD118" i="15"/>
  <c r="BX99" i="15"/>
  <c r="BB101" i="3" s="1"/>
  <c r="BA99" i="15"/>
  <c r="CG99" i="15"/>
  <c r="X99" i="15"/>
  <c r="BE99" i="15"/>
  <c r="BW99" i="15"/>
  <c r="BA101" i="3" s="1"/>
  <c r="C101" i="3"/>
  <c r="O99" i="15"/>
  <c r="CH189" i="15"/>
  <c r="BB189" i="15"/>
  <c r="W189" i="15"/>
  <c r="B163" i="3"/>
  <c r="CH161" i="15"/>
  <c r="BD161" i="15"/>
  <c r="W161" i="15"/>
  <c r="P161" i="15"/>
  <c r="BB161" i="15"/>
  <c r="BK177" i="3"/>
  <c r="AI177" i="3"/>
  <c r="W140" i="15"/>
  <c r="CH140" i="15"/>
  <c r="P45" i="15"/>
  <c r="BD45" i="15"/>
  <c r="CH45" i="15"/>
  <c r="BB45" i="15"/>
  <c r="W45" i="15"/>
  <c r="B47" i="3"/>
  <c r="C136" i="3"/>
  <c r="BX134" i="15"/>
  <c r="BB136" i="3" s="1"/>
  <c r="CG134" i="15"/>
  <c r="BD69" i="15"/>
  <c r="BE98" i="15"/>
  <c r="W69" i="15"/>
  <c r="W73" i="15"/>
  <c r="P73" i="15"/>
  <c r="BB54" i="15"/>
  <c r="B56" i="3"/>
  <c r="W54" i="15"/>
  <c r="BD54" i="15"/>
  <c r="CH54" i="15"/>
  <c r="P54" i="15"/>
  <c r="CH190" i="15"/>
  <c r="BD190" i="15"/>
  <c r="W190" i="15"/>
  <c r="B192" i="3"/>
  <c r="BB190" i="15"/>
  <c r="P99" i="15"/>
  <c r="CH99" i="15"/>
  <c r="B101" i="3"/>
  <c r="BB99" i="15"/>
  <c r="BD99" i="15"/>
  <c r="W99" i="15"/>
  <c r="BA189" i="15"/>
  <c r="O189" i="15"/>
  <c r="C191" i="3"/>
  <c r="CG189" i="15"/>
  <c r="BW189" i="15"/>
  <c r="BA191" i="3" s="1"/>
  <c r="BX189" i="15"/>
  <c r="BB191" i="3" s="1"/>
  <c r="BE189" i="15"/>
  <c r="BK189" i="15"/>
  <c r="AO191" i="3" s="1"/>
  <c r="X189" i="15"/>
  <c r="O161" i="15"/>
  <c r="BA161" i="15"/>
  <c r="X161" i="15"/>
  <c r="C163" i="3"/>
  <c r="BW161" i="15"/>
  <c r="BA163" i="3" s="1"/>
  <c r="CG161" i="15"/>
  <c r="BX161" i="15"/>
  <c r="BB163" i="3" s="1"/>
  <c r="BE161" i="15"/>
  <c r="BK161" i="15"/>
  <c r="AO163" i="3" s="1"/>
  <c r="BA140" i="15"/>
  <c r="CG140" i="15"/>
  <c r="O140" i="15"/>
  <c r="BK140" i="15"/>
  <c r="AO142" i="3" s="1"/>
  <c r="BE140" i="15"/>
  <c r="X140" i="15"/>
  <c r="C142" i="3"/>
  <c r="BA45" i="15"/>
  <c r="BW45" i="15"/>
  <c r="BA47" i="3" s="1"/>
  <c r="BX45" i="15"/>
  <c r="BB47" i="3" s="1"/>
  <c r="BE45" i="15"/>
  <c r="BK45" i="15"/>
  <c r="AO47" i="3" s="1"/>
  <c r="C47" i="3"/>
  <c r="CG45" i="15"/>
  <c r="X45" i="15"/>
  <c r="O45" i="15"/>
  <c r="B115" i="3"/>
  <c r="AH115" i="3" s="1"/>
  <c r="BE191" i="15"/>
  <c r="BK71" i="15"/>
  <c r="AO73" i="3" s="1"/>
  <c r="BD73" i="15"/>
  <c r="BK185" i="3"/>
  <c r="AI185" i="3"/>
  <c r="BD77" i="15"/>
  <c r="P77" i="15"/>
  <c r="B79" i="3"/>
  <c r="CH77" i="15"/>
  <c r="W77" i="15"/>
  <c r="BB77" i="15"/>
  <c r="BK168" i="3"/>
  <c r="AI168" i="3"/>
  <c r="O30" i="15"/>
  <c r="BE30" i="15"/>
  <c r="X30" i="15"/>
  <c r="BW30" i="15"/>
  <c r="BA32" i="3" s="1"/>
  <c r="BX30" i="15"/>
  <c r="BB32" i="3" s="1"/>
  <c r="CG30" i="15"/>
  <c r="BA30" i="15"/>
  <c r="C32" i="3"/>
  <c r="D55" i="3"/>
  <c r="W9" i="15"/>
  <c r="P9" i="15"/>
  <c r="B11" i="3"/>
  <c r="BB9" i="15"/>
  <c r="CH9" i="15"/>
  <c r="BD9" i="15"/>
  <c r="BK107" i="15"/>
  <c r="AO109" i="3" s="1"/>
  <c r="BX107" i="15"/>
  <c r="BB109" i="3" s="1"/>
  <c r="C109" i="3"/>
  <c r="CG107" i="15"/>
  <c r="BW107" i="15"/>
  <c r="BA109" i="3" s="1"/>
  <c r="BA107" i="15"/>
  <c r="X107" i="15"/>
  <c r="BE107" i="15"/>
  <c r="O107" i="15"/>
  <c r="B83" i="3"/>
  <c r="BA188" i="15"/>
  <c r="BX188" i="15"/>
  <c r="BB190" i="3" s="1"/>
  <c r="O188" i="15"/>
  <c r="BK188" i="15"/>
  <c r="AO190" i="3" s="1"/>
  <c r="BE188" i="15"/>
  <c r="CG188" i="15"/>
  <c r="BW188" i="15"/>
  <c r="BA190" i="3" s="1"/>
  <c r="C190" i="3"/>
  <c r="X188" i="15"/>
  <c r="B183" i="3"/>
  <c r="W181" i="15"/>
  <c r="P181" i="15"/>
  <c r="BB181" i="15"/>
  <c r="CH181" i="15"/>
  <c r="BD181" i="15"/>
  <c r="BW28" i="15"/>
  <c r="BA30" i="3" s="1"/>
  <c r="BX28" i="15"/>
  <c r="BB30" i="3" s="1"/>
  <c r="C30" i="3"/>
  <c r="CG28" i="15"/>
  <c r="BA28" i="15"/>
  <c r="O28" i="15"/>
  <c r="X28" i="15"/>
  <c r="BK28" i="15"/>
  <c r="AO30" i="3" s="1"/>
  <c r="BE28" i="15"/>
  <c r="BW169" i="15"/>
  <c r="BA171" i="3" s="1"/>
  <c r="BX169" i="15"/>
  <c r="BB171" i="3" s="1"/>
  <c r="BK169" i="15"/>
  <c r="AO171" i="3" s="1"/>
  <c r="CG169" i="15"/>
  <c r="X169" i="15"/>
  <c r="BA169" i="15"/>
  <c r="C171" i="3"/>
  <c r="BE169" i="15"/>
  <c r="O169" i="15"/>
  <c r="B49" i="3"/>
  <c r="CH47" i="15"/>
  <c r="BW141" i="15"/>
  <c r="BA143" i="3" s="1"/>
  <c r="BX141" i="15"/>
  <c r="BB143" i="3" s="1"/>
  <c r="BK141" i="15"/>
  <c r="AO143" i="3" s="1"/>
  <c r="C143" i="3"/>
  <c r="O141" i="15"/>
  <c r="BE141" i="15"/>
  <c r="CG141" i="15"/>
  <c r="X141" i="15"/>
  <c r="BA141" i="15"/>
  <c r="AI12" i="3"/>
  <c r="BK12" i="3"/>
  <c r="P19" i="15"/>
  <c r="W19" i="15"/>
  <c r="B21" i="3"/>
  <c r="BB19" i="15"/>
  <c r="BD19" i="15"/>
  <c r="CH19" i="15"/>
  <c r="P149" i="15"/>
  <c r="CH149" i="15"/>
  <c r="BB149" i="15"/>
  <c r="B151" i="3"/>
  <c r="W149" i="15"/>
  <c r="BD149" i="15"/>
  <c r="BK81" i="15"/>
  <c r="AO83" i="3" s="1"/>
  <c r="BW81" i="15"/>
  <c r="BA83" i="3" s="1"/>
  <c r="BX81" i="15"/>
  <c r="BB83" i="3" s="1"/>
  <c r="CG81" i="15"/>
  <c r="BA81" i="15"/>
  <c r="BE81" i="15"/>
  <c r="C83" i="3"/>
  <c r="O81" i="15"/>
  <c r="X81" i="15"/>
  <c r="W96" i="15"/>
  <c r="BB96" i="15"/>
  <c r="BD96" i="15"/>
  <c r="CH96" i="15"/>
  <c r="P96" i="15"/>
  <c r="B98" i="3"/>
  <c r="P152" i="15"/>
  <c r="B154" i="3"/>
  <c r="BD152" i="15"/>
  <c r="W152" i="15"/>
  <c r="BB152" i="15"/>
  <c r="CH152" i="15"/>
  <c r="BB63" i="15"/>
  <c r="W63" i="15"/>
  <c r="O47" i="15"/>
  <c r="BE47" i="15"/>
  <c r="BX47" i="15"/>
  <c r="BB49" i="3" s="1"/>
  <c r="C49" i="3"/>
  <c r="BK47" i="15"/>
  <c r="AO49" i="3" s="1"/>
  <c r="BA47" i="15"/>
  <c r="CG47" i="15"/>
  <c r="X47" i="15"/>
  <c r="BW153" i="15"/>
  <c r="BA155" i="3" s="1"/>
  <c r="BX153" i="15"/>
  <c r="BB155" i="3" s="1"/>
  <c r="BK153" i="15"/>
  <c r="AO155" i="3" s="1"/>
  <c r="BA153" i="15"/>
  <c r="X153" i="15"/>
  <c r="C155" i="3"/>
  <c r="O153" i="15"/>
  <c r="CG153" i="15"/>
  <c r="BE153" i="15"/>
  <c r="BK61" i="3"/>
  <c r="AI61" i="3"/>
  <c r="P15" i="15"/>
  <c r="B17" i="3"/>
  <c r="BD15" i="15"/>
  <c r="BB15" i="15"/>
  <c r="W15" i="15"/>
  <c r="CH15" i="15"/>
  <c r="BK149" i="15"/>
  <c r="AO151" i="3" s="1"/>
  <c r="C151" i="3"/>
  <c r="BW149" i="15"/>
  <c r="BA151" i="3" s="1"/>
  <c r="X149" i="15"/>
  <c r="BX149" i="15"/>
  <c r="BB151" i="3" s="1"/>
  <c r="BA149" i="15"/>
  <c r="BE149" i="15"/>
  <c r="O149" i="15"/>
  <c r="CG149" i="15"/>
  <c r="P101" i="15"/>
  <c r="B103" i="3"/>
  <c r="BB101" i="15"/>
  <c r="W101" i="15"/>
  <c r="BD101" i="15"/>
  <c r="CH101" i="15"/>
  <c r="BW96" i="15"/>
  <c r="BA98" i="3" s="1"/>
  <c r="BX96" i="15"/>
  <c r="BB98" i="3" s="1"/>
  <c r="BK96" i="15"/>
  <c r="AO98" i="3" s="1"/>
  <c r="O96" i="15"/>
  <c r="CG96" i="15"/>
  <c r="C98" i="3"/>
  <c r="X96" i="15"/>
  <c r="BE96" i="15"/>
  <c r="BA96" i="15"/>
  <c r="CH197" i="15"/>
  <c r="B199" i="3"/>
  <c r="P197" i="15"/>
  <c r="W197" i="15"/>
  <c r="BD197" i="15"/>
  <c r="BB197" i="15"/>
  <c r="BX63" i="15"/>
  <c r="BB65" i="3" s="1"/>
  <c r="BK63" i="15"/>
  <c r="AO65" i="3" s="1"/>
  <c r="BE63" i="15"/>
  <c r="C65" i="3"/>
  <c r="CG63" i="15"/>
  <c r="O63" i="15"/>
  <c r="BA63" i="15"/>
  <c r="X63" i="15"/>
  <c r="P201" i="15"/>
  <c r="W201" i="15"/>
  <c r="BD201" i="15"/>
  <c r="CH201" i="15"/>
  <c r="BB201" i="15"/>
  <c r="B203" i="3"/>
  <c r="CH165" i="15"/>
  <c r="W165" i="15"/>
  <c r="BD165" i="15"/>
  <c r="P165" i="15"/>
  <c r="BB165" i="15"/>
  <c r="B167" i="3"/>
  <c r="BB47" i="15"/>
  <c r="P47" i="15"/>
  <c r="P87" i="15"/>
  <c r="B89" i="3"/>
  <c r="BB87" i="15"/>
  <c r="W87" i="15"/>
  <c r="BD87" i="15"/>
  <c r="CH87" i="15"/>
  <c r="BW101" i="15"/>
  <c r="BA103" i="3" s="1"/>
  <c r="BX101" i="15"/>
  <c r="BB103" i="3" s="1"/>
  <c r="BK101" i="15"/>
  <c r="AO103" i="3" s="1"/>
  <c r="BE101" i="15"/>
  <c r="BA101" i="15"/>
  <c r="CG101" i="15"/>
  <c r="C103" i="3"/>
  <c r="O101" i="15"/>
  <c r="X101" i="15"/>
  <c r="P176" i="15"/>
  <c r="BD176" i="15"/>
  <c r="BB176" i="15"/>
  <c r="B178" i="3"/>
  <c r="W176" i="15"/>
  <c r="CH176" i="15"/>
  <c r="CH57" i="15"/>
  <c r="P57" i="15"/>
  <c r="W57" i="15"/>
  <c r="BB57" i="15"/>
  <c r="BD57" i="15"/>
  <c r="B59" i="3"/>
  <c r="BB69" i="15"/>
  <c r="BK165" i="15"/>
  <c r="AO167" i="3" s="1"/>
  <c r="CG165" i="15"/>
  <c r="BE165" i="15"/>
  <c r="BW165" i="15"/>
  <c r="BA167" i="3" s="1"/>
  <c r="C167" i="3"/>
  <c r="BX87" i="15"/>
  <c r="BB89" i="3" s="1"/>
  <c r="C89" i="3"/>
  <c r="BA87" i="15"/>
  <c r="BK87" i="15"/>
  <c r="AO89" i="3" s="1"/>
  <c r="X87" i="15"/>
  <c r="O87" i="15"/>
  <c r="CG87" i="15"/>
  <c r="BE87" i="15"/>
  <c r="W125" i="15"/>
  <c r="P125" i="15"/>
  <c r="B127" i="3"/>
  <c r="CH125" i="15"/>
  <c r="BB125" i="15"/>
  <c r="BD125" i="15"/>
  <c r="BE176" i="15"/>
  <c r="BX176" i="15"/>
  <c r="BB178" i="3" s="1"/>
  <c r="X176" i="15"/>
  <c r="O176" i="15"/>
  <c r="BB64" i="15"/>
  <c r="P64" i="15"/>
  <c r="CH64" i="15"/>
  <c r="B66" i="3"/>
  <c r="W64" i="15"/>
  <c r="BD64" i="15"/>
  <c r="BA69" i="15"/>
  <c r="BX69" i="15"/>
  <c r="BB71" i="3" s="1"/>
  <c r="X69" i="15"/>
  <c r="O69" i="15"/>
  <c r="C71" i="3"/>
  <c r="BE69" i="15"/>
  <c r="CG69" i="15"/>
  <c r="BW69" i="15"/>
  <c r="BA71" i="3" s="1"/>
  <c r="B161" i="3"/>
  <c r="W159" i="15"/>
  <c r="CH159" i="15"/>
  <c r="BD159" i="15"/>
  <c r="P159" i="15"/>
  <c r="BB159" i="15"/>
  <c r="BW53" i="15"/>
  <c r="BA55" i="3" s="1"/>
  <c r="BX53" i="15"/>
  <c r="BB55" i="3" s="1"/>
  <c r="BK53" i="15"/>
  <c r="AO55" i="3" s="1"/>
  <c r="BE53" i="15"/>
  <c r="X53" i="15"/>
  <c r="CG53" i="15"/>
  <c r="BA53" i="15"/>
  <c r="O53" i="15"/>
  <c r="C55" i="3"/>
  <c r="BL113" i="3"/>
  <c r="AH113" i="3"/>
  <c r="BW176" i="15"/>
  <c r="BA178" i="3" s="1"/>
  <c r="W47" i="15"/>
  <c r="BB81" i="15"/>
  <c r="BW125" i="15"/>
  <c r="BA127" i="3" s="1"/>
  <c r="CG125" i="15"/>
  <c r="C127" i="3"/>
  <c r="X125" i="15"/>
  <c r="BX125" i="15"/>
  <c r="BB127" i="3" s="1"/>
  <c r="BA125" i="15"/>
  <c r="BE125" i="15"/>
  <c r="O125" i="15"/>
  <c r="P182" i="15"/>
  <c r="CH182" i="15"/>
  <c r="BB182" i="15"/>
  <c r="BD182" i="15"/>
  <c r="B184" i="3"/>
  <c r="W182" i="15"/>
  <c r="P105" i="15"/>
  <c r="BD105" i="15"/>
  <c r="B107" i="3"/>
  <c r="W105" i="15"/>
  <c r="BB105" i="15"/>
  <c r="CH105" i="15"/>
  <c r="BK45" i="3"/>
  <c r="AI45" i="3"/>
  <c r="P136" i="15"/>
  <c r="BD136" i="15"/>
  <c r="CH136" i="15"/>
  <c r="B138" i="3"/>
  <c r="W136" i="15"/>
  <c r="BB136" i="15"/>
  <c r="BD116" i="15"/>
  <c r="CH116" i="15"/>
  <c r="W116" i="15"/>
  <c r="B118" i="3"/>
  <c r="P116" i="15"/>
  <c r="BB116" i="15"/>
  <c r="W58" i="15"/>
  <c r="P58" i="15"/>
  <c r="B60" i="3"/>
  <c r="BA159" i="15"/>
  <c r="BX159" i="15"/>
  <c r="BB161" i="3" s="1"/>
  <c r="CG159" i="15"/>
  <c r="BK159" i="15"/>
  <c r="AO161" i="3" s="1"/>
  <c r="O159" i="15"/>
  <c r="C161" i="3"/>
  <c r="BW159" i="15"/>
  <c r="BA161" i="3" s="1"/>
  <c r="BE159" i="15"/>
  <c r="X159" i="15"/>
  <c r="AI60" i="3"/>
  <c r="BK60" i="3"/>
  <c r="P106" i="15"/>
  <c r="CH106" i="15"/>
  <c r="W106" i="15"/>
  <c r="BD106" i="15"/>
  <c r="BB106" i="15"/>
  <c r="B108" i="3"/>
  <c r="BD63" i="15"/>
  <c r="BD81" i="15"/>
  <c r="P130" i="15"/>
  <c r="CH130" i="15"/>
  <c r="B132" i="3"/>
  <c r="BB130" i="15"/>
  <c r="BD130" i="15"/>
  <c r="W130" i="15"/>
  <c r="BX182" i="15"/>
  <c r="BB184" i="3" s="1"/>
  <c r="BA182" i="15"/>
  <c r="BW182" i="15"/>
  <c r="BA184" i="3" s="1"/>
  <c r="BK182" i="15"/>
  <c r="AO184" i="3" s="1"/>
  <c r="CG182" i="15"/>
  <c r="O182" i="15"/>
  <c r="X182" i="15"/>
  <c r="C184" i="3"/>
  <c r="P148" i="15"/>
  <c r="B150" i="3"/>
  <c r="BD148" i="15"/>
  <c r="CH148" i="15"/>
  <c r="W148" i="15"/>
  <c r="BB148" i="15"/>
  <c r="BE136" i="15"/>
  <c r="C138" i="3"/>
  <c r="O136" i="15"/>
  <c r="BW136" i="15"/>
  <c r="BA138" i="3" s="1"/>
  <c r="BA136" i="15"/>
  <c r="X136" i="15"/>
  <c r="BX136" i="15"/>
  <c r="BB138" i="3" s="1"/>
  <c r="BK136" i="15"/>
  <c r="AO138" i="3" s="1"/>
  <c r="CG136" i="15"/>
  <c r="BW116" i="15"/>
  <c r="BA118" i="3" s="1"/>
  <c r="BX116" i="15"/>
  <c r="BB118" i="3" s="1"/>
  <c r="BK116" i="15"/>
  <c r="AO118" i="3" s="1"/>
  <c r="BA116" i="15"/>
  <c r="O116" i="15"/>
  <c r="X116" i="15"/>
  <c r="C118" i="3"/>
  <c r="BE116" i="15"/>
  <c r="CG116" i="15"/>
  <c r="B172" i="3"/>
  <c r="P170" i="15"/>
  <c r="BD170" i="15"/>
  <c r="BB170" i="15"/>
  <c r="W170" i="15"/>
  <c r="CH170" i="15"/>
  <c r="P65" i="15"/>
  <c r="BB65" i="15"/>
  <c r="B67" i="3"/>
  <c r="CH65" i="15"/>
  <c r="BD65" i="15"/>
  <c r="W65" i="15"/>
  <c r="CH16" i="15"/>
  <c r="P16" i="15"/>
  <c r="BB16" i="15"/>
  <c r="BD16" i="15"/>
  <c r="W16" i="15"/>
  <c r="B18" i="3"/>
  <c r="BB17" i="15"/>
  <c r="W17" i="15"/>
  <c r="P17" i="15"/>
  <c r="CH17" i="15"/>
  <c r="BD17" i="15"/>
  <c r="BD202" i="15"/>
  <c r="W202" i="15"/>
  <c r="CH202" i="15"/>
  <c r="B204" i="3"/>
  <c r="BB160" i="15"/>
  <c r="B162" i="3"/>
  <c r="W160" i="15"/>
  <c r="BD160" i="15"/>
  <c r="C108" i="3"/>
  <c r="BK106" i="15"/>
  <c r="AO108" i="3" s="1"/>
  <c r="BE106" i="15"/>
  <c r="O106" i="15"/>
  <c r="CG106" i="15"/>
  <c r="BW106" i="15"/>
  <c r="BA108" i="3" s="1"/>
  <c r="BA106" i="15"/>
  <c r="X106" i="15"/>
  <c r="AI69" i="3"/>
  <c r="BK69" i="3"/>
  <c r="CH81" i="15"/>
  <c r="W81" i="15"/>
  <c r="B65" i="3"/>
  <c r="AH65" i="3" s="1"/>
  <c r="CH107" i="15"/>
  <c r="B109" i="3"/>
  <c r="P107" i="15"/>
  <c r="W107" i="15"/>
  <c r="BD107" i="15"/>
  <c r="BB107" i="15"/>
  <c r="BW130" i="15"/>
  <c r="BA132" i="3" s="1"/>
  <c r="BA130" i="15"/>
  <c r="BE130" i="15"/>
  <c r="BX130" i="15"/>
  <c r="BB132" i="3" s="1"/>
  <c r="O130" i="15"/>
  <c r="C132" i="3"/>
  <c r="CG130" i="15"/>
  <c r="X130" i="15"/>
  <c r="P188" i="15"/>
  <c r="W188" i="15"/>
  <c r="BD188" i="15"/>
  <c r="CH188" i="15"/>
  <c r="BB188" i="15"/>
  <c r="B190" i="3"/>
  <c r="P174" i="15"/>
  <c r="W174" i="15"/>
  <c r="BD174" i="15"/>
  <c r="BB174" i="15"/>
  <c r="CH174" i="15"/>
  <c r="B176" i="3"/>
  <c r="BD28" i="15"/>
  <c r="BB28" i="15"/>
  <c r="P28" i="15"/>
  <c r="B30" i="3"/>
  <c r="W28" i="15"/>
  <c r="CH28" i="15"/>
  <c r="P169" i="15"/>
  <c r="B171" i="3"/>
  <c r="BD169" i="15"/>
  <c r="CH169" i="15"/>
  <c r="W169" i="15"/>
  <c r="BB169" i="15"/>
  <c r="C172" i="3"/>
  <c r="BE170" i="15"/>
  <c r="BW170" i="15"/>
  <c r="BA172" i="3" s="1"/>
  <c r="CG170" i="15"/>
  <c r="BA170" i="15"/>
  <c r="O170" i="15"/>
  <c r="X170" i="15"/>
  <c r="BX16" i="15"/>
  <c r="BB18" i="3" s="1"/>
  <c r="BK16" i="15"/>
  <c r="AO18" i="3" s="1"/>
  <c r="O16" i="15"/>
  <c r="CG16" i="15"/>
  <c r="C18" i="3"/>
  <c r="BW16" i="15"/>
  <c r="BA18" i="3" s="1"/>
  <c r="X16" i="15"/>
  <c r="BA16" i="15"/>
  <c r="BE16" i="15"/>
  <c r="BX17" i="15"/>
  <c r="BB19" i="3" s="1"/>
  <c r="X17" i="15"/>
  <c r="C19" i="3"/>
  <c r="CG17" i="15"/>
  <c r="BE17" i="15"/>
  <c r="BK17" i="15"/>
  <c r="AO19" i="3" s="1"/>
  <c r="BA17" i="15"/>
  <c r="BW17" i="15"/>
  <c r="BA19" i="3" s="1"/>
  <c r="O17" i="15"/>
  <c r="BE202" i="15"/>
  <c r="C204" i="3"/>
  <c r="O202" i="15"/>
  <c r="BA202" i="15"/>
  <c r="BW202" i="15"/>
  <c r="BA204" i="3" s="1"/>
  <c r="BW160" i="15"/>
  <c r="BA162" i="3" s="1"/>
  <c r="BK160" i="15"/>
  <c r="AO162" i="3" s="1"/>
  <c r="BE160" i="15"/>
  <c r="CG160" i="15"/>
  <c r="O160" i="15"/>
  <c r="C162" i="3"/>
  <c r="BX160" i="15"/>
  <c r="BB162" i="3" s="1"/>
  <c r="BA160" i="15"/>
  <c r="X160" i="15"/>
  <c r="BB141" i="15"/>
  <c r="B143" i="3"/>
  <c r="W141" i="15"/>
  <c r="BD141" i="15"/>
  <c r="CH141" i="15"/>
  <c r="P141" i="15"/>
  <c r="AH77" i="3"/>
  <c r="BL77" i="3"/>
  <c r="AI196" i="3"/>
  <c r="BK196" i="3"/>
  <c r="BK124" i="3"/>
  <c r="AI124" i="3"/>
  <c r="BL159" i="3"/>
  <c r="AH159" i="3"/>
  <c r="AI201" i="3"/>
  <c r="BK201" i="3"/>
  <c r="AI72" i="3"/>
  <c r="BK72" i="3"/>
  <c r="BL68" i="3"/>
  <c r="AH68" i="3"/>
  <c r="AH19" i="3"/>
  <c r="BL19" i="3"/>
  <c r="D8" i="3"/>
  <c r="BB92" i="3"/>
  <c r="BB53" i="3"/>
  <c r="BB29" i="3"/>
  <c r="K53" i="4"/>
  <c r="K143" i="4"/>
  <c r="G143" i="4" s="1"/>
  <c r="K198" i="4"/>
  <c r="G198" i="4" s="1"/>
  <c r="BB69" i="3"/>
  <c r="BB124" i="3"/>
  <c r="BA57" i="3"/>
  <c r="BA65" i="3"/>
  <c r="BA33" i="3"/>
  <c r="BB72" i="3"/>
  <c r="BB117" i="3"/>
  <c r="BB13" i="3"/>
  <c r="K117" i="4"/>
  <c r="G117" i="4" s="1"/>
  <c r="K72" i="4"/>
  <c r="G72" i="4" s="1"/>
  <c r="CG6" i="15"/>
  <c r="BW6" i="15"/>
  <c r="BE6" i="15"/>
  <c r="X6" i="15"/>
  <c r="BA6" i="15"/>
  <c r="O6" i="15"/>
  <c r="BK6" i="15"/>
  <c r="AO8" i="3" s="1"/>
  <c r="C8" i="3"/>
  <c r="BB88" i="3"/>
  <c r="BJ111" i="15"/>
  <c r="AN113" i="3" s="1"/>
  <c r="BJ175" i="15"/>
  <c r="AN177" i="3" s="1"/>
  <c r="BJ115" i="15"/>
  <c r="AN117" i="3" s="1"/>
  <c r="BJ191" i="15"/>
  <c r="AN193" i="3" s="1"/>
  <c r="BJ167" i="15"/>
  <c r="AN169" i="3" s="1"/>
  <c r="BJ185" i="15"/>
  <c r="AN187" i="3" s="1"/>
  <c r="BJ6" i="15"/>
  <c r="AN8" i="3" s="1"/>
  <c r="BJ126" i="15"/>
  <c r="AN128" i="3" s="1"/>
  <c r="BJ122" i="15"/>
  <c r="AN124" i="3" s="1"/>
  <c r="BJ118" i="15"/>
  <c r="AN120" i="3" s="1"/>
  <c r="BJ114" i="15"/>
  <c r="AN116" i="3" s="1"/>
  <c r="BJ110" i="15"/>
  <c r="AN112" i="3" s="1"/>
  <c r="BJ106" i="15"/>
  <c r="AN108" i="3" s="1"/>
  <c r="BJ102" i="15"/>
  <c r="AN104" i="3" s="1"/>
  <c r="BJ98" i="15"/>
  <c r="AN100" i="3" s="1"/>
  <c r="BJ94" i="15"/>
  <c r="AN96" i="3" s="1"/>
  <c r="BJ90" i="15"/>
  <c r="AN92" i="3" s="1"/>
  <c r="BJ86" i="15"/>
  <c r="AN88" i="3" s="1"/>
  <c r="BJ82" i="15"/>
  <c r="AN84" i="3" s="1"/>
  <c r="BJ78" i="15"/>
  <c r="AN80" i="3" s="1"/>
  <c r="BJ74" i="15"/>
  <c r="AN76" i="3" s="1"/>
  <c r="BJ70" i="15"/>
  <c r="AN72" i="3" s="1"/>
  <c r="BJ66" i="15"/>
  <c r="AN68" i="3" s="1"/>
  <c r="BJ62" i="15"/>
  <c r="AN64" i="3" s="1"/>
  <c r="BJ58" i="15"/>
  <c r="AN60" i="3" s="1"/>
  <c r="BJ54" i="15"/>
  <c r="AN56" i="3" s="1"/>
  <c r="BJ50" i="15"/>
  <c r="AN52" i="3" s="1"/>
  <c r="BJ46" i="15"/>
  <c r="AN48" i="3" s="1"/>
  <c r="BJ42" i="15"/>
  <c r="AN44" i="3" s="1"/>
  <c r="BJ125" i="15"/>
  <c r="AN127" i="3" s="1"/>
  <c r="BJ127" i="15"/>
  <c r="AN129" i="3" s="1"/>
  <c r="BJ139" i="15"/>
  <c r="AN141" i="3" s="1"/>
  <c r="BJ143" i="15"/>
  <c r="AN145" i="3" s="1"/>
  <c r="BJ163" i="15"/>
  <c r="AN165" i="3" s="1"/>
  <c r="BJ183" i="15"/>
  <c r="AN185" i="3" s="1"/>
  <c r="BJ205" i="15"/>
  <c r="AN207" i="3" s="1"/>
  <c r="BJ203" i="15"/>
  <c r="AN205" i="3" s="1"/>
  <c r="BJ199" i="15"/>
  <c r="AN201" i="3" s="1"/>
  <c r="BJ197" i="15"/>
  <c r="AN199" i="3" s="1"/>
  <c r="BJ195" i="15"/>
  <c r="AN197" i="3" s="1"/>
  <c r="BJ189" i="15"/>
  <c r="AN191" i="3" s="1"/>
  <c r="BJ187" i="15"/>
  <c r="AN189" i="3" s="1"/>
  <c r="BJ179" i="15"/>
  <c r="AN181" i="3" s="1"/>
  <c r="BJ171" i="15"/>
  <c r="AN173" i="3" s="1"/>
  <c r="BJ159" i="15"/>
  <c r="AN161" i="3" s="1"/>
  <c r="BJ155" i="15"/>
  <c r="AN157" i="3" s="1"/>
  <c r="BJ151" i="15"/>
  <c r="AN153" i="3" s="1"/>
  <c r="BJ133" i="15"/>
  <c r="AN135" i="3" s="1"/>
  <c r="BJ131" i="15"/>
  <c r="AN133" i="3" s="1"/>
  <c r="BJ123" i="15"/>
  <c r="AN125" i="3" s="1"/>
  <c r="BJ119" i="15"/>
  <c r="AN121" i="3" s="1"/>
  <c r="BJ181" i="15"/>
  <c r="AN183" i="3" s="1"/>
  <c r="BJ157" i="15"/>
  <c r="AN159" i="3" s="1"/>
  <c r="BJ165" i="15"/>
  <c r="AN167" i="3" s="1"/>
  <c r="BJ147" i="15"/>
  <c r="AN149" i="3" s="1"/>
  <c r="BJ107" i="15"/>
  <c r="AN109" i="3" s="1"/>
  <c r="BJ135" i="15"/>
  <c r="AN137" i="3" s="1"/>
  <c r="BJ202" i="15"/>
  <c r="AN204" i="3" s="1"/>
  <c r="BJ154" i="15"/>
  <c r="AN156" i="3" s="1"/>
  <c r="BJ19" i="15"/>
  <c r="AN21" i="3" s="1"/>
  <c r="BJ43" i="15"/>
  <c r="AN45" i="3" s="1"/>
  <c r="BJ198" i="15"/>
  <c r="AN200" i="3" s="1"/>
  <c r="BJ146" i="15"/>
  <c r="AN148" i="3" s="1"/>
  <c r="BJ69" i="15"/>
  <c r="AN71" i="3" s="1"/>
  <c r="BJ47" i="15"/>
  <c r="AN49" i="3" s="1"/>
  <c r="BJ41" i="15"/>
  <c r="AN43" i="3" s="1"/>
  <c r="BJ37" i="15"/>
  <c r="AN39" i="3" s="1"/>
  <c r="BJ71" i="15"/>
  <c r="AN73" i="3" s="1"/>
  <c r="BJ63" i="15"/>
  <c r="AN65" i="3" s="1"/>
  <c r="BJ11" i="15"/>
  <c r="AN13" i="3" s="1"/>
  <c r="BJ31" i="15"/>
  <c r="AN33" i="3" s="1"/>
  <c r="BJ174" i="15"/>
  <c r="AN176" i="3" s="1"/>
  <c r="BJ26" i="15"/>
  <c r="AN28" i="3" s="1"/>
  <c r="BJ35" i="15"/>
  <c r="AN37" i="3" s="1"/>
  <c r="BJ39" i="15"/>
  <c r="AN41" i="3" s="1"/>
  <c r="BJ27" i="15"/>
  <c r="AN29" i="3" s="1"/>
  <c r="BJ150" i="15"/>
  <c r="AN152" i="3" s="1"/>
  <c r="BJ23" i="15"/>
  <c r="AN25" i="3" s="1"/>
  <c r="BJ15" i="15"/>
  <c r="AN17" i="3" s="1"/>
  <c r="BJ59" i="15"/>
  <c r="AN61" i="3" s="1"/>
  <c r="BJ55" i="15"/>
  <c r="AN57" i="3" s="1"/>
  <c r="BJ170" i="15"/>
  <c r="AN172" i="3" s="1"/>
  <c r="BJ10" i="15"/>
  <c r="AN12" i="3" s="1"/>
  <c r="BJ51" i="15"/>
  <c r="AN53" i="3" s="1"/>
  <c r="BJ79" i="15"/>
  <c r="AN81" i="3" s="1"/>
  <c r="BJ194" i="15"/>
  <c r="AN196" i="3" s="1"/>
  <c r="BJ166" i="15"/>
  <c r="AN168" i="3" s="1"/>
  <c r="BJ134" i="15"/>
  <c r="AN136" i="3" s="1"/>
  <c r="BJ61" i="15"/>
  <c r="AN63" i="3" s="1"/>
  <c r="BJ91" i="15"/>
  <c r="AN93" i="3" s="1"/>
  <c r="BJ7" i="15"/>
  <c r="AN9" i="3" s="1"/>
  <c r="BJ34" i="15"/>
  <c r="AN36" i="3" s="1"/>
  <c r="BJ67" i="15"/>
  <c r="AN69" i="3" s="1"/>
  <c r="BJ22" i="15"/>
  <c r="AN24" i="3" s="1"/>
  <c r="BJ116" i="15"/>
  <c r="AN118" i="3" s="1"/>
  <c r="BJ53" i="15"/>
  <c r="AN55" i="3" s="1"/>
  <c r="BJ85" i="15"/>
  <c r="AN87" i="3" s="1"/>
  <c r="BJ104" i="15"/>
  <c r="AN106" i="3" s="1"/>
  <c r="BJ120" i="15"/>
  <c r="AN122" i="3" s="1"/>
  <c r="BJ136" i="15"/>
  <c r="AN138" i="3" s="1"/>
  <c r="BJ152" i="15"/>
  <c r="AN154" i="3" s="1"/>
  <c r="BJ172" i="15"/>
  <c r="AN174" i="3" s="1"/>
  <c r="BJ156" i="15"/>
  <c r="AN158" i="3" s="1"/>
  <c r="BJ148" i="15"/>
  <c r="AN150" i="3" s="1"/>
  <c r="BJ109" i="15"/>
  <c r="AN111" i="3" s="1"/>
  <c r="BJ129" i="15"/>
  <c r="AN131" i="3" s="1"/>
  <c r="BJ149" i="15"/>
  <c r="AN151" i="3" s="1"/>
  <c r="BJ173" i="15"/>
  <c r="AN175" i="3" s="1"/>
  <c r="BJ48" i="15"/>
  <c r="AN50" i="3" s="1"/>
  <c r="BJ64" i="15"/>
  <c r="AN66" i="3" s="1"/>
  <c r="BJ80" i="15"/>
  <c r="AN82" i="3" s="1"/>
  <c r="BJ96" i="15"/>
  <c r="AN98" i="3" s="1"/>
  <c r="BJ112" i="15"/>
  <c r="AN114" i="3" s="1"/>
  <c r="BJ128" i="15"/>
  <c r="AN130" i="3" s="1"/>
  <c r="BJ144" i="15"/>
  <c r="AN146" i="3" s="1"/>
  <c r="BJ95" i="15"/>
  <c r="AN97" i="3" s="1"/>
  <c r="BJ68" i="15"/>
  <c r="AN70" i="3" s="1"/>
  <c r="BJ73" i="15"/>
  <c r="AN75" i="3" s="1"/>
  <c r="BJ132" i="15"/>
  <c r="AN134" i="3" s="1"/>
  <c r="BJ103" i="15"/>
  <c r="AN105" i="3" s="1"/>
  <c r="BJ121" i="15"/>
  <c r="AN123" i="3" s="1"/>
  <c r="BJ169" i="15"/>
  <c r="AN171" i="3" s="1"/>
  <c r="BJ201" i="15"/>
  <c r="AN203" i="3" s="1"/>
  <c r="BJ60" i="15"/>
  <c r="AN62" i="3" s="1"/>
  <c r="BJ76" i="15"/>
  <c r="AN78" i="3" s="1"/>
  <c r="BJ108" i="15"/>
  <c r="AN110" i="3" s="1"/>
  <c r="BJ124" i="15"/>
  <c r="AN126" i="3" s="1"/>
  <c r="BJ192" i="15"/>
  <c r="AN194" i="3" s="1"/>
  <c r="BJ138" i="15"/>
  <c r="AN140" i="3" s="1"/>
  <c r="BJ29" i="15"/>
  <c r="AN31" i="3" s="1"/>
  <c r="BJ142" i="15"/>
  <c r="AN144" i="3" s="1"/>
  <c r="BJ14" i="15"/>
  <c r="AN16" i="3" s="1"/>
  <c r="BJ176" i="15"/>
  <c r="AN178" i="3" s="1"/>
  <c r="BJ177" i="15"/>
  <c r="AN179" i="3" s="1"/>
  <c r="BJ100" i="15"/>
  <c r="AN102" i="3" s="1"/>
  <c r="BJ160" i="15"/>
  <c r="AN162" i="3" s="1"/>
  <c r="BJ145" i="15"/>
  <c r="AN147" i="3" s="1"/>
  <c r="BJ44" i="15"/>
  <c r="AN46" i="3" s="1"/>
  <c r="BJ92" i="15"/>
  <c r="AN94" i="3" s="1"/>
  <c r="BJ184" i="15"/>
  <c r="AN186" i="3" s="1"/>
  <c r="BJ113" i="15"/>
  <c r="AN115" i="3" s="1"/>
  <c r="BJ36" i="15"/>
  <c r="AN38" i="3" s="1"/>
  <c r="BJ84" i="15"/>
  <c r="AN86" i="3" s="1"/>
  <c r="BJ200" i="15"/>
  <c r="AN202" i="3" s="1"/>
  <c r="BJ17" i="15"/>
  <c r="AN19" i="3" s="1"/>
  <c r="BJ65" i="15"/>
  <c r="AN67" i="3" s="1"/>
  <c r="BJ81" i="15"/>
  <c r="AN83" i="3" s="1"/>
  <c r="BJ97" i="15"/>
  <c r="AN99" i="3" s="1"/>
  <c r="BJ87" i="15"/>
  <c r="AN89" i="3" s="1"/>
  <c r="BJ99" i="15"/>
  <c r="AN101" i="3" s="1"/>
  <c r="BJ40" i="15"/>
  <c r="AN42" i="3" s="1"/>
  <c r="BJ56" i="15"/>
  <c r="AN58" i="3" s="1"/>
  <c r="BJ72" i="15"/>
  <c r="AN74" i="3" s="1"/>
  <c r="BJ88" i="15"/>
  <c r="AN90" i="3" s="1"/>
  <c r="BJ16" i="15"/>
  <c r="AN18" i="3" s="1"/>
  <c r="BJ140" i="15"/>
  <c r="AN142" i="3" s="1"/>
  <c r="BJ164" i="15"/>
  <c r="AN166" i="3" s="1"/>
  <c r="BJ161" i="15"/>
  <c r="AN163" i="3" s="1"/>
  <c r="BJ188" i="15"/>
  <c r="AN190" i="3" s="1"/>
  <c r="BJ18" i="15"/>
  <c r="AN20" i="3" s="1"/>
  <c r="BJ180" i="15"/>
  <c r="AN182" i="3" s="1"/>
  <c r="BJ30" i="15"/>
  <c r="AN32" i="3" s="1"/>
  <c r="BJ52" i="15"/>
  <c r="AN54" i="3" s="1"/>
  <c r="BJ141" i="15"/>
  <c r="AN143" i="3" s="1"/>
  <c r="BJ162" i="15"/>
  <c r="AN164" i="3" s="1"/>
  <c r="BJ8" i="15"/>
  <c r="AN10" i="3" s="1"/>
  <c r="BJ158" i="15"/>
  <c r="AN160" i="3" s="1"/>
  <c r="BJ20" i="15"/>
  <c r="AN22" i="3" s="1"/>
  <c r="BJ137" i="15"/>
  <c r="AN139" i="3" s="1"/>
  <c r="BJ75" i="15"/>
  <c r="AN77" i="3" s="1"/>
  <c r="BJ117" i="15"/>
  <c r="AN119" i="3" s="1"/>
  <c r="BJ21" i="15"/>
  <c r="AN23" i="3" s="1"/>
  <c r="BJ89" i="15"/>
  <c r="AN91" i="3" s="1"/>
  <c r="BJ45" i="15"/>
  <c r="AN47" i="3" s="1"/>
  <c r="BJ130" i="15"/>
  <c r="AN132" i="3" s="1"/>
  <c r="BJ190" i="15"/>
  <c r="AN192" i="3" s="1"/>
  <c r="BJ9" i="15"/>
  <c r="AN11" i="3" s="1"/>
  <c r="BJ193" i="15"/>
  <c r="AN195" i="3" s="1"/>
  <c r="BJ204" i="15"/>
  <c r="AN206" i="3" s="1"/>
  <c r="BJ105" i="15"/>
  <c r="AN107" i="3" s="1"/>
  <c r="BJ38" i="15"/>
  <c r="AN40" i="3" s="1"/>
  <c r="BJ32" i="15"/>
  <c r="AN34" i="3" s="1"/>
  <c r="BJ196" i="15"/>
  <c r="AN198" i="3" s="1"/>
  <c r="BJ153" i="15"/>
  <c r="AN155" i="3" s="1"/>
  <c r="BJ182" i="15"/>
  <c r="AN184" i="3" s="1"/>
  <c r="BJ101" i="15"/>
  <c r="AN103" i="3" s="1"/>
  <c r="BJ12" i="15"/>
  <c r="AN14" i="3" s="1"/>
  <c r="BJ178" i="15"/>
  <c r="AN180" i="3" s="1"/>
  <c r="BJ28" i="15"/>
  <c r="AN30" i="3" s="1"/>
  <c r="BJ168" i="15"/>
  <c r="AN170" i="3" s="1"/>
  <c r="BJ24" i="15"/>
  <c r="AN26" i="3" s="1"/>
  <c r="BJ83" i="15"/>
  <c r="AN85" i="3" s="1"/>
  <c r="BJ57" i="15"/>
  <c r="AN59" i="3" s="1"/>
  <c r="BJ77" i="15"/>
  <c r="AN79" i="3" s="1"/>
  <c r="BJ186" i="15"/>
  <c r="AN188" i="3" s="1"/>
  <c r="BJ93" i="15"/>
  <c r="AN95" i="3" s="1"/>
  <c r="BJ49" i="15"/>
  <c r="AN51" i="3" s="1"/>
  <c r="BJ33" i="15"/>
  <c r="AN35" i="3" s="1"/>
  <c r="BJ25" i="15"/>
  <c r="AN27" i="3" s="1"/>
  <c r="BJ13" i="15"/>
  <c r="AN15" i="3" s="1"/>
  <c r="BB52" i="3"/>
  <c r="BB12" i="3"/>
  <c r="BB61" i="3"/>
  <c r="K173" i="4"/>
  <c r="K144" i="4"/>
  <c r="G144" i="4" s="1"/>
  <c r="K175" i="4"/>
  <c r="K106" i="4"/>
  <c r="G106" i="4" s="1"/>
  <c r="BB189" i="3"/>
  <c r="BB21" i="3"/>
  <c r="BA89" i="3"/>
  <c r="BA17" i="3"/>
  <c r="BX6" i="15"/>
  <c r="BB8" i="3" s="1"/>
  <c r="BB60" i="3"/>
  <c r="BB45" i="3"/>
  <c r="K61" i="4"/>
  <c r="G61" i="4" s="1"/>
  <c r="K88" i="4"/>
  <c r="G88" i="4" s="1"/>
  <c r="S48" i="15"/>
  <c r="Q100" i="15"/>
  <c r="S184" i="15"/>
  <c r="Q66" i="15"/>
  <c r="S46" i="15"/>
  <c r="S175" i="15"/>
  <c r="Q40" i="15"/>
  <c r="S97" i="15"/>
  <c r="S155" i="15"/>
  <c r="U61" i="15"/>
  <c r="Q117" i="15"/>
  <c r="U114" i="15"/>
  <c r="U175" i="15"/>
  <c r="S79" i="15"/>
  <c r="U34" i="15"/>
  <c r="U73" i="15"/>
  <c r="S75" i="15"/>
  <c r="Q63" i="15"/>
  <c r="Q165" i="15"/>
  <c r="S186" i="15"/>
  <c r="U111" i="15"/>
  <c r="Q107" i="15"/>
  <c r="U122" i="15"/>
  <c r="U187" i="15"/>
  <c r="U129" i="15"/>
  <c r="Q110" i="15"/>
  <c r="Q25" i="15"/>
  <c r="U36" i="15"/>
  <c r="S138" i="15"/>
  <c r="U55" i="15"/>
  <c r="Q69" i="15"/>
  <c r="S62" i="15"/>
  <c r="S115" i="15"/>
  <c r="Q49" i="15"/>
  <c r="Q169" i="15"/>
  <c r="U153" i="15"/>
  <c r="U46" i="15"/>
  <c r="S142" i="15"/>
  <c r="S83" i="15"/>
  <c r="Q202" i="15"/>
  <c r="S150" i="15"/>
  <c r="S132" i="15"/>
  <c r="S30" i="15"/>
  <c r="S129" i="15"/>
  <c r="Q77" i="15"/>
  <c r="S14" i="15"/>
  <c r="U66" i="15"/>
  <c r="U41" i="15"/>
  <c r="Q105" i="15"/>
  <c r="U137" i="15"/>
  <c r="Q12" i="15"/>
  <c r="U121" i="15"/>
  <c r="S56" i="15"/>
  <c r="S103" i="15"/>
  <c r="U135" i="15"/>
  <c r="S82" i="15"/>
  <c r="Q113" i="15"/>
  <c r="U185" i="15"/>
  <c r="S168" i="15"/>
  <c r="U166" i="15"/>
  <c r="S53" i="15"/>
  <c r="S128" i="15"/>
  <c r="S194" i="15"/>
  <c r="U83" i="15"/>
  <c r="S88" i="15"/>
  <c r="Q174" i="15"/>
  <c r="S173" i="15"/>
  <c r="S86" i="15"/>
  <c r="Q159" i="15"/>
  <c r="U26" i="15"/>
  <c r="U168" i="15"/>
  <c r="Q89" i="15"/>
  <c r="Q8" i="15"/>
  <c r="U62" i="15"/>
  <c r="S13" i="15"/>
  <c r="U180" i="15"/>
  <c r="S45" i="15"/>
  <c r="S18" i="15"/>
  <c r="Q131" i="15"/>
  <c r="U173" i="15"/>
  <c r="S178" i="15"/>
  <c r="S205" i="15"/>
  <c r="Q181" i="15"/>
  <c r="U104" i="15"/>
  <c r="S23" i="15"/>
  <c r="S158" i="15"/>
  <c r="Q145" i="15"/>
  <c r="Q148" i="15"/>
  <c r="U172" i="15"/>
  <c r="U75" i="15"/>
  <c r="U18" i="15"/>
  <c r="Q7" i="15"/>
  <c r="Q170" i="15"/>
  <c r="Q59" i="15"/>
  <c r="S204" i="15"/>
  <c r="U143" i="15"/>
  <c r="S72" i="15"/>
  <c r="U161" i="15"/>
  <c r="S31" i="15"/>
  <c r="Q98" i="15"/>
  <c r="Q112" i="15"/>
  <c r="U103" i="15"/>
  <c r="U79" i="15"/>
  <c r="U203" i="15"/>
  <c r="Q149" i="15"/>
  <c r="S127" i="15"/>
  <c r="U118" i="15"/>
  <c r="S90" i="15"/>
  <c r="U70" i="15"/>
  <c r="U178" i="15"/>
  <c r="S187" i="15"/>
  <c r="U32" i="15"/>
  <c r="Q65" i="15"/>
  <c r="S92" i="15"/>
  <c r="U186" i="15"/>
  <c r="U198" i="15"/>
  <c r="S193" i="15"/>
  <c r="Q58" i="15"/>
  <c r="Q201" i="15"/>
  <c r="U191" i="15"/>
  <c r="U67" i="15"/>
  <c r="U6" i="15"/>
  <c r="S134" i="15"/>
  <c r="S42" i="15"/>
  <c r="Q163" i="15"/>
  <c r="S32" i="15"/>
  <c r="S161" i="15"/>
  <c r="S118" i="15"/>
  <c r="U195" i="15"/>
  <c r="U37" i="15"/>
  <c r="S10" i="15"/>
  <c r="S153" i="15"/>
  <c r="U92" i="15"/>
  <c r="Q80" i="15"/>
  <c r="S80" i="15" s="1"/>
  <c r="S54" i="15"/>
  <c r="U162" i="15"/>
  <c r="U82" i="15"/>
  <c r="U155" i="15"/>
  <c r="Q11" i="15"/>
  <c r="Q60" i="15"/>
  <c r="S146" i="15"/>
  <c r="U196" i="15"/>
  <c r="U56" i="15"/>
  <c r="S102" i="15"/>
  <c r="Q15" i="15"/>
  <c r="U93" i="15"/>
  <c r="U124" i="15"/>
  <c r="S171" i="15"/>
  <c r="S41" i="15"/>
  <c r="Q160" i="15"/>
  <c r="S71" i="15"/>
  <c r="S100" i="15"/>
  <c r="U43" i="15"/>
  <c r="S185" i="15"/>
  <c r="Q192" i="15"/>
  <c r="S104" i="15"/>
  <c r="S85" i="15"/>
  <c r="S29" i="15"/>
  <c r="U35" i="15"/>
  <c r="U157" i="15"/>
  <c r="S55" i="15"/>
  <c r="U167" i="15"/>
  <c r="S137" i="15"/>
  <c r="U50" i="15"/>
  <c r="Q76" i="15"/>
  <c r="S157" i="15"/>
  <c r="Q9" i="15"/>
  <c r="S195" i="15"/>
  <c r="U138" i="15"/>
  <c r="Q189" i="15"/>
  <c r="U45" i="15"/>
  <c r="Q136" i="15"/>
  <c r="U48" i="15"/>
  <c r="U14" i="15"/>
  <c r="U42" i="15"/>
  <c r="U53" i="15"/>
  <c r="S199" i="15"/>
  <c r="S27" i="15"/>
  <c r="U86" i="15"/>
  <c r="U142" i="15"/>
  <c r="U80" i="15"/>
  <c r="U85" i="15"/>
  <c r="U119" i="15"/>
  <c r="S139" i="15"/>
  <c r="S109" i="15"/>
  <c r="U150" i="15"/>
  <c r="S66" i="15"/>
  <c r="S35" i="15"/>
  <c r="Q44" i="15"/>
  <c r="Q106" i="15"/>
  <c r="U7" i="15"/>
  <c r="S120" i="15"/>
  <c r="U127" i="15"/>
  <c r="Q28" i="15"/>
  <c r="Q52" i="15"/>
  <c r="U115" i="15"/>
  <c r="U134" i="15"/>
  <c r="Q156" i="15"/>
  <c r="S38" i="15"/>
  <c r="S33" i="15"/>
  <c r="S93" i="15"/>
  <c r="U146" i="15"/>
  <c r="Q78" i="15"/>
  <c r="Q20" i="15"/>
  <c r="Q74" i="15"/>
  <c r="S143" i="15"/>
  <c r="U151" i="15"/>
  <c r="S70" i="15"/>
  <c r="S22" i="15"/>
  <c r="U38" i="15"/>
  <c r="Q16" i="15"/>
  <c r="S147" i="15"/>
  <c r="S135" i="15"/>
  <c r="Q200" i="15"/>
  <c r="Q133" i="15"/>
  <c r="Q140" i="15"/>
  <c r="Q96" i="15"/>
  <c r="U132" i="15"/>
  <c r="S124" i="15"/>
  <c r="Q81" i="15"/>
  <c r="U179" i="15"/>
  <c r="U123" i="15"/>
  <c r="S68" i="15"/>
  <c r="U193" i="15"/>
  <c r="U139" i="15"/>
  <c r="U72" i="15"/>
  <c r="S6" i="15"/>
  <c r="S67" i="15"/>
  <c r="S151" i="15"/>
  <c r="S95" i="15"/>
  <c r="Q51" i="15"/>
  <c r="Q190" i="15"/>
  <c r="Q24" i="15"/>
  <c r="Q197" i="15"/>
  <c r="S179" i="15"/>
  <c r="U21" i="15"/>
  <c r="Q130" i="15"/>
  <c r="S99" i="15"/>
  <c r="Q141" i="15"/>
  <c r="U102" i="15"/>
  <c r="Q39" i="15"/>
  <c r="S172" i="15"/>
  <c r="Q47" i="15"/>
  <c r="Q182" i="15"/>
  <c r="S122" i="15"/>
  <c r="Q17" i="15"/>
  <c r="S17" i="15" s="1"/>
  <c r="U33" i="15"/>
  <c r="U71" i="15"/>
  <c r="Q152" i="15"/>
  <c r="U30" i="15"/>
  <c r="S26" i="15"/>
  <c r="S162" i="15"/>
  <c r="Q57" i="15"/>
  <c r="Q108" i="15"/>
  <c r="Q19" i="15"/>
  <c r="Q144" i="15"/>
  <c r="U54" i="15"/>
  <c r="U120" i="15"/>
  <c r="U126" i="15"/>
  <c r="S121" i="15"/>
  <c r="U88" i="15"/>
  <c r="S126" i="15"/>
  <c r="S180" i="15"/>
  <c r="U27" i="15"/>
  <c r="U199" i="15"/>
  <c r="U90" i="15"/>
  <c r="U171" i="15"/>
  <c r="U22" i="15"/>
  <c r="Q176" i="15"/>
  <c r="U176" i="15" s="1"/>
  <c r="U109" i="15"/>
  <c r="U68" i="15"/>
  <c r="S123" i="15"/>
  <c r="Q177" i="15"/>
  <c r="U10" i="15"/>
  <c r="U100" i="15"/>
  <c r="U29" i="15"/>
  <c r="S191" i="15"/>
  <c r="S203" i="15"/>
  <c r="S39" i="15"/>
  <c r="S21" i="15"/>
  <c r="S198" i="15"/>
  <c r="S73" i="15"/>
  <c r="Q183" i="15"/>
  <c r="U183" i="15" s="1"/>
  <c r="Q188" i="15"/>
  <c r="U154" i="15"/>
  <c r="Q94" i="15"/>
  <c r="Q101" i="15"/>
  <c r="U23" i="15"/>
  <c r="U31" i="15"/>
  <c r="S119" i="15"/>
  <c r="S164" i="15"/>
  <c r="S50" i="15"/>
  <c r="S61" i="15"/>
  <c r="Q125" i="15"/>
  <c r="S43" i="15"/>
  <c r="U147" i="15"/>
  <c r="S36" i="15"/>
  <c r="S167" i="15"/>
  <c r="S111" i="15"/>
  <c r="S114" i="15"/>
  <c r="U97" i="15"/>
  <c r="U99" i="15"/>
  <c r="Q116" i="15"/>
  <c r="Q84" i="15"/>
  <c r="S34" i="15"/>
  <c r="Q87" i="15"/>
  <c r="Q64" i="15"/>
  <c r="U128" i="15"/>
  <c r="U95" i="15"/>
  <c r="S154" i="15"/>
  <c r="S84" i="15"/>
  <c r="BL84" i="15" l="1"/>
  <c r="AP86" i="3" s="1"/>
  <c r="E125" i="3"/>
  <c r="E128" i="3"/>
  <c r="E95" i="3"/>
  <c r="E57" i="3"/>
  <c r="E104" i="3"/>
  <c r="E94" i="3"/>
  <c r="BL66" i="15"/>
  <c r="AP68" i="3" s="1"/>
  <c r="D68" i="3"/>
  <c r="E186" i="3"/>
  <c r="BL100" i="15"/>
  <c r="AP102" i="3" s="1"/>
  <c r="D102" i="3"/>
  <c r="E50" i="3"/>
  <c r="E40" i="3"/>
  <c r="E97" i="3"/>
  <c r="E140" i="3"/>
  <c r="E87" i="3"/>
  <c r="E16" i="3"/>
  <c r="E23" i="3"/>
  <c r="K240" i="4"/>
  <c r="K13" i="2"/>
  <c r="AI113" i="3"/>
  <c r="BL173" i="3"/>
  <c r="BL191" i="3"/>
  <c r="AH196" i="3"/>
  <c r="AI189" i="3"/>
  <c r="BL39" i="3"/>
  <c r="L236" i="4"/>
  <c r="K50" i="2"/>
  <c r="H46" i="2"/>
  <c r="G63" i="4"/>
  <c r="G120" i="4"/>
  <c r="AI74" i="3"/>
  <c r="BY87" i="15"/>
  <c r="BC89" i="3" s="1"/>
  <c r="BY60" i="15"/>
  <c r="BC62" i="3" s="1"/>
  <c r="BY117" i="15"/>
  <c r="BC119" i="3" s="1"/>
  <c r="BY201" i="15"/>
  <c r="BC203" i="3" s="1"/>
  <c r="BY16" i="15"/>
  <c r="BC18" i="3" s="1"/>
  <c r="BY69" i="15"/>
  <c r="BC71" i="3" s="1"/>
  <c r="BY17" i="15"/>
  <c r="BC19" i="3" s="1"/>
  <c r="BY39" i="15"/>
  <c r="BC41" i="3" s="1"/>
  <c r="BY183" i="15"/>
  <c r="BC185" i="3" s="1"/>
  <c r="BY81" i="15"/>
  <c r="BC83" i="3" s="1"/>
  <c r="BY78" i="15"/>
  <c r="BC80" i="3" s="1"/>
  <c r="BY170" i="15"/>
  <c r="BC172" i="3" s="1"/>
  <c r="BY169" i="15"/>
  <c r="BC171" i="3" s="1"/>
  <c r="BY181" i="15"/>
  <c r="BC183" i="3" s="1"/>
  <c r="BY8" i="15"/>
  <c r="BC10" i="3" s="1"/>
  <c r="BY64" i="15"/>
  <c r="BC66" i="3" s="1"/>
  <c r="BY11" i="15"/>
  <c r="BC13" i="3" s="1"/>
  <c r="BY116" i="15"/>
  <c r="BC118" i="3" s="1"/>
  <c r="BY74" i="15"/>
  <c r="BC76" i="3" s="1"/>
  <c r="BY145" i="15"/>
  <c r="BC147" i="3" s="1"/>
  <c r="BY76" i="15"/>
  <c r="BC78" i="3" s="1"/>
  <c r="BY140" i="15"/>
  <c r="BC142" i="3" s="1"/>
  <c r="BY177" i="15"/>
  <c r="BC179" i="3" s="1"/>
  <c r="BY96" i="15"/>
  <c r="BC98" i="3" s="1"/>
  <c r="BY24" i="15"/>
  <c r="BC26" i="3" s="1"/>
  <c r="BY144" i="15"/>
  <c r="BC146" i="3" s="1"/>
  <c r="BY141" i="15"/>
  <c r="BC143" i="3" s="1"/>
  <c r="BY57" i="15"/>
  <c r="BC59" i="3" s="1"/>
  <c r="BY192" i="15"/>
  <c r="BC194" i="3" s="1"/>
  <c r="BY52" i="15"/>
  <c r="BC54" i="3" s="1"/>
  <c r="BY136" i="15"/>
  <c r="BC138" i="3" s="1"/>
  <c r="BY190" i="15"/>
  <c r="BC192" i="3" s="1"/>
  <c r="BY108" i="15"/>
  <c r="BC110" i="3" s="1"/>
  <c r="BY149" i="15"/>
  <c r="BC151" i="3" s="1"/>
  <c r="BY47" i="15"/>
  <c r="BC49" i="3" s="1"/>
  <c r="BY101" i="15"/>
  <c r="BC103" i="3" s="1"/>
  <c r="BY107" i="15"/>
  <c r="BC109" i="3" s="1"/>
  <c r="BY63" i="15"/>
  <c r="BC65" i="3" s="1"/>
  <c r="BY159" i="15"/>
  <c r="BC161" i="3" s="1"/>
  <c r="BY15" i="15"/>
  <c r="BC17" i="3" s="1"/>
  <c r="BY12" i="15"/>
  <c r="BC14" i="3" s="1"/>
  <c r="BY130" i="15"/>
  <c r="BC132" i="3" s="1"/>
  <c r="BY197" i="15"/>
  <c r="BC199" i="3" s="1"/>
  <c r="BY65" i="15"/>
  <c r="BC67" i="3" s="1"/>
  <c r="BY200" i="15"/>
  <c r="BC202" i="3" s="1"/>
  <c r="BY80" i="15"/>
  <c r="BC82" i="3" s="1"/>
  <c r="BY112" i="15"/>
  <c r="BC114" i="3" s="1"/>
  <c r="BY182" i="15"/>
  <c r="BC184" i="3" s="1"/>
  <c r="BY28" i="15"/>
  <c r="BC30" i="3" s="1"/>
  <c r="BY98" i="15"/>
  <c r="BC100" i="3" s="1"/>
  <c r="BY165" i="15"/>
  <c r="BC167" i="3" s="1"/>
  <c r="BY202" i="15"/>
  <c r="BC204" i="3" s="1"/>
  <c r="BY89" i="15"/>
  <c r="BC91" i="3" s="1"/>
  <c r="BY156" i="15"/>
  <c r="BC158" i="3" s="1"/>
  <c r="BY189" i="15"/>
  <c r="BC191" i="3" s="1"/>
  <c r="BY174" i="15"/>
  <c r="BC176" i="3" s="1"/>
  <c r="BY19" i="15"/>
  <c r="BC21" i="3" s="1"/>
  <c r="BY163" i="15"/>
  <c r="BC165" i="3" s="1"/>
  <c r="BY49" i="15"/>
  <c r="BC51" i="3" s="1"/>
  <c r="BY59" i="15"/>
  <c r="BC61" i="3" s="1"/>
  <c r="BY113" i="15"/>
  <c r="BC115" i="3" s="1"/>
  <c r="BY176" i="15"/>
  <c r="BC178" i="3" s="1"/>
  <c r="BY77" i="15"/>
  <c r="BC79" i="3" s="1"/>
  <c r="BY188" i="15"/>
  <c r="BC190" i="3" s="1"/>
  <c r="BY7" i="15"/>
  <c r="BC9" i="3" s="1"/>
  <c r="BY148" i="15"/>
  <c r="BC150" i="3" s="1"/>
  <c r="BY58" i="15"/>
  <c r="BC60" i="3" s="1"/>
  <c r="BY51" i="15"/>
  <c r="BC53" i="3" s="1"/>
  <c r="BY125" i="15"/>
  <c r="BC127" i="3" s="1"/>
  <c r="BY44" i="15"/>
  <c r="BC46" i="3" s="1"/>
  <c r="BY94" i="15"/>
  <c r="BC96" i="3" s="1"/>
  <c r="BY152" i="15"/>
  <c r="BC154" i="3" s="1"/>
  <c r="BY110" i="15"/>
  <c r="BC112" i="3" s="1"/>
  <c r="BY40" i="15"/>
  <c r="BC42" i="3" s="1"/>
  <c r="BY25" i="15"/>
  <c r="BC27" i="3" s="1"/>
  <c r="BY106" i="15"/>
  <c r="BC108" i="3" s="1"/>
  <c r="BY133" i="15"/>
  <c r="BC135" i="3" s="1"/>
  <c r="BY105" i="15"/>
  <c r="BC107" i="3" s="1"/>
  <c r="BY131" i="15"/>
  <c r="BC133" i="3" s="1"/>
  <c r="BY160" i="15"/>
  <c r="BC162" i="3" s="1"/>
  <c r="BY9" i="15"/>
  <c r="BC11" i="3" s="1"/>
  <c r="BY20" i="15"/>
  <c r="BC22" i="3" s="1"/>
  <c r="BY84" i="15"/>
  <c r="BC86" i="3" s="1"/>
  <c r="D86" i="3"/>
  <c r="G138" i="4"/>
  <c r="G28" i="4"/>
  <c r="G102" i="4"/>
  <c r="G12" i="4"/>
  <c r="G68" i="4"/>
  <c r="G56" i="4"/>
  <c r="G182" i="4"/>
  <c r="K224" i="4"/>
  <c r="G224" i="4" s="1"/>
  <c r="G204" i="4"/>
  <c r="H13" i="2" s="1"/>
  <c r="G119" i="4"/>
  <c r="M46" i="2"/>
  <c r="G101" i="4"/>
  <c r="K183" i="4"/>
  <c r="L13" i="2" s="1"/>
  <c r="K227" i="4"/>
  <c r="K114" i="4"/>
  <c r="G44" i="4"/>
  <c r="L21" i="2"/>
  <c r="L145" i="4"/>
  <c r="K145" i="4" s="1"/>
  <c r="L116" i="4"/>
  <c r="K116" i="4" s="1"/>
  <c r="G116" i="4" s="1"/>
  <c r="G226" i="4"/>
  <c r="G195" i="4"/>
  <c r="L226" i="4"/>
  <c r="K17" i="2"/>
  <c r="G134" i="4"/>
  <c r="L100" i="4"/>
  <c r="K21" i="2"/>
  <c r="BL206" i="3"/>
  <c r="E15" i="3"/>
  <c r="E169" i="3"/>
  <c r="E134" i="3"/>
  <c r="E182" i="3"/>
  <c r="E153" i="3"/>
  <c r="E206" i="3"/>
  <c r="E70" i="3"/>
  <c r="AH76" i="3"/>
  <c r="BL104" i="3"/>
  <c r="AH185" i="3"/>
  <c r="AI148" i="3"/>
  <c r="BL141" i="3"/>
  <c r="AH42" i="3"/>
  <c r="AH202" i="3"/>
  <c r="AI137" i="3"/>
  <c r="BL131" i="15"/>
  <c r="AP133" i="3" s="1"/>
  <c r="BL15" i="15"/>
  <c r="AP17" i="3" s="1"/>
  <c r="BL159" i="15"/>
  <c r="AP161" i="3" s="1"/>
  <c r="BL130" i="15"/>
  <c r="AP132" i="3" s="1"/>
  <c r="BL44" i="15"/>
  <c r="AP46" i="3" s="1"/>
  <c r="BL105" i="15"/>
  <c r="AP107" i="3" s="1"/>
  <c r="BL113" i="15"/>
  <c r="AP115" i="3" s="1"/>
  <c r="BL101" i="15"/>
  <c r="AP103" i="3" s="1"/>
  <c r="BL77" i="15"/>
  <c r="AP79" i="3" s="1"/>
  <c r="BL87" i="15"/>
  <c r="AP89" i="3" s="1"/>
  <c r="BL49" i="15"/>
  <c r="AP51" i="3" s="1"/>
  <c r="BL190" i="15"/>
  <c r="AP192" i="3" s="1"/>
  <c r="BL69" i="15"/>
  <c r="AP71" i="3" s="1"/>
  <c r="BL192" i="15"/>
  <c r="AP194" i="3" s="1"/>
  <c r="BL136" i="15"/>
  <c r="AP138" i="3" s="1"/>
  <c r="BL140" i="15"/>
  <c r="AP142" i="3" s="1"/>
  <c r="BL74" i="15"/>
  <c r="AP76" i="3" s="1"/>
  <c r="BL12" i="15"/>
  <c r="AP14" i="3" s="1"/>
  <c r="BL11" i="15"/>
  <c r="AP13" i="3" s="1"/>
  <c r="BL52" i="15"/>
  <c r="AP54" i="3" s="1"/>
  <c r="BL28" i="15"/>
  <c r="AP30" i="3" s="1"/>
  <c r="BL149" i="15"/>
  <c r="AP151" i="3" s="1"/>
  <c r="BL78" i="15"/>
  <c r="AP80" i="3" s="1"/>
  <c r="BL107" i="15"/>
  <c r="AP109" i="3" s="1"/>
  <c r="BL148" i="15"/>
  <c r="AP150" i="3" s="1"/>
  <c r="BL133" i="15"/>
  <c r="AP135" i="3" s="1"/>
  <c r="BL141" i="15"/>
  <c r="AP143" i="3" s="1"/>
  <c r="BL63" i="15"/>
  <c r="AP65" i="3" s="1"/>
  <c r="BL65" i="15"/>
  <c r="AP67" i="3" s="1"/>
  <c r="BL116" i="15"/>
  <c r="AP118" i="3" s="1"/>
  <c r="BL165" i="15"/>
  <c r="AP167" i="3" s="1"/>
  <c r="BL24" i="15"/>
  <c r="AP26" i="3" s="1"/>
  <c r="BL17" i="15"/>
  <c r="AP19" i="3" s="1"/>
  <c r="BL39" i="15"/>
  <c r="AP41" i="3" s="1"/>
  <c r="BL163" i="15"/>
  <c r="AP165" i="3" s="1"/>
  <c r="BL125" i="15"/>
  <c r="AP127" i="3" s="1"/>
  <c r="BL117" i="15"/>
  <c r="AP119" i="3" s="1"/>
  <c r="BL7" i="15"/>
  <c r="AP9" i="3" s="1"/>
  <c r="BL189" i="15"/>
  <c r="AP191" i="3" s="1"/>
  <c r="BL9" i="15"/>
  <c r="AP11" i="3" s="1"/>
  <c r="BL8" i="15"/>
  <c r="AP10" i="3" s="1"/>
  <c r="BL201" i="15"/>
  <c r="AP203" i="3" s="1"/>
  <c r="BL51" i="15"/>
  <c r="AP53" i="3" s="1"/>
  <c r="BL106" i="15"/>
  <c r="AP108" i="3" s="1"/>
  <c r="BL25" i="15"/>
  <c r="AP27" i="3" s="1"/>
  <c r="BL176" i="15"/>
  <c r="AP178" i="3" s="1"/>
  <c r="BL58" i="15"/>
  <c r="AP60" i="3" s="1"/>
  <c r="BL177" i="15"/>
  <c r="AP179" i="3" s="1"/>
  <c r="BL108" i="15"/>
  <c r="AP110" i="3" s="1"/>
  <c r="BL160" i="15"/>
  <c r="AP162" i="3" s="1"/>
  <c r="BL57" i="15"/>
  <c r="AP59" i="3" s="1"/>
  <c r="BL98" i="15"/>
  <c r="AP100" i="3" s="1"/>
  <c r="BL145" i="15"/>
  <c r="AP147" i="3" s="1"/>
  <c r="BL202" i="15"/>
  <c r="AP204" i="3" s="1"/>
  <c r="BL89" i="15"/>
  <c r="AP91" i="3" s="1"/>
  <c r="BL40" i="15"/>
  <c r="AP42" i="3" s="1"/>
  <c r="BL112" i="15"/>
  <c r="AP114" i="3" s="1"/>
  <c r="BL188" i="15"/>
  <c r="AP190" i="3" s="1"/>
  <c r="BL170" i="15"/>
  <c r="AP172" i="3" s="1"/>
  <c r="BL60" i="15"/>
  <c r="AP62" i="3" s="1"/>
  <c r="BL110" i="15"/>
  <c r="AP112" i="3" s="1"/>
  <c r="BL197" i="15"/>
  <c r="AP199" i="3" s="1"/>
  <c r="BL200" i="15"/>
  <c r="AP202" i="3" s="1"/>
  <c r="BL156" i="15"/>
  <c r="AP158" i="3" s="1"/>
  <c r="BL64" i="15"/>
  <c r="AP66" i="3" s="1"/>
  <c r="BL144" i="15"/>
  <c r="AP146" i="3" s="1"/>
  <c r="BL16" i="15"/>
  <c r="AP18" i="3" s="1"/>
  <c r="BL19" i="15"/>
  <c r="AP21" i="3" s="1"/>
  <c r="BL182" i="15"/>
  <c r="AP184" i="3" s="1"/>
  <c r="BL169" i="15"/>
  <c r="AP171" i="3" s="1"/>
  <c r="BL80" i="15"/>
  <c r="AP82" i="3" s="1"/>
  <c r="BL81" i="15"/>
  <c r="AP83" i="3" s="1"/>
  <c r="BL20" i="15"/>
  <c r="AP22" i="3" s="1"/>
  <c r="BL181" i="15"/>
  <c r="AP183" i="3" s="1"/>
  <c r="BL174" i="15"/>
  <c r="AP176" i="3" s="1"/>
  <c r="BL94" i="15"/>
  <c r="AP96" i="3" s="1"/>
  <c r="BL76" i="15"/>
  <c r="AP78" i="3" s="1"/>
  <c r="BL59" i="15"/>
  <c r="AP61" i="3" s="1"/>
  <c r="BL183" i="15"/>
  <c r="AP185" i="3" s="1"/>
  <c r="BL152" i="15"/>
  <c r="AP154" i="3" s="1"/>
  <c r="BL47" i="15"/>
  <c r="AP49" i="3" s="1"/>
  <c r="BL96" i="15"/>
  <c r="AP98" i="3" s="1"/>
  <c r="AH139" i="3"/>
  <c r="AI33" i="3"/>
  <c r="AH22" i="3"/>
  <c r="BL95" i="3"/>
  <c r="BL124" i="3"/>
  <c r="BL99" i="3"/>
  <c r="BL8" i="3"/>
  <c r="AH8" i="3"/>
  <c r="E45" i="3"/>
  <c r="E124" i="3"/>
  <c r="E144" i="3"/>
  <c r="E20" i="3"/>
  <c r="E77" i="3"/>
  <c r="E64" i="3"/>
  <c r="E139" i="3"/>
  <c r="E73" i="3"/>
  <c r="AH187" i="3"/>
  <c r="AI128" i="3"/>
  <c r="BL15" i="3"/>
  <c r="BL147" i="3"/>
  <c r="AI188" i="3"/>
  <c r="AH85" i="3"/>
  <c r="BK106" i="3"/>
  <c r="AH9" i="3"/>
  <c r="AH182" i="3"/>
  <c r="AH57" i="3"/>
  <c r="AH146" i="3"/>
  <c r="AH84" i="3"/>
  <c r="AH110" i="3"/>
  <c r="BL207" i="3"/>
  <c r="E56" i="3"/>
  <c r="E205" i="3"/>
  <c r="E24" i="3"/>
  <c r="E177" i="3"/>
  <c r="E33" i="3"/>
  <c r="E170" i="3"/>
  <c r="E201" i="3"/>
  <c r="E149" i="3"/>
  <c r="E159" i="3"/>
  <c r="E36" i="3"/>
  <c r="E52" i="3"/>
  <c r="E145" i="3"/>
  <c r="AH40" i="3"/>
  <c r="AH23" i="3"/>
  <c r="BL23" i="3"/>
  <c r="BL194" i="3"/>
  <c r="AH78" i="3"/>
  <c r="AI174" i="3"/>
  <c r="AH93" i="3"/>
  <c r="BL135" i="3"/>
  <c r="BL92" i="3"/>
  <c r="D80" i="3"/>
  <c r="E72" i="3"/>
  <c r="E113" i="3"/>
  <c r="E86" i="3"/>
  <c r="D41" i="3"/>
  <c r="D185" i="3"/>
  <c r="D191" i="3"/>
  <c r="D119" i="3"/>
  <c r="E55" i="3"/>
  <c r="D76" i="3"/>
  <c r="D135" i="3"/>
  <c r="E68" i="3"/>
  <c r="D147" i="3"/>
  <c r="D91" i="3"/>
  <c r="E160" i="3"/>
  <c r="D133" i="3"/>
  <c r="D61" i="3"/>
  <c r="D112" i="3"/>
  <c r="E32" i="3"/>
  <c r="AI178" i="3"/>
  <c r="BL114" i="3"/>
  <c r="BK186" i="3"/>
  <c r="AI186" i="3"/>
  <c r="BL91" i="3"/>
  <c r="AH91" i="3"/>
  <c r="BL116" i="3"/>
  <c r="AH158" i="3"/>
  <c r="AH201" i="3"/>
  <c r="BL201" i="3"/>
  <c r="E85" i="3"/>
  <c r="E37" i="3"/>
  <c r="E196" i="3"/>
  <c r="E163" i="3"/>
  <c r="E31" i="3"/>
  <c r="E88" i="3"/>
  <c r="E121" i="3"/>
  <c r="E74" i="3"/>
  <c r="E148" i="3"/>
  <c r="E92" i="3"/>
  <c r="E101" i="3"/>
  <c r="E84" i="3"/>
  <c r="E207" i="3"/>
  <c r="E99" i="3"/>
  <c r="E75" i="3"/>
  <c r="E197" i="3"/>
  <c r="E123" i="3"/>
  <c r="E58" i="3"/>
  <c r="E69" i="3"/>
  <c r="E117" i="3"/>
  <c r="E141" i="3"/>
  <c r="E116" i="3"/>
  <c r="E63" i="3"/>
  <c r="E173" i="3"/>
  <c r="E137" i="3"/>
  <c r="E164" i="3"/>
  <c r="E48" i="3"/>
  <c r="E131" i="3"/>
  <c r="E156" i="3"/>
  <c r="D192" i="3"/>
  <c r="E44" i="3"/>
  <c r="E81" i="3"/>
  <c r="E47" i="3"/>
  <c r="E189" i="3"/>
  <c r="AH54" i="3"/>
  <c r="AH14" i="3"/>
  <c r="BL58" i="3"/>
  <c r="L223" i="4"/>
  <c r="K223" i="4" s="1"/>
  <c r="G223" i="4" s="1"/>
  <c r="L129" i="4"/>
  <c r="K129" i="4" s="1"/>
  <c r="G129" i="4" s="1"/>
  <c r="L165" i="4"/>
  <c r="K165" i="4" s="1"/>
  <c r="K238" i="4"/>
  <c r="G238" i="4" s="1"/>
  <c r="L151" i="4"/>
  <c r="K151" i="4" s="1"/>
  <c r="G151" i="4" s="1"/>
  <c r="G225" i="4"/>
  <c r="G183" i="4"/>
  <c r="G240" i="4"/>
  <c r="G174" i="4"/>
  <c r="G114" i="4"/>
  <c r="G97" i="4"/>
  <c r="G193" i="4"/>
  <c r="L46" i="2"/>
  <c r="G165" i="4"/>
  <c r="G196" i="4"/>
  <c r="L29" i="4"/>
  <c r="K29" i="4" s="1"/>
  <c r="L18" i="4"/>
  <c r="K18" i="4" s="1"/>
  <c r="K233" i="4"/>
  <c r="L221" i="4"/>
  <c r="K221" i="4" s="1"/>
  <c r="G221" i="4" s="1"/>
  <c r="K33" i="4"/>
  <c r="G33" i="4" s="1"/>
  <c r="L15" i="4"/>
  <c r="K15" i="4" s="1"/>
  <c r="L86" i="4"/>
  <c r="K86" i="4" s="1"/>
  <c r="G234" i="4"/>
  <c r="K179" i="4"/>
  <c r="G179" i="4" s="1"/>
  <c r="L219" i="4"/>
  <c r="K219" i="4" s="1"/>
  <c r="K234" i="4"/>
  <c r="G15" i="4"/>
  <c r="K244" i="4"/>
  <c r="G244" i="4" s="1"/>
  <c r="K228" i="4"/>
  <c r="G228" i="4" s="1"/>
  <c r="K237" i="4"/>
  <c r="G237" i="4" s="1"/>
  <c r="K193" i="4"/>
  <c r="K213" i="4"/>
  <c r="G213" i="4" s="1"/>
  <c r="E82" i="3"/>
  <c r="E41" i="3"/>
  <c r="D115" i="3"/>
  <c r="D51" i="3"/>
  <c r="E157" i="3"/>
  <c r="E180" i="3"/>
  <c r="D82" i="3"/>
  <c r="D146" i="3"/>
  <c r="E90" i="3"/>
  <c r="E129" i="3"/>
  <c r="E130" i="3"/>
  <c r="D100" i="3"/>
  <c r="D26" i="3"/>
  <c r="E200" i="3"/>
  <c r="D79" i="3"/>
  <c r="E43" i="3"/>
  <c r="E193" i="3"/>
  <c r="E120" i="3"/>
  <c r="E188" i="3"/>
  <c r="E28" i="3"/>
  <c r="E195" i="3"/>
  <c r="E122" i="3"/>
  <c r="E152" i="3"/>
  <c r="E105" i="3"/>
  <c r="E29" i="3"/>
  <c r="D114" i="3"/>
  <c r="E126" i="3"/>
  <c r="E111" i="3"/>
  <c r="E175" i="3"/>
  <c r="E136" i="3"/>
  <c r="D53" i="3"/>
  <c r="D9" i="3"/>
  <c r="D13" i="3"/>
  <c r="E187" i="3"/>
  <c r="E166" i="3"/>
  <c r="E155" i="3"/>
  <c r="E35" i="3"/>
  <c r="BK100" i="3"/>
  <c r="BL53" i="3"/>
  <c r="AH142" i="3"/>
  <c r="BL117" i="3"/>
  <c r="AH117" i="3"/>
  <c r="AH133" i="3"/>
  <c r="BL133" i="3"/>
  <c r="AH45" i="3"/>
  <c r="BL45" i="3"/>
  <c r="AH164" i="3"/>
  <c r="BL164" i="3"/>
  <c r="AI73" i="3"/>
  <c r="BL61" i="3"/>
  <c r="AH61" i="3"/>
  <c r="BL123" i="3"/>
  <c r="AH123" i="3"/>
  <c r="AH29" i="3"/>
  <c r="BL29" i="3"/>
  <c r="D14" i="3"/>
  <c r="D22" i="3"/>
  <c r="D194" i="3"/>
  <c r="D10" i="3"/>
  <c r="E102" i="3"/>
  <c r="E174" i="3"/>
  <c r="D27" i="3"/>
  <c r="D62" i="3"/>
  <c r="E8" i="3"/>
  <c r="D46" i="3"/>
  <c r="E25" i="3"/>
  <c r="D110" i="3"/>
  <c r="D202" i="3"/>
  <c r="E34" i="3"/>
  <c r="D165" i="3"/>
  <c r="E38" i="3"/>
  <c r="E106" i="3"/>
  <c r="E12" i="3"/>
  <c r="D158" i="3"/>
  <c r="D78" i="3"/>
  <c r="D142" i="3"/>
  <c r="D54" i="3"/>
  <c r="D96" i="3"/>
  <c r="E181" i="3"/>
  <c r="D42" i="3"/>
  <c r="D179" i="3"/>
  <c r="AI70" i="3"/>
  <c r="BK90" i="3"/>
  <c r="AH46" i="3"/>
  <c r="BL46" i="3"/>
  <c r="AH10" i="3"/>
  <c r="BL10" i="3"/>
  <c r="AI129" i="3"/>
  <c r="BK152" i="3"/>
  <c r="BL33" i="3"/>
  <c r="AI9" i="3"/>
  <c r="AH62" i="3"/>
  <c r="BL62" i="3"/>
  <c r="BK43" i="3"/>
  <c r="BK93" i="3"/>
  <c r="BK125" i="3"/>
  <c r="AI125" i="3"/>
  <c r="AI31" i="3"/>
  <c r="BK31" i="3"/>
  <c r="BK112" i="3"/>
  <c r="AI112" i="3"/>
  <c r="AH106" i="3"/>
  <c r="BL106" i="3"/>
  <c r="AH200" i="3"/>
  <c r="BL200" i="3"/>
  <c r="AI144" i="3"/>
  <c r="BK144" i="3"/>
  <c r="AI200" i="3"/>
  <c r="BK200" i="3"/>
  <c r="BK160" i="3"/>
  <c r="AI160" i="3"/>
  <c r="AH137" i="3"/>
  <c r="BL137" i="3"/>
  <c r="BK207" i="3"/>
  <c r="AI207" i="3"/>
  <c r="AH130" i="3"/>
  <c r="BL130" i="3"/>
  <c r="BK20" i="3"/>
  <c r="AI20" i="3"/>
  <c r="AH129" i="3"/>
  <c r="BL129" i="3"/>
  <c r="BL160" i="3"/>
  <c r="AH160" i="3"/>
  <c r="BK58" i="3"/>
  <c r="AI58" i="3"/>
  <c r="AH90" i="3"/>
  <c r="BL90" i="3"/>
  <c r="BK175" i="3"/>
  <c r="AI175" i="3"/>
  <c r="BL65" i="3"/>
  <c r="AH145" i="3"/>
  <c r="BL145" i="3"/>
  <c r="BL144" i="3"/>
  <c r="AH144" i="3"/>
  <c r="AH175" i="3"/>
  <c r="BL175" i="3"/>
  <c r="BL74" i="3"/>
  <c r="AH74" i="3"/>
  <c r="AH25" i="3"/>
  <c r="BL25" i="3"/>
  <c r="BK180" i="3"/>
  <c r="AI180" i="3"/>
  <c r="AH125" i="3"/>
  <c r="BL125" i="3"/>
  <c r="BL170" i="3"/>
  <c r="AH170" i="3"/>
  <c r="BL50" i="3"/>
  <c r="AH50" i="3"/>
  <c r="AI111" i="3"/>
  <c r="BK111" i="3"/>
  <c r="AH189" i="3"/>
  <c r="BL189" i="3"/>
  <c r="AH63" i="3"/>
  <c r="BL63" i="3"/>
  <c r="AI140" i="3"/>
  <c r="BK140" i="3"/>
  <c r="AH64" i="3"/>
  <c r="BL64" i="3"/>
  <c r="BL205" i="3"/>
  <c r="AH205" i="3"/>
  <c r="AH195" i="3"/>
  <c r="BL195" i="3"/>
  <c r="BL70" i="3"/>
  <c r="AH70" i="3"/>
  <c r="AH36" i="3"/>
  <c r="BL36" i="3"/>
  <c r="BL166" i="3"/>
  <c r="AH166" i="3"/>
  <c r="AI194" i="3"/>
  <c r="BK194" i="3"/>
  <c r="AI50" i="3"/>
  <c r="BK50" i="3"/>
  <c r="BK205" i="3"/>
  <c r="AI205" i="3"/>
  <c r="BK34" i="3"/>
  <c r="AI34" i="3"/>
  <c r="BL140" i="3"/>
  <c r="AH140" i="3"/>
  <c r="AH181" i="3"/>
  <c r="BL181" i="3"/>
  <c r="BL81" i="3"/>
  <c r="AH81" i="3"/>
  <c r="AI166" i="3"/>
  <c r="BK166" i="3"/>
  <c r="AI28" i="3"/>
  <c r="BK28" i="3"/>
  <c r="AH188" i="3"/>
  <c r="BL188" i="3"/>
  <c r="BK170" i="3"/>
  <c r="AI170" i="3"/>
  <c r="AH96" i="3"/>
  <c r="BL96" i="3"/>
  <c r="BK153" i="3"/>
  <c r="AI195" i="3"/>
  <c r="BK195" i="3"/>
  <c r="AI81" i="3"/>
  <c r="BK81" i="3"/>
  <c r="BL102" i="3"/>
  <c r="AH102" i="3"/>
  <c r="AH148" i="3"/>
  <c r="BL148" i="3"/>
  <c r="AI36" i="3"/>
  <c r="BK36" i="3"/>
  <c r="AH72" i="3"/>
  <c r="BL72" i="3"/>
  <c r="BL28" i="3"/>
  <c r="AH28" i="3"/>
  <c r="BK64" i="3"/>
  <c r="AI64" i="3"/>
  <c r="BK102" i="3"/>
  <c r="AI102" i="3"/>
  <c r="AI63" i="3"/>
  <c r="BK63" i="3"/>
  <c r="BL88" i="3"/>
  <c r="AH88" i="3"/>
  <c r="CD7" i="3"/>
  <c r="CE7" i="3" s="1"/>
  <c r="CF7" i="3" s="1"/>
  <c r="BL180" i="3"/>
  <c r="AH180" i="3"/>
  <c r="BL111" i="3"/>
  <c r="AH111" i="3"/>
  <c r="AH197" i="3"/>
  <c r="BL197" i="3"/>
  <c r="AI41" i="3"/>
  <c r="BK41" i="3"/>
  <c r="BL41" i="3"/>
  <c r="AH41" i="3"/>
  <c r="BL13" i="3"/>
  <c r="AH13" i="3"/>
  <c r="BK197" i="3"/>
  <c r="AI197" i="3"/>
  <c r="AI27" i="3"/>
  <c r="BK27" i="3"/>
  <c r="BK131" i="3"/>
  <c r="AI131" i="3"/>
  <c r="BK122" i="3"/>
  <c r="AI122" i="3"/>
  <c r="BK157" i="3"/>
  <c r="AI157" i="3"/>
  <c r="AH119" i="3"/>
  <c r="BL119" i="3"/>
  <c r="BL34" i="3"/>
  <c r="AH34" i="3"/>
  <c r="BK24" i="3"/>
  <c r="AI24" i="3"/>
  <c r="AI105" i="3"/>
  <c r="BK105" i="3"/>
  <c r="BK119" i="3"/>
  <c r="AI119" i="3"/>
  <c r="AH157" i="3"/>
  <c r="BL157" i="3"/>
  <c r="AH122" i="3"/>
  <c r="BL122" i="3"/>
  <c r="AI146" i="3"/>
  <c r="BK146" i="3"/>
  <c r="BL24" i="3"/>
  <c r="AH24" i="3"/>
  <c r="AH27" i="3"/>
  <c r="BL27" i="3"/>
  <c r="BK193" i="3"/>
  <c r="AH43" i="3"/>
  <c r="BL43" i="3"/>
  <c r="BL165" i="3"/>
  <c r="AH165" i="3"/>
  <c r="AI149" i="3"/>
  <c r="BK149" i="3"/>
  <c r="BK51" i="3"/>
  <c r="AI51" i="3"/>
  <c r="AI13" i="3"/>
  <c r="BK13" i="3"/>
  <c r="AI35" i="3"/>
  <c r="BK35" i="3"/>
  <c r="AI165" i="3"/>
  <c r="BK165" i="3"/>
  <c r="AI126" i="3"/>
  <c r="BK126" i="3"/>
  <c r="BL153" i="3"/>
  <c r="AH153" i="3"/>
  <c r="AH105" i="3"/>
  <c r="BL105" i="3"/>
  <c r="BL51" i="3"/>
  <c r="AH51" i="3"/>
  <c r="AH126" i="3"/>
  <c r="BL126" i="3"/>
  <c r="AH31" i="3"/>
  <c r="BL31" i="3"/>
  <c r="BK187" i="3"/>
  <c r="AI187" i="3"/>
  <c r="BL71" i="3"/>
  <c r="BL115" i="3"/>
  <c r="BK135" i="3"/>
  <c r="AI135" i="3"/>
  <c r="AH179" i="3"/>
  <c r="BL179" i="3"/>
  <c r="AI37" i="3"/>
  <c r="BK37" i="3"/>
  <c r="BL38" i="3"/>
  <c r="AH38" i="3"/>
  <c r="BK163" i="3"/>
  <c r="AI163" i="3"/>
  <c r="BL101" i="3"/>
  <c r="AH101" i="3"/>
  <c r="BK86" i="3"/>
  <c r="AI86" i="3"/>
  <c r="AH82" i="3"/>
  <c r="BL82" i="3"/>
  <c r="BL121" i="3"/>
  <c r="AH121" i="3"/>
  <c r="AH44" i="3"/>
  <c r="BL44" i="3"/>
  <c r="AI80" i="3"/>
  <c r="BK80" i="3"/>
  <c r="BK198" i="3"/>
  <c r="AI198" i="3"/>
  <c r="AH80" i="3"/>
  <c r="BL80" i="3"/>
  <c r="BL75" i="3"/>
  <c r="AH75" i="3"/>
  <c r="AI48" i="3"/>
  <c r="BK48" i="3"/>
  <c r="AH87" i="3"/>
  <c r="BL87" i="3"/>
  <c r="AH79" i="3"/>
  <c r="BL79" i="3"/>
  <c r="AI191" i="3"/>
  <c r="BK191" i="3"/>
  <c r="AI101" i="3"/>
  <c r="BK101" i="3"/>
  <c r="BK32" i="3"/>
  <c r="AI32" i="3"/>
  <c r="BL69" i="3"/>
  <c r="AH69" i="3"/>
  <c r="BL100" i="3"/>
  <c r="AH100" i="3"/>
  <c r="AH26" i="3"/>
  <c r="BL26" i="3"/>
  <c r="BK142" i="3"/>
  <c r="AI142" i="3"/>
  <c r="AH192" i="3"/>
  <c r="BL192" i="3"/>
  <c r="BL56" i="3"/>
  <c r="AH56" i="3"/>
  <c r="AH120" i="3"/>
  <c r="BL120" i="3"/>
  <c r="BL156" i="3"/>
  <c r="AH156" i="3"/>
  <c r="BL136" i="3"/>
  <c r="AH136" i="3"/>
  <c r="BK77" i="3"/>
  <c r="AI77" i="3"/>
  <c r="BL12" i="3"/>
  <c r="AH12" i="3"/>
  <c r="BK87" i="3"/>
  <c r="AI87" i="3"/>
  <c r="AI79" i="3"/>
  <c r="BK79" i="3"/>
  <c r="BK136" i="3"/>
  <c r="AI136" i="3"/>
  <c r="BL163" i="3"/>
  <c r="AH163" i="3"/>
  <c r="BL48" i="3"/>
  <c r="AH48" i="3"/>
  <c r="BK68" i="3"/>
  <c r="AI68" i="3"/>
  <c r="BL32" i="3"/>
  <c r="AH32" i="3"/>
  <c r="AI47" i="3"/>
  <c r="BK47" i="3"/>
  <c r="BL47" i="3"/>
  <c r="AH47" i="3"/>
  <c r="AI94" i="3"/>
  <c r="BK94" i="3"/>
  <c r="BK120" i="3"/>
  <c r="AI120" i="3"/>
  <c r="AH86" i="3"/>
  <c r="BL86" i="3"/>
  <c r="AH94" i="3"/>
  <c r="BL94" i="3"/>
  <c r="AH37" i="3"/>
  <c r="BL37" i="3"/>
  <c r="E19" i="3"/>
  <c r="D107" i="3"/>
  <c r="D167" i="3"/>
  <c r="D203" i="3"/>
  <c r="D184" i="3"/>
  <c r="D71" i="3"/>
  <c r="D199" i="3"/>
  <c r="D49" i="3"/>
  <c r="D162" i="3"/>
  <c r="D60" i="3"/>
  <c r="D127" i="3"/>
  <c r="D103" i="3"/>
  <c r="D98" i="3"/>
  <c r="D83" i="3"/>
  <c r="D108" i="3"/>
  <c r="D154" i="3"/>
  <c r="D176" i="3"/>
  <c r="D190" i="3"/>
  <c r="D172" i="3"/>
  <c r="D59" i="3"/>
  <c r="D178" i="3"/>
  <c r="D17" i="3"/>
  <c r="D151" i="3"/>
  <c r="D21" i="3"/>
  <c r="D143" i="3"/>
  <c r="D171" i="3"/>
  <c r="D30" i="3"/>
  <c r="D109" i="3"/>
  <c r="D19" i="3"/>
  <c r="D18" i="3"/>
  <c r="D67" i="3"/>
  <c r="D89" i="3"/>
  <c r="D11" i="3"/>
  <c r="D118" i="3"/>
  <c r="D65" i="3"/>
  <c r="D204" i="3"/>
  <c r="D150" i="3"/>
  <c r="D132" i="3"/>
  <c r="D138" i="3"/>
  <c r="D161" i="3"/>
  <c r="D66" i="3"/>
  <c r="D183" i="3"/>
  <c r="AI162" i="3"/>
  <c r="BK162" i="3"/>
  <c r="AI18" i="3"/>
  <c r="BK18" i="3"/>
  <c r="BL30" i="3"/>
  <c r="AH30" i="3"/>
  <c r="BK108" i="3"/>
  <c r="AI108" i="3"/>
  <c r="AI89" i="3"/>
  <c r="BK89" i="3"/>
  <c r="BL178" i="3"/>
  <c r="AH178" i="3"/>
  <c r="AH103" i="3"/>
  <c r="BL103" i="3"/>
  <c r="BK155" i="3"/>
  <c r="AI155" i="3"/>
  <c r="BL154" i="3"/>
  <c r="AH154" i="3"/>
  <c r="BL21" i="3"/>
  <c r="AH21" i="3"/>
  <c r="BK204" i="3"/>
  <c r="AI204" i="3"/>
  <c r="BK19" i="3"/>
  <c r="AI19" i="3"/>
  <c r="AH204" i="3"/>
  <c r="BL204" i="3"/>
  <c r="BL67" i="3"/>
  <c r="AH67" i="3"/>
  <c r="BK71" i="3"/>
  <c r="AI71" i="3"/>
  <c r="BL167" i="3"/>
  <c r="AH167" i="3"/>
  <c r="BL203" i="3"/>
  <c r="AH203" i="3"/>
  <c r="BK151" i="3"/>
  <c r="AI151" i="3"/>
  <c r="AH17" i="3"/>
  <c r="BL17" i="3"/>
  <c r="BL171" i="3"/>
  <c r="AH171" i="3"/>
  <c r="AH109" i="3"/>
  <c r="BL109" i="3"/>
  <c r="AH118" i="3"/>
  <c r="BL118" i="3"/>
  <c r="BL138" i="3"/>
  <c r="AH138" i="3"/>
  <c r="BL66" i="3"/>
  <c r="AH66" i="3"/>
  <c r="AI49" i="3"/>
  <c r="BK49" i="3"/>
  <c r="BK109" i="3"/>
  <c r="AI109" i="3"/>
  <c r="BL11" i="3"/>
  <c r="AH11" i="3"/>
  <c r="BL172" i="3"/>
  <c r="AH172" i="3"/>
  <c r="BL132" i="3"/>
  <c r="AH132" i="3"/>
  <c r="AH60" i="3"/>
  <c r="BL60" i="3"/>
  <c r="AH184" i="3"/>
  <c r="BL184" i="3"/>
  <c r="AH89" i="3"/>
  <c r="BL89" i="3"/>
  <c r="BL49" i="3"/>
  <c r="AH49" i="3"/>
  <c r="AI30" i="3"/>
  <c r="BK30" i="3"/>
  <c r="BL83" i="3"/>
  <c r="AH83" i="3"/>
  <c r="BK172" i="3"/>
  <c r="AI172" i="3"/>
  <c r="AI138" i="3"/>
  <c r="BK138" i="3"/>
  <c r="AH150" i="3"/>
  <c r="BL150" i="3"/>
  <c r="AH108" i="3"/>
  <c r="BL108" i="3"/>
  <c r="BK167" i="3"/>
  <c r="AI167" i="3"/>
  <c r="AI98" i="3"/>
  <c r="BK98" i="3"/>
  <c r="BL98" i="3"/>
  <c r="AH98" i="3"/>
  <c r="AI83" i="3"/>
  <c r="BK83" i="3"/>
  <c r="AI143" i="3"/>
  <c r="BK143" i="3"/>
  <c r="BL162" i="3"/>
  <c r="AH162" i="3"/>
  <c r="BL107" i="3"/>
  <c r="AH107" i="3"/>
  <c r="BK127" i="3"/>
  <c r="AI127" i="3"/>
  <c r="AI55" i="3"/>
  <c r="BK55" i="3"/>
  <c r="BL161" i="3"/>
  <c r="AH161" i="3"/>
  <c r="BK65" i="3"/>
  <c r="AI65" i="3"/>
  <c r="BL183" i="3"/>
  <c r="AH183" i="3"/>
  <c r="BL176" i="3"/>
  <c r="AH176" i="3"/>
  <c r="BL190" i="3"/>
  <c r="AH190" i="3"/>
  <c r="AI132" i="3"/>
  <c r="BK132" i="3"/>
  <c r="AH18" i="3"/>
  <c r="BL18" i="3"/>
  <c r="AI118" i="3"/>
  <c r="BK118" i="3"/>
  <c r="BK184" i="3"/>
  <c r="AI184" i="3"/>
  <c r="BL59" i="3"/>
  <c r="AH59" i="3"/>
  <c r="AI103" i="3"/>
  <c r="BK103" i="3"/>
  <c r="BK171" i="3"/>
  <c r="AI171" i="3"/>
  <c r="AH143" i="3"/>
  <c r="BL143" i="3"/>
  <c r="BK161" i="3"/>
  <c r="AI161" i="3"/>
  <c r="AH127" i="3"/>
  <c r="BL127" i="3"/>
  <c r="BL199" i="3"/>
  <c r="AH199" i="3"/>
  <c r="AH151" i="3"/>
  <c r="BL151" i="3"/>
  <c r="AI190" i="3"/>
  <c r="BK190" i="3"/>
  <c r="BK8" i="3"/>
  <c r="CC8" i="3"/>
  <c r="AI8" i="3"/>
  <c r="BA8" i="3"/>
  <c r="AH109" i="15"/>
  <c r="AH36" i="15"/>
  <c r="AH22" i="15"/>
  <c r="BO104" i="15"/>
  <c r="BO64" i="15"/>
  <c r="BO11" i="15"/>
  <c r="BO79" i="15"/>
  <c r="BO191" i="15"/>
  <c r="AH127" i="15"/>
  <c r="AH54" i="15"/>
  <c r="AH141" i="15"/>
  <c r="AH174" i="15"/>
  <c r="AH14" i="15"/>
  <c r="AH40" i="15"/>
  <c r="BO141" i="15"/>
  <c r="BO120" i="15"/>
  <c r="BO52" i="15"/>
  <c r="BO16" i="15"/>
  <c r="BO96" i="15"/>
  <c r="AH144" i="15"/>
  <c r="AH124" i="15"/>
  <c r="AH51" i="15"/>
  <c r="AH101" i="15"/>
  <c r="AH160" i="15"/>
  <c r="BO7" i="15"/>
  <c r="BO6" i="15"/>
  <c r="BO131" i="15"/>
  <c r="BO176" i="15"/>
  <c r="BO78" i="15"/>
  <c r="AH11" i="15"/>
  <c r="AH79" i="15"/>
  <c r="AH108" i="15"/>
  <c r="AH42" i="15"/>
  <c r="AH78" i="15"/>
  <c r="BO15" i="15"/>
  <c r="BO166" i="15"/>
  <c r="BO162" i="15"/>
  <c r="BO57" i="15"/>
  <c r="BO80" i="15"/>
  <c r="AH57" i="15"/>
  <c r="AH91" i="15"/>
  <c r="AH159" i="15"/>
  <c r="AH194" i="15"/>
  <c r="AH9" i="15"/>
  <c r="AH7" i="15"/>
  <c r="AH193" i="15"/>
  <c r="AH25" i="15"/>
  <c r="AH131" i="15"/>
  <c r="BO88" i="15"/>
  <c r="AH132" i="15"/>
  <c r="AH20" i="15"/>
  <c r="AH178" i="15"/>
  <c r="AH202" i="15"/>
  <c r="AH158" i="15"/>
  <c r="AH59" i="15"/>
  <c r="AH169" i="15"/>
  <c r="AH188" i="15"/>
  <c r="AH191" i="15"/>
  <c r="AH115" i="15"/>
  <c r="BO165" i="15"/>
  <c r="BO156" i="15"/>
  <c r="BO36" i="15"/>
  <c r="BO175" i="15"/>
  <c r="BO184" i="15"/>
  <c r="BO77" i="15"/>
  <c r="BO171" i="15"/>
  <c r="BO28" i="15"/>
  <c r="BO132" i="15"/>
  <c r="AH67" i="15"/>
  <c r="BO71" i="15"/>
  <c r="BO200" i="15"/>
  <c r="BO181" i="15"/>
  <c r="BO157" i="15"/>
  <c r="BO158" i="15"/>
  <c r="BO111" i="15"/>
  <c r="BO38" i="15"/>
  <c r="BO53" i="15"/>
  <c r="AH145" i="15"/>
  <c r="AH107" i="15"/>
  <c r="BO133" i="15"/>
  <c r="BO145" i="15"/>
  <c r="BO193" i="15"/>
  <c r="BO20" i="15"/>
  <c r="BO43" i="15"/>
  <c r="BO27" i="15"/>
  <c r="BO174" i="15"/>
  <c r="BO54" i="15"/>
  <c r="BO117" i="15"/>
  <c r="AH189" i="15"/>
  <c r="BO110" i="15"/>
  <c r="BO177" i="15"/>
  <c r="BO149" i="15"/>
  <c r="AH184" i="15"/>
  <c r="BO103" i="15"/>
  <c r="BO114" i="15"/>
  <c r="BO151" i="15"/>
  <c r="AH86" i="15"/>
  <c r="AH73" i="15"/>
  <c r="BO146" i="15"/>
  <c r="BO196" i="15"/>
  <c r="BO164" i="15"/>
  <c r="BO204" i="15"/>
  <c r="BO61" i="15"/>
  <c r="BO170" i="15"/>
  <c r="BO173" i="15"/>
  <c r="BO121" i="15"/>
  <c r="AH13" i="15"/>
  <c r="BO188" i="15"/>
  <c r="BO24" i="15"/>
  <c r="BO148" i="15"/>
  <c r="AH137" i="15"/>
  <c r="BO92" i="15"/>
  <c r="AH48" i="15"/>
  <c r="AH182" i="15"/>
  <c r="BO32" i="15"/>
  <c r="BO75" i="15"/>
  <c r="BO10" i="15"/>
  <c r="BO143" i="15"/>
  <c r="BO126" i="15"/>
  <c r="AH201" i="15"/>
  <c r="AH112" i="15"/>
  <c r="AH31" i="15"/>
  <c r="BO40" i="15"/>
  <c r="BO72" i="15"/>
  <c r="BO130" i="15"/>
  <c r="BO172" i="15"/>
  <c r="AH70" i="15"/>
  <c r="AH47" i="15"/>
  <c r="AH114" i="15"/>
  <c r="AH52" i="15"/>
  <c r="BO63" i="15"/>
  <c r="BO70" i="15"/>
  <c r="BO161" i="15"/>
  <c r="AH50" i="15"/>
  <c r="AH105" i="15"/>
  <c r="BO13" i="15"/>
  <c r="BO142" i="15"/>
  <c r="BO137" i="15"/>
  <c r="AH149" i="15"/>
  <c r="AH87" i="15"/>
  <c r="BO152" i="15"/>
  <c r="BO147" i="15"/>
  <c r="BO83" i="15"/>
  <c r="BO95" i="15"/>
  <c r="BO116" i="15"/>
  <c r="BO109" i="15"/>
  <c r="BO65" i="15"/>
  <c r="BO135" i="15"/>
  <c r="BO67" i="15"/>
  <c r="AH163" i="15"/>
  <c r="BO128" i="15"/>
  <c r="BO23" i="15"/>
  <c r="AH83" i="15"/>
  <c r="BO139" i="15"/>
  <c r="AH155" i="15"/>
  <c r="S136" i="15"/>
  <c r="S25" i="15"/>
  <c r="U63" i="15"/>
  <c r="U84" i="15"/>
  <c r="U152" i="15"/>
  <c r="S112" i="15"/>
  <c r="S78" i="15"/>
  <c r="U52" i="15"/>
  <c r="U181" i="15"/>
  <c r="U159" i="15"/>
  <c r="U160" i="15"/>
  <c r="S148" i="15"/>
  <c r="S125" i="15"/>
  <c r="U108" i="15"/>
  <c r="U40" i="15"/>
  <c r="S28" i="15"/>
  <c r="S160" i="15"/>
  <c r="U49" i="15"/>
  <c r="U64" i="15"/>
  <c r="S189" i="15"/>
  <c r="U141" i="15"/>
  <c r="S182" i="15"/>
  <c r="U188" i="15"/>
  <c r="U74" i="15"/>
  <c r="S176" i="15"/>
  <c r="U96" i="15"/>
  <c r="S65" i="15"/>
  <c r="S98" i="15"/>
  <c r="S52" i="15"/>
  <c r="U182" i="15"/>
  <c r="U174" i="15"/>
  <c r="S40" i="15"/>
  <c r="U8" i="15"/>
  <c r="S11" i="15"/>
  <c r="U11" i="15"/>
  <c r="U24" i="15"/>
  <c r="S106" i="15"/>
  <c r="U47" i="15"/>
  <c r="U163" i="15"/>
  <c r="U60" i="15"/>
  <c r="S177" i="15"/>
  <c r="U117" i="15"/>
  <c r="U78" i="15"/>
  <c r="U202" i="15"/>
  <c r="S163" i="15"/>
  <c r="U57" i="15"/>
  <c r="S57" i="15"/>
  <c r="S64" i="15"/>
  <c r="S183" i="15"/>
  <c r="U140" i="15"/>
  <c r="U17" i="15"/>
  <c r="S8" i="15"/>
  <c r="S101" i="15"/>
  <c r="U148" i="15"/>
  <c r="S89" i="15"/>
  <c r="U16" i="15"/>
  <c r="U133" i="15"/>
  <c r="U51" i="15"/>
  <c r="U101" i="15"/>
  <c r="S76" i="15"/>
  <c r="U20" i="15"/>
  <c r="U170" i="15"/>
  <c r="U39" i="15"/>
  <c r="U125" i="15"/>
  <c r="U106" i="15"/>
  <c r="S51" i="15"/>
  <c r="S131" i="15"/>
  <c r="S105" i="15"/>
  <c r="U12" i="15"/>
  <c r="S87" i="15"/>
  <c r="S94" i="15"/>
  <c r="S116" i="15"/>
  <c r="S145" i="15"/>
  <c r="U107" i="15"/>
  <c r="U89" i="15"/>
  <c r="S201" i="15"/>
  <c r="U28" i="15"/>
  <c r="S197" i="15"/>
  <c r="S170" i="15"/>
  <c r="U131" i="15"/>
  <c r="U112" i="15"/>
  <c r="U15" i="15"/>
  <c r="S202" i="15"/>
  <c r="S152" i="15"/>
  <c r="S60" i="15"/>
  <c r="S24" i="15"/>
  <c r="S144" i="15"/>
  <c r="U9" i="15"/>
  <c r="U105" i="15"/>
  <c r="U59" i="15"/>
  <c r="S188" i="15"/>
  <c r="S117" i="15"/>
  <c r="S19" i="15"/>
  <c r="S15" i="15"/>
  <c r="S156" i="15"/>
  <c r="U149" i="15"/>
  <c r="S58" i="15"/>
  <c r="U94" i="15"/>
  <c r="U169" i="15"/>
  <c r="S174" i="15"/>
  <c r="U130" i="15"/>
  <c r="U110" i="15"/>
  <c r="U197" i="15"/>
  <c r="U81" i="15"/>
  <c r="U87" i="15"/>
  <c r="S107" i="15"/>
  <c r="U177" i="15"/>
  <c r="U201" i="15"/>
  <c r="S190" i="15"/>
  <c r="U25" i="15"/>
  <c r="S200" i="15"/>
  <c r="S96" i="15"/>
  <c r="U58" i="15"/>
  <c r="S16" i="15"/>
  <c r="S20" i="15"/>
  <c r="S81" i="15"/>
  <c r="S113" i="15"/>
  <c r="S59" i="15"/>
  <c r="S63" i="15"/>
  <c r="S159" i="15"/>
  <c r="S169" i="15"/>
  <c r="U77" i="15"/>
  <c r="U136" i="15"/>
  <c r="S133" i="15"/>
  <c r="S49" i="15"/>
  <c r="S77" i="15"/>
  <c r="S140" i="15"/>
  <c r="U144" i="15"/>
  <c r="U76" i="15"/>
  <c r="U192" i="15"/>
  <c r="U165" i="15"/>
  <c r="U113" i="15"/>
  <c r="U69" i="15"/>
  <c r="S108" i="15"/>
  <c r="U145" i="15"/>
  <c r="U65" i="15"/>
  <c r="S47" i="15"/>
  <c r="S9" i="15"/>
  <c r="U156" i="15"/>
  <c r="U19" i="15"/>
  <c r="U98" i="15"/>
  <c r="S181" i="15"/>
  <c r="S141" i="15"/>
  <c r="S44" i="15"/>
  <c r="S130" i="15"/>
  <c r="S165" i="15"/>
  <c r="S7" i="15"/>
  <c r="S110" i="15"/>
  <c r="U116" i="15"/>
  <c r="S74" i="15"/>
  <c r="S69" i="15"/>
  <c r="S12" i="15"/>
  <c r="U189" i="15"/>
  <c r="U190" i="15"/>
  <c r="S192" i="15"/>
  <c r="U200" i="15"/>
  <c r="S149" i="15"/>
  <c r="U44" i="15"/>
  <c r="E112" i="3" l="1"/>
  <c r="E51" i="3"/>
  <c r="E135" i="3"/>
  <c r="E133" i="3"/>
  <c r="E53" i="3"/>
  <c r="E185" i="3"/>
  <c r="E138" i="3"/>
  <c r="E61" i="3"/>
  <c r="E76" i="3"/>
  <c r="E192" i="3"/>
  <c r="E79" i="3"/>
  <c r="E26" i="3"/>
  <c r="K236" i="4"/>
  <c r="M50" i="2"/>
  <c r="M21" i="2"/>
  <c r="K100" i="4"/>
  <c r="H17" i="2"/>
  <c r="G86" i="4"/>
  <c r="M17" i="2"/>
  <c r="K226" i="4"/>
  <c r="L17" i="2" s="1"/>
  <c r="O139" i="3"/>
  <c r="O186" i="3"/>
  <c r="O15" i="3"/>
  <c r="O59" i="3"/>
  <c r="O191" i="3"/>
  <c r="O69" i="3"/>
  <c r="O165" i="3"/>
  <c r="O129" i="3"/>
  <c r="O72" i="3"/>
  <c r="O157" i="3"/>
  <c r="O85" i="3"/>
  <c r="O146" i="3"/>
  <c r="AS130" i="3"/>
  <c r="AS112" i="3"/>
  <c r="AS119" i="3"/>
  <c r="AS80" i="3"/>
  <c r="AS134" i="3"/>
  <c r="AS69" i="3"/>
  <c r="AS163" i="3"/>
  <c r="AS82" i="3"/>
  <c r="AS116" i="3"/>
  <c r="AS159" i="3"/>
  <c r="AS12" i="3"/>
  <c r="AS193" i="3"/>
  <c r="AS123" i="3"/>
  <c r="AS56" i="3"/>
  <c r="AS30" i="3"/>
  <c r="AS98" i="3"/>
  <c r="AS137" i="3"/>
  <c r="AS55" i="3"/>
  <c r="AS174" i="3"/>
  <c r="AS178" i="3"/>
  <c r="AS132" i="3"/>
  <c r="AS202" i="3"/>
  <c r="AS175" i="3"/>
  <c r="AS59" i="3"/>
  <c r="AS176" i="3"/>
  <c r="AS173" i="3"/>
  <c r="AS67" i="3"/>
  <c r="AS18" i="3"/>
  <c r="AS94" i="3"/>
  <c r="AS72" i="3"/>
  <c r="AS150" i="3"/>
  <c r="AS81" i="3"/>
  <c r="AS190" i="3"/>
  <c r="AS172" i="3"/>
  <c r="AS29" i="3"/>
  <c r="AS164" i="3"/>
  <c r="AS79" i="3"/>
  <c r="AS111" i="3"/>
  <c r="AS153" i="3"/>
  <c r="AS54" i="3"/>
  <c r="AS113" i="3"/>
  <c r="AS25" i="3"/>
  <c r="AS151" i="3"/>
  <c r="AS133" i="3"/>
  <c r="AS63" i="3"/>
  <c r="AS45" i="3"/>
  <c r="AS186" i="3"/>
  <c r="AS13" i="3"/>
  <c r="AS118" i="3"/>
  <c r="AS128" i="3"/>
  <c r="AS141" i="3"/>
  <c r="AS168" i="3"/>
  <c r="AS183" i="3"/>
  <c r="AS73" i="3"/>
  <c r="AS206" i="3"/>
  <c r="AS122" i="3"/>
  <c r="AS22" i="3"/>
  <c r="AS177" i="3"/>
  <c r="AS97" i="3"/>
  <c r="AS8" i="3"/>
  <c r="AS40" i="3"/>
  <c r="AS105" i="3"/>
  <c r="AS26" i="3"/>
  <c r="AS66" i="3"/>
  <c r="AS179" i="3"/>
  <c r="AS166" i="3"/>
  <c r="AS195" i="3"/>
  <c r="AS38" i="3"/>
  <c r="AS85" i="3"/>
  <c r="AS139" i="3"/>
  <c r="AS160" i="3"/>
  <c r="AS74" i="3"/>
  <c r="AS77" i="3"/>
  <c r="AS198" i="3"/>
  <c r="AS147" i="3"/>
  <c r="AS158" i="3"/>
  <c r="AS149" i="3"/>
  <c r="AS144" i="3"/>
  <c r="AS143" i="3"/>
  <c r="AS145" i="3"/>
  <c r="AS42" i="3"/>
  <c r="AS34" i="3"/>
  <c r="AS148" i="3"/>
  <c r="AS135" i="3"/>
  <c r="AS17" i="3"/>
  <c r="AS167" i="3"/>
  <c r="AS154" i="3"/>
  <c r="AS106" i="3"/>
  <c r="AS15" i="3"/>
  <c r="AS65" i="3"/>
  <c r="AS9" i="3"/>
  <c r="O190" i="3"/>
  <c r="O33" i="3"/>
  <c r="O11" i="3"/>
  <c r="O171" i="3"/>
  <c r="O184" i="3"/>
  <c r="O42" i="3"/>
  <c r="O61" i="3"/>
  <c r="O75" i="3"/>
  <c r="O80" i="3"/>
  <c r="O160" i="3"/>
  <c r="O109" i="3"/>
  <c r="O162" i="3"/>
  <c r="O204" i="3"/>
  <c r="O117" i="3"/>
  <c r="O16" i="3"/>
  <c r="O89" i="3"/>
  <c r="O24" i="3"/>
  <c r="O107" i="3"/>
  <c r="O44" i="3"/>
  <c r="O111" i="3"/>
  <c r="O54" i="3"/>
  <c r="O196" i="3"/>
  <c r="O114" i="3"/>
  <c r="O195" i="3"/>
  <c r="O50" i="3"/>
  <c r="O103" i="3"/>
  <c r="O88" i="3"/>
  <c r="O176" i="3"/>
  <c r="O147" i="3"/>
  <c r="O110" i="3"/>
  <c r="O193" i="3"/>
  <c r="O161" i="3"/>
  <c r="O151" i="3"/>
  <c r="O38" i="3"/>
  <c r="O52" i="3"/>
  <c r="O53" i="3"/>
  <c r="O116" i="3"/>
  <c r="O81" i="3"/>
  <c r="O180" i="3"/>
  <c r="O143" i="3"/>
  <c r="O22" i="3"/>
  <c r="O9" i="3"/>
  <c r="O134" i="3"/>
  <c r="O126" i="3"/>
  <c r="AS90" i="3"/>
  <c r="O93" i="3"/>
  <c r="O133" i="3"/>
  <c r="O56" i="3"/>
  <c r="O203" i="3"/>
  <c r="O49" i="3"/>
  <c r="O27" i="3"/>
  <c r="O13" i="3"/>
  <c r="G100" i="4"/>
  <c r="H21" i="2" s="1"/>
  <c r="E91" i="3"/>
  <c r="E98" i="3"/>
  <c r="E119" i="3"/>
  <c r="E114" i="3"/>
  <c r="E60" i="3"/>
  <c r="E46" i="3"/>
  <c r="E65" i="3"/>
  <c r="E147" i="3"/>
  <c r="E14" i="3"/>
  <c r="E142" i="3"/>
  <c r="E80" i="3"/>
  <c r="E115" i="3"/>
  <c r="E83" i="3"/>
  <c r="E78" i="3"/>
  <c r="E9" i="3"/>
  <c r="E62" i="3"/>
  <c r="E194" i="3"/>
  <c r="E176" i="3"/>
  <c r="E150" i="3"/>
  <c r="E191" i="3"/>
  <c r="E54" i="3"/>
  <c r="E172" i="3"/>
  <c r="E67" i="3"/>
  <c r="E100" i="3"/>
  <c r="E204" i="3"/>
  <c r="E59" i="3"/>
  <c r="E18" i="3"/>
  <c r="E17" i="3"/>
  <c r="E21" i="3"/>
  <c r="E184" i="3"/>
  <c r="E154" i="3"/>
  <c r="E96" i="3"/>
  <c r="E107" i="3"/>
  <c r="E30" i="3"/>
  <c r="E49" i="3"/>
  <c r="E179" i="3"/>
  <c r="E199" i="3"/>
  <c r="E89" i="3"/>
  <c r="E71" i="3"/>
  <c r="E183" i="3"/>
  <c r="E158" i="3"/>
  <c r="E110" i="3"/>
  <c r="E171" i="3"/>
  <c r="E66" i="3"/>
  <c r="E165" i="3"/>
  <c r="E190" i="3"/>
  <c r="E103" i="3"/>
  <c r="E143" i="3"/>
  <c r="E202" i="3"/>
  <c r="E27" i="3"/>
  <c r="E161" i="3"/>
  <c r="E42" i="3"/>
  <c r="G219" i="4"/>
  <c r="E13" i="3"/>
  <c r="E203" i="3"/>
  <c r="E151" i="3"/>
  <c r="E127" i="3"/>
  <c r="E178" i="3"/>
  <c r="E146" i="3"/>
  <c r="E109" i="3"/>
  <c r="E167" i="3"/>
  <c r="E162" i="3"/>
  <c r="E11" i="3"/>
  <c r="E132" i="3"/>
  <c r="E118" i="3"/>
  <c r="E108" i="3"/>
  <c r="E22" i="3"/>
  <c r="E10" i="3"/>
  <c r="CG7" i="3"/>
  <c r="CC9" i="3"/>
  <c r="AH136" i="15"/>
  <c r="AH16" i="15"/>
  <c r="AH68" i="15"/>
  <c r="AH177" i="15"/>
  <c r="BO82" i="15"/>
  <c r="AH186" i="15"/>
  <c r="AH181" i="15"/>
  <c r="AH106" i="15"/>
  <c r="BO41" i="15"/>
  <c r="AH82" i="15"/>
  <c r="BO160" i="15"/>
  <c r="AH61" i="15"/>
  <c r="BO29" i="15"/>
  <c r="BO125" i="15"/>
  <c r="BO9" i="15"/>
  <c r="AH72" i="15"/>
  <c r="AH143" i="15"/>
  <c r="AH81" i="15"/>
  <c r="AH185" i="15"/>
  <c r="BO60" i="15"/>
  <c r="BO87" i="15"/>
  <c r="BO180" i="15"/>
  <c r="AH195" i="15"/>
  <c r="AH205" i="15"/>
  <c r="AH156" i="15"/>
  <c r="BO66" i="15"/>
  <c r="BO182" i="15"/>
  <c r="BO178" i="15"/>
  <c r="AH80" i="15"/>
  <c r="AH95" i="15"/>
  <c r="AH84" i="15"/>
  <c r="AH74" i="15"/>
  <c r="AH29" i="15"/>
  <c r="BO56" i="15"/>
  <c r="AH166" i="15"/>
  <c r="BO76" i="15"/>
  <c r="AH146" i="15"/>
  <c r="AH120" i="15"/>
  <c r="AH168" i="15"/>
  <c r="BO94" i="15"/>
  <c r="BO123" i="15"/>
  <c r="BO91" i="15"/>
  <c r="AH97" i="15"/>
  <c r="BO47" i="15"/>
  <c r="BO190" i="15"/>
  <c r="BO101" i="15"/>
  <c r="AH150" i="15"/>
  <c r="AH113" i="15"/>
  <c r="AH44" i="15"/>
  <c r="BO129" i="15"/>
  <c r="BO26" i="15"/>
  <c r="BO186" i="15"/>
  <c r="BO49" i="15"/>
  <c r="AH121" i="15"/>
  <c r="AH46" i="15"/>
  <c r="AH140" i="15"/>
  <c r="BO100" i="15"/>
  <c r="BO31" i="15"/>
  <c r="BO113" i="15"/>
  <c r="AH76" i="15"/>
  <c r="AH63" i="15"/>
  <c r="AH90" i="15"/>
  <c r="AH138" i="15"/>
  <c r="AH173" i="15"/>
  <c r="AH183" i="15"/>
  <c r="AH17" i="15"/>
  <c r="BO12" i="15"/>
  <c r="AH45" i="15"/>
  <c r="AH151" i="15"/>
  <c r="AH175" i="15"/>
  <c r="BO21" i="15"/>
  <c r="BO74" i="15"/>
  <c r="BO194" i="15"/>
  <c r="BO18" i="15"/>
  <c r="BO25" i="15"/>
  <c r="BO33" i="15"/>
  <c r="BO153" i="15"/>
  <c r="AH21" i="15"/>
  <c r="AH154" i="15"/>
  <c r="BO84" i="15"/>
  <c r="AH28" i="15"/>
  <c r="BO107" i="15"/>
  <c r="BO144" i="15"/>
  <c r="BO22" i="15"/>
  <c r="AH103" i="15"/>
  <c r="AH116" i="15"/>
  <c r="AH162" i="15"/>
  <c r="BO202" i="15"/>
  <c r="BO34" i="15"/>
  <c r="BO48" i="15"/>
  <c r="AH190" i="15"/>
  <c r="AH179" i="15"/>
  <c r="AH55" i="15"/>
  <c r="AH37" i="15"/>
  <c r="AH60" i="15"/>
  <c r="AH33" i="15"/>
  <c r="AH104" i="15"/>
  <c r="BO98" i="15"/>
  <c r="AH88" i="15"/>
  <c r="AH129" i="15"/>
  <c r="AH198" i="15"/>
  <c r="AH26" i="15"/>
  <c r="BO205" i="15"/>
  <c r="BO58" i="15"/>
  <c r="BO8" i="15"/>
  <c r="BO93" i="15"/>
  <c r="BO167" i="15"/>
  <c r="AH66" i="15"/>
  <c r="AH35" i="15"/>
  <c r="AH130" i="15"/>
  <c r="AH170" i="15"/>
  <c r="BO51" i="15"/>
  <c r="BO86" i="15"/>
  <c r="BO39" i="15"/>
  <c r="BO19" i="15"/>
  <c r="AH118" i="15"/>
  <c r="AH125" i="15"/>
  <c r="AH135" i="15"/>
  <c r="BO163" i="15"/>
  <c r="BO59" i="15"/>
  <c r="BO108" i="15"/>
  <c r="AH58" i="15"/>
  <c r="AH142" i="15"/>
  <c r="AH199" i="15"/>
  <c r="AH134" i="15"/>
  <c r="BO197" i="15"/>
  <c r="AH94" i="15"/>
  <c r="AH139" i="15"/>
  <c r="AH128" i="15"/>
  <c r="AH117" i="15"/>
  <c r="BO179" i="15"/>
  <c r="BO119" i="15"/>
  <c r="BO185" i="15"/>
  <c r="BO81" i="15"/>
  <c r="BO115" i="15"/>
  <c r="AH8" i="15"/>
  <c r="AH102" i="15"/>
  <c r="AH98" i="15"/>
  <c r="AH157" i="15"/>
  <c r="BO99" i="15"/>
  <c r="BO105" i="15"/>
  <c r="BO90" i="15"/>
  <c r="AH176" i="15"/>
  <c r="AH32" i="15"/>
  <c r="AH93" i="15"/>
  <c r="AH23" i="15"/>
  <c r="BO46" i="15"/>
  <c r="AH203" i="15"/>
  <c r="BO140" i="15"/>
  <c r="AH126" i="15"/>
  <c r="AH192" i="15"/>
  <c r="AH148" i="15"/>
  <c r="AH197" i="15"/>
  <c r="BO134" i="15"/>
  <c r="BO68" i="15"/>
  <c r="BO169" i="15"/>
  <c r="BO155" i="15"/>
  <c r="BO17" i="15"/>
  <c r="AH77" i="15"/>
  <c r="AH53" i="15"/>
  <c r="AH96" i="15"/>
  <c r="AH65" i="15"/>
  <c r="BO62" i="15"/>
  <c r="BO138" i="15"/>
  <c r="BO106" i="15"/>
  <c r="AH27" i="15"/>
  <c r="AH85" i="15"/>
  <c r="AH92" i="15"/>
  <c r="AH12" i="15"/>
  <c r="BO122" i="15"/>
  <c r="AH171" i="15"/>
  <c r="AH30" i="15"/>
  <c r="AH10" i="15"/>
  <c r="BO35" i="15"/>
  <c r="BO201" i="15"/>
  <c r="AH18" i="15"/>
  <c r="AH152" i="15"/>
  <c r="BO55" i="15"/>
  <c r="AH56" i="15"/>
  <c r="BO118" i="15"/>
  <c r="BO14" i="15"/>
  <c r="BO187" i="15"/>
  <c r="BO69" i="15"/>
  <c r="BO203" i="15"/>
  <c r="AH64" i="15"/>
  <c r="AH123" i="15"/>
  <c r="AH24" i="15"/>
  <c r="AH62" i="15"/>
  <c r="BO154" i="15"/>
  <c r="BO127" i="15"/>
  <c r="BO198" i="15"/>
  <c r="AH15" i="15"/>
  <c r="AH133" i="15"/>
  <c r="AH71" i="15"/>
  <c r="AH41" i="15"/>
  <c r="BO37" i="15"/>
  <c r="BO168" i="15"/>
  <c r="BO89" i="15"/>
  <c r="AH34" i="15"/>
  <c r="AH100" i="15"/>
  <c r="AH119" i="15"/>
  <c r="BO183" i="15"/>
  <c r="BO199" i="15"/>
  <c r="AH165" i="15"/>
  <c r="AH39" i="15"/>
  <c r="BO50" i="15"/>
  <c r="AH153" i="15"/>
  <c r="BO85" i="15"/>
  <c r="AH164" i="15"/>
  <c r="BO102" i="15"/>
  <c r="BO45" i="15"/>
  <c r="BO42" i="15"/>
  <c r="AH6" i="15"/>
  <c r="AH122" i="15"/>
  <c r="AH75" i="15"/>
  <c r="AH196" i="15"/>
  <c r="BO189" i="15"/>
  <c r="BO44" i="15"/>
  <c r="BO159" i="15"/>
  <c r="AH19" i="15"/>
  <c r="AH187" i="15"/>
  <c r="AH69" i="15"/>
  <c r="BO112" i="15"/>
  <c r="BO150" i="15"/>
  <c r="BO124" i="15"/>
  <c r="BO195" i="15"/>
  <c r="AH167" i="15"/>
  <c r="AH43" i="15"/>
  <c r="AH147" i="15"/>
  <c r="AH110" i="15"/>
  <c r="AH111" i="15"/>
  <c r="AH180" i="15"/>
  <c r="AH89" i="15"/>
  <c r="BO30" i="15"/>
  <c r="AH49" i="15"/>
  <c r="BO136" i="15"/>
  <c r="AH99" i="15"/>
  <c r="BO192" i="15"/>
  <c r="AH172" i="15"/>
  <c r="BO97" i="15"/>
  <c r="AH161" i="15"/>
  <c r="BO73" i="15"/>
  <c r="AH204" i="15"/>
  <c r="AH200" i="15"/>
  <c r="AH38" i="15"/>
  <c r="AG55" i="15"/>
  <c r="AG11" i="15"/>
  <c r="AG124" i="15"/>
  <c r="AG40" i="15"/>
  <c r="AG57" i="15"/>
  <c r="AG183" i="15"/>
  <c r="BN48" i="15"/>
  <c r="BN193" i="15"/>
  <c r="AG165" i="15"/>
  <c r="BN107" i="15"/>
  <c r="BN160" i="15"/>
  <c r="AG178" i="15"/>
  <c r="AG86" i="15"/>
  <c r="AG62" i="15"/>
  <c r="AG170" i="15"/>
  <c r="BN82" i="15"/>
  <c r="BN8" i="15"/>
  <c r="AG7" i="15"/>
  <c r="AG28" i="15"/>
  <c r="BN100" i="15"/>
  <c r="AG112" i="15"/>
  <c r="AG61" i="15"/>
  <c r="BN159" i="15"/>
  <c r="BN124" i="15"/>
  <c r="AG159" i="15"/>
  <c r="AG144" i="15"/>
  <c r="BN202" i="15"/>
  <c r="AG39" i="15"/>
  <c r="BN38" i="15"/>
  <c r="AG20" i="15"/>
  <c r="BN120" i="15"/>
  <c r="AG179" i="15"/>
  <c r="AG51" i="15"/>
  <c r="BN104" i="15"/>
  <c r="AG67" i="15"/>
  <c r="BN113" i="15"/>
  <c r="BN153" i="15"/>
  <c r="AG79" i="15"/>
  <c r="BN84" i="15"/>
  <c r="AG38" i="15"/>
  <c r="BN177" i="15"/>
  <c r="BN17" i="15"/>
  <c r="AG128" i="15"/>
  <c r="BN35" i="15"/>
  <c r="AG120" i="15"/>
  <c r="AG109" i="15"/>
  <c r="AG141" i="15"/>
  <c r="BN178" i="15"/>
  <c r="AG46" i="15"/>
  <c r="AG103" i="15"/>
  <c r="AG147" i="15"/>
  <c r="AG126" i="15"/>
  <c r="BN91" i="15"/>
  <c r="AG108" i="15"/>
  <c r="AG114" i="15"/>
  <c r="AG76" i="15"/>
  <c r="AG42" i="15"/>
  <c r="AG196" i="15"/>
  <c r="BN79" i="15"/>
  <c r="AG205" i="15"/>
  <c r="BN134" i="15"/>
  <c r="AG10" i="15"/>
  <c r="BN112" i="15"/>
  <c r="AG72" i="15"/>
  <c r="AG93" i="15"/>
  <c r="AG157" i="15"/>
  <c r="AG197" i="15"/>
  <c r="BN70" i="15"/>
  <c r="AG129" i="15"/>
  <c r="AG135" i="15"/>
  <c r="AG162" i="15"/>
  <c r="BN121" i="15"/>
  <c r="BN179" i="15"/>
  <c r="AG155" i="15"/>
  <c r="AG66" i="15"/>
  <c r="BN72" i="15"/>
  <c r="AG50" i="15"/>
  <c r="AG130" i="15"/>
  <c r="BN67" i="15"/>
  <c r="AG189" i="15"/>
  <c r="AG33" i="15"/>
  <c r="AG117" i="15"/>
  <c r="BN140" i="15"/>
  <c r="AG134" i="15"/>
  <c r="AG154" i="15"/>
  <c r="AG180" i="15"/>
  <c r="BN60" i="15"/>
  <c r="BN64" i="15"/>
  <c r="BN187" i="15"/>
  <c r="AG24" i="15"/>
  <c r="BN23" i="15"/>
  <c r="AG167" i="15"/>
  <c r="BN123" i="15"/>
  <c r="BN106" i="15"/>
  <c r="AG37" i="15"/>
  <c r="BN45" i="15"/>
  <c r="BN126" i="15"/>
  <c r="AG139" i="15"/>
  <c r="BN78" i="15"/>
  <c r="AG56" i="15"/>
  <c r="AG54" i="15"/>
  <c r="AG193" i="15"/>
  <c r="BN33" i="15"/>
  <c r="AG80" i="15"/>
  <c r="AG25" i="15"/>
  <c r="BN52" i="15"/>
  <c r="BN97" i="15"/>
  <c r="BN99" i="15"/>
  <c r="AG186" i="15"/>
  <c r="BN54" i="15"/>
  <c r="BN27" i="15"/>
  <c r="AG101" i="15"/>
  <c r="BN174" i="15"/>
  <c r="AG8" i="15"/>
  <c r="BN25" i="15"/>
  <c r="BN115" i="15"/>
  <c r="BN201" i="15"/>
  <c r="AG92" i="15"/>
  <c r="AG166" i="15"/>
  <c r="AG169" i="15"/>
  <c r="AG202" i="15"/>
  <c r="BN145" i="15"/>
  <c r="BN37" i="15"/>
  <c r="AG63" i="15"/>
  <c r="BN183" i="15"/>
  <c r="BN20" i="15"/>
  <c r="AG29" i="15"/>
  <c r="AG151" i="15"/>
  <c r="BN59" i="15"/>
  <c r="BN26" i="15"/>
  <c r="BN141" i="15"/>
  <c r="BN114" i="15"/>
  <c r="BN129" i="15"/>
  <c r="AG203" i="15"/>
  <c r="BN40" i="15"/>
  <c r="BN21" i="15"/>
  <c r="AG98" i="15"/>
  <c r="BN18" i="15"/>
  <c r="AG96" i="15"/>
  <c r="AG32" i="15"/>
  <c r="AG81" i="15"/>
  <c r="BN12" i="15"/>
  <c r="BN167" i="15"/>
  <c r="AG35" i="15"/>
  <c r="AG121" i="15"/>
  <c r="BN203" i="15"/>
  <c r="AG187" i="15"/>
  <c r="BN172" i="15"/>
  <c r="BN39" i="15"/>
  <c r="BN95" i="15"/>
  <c r="AG100" i="15"/>
  <c r="AG199" i="15"/>
  <c r="BN41" i="15"/>
  <c r="BN46" i="15"/>
  <c r="AG87" i="15"/>
  <c r="AG146" i="15"/>
  <c r="AG53" i="15"/>
  <c r="AG43" i="15"/>
  <c r="AG160" i="15"/>
  <c r="BN130" i="15"/>
  <c r="AG60" i="15"/>
  <c r="BN69" i="15"/>
  <c r="BN196" i="15"/>
  <c r="AG94" i="15"/>
  <c r="AG153" i="15"/>
  <c r="BN127" i="15"/>
  <c r="AG161" i="15"/>
  <c r="AG113" i="15"/>
  <c r="BN147" i="15"/>
  <c r="BN154" i="15"/>
  <c r="BN164" i="15"/>
  <c r="BN149" i="15"/>
  <c r="BN43" i="15"/>
  <c r="AG133" i="15"/>
  <c r="BN62" i="15"/>
  <c r="BN36" i="15"/>
  <c r="BN50" i="15"/>
  <c r="AG16" i="15"/>
  <c r="AG18" i="15"/>
  <c r="BN194" i="15"/>
  <c r="AG21" i="15"/>
  <c r="AG150" i="15"/>
  <c r="BN205" i="15"/>
  <c r="BN15" i="15"/>
  <c r="BN128" i="15"/>
  <c r="AG30" i="15"/>
  <c r="AG176" i="15"/>
  <c r="AG27" i="15"/>
  <c r="BN102" i="15"/>
  <c r="AG34" i="15"/>
  <c r="BN156" i="15"/>
  <c r="AG158" i="15"/>
  <c r="AG19" i="15"/>
  <c r="AG31" i="15"/>
  <c r="BN66" i="15"/>
  <c r="AG77" i="15"/>
  <c r="BN136" i="15"/>
  <c r="BN189" i="15"/>
  <c r="G236" i="4" l="1"/>
  <c r="H50" i="2" s="1"/>
  <c r="L50" i="2"/>
  <c r="O40" i="3"/>
  <c r="O202" i="3"/>
  <c r="O206" i="3"/>
  <c r="AS75" i="3"/>
  <c r="O163" i="3"/>
  <c r="AS99" i="3"/>
  <c r="O174" i="3"/>
  <c r="AS194" i="3"/>
  <c r="O101" i="3"/>
  <c r="AS138" i="3"/>
  <c r="O51" i="3"/>
  <c r="AS32" i="3"/>
  <c r="O91" i="3"/>
  <c r="O182" i="3"/>
  <c r="O113" i="3"/>
  <c r="O112" i="3"/>
  <c r="O149" i="3"/>
  <c r="O45" i="3"/>
  <c r="O169" i="3"/>
  <c r="AS197" i="3"/>
  <c r="AS126" i="3"/>
  <c r="AS152" i="3"/>
  <c r="AS114" i="3"/>
  <c r="O71" i="3"/>
  <c r="O189" i="3"/>
  <c r="O21" i="3"/>
  <c r="AS161" i="3"/>
  <c r="AS46" i="3"/>
  <c r="AS191" i="3"/>
  <c r="O198" i="3"/>
  <c r="O77" i="3"/>
  <c r="O124" i="3"/>
  <c r="O8" i="3"/>
  <c r="AS44" i="3"/>
  <c r="AS47" i="3"/>
  <c r="AS104" i="3"/>
  <c r="O166" i="3"/>
  <c r="AS87" i="3"/>
  <c r="O155" i="3"/>
  <c r="AS52" i="3"/>
  <c r="O41" i="3"/>
  <c r="O167" i="3"/>
  <c r="AS201" i="3"/>
  <c r="AS185" i="3"/>
  <c r="O121" i="3"/>
  <c r="O102" i="3"/>
  <c r="O36" i="3"/>
  <c r="AS91" i="3"/>
  <c r="AS170" i="3"/>
  <c r="AS39" i="3"/>
  <c r="O43" i="3"/>
  <c r="O73" i="3"/>
  <c r="O135" i="3"/>
  <c r="O17" i="3"/>
  <c r="AS200" i="3"/>
  <c r="AS129" i="3"/>
  <c r="AS156" i="3"/>
  <c r="O64" i="3"/>
  <c r="O26" i="3"/>
  <c r="O125" i="3"/>
  <c r="O66" i="3"/>
  <c r="AS205" i="3"/>
  <c r="AS71" i="3"/>
  <c r="AS189" i="3"/>
  <c r="AS16" i="3"/>
  <c r="AS120" i="3"/>
  <c r="O58" i="3"/>
  <c r="AS57" i="3"/>
  <c r="O154" i="3"/>
  <c r="O20" i="3"/>
  <c r="AS203" i="3"/>
  <c r="AS37" i="3"/>
  <c r="O12" i="3"/>
  <c r="O32" i="3"/>
  <c r="O173" i="3"/>
  <c r="AS124" i="3"/>
  <c r="O14" i="3"/>
  <c r="O94" i="3"/>
  <c r="O87" i="3"/>
  <c r="O29" i="3"/>
  <c r="AS108" i="3"/>
  <c r="AS140" i="3"/>
  <c r="AS64" i="3"/>
  <c r="O67" i="3"/>
  <c r="O98" i="3"/>
  <c r="O55" i="3"/>
  <c r="O79" i="3"/>
  <c r="AS19" i="3"/>
  <c r="AS157" i="3"/>
  <c r="AS171" i="3"/>
  <c r="AS70" i="3"/>
  <c r="AS136" i="3"/>
  <c r="O199" i="3"/>
  <c r="O150" i="3"/>
  <c r="O194" i="3"/>
  <c r="O128" i="3"/>
  <c r="AS142" i="3"/>
  <c r="O205" i="3"/>
  <c r="AS48" i="3"/>
  <c r="O25" i="3"/>
  <c r="O95" i="3"/>
  <c r="O34" i="3"/>
  <c r="O178" i="3"/>
  <c r="AS92" i="3"/>
  <c r="AS107" i="3"/>
  <c r="AS101" i="3"/>
  <c r="O159" i="3"/>
  <c r="O100" i="3"/>
  <c r="O104" i="3"/>
  <c r="O10" i="3"/>
  <c r="AS117" i="3"/>
  <c r="AS83" i="3"/>
  <c r="AS187" i="3"/>
  <c r="AS121" i="3"/>
  <c r="AS181" i="3"/>
  <c r="O119" i="3"/>
  <c r="O130" i="3"/>
  <c r="O141" i="3"/>
  <c r="O96" i="3"/>
  <c r="AS199" i="3"/>
  <c r="O136" i="3"/>
  <c r="O201" i="3"/>
  <c r="O144" i="3"/>
  <c r="O60" i="3"/>
  <c r="AS110" i="3"/>
  <c r="AS61" i="3"/>
  <c r="AS165" i="3"/>
  <c r="O137" i="3"/>
  <c r="O127" i="3"/>
  <c r="O120" i="3"/>
  <c r="AS21" i="3"/>
  <c r="AS41" i="3"/>
  <c r="AS88" i="3"/>
  <c r="AS53" i="3"/>
  <c r="O172" i="3"/>
  <c r="O132" i="3"/>
  <c r="O37" i="3"/>
  <c r="O68" i="3"/>
  <c r="AS169" i="3"/>
  <c r="AS95" i="3"/>
  <c r="AS10" i="3"/>
  <c r="AS60" i="3"/>
  <c r="AS207" i="3"/>
  <c r="O28" i="3"/>
  <c r="O200" i="3"/>
  <c r="O131" i="3"/>
  <c r="O90" i="3"/>
  <c r="AS100" i="3"/>
  <c r="O106" i="3"/>
  <c r="O35" i="3"/>
  <c r="O62" i="3"/>
  <c r="O39" i="3"/>
  <c r="O57" i="3"/>
  <c r="O181" i="3"/>
  <c r="O192" i="3"/>
  <c r="AS50" i="3"/>
  <c r="AS36" i="3"/>
  <c r="AS204" i="3"/>
  <c r="O164" i="3"/>
  <c r="O118" i="3"/>
  <c r="O105" i="3"/>
  <c r="AS24" i="3"/>
  <c r="AS146" i="3"/>
  <c r="AS109" i="3"/>
  <c r="O30" i="3"/>
  <c r="AS86" i="3"/>
  <c r="O156" i="3"/>
  <c r="O23" i="3"/>
  <c r="AS155" i="3"/>
  <c r="AS35" i="3"/>
  <c r="AS27" i="3"/>
  <c r="AS20" i="3"/>
  <c r="AS196" i="3"/>
  <c r="AS76" i="3"/>
  <c r="AS23" i="3"/>
  <c r="O177" i="3"/>
  <c r="O153" i="3"/>
  <c r="O47" i="3"/>
  <c r="AS14" i="3"/>
  <c r="O19" i="3"/>
  <c r="O185" i="3"/>
  <c r="O175" i="3"/>
  <c r="O140" i="3"/>
  <c r="O92" i="3"/>
  <c r="O65" i="3"/>
  <c r="O78" i="3"/>
  <c r="AS115" i="3"/>
  <c r="AS33" i="3"/>
  <c r="AS102" i="3"/>
  <c r="O142" i="3"/>
  <c r="O48" i="3"/>
  <c r="O123" i="3"/>
  <c r="AS51" i="3"/>
  <c r="AS188" i="3"/>
  <c r="AS28" i="3"/>
  <c r="AS131" i="3"/>
  <c r="O46" i="3"/>
  <c r="O115" i="3"/>
  <c r="O152" i="3"/>
  <c r="AS103" i="3"/>
  <c r="AS192" i="3"/>
  <c r="AS49" i="3"/>
  <c r="O99" i="3"/>
  <c r="AS93" i="3"/>
  <c r="AS125" i="3"/>
  <c r="AS96" i="3"/>
  <c r="O170" i="3"/>
  <c r="O122" i="3"/>
  <c r="O148" i="3"/>
  <c r="AS78" i="3"/>
  <c r="O168" i="3"/>
  <c r="AS58" i="3"/>
  <c r="O31" i="3"/>
  <c r="O76" i="3"/>
  <c r="O86" i="3"/>
  <c r="O97" i="3"/>
  <c r="O82" i="3"/>
  <c r="AS180" i="3"/>
  <c r="AS184" i="3"/>
  <c r="AS68" i="3"/>
  <c r="O158" i="3"/>
  <c r="O207" i="3"/>
  <c r="O197" i="3"/>
  <c r="AS182" i="3"/>
  <c r="AS89" i="3"/>
  <c r="AS62" i="3"/>
  <c r="O187" i="3"/>
  <c r="O83" i="3"/>
  <c r="O145" i="3"/>
  <c r="O74" i="3"/>
  <c r="AS11" i="3"/>
  <c r="AS127" i="3"/>
  <c r="AS31" i="3"/>
  <c r="O63" i="3"/>
  <c r="AS162" i="3"/>
  <c r="O84" i="3"/>
  <c r="AS43" i="3"/>
  <c r="O108" i="3"/>
  <c r="O183" i="3"/>
  <c r="O188" i="3"/>
  <c r="AS84" i="3"/>
  <c r="O179" i="3"/>
  <c r="O70" i="3"/>
  <c r="O18" i="3"/>
  <c r="O138" i="3"/>
  <c r="N29" i="3"/>
  <c r="AR117" i="3"/>
  <c r="AR166" i="3"/>
  <c r="N55" i="3"/>
  <c r="N116" i="3"/>
  <c r="AR101" i="3"/>
  <c r="N149" i="3"/>
  <c r="AR35" i="3"/>
  <c r="AR142" i="3"/>
  <c r="AR50" i="3"/>
  <c r="AR130" i="3"/>
  <c r="N188" i="3"/>
  <c r="N9" i="3"/>
  <c r="AR97" i="3"/>
  <c r="N58" i="3"/>
  <c r="N83" i="3"/>
  <c r="AR14" i="3"/>
  <c r="AR181" i="3"/>
  <c r="AR74" i="3"/>
  <c r="AR64" i="3"/>
  <c r="AR38" i="3"/>
  <c r="N34" i="3"/>
  <c r="AR56" i="3"/>
  <c r="N156" i="3"/>
  <c r="N48" i="3"/>
  <c r="AR196" i="3"/>
  <c r="N94" i="3"/>
  <c r="AR43" i="3"/>
  <c r="N111" i="3"/>
  <c r="N182" i="3"/>
  <c r="AR122" i="3"/>
  <c r="N69" i="3"/>
  <c r="N68" i="3"/>
  <c r="AR149" i="3"/>
  <c r="AR81" i="3"/>
  <c r="AR189" i="3"/>
  <c r="N153" i="3"/>
  <c r="AR25" i="3"/>
  <c r="N195" i="3"/>
  <c r="N20" i="3"/>
  <c r="AR185" i="3"/>
  <c r="N205" i="3"/>
  <c r="AR180" i="3"/>
  <c r="AR155" i="3"/>
  <c r="N123" i="3"/>
  <c r="N23" i="3"/>
  <c r="AR102" i="3"/>
  <c r="AR147" i="3"/>
  <c r="AR114" i="3"/>
  <c r="N164" i="3"/>
  <c r="N32" i="3"/>
  <c r="AR125" i="3"/>
  <c r="N157" i="3"/>
  <c r="N105" i="3"/>
  <c r="N119" i="3"/>
  <c r="AR68" i="3"/>
  <c r="N56" i="3"/>
  <c r="AR61" i="3"/>
  <c r="N128" i="3"/>
  <c r="N82" i="3"/>
  <c r="N115" i="3"/>
  <c r="N35" i="3"/>
  <c r="N152" i="3"/>
  <c r="N40" i="3"/>
  <c r="N79" i="3"/>
  <c r="N160" i="3"/>
  <c r="AR128" i="3"/>
  <c r="N180" i="3"/>
  <c r="N155" i="3"/>
  <c r="AR123" i="3"/>
  <c r="AR41" i="3"/>
  <c r="N198" i="3"/>
  <c r="N137" i="3"/>
  <c r="AR205" i="3"/>
  <c r="AR156" i="3"/>
  <c r="AR48" i="3"/>
  <c r="N201" i="3"/>
  <c r="N26" i="3"/>
  <c r="AR20" i="3"/>
  <c r="N88" i="3"/>
  <c r="N102" i="3"/>
  <c r="AR29" i="3"/>
  <c r="AR19" i="3"/>
  <c r="N135" i="3"/>
  <c r="N98" i="3"/>
  <c r="AR93" i="3"/>
  <c r="N189" i="3"/>
  <c r="AR207" i="3"/>
  <c r="AR106" i="3"/>
  <c r="AR116" i="3"/>
  <c r="AR86" i="3"/>
  <c r="N126" i="3"/>
  <c r="N181" i="3"/>
  <c r="N74" i="3"/>
  <c r="N185" i="3"/>
  <c r="AR72" i="3"/>
  <c r="N65" i="3"/>
  <c r="AR195" i="3"/>
  <c r="N159" i="3"/>
  <c r="N41" i="3"/>
  <c r="AR47" i="3"/>
  <c r="AR39" i="3"/>
  <c r="AR138" i="3"/>
  <c r="N37" i="3"/>
  <c r="AR169" i="3"/>
  <c r="N12" i="3"/>
  <c r="AR174" i="3"/>
  <c r="N148" i="3"/>
  <c r="N63" i="3"/>
  <c r="N31" i="3"/>
  <c r="N141" i="3"/>
  <c r="AR198" i="3"/>
  <c r="N57" i="3"/>
  <c r="N44" i="3"/>
  <c r="AR104" i="3"/>
  <c r="N95" i="3"/>
  <c r="AR131" i="3"/>
  <c r="AR80" i="3"/>
  <c r="AR28" i="3"/>
  <c r="N53" i="3"/>
  <c r="N39" i="3"/>
  <c r="N114" i="3"/>
  <c r="AR84" i="3"/>
  <c r="N52" i="3"/>
  <c r="AR40" i="3"/>
  <c r="AR115" i="3"/>
  <c r="N122" i="3"/>
  <c r="N163" i="3"/>
  <c r="AR69" i="3"/>
  <c r="N64" i="3"/>
  <c r="AR126" i="3"/>
  <c r="AR45" i="3"/>
  <c r="N168" i="3"/>
  <c r="N131" i="3"/>
  <c r="N207" i="3"/>
  <c r="N81" i="3"/>
  <c r="AR136" i="3"/>
  <c r="AR99" i="3"/>
  <c r="AR52" i="3"/>
  <c r="N130" i="3"/>
  <c r="N33" i="3"/>
  <c r="N136" i="3"/>
  <c r="N169" i="3"/>
  <c r="N36" i="3"/>
  <c r="AR129" i="3"/>
  <c r="AR23" i="3"/>
  <c r="AR37" i="3"/>
  <c r="N45" i="3"/>
  <c r="AR158" i="3"/>
  <c r="N199" i="3"/>
  <c r="AR176" i="3"/>
  <c r="AR162" i="3"/>
  <c r="N191" i="3"/>
  <c r="AR71" i="3"/>
  <c r="N59" i="3"/>
  <c r="N178" i="3"/>
  <c r="AR151" i="3"/>
  <c r="AR27" i="3"/>
  <c r="N96" i="3"/>
  <c r="N162" i="3"/>
  <c r="N89" i="3"/>
  <c r="AR161" i="3"/>
  <c r="N204" i="3"/>
  <c r="N146" i="3"/>
  <c r="AR179" i="3"/>
  <c r="N110" i="3"/>
  <c r="AR62" i="3"/>
  <c r="N143" i="3"/>
  <c r="N42" i="3"/>
  <c r="N13" i="3"/>
  <c r="AR108" i="3"/>
  <c r="AR42" i="3"/>
  <c r="AR203" i="3"/>
  <c r="AR109" i="3"/>
  <c r="N21" i="3"/>
  <c r="AR191" i="3"/>
  <c r="N103" i="3"/>
  <c r="AR132" i="3"/>
  <c r="N171" i="3"/>
  <c r="AR17" i="3"/>
  <c r="AR54" i="3"/>
  <c r="AR66" i="3"/>
  <c r="N30" i="3"/>
  <c r="N132" i="3"/>
  <c r="N22" i="3"/>
  <c r="N18" i="3"/>
  <c r="N167" i="3"/>
  <c r="AR10" i="3"/>
  <c r="N10" i="3"/>
  <c r="AR22" i="3"/>
  <c r="N100" i="3"/>
  <c r="N172" i="3"/>
  <c r="N161" i="3"/>
  <c r="AR143" i="3"/>
  <c r="AR204" i="3"/>
  <c r="N27" i="3"/>
  <c r="N78" i="3"/>
  <c r="N62" i="3"/>
  <c r="CH7" i="3"/>
  <c r="CC10" i="3"/>
  <c r="BN103" i="15"/>
  <c r="BN204" i="15"/>
  <c r="AG119" i="15"/>
  <c r="BN86" i="15"/>
  <c r="BN158" i="15"/>
  <c r="BN122" i="15"/>
  <c r="BN85" i="15"/>
  <c r="AG12" i="15"/>
  <c r="BN108" i="15"/>
  <c r="AG83" i="15"/>
  <c r="AG9" i="15"/>
  <c r="BN7" i="15"/>
  <c r="AG136" i="15"/>
  <c r="AG73" i="15"/>
  <c r="AG132" i="15"/>
  <c r="BN49" i="15"/>
  <c r="AG140" i="15"/>
  <c r="BN182" i="15"/>
  <c r="AG116" i="15"/>
  <c r="BN92" i="15"/>
  <c r="AG152" i="15"/>
  <c r="BN110" i="15"/>
  <c r="AG48" i="15"/>
  <c r="BN63" i="15"/>
  <c r="BN76" i="15"/>
  <c r="BN144" i="15"/>
  <c r="BN151" i="15"/>
  <c r="BN176" i="15"/>
  <c r="AG49" i="15"/>
  <c r="BN9" i="15"/>
  <c r="AG107" i="15"/>
  <c r="AG71" i="15"/>
  <c r="AG74" i="15"/>
  <c r="AG22" i="15"/>
  <c r="AG115" i="15"/>
  <c r="BN98" i="15"/>
  <c r="BN57" i="15"/>
  <c r="AG36" i="15"/>
  <c r="AG122" i="15"/>
  <c r="BN24" i="15"/>
  <c r="AG191" i="15"/>
  <c r="AG164" i="15"/>
  <c r="BN162" i="15"/>
  <c r="BN30" i="15"/>
  <c r="BN133" i="15"/>
  <c r="AG15" i="15"/>
  <c r="BN155" i="15"/>
  <c r="BN132" i="15"/>
  <c r="AG68" i="15"/>
  <c r="BN125" i="15"/>
  <c r="AG47" i="15"/>
  <c r="BN118" i="15"/>
  <c r="BN142" i="15"/>
  <c r="BN185" i="15"/>
  <c r="BN169" i="15"/>
  <c r="BN175" i="15"/>
  <c r="AG195" i="15"/>
  <c r="BN161" i="15"/>
  <c r="AG82" i="15"/>
  <c r="AG118" i="15"/>
  <c r="AG26" i="15"/>
  <c r="BN101" i="15"/>
  <c r="AG174" i="15"/>
  <c r="BN73" i="15"/>
  <c r="BN29" i="15"/>
  <c r="AG156" i="15"/>
  <c r="BN13" i="15"/>
  <c r="AG149" i="15"/>
  <c r="AG59" i="15"/>
  <c r="BN68" i="15"/>
  <c r="AG125" i="15"/>
  <c r="BN42" i="15"/>
  <c r="AG172" i="15"/>
  <c r="BN198" i="15"/>
  <c r="BN111" i="15"/>
  <c r="BN199" i="15"/>
  <c r="AG17" i="15"/>
  <c r="AG192" i="15"/>
  <c r="BN138" i="15"/>
  <c r="BN184" i="15"/>
  <c r="AG84" i="15"/>
  <c r="BN116" i="15"/>
  <c r="AG89" i="15"/>
  <c r="AG142" i="15"/>
  <c r="AG13" i="15"/>
  <c r="AG188" i="15"/>
  <c r="AG69" i="15"/>
  <c r="BN32" i="15"/>
  <c r="BN16" i="15"/>
  <c r="BN168" i="15"/>
  <c r="BN163" i="15"/>
  <c r="BN157" i="15"/>
  <c r="AG131" i="15"/>
  <c r="BN47" i="15"/>
  <c r="AG163" i="15"/>
  <c r="AG78" i="15"/>
  <c r="BN166" i="15"/>
  <c r="AG148" i="15"/>
  <c r="BN96" i="15"/>
  <c r="BN87" i="15"/>
  <c r="BN83" i="15"/>
  <c r="BN28" i="15"/>
  <c r="AG41" i="15"/>
  <c r="AG90" i="15"/>
  <c r="BN165" i="15"/>
  <c r="AG171" i="15"/>
  <c r="BN146" i="15"/>
  <c r="BN34" i="15"/>
  <c r="BN61" i="15"/>
  <c r="BN105" i="15"/>
  <c r="BN188" i="15"/>
  <c r="BN148" i="15"/>
  <c r="BN135" i="15"/>
  <c r="BN143" i="15"/>
  <c r="AG201" i="15"/>
  <c r="BN119" i="15"/>
  <c r="BN117" i="15"/>
  <c r="AG88" i="15"/>
  <c r="AG181" i="15"/>
  <c r="BN109" i="15"/>
  <c r="BN6" i="15"/>
  <c r="AG64" i="15"/>
  <c r="AG14" i="15"/>
  <c r="BN19" i="15"/>
  <c r="BN93" i="15"/>
  <c r="BN58" i="15"/>
  <c r="BN53" i="15"/>
  <c r="BN56" i="15"/>
  <c r="BN131" i="15"/>
  <c r="AG52" i="15"/>
  <c r="BN197" i="15"/>
  <c r="AG194" i="15"/>
  <c r="AG95" i="15"/>
  <c r="BN137" i="15"/>
  <c r="BN31" i="15"/>
  <c r="AG65" i="15"/>
  <c r="BN44" i="15"/>
  <c r="BN186" i="15"/>
  <c r="AG138" i="15"/>
  <c r="BN77" i="15"/>
  <c r="AG143" i="15"/>
  <c r="AG182" i="15"/>
  <c r="AG137" i="15"/>
  <c r="BN150" i="15"/>
  <c r="AG75" i="15"/>
  <c r="AG185" i="15"/>
  <c r="AG123" i="15"/>
  <c r="AG91" i="15"/>
  <c r="AG106" i="15"/>
  <c r="AG70" i="15"/>
  <c r="AG184" i="15"/>
  <c r="BN90" i="15"/>
  <c r="AG168" i="15"/>
  <c r="AG200" i="15"/>
  <c r="BN152" i="15"/>
  <c r="AG204" i="15"/>
  <c r="BN89" i="15"/>
  <c r="BN180" i="15"/>
  <c r="BN65" i="15"/>
  <c r="AG190" i="15"/>
  <c r="AG97" i="15"/>
  <c r="AG111" i="15"/>
  <c r="BN191" i="15"/>
  <c r="BN195" i="15"/>
  <c r="BN171" i="15"/>
  <c r="AG173" i="15"/>
  <c r="BN74" i="15"/>
  <c r="BN192" i="15"/>
  <c r="AG58" i="15"/>
  <c r="AG198" i="15"/>
  <c r="AG44" i="15"/>
  <c r="AG104" i="15"/>
  <c r="BN10" i="15"/>
  <c r="AG102" i="15"/>
  <c r="BN11" i="15"/>
  <c r="BN14" i="15"/>
  <c r="BN94" i="15"/>
  <c r="BN173" i="15"/>
  <c r="BN55" i="15"/>
  <c r="AG23" i="15"/>
  <c r="AG175" i="15"/>
  <c r="BN81" i="15"/>
  <c r="BN80" i="15"/>
  <c r="AG105" i="15"/>
  <c r="AG45" i="15"/>
  <c r="AG85" i="15"/>
  <c r="AG99" i="15"/>
  <c r="AG177" i="15"/>
  <c r="AG110" i="15"/>
  <c r="BN170" i="15"/>
  <c r="AG127" i="15"/>
  <c r="BN181" i="15"/>
  <c r="BN71" i="15"/>
  <c r="AG6" i="15"/>
  <c r="BN22" i="15"/>
  <c r="BN139" i="15"/>
  <c r="BN190" i="15"/>
  <c r="BN88" i="15"/>
  <c r="BN75" i="15"/>
  <c r="BN51" i="15"/>
  <c r="AG145" i="15"/>
  <c r="BN200" i="15"/>
  <c r="N54" i="3" l="1"/>
  <c r="AR133" i="3"/>
  <c r="AR150" i="3"/>
  <c r="N73" i="3"/>
  <c r="AR89" i="3"/>
  <c r="N176" i="3"/>
  <c r="AR78" i="3"/>
  <c r="N8" i="3"/>
  <c r="AR202" i="3"/>
  <c r="N145" i="3"/>
  <c r="AR192" i="3"/>
  <c r="N151" i="3"/>
  <c r="AR98" i="3"/>
  <c r="AR103" i="3"/>
  <c r="AR65" i="3"/>
  <c r="AR73" i="3"/>
  <c r="AR113" i="3"/>
  <c r="N72" i="3"/>
  <c r="AR190" i="3"/>
  <c r="N173" i="3"/>
  <c r="N150" i="3"/>
  <c r="N28" i="3"/>
  <c r="N50" i="3"/>
  <c r="AR183" i="3"/>
  <c r="AR121" i="3"/>
  <c r="N147" i="3"/>
  <c r="AR141" i="3"/>
  <c r="N109" i="3"/>
  <c r="AR168" i="3"/>
  <c r="N120" i="3"/>
  <c r="AR112" i="3"/>
  <c r="N129" i="3"/>
  <c r="N38" i="3"/>
  <c r="AR100" i="3"/>
  <c r="N24" i="3"/>
  <c r="AR15" i="3"/>
  <c r="N80" i="3"/>
  <c r="N84" i="3"/>
  <c r="N154" i="3"/>
  <c r="AR172" i="3"/>
  <c r="AR200" i="3"/>
  <c r="AR58" i="3"/>
  <c r="AR95" i="3"/>
  <c r="N16" i="3"/>
  <c r="N165" i="3"/>
  <c r="AR163" i="3"/>
  <c r="AR94" i="3"/>
  <c r="N112" i="3"/>
  <c r="AR59" i="3"/>
  <c r="N203" i="3"/>
  <c r="N140" i="3"/>
  <c r="AR167" i="3"/>
  <c r="AR49" i="3"/>
  <c r="N197" i="3"/>
  <c r="N118" i="3"/>
  <c r="N179" i="3"/>
  <c r="N60" i="3"/>
  <c r="AR53" i="3"/>
  <c r="N127" i="3"/>
  <c r="AR11" i="3"/>
  <c r="N133" i="3"/>
  <c r="AR177" i="3"/>
  <c r="AR184" i="3"/>
  <c r="N101" i="3"/>
  <c r="AR194" i="3"/>
  <c r="AR79" i="3"/>
  <c r="AR24" i="3"/>
  <c r="N92" i="3"/>
  <c r="AR159" i="3"/>
  <c r="AR171" i="3"/>
  <c r="N142" i="3"/>
  <c r="N87" i="3"/>
  <c r="AR76" i="3"/>
  <c r="AR145" i="3"/>
  <c r="AR107" i="3"/>
  <c r="N51" i="3"/>
  <c r="AR165" i="3"/>
  <c r="AR187" i="3"/>
  <c r="AR51" i="3"/>
  <c r="N47" i="3"/>
  <c r="N175" i="3"/>
  <c r="AR77" i="3"/>
  <c r="AR70" i="3"/>
  <c r="N158" i="3"/>
  <c r="AR170" i="3"/>
  <c r="AR144" i="3"/>
  <c r="N134" i="3"/>
  <c r="N107" i="3"/>
  <c r="AR173" i="3"/>
  <c r="N174" i="3"/>
  <c r="AR63" i="3"/>
  <c r="AR178" i="3"/>
  <c r="AR18" i="3"/>
  <c r="AR120" i="3"/>
  <c r="N75" i="3"/>
  <c r="AR82" i="3"/>
  <c r="AR197" i="3"/>
  <c r="AR55" i="3"/>
  <c r="AR21" i="3"/>
  <c r="N66" i="3"/>
  <c r="AR34" i="3"/>
  <c r="N49" i="3"/>
  <c r="N138" i="3"/>
  <c r="AR83" i="3"/>
  <c r="AR193" i="3"/>
  <c r="AR90" i="3"/>
  <c r="N76" i="3"/>
  <c r="AR31" i="3"/>
  <c r="N71" i="3"/>
  <c r="AR127" i="3"/>
  <c r="AR9" i="3"/>
  <c r="N177" i="3"/>
  <c r="N113" i="3"/>
  <c r="AR44" i="3"/>
  <c r="AR36" i="3"/>
  <c r="N43" i="3"/>
  <c r="N190" i="3"/>
  <c r="N70" i="3"/>
  <c r="N11" i="3"/>
  <c r="N25" i="3"/>
  <c r="N99" i="3"/>
  <c r="AR137" i="3"/>
  <c r="AR188" i="3"/>
  <c r="AR153" i="3"/>
  <c r="N15" i="3"/>
  <c r="AR134" i="3"/>
  <c r="N85" i="3"/>
  <c r="AR57" i="3"/>
  <c r="N192" i="3"/>
  <c r="AR60" i="3"/>
  <c r="N61" i="3"/>
  <c r="AR75" i="3"/>
  <c r="N144" i="3"/>
  <c r="AR157" i="3"/>
  <c r="AR110" i="3"/>
  <c r="AR175" i="3"/>
  <c r="AR67" i="3"/>
  <c r="N117" i="3"/>
  <c r="AR148" i="3"/>
  <c r="AR30" i="3"/>
  <c r="N91" i="3"/>
  <c r="N17" i="3"/>
  <c r="N14" i="3"/>
  <c r="AR96" i="3"/>
  <c r="AR182" i="3"/>
  <c r="N108" i="3"/>
  <c r="AR46" i="3"/>
  <c r="AR8" i="3"/>
  <c r="AR118" i="3"/>
  <c r="AR135" i="3"/>
  <c r="AR87" i="3"/>
  <c r="AR16" i="3"/>
  <c r="AR91" i="3"/>
  <c r="N93" i="3"/>
  <c r="N67" i="3"/>
  <c r="AR146" i="3"/>
  <c r="N86" i="3"/>
  <c r="AR32" i="3"/>
  <c r="AR124" i="3"/>
  <c r="AR13" i="3"/>
  <c r="N206" i="3"/>
  <c r="N125" i="3"/>
  <c r="AR33" i="3"/>
  <c r="AR85" i="3"/>
  <c r="AR186" i="3"/>
  <c r="AR164" i="3"/>
  <c r="AR160" i="3"/>
  <c r="N104" i="3"/>
  <c r="AR154" i="3"/>
  <c r="N187" i="3"/>
  <c r="AR139" i="3"/>
  <c r="AR111" i="3"/>
  <c r="AR140" i="3"/>
  <c r="N166" i="3"/>
  <c r="AR88" i="3"/>
  <c r="AR12" i="3"/>
  <c r="N202" i="3"/>
  <c r="N77" i="3"/>
  <c r="N97" i="3"/>
  <c r="N183" i="3"/>
  <c r="N194" i="3"/>
  <c r="N193" i="3"/>
  <c r="N121" i="3"/>
  <c r="N106" i="3"/>
  <c r="N170" i="3"/>
  <c r="AR152" i="3"/>
  <c r="N196" i="3"/>
  <c r="N90" i="3"/>
  <c r="N19" i="3"/>
  <c r="AR26" i="3"/>
  <c r="AR206" i="3"/>
  <c r="N46" i="3"/>
  <c r="AR92" i="3"/>
  <c r="N139" i="3"/>
  <c r="AR199" i="3"/>
  <c r="AR119" i="3"/>
  <c r="AR201" i="3"/>
  <c r="N124" i="3"/>
  <c r="AR105" i="3"/>
  <c r="N200" i="3"/>
  <c r="N186" i="3"/>
  <c r="N184" i="3"/>
  <c r="CC11" i="3"/>
  <c r="CI7" i="3"/>
  <c r="CJ7" i="3" l="1"/>
  <c r="CC12" i="3"/>
  <c r="CK7" i="3" l="1"/>
  <c r="CC13" i="3"/>
  <c r="CL7" i="3" l="1"/>
  <c r="CC14" i="3"/>
  <c r="CA152" i="15"/>
  <c r="CA99" i="15"/>
  <c r="CA58" i="15"/>
  <c r="AT160" i="15"/>
  <c r="AT200" i="15"/>
  <c r="AT191" i="15"/>
  <c r="AT26" i="15"/>
  <c r="CA125" i="15"/>
  <c r="CA128" i="15"/>
  <c r="CA126" i="15"/>
  <c r="AT32" i="15"/>
  <c r="AT153" i="15"/>
  <c r="AT75" i="15"/>
  <c r="CA195" i="15"/>
  <c r="CA94" i="15"/>
  <c r="CA192" i="15"/>
  <c r="CA202" i="15"/>
  <c r="AT156" i="15"/>
  <c r="AT106" i="15"/>
  <c r="AT52" i="15"/>
  <c r="CA76" i="15"/>
  <c r="CA55" i="15"/>
  <c r="CA130" i="15"/>
  <c r="AT11" i="15"/>
  <c r="AT82" i="15"/>
  <c r="AT57" i="15"/>
  <c r="AT188" i="15"/>
  <c r="CA29" i="15"/>
  <c r="CA115" i="15"/>
  <c r="CA66" i="15"/>
  <c r="AT154" i="15"/>
  <c r="AT194" i="15"/>
  <c r="AT23" i="15"/>
  <c r="CA101" i="15"/>
  <c r="CA64" i="15"/>
  <c r="CA142" i="15"/>
  <c r="AT108" i="15"/>
  <c r="AT61" i="15"/>
  <c r="AT101" i="15"/>
  <c r="CA85" i="15"/>
  <c r="CA23" i="15"/>
  <c r="CA62" i="15"/>
  <c r="AT186" i="15"/>
  <c r="AT150" i="15"/>
  <c r="CA13" i="15"/>
  <c r="CA36" i="15"/>
  <c r="CA63" i="15"/>
  <c r="AT36" i="15"/>
  <c r="AT27" i="15"/>
  <c r="AT13" i="15"/>
  <c r="CA114" i="15"/>
  <c r="CA46" i="15"/>
  <c r="AT122" i="15"/>
  <c r="AT136" i="15"/>
  <c r="AT135" i="15"/>
  <c r="CA25" i="15"/>
  <c r="CA49" i="15"/>
  <c r="CA82" i="15"/>
  <c r="CA199" i="15"/>
  <c r="AT92" i="15"/>
  <c r="AT192" i="15"/>
  <c r="AT196" i="15"/>
  <c r="CA105" i="15"/>
  <c r="CA171" i="15"/>
  <c r="CA147" i="15"/>
  <c r="AT80" i="15"/>
  <c r="AT35" i="15"/>
  <c r="AT77" i="15"/>
  <c r="AT134" i="15"/>
  <c r="CA187" i="15"/>
  <c r="CA87" i="15"/>
  <c r="CA167" i="15"/>
  <c r="AT148" i="15"/>
  <c r="AT143" i="15"/>
  <c r="AT109" i="15"/>
  <c r="AT70" i="15"/>
  <c r="CA132" i="15"/>
  <c r="CA163" i="15"/>
  <c r="CA88" i="15"/>
  <c r="AT85" i="15"/>
  <c r="AT115" i="15"/>
  <c r="AT47" i="15"/>
  <c r="CA75" i="15"/>
  <c r="CA155" i="15"/>
  <c r="CA59" i="15"/>
  <c r="AT158" i="15"/>
  <c r="AT88" i="15"/>
  <c r="CA124" i="15"/>
  <c r="CA168" i="15"/>
  <c r="CA107" i="15"/>
  <c r="CA204" i="15"/>
  <c r="AT40" i="15"/>
  <c r="AT123" i="15"/>
  <c r="CA21" i="15"/>
  <c r="CA156" i="15"/>
  <c r="CA177" i="15"/>
  <c r="AT93" i="15"/>
  <c r="AT205" i="15"/>
  <c r="AT159" i="15"/>
  <c r="CA7" i="15"/>
  <c r="CA56" i="15"/>
  <c r="CA31" i="15"/>
  <c r="CA179" i="15"/>
  <c r="CA77" i="15"/>
  <c r="AT29" i="15"/>
  <c r="AT121" i="15"/>
  <c r="AT45" i="15"/>
  <c r="CA173" i="15"/>
  <c r="CA39" i="15"/>
  <c r="CA157" i="15"/>
  <c r="AT102" i="15"/>
  <c r="AT43" i="15"/>
  <c r="AT129" i="15"/>
  <c r="AT81" i="15"/>
  <c r="CA35" i="15"/>
  <c r="CA100" i="15"/>
  <c r="CA43" i="15"/>
  <c r="AT103" i="15"/>
  <c r="AT9" i="15"/>
  <c r="AT42" i="15"/>
  <c r="AT193" i="15"/>
  <c r="CA41" i="15"/>
  <c r="CA160" i="15"/>
  <c r="CA9" i="15"/>
  <c r="AT149" i="15"/>
  <c r="AT7" i="15"/>
  <c r="AT171" i="15"/>
  <c r="AT146" i="15"/>
  <c r="CA190" i="15"/>
  <c r="CA30" i="15"/>
  <c r="CA45" i="15"/>
  <c r="AT139" i="15"/>
  <c r="AT98" i="15"/>
  <c r="AT117" i="15"/>
  <c r="CA61" i="15"/>
  <c r="CA153" i="15"/>
  <c r="CA154" i="15"/>
  <c r="AT107" i="15"/>
  <c r="AT86" i="15"/>
  <c r="CA73" i="15"/>
  <c r="CA138" i="15"/>
  <c r="CA69" i="15"/>
  <c r="AT198" i="15"/>
  <c r="AT38" i="15"/>
  <c r="AT147" i="15"/>
  <c r="CA151" i="15"/>
  <c r="CA102" i="15"/>
  <c r="CA145" i="15"/>
  <c r="AT116" i="15"/>
  <c r="AT76" i="15"/>
  <c r="AT66" i="15"/>
  <c r="AT8" i="15"/>
  <c r="CA17" i="15"/>
  <c r="AT87" i="15"/>
  <c r="AT48" i="15"/>
  <c r="CA164" i="15"/>
  <c r="CA20" i="15"/>
  <c r="AT130" i="15"/>
  <c r="AT33" i="15"/>
  <c r="CA93" i="15"/>
  <c r="CA24" i="15"/>
  <c r="AT59" i="15"/>
  <c r="AT189" i="15"/>
  <c r="CA176" i="15"/>
  <c r="AT179" i="15"/>
  <c r="CA159" i="15"/>
  <c r="AT167" i="15"/>
  <c r="AT99" i="15"/>
  <c r="AT155" i="15"/>
  <c r="AT180" i="15"/>
  <c r="CA32" i="15"/>
  <c r="AT144" i="15"/>
  <c r="CA186" i="15"/>
  <c r="AT182" i="15"/>
  <c r="CA189" i="15"/>
  <c r="CA113" i="15"/>
  <c r="CA198" i="15"/>
  <c r="AT54" i="15"/>
  <c r="CA8" i="15"/>
  <c r="AT124" i="15"/>
  <c r="CA174" i="15"/>
  <c r="CA169" i="15"/>
  <c r="AT142" i="15"/>
  <c r="AT133" i="15"/>
  <c r="AT183" i="15"/>
  <c r="CA135" i="15"/>
  <c r="CA72" i="15"/>
  <c r="AT74" i="15"/>
  <c r="CA67" i="15"/>
  <c r="AT65" i="15"/>
  <c r="CA27" i="15"/>
  <c r="CA83" i="15"/>
  <c r="CA141" i="15"/>
  <c r="AT165" i="15"/>
  <c r="CA134" i="15"/>
  <c r="AT163" i="15"/>
  <c r="CA162" i="15"/>
  <c r="CA60" i="15"/>
  <c r="CA38" i="15"/>
  <c r="CA96" i="15"/>
  <c r="AT199" i="15"/>
  <c r="CA98" i="15"/>
  <c r="CA165" i="15"/>
  <c r="CA28" i="15"/>
  <c r="AT138" i="15"/>
  <c r="AT34" i="15"/>
  <c r="AT56" i="15"/>
  <c r="AT46" i="15"/>
  <c r="CA200" i="15"/>
  <c r="CA201" i="15"/>
  <c r="CA196" i="15"/>
  <c r="AT181" i="15"/>
  <c r="AT44" i="15"/>
  <c r="AT114" i="15"/>
  <c r="AT84" i="15"/>
  <c r="CA203" i="15"/>
  <c r="CA53" i="15"/>
  <c r="CA106" i="15"/>
  <c r="AT51" i="15"/>
  <c r="AT166" i="15"/>
  <c r="AT119" i="15"/>
  <c r="AT73" i="15"/>
  <c r="CA150" i="15"/>
  <c r="CA52" i="15"/>
  <c r="CA12" i="15"/>
  <c r="AT140" i="15"/>
  <c r="AT96" i="15"/>
  <c r="AT22" i="15"/>
  <c r="AT72" i="15"/>
  <c r="CA33" i="15"/>
  <c r="CA117" i="15"/>
  <c r="CA89" i="15"/>
  <c r="AT161" i="15"/>
  <c r="AT30" i="15"/>
  <c r="CA86" i="15"/>
  <c r="CA133" i="15"/>
  <c r="CA109" i="15"/>
  <c r="CA181" i="15"/>
  <c r="AT16" i="15"/>
  <c r="AT128" i="15"/>
  <c r="CA185" i="15"/>
  <c r="CA182" i="15"/>
  <c r="CA11" i="15"/>
  <c r="AT170" i="15"/>
  <c r="AT14" i="15"/>
  <c r="AT89" i="15"/>
  <c r="CA97" i="15"/>
  <c r="CA44" i="15"/>
  <c r="CA42" i="15"/>
  <c r="AT190" i="15"/>
  <c r="AT97" i="15"/>
  <c r="AT152" i="15"/>
  <c r="CA81" i="15"/>
  <c r="CA119" i="15"/>
  <c r="AT50" i="15"/>
  <c r="AT112" i="15"/>
  <c r="CA136" i="15"/>
  <c r="AT185" i="15"/>
  <c r="AT201" i="15"/>
  <c r="CA40" i="15"/>
  <c r="AT132" i="15"/>
  <c r="AT105" i="15"/>
  <c r="CA149" i="15"/>
  <c r="CA193" i="15"/>
  <c r="AT173" i="15"/>
  <c r="CA50" i="15"/>
  <c r="CA90" i="15"/>
  <c r="AT15" i="15"/>
  <c r="CA15" i="15"/>
  <c r="CA129" i="15"/>
  <c r="CA34" i="15"/>
  <c r="AT131" i="15"/>
  <c r="CA146" i="15"/>
  <c r="CA123" i="15"/>
  <c r="AT31" i="15"/>
  <c r="CA194" i="15"/>
  <c r="AT41" i="15"/>
  <c r="CA70" i="15"/>
  <c r="AT6" i="15"/>
  <c r="CA131" i="15"/>
  <c r="AT157" i="15"/>
  <c r="CA112" i="15"/>
  <c r="CA121" i="15"/>
  <c r="CA26" i="15"/>
  <c r="CA143" i="15"/>
  <c r="CA51" i="15"/>
  <c r="AT69" i="15"/>
  <c r="CA48" i="15"/>
  <c r="AT178" i="15"/>
  <c r="CA19" i="15"/>
  <c r="AT17" i="15"/>
  <c r="AT60" i="15"/>
  <c r="AT79" i="15"/>
  <c r="CA14" i="15"/>
  <c r="AT195" i="15"/>
  <c r="AT177" i="15"/>
  <c r="CA47" i="15"/>
  <c r="AT184" i="15"/>
  <c r="CA57" i="15"/>
  <c r="AT12" i="15"/>
  <c r="AT141" i="15"/>
  <c r="CA110" i="15"/>
  <c r="CA65" i="15"/>
  <c r="CA111" i="15"/>
  <c r="AT110" i="15"/>
  <c r="CA6" i="15"/>
  <c r="CA158" i="15"/>
  <c r="CA188" i="15"/>
  <c r="AT172" i="15"/>
  <c r="AT63" i="15"/>
  <c r="AT174" i="15"/>
  <c r="AT78" i="15"/>
  <c r="CA120" i="15"/>
  <c r="CA118" i="15"/>
  <c r="CA148" i="15"/>
  <c r="AT100" i="15"/>
  <c r="AT71" i="15"/>
  <c r="AT49" i="15"/>
  <c r="AT151" i="15"/>
  <c r="CA122" i="15"/>
  <c r="CA37" i="15"/>
  <c r="CA139" i="15"/>
  <c r="AT68" i="15"/>
  <c r="AT67" i="15"/>
  <c r="AT20" i="15"/>
  <c r="AT55" i="15"/>
  <c r="CA78" i="15"/>
  <c r="CA92" i="15"/>
  <c r="CA18" i="15"/>
  <c r="AT127" i="15"/>
  <c r="AT126" i="15"/>
  <c r="AT118" i="15"/>
  <c r="AT204" i="15"/>
  <c r="CA144" i="15"/>
  <c r="CA22" i="15"/>
  <c r="CA16" i="15"/>
  <c r="AT24" i="15"/>
  <c r="AT90" i="15"/>
  <c r="CA172" i="15"/>
  <c r="CA184" i="15"/>
  <c r="CA175" i="15"/>
  <c r="AT164" i="15"/>
  <c r="AT62" i="15"/>
  <c r="AT39" i="15"/>
  <c r="CA91" i="15"/>
  <c r="CA180" i="15"/>
  <c r="CA116" i="15"/>
  <c r="AT91" i="15"/>
  <c r="AT53" i="15"/>
  <c r="AT104" i="15"/>
  <c r="CA178" i="15"/>
  <c r="CA197" i="15"/>
  <c r="CA191" i="15"/>
  <c r="AT169" i="15"/>
  <c r="AT187" i="15"/>
  <c r="CA205" i="15"/>
  <c r="CA108" i="15"/>
  <c r="CA166" i="15"/>
  <c r="AT95" i="15"/>
  <c r="AT28" i="15"/>
  <c r="AT10" i="15"/>
  <c r="AT113" i="15"/>
  <c r="CA74" i="15"/>
  <c r="CA103" i="15"/>
  <c r="CA54" i="15"/>
  <c r="AT137" i="15"/>
  <c r="AT203" i="15"/>
  <c r="AT175" i="15"/>
  <c r="AT64" i="15"/>
  <c r="CA79" i="15"/>
  <c r="CA140" i="15"/>
  <c r="CA183" i="15"/>
  <c r="AT21" i="15"/>
  <c r="AT37" i="15"/>
  <c r="AT176" i="15"/>
  <c r="AT94" i="15"/>
  <c r="CA68" i="15"/>
  <c r="AT19" i="15"/>
  <c r="CA104" i="15"/>
  <c r="CA84" i="15"/>
  <c r="AT83" i="15"/>
  <c r="AT197" i="15"/>
  <c r="AT125" i="15"/>
  <c r="AT18" i="15"/>
  <c r="CA71" i="15"/>
  <c r="AT162" i="15"/>
  <c r="CA80" i="15"/>
  <c r="CA127" i="15"/>
  <c r="AT111" i="15"/>
  <c r="CA170" i="15"/>
  <c r="AT120" i="15"/>
  <c r="CA10" i="15"/>
  <c r="CA137" i="15"/>
  <c r="AT202" i="15"/>
  <c r="AT25" i="15"/>
  <c r="CA161" i="15"/>
  <c r="AT168" i="15"/>
  <c r="CA95" i="15"/>
  <c r="AT58" i="15"/>
  <c r="AT145" i="15"/>
  <c r="BE199" i="3" l="1"/>
  <c r="AA58" i="3"/>
  <c r="AA175" i="3"/>
  <c r="AA88" i="3"/>
  <c r="AA17" i="3"/>
  <c r="BE68" i="3"/>
  <c r="BE51" i="3"/>
  <c r="BE164" i="3"/>
  <c r="AA162" i="3"/>
  <c r="BE42" i="3"/>
  <c r="BE158" i="3"/>
  <c r="AA72" i="3"/>
  <c r="AA31" i="3"/>
  <c r="AA163" i="3"/>
  <c r="AA12" i="3"/>
  <c r="AA65" i="3"/>
  <c r="BE55" i="3"/>
  <c r="BE172" i="3"/>
  <c r="AA95" i="3"/>
  <c r="BE16" i="3"/>
  <c r="AA124" i="3"/>
  <c r="AA104" i="3"/>
  <c r="AA48" i="3"/>
  <c r="AA135" i="3"/>
  <c r="AA134" i="3"/>
  <c r="BE132" i="3"/>
  <c r="BE122" i="3"/>
  <c r="AA56" i="3"/>
  <c r="BE44" i="3"/>
  <c r="AA37" i="3"/>
  <c r="AA15" i="3"/>
  <c r="BE135" i="3"/>
  <c r="AA145" i="3"/>
  <c r="BE93" i="3"/>
  <c r="BE153" i="3"/>
  <c r="BE112" i="3"/>
  <c r="AA131" i="3"/>
  <c r="AA23" i="3"/>
  <c r="BE83" i="3"/>
  <c r="BE113" i="3"/>
  <c r="AA8" i="3"/>
  <c r="BE186" i="3"/>
  <c r="BE162" i="3"/>
  <c r="AA39" i="3"/>
  <c r="AA192" i="3"/>
  <c r="BE18" i="3"/>
  <c r="BE149" i="3"/>
  <c r="BE19" i="3"/>
  <c r="AA111" i="3"/>
  <c r="BE109" i="3"/>
  <c r="BE140" i="3"/>
  <c r="AA43" i="3"/>
  <c r="AA78" i="3"/>
  <c r="AA156" i="3"/>
  <c r="BE79" i="3"/>
  <c r="BE60" i="3"/>
  <c r="BE90" i="3"/>
  <c r="BE141" i="3"/>
  <c r="BE33" i="3"/>
  <c r="AA64" i="3"/>
  <c r="BE116" i="3"/>
  <c r="BE185" i="3"/>
  <c r="BE36" i="3"/>
  <c r="AA196" i="3"/>
  <c r="AA190" i="3"/>
  <c r="AA40" i="3"/>
  <c r="BE114" i="3"/>
  <c r="BE46" i="3"/>
  <c r="BE170" i="3"/>
  <c r="AA170" i="3"/>
  <c r="BE24" i="3"/>
  <c r="AA24" i="3"/>
  <c r="BE152" i="3"/>
  <c r="AA36" i="3"/>
  <c r="AA206" i="3"/>
  <c r="AA176" i="3"/>
  <c r="BE73" i="3"/>
  <c r="BE104" i="3"/>
  <c r="AA186" i="3"/>
  <c r="BE154" i="3"/>
  <c r="BE198" i="3"/>
  <c r="AA91" i="3"/>
  <c r="AA166" i="3"/>
  <c r="BE171" i="3"/>
  <c r="AA87" i="3"/>
  <c r="BE204" i="3"/>
  <c r="AA83" i="3"/>
  <c r="AA187" i="3"/>
  <c r="BE108" i="3"/>
  <c r="AA120" i="3"/>
  <c r="BE121" i="3"/>
  <c r="AA200" i="3"/>
  <c r="BE144" i="3"/>
  <c r="AA59" i="3"/>
  <c r="BE59" i="3"/>
  <c r="AA123" i="3"/>
  <c r="BE23" i="3"/>
  <c r="AA89" i="3"/>
  <c r="BE40" i="3"/>
  <c r="AA115" i="3"/>
  <c r="AA80" i="3"/>
  <c r="AA167" i="3"/>
  <c r="AA52" i="3"/>
  <c r="AA79" i="3"/>
  <c r="AA147" i="3"/>
  <c r="AA50" i="3"/>
  <c r="AA155" i="3"/>
  <c r="AA54" i="3"/>
  <c r="AA202" i="3"/>
  <c r="AA119" i="3"/>
  <c r="AA144" i="3"/>
  <c r="BE54" i="3"/>
  <c r="BE127" i="3"/>
  <c r="BE75" i="3"/>
  <c r="AA171" i="3"/>
  <c r="AA19" i="3"/>
  <c r="BE63" i="3"/>
  <c r="AA183" i="3"/>
  <c r="AA73" i="3"/>
  <c r="AA38" i="3"/>
  <c r="AA154" i="3"/>
  <c r="AA16" i="3"/>
  <c r="AA101" i="3"/>
  <c r="BE80" i="3"/>
  <c r="BE95" i="3"/>
  <c r="BE165" i="3"/>
  <c r="BE98" i="3"/>
  <c r="BE71" i="3"/>
  <c r="BE161" i="3"/>
  <c r="BE130" i="3"/>
  <c r="BE82" i="3"/>
  <c r="BE99" i="3"/>
  <c r="BE169" i="3"/>
  <c r="AA148" i="3"/>
  <c r="BE110" i="3"/>
  <c r="AA96" i="3"/>
  <c r="BE146" i="3"/>
  <c r="AA11" i="3"/>
  <c r="BE37" i="3"/>
  <c r="AA98" i="3"/>
  <c r="AA193" i="3"/>
  <c r="AA86" i="3"/>
  <c r="BE65" i="3"/>
  <c r="AA21" i="3"/>
  <c r="AA99" i="3"/>
  <c r="BE142" i="3"/>
  <c r="BE181" i="3"/>
  <c r="BE58" i="3"/>
  <c r="AA105" i="3"/>
  <c r="BE193" i="3"/>
  <c r="AA112" i="3"/>
  <c r="AA110" i="3"/>
  <c r="BE38" i="3"/>
  <c r="AA33" i="3"/>
  <c r="AA74" i="3"/>
  <c r="AA189" i="3"/>
  <c r="AA20" i="3"/>
  <c r="AA152" i="3"/>
  <c r="BE201" i="3"/>
  <c r="BE166" i="3"/>
  <c r="BE159" i="3"/>
  <c r="AA136" i="3"/>
  <c r="AA63" i="3"/>
  <c r="AA22" i="3"/>
  <c r="BE194" i="3"/>
  <c r="AA179" i="3"/>
  <c r="BE101" i="3"/>
  <c r="BE145" i="3"/>
  <c r="AA159" i="3"/>
  <c r="AA29" i="3"/>
  <c r="BE117" i="3"/>
  <c r="AA106" i="3"/>
  <c r="AA114" i="3"/>
  <c r="BE192" i="3"/>
  <c r="AA197" i="3"/>
  <c r="AA85" i="3"/>
  <c r="BE56" i="3"/>
  <c r="BE86" i="3"/>
  <c r="AA199" i="3"/>
  <c r="AA128" i="3"/>
  <c r="BE157" i="3"/>
  <c r="AA153" i="3"/>
  <c r="AA46" i="3"/>
  <c r="AA107" i="3"/>
  <c r="BE28" i="3"/>
  <c r="AA100" i="3"/>
  <c r="AA181" i="3"/>
  <c r="AA149" i="3"/>
  <c r="BE77" i="3"/>
  <c r="BE21" i="3"/>
  <c r="BE35" i="3"/>
  <c r="AA178" i="3"/>
  <c r="AA70" i="3"/>
  <c r="BE91" i="3"/>
  <c r="AA184" i="3"/>
  <c r="BE31" i="3"/>
  <c r="BE173" i="3"/>
  <c r="AA158" i="3"/>
  <c r="AA151" i="3"/>
  <c r="BE76" i="3"/>
  <c r="BE34" i="3"/>
  <c r="AA66" i="3"/>
  <c r="AA25" i="3"/>
  <c r="BE189" i="3"/>
  <c r="BE133" i="3"/>
  <c r="AA55" i="3"/>
  <c r="BE143" i="3"/>
  <c r="BE89" i="3"/>
  <c r="AA34" i="3"/>
  <c r="AA195" i="3"/>
  <c r="BE136" i="3"/>
  <c r="BE30" i="3"/>
  <c r="BE102" i="3"/>
  <c r="BE138" i="3"/>
  <c r="BE179" i="3"/>
  <c r="AA116" i="3"/>
  <c r="BE94" i="3"/>
  <c r="AA10" i="3"/>
  <c r="AA127" i="3"/>
  <c r="BE197" i="3"/>
  <c r="AA150" i="3"/>
  <c r="AA198" i="3"/>
  <c r="AA108" i="3"/>
  <c r="BE174" i="3"/>
  <c r="AA26" i="3"/>
  <c r="AA205" i="3"/>
  <c r="BE150" i="3"/>
  <c r="BE180" i="3"/>
  <c r="BE84" i="3"/>
  <c r="BE43" i="3"/>
  <c r="AA27" i="3"/>
  <c r="AA185" i="3"/>
  <c r="AA194" i="3"/>
  <c r="BE88" i="3"/>
  <c r="AA146" i="3"/>
  <c r="AA94" i="3"/>
  <c r="BE205" i="3"/>
  <c r="AA57" i="3"/>
  <c r="AA143" i="3"/>
  <c r="AA177" i="3"/>
  <c r="AA18" i="3"/>
  <c r="BE120" i="3"/>
  <c r="BE26" i="3"/>
  <c r="AA103" i="3"/>
  <c r="BE175" i="3"/>
  <c r="BE191" i="3"/>
  <c r="BE96" i="3"/>
  <c r="AA161" i="3"/>
  <c r="BE107" i="3"/>
  <c r="BE62" i="3"/>
  <c r="BE81" i="3"/>
  <c r="BE155" i="3"/>
  <c r="BE129" i="3"/>
  <c r="BE184" i="3"/>
  <c r="AA28" i="3"/>
  <c r="BE118" i="3"/>
  <c r="AA93" i="3"/>
  <c r="BE45" i="3"/>
  <c r="BE85" i="3"/>
  <c r="AA160" i="3"/>
  <c r="BE22" i="3"/>
  <c r="AA172" i="3"/>
  <c r="BE168" i="3"/>
  <c r="BE187" i="3"/>
  <c r="AA60" i="3"/>
  <c r="BE32" i="3"/>
  <c r="BE119" i="3"/>
  <c r="AA122" i="3"/>
  <c r="AA32" i="3"/>
  <c r="BE20" i="3"/>
  <c r="AA137" i="3"/>
  <c r="AA61" i="3"/>
  <c r="AA30" i="3"/>
  <c r="BE111" i="3"/>
  <c r="AA125" i="3"/>
  <c r="AA49" i="3"/>
  <c r="AA71" i="3"/>
  <c r="BE14" i="3"/>
  <c r="AA138" i="3"/>
  <c r="BE17" i="3"/>
  <c r="AA62" i="3"/>
  <c r="BE15" i="3"/>
  <c r="AA203" i="3"/>
  <c r="BE200" i="3"/>
  <c r="AA174" i="3"/>
  <c r="BE50" i="3"/>
  <c r="AA113" i="3"/>
  <c r="BE49" i="3"/>
  <c r="AA140" i="3"/>
  <c r="AA188" i="3"/>
  <c r="BE103" i="3"/>
  <c r="BE167" i="3"/>
  <c r="BE163" i="3"/>
  <c r="BE66" i="3"/>
  <c r="BE125" i="3"/>
  <c r="BE41" i="3"/>
  <c r="BE139" i="3"/>
  <c r="BE74" i="3"/>
  <c r="BE190" i="3"/>
  <c r="BE123" i="3"/>
  <c r="AA67" i="3"/>
  <c r="AA44" i="3"/>
  <c r="BE70" i="3"/>
  <c r="BE12" i="3"/>
  <c r="BE97" i="3"/>
  <c r="AA9" i="3"/>
  <c r="AA35" i="3"/>
  <c r="BE10" i="3"/>
  <c r="AA180" i="3"/>
  <c r="BE203" i="3"/>
  <c r="BE178" i="3"/>
  <c r="AA121" i="3"/>
  <c r="AA129" i="3"/>
  <c r="AA75" i="3"/>
  <c r="BE206" i="3"/>
  <c r="BE124" i="3"/>
  <c r="BE67" i="3"/>
  <c r="AA164" i="3"/>
  <c r="BE156" i="3"/>
  <c r="AA132" i="3"/>
  <c r="BE13" i="3"/>
  <c r="BE52" i="3"/>
  <c r="AA204" i="3"/>
  <c r="BE148" i="3"/>
  <c r="AA182" i="3"/>
  <c r="AA76" i="3"/>
  <c r="AA45" i="3"/>
  <c r="AA90" i="3"/>
  <c r="BE151" i="3"/>
  <c r="BE47" i="3"/>
  <c r="BE27" i="3"/>
  <c r="AA53" i="3"/>
  <c r="BE105" i="3"/>
  <c r="BE9" i="3"/>
  <c r="AA173" i="3"/>
  <c r="BE25" i="3"/>
  <c r="BE207" i="3"/>
  <c r="BE39" i="3"/>
  <c r="BE8" i="3"/>
  <c r="AA69" i="3"/>
  <c r="AA77" i="3"/>
  <c r="AA207" i="3"/>
  <c r="AA68" i="3"/>
  <c r="BE177" i="3"/>
  <c r="BE69" i="3"/>
  <c r="BE53" i="3"/>
  <c r="BE115" i="3"/>
  <c r="AA169" i="3"/>
  <c r="BE64" i="3"/>
  <c r="BE100" i="3"/>
  <c r="AA139" i="3"/>
  <c r="BE195" i="3"/>
  <c r="AA191" i="3"/>
  <c r="BE196" i="3"/>
  <c r="AA141" i="3"/>
  <c r="BE134" i="3"/>
  <c r="AA82" i="3"/>
  <c r="AA51" i="3"/>
  <c r="BE29" i="3"/>
  <c r="BE48" i="3"/>
  <c r="AA41" i="3"/>
  <c r="BE202" i="3"/>
  <c r="AA157" i="3"/>
  <c r="BE126" i="3"/>
  <c r="BE57" i="3"/>
  <c r="AA130" i="3"/>
  <c r="AA126" i="3"/>
  <c r="AA168" i="3"/>
  <c r="AA165" i="3"/>
  <c r="BE183" i="3"/>
  <c r="AA201" i="3"/>
  <c r="AA142" i="3"/>
  <c r="BE61" i="3"/>
  <c r="AA118" i="3"/>
  <c r="BE182" i="3"/>
  <c r="BE128" i="3"/>
  <c r="AA14" i="3"/>
  <c r="AA42" i="3"/>
  <c r="BE188" i="3"/>
  <c r="AA81" i="3"/>
  <c r="AA109" i="3"/>
  <c r="BE131" i="3"/>
  <c r="BE160" i="3"/>
  <c r="AA92" i="3"/>
  <c r="BE92" i="3"/>
  <c r="BE106" i="3"/>
  <c r="AA102" i="3"/>
  <c r="AA97" i="3"/>
  <c r="AA84" i="3"/>
  <c r="AA133" i="3"/>
  <c r="AA13" i="3"/>
  <c r="AA47" i="3"/>
  <c r="BE72" i="3"/>
  <c r="BE78" i="3"/>
  <c r="BE87" i="3"/>
  <c r="BE11" i="3"/>
  <c r="BE137" i="3"/>
  <c r="BE147" i="3"/>
  <c r="BE176" i="3"/>
  <c r="AA117" i="3"/>
  <c r="CM7" i="3"/>
  <c r="CC15" i="3"/>
  <c r="CC16" i="3" l="1"/>
  <c r="CN7" i="3"/>
  <c r="CO7" i="3" l="1"/>
  <c r="CC17" i="3"/>
  <c r="CP7" i="3" l="1"/>
  <c r="CC18" i="3"/>
  <c r="CP11" i="3" l="1" a="1"/>
  <c r="CP11" i="3" s="1"/>
  <c r="CP10" i="3" a="1"/>
  <c r="CP10" i="3" s="1"/>
  <c r="CP12" i="3" a="1"/>
  <c r="CP12" i="3" s="1"/>
  <c r="CP8" i="3" a="1"/>
  <c r="CP8" i="3" s="1"/>
  <c r="CP17" i="3" a="1"/>
  <c r="CP17" i="3" s="1"/>
  <c r="CP14" i="3" a="1"/>
  <c r="CP14" i="3" s="1"/>
  <c r="CQ7" i="3"/>
  <c r="CP18" i="3" a="1"/>
  <c r="CP18" i="3" s="1"/>
  <c r="CP16" i="3" a="1"/>
  <c r="CP16" i="3" s="1"/>
  <c r="CP13" i="3" a="1"/>
  <c r="CP13" i="3" s="1"/>
  <c r="CP9" i="3" a="1"/>
  <c r="CP9" i="3" s="1"/>
  <c r="CP15" i="3" a="1"/>
  <c r="CP15" i="3" s="1"/>
  <c r="CC19" i="3"/>
  <c r="CP19" i="3" s="1" a="1"/>
  <c r="CP19" i="3" s="1"/>
  <c r="BZ58" i="15"/>
  <c r="BZ130" i="15"/>
  <c r="BZ157" i="15"/>
  <c r="BZ68" i="15"/>
  <c r="BZ19" i="15"/>
  <c r="BZ180" i="15"/>
  <c r="BZ24" i="15"/>
  <c r="BZ109" i="15"/>
  <c r="BZ15" i="15"/>
  <c r="BZ182" i="15"/>
  <c r="BZ190" i="15"/>
  <c r="BZ72" i="15"/>
  <c r="BZ119" i="15"/>
  <c r="BZ193" i="15"/>
  <c r="BZ43" i="15"/>
  <c r="BZ152" i="15"/>
  <c r="BZ125" i="15"/>
  <c r="BZ105" i="15"/>
  <c r="BZ50" i="15"/>
  <c r="BZ108" i="15"/>
  <c r="BZ191" i="15"/>
  <c r="BZ49" i="15"/>
  <c r="BZ25" i="15"/>
  <c r="BZ187" i="15"/>
  <c r="BZ75" i="15"/>
  <c r="BZ37" i="15"/>
  <c r="BZ83" i="15"/>
  <c r="BZ114" i="15"/>
  <c r="BZ88" i="15"/>
  <c r="BZ132" i="15"/>
  <c r="BZ179" i="15"/>
  <c r="BZ111" i="15"/>
  <c r="BZ204" i="15"/>
  <c r="BZ117" i="15"/>
  <c r="BZ147" i="15"/>
  <c r="BZ194" i="15"/>
  <c r="BZ176" i="15"/>
  <c r="BZ78" i="15"/>
  <c r="BZ161" i="15"/>
  <c r="BZ97" i="15"/>
  <c r="BZ150" i="15"/>
  <c r="BZ39" i="15"/>
  <c r="BZ80" i="15"/>
  <c r="BZ30" i="15"/>
  <c r="BZ128" i="15"/>
  <c r="BZ16" i="15"/>
  <c r="BZ126" i="15"/>
  <c r="BZ47" i="15"/>
  <c r="BZ197" i="15"/>
  <c r="BZ13" i="15"/>
  <c r="BZ171" i="15"/>
  <c r="BZ168" i="15"/>
  <c r="BZ140" i="15"/>
  <c r="BZ202" i="15"/>
  <c r="BZ112" i="15"/>
  <c r="BZ162" i="15"/>
  <c r="BZ120" i="15"/>
  <c r="BZ165" i="15"/>
  <c r="BZ17" i="15"/>
  <c r="BZ203" i="15"/>
  <c r="BZ118" i="15"/>
  <c r="BZ34" i="15"/>
  <c r="BZ42" i="15"/>
  <c r="BZ99" i="15"/>
  <c r="BZ85" i="15"/>
  <c r="BZ36" i="15"/>
  <c r="BZ89" i="15"/>
  <c r="BZ169" i="15"/>
  <c r="BZ201" i="15"/>
  <c r="BZ98" i="15"/>
  <c r="BZ149" i="15"/>
  <c r="BZ170" i="15"/>
  <c r="BZ178" i="15"/>
  <c r="BZ10" i="15"/>
  <c r="BZ188" i="15"/>
  <c r="BZ199" i="15"/>
  <c r="BZ139" i="15"/>
  <c r="BZ134" i="15"/>
  <c r="BZ74" i="15"/>
  <c r="BZ200" i="15"/>
  <c r="BZ136" i="15"/>
  <c r="BZ54" i="15"/>
  <c r="BZ198" i="15"/>
  <c r="BZ181" i="15"/>
  <c r="BZ104" i="15"/>
  <c r="BZ60" i="15"/>
  <c r="BZ94" i="15"/>
  <c r="BZ65" i="15"/>
  <c r="BZ175" i="15"/>
  <c r="BZ103" i="15"/>
  <c r="BZ163" i="15"/>
  <c r="BZ64" i="15"/>
  <c r="BZ40" i="15"/>
  <c r="BZ135" i="15"/>
  <c r="BZ41" i="15"/>
  <c r="BZ67" i="15"/>
  <c r="BZ100" i="15"/>
  <c r="BZ33" i="15"/>
  <c r="BZ101" i="15"/>
  <c r="BZ23" i="15"/>
  <c r="BZ14" i="15"/>
  <c r="BZ195" i="15"/>
  <c r="BZ167" i="15"/>
  <c r="BZ26" i="15"/>
  <c r="BZ18" i="15"/>
  <c r="BZ172" i="15"/>
  <c r="BZ73" i="15"/>
  <c r="BZ20" i="15"/>
  <c r="BZ159" i="15"/>
  <c r="BZ79" i="15"/>
  <c r="BZ45" i="15"/>
  <c r="BZ122" i="15"/>
  <c r="BZ173" i="15"/>
  <c r="BZ28" i="15"/>
  <c r="BZ160" i="15"/>
  <c r="BZ27" i="15"/>
  <c r="BZ57" i="15"/>
  <c r="BZ81" i="15"/>
  <c r="BZ184" i="15"/>
  <c r="BZ145" i="15"/>
  <c r="BZ141" i="15"/>
  <c r="BZ6" i="15"/>
  <c r="BZ59" i="15"/>
  <c r="BZ55" i="15"/>
  <c r="BZ22" i="15"/>
  <c r="BZ196" i="15"/>
  <c r="BZ142" i="15"/>
  <c r="BZ66" i="15"/>
  <c r="BZ63" i="15"/>
  <c r="BZ86" i="15"/>
  <c r="BZ21" i="15"/>
  <c r="BZ174" i="15"/>
  <c r="BZ62" i="15"/>
  <c r="BZ93" i="15"/>
  <c r="BZ127" i="15"/>
  <c r="BZ151" i="15"/>
  <c r="BZ116" i="15"/>
  <c r="BZ137" i="15"/>
  <c r="BZ115" i="15"/>
  <c r="BZ70" i="15"/>
  <c r="BZ156" i="15"/>
  <c r="BZ129" i="15"/>
  <c r="BZ84" i="15"/>
  <c r="BZ153" i="15"/>
  <c r="BZ82" i="15"/>
  <c r="BZ205" i="15"/>
  <c r="BZ144" i="15"/>
  <c r="BZ69" i="15"/>
  <c r="BZ121" i="15"/>
  <c r="BZ7" i="15"/>
  <c r="BZ8" i="15"/>
  <c r="BZ35" i="15"/>
  <c r="BZ76" i="15"/>
  <c r="BZ189" i="15"/>
  <c r="BZ48" i="15"/>
  <c r="BZ71" i="15"/>
  <c r="BZ38" i="15"/>
  <c r="BZ95" i="15"/>
  <c r="BZ32" i="15"/>
  <c r="BZ158" i="15"/>
  <c r="BZ46" i="15"/>
  <c r="BZ185" i="15"/>
  <c r="BZ155" i="15"/>
  <c r="BZ77" i="15"/>
  <c r="BZ92" i="15"/>
  <c r="BZ56" i="15"/>
  <c r="BZ90" i="15"/>
  <c r="BZ113" i="15"/>
  <c r="BZ183" i="15"/>
  <c r="BZ131" i="15"/>
  <c r="BZ124" i="15"/>
  <c r="BZ102" i="15"/>
  <c r="BZ107" i="15"/>
  <c r="BZ106" i="15"/>
  <c r="BZ148" i="15"/>
  <c r="BZ51" i="15"/>
  <c r="BZ87" i="15"/>
  <c r="BZ186" i="15"/>
  <c r="BZ143" i="15"/>
  <c r="BZ192" i="15"/>
  <c r="BZ154" i="15"/>
  <c r="BZ44" i="15"/>
  <c r="BZ177" i="15"/>
  <c r="BZ138" i="15"/>
  <c r="BZ31" i="15"/>
  <c r="BZ91" i="15"/>
  <c r="BZ166" i="15"/>
  <c r="BZ12" i="15"/>
  <c r="BZ53" i="15"/>
  <c r="BZ52" i="15"/>
  <c r="BZ110" i="15"/>
  <c r="BZ133" i="15"/>
  <c r="BZ96" i="15"/>
  <c r="BZ146" i="15"/>
  <c r="BZ9" i="15"/>
  <c r="BZ11" i="15"/>
  <c r="BZ29" i="15"/>
  <c r="BZ123" i="15"/>
  <c r="BZ61" i="15"/>
  <c r="BZ164" i="15"/>
  <c r="AS133" i="15"/>
  <c r="AS156" i="15"/>
  <c r="AS164" i="15"/>
  <c r="AS20" i="15"/>
  <c r="AS184" i="15"/>
  <c r="AS71" i="15"/>
  <c r="AS183" i="15"/>
  <c r="AS91" i="15"/>
  <c r="AS135" i="15"/>
  <c r="AS105" i="15"/>
  <c r="AS169" i="15"/>
  <c r="AS182" i="15"/>
  <c r="AS202" i="15"/>
  <c r="AS143" i="15"/>
  <c r="AS86" i="15"/>
  <c r="AS31" i="15"/>
  <c r="AS107" i="15"/>
  <c r="AS81" i="15"/>
  <c r="AS76" i="15"/>
  <c r="AS179" i="15"/>
  <c r="AS139" i="15"/>
  <c r="AS140" i="15"/>
  <c r="AS166" i="15"/>
  <c r="AS201" i="15"/>
  <c r="AS103" i="15"/>
  <c r="AS12" i="15"/>
  <c r="AS161" i="15"/>
  <c r="AS180" i="15"/>
  <c r="AS197" i="15"/>
  <c r="AS159" i="15"/>
  <c r="AS101" i="15"/>
  <c r="AS200" i="15"/>
  <c r="AS130" i="15"/>
  <c r="AS16" i="15"/>
  <c r="AS17" i="15"/>
  <c r="AS79" i="15"/>
  <c r="AS109" i="15"/>
  <c r="AS73" i="15"/>
  <c r="AS178" i="15"/>
  <c r="AS199" i="15"/>
  <c r="AS47" i="15"/>
  <c r="AS13" i="15"/>
  <c r="AS151" i="15"/>
  <c r="AS78" i="15"/>
  <c r="AS51" i="15"/>
  <c r="AS33" i="15"/>
  <c r="AS190" i="15"/>
  <c r="AS152" i="15"/>
  <c r="AS163" i="15"/>
  <c r="AS97" i="15"/>
  <c r="AS114" i="15"/>
  <c r="AS160" i="15"/>
  <c r="AS204" i="15"/>
  <c r="AS89" i="15"/>
  <c r="AS84" i="15"/>
  <c r="AS177" i="15"/>
  <c r="AS96" i="15"/>
  <c r="AS122" i="15"/>
  <c r="AS99" i="15"/>
  <c r="AS23" i="15"/>
  <c r="AS192" i="15"/>
  <c r="AS70" i="15"/>
  <c r="AS150" i="15"/>
  <c r="AS185" i="15"/>
  <c r="AS50" i="15"/>
  <c r="AS186" i="15"/>
  <c r="AS48" i="15"/>
  <c r="AS153" i="15"/>
  <c r="AS11" i="15"/>
  <c r="AS52" i="15"/>
  <c r="AS67" i="15"/>
  <c r="AS40" i="15"/>
  <c r="AS110" i="15"/>
  <c r="AS124" i="15"/>
  <c r="AS35" i="15"/>
  <c r="AS123" i="15"/>
  <c r="AS53" i="15"/>
  <c r="AS92" i="15"/>
  <c r="AS34" i="15"/>
  <c r="AS118" i="15"/>
  <c r="AS171" i="15"/>
  <c r="AS176" i="15"/>
  <c r="AS72" i="15"/>
  <c r="AS25" i="15"/>
  <c r="AS102" i="15"/>
  <c r="AS172" i="15"/>
  <c r="AS6" i="15"/>
  <c r="AS154" i="15"/>
  <c r="AS44" i="15"/>
  <c r="AS65" i="15"/>
  <c r="AS132" i="15"/>
  <c r="AS82" i="15"/>
  <c r="AS8" i="15"/>
  <c r="AS117" i="15"/>
  <c r="AS26" i="15"/>
  <c r="AS29" i="15"/>
  <c r="AS134" i="15"/>
  <c r="AS93" i="15"/>
  <c r="AS174" i="15"/>
  <c r="AS120" i="15"/>
  <c r="AS49" i="15"/>
  <c r="AS27" i="15"/>
  <c r="AS147" i="15"/>
  <c r="AS188" i="15"/>
  <c r="AS125" i="15"/>
  <c r="AS59" i="15"/>
  <c r="AS116" i="15"/>
  <c r="AS189" i="15"/>
  <c r="AS38" i="15"/>
  <c r="AS42" i="15"/>
  <c r="AS80" i="15"/>
  <c r="AS7" i="15"/>
  <c r="AS83" i="15"/>
  <c r="AS141" i="15"/>
  <c r="AS19" i="15"/>
  <c r="AS15" i="15"/>
  <c r="AS100" i="15"/>
  <c r="AS173" i="15"/>
  <c r="AS58" i="15"/>
  <c r="AS61" i="15"/>
  <c r="AS46" i="15"/>
  <c r="AS115" i="15"/>
  <c r="AS85" i="15"/>
  <c r="AS203" i="15"/>
  <c r="AS9" i="15"/>
  <c r="AS22" i="15"/>
  <c r="AS127" i="15"/>
  <c r="AS142" i="15"/>
  <c r="AS41" i="15"/>
  <c r="AS138" i="15"/>
  <c r="AS28" i="15"/>
  <c r="AS64" i="15"/>
  <c r="AS94" i="15"/>
  <c r="AS191" i="15"/>
  <c r="AS98" i="15"/>
  <c r="AS21" i="15"/>
  <c r="AS108" i="15"/>
  <c r="AS10" i="15"/>
  <c r="AS36" i="15"/>
  <c r="AS119" i="15"/>
  <c r="AS87" i="15"/>
  <c r="AS165" i="15"/>
  <c r="AS149" i="15"/>
  <c r="AS77" i="15"/>
  <c r="AS112" i="15"/>
  <c r="AS69" i="15"/>
  <c r="AS146" i="15"/>
  <c r="AS168" i="15"/>
  <c r="AS18" i="15"/>
  <c r="AS187" i="15"/>
  <c r="AS195" i="15"/>
  <c r="AS32" i="15"/>
  <c r="AS88" i="15"/>
  <c r="AS39" i="15"/>
  <c r="AS131" i="15"/>
  <c r="AS136" i="15"/>
  <c r="AS75" i="15"/>
  <c r="AS68" i="15"/>
  <c r="AS129" i="15"/>
  <c r="AS74" i="15"/>
  <c r="AS57" i="15"/>
  <c r="AS144" i="15"/>
  <c r="AS181" i="15"/>
  <c r="AS113" i="15"/>
  <c r="AS121" i="15"/>
  <c r="AS54" i="15"/>
  <c r="AS148" i="15"/>
  <c r="AS111" i="15"/>
  <c r="AS175" i="15"/>
  <c r="AS194" i="15"/>
  <c r="AS157" i="15"/>
  <c r="AS60" i="15"/>
  <c r="AS30" i="15"/>
  <c r="AS193" i="15"/>
  <c r="AS128" i="15"/>
  <c r="AS205" i="15"/>
  <c r="AS106" i="15"/>
  <c r="AS126" i="15"/>
  <c r="AS162" i="15"/>
  <c r="AS158" i="15"/>
  <c r="AS62" i="15"/>
  <c r="AS43" i="15"/>
  <c r="AS170" i="15"/>
  <c r="AS45" i="15"/>
  <c r="AS198" i="15"/>
  <c r="AS90" i="15"/>
  <c r="AS66" i="15"/>
  <c r="AS63" i="15"/>
  <c r="AS155" i="15"/>
  <c r="AS145" i="15"/>
  <c r="AS56" i="15"/>
  <c r="AS167" i="15"/>
  <c r="AS14" i="15"/>
  <c r="AS24" i="15"/>
  <c r="AS104" i="15"/>
  <c r="AS55" i="15"/>
  <c r="AS196" i="15"/>
  <c r="AS137" i="15"/>
  <c r="AS37" i="15"/>
  <c r="AS95" i="15"/>
  <c r="BM140" i="15"/>
  <c r="BM8" i="15"/>
  <c r="BM47" i="15"/>
  <c r="AF86" i="15"/>
  <c r="AF78" i="15"/>
  <c r="BM21" i="15"/>
  <c r="BM198" i="15"/>
  <c r="BM25" i="15"/>
  <c r="AF146" i="15"/>
  <c r="BM13" i="15"/>
  <c r="BM74" i="15"/>
  <c r="BM100" i="15"/>
  <c r="AF126" i="15"/>
  <c r="AF160" i="15"/>
  <c r="BM17" i="15"/>
  <c r="BM22" i="15"/>
  <c r="BM66" i="15"/>
  <c r="AF21" i="15"/>
  <c r="AF80" i="15"/>
  <c r="AF153" i="15"/>
  <c r="AF102" i="15"/>
  <c r="BM114" i="15"/>
  <c r="BM69" i="15"/>
  <c r="BM188" i="15"/>
  <c r="AF23" i="15"/>
  <c r="AF64" i="15"/>
  <c r="AF162" i="15"/>
  <c r="AF38" i="15"/>
  <c r="AF197" i="15"/>
  <c r="BM19" i="15"/>
  <c r="BM118" i="15"/>
  <c r="BM31" i="15"/>
  <c r="AF98" i="15"/>
  <c r="BM190" i="15"/>
  <c r="BM144" i="15"/>
  <c r="BM40" i="15"/>
  <c r="BM64" i="15"/>
  <c r="AF31" i="15"/>
  <c r="AF84" i="15"/>
  <c r="AF176" i="15"/>
  <c r="AF67" i="15"/>
  <c r="AF164" i="15"/>
  <c r="BM59" i="15"/>
  <c r="BM161" i="15"/>
  <c r="BM181" i="15"/>
  <c r="AF25" i="15"/>
  <c r="AF76" i="15"/>
  <c r="AF198" i="15"/>
  <c r="AF181" i="15"/>
  <c r="AF87" i="15"/>
  <c r="AF36" i="15"/>
  <c r="BM178" i="15"/>
  <c r="BM129" i="15"/>
  <c r="BM111" i="15"/>
  <c r="AF120" i="15"/>
  <c r="AF204" i="15"/>
  <c r="BM26" i="15"/>
  <c r="BM136" i="15"/>
  <c r="AF18" i="15"/>
  <c r="AF90" i="15"/>
  <c r="AF79" i="15"/>
  <c r="BM127" i="15"/>
  <c r="AF129" i="15"/>
  <c r="AF12" i="15"/>
  <c r="BM24" i="15"/>
  <c r="BM182" i="15"/>
  <c r="BM128" i="15"/>
  <c r="BM177" i="15"/>
  <c r="BM10" i="15"/>
  <c r="BM20" i="15"/>
  <c r="AF154" i="15"/>
  <c r="AF85" i="15"/>
  <c r="BM115" i="15"/>
  <c r="BM125" i="15"/>
  <c r="BM147" i="15"/>
  <c r="AF202" i="15"/>
  <c r="AF167" i="15"/>
  <c r="AF121" i="15"/>
  <c r="BM194" i="15"/>
  <c r="BM201" i="15"/>
  <c r="BM75" i="15"/>
  <c r="AF105" i="15"/>
  <c r="BM98" i="15"/>
  <c r="BM79" i="15"/>
  <c r="BM73" i="15"/>
  <c r="BM199" i="15"/>
  <c r="AF66" i="15"/>
  <c r="AF114" i="15"/>
  <c r="BM93" i="15"/>
  <c r="BM110" i="15"/>
  <c r="AF171" i="15"/>
  <c r="AF172" i="15"/>
  <c r="BM126" i="15"/>
  <c r="BM191" i="15"/>
  <c r="AF163" i="15"/>
  <c r="BM45" i="15"/>
  <c r="AF178" i="15"/>
  <c r="AF35" i="15"/>
  <c r="AF136" i="15"/>
  <c r="AF13" i="15"/>
  <c r="AF113" i="15"/>
  <c r="AF88" i="15"/>
  <c r="BM120" i="15"/>
  <c r="AF130" i="15"/>
  <c r="BM38" i="15"/>
  <c r="BM155" i="15"/>
  <c r="BM28" i="15"/>
  <c r="AF157" i="15"/>
  <c r="AF182" i="15"/>
  <c r="BM11" i="15"/>
  <c r="BM76" i="15"/>
  <c r="BM104" i="15"/>
  <c r="AF170" i="15"/>
  <c r="AF71" i="15"/>
  <c r="BM82" i="15"/>
  <c r="BM151" i="15"/>
  <c r="AF94" i="15"/>
  <c r="AF11" i="15"/>
  <c r="AF20" i="15"/>
  <c r="AF110" i="15"/>
  <c r="BM141" i="15"/>
  <c r="AF189" i="15"/>
  <c r="AF192" i="15"/>
  <c r="AF140" i="15"/>
  <c r="AF152" i="15"/>
  <c r="AF115" i="15"/>
  <c r="BM164" i="15"/>
  <c r="BM121" i="15"/>
  <c r="AF51" i="15"/>
  <c r="BM157" i="15"/>
  <c r="BM71" i="15"/>
  <c r="BM103" i="15"/>
  <c r="BM205" i="15"/>
  <c r="AF40" i="15"/>
  <c r="AF99" i="15"/>
  <c r="AF177" i="15"/>
  <c r="AF118" i="15"/>
  <c r="BM202" i="15"/>
  <c r="AF149" i="15"/>
  <c r="AF34" i="15"/>
  <c r="BM165" i="15"/>
  <c r="AF138" i="15"/>
  <c r="BM55" i="15"/>
  <c r="BM56" i="15"/>
  <c r="AF57" i="15"/>
  <c r="AF70" i="15"/>
  <c r="BM134" i="15"/>
  <c r="BM123" i="15"/>
  <c r="BM169" i="15"/>
  <c r="AF175" i="15"/>
  <c r="AF32" i="15"/>
  <c r="BM70" i="15"/>
  <c r="BM50" i="15"/>
  <c r="AF107" i="15"/>
  <c r="AF123" i="15"/>
  <c r="BM175" i="15"/>
  <c r="BM35" i="15"/>
  <c r="AF158" i="15"/>
  <c r="AF53" i="15"/>
  <c r="AF199" i="15"/>
  <c r="BM84" i="15"/>
  <c r="AF62" i="15"/>
  <c r="BM119" i="15"/>
  <c r="AF139" i="15"/>
  <c r="BM72" i="15"/>
  <c r="BM139" i="15"/>
  <c r="AF205" i="15"/>
  <c r="BM185" i="15"/>
  <c r="AF58" i="15"/>
  <c r="BM112" i="15"/>
  <c r="AF174" i="15"/>
  <c r="AF169" i="15"/>
  <c r="AF116" i="15"/>
  <c r="BM36" i="15"/>
  <c r="BM117" i="15"/>
  <c r="AF111" i="15"/>
  <c r="BM153" i="15"/>
  <c r="BM80" i="15"/>
  <c r="BM176" i="15"/>
  <c r="BM122" i="15"/>
  <c r="AF193" i="15"/>
  <c r="AF135" i="15"/>
  <c r="AF186" i="15"/>
  <c r="BM12" i="15"/>
  <c r="BM86" i="15"/>
  <c r="BM106" i="15"/>
  <c r="AF8" i="15"/>
  <c r="BM133" i="15"/>
  <c r="BM154" i="15"/>
  <c r="AF203" i="15"/>
  <c r="BM142" i="15"/>
  <c r="AF95" i="15"/>
  <c r="AF100" i="15"/>
  <c r="AF150" i="15"/>
  <c r="AF41" i="15"/>
  <c r="AF188" i="15"/>
  <c r="AF128" i="15"/>
  <c r="BM180" i="15"/>
  <c r="BM44" i="15"/>
  <c r="BM109" i="15"/>
  <c r="AF52" i="15"/>
  <c r="BM192" i="15"/>
  <c r="BM159" i="15"/>
  <c r="BM195" i="15"/>
  <c r="BM166" i="15"/>
  <c r="AF108" i="15"/>
  <c r="BM145" i="15"/>
  <c r="BM88" i="15"/>
  <c r="BM27" i="15"/>
  <c r="AF194" i="15"/>
  <c r="AF185" i="15"/>
  <c r="BM101" i="15"/>
  <c r="BM53" i="15"/>
  <c r="AF93" i="15"/>
  <c r="AF137" i="15"/>
  <c r="AF190" i="15"/>
  <c r="AF200" i="15"/>
  <c r="AF69" i="15"/>
  <c r="BM156" i="15"/>
  <c r="BM135" i="15"/>
  <c r="BM43" i="15"/>
  <c r="AF59" i="15"/>
  <c r="AF148" i="15"/>
  <c r="AF24" i="15"/>
  <c r="AF60" i="15"/>
  <c r="AF48" i="15"/>
  <c r="BM204" i="15"/>
  <c r="BM7" i="15"/>
  <c r="BM162" i="15"/>
  <c r="AF75" i="15"/>
  <c r="BM32" i="15"/>
  <c r="BM96" i="15"/>
  <c r="BM6" i="15"/>
  <c r="BM187" i="15"/>
  <c r="AF133" i="15"/>
  <c r="AF156" i="15"/>
  <c r="AF142" i="15"/>
  <c r="AF201" i="15"/>
  <c r="BM193" i="15"/>
  <c r="BM138" i="15"/>
  <c r="BM29" i="15"/>
  <c r="AF141" i="15"/>
  <c r="AF168" i="15"/>
  <c r="AF7" i="15"/>
  <c r="AF101" i="15"/>
  <c r="AF45" i="15"/>
  <c r="AF180" i="15"/>
  <c r="BM9" i="15"/>
  <c r="AF30" i="15"/>
  <c r="AF33" i="15"/>
  <c r="AF159" i="15"/>
  <c r="AF147" i="15"/>
  <c r="BM18" i="15"/>
  <c r="BM184" i="15"/>
  <c r="BM186" i="15"/>
  <c r="BM130" i="15"/>
  <c r="BM62" i="15"/>
  <c r="BM41" i="15"/>
  <c r="AF96" i="15"/>
  <c r="BM99" i="15"/>
  <c r="BM94" i="15"/>
  <c r="AF103" i="15"/>
  <c r="AF47" i="15"/>
  <c r="AF145" i="15"/>
  <c r="BM168" i="15"/>
  <c r="AF104" i="15"/>
  <c r="AF89" i="15"/>
  <c r="AF132" i="15"/>
  <c r="AF6" i="15"/>
  <c r="BM137" i="15"/>
  <c r="BM52" i="15"/>
  <c r="BM49" i="15"/>
  <c r="AF122" i="15"/>
  <c r="BM77" i="15"/>
  <c r="BM132" i="15"/>
  <c r="AF117" i="15"/>
  <c r="AF83" i="15"/>
  <c r="AF46" i="15"/>
  <c r="AF173" i="15"/>
  <c r="BM102" i="15"/>
  <c r="BM39" i="15"/>
  <c r="AF127" i="15"/>
  <c r="BM30" i="15"/>
  <c r="BM113" i="15"/>
  <c r="AF195" i="15"/>
  <c r="BM163" i="15"/>
  <c r="AF124" i="15"/>
  <c r="AF92" i="15"/>
  <c r="BM87" i="15"/>
  <c r="BM171" i="15"/>
  <c r="AF184" i="15"/>
  <c r="AF63" i="15"/>
  <c r="AF49" i="15"/>
  <c r="AF61" i="15"/>
  <c r="BM158" i="15"/>
  <c r="BM42" i="15"/>
  <c r="BM78" i="15"/>
  <c r="AF50" i="15"/>
  <c r="BM23" i="15"/>
  <c r="BM33" i="15"/>
  <c r="BM83" i="15"/>
  <c r="AF106" i="15"/>
  <c r="AF65" i="15"/>
  <c r="BM61" i="15"/>
  <c r="BM105" i="15"/>
  <c r="BM167" i="15"/>
  <c r="AF10" i="15"/>
  <c r="BM51" i="15"/>
  <c r="BM116" i="15"/>
  <c r="BM160" i="15"/>
  <c r="BM58" i="15"/>
  <c r="AF43" i="15"/>
  <c r="BM60" i="15"/>
  <c r="BM108" i="15"/>
  <c r="BM131" i="15"/>
  <c r="AF143" i="15"/>
  <c r="AF97" i="15"/>
  <c r="BM200" i="15"/>
  <c r="BM34" i="15"/>
  <c r="AF155" i="15"/>
  <c r="AF17" i="15"/>
  <c r="AF151" i="15"/>
  <c r="AF165" i="15"/>
  <c r="AF55" i="15"/>
  <c r="BM95" i="15"/>
  <c r="BM89" i="15"/>
  <c r="BM46" i="15"/>
  <c r="AF144" i="15"/>
  <c r="AF77" i="15"/>
  <c r="AF196" i="15"/>
  <c r="AF73" i="15"/>
  <c r="BM172" i="15"/>
  <c r="BM57" i="15"/>
  <c r="BM91" i="15"/>
  <c r="BM149" i="15"/>
  <c r="AF81" i="15"/>
  <c r="BM203" i="15"/>
  <c r="BM68" i="15"/>
  <c r="BM183" i="15"/>
  <c r="AF26" i="15"/>
  <c r="AF15" i="15"/>
  <c r="AF187" i="15"/>
  <c r="AF161" i="15"/>
  <c r="AF191" i="15"/>
  <c r="BM15" i="15"/>
  <c r="BM143" i="15"/>
  <c r="AF16" i="15"/>
  <c r="AF39" i="15"/>
  <c r="AF109" i="15"/>
  <c r="AF74" i="15"/>
  <c r="BM54" i="15"/>
  <c r="AF134" i="15"/>
  <c r="BM173" i="15"/>
  <c r="AF42" i="15"/>
  <c r="AF82" i="15"/>
  <c r="AF125" i="15"/>
  <c r="BM152" i="15"/>
  <c r="BM124" i="15"/>
  <c r="AF112" i="15"/>
  <c r="BM81" i="15"/>
  <c r="BM189" i="15"/>
  <c r="BM196" i="15"/>
  <c r="AF68" i="15"/>
  <c r="AF27" i="15"/>
  <c r="BM174" i="15"/>
  <c r="AF37" i="15"/>
  <c r="AF19" i="15"/>
  <c r="BM107" i="15"/>
  <c r="AF119" i="15"/>
  <c r="BM63" i="15"/>
  <c r="BM92" i="15"/>
  <c r="BM170" i="15"/>
  <c r="BM37" i="15"/>
  <c r="AF14" i="15"/>
  <c r="BM67" i="15"/>
  <c r="BM90" i="15"/>
  <c r="AF54" i="15"/>
  <c r="BM14" i="15"/>
  <c r="AF9" i="15"/>
  <c r="AF28" i="15"/>
  <c r="AF29" i="15"/>
  <c r="AF72" i="15"/>
  <c r="BM97" i="15"/>
  <c r="AF131" i="15"/>
  <c r="BM16" i="15"/>
  <c r="BM179" i="15"/>
  <c r="BM148" i="15"/>
  <c r="AF44" i="15"/>
  <c r="AF166" i="15"/>
  <c r="BM48" i="15"/>
  <c r="BM150" i="15"/>
  <c r="AF179" i="15"/>
  <c r="BM85" i="15"/>
  <c r="BM65" i="15"/>
  <c r="BM146" i="15"/>
  <c r="BM197" i="15"/>
  <c r="AF22" i="15"/>
  <c r="AF183" i="15"/>
  <c r="AF91" i="15"/>
  <c r="AF56" i="15"/>
  <c r="M169" i="3" l="1"/>
  <c r="AQ135" i="3"/>
  <c r="M41" i="3"/>
  <c r="M162" i="3"/>
  <c r="M183" i="3"/>
  <c r="M19" i="3"/>
  <c r="AQ14" i="3"/>
  <c r="AQ78" i="3"/>
  <c r="AQ200" i="3"/>
  <c r="AQ164" i="3"/>
  <c r="M110" i="3"/>
  <c r="M138" i="3"/>
  <c r="AQ165" i="3"/>
  <c r="AQ202" i="3"/>
  <c r="M17" i="3"/>
  <c r="AQ148" i="3"/>
  <c r="M178" i="3"/>
  <c r="AQ168" i="3"/>
  <c r="AQ44" i="3"/>
  <c r="M33" i="3"/>
  <c r="M134" i="3"/>
  <c r="M71" i="3"/>
  <c r="M112" i="3"/>
  <c r="AQ196" i="3"/>
  <c r="AQ87" i="3"/>
  <c r="AQ199" i="3"/>
  <c r="AQ140" i="3"/>
  <c r="M82" i="3"/>
  <c r="AQ131" i="3"/>
  <c r="AQ83" i="3"/>
  <c r="AQ111" i="3"/>
  <c r="M21" i="3"/>
  <c r="M75" i="3"/>
  <c r="M79" i="3"/>
  <c r="M53" i="3"/>
  <c r="M123" i="3"/>
  <c r="M65" i="3"/>
  <c r="AQ119" i="3"/>
  <c r="M48" i="3"/>
  <c r="CF16" i="15"/>
  <c r="BJ18" i="3" s="1"/>
  <c r="BD18" i="3"/>
  <c r="AQ85" i="3"/>
  <c r="M174" i="3"/>
  <c r="AQ9" i="3"/>
  <c r="M126" i="3"/>
  <c r="AQ47" i="3"/>
  <c r="BD12" i="3"/>
  <c r="CF10" i="15"/>
  <c r="BJ12" i="3" s="1"/>
  <c r="M205" i="3"/>
  <c r="M147" i="3"/>
  <c r="AQ84" i="3"/>
  <c r="AQ176" i="3"/>
  <c r="AQ88" i="3"/>
  <c r="BD65" i="3"/>
  <c r="CF63" i="15"/>
  <c r="BJ65" i="3" s="1"/>
  <c r="M199" i="3"/>
  <c r="AQ110" i="3"/>
  <c r="M46" i="3"/>
  <c r="AQ72" i="3"/>
  <c r="AQ120" i="3"/>
  <c r="M77" i="3"/>
  <c r="AQ63" i="3"/>
  <c r="M190" i="3"/>
  <c r="M78" i="3"/>
  <c r="AQ89" i="3"/>
  <c r="M193" i="3"/>
  <c r="M25" i="3"/>
  <c r="M26" i="3"/>
  <c r="M191" i="3"/>
  <c r="M35" i="3"/>
  <c r="M152" i="3"/>
  <c r="AQ80" i="3"/>
  <c r="AQ93" i="3"/>
  <c r="AQ186" i="3"/>
  <c r="M157" i="3"/>
  <c r="M127" i="3"/>
  <c r="AQ157" i="3"/>
  <c r="AQ188" i="3"/>
  <c r="AQ153" i="3"/>
  <c r="AQ74" i="3"/>
  <c r="AQ62" i="3"/>
  <c r="AQ33" i="3"/>
  <c r="Z163" i="3"/>
  <c r="AY161" i="15"/>
  <c r="M149" i="3"/>
  <c r="M73" i="3"/>
  <c r="M94" i="3"/>
  <c r="M72" i="3"/>
  <c r="AQ167" i="3"/>
  <c r="AQ207" i="3"/>
  <c r="AQ158" i="3"/>
  <c r="AQ91" i="3"/>
  <c r="AQ138" i="3"/>
  <c r="M113" i="3"/>
  <c r="M189" i="3"/>
  <c r="AQ57" i="3"/>
  <c r="M43" i="3"/>
  <c r="M104" i="3"/>
  <c r="M115" i="3"/>
  <c r="M148" i="3"/>
  <c r="M91" i="3"/>
  <c r="M34" i="3"/>
  <c r="M54" i="3"/>
  <c r="AQ20" i="3"/>
  <c r="AQ48" i="3"/>
  <c r="AQ68" i="3"/>
  <c r="M142" i="3"/>
  <c r="M133" i="3"/>
  <c r="CF115" i="15"/>
  <c r="BJ117" i="3" s="1"/>
  <c r="BD117" i="3"/>
  <c r="M98" i="3"/>
  <c r="M57" i="3"/>
  <c r="AQ46" i="3"/>
  <c r="AQ126" i="3"/>
  <c r="M58" i="3"/>
  <c r="M135" i="3"/>
  <c r="M18" i="3"/>
  <c r="AQ94" i="3"/>
  <c r="AQ21" i="3"/>
  <c r="AQ56" i="3"/>
  <c r="M188" i="3"/>
  <c r="M16" i="3"/>
  <c r="AQ43" i="3"/>
  <c r="M114" i="3"/>
  <c r="M70" i="3"/>
  <c r="AQ197" i="3"/>
  <c r="AQ183" i="3"/>
  <c r="M15" i="3"/>
  <c r="M22" i="3"/>
  <c r="M8" i="3"/>
  <c r="AQ189" i="3"/>
  <c r="M201" i="3"/>
  <c r="M140" i="3"/>
  <c r="AQ32" i="3"/>
  <c r="M155" i="3"/>
  <c r="AQ108" i="3"/>
  <c r="AQ95" i="3"/>
  <c r="M85" i="3"/>
  <c r="M197" i="3"/>
  <c r="M119" i="3"/>
  <c r="M97" i="3"/>
  <c r="AQ117" i="3"/>
  <c r="M66" i="3"/>
  <c r="AQ79" i="3"/>
  <c r="BD176" i="3"/>
  <c r="CF174" i="15"/>
  <c r="BJ176" i="3" s="1"/>
  <c r="M11" i="3"/>
  <c r="M86" i="3"/>
  <c r="AQ97" i="3"/>
  <c r="AQ28" i="3"/>
  <c r="AQ54" i="3"/>
  <c r="M100" i="3"/>
  <c r="M144" i="3"/>
  <c r="M154" i="3"/>
  <c r="AQ109" i="3"/>
  <c r="AQ103" i="3"/>
  <c r="M171" i="3"/>
  <c r="M95" i="3"/>
  <c r="M203" i="3"/>
  <c r="M182" i="3"/>
  <c r="M63" i="3"/>
  <c r="M96" i="3"/>
  <c r="M158" i="3"/>
  <c r="M102" i="3"/>
  <c r="AQ178" i="3"/>
  <c r="AQ106" i="3"/>
  <c r="M200" i="3"/>
  <c r="AQ99" i="3"/>
  <c r="AQ125" i="3"/>
  <c r="AQ175" i="3"/>
  <c r="M32" i="3"/>
  <c r="AQ55" i="3"/>
  <c r="M44" i="3"/>
  <c r="AQ127" i="3"/>
  <c r="AQ76" i="3"/>
  <c r="M61" i="3"/>
  <c r="M202" i="3"/>
  <c r="AQ128" i="3"/>
  <c r="AQ30" i="3"/>
  <c r="M150" i="3"/>
  <c r="AQ133" i="3"/>
  <c r="M122" i="3"/>
  <c r="AQ51" i="3"/>
  <c r="AQ145" i="3"/>
  <c r="AQ173" i="3"/>
  <c r="AQ70" i="3"/>
  <c r="M103" i="3"/>
  <c r="M139" i="3"/>
  <c r="AQ118" i="3"/>
  <c r="AQ116" i="3"/>
  <c r="M52" i="3"/>
  <c r="AQ171" i="3"/>
  <c r="M195" i="3"/>
  <c r="AQ96" i="3"/>
  <c r="M59" i="3"/>
  <c r="M187" i="3"/>
  <c r="AQ141" i="3"/>
  <c r="M10" i="3"/>
  <c r="M116" i="3"/>
  <c r="AQ151" i="3"/>
  <c r="M36" i="3"/>
  <c r="AQ104" i="3"/>
  <c r="BD30" i="3"/>
  <c r="CF28" i="15"/>
  <c r="BJ30" i="3" s="1"/>
  <c r="Z29" i="3"/>
  <c r="AY27" i="15"/>
  <c r="AZ27" i="15" s="1"/>
  <c r="AG29" i="3" s="1"/>
  <c r="AY89" i="15"/>
  <c r="Z91" i="3"/>
  <c r="AY12" i="15"/>
  <c r="Z14" i="3"/>
  <c r="AY162" i="15"/>
  <c r="AF164" i="3" s="1"/>
  <c r="Z164" i="3"/>
  <c r="Z97" i="3"/>
  <c r="AY95" i="15"/>
  <c r="BD180" i="3"/>
  <c r="CF178" i="15"/>
  <c r="BJ180" i="3" s="1"/>
  <c r="AY63" i="15"/>
  <c r="Z65" i="3"/>
  <c r="BD39" i="3"/>
  <c r="CF37" i="15"/>
  <c r="BJ39" i="3" s="1"/>
  <c r="Z51" i="3"/>
  <c r="AY49" i="15"/>
  <c r="BD33" i="3"/>
  <c r="CF31" i="15"/>
  <c r="BJ33" i="3" s="1"/>
  <c r="Z105" i="3"/>
  <c r="AY103" i="15"/>
  <c r="AF105" i="3" s="1"/>
  <c r="Z128" i="3"/>
  <c r="AY126" i="15"/>
  <c r="AF128" i="3" s="1"/>
  <c r="BD166" i="3"/>
  <c r="CF164" i="15"/>
  <c r="BJ166" i="3" s="1"/>
  <c r="BD130" i="3"/>
  <c r="CF128" i="15"/>
  <c r="BJ130" i="3" s="1"/>
  <c r="BD99" i="3"/>
  <c r="CF97" i="15"/>
  <c r="BJ99" i="3" s="1"/>
  <c r="AY159" i="15"/>
  <c r="Z161" i="3"/>
  <c r="Z122" i="3"/>
  <c r="AY120" i="15"/>
  <c r="CF117" i="15"/>
  <c r="BJ119" i="3" s="1"/>
  <c r="BD119" i="3"/>
  <c r="AY201" i="15"/>
  <c r="AZ201" i="15" s="1"/>
  <c r="AG203" i="3" s="1"/>
  <c r="Z203" i="3"/>
  <c r="AY106" i="15"/>
  <c r="Z108" i="3"/>
  <c r="BD175" i="3"/>
  <c r="CF173" i="15"/>
  <c r="BJ175" i="3" s="1"/>
  <c r="CF170" i="15"/>
  <c r="BJ172" i="3" s="1"/>
  <c r="BD172" i="3"/>
  <c r="BD77" i="3"/>
  <c r="CF75" i="15"/>
  <c r="BJ77" i="3" s="1"/>
  <c r="CF138" i="15"/>
  <c r="BJ140" i="3" s="1"/>
  <c r="BD140" i="3"/>
  <c r="Z176" i="3"/>
  <c r="AY174" i="15"/>
  <c r="Z206" i="3"/>
  <c r="AY204" i="15"/>
  <c r="Z168" i="3"/>
  <c r="AY166" i="15"/>
  <c r="Z207" i="3"/>
  <c r="AY205" i="15"/>
  <c r="Z126" i="3"/>
  <c r="AY124" i="15"/>
  <c r="AF126" i="3" s="1"/>
  <c r="BD23" i="3"/>
  <c r="CF21" i="15"/>
  <c r="BJ23" i="3" s="1"/>
  <c r="AY150" i="15"/>
  <c r="Z152" i="3"/>
  <c r="CF66" i="15"/>
  <c r="BJ68" i="3" s="1"/>
  <c r="BD68" i="3"/>
  <c r="AY93" i="15"/>
  <c r="AZ93" i="15" s="1"/>
  <c r="AG95" i="3" s="1"/>
  <c r="Z95" i="3"/>
  <c r="CF104" i="15"/>
  <c r="BJ106" i="3" s="1"/>
  <c r="BD106" i="3"/>
  <c r="CF53" i="15"/>
  <c r="BJ55" i="3" s="1"/>
  <c r="BD55" i="3"/>
  <c r="AY128" i="15"/>
  <c r="Z130" i="3"/>
  <c r="AY94" i="15"/>
  <c r="AF96" i="3" s="1"/>
  <c r="Z96" i="3"/>
  <c r="Z30" i="3"/>
  <c r="AY28" i="15"/>
  <c r="AF30" i="3" s="1"/>
  <c r="CF122" i="15"/>
  <c r="BJ124" i="3" s="1"/>
  <c r="BD124" i="3"/>
  <c r="CF149" i="15"/>
  <c r="BJ151" i="3" s="1"/>
  <c r="BD151" i="3"/>
  <c r="Z136" i="3"/>
  <c r="AY134" i="15"/>
  <c r="AF136" i="3" s="1"/>
  <c r="AY160" i="15"/>
  <c r="Z162" i="3"/>
  <c r="CF187" i="15"/>
  <c r="BJ189" i="3" s="1"/>
  <c r="BD189" i="3"/>
  <c r="BD179" i="3"/>
  <c r="CF177" i="15"/>
  <c r="BJ179" i="3" s="1"/>
  <c r="Z167" i="3"/>
  <c r="AY165" i="15"/>
  <c r="Z69" i="3"/>
  <c r="AY67" i="15"/>
  <c r="CF103" i="15"/>
  <c r="BJ105" i="3" s="1"/>
  <c r="BD105" i="3"/>
  <c r="CF123" i="15"/>
  <c r="BJ125" i="3" s="1"/>
  <c r="BD125" i="3"/>
  <c r="CF196" i="15"/>
  <c r="BJ198" i="3" s="1"/>
  <c r="BD198" i="3"/>
  <c r="AY114" i="15"/>
  <c r="Z116" i="3"/>
  <c r="AY140" i="15"/>
  <c r="Z142" i="3"/>
  <c r="CF145" i="15"/>
  <c r="BJ147" i="3" s="1"/>
  <c r="BD147" i="3"/>
  <c r="Z19" i="3"/>
  <c r="AY17" i="15"/>
  <c r="CF45" i="15"/>
  <c r="BJ47" i="3" s="1"/>
  <c r="BD47" i="3"/>
  <c r="CF98" i="15"/>
  <c r="BJ100" i="3" s="1"/>
  <c r="BD100" i="3"/>
  <c r="CF25" i="15"/>
  <c r="BJ27" i="3" s="1"/>
  <c r="BD27" i="3"/>
  <c r="CF44" i="15"/>
  <c r="BJ46" i="3" s="1"/>
  <c r="BD46" i="3"/>
  <c r="Z99" i="3"/>
  <c r="AY97" i="15"/>
  <c r="AZ97" i="15" s="1"/>
  <c r="AG99" i="3" s="1"/>
  <c r="BD160" i="3"/>
  <c r="CF158" i="15"/>
  <c r="BJ160" i="3" s="1"/>
  <c r="BD67" i="3"/>
  <c r="CF65" i="15"/>
  <c r="BJ67" i="3" s="1"/>
  <c r="BD135" i="3"/>
  <c r="CF133" i="15"/>
  <c r="BJ135" i="3" s="1"/>
  <c r="Z132" i="3"/>
  <c r="AY130" i="15"/>
  <c r="CF200" i="15"/>
  <c r="BJ202" i="3" s="1"/>
  <c r="BD202" i="3"/>
  <c r="CF79" i="15"/>
  <c r="BJ81" i="3" s="1"/>
  <c r="BD81" i="3"/>
  <c r="BD203" i="3"/>
  <c r="CF201" i="15"/>
  <c r="BJ203" i="3" s="1"/>
  <c r="CF49" i="15"/>
  <c r="BJ51" i="3" s="1"/>
  <c r="BD51" i="3"/>
  <c r="CF154" i="15"/>
  <c r="BJ156" i="3" s="1"/>
  <c r="BD156" i="3"/>
  <c r="Z195" i="3"/>
  <c r="AY193" i="15"/>
  <c r="AF195" i="3" s="1"/>
  <c r="Z205" i="3"/>
  <c r="AY203" i="15"/>
  <c r="AZ203" i="15" s="1"/>
  <c r="AG205" i="3" s="1"/>
  <c r="Z117" i="3"/>
  <c r="AY115" i="15"/>
  <c r="BD49" i="3"/>
  <c r="CF47" i="15"/>
  <c r="BJ49" i="3" s="1"/>
  <c r="Z191" i="3"/>
  <c r="AY189" i="15"/>
  <c r="AF191" i="3" s="1"/>
  <c r="AY29" i="15"/>
  <c r="Z31" i="3"/>
  <c r="BD32" i="3"/>
  <c r="CF30" i="15"/>
  <c r="BJ32" i="3" s="1"/>
  <c r="Z141" i="3"/>
  <c r="AY139" i="15"/>
  <c r="AY30" i="15"/>
  <c r="Z32" i="3"/>
  <c r="AY37" i="15"/>
  <c r="AF39" i="3" s="1"/>
  <c r="Z39" i="3"/>
  <c r="AY196" i="15"/>
  <c r="Z198" i="3"/>
  <c r="CF22" i="15"/>
  <c r="BJ24" i="3" s="1"/>
  <c r="BD24" i="3"/>
  <c r="AY45" i="15"/>
  <c r="Z47" i="3"/>
  <c r="AY26" i="15"/>
  <c r="Z28" i="3"/>
  <c r="AY163" i="15"/>
  <c r="AF165" i="3" s="1"/>
  <c r="Z165" i="3"/>
  <c r="AY179" i="15"/>
  <c r="AZ179" i="15" s="1"/>
  <c r="AG181" i="3" s="1"/>
  <c r="Z181" i="3"/>
  <c r="CF12" i="15"/>
  <c r="BJ14" i="3" s="1"/>
  <c r="BD14" i="3"/>
  <c r="Z133" i="3"/>
  <c r="AY131" i="15"/>
  <c r="AY52" i="15"/>
  <c r="AF54" i="3" s="1"/>
  <c r="Z54" i="3"/>
  <c r="Z85" i="3"/>
  <c r="AY83" i="15"/>
  <c r="AY122" i="15"/>
  <c r="Z124" i="3"/>
  <c r="AY117" i="15"/>
  <c r="AF119" i="3" s="1"/>
  <c r="Z119" i="3"/>
  <c r="BD161" i="3"/>
  <c r="CF159" i="15"/>
  <c r="BJ161" i="3" s="1"/>
  <c r="BD171" i="3"/>
  <c r="CF169" i="15"/>
  <c r="BJ171" i="3" s="1"/>
  <c r="AY60" i="15"/>
  <c r="AF62" i="3" s="1"/>
  <c r="Z62" i="3"/>
  <c r="CF191" i="15"/>
  <c r="BJ193" i="3" s="1"/>
  <c r="BD193" i="3"/>
  <c r="M47" i="3"/>
  <c r="M87" i="3"/>
  <c r="Z199" i="3"/>
  <c r="AY197" i="15"/>
  <c r="BD194" i="3"/>
  <c r="CF192" i="15"/>
  <c r="BJ194" i="3" s="1"/>
  <c r="CF61" i="15"/>
  <c r="BJ63" i="3" s="1"/>
  <c r="BD63" i="3"/>
  <c r="CF29" i="15"/>
  <c r="BJ31" i="3" s="1"/>
  <c r="BD31" i="3"/>
  <c r="BD163" i="3"/>
  <c r="CF161" i="15"/>
  <c r="BJ163" i="3" s="1"/>
  <c r="AY110" i="15"/>
  <c r="Z112" i="3"/>
  <c r="Z48" i="3"/>
  <c r="AY46" i="15"/>
  <c r="BD206" i="3"/>
  <c r="CF204" i="15"/>
  <c r="BJ206" i="3" s="1"/>
  <c r="CF20" i="15"/>
  <c r="BJ22" i="3" s="1"/>
  <c r="BD22" i="3"/>
  <c r="Z10" i="3"/>
  <c r="AY8" i="15"/>
  <c r="Z154" i="3"/>
  <c r="AY152" i="15"/>
  <c r="Z78" i="3"/>
  <c r="AY76" i="15"/>
  <c r="AZ76" i="15" s="1"/>
  <c r="AG78" i="3" s="1"/>
  <c r="CF89" i="15"/>
  <c r="BJ91" i="3" s="1"/>
  <c r="BD91" i="3"/>
  <c r="CF108" i="15"/>
  <c r="BJ110" i="3" s="1"/>
  <c r="BD110" i="3"/>
  <c r="Z57" i="3"/>
  <c r="AY55" i="15"/>
  <c r="Z9" i="3"/>
  <c r="AY7" i="15"/>
  <c r="AZ7" i="15" s="1"/>
  <c r="AG9" i="3" s="1"/>
  <c r="CD9" i="3" s="1" a="1"/>
  <c r="CD9" i="3" s="1"/>
  <c r="CF143" i="15"/>
  <c r="BJ145" i="3" s="1"/>
  <c r="BD145" i="3"/>
  <c r="BD88" i="3"/>
  <c r="CF86" i="15"/>
  <c r="BJ88" i="3" s="1"/>
  <c r="CF137" i="15"/>
  <c r="BJ139" i="3" s="1"/>
  <c r="BD139" i="3"/>
  <c r="Z83" i="3"/>
  <c r="AY81" i="15"/>
  <c r="CF181" i="15"/>
  <c r="BJ183" i="3" s="1"/>
  <c r="BD183" i="3"/>
  <c r="BD186" i="3"/>
  <c r="CF184" i="15"/>
  <c r="BJ186" i="3" s="1"/>
  <c r="CF73" i="15"/>
  <c r="BJ75" i="3" s="1"/>
  <c r="BD75" i="3"/>
  <c r="CF36" i="15"/>
  <c r="BJ38" i="3" s="1"/>
  <c r="BD38" i="3"/>
  <c r="AY170" i="15"/>
  <c r="Z172" i="3"/>
  <c r="CF50" i="15"/>
  <c r="BJ52" i="3" s="1"/>
  <c r="BD52" i="3"/>
  <c r="Z192" i="3"/>
  <c r="AY190" i="15"/>
  <c r="CF186" i="15"/>
  <c r="BJ188" i="3" s="1"/>
  <c r="BD188" i="3"/>
  <c r="AY157" i="15"/>
  <c r="AF159" i="3" s="1"/>
  <c r="Z159" i="3"/>
  <c r="Z18" i="3"/>
  <c r="AY16" i="15"/>
  <c r="AZ16" i="15" s="1"/>
  <c r="AG18" i="3" s="1"/>
  <c r="AY11" i="15"/>
  <c r="Z13" i="3"/>
  <c r="AY70" i="15"/>
  <c r="AF72" i="3" s="1"/>
  <c r="Z72" i="3"/>
  <c r="Z118" i="3"/>
  <c r="AY116" i="15"/>
  <c r="BD64" i="3"/>
  <c r="CF62" i="15"/>
  <c r="BJ64" i="3" s="1"/>
  <c r="BD144" i="3"/>
  <c r="CF142" i="15"/>
  <c r="BJ144" i="3" s="1"/>
  <c r="BD118" i="3"/>
  <c r="CF116" i="15"/>
  <c r="BJ118" i="3" s="1"/>
  <c r="CF74" i="15"/>
  <c r="BJ76" i="3" s="1"/>
  <c r="BD76" i="3"/>
  <c r="CF172" i="15"/>
  <c r="BJ174" i="3" s="1"/>
  <c r="BD174" i="3"/>
  <c r="Z63" i="3"/>
  <c r="AY61" i="15"/>
  <c r="BD87" i="3"/>
  <c r="CF85" i="15"/>
  <c r="BJ87" i="3" s="1"/>
  <c r="BD107" i="3"/>
  <c r="CF105" i="15"/>
  <c r="BJ107" i="3" s="1"/>
  <c r="AY82" i="15"/>
  <c r="Z84" i="3"/>
  <c r="Z35" i="3"/>
  <c r="AY33" i="15"/>
  <c r="CF87" i="15"/>
  <c r="BJ89" i="3" s="1"/>
  <c r="BD89" i="3"/>
  <c r="AY194" i="15"/>
  <c r="Z196" i="3"/>
  <c r="CF175" i="15"/>
  <c r="BJ177" i="3" s="1"/>
  <c r="BD177" i="3"/>
  <c r="CF94" i="15"/>
  <c r="BJ96" i="3" s="1"/>
  <c r="BD96" i="3"/>
  <c r="AY200" i="15"/>
  <c r="Z202" i="3"/>
  <c r="BD57" i="3"/>
  <c r="CF55" i="15"/>
  <c r="BJ57" i="3" s="1"/>
  <c r="BD168" i="3"/>
  <c r="CF166" i="15"/>
  <c r="BJ168" i="3" s="1"/>
  <c r="M27" i="3"/>
  <c r="Z109" i="3"/>
  <c r="AY107" i="15"/>
  <c r="AF109" i="3" s="1"/>
  <c r="BD20" i="3"/>
  <c r="CF18" i="15"/>
  <c r="BJ20" i="3" s="1"/>
  <c r="AY85" i="15"/>
  <c r="Z87" i="3"/>
  <c r="CF99" i="15"/>
  <c r="BJ101" i="3" s="1"/>
  <c r="BD101" i="3"/>
  <c r="Z68" i="3"/>
  <c r="AY66" i="15"/>
  <c r="Z98" i="3"/>
  <c r="AY96" i="15"/>
  <c r="AZ96" i="15" s="1"/>
  <c r="AG98" i="3" s="1"/>
  <c r="AY132" i="15"/>
  <c r="Z134" i="3"/>
  <c r="BD127" i="3"/>
  <c r="CF125" i="15"/>
  <c r="BJ127" i="3" s="1"/>
  <c r="Z33" i="3"/>
  <c r="AY31" i="15"/>
  <c r="CF51" i="15"/>
  <c r="BJ53" i="3" s="1"/>
  <c r="BD53" i="3"/>
  <c r="Z66" i="3"/>
  <c r="AY64" i="15"/>
  <c r="AF66" i="3" s="1"/>
  <c r="Z89" i="3"/>
  <c r="AY87" i="15"/>
  <c r="AF89" i="3" s="1"/>
  <c r="CF126" i="15"/>
  <c r="BJ128" i="3" s="1"/>
  <c r="BD128" i="3"/>
  <c r="CF205" i="15"/>
  <c r="BJ207" i="3" s="1"/>
  <c r="BD207" i="3"/>
  <c r="CF78" i="15"/>
  <c r="BJ80" i="3" s="1"/>
  <c r="BD80" i="3"/>
  <c r="BD83" i="3"/>
  <c r="CF81" i="15"/>
  <c r="BJ83" i="3" s="1"/>
  <c r="AY86" i="15"/>
  <c r="AZ86" i="15" s="1"/>
  <c r="AG88" i="3" s="1"/>
  <c r="Z88" i="3"/>
  <c r="CF26" i="15"/>
  <c r="BJ28" i="3" s="1"/>
  <c r="BD28" i="3"/>
  <c r="BD44" i="3"/>
  <c r="CF42" i="15"/>
  <c r="BJ44" i="3" s="1"/>
  <c r="Z140" i="3"/>
  <c r="AY138" i="15"/>
  <c r="AF140" i="3" s="1"/>
  <c r="CF152" i="15"/>
  <c r="BJ154" i="3" s="1"/>
  <c r="BD154" i="3"/>
  <c r="CF148" i="15"/>
  <c r="BJ150" i="3" s="1"/>
  <c r="BD150" i="3"/>
  <c r="Z67" i="3"/>
  <c r="AY65" i="15"/>
  <c r="CF32" i="15"/>
  <c r="BJ34" i="3" s="1"/>
  <c r="BD34" i="3"/>
  <c r="BD13" i="3"/>
  <c r="CF11" i="15"/>
  <c r="BJ13" i="3" s="1"/>
  <c r="AY175" i="15"/>
  <c r="AF177" i="3" s="1"/>
  <c r="Z177" i="3"/>
  <c r="CF110" i="15"/>
  <c r="BJ112" i="3" s="1"/>
  <c r="BD112" i="3"/>
  <c r="CF111" i="15"/>
  <c r="BJ113" i="3" s="1"/>
  <c r="BD113" i="3"/>
  <c r="BD169" i="3"/>
  <c r="CF167" i="15"/>
  <c r="BJ169" i="3" s="1"/>
  <c r="AY43" i="15"/>
  <c r="AF45" i="3" s="1"/>
  <c r="Z45" i="3"/>
  <c r="CF34" i="15"/>
  <c r="BJ36" i="3" s="1"/>
  <c r="BD36" i="3"/>
  <c r="CF43" i="15"/>
  <c r="BJ45" i="3" s="1"/>
  <c r="BD45" i="3"/>
  <c r="CF106" i="15"/>
  <c r="BJ108" i="3" s="1"/>
  <c r="BD108" i="3"/>
  <c r="CF95" i="15"/>
  <c r="BJ97" i="3" s="1"/>
  <c r="BD97" i="3"/>
  <c r="Z139" i="3"/>
  <c r="AY137" i="15"/>
  <c r="BD82" i="3"/>
  <c r="CF80" i="15"/>
  <c r="BJ82" i="3" s="1"/>
  <c r="CF198" i="15"/>
  <c r="BJ200" i="3" s="1"/>
  <c r="BD200" i="3"/>
  <c r="Z61" i="3"/>
  <c r="AY59" i="15"/>
  <c r="AF61" i="3" s="1"/>
  <c r="BD136" i="3"/>
  <c r="CF134" i="15"/>
  <c r="BJ136" i="3" s="1"/>
  <c r="BD197" i="3"/>
  <c r="CF195" i="15"/>
  <c r="BJ197" i="3" s="1"/>
  <c r="AY143" i="15"/>
  <c r="AZ143" i="15" s="1"/>
  <c r="AG145" i="3" s="1"/>
  <c r="Z145" i="3"/>
  <c r="AY111" i="15"/>
  <c r="AZ111" i="15" s="1"/>
  <c r="AG113" i="3" s="1"/>
  <c r="Z113" i="3"/>
  <c r="Z42" i="3"/>
  <c r="AY40" i="15"/>
  <c r="Z106" i="3"/>
  <c r="AY104" i="15"/>
  <c r="AF106" i="3" s="1"/>
  <c r="BD120" i="3"/>
  <c r="CF118" i="15"/>
  <c r="BJ120" i="3" s="1"/>
  <c r="CF193" i="15"/>
  <c r="BJ195" i="3" s="1"/>
  <c r="BD195" i="3"/>
  <c r="AY44" i="15"/>
  <c r="Z46" i="3"/>
  <c r="AY51" i="15"/>
  <c r="Z53" i="3"/>
  <c r="Z204" i="3"/>
  <c r="AY202" i="15"/>
  <c r="CF107" i="15"/>
  <c r="BJ109" i="3" s="1"/>
  <c r="BD109" i="3"/>
  <c r="M129" i="3"/>
  <c r="AQ152" i="3"/>
  <c r="M56" i="3"/>
  <c r="CF60" i="15"/>
  <c r="BJ62" i="3" s="1"/>
  <c r="BD62" i="3"/>
  <c r="Z156" i="3"/>
  <c r="AY154" i="15"/>
  <c r="AF156" i="3" s="1"/>
  <c r="AY78" i="15"/>
  <c r="Z80" i="3"/>
  <c r="AY182" i="15"/>
  <c r="Z184" i="3"/>
  <c r="CF59" i="15"/>
  <c r="BJ61" i="3" s="1"/>
  <c r="BD61" i="3"/>
  <c r="Z41" i="3"/>
  <c r="AY39" i="15"/>
  <c r="AZ39" i="15" s="1"/>
  <c r="AG41" i="3" s="1"/>
  <c r="Z60" i="3"/>
  <c r="AY58" i="15"/>
  <c r="CF57" i="15"/>
  <c r="BJ59" i="3" s="1"/>
  <c r="BD59" i="3"/>
  <c r="BD16" i="3"/>
  <c r="CF14" i="15"/>
  <c r="BJ16" i="3" s="1"/>
  <c r="CF203" i="15"/>
  <c r="BJ205" i="3" s="1"/>
  <c r="BD205" i="3"/>
  <c r="BD121" i="3"/>
  <c r="CF119" i="15"/>
  <c r="BJ121" i="3" s="1"/>
  <c r="AY169" i="15"/>
  <c r="AF171" i="3" s="1"/>
  <c r="Z171" i="3"/>
  <c r="AY148" i="15"/>
  <c r="Z150" i="3"/>
  <c r="BD104" i="3"/>
  <c r="CF102" i="15"/>
  <c r="BJ104" i="3" s="1"/>
  <c r="CF38" i="15"/>
  <c r="BJ40" i="3" s="1"/>
  <c r="BD40" i="3"/>
  <c r="CF9" i="15"/>
  <c r="BJ11" i="3" s="1"/>
  <c r="BD11" i="3"/>
  <c r="CF52" i="15"/>
  <c r="BJ54" i="3" s="1"/>
  <c r="BD54" i="3"/>
  <c r="AY6" i="15"/>
  <c r="AF8" i="3" s="1"/>
  <c r="Z8" i="3"/>
  <c r="CF91" i="15"/>
  <c r="BJ93" i="3" s="1"/>
  <c r="BD93" i="3"/>
  <c r="BD25" i="3"/>
  <c r="CF23" i="15"/>
  <c r="BJ25" i="3" s="1"/>
  <c r="AY54" i="15"/>
  <c r="AF56" i="3" s="1"/>
  <c r="Z56" i="3"/>
  <c r="BD19" i="3"/>
  <c r="CF17" i="15"/>
  <c r="BJ19" i="3" s="1"/>
  <c r="AY153" i="15"/>
  <c r="AF155" i="3" s="1"/>
  <c r="Z155" i="3"/>
  <c r="BD74" i="3"/>
  <c r="CF72" i="15"/>
  <c r="BJ74" i="3" s="1"/>
  <c r="BD126" i="3"/>
  <c r="CF124" i="15"/>
  <c r="BJ126" i="3" s="1"/>
  <c r="AY172" i="15"/>
  <c r="AF174" i="3" s="1"/>
  <c r="Z174" i="3"/>
  <c r="Z153" i="3"/>
  <c r="AY151" i="15"/>
  <c r="Z107" i="3"/>
  <c r="AY105" i="15"/>
  <c r="AZ105" i="15" s="1"/>
  <c r="AG107" i="3" s="1"/>
  <c r="AY121" i="15"/>
  <c r="AZ121" i="15" s="1"/>
  <c r="AG123" i="3" s="1"/>
  <c r="Z123" i="3"/>
  <c r="AY88" i="15"/>
  <c r="AF90" i="3" s="1"/>
  <c r="Z90" i="3"/>
  <c r="AY24" i="15"/>
  <c r="AZ24" i="15" s="1"/>
  <c r="AG26" i="3" s="1"/>
  <c r="Z26" i="3"/>
  <c r="Z82" i="3"/>
  <c r="AY80" i="15"/>
  <c r="AY180" i="15"/>
  <c r="Z182" i="3"/>
  <c r="Z104" i="3"/>
  <c r="AY102" i="15"/>
  <c r="AF104" i="3" s="1"/>
  <c r="CF71" i="15"/>
  <c r="BJ73" i="3" s="1"/>
  <c r="BD73" i="3"/>
  <c r="CF39" i="15"/>
  <c r="BJ41" i="3" s="1"/>
  <c r="BD41" i="3"/>
  <c r="CF176" i="15"/>
  <c r="BJ178" i="3" s="1"/>
  <c r="BD178" i="3"/>
  <c r="CF179" i="15"/>
  <c r="BJ181" i="3" s="1"/>
  <c r="BD181" i="3"/>
  <c r="AY48" i="15"/>
  <c r="AZ48" i="15" s="1"/>
  <c r="AG50" i="3" s="1"/>
  <c r="Z50" i="3"/>
  <c r="Z12" i="3"/>
  <c r="AY10" i="15"/>
  <c r="AZ10" i="15" s="1"/>
  <c r="AG12" i="3" s="1"/>
  <c r="CD12" i="3" s="1" a="1"/>
  <c r="CD12" i="3" s="1"/>
  <c r="M23" i="3"/>
  <c r="M207" i="3"/>
  <c r="M160" i="3"/>
  <c r="M143" i="3"/>
  <c r="AQ98" i="3"/>
  <c r="AQ161" i="3"/>
  <c r="AQ50" i="3"/>
  <c r="AQ11" i="3"/>
  <c r="AQ27" i="3"/>
  <c r="AQ112" i="3"/>
  <c r="M84" i="3"/>
  <c r="AQ206" i="3"/>
  <c r="AQ90" i="3"/>
  <c r="AQ67" i="3"/>
  <c r="M109" i="3"/>
  <c r="AQ182" i="3"/>
  <c r="M31" i="3"/>
  <c r="AQ172" i="3"/>
  <c r="AQ41" i="3"/>
  <c r="M180" i="3"/>
  <c r="Z115" i="3"/>
  <c r="AY113" i="15"/>
  <c r="AZ113" i="15" s="1"/>
  <c r="AG115" i="3" s="1"/>
  <c r="Z34" i="3"/>
  <c r="AY32" i="15"/>
  <c r="AF34" i="3" s="1"/>
  <c r="Z16" i="3"/>
  <c r="AY14" i="15"/>
  <c r="M196" i="3"/>
  <c r="M38" i="3"/>
  <c r="AQ139" i="3"/>
  <c r="M49" i="3"/>
  <c r="AQ59" i="3"/>
  <c r="M13" i="3"/>
  <c r="M161" i="3"/>
  <c r="M9" i="3"/>
  <c r="M68" i="3"/>
  <c r="M99" i="3"/>
  <c r="AQ102" i="3"/>
  <c r="M12" i="3"/>
  <c r="AQ66" i="3"/>
  <c r="M179" i="3"/>
  <c r="AQ71" i="3"/>
  <c r="AQ136" i="3"/>
  <c r="M198" i="3"/>
  <c r="M118" i="3"/>
  <c r="AQ147" i="3"/>
  <c r="AQ160" i="3"/>
  <c r="AQ163" i="3"/>
  <c r="M166" i="3"/>
  <c r="M165" i="3"/>
  <c r="M132" i="3"/>
  <c r="AQ36" i="3"/>
  <c r="AQ60" i="3"/>
  <c r="M24" i="3"/>
  <c r="M93" i="3"/>
  <c r="AQ170" i="3"/>
  <c r="AQ24" i="3"/>
  <c r="M121" i="3"/>
  <c r="M177" i="3"/>
  <c r="AQ205" i="3"/>
  <c r="M88" i="3"/>
  <c r="AQ203" i="3"/>
  <c r="AQ45" i="3"/>
  <c r="AQ185" i="3"/>
  <c r="M80" i="3"/>
  <c r="M130" i="3"/>
  <c r="Z121" i="3"/>
  <c r="AY119" i="15"/>
  <c r="AZ119" i="15" s="1"/>
  <c r="AG121" i="3" s="1"/>
  <c r="BD148" i="3"/>
  <c r="CF146" i="15"/>
  <c r="BJ148" i="3" s="1"/>
  <c r="Z179" i="3"/>
  <c r="AY177" i="15"/>
  <c r="AF179" i="3" s="1"/>
  <c r="CF194" i="15"/>
  <c r="BJ196" i="3" s="1"/>
  <c r="BD196" i="3"/>
  <c r="BD134" i="3"/>
  <c r="CF132" i="15"/>
  <c r="BJ134" i="3" s="1"/>
  <c r="BD103" i="3"/>
  <c r="CF101" i="15"/>
  <c r="BJ103" i="3" s="1"/>
  <c r="BD167" i="3"/>
  <c r="CF165" i="15"/>
  <c r="BJ167" i="3" s="1"/>
  <c r="BD192" i="3"/>
  <c r="CF190" i="15"/>
  <c r="BJ192" i="3" s="1"/>
  <c r="BD133" i="3"/>
  <c r="CF131" i="15"/>
  <c r="BJ133" i="3" s="1"/>
  <c r="AY192" i="15"/>
  <c r="AZ192" i="15" s="1"/>
  <c r="AG194" i="3" s="1"/>
  <c r="Z194" i="3"/>
  <c r="Z127" i="3"/>
  <c r="AY125" i="15"/>
  <c r="AZ125" i="15" s="1"/>
  <c r="AG127" i="3" s="1"/>
  <c r="BD50" i="3"/>
  <c r="CF48" i="15"/>
  <c r="BJ50" i="3" s="1"/>
  <c r="CF150" i="15"/>
  <c r="BJ152" i="3" s="1"/>
  <c r="BD152" i="3"/>
  <c r="CF54" i="15"/>
  <c r="BJ56" i="3" s="1"/>
  <c r="BD56" i="3"/>
  <c r="BD141" i="3"/>
  <c r="CF139" i="15"/>
  <c r="BJ141" i="3" s="1"/>
  <c r="Z197" i="3"/>
  <c r="AY195" i="15"/>
  <c r="AZ195" i="15" s="1"/>
  <c r="AG197" i="3" s="1"/>
  <c r="AY167" i="15"/>
  <c r="AZ167" i="15" s="1"/>
  <c r="AG169" i="3" s="1"/>
  <c r="Z169" i="3"/>
  <c r="AY101" i="15"/>
  <c r="AF103" i="3" s="1"/>
  <c r="Z103" i="3"/>
  <c r="Z64" i="3"/>
  <c r="AY62" i="15"/>
  <c r="BD35" i="3"/>
  <c r="CF33" i="15"/>
  <c r="BJ35" i="3" s="1"/>
  <c r="Z15" i="3"/>
  <c r="AY13" i="15"/>
  <c r="AZ13" i="15" s="1"/>
  <c r="AG15" i="3" s="1"/>
  <c r="CD15" i="3" s="1" a="1"/>
  <c r="CD15" i="3" s="1"/>
  <c r="Z137" i="3"/>
  <c r="AY135" i="15"/>
  <c r="AF137" i="3" s="1"/>
  <c r="Z183" i="3"/>
  <c r="AY181" i="15"/>
  <c r="AZ181" i="15" s="1"/>
  <c r="AG183" i="3" s="1"/>
  <c r="Z189" i="3"/>
  <c r="AY187" i="15"/>
  <c r="AF189" i="3" s="1"/>
  <c r="AY173" i="15"/>
  <c r="AZ173" i="15" s="1"/>
  <c r="AG175" i="3" s="1"/>
  <c r="Z175" i="3"/>
  <c r="Z44" i="3"/>
  <c r="AY42" i="15"/>
  <c r="AF44" i="3" s="1"/>
  <c r="BD122" i="3"/>
  <c r="CF120" i="15"/>
  <c r="BJ122" i="3" s="1"/>
  <c r="Z27" i="3"/>
  <c r="AY25" i="15"/>
  <c r="AZ25" i="15" s="1"/>
  <c r="AG27" i="3" s="1"/>
  <c r="CE12" i="3" s="1" a="1"/>
  <c r="CE12" i="3" s="1"/>
  <c r="CF182" i="15"/>
  <c r="BJ184" i="3" s="1"/>
  <c r="BD184" i="3"/>
  <c r="AY91" i="15"/>
  <c r="AZ91" i="15" s="1"/>
  <c r="AG93" i="3" s="1"/>
  <c r="Z93" i="3"/>
  <c r="BD185" i="3"/>
  <c r="CF183" i="15"/>
  <c r="BJ185" i="3" s="1"/>
  <c r="BD191" i="3"/>
  <c r="CF189" i="15"/>
  <c r="BJ191" i="3" s="1"/>
  <c r="Z188" i="3"/>
  <c r="AY186" i="15"/>
  <c r="AZ186" i="15" s="1"/>
  <c r="AG188" i="3" s="1"/>
  <c r="AY90" i="15"/>
  <c r="Z92" i="3"/>
  <c r="BD84" i="3"/>
  <c r="CF82" i="15"/>
  <c r="BJ84" i="3" s="1"/>
  <c r="BD8" i="3"/>
  <c r="CF6" i="15"/>
  <c r="BJ8" i="3" s="1"/>
  <c r="CF88" i="15"/>
  <c r="BJ90" i="3" s="1"/>
  <c r="BD90" i="3"/>
  <c r="BD102" i="3"/>
  <c r="CF100" i="15"/>
  <c r="BJ102" i="3" s="1"/>
  <c r="AY144" i="15"/>
  <c r="AZ144" i="15" s="1"/>
  <c r="AG146" i="3" s="1"/>
  <c r="Z146" i="3"/>
  <c r="CF162" i="15"/>
  <c r="BJ164" i="3" s="1"/>
  <c r="BD164" i="3"/>
  <c r="Z58" i="3"/>
  <c r="AY56" i="15"/>
  <c r="AF58" i="3" s="1"/>
  <c r="Z25" i="3"/>
  <c r="AY23" i="15"/>
  <c r="AZ23" i="15" s="1"/>
  <c r="AG25" i="3" s="1"/>
  <c r="BD17" i="3"/>
  <c r="CF15" i="15"/>
  <c r="BJ17" i="3" s="1"/>
  <c r="AY72" i="15"/>
  <c r="Z74" i="3"/>
  <c r="AY47" i="15"/>
  <c r="Z49" i="3"/>
  <c r="AY183" i="15"/>
  <c r="AZ183" i="15" s="1"/>
  <c r="AG185" i="3" s="1"/>
  <c r="Z185" i="3"/>
  <c r="AY57" i="15"/>
  <c r="AF59" i="3" s="1"/>
  <c r="Z59" i="3"/>
  <c r="BD115" i="3"/>
  <c r="CF113" i="15"/>
  <c r="BJ115" i="3" s="1"/>
  <c r="AY36" i="15"/>
  <c r="AZ36" i="15" s="1"/>
  <c r="AG38" i="3" s="1"/>
  <c r="Z38" i="3"/>
  <c r="BD78" i="3"/>
  <c r="CF76" i="15"/>
  <c r="BJ78" i="3" s="1"/>
  <c r="AQ162" i="3"/>
  <c r="M20" i="3"/>
  <c r="M173" i="3"/>
  <c r="M128" i="3"/>
  <c r="AQ42" i="3"/>
  <c r="AQ130" i="3"/>
  <c r="M37" i="3"/>
  <c r="M69" i="3"/>
  <c r="M76" i="3"/>
  <c r="AQ61" i="3"/>
  <c r="M101" i="3"/>
  <c r="M124" i="3"/>
  <c r="M62" i="3"/>
  <c r="M181" i="3"/>
  <c r="AQ181" i="3"/>
  <c r="M159" i="3"/>
  <c r="CF109" i="15"/>
  <c r="BJ111" i="3" s="1"/>
  <c r="BD111" i="3"/>
  <c r="AY176" i="15"/>
  <c r="Z178" i="3"/>
  <c r="BD92" i="3"/>
  <c r="CF90" i="15"/>
  <c r="BJ92" i="3" s="1"/>
  <c r="M60" i="3"/>
  <c r="M164" i="3"/>
  <c r="M92" i="3"/>
  <c r="M55" i="3"/>
  <c r="AQ177" i="3"/>
  <c r="AQ73" i="3"/>
  <c r="AQ169" i="3"/>
  <c r="M42" i="3"/>
  <c r="M204" i="3"/>
  <c r="M153" i="3"/>
  <c r="AQ184" i="3"/>
  <c r="AQ12" i="3"/>
  <c r="AQ13" i="3"/>
  <c r="AQ69" i="3"/>
  <c r="AQ31" i="3"/>
  <c r="AQ18" i="3"/>
  <c r="AQ154" i="3"/>
  <c r="AQ75" i="3"/>
  <c r="M184" i="3"/>
  <c r="AQ166" i="3"/>
  <c r="AQ16" i="3"/>
  <c r="AQ40" i="3"/>
  <c r="AQ64" i="3"/>
  <c r="AQ121" i="3"/>
  <c r="AQ52" i="3"/>
  <c r="AQ113" i="3"/>
  <c r="M89" i="3"/>
  <c r="AQ10" i="3"/>
  <c r="AQ105" i="3"/>
  <c r="AQ144" i="3"/>
  <c r="M67" i="3"/>
  <c r="M107" i="3"/>
  <c r="AQ17" i="3"/>
  <c r="M50" i="3"/>
  <c r="M111" i="3"/>
  <c r="AQ180" i="3"/>
  <c r="AQ82" i="3"/>
  <c r="M83" i="3"/>
  <c r="AQ35" i="3"/>
  <c r="M163" i="3"/>
  <c r="M28" i="3"/>
  <c r="M81" i="3"/>
  <c r="AQ192" i="3"/>
  <c r="M106" i="3"/>
  <c r="AQ155" i="3"/>
  <c r="M90" i="3"/>
  <c r="AQ204" i="3"/>
  <c r="M137" i="3"/>
  <c r="AQ156" i="3"/>
  <c r="AQ34" i="3"/>
  <c r="AQ53" i="3"/>
  <c r="AQ129" i="3"/>
  <c r="AQ8" i="3"/>
  <c r="M30" i="3"/>
  <c r="AQ37" i="3"/>
  <c r="AQ115" i="3"/>
  <c r="AQ137" i="3"/>
  <c r="AQ132" i="3"/>
  <c r="CF112" i="15"/>
  <c r="BJ114" i="3" s="1"/>
  <c r="BD114" i="3"/>
  <c r="Z102" i="3"/>
  <c r="AY100" i="15"/>
  <c r="AZ100" i="15" s="1"/>
  <c r="AG102" i="3" s="1"/>
  <c r="BD26" i="3"/>
  <c r="CF24" i="15"/>
  <c r="BJ26" i="3" s="1"/>
  <c r="Z86" i="3"/>
  <c r="AY84" i="15"/>
  <c r="AF86" i="3" s="1"/>
  <c r="CF56" i="15"/>
  <c r="BJ58" i="3" s="1"/>
  <c r="BD58" i="3"/>
  <c r="BD37" i="3"/>
  <c r="CF35" i="15"/>
  <c r="BJ37" i="3" s="1"/>
  <c r="AY71" i="15"/>
  <c r="AF73" i="3" s="1"/>
  <c r="Z73" i="3"/>
  <c r="Z76" i="3"/>
  <c r="AY74" i="15"/>
  <c r="AY18" i="15"/>
  <c r="Z20" i="3"/>
  <c r="AY50" i="15"/>
  <c r="Z52" i="3"/>
  <c r="CF96" i="15"/>
  <c r="BJ98" i="3" s="1"/>
  <c r="BD98" i="3"/>
  <c r="BD138" i="3"/>
  <c r="CF136" i="15"/>
  <c r="BJ138" i="3" s="1"/>
  <c r="CF199" i="15"/>
  <c r="BJ201" i="3" s="1"/>
  <c r="BD201" i="3"/>
  <c r="BD69" i="3"/>
  <c r="CF67" i="15"/>
  <c r="BJ69" i="3" s="1"/>
  <c r="CF202" i="15"/>
  <c r="BJ204" i="3" s="1"/>
  <c r="BD204" i="3"/>
  <c r="CF180" i="15"/>
  <c r="BJ182" i="3" s="1"/>
  <c r="BD182" i="3"/>
  <c r="BD94" i="3"/>
  <c r="CF92" i="15"/>
  <c r="BJ94" i="3" s="1"/>
  <c r="BD10" i="3"/>
  <c r="CF8" i="15"/>
  <c r="BJ10" i="3" s="1"/>
  <c r="CF153" i="15"/>
  <c r="BJ155" i="3" s="1"/>
  <c r="BD155" i="3"/>
  <c r="BD143" i="3"/>
  <c r="CF141" i="15"/>
  <c r="BJ143" i="3" s="1"/>
  <c r="Z173" i="3"/>
  <c r="AY171" i="15"/>
  <c r="Z201" i="3"/>
  <c r="AY199" i="15"/>
  <c r="AF201" i="3" s="1"/>
  <c r="BD29" i="3"/>
  <c r="CF27" i="15"/>
  <c r="BJ29" i="3" s="1"/>
  <c r="BD43" i="3"/>
  <c r="CF41" i="15"/>
  <c r="BJ43" i="3" s="1"/>
  <c r="AY168" i="15"/>
  <c r="Z170" i="3"/>
  <c r="Z17" i="3"/>
  <c r="AY15" i="15"/>
  <c r="AF17" i="3" s="1"/>
  <c r="Z40" i="3"/>
  <c r="AY38" i="15"/>
  <c r="AF40" i="3" s="1"/>
  <c r="BD142" i="3"/>
  <c r="CF140" i="15"/>
  <c r="BJ142" i="3" s="1"/>
  <c r="Z120" i="3"/>
  <c r="AY118" i="15"/>
  <c r="AZ118" i="15" s="1"/>
  <c r="AG120" i="3" s="1"/>
  <c r="CF19" i="15"/>
  <c r="BJ21" i="3" s="1"/>
  <c r="BD21" i="3"/>
  <c r="CF77" i="15"/>
  <c r="BJ79" i="3" s="1"/>
  <c r="BD79" i="3"/>
  <c r="AY129" i="15"/>
  <c r="AZ129" i="15" s="1"/>
  <c r="AG131" i="3" s="1"/>
  <c r="Z131" i="3"/>
  <c r="AY146" i="15"/>
  <c r="AF148" i="3" s="1"/>
  <c r="Z148" i="3"/>
  <c r="CF7" i="15"/>
  <c r="BJ9" i="3" s="1"/>
  <c r="BD9" i="3"/>
  <c r="Z200" i="3"/>
  <c r="AY198" i="15"/>
  <c r="Z144" i="3"/>
  <c r="AY142" i="15"/>
  <c r="AZ142" i="15" s="1"/>
  <c r="AG144" i="3" s="1"/>
  <c r="AY34" i="15"/>
  <c r="AZ34" i="15" s="1"/>
  <c r="AG36" i="3" s="1"/>
  <c r="Z36" i="3"/>
  <c r="BD86" i="3"/>
  <c r="CF84" i="15"/>
  <c r="BJ86" i="3" s="1"/>
  <c r="AY184" i="15"/>
  <c r="AZ184" i="15" s="1"/>
  <c r="AG186" i="3" s="1"/>
  <c r="Z186" i="3"/>
  <c r="CF147" i="15"/>
  <c r="BJ149" i="3" s="1"/>
  <c r="BD149" i="3"/>
  <c r="AY69" i="15"/>
  <c r="Z71" i="3"/>
  <c r="AY145" i="15"/>
  <c r="Z147" i="3"/>
  <c r="AY99" i="15"/>
  <c r="AZ99" i="15" s="1"/>
  <c r="AG101" i="3" s="1"/>
  <c r="Z101" i="3"/>
  <c r="AY158" i="15"/>
  <c r="AZ158" i="15" s="1"/>
  <c r="AG160" i="3" s="1"/>
  <c r="Z160" i="3"/>
  <c r="Z94" i="3"/>
  <c r="AY92" i="15"/>
  <c r="AZ92" i="15" s="1"/>
  <c r="AG94" i="3" s="1"/>
  <c r="AY178" i="15"/>
  <c r="AZ178" i="15" s="1"/>
  <c r="AG180" i="3" s="1"/>
  <c r="Z180" i="3"/>
  <c r="BD116" i="3"/>
  <c r="CF114" i="15"/>
  <c r="BJ116" i="3" s="1"/>
  <c r="Z70" i="3"/>
  <c r="AY68" i="15"/>
  <c r="AZ68" i="15" s="1"/>
  <c r="AG70" i="3" s="1"/>
  <c r="Z114" i="3"/>
  <c r="AY112" i="15"/>
  <c r="AF114" i="3" s="1"/>
  <c r="AY19" i="15"/>
  <c r="AZ19" i="15" s="1"/>
  <c r="AG21" i="3" s="1"/>
  <c r="Z21" i="3"/>
  <c r="AQ25" i="3"/>
  <c r="M108" i="3"/>
  <c r="M131" i="3"/>
  <c r="AQ65" i="3"/>
  <c r="M172" i="3"/>
  <c r="M167" i="3"/>
  <c r="AQ174" i="3"/>
  <c r="M40" i="3"/>
  <c r="AQ49" i="3"/>
  <c r="AQ100" i="3"/>
  <c r="AQ92" i="3"/>
  <c r="M146" i="3"/>
  <c r="AQ22" i="3"/>
  <c r="AQ198" i="3"/>
  <c r="AQ146" i="3"/>
  <c r="M51" i="3"/>
  <c r="AQ23" i="3"/>
  <c r="M170" i="3"/>
  <c r="Z55" i="3"/>
  <c r="AY53" i="15"/>
  <c r="AF55" i="3" s="1"/>
  <c r="AY73" i="15"/>
  <c r="Z75" i="3"/>
  <c r="AY20" i="15"/>
  <c r="Z22" i="3"/>
  <c r="AY75" i="15"/>
  <c r="AZ75" i="15" s="1"/>
  <c r="AG77" i="3" s="1"/>
  <c r="Z77" i="3"/>
  <c r="AQ101" i="3"/>
  <c r="AQ149" i="3"/>
  <c r="M39" i="3"/>
  <c r="AQ114" i="3"/>
  <c r="M206" i="3"/>
  <c r="AQ201" i="3"/>
  <c r="M125" i="3"/>
  <c r="AQ193" i="3"/>
  <c r="M185" i="3"/>
  <c r="M105" i="3"/>
  <c r="M141" i="3"/>
  <c r="M156" i="3"/>
  <c r="AQ39" i="3"/>
  <c r="M145" i="3"/>
  <c r="AQ86" i="3"/>
  <c r="AQ142" i="3"/>
  <c r="M176" i="3"/>
  <c r="M168" i="3"/>
  <c r="M14" i="3"/>
  <c r="AQ81" i="3"/>
  <c r="AQ58" i="3"/>
  <c r="AQ123" i="3"/>
  <c r="AQ29" i="3"/>
  <c r="AQ124" i="3"/>
  <c r="AQ150" i="3"/>
  <c r="AQ38" i="3"/>
  <c r="M151" i="3"/>
  <c r="AQ195" i="3"/>
  <c r="M175" i="3"/>
  <c r="AQ15" i="3"/>
  <c r="AQ191" i="3"/>
  <c r="AQ122" i="3"/>
  <c r="AQ77" i="3"/>
  <c r="AQ159" i="3"/>
  <c r="M186" i="3"/>
  <c r="AQ26" i="3"/>
  <c r="AQ134" i="3"/>
  <c r="M45" i="3"/>
  <c r="M136" i="3"/>
  <c r="M192" i="3"/>
  <c r="M194" i="3"/>
  <c r="AQ179" i="3"/>
  <c r="M64" i="3"/>
  <c r="AQ194" i="3"/>
  <c r="M29" i="3"/>
  <c r="AQ190" i="3"/>
  <c r="AQ143" i="3"/>
  <c r="M120" i="3"/>
  <c r="M74" i="3"/>
  <c r="AQ107" i="3"/>
  <c r="AQ19" i="3"/>
  <c r="M117" i="3"/>
  <c r="AQ187" i="3"/>
  <c r="CF135" i="15"/>
  <c r="BJ137" i="3" s="1"/>
  <c r="BD137" i="3"/>
  <c r="BD170" i="3"/>
  <c r="CF168" i="15"/>
  <c r="BJ170" i="3" s="1"/>
  <c r="Z138" i="3"/>
  <c r="AY136" i="15"/>
  <c r="AZ136" i="15" s="1"/>
  <c r="AG138" i="3" s="1"/>
  <c r="BD70" i="3"/>
  <c r="CF68" i="15"/>
  <c r="BJ70" i="3" s="1"/>
  <c r="CF155" i="15"/>
  <c r="BJ157" i="3" s="1"/>
  <c r="BD157" i="3"/>
  <c r="BD123" i="3"/>
  <c r="CF121" i="15"/>
  <c r="BJ123" i="3" s="1"/>
  <c r="BD131" i="3"/>
  <c r="CF129" i="15"/>
  <c r="BJ131" i="3" s="1"/>
  <c r="CF151" i="15"/>
  <c r="BJ153" i="3" s="1"/>
  <c r="BD153" i="3"/>
  <c r="BD162" i="3"/>
  <c r="CF160" i="15"/>
  <c r="BJ162" i="3" s="1"/>
  <c r="AY164" i="15"/>
  <c r="Z166" i="3"/>
  <c r="BD42" i="3"/>
  <c r="CF40" i="15"/>
  <c r="BJ42" i="3" s="1"/>
  <c r="CF171" i="15"/>
  <c r="BJ173" i="3" s="1"/>
  <c r="BD173" i="3"/>
  <c r="AY141" i="15"/>
  <c r="AZ141" i="15" s="1"/>
  <c r="AG143" i="3" s="1"/>
  <c r="Z143" i="3"/>
  <c r="BD159" i="3"/>
  <c r="CF157" i="15"/>
  <c r="BJ159" i="3" s="1"/>
  <c r="Z190" i="3"/>
  <c r="AY188" i="15"/>
  <c r="AZ188" i="15" s="1"/>
  <c r="AG190" i="3" s="1"/>
  <c r="CF185" i="15"/>
  <c r="BJ187" i="3" s="1"/>
  <c r="BD187" i="3"/>
  <c r="CF69" i="15"/>
  <c r="BJ71" i="3" s="1"/>
  <c r="BD71" i="3"/>
  <c r="BD158" i="3"/>
  <c r="CF156" i="15"/>
  <c r="BJ158" i="3" s="1"/>
  <c r="CF127" i="15"/>
  <c r="BJ129" i="3" s="1"/>
  <c r="BD129" i="3"/>
  <c r="BD190" i="3"/>
  <c r="CF188" i="15"/>
  <c r="BJ190" i="3" s="1"/>
  <c r="AY185" i="15"/>
  <c r="Z187" i="3"/>
  <c r="Z110" i="3"/>
  <c r="AY108" i="15"/>
  <c r="AZ108" i="15" s="1"/>
  <c r="AG110" i="3" s="1"/>
  <c r="AY147" i="15"/>
  <c r="AF149" i="3" s="1"/>
  <c r="Z149" i="3"/>
  <c r="CF64" i="15"/>
  <c r="BJ66" i="3" s="1"/>
  <c r="BD66" i="3"/>
  <c r="BD15" i="3"/>
  <c r="CF13" i="15"/>
  <c r="BJ15" i="3" s="1"/>
  <c r="BD132" i="3"/>
  <c r="CF130" i="15"/>
  <c r="BJ132" i="3" s="1"/>
  <c r="BD48" i="3"/>
  <c r="CF46" i="15"/>
  <c r="BJ48" i="3" s="1"/>
  <c r="AY77" i="15"/>
  <c r="AF79" i="3" s="1"/>
  <c r="Z79" i="3"/>
  <c r="Z157" i="3"/>
  <c r="AY155" i="15"/>
  <c r="AZ155" i="15" s="1"/>
  <c r="AG157" i="3" s="1"/>
  <c r="Z23" i="3"/>
  <c r="AY21" i="15"/>
  <c r="Z129" i="3"/>
  <c r="AY127" i="15"/>
  <c r="AF129" i="3" s="1"/>
  <c r="BD146" i="3"/>
  <c r="CF144" i="15"/>
  <c r="BJ146" i="3" s="1"/>
  <c r="Z111" i="3"/>
  <c r="AY109" i="15"/>
  <c r="AZ109" i="15" s="1"/>
  <c r="AG111" i="3" s="1"/>
  <c r="CJ9" i="3" s="1" a="1"/>
  <c r="CJ9" i="3" s="1"/>
  <c r="CF70" i="15"/>
  <c r="BJ72" i="3" s="1"/>
  <c r="BD72" i="3"/>
  <c r="BD95" i="3"/>
  <c r="CF93" i="15"/>
  <c r="BJ95" i="3" s="1"/>
  <c r="AY149" i="15"/>
  <c r="Z151" i="3"/>
  <c r="AY41" i="15"/>
  <c r="AZ41" i="15" s="1"/>
  <c r="AG43" i="3" s="1"/>
  <c r="Z43" i="3"/>
  <c r="AY98" i="15"/>
  <c r="AF100" i="3" s="1"/>
  <c r="Z100" i="3"/>
  <c r="Z24" i="3"/>
  <c r="AY22" i="15"/>
  <c r="AF24" i="3" s="1"/>
  <c r="AY123" i="15"/>
  <c r="Z125" i="3"/>
  <c r="CF83" i="15"/>
  <c r="BJ85" i="3" s="1"/>
  <c r="BD85" i="3"/>
  <c r="Z158" i="3"/>
  <c r="AY156" i="15"/>
  <c r="AF158" i="3" s="1"/>
  <c r="CF163" i="15"/>
  <c r="BJ165" i="3" s="1"/>
  <c r="BD165" i="3"/>
  <c r="BD199" i="3"/>
  <c r="CF197" i="15"/>
  <c r="BJ199" i="3" s="1"/>
  <c r="CF58" i="15"/>
  <c r="BJ60" i="3" s="1"/>
  <c r="BD60" i="3"/>
  <c r="AY191" i="15"/>
  <c r="AZ191" i="15" s="1"/>
  <c r="AG193" i="3" s="1"/>
  <c r="Z193" i="3"/>
  <c r="Z11" i="3"/>
  <c r="AY9" i="15"/>
  <c r="AF11" i="3" s="1"/>
  <c r="Z37" i="3"/>
  <c r="AY35" i="15"/>
  <c r="AF37" i="3" s="1"/>
  <c r="Z81" i="3"/>
  <c r="AY79" i="15"/>
  <c r="AF81" i="3" s="1"/>
  <c r="Z135" i="3"/>
  <c r="AY133" i="15"/>
  <c r="AF135" i="3" s="1"/>
  <c r="AF50" i="3"/>
  <c r="AF99" i="3"/>
  <c r="AZ107" i="15"/>
  <c r="AG109" i="3" s="1"/>
  <c r="CJ19" i="3" s="1" a="1"/>
  <c r="CJ19" i="3" s="1"/>
  <c r="AZ134" i="15"/>
  <c r="AG136" i="3" s="1"/>
  <c r="AZ117" i="15"/>
  <c r="AG119" i="3" s="1"/>
  <c r="AZ193" i="15"/>
  <c r="AG195" i="3" s="1"/>
  <c r="AZ52" i="15"/>
  <c r="AG54" i="3" s="1"/>
  <c r="AF205" i="3"/>
  <c r="AF95" i="3"/>
  <c r="AF88" i="3"/>
  <c r="AF146" i="3"/>
  <c r="AZ28" i="15"/>
  <c r="AG30" i="3" s="1"/>
  <c r="AZ94" i="15"/>
  <c r="AG96" i="3" s="1"/>
  <c r="AZ37" i="15"/>
  <c r="AG39" i="3" s="1"/>
  <c r="AZ162" i="15"/>
  <c r="AG164" i="3" s="1"/>
  <c r="CM11" i="3" s="1" a="1"/>
  <c r="CM11" i="3" s="1"/>
  <c r="AZ70" i="15"/>
  <c r="AG72" i="3" s="1"/>
  <c r="AZ163" i="15"/>
  <c r="AG165" i="3" s="1"/>
  <c r="AZ103" i="15"/>
  <c r="AG105" i="3" s="1"/>
  <c r="AZ87" i="15"/>
  <c r="AG89" i="3" s="1"/>
  <c r="AF63" i="3"/>
  <c r="AZ61" i="15"/>
  <c r="AG63" i="3" s="1"/>
  <c r="AF163" i="3"/>
  <c r="AZ161" i="15"/>
  <c r="AG163" i="3" s="1"/>
  <c r="CM10" i="3" s="1" a="1"/>
  <c r="CM10" i="3" s="1"/>
  <c r="AF206" i="3"/>
  <c r="AZ204" i="15"/>
  <c r="AG206" i="3" s="1"/>
  <c r="AZ31" i="15"/>
  <c r="AG33" i="3" s="1"/>
  <c r="AF33" i="3"/>
  <c r="AZ174" i="15"/>
  <c r="AG176" i="3" s="1"/>
  <c r="AF176" i="3"/>
  <c r="AF14" i="3"/>
  <c r="AZ12" i="15"/>
  <c r="AG14" i="3" s="1"/>
  <c r="CD14" i="3" s="1" a="1"/>
  <c r="CD14" i="3" s="1"/>
  <c r="AF172" i="3"/>
  <c r="AZ170" i="15"/>
  <c r="AG172" i="3" s="1"/>
  <c r="AF87" i="3"/>
  <c r="AZ85" i="15"/>
  <c r="AG87" i="3" s="1"/>
  <c r="AZ205" i="15"/>
  <c r="AG207" i="3" s="1"/>
  <c r="AF207" i="3"/>
  <c r="AZ64" i="15"/>
  <c r="AG66" i="3" s="1"/>
  <c r="AF154" i="3"/>
  <c r="AZ152" i="15"/>
  <c r="AG154" i="3" s="1"/>
  <c r="CL18" i="3" s="1" a="1"/>
  <c r="CL18" i="3" s="1"/>
  <c r="AZ33" i="15"/>
  <c r="AG35" i="3" s="1"/>
  <c r="AF35" i="3"/>
  <c r="AZ116" i="15"/>
  <c r="AG118" i="3" s="1"/>
  <c r="AF118" i="3"/>
  <c r="AF18" i="3"/>
  <c r="AZ57" i="15"/>
  <c r="AG59" i="3" s="1"/>
  <c r="AF182" i="3"/>
  <c r="AZ180" i="15"/>
  <c r="AG182" i="3" s="1"/>
  <c r="AZ169" i="15"/>
  <c r="AG171" i="3" s="1"/>
  <c r="AF71" i="3"/>
  <c r="AZ69" i="15"/>
  <c r="AG71" i="3" s="1"/>
  <c r="AZ126" i="15"/>
  <c r="AG128" i="3" s="1"/>
  <c r="AZ110" i="15"/>
  <c r="AG112" i="3" s="1"/>
  <c r="AF112" i="3"/>
  <c r="AF168" i="3"/>
  <c r="AZ166" i="15"/>
  <c r="AG168" i="3" s="1"/>
  <c r="AF203" i="3"/>
  <c r="AZ157" i="15"/>
  <c r="AG159" i="3" s="1"/>
  <c r="AF181" i="3"/>
  <c r="AF138" i="3"/>
  <c r="AF199" i="3"/>
  <c r="AZ197" i="15"/>
  <c r="AG199" i="3" s="1"/>
  <c r="AZ95" i="15"/>
  <c r="AG97" i="3" s="1"/>
  <c r="AF97" i="3"/>
  <c r="AF28" i="3"/>
  <c r="AZ26" i="15"/>
  <c r="AG28" i="3" s="1"/>
  <c r="CE11" i="3" s="1" a="1"/>
  <c r="CE11" i="3" s="1"/>
  <c r="AF60" i="3"/>
  <c r="AZ58" i="15"/>
  <c r="AG60" i="3" s="1"/>
  <c r="AF113" i="3"/>
  <c r="AF184" i="3"/>
  <c r="AZ182" i="15"/>
  <c r="AG184" i="3" s="1"/>
  <c r="AF29" i="3"/>
  <c r="AF36" i="3"/>
  <c r="AZ124" i="15"/>
  <c r="AG126" i="3" s="1"/>
  <c r="AF141" i="3"/>
  <c r="AZ139" i="15"/>
  <c r="AG141" i="3" s="1"/>
  <c r="AF123" i="3"/>
  <c r="AZ138" i="15"/>
  <c r="AG140" i="3" s="1"/>
  <c r="AF38" i="3"/>
  <c r="AF83" i="3"/>
  <c r="AZ81" i="15"/>
  <c r="AG83" i="3" s="1"/>
  <c r="AZ65" i="15"/>
  <c r="AG67" i="3" s="1"/>
  <c r="AF67" i="3"/>
  <c r="AZ45" i="15"/>
  <c r="AG47" i="3" s="1"/>
  <c r="AF47" i="3"/>
  <c r="AZ14" i="15"/>
  <c r="AG16" i="3" s="1"/>
  <c r="AF16" i="3"/>
  <c r="AF48" i="3"/>
  <c r="AZ46" i="15"/>
  <c r="AG48" i="3" s="1"/>
  <c r="AF115" i="3"/>
  <c r="AZ189" i="15"/>
  <c r="AG191" i="3" s="1"/>
  <c r="AF32" i="3"/>
  <c r="AZ30" i="15"/>
  <c r="AG32" i="3" s="1"/>
  <c r="AF153" i="3"/>
  <c r="AZ151" i="15"/>
  <c r="AG153" i="3" s="1"/>
  <c r="AZ17" i="15"/>
  <c r="AG19" i="3" s="1"/>
  <c r="CD19" i="3" s="1" a="1"/>
  <c r="CD19" i="3" s="1"/>
  <c r="AF19" i="3"/>
  <c r="AF51" i="3"/>
  <c r="AZ49" i="15"/>
  <c r="AG51" i="3" s="1"/>
  <c r="AZ172" i="15"/>
  <c r="AG174" i="3" s="1"/>
  <c r="AZ63" i="15"/>
  <c r="AG65" i="3" s="1"/>
  <c r="AF65" i="3"/>
  <c r="CC20" i="3"/>
  <c r="CQ20" i="3" s="1" a="1"/>
  <c r="CQ20" i="3" s="1"/>
  <c r="CN19" i="3" a="1"/>
  <c r="CN19" i="3" s="1"/>
  <c r="CQ12" i="3" a="1"/>
  <c r="CQ12" i="3" s="1"/>
  <c r="CR7" i="3"/>
  <c r="CQ11" i="3" a="1"/>
  <c r="CQ11" i="3" s="1"/>
  <c r="CQ10" i="3" a="1"/>
  <c r="CQ10" i="3" s="1"/>
  <c r="CQ13" i="3" a="1"/>
  <c r="CQ13" i="3" s="1"/>
  <c r="CQ8" i="3" a="1"/>
  <c r="CQ8" i="3" s="1"/>
  <c r="CQ9" i="3" a="1"/>
  <c r="CQ9" i="3" s="1"/>
  <c r="CQ17" i="3" a="1"/>
  <c r="CQ17" i="3" s="1"/>
  <c r="CQ15" i="3" a="1"/>
  <c r="CQ15" i="3" s="1"/>
  <c r="CQ19" i="3" a="1"/>
  <c r="CQ19" i="3" s="1"/>
  <c r="CQ18" i="3" a="1"/>
  <c r="CQ18" i="3" s="1"/>
  <c r="CQ16" i="3" a="1"/>
  <c r="CQ16" i="3" s="1"/>
  <c r="CQ14" i="3" a="1"/>
  <c r="CQ14" i="3" s="1"/>
  <c r="CE18" i="3" l="1" a="1"/>
  <c r="CE18" i="3" s="1"/>
  <c r="AZ32" i="15"/>
  <c r="AG34" i="3" s="1"/>
  <c r="CE19" i="3" s="1" a="1"/>
  <c r="CE19" i="3" s="1"/>
  <c r="CM19" i="3" a="1"/>
  <c r="CM19" i="3" s="1"/>
  <c r="AF183" i="3"/>
  <c r="AZ22" i="15"/>
  <c r="AG24" i="3" s="1"/>
  <c r="CJ8" i="3" a="1"/>
  <c r="CJ8" i="3" s="1"/>
  <c r="AZ77" i="15"/>
  <c r="AG79" i="3" s="1"/>
  <c r="AF78" i="3"/>
  <c r="AZ175" i="15"/>
  <c r="AG177" i="3" s="1"/>
  <c r="AF98" i="3"/>
  <c r="CH11" i="3" a="1"/>
  <c r="CH11" i="3" s="1"/>
  <c r="CF17" i="3" a="1"/>
  <c r="CF17" i="3" s="1"/>
  <c r="AZ154" i="15"/>
  <c r="AG156" i="3" s="1"/>
  <c r="CJ11" i="3" a="1"/>
  <c r="CJ11" i="3" s="1"/>
  <c r="CO10" i="3" a="1"/>
  <c r="CO10" i="3" s="1"/>
  <c r="AF27" i="3"/>
  <c r="AF169" i="3"/>
  <c r="AF41" i="3"/>
  <c r="CF13" i="3" a="1"/>
  <c r="CF13" i="3" s="1"/>
  <c r="CN10" i="3" a="1"/>
  <c r="CN10" i="3" s="1"/>
  <c r="CI12" i="3" a="1"/>
  <c r="CI12" i="3" s="1"/>
  <c r="CN15" i="3" a="1"/>
  <c r="CN15" i="3" s="1"/>
  <c r="CE15" i="3" a="1"/>
  <c r="CE15" i="3" s="1"/>
  <c r="CO19" i="3" a="1"/>
  <c r="CO19" i="3" s="1"/>
  <c r="AZ153" i="15"/>
  <c r="AG155" i="3" s="1"/>
  <c r="CN18" i="3" a="1"/>
  <c r="CN18" i="3" s="1"/>
  <c r="CM18" i="3" a="1"/>
  <c r="CM18" i="3" s="1"/>
  <c r="CN13" i="3" a="1"/>
  <c r="CN13" i="3" s="1"/>
  <c r="CO18" i="3" a="1"/>
  <c r="CO18" i="3" s="1"/>
  <c r="CK8" i="3" a="1"/>
  <c r="CK8" i="3" s="1"/>
  <c r="CO12" i="3" a="1"/>
  <c r="CO12" i="3" s="1"/>
  <c r="CO16" i="3" a="1"/>
  <c r="CO16" i="3" s="1"/>
  <c r="CI13" i="3" a="1"/>
  <c r="CI13" i="3" s="1"/>
  <c r="CI8" i="3" a="1"/>
  <c r="CI8" i="3" s="1"/>
  <c r="CH10" i="3" a="1"/>
  <c r="CH10" i="3" s="1"/>
  <c r="CI14" i="3" a="1"/>
  <c r="CI14" i="3" s="1"/>
  <c r="CG15" i="3" a="1"/>
  <c r="CG15" i="3" s="1"/>
  <c r="CE17" i="3" a="1"/>
  <c r="CE17" i="3" s="1"/>
  <c r="CE13" i="3" a="1"/>
  <c r="CE13" i="3" s="1"/>
  <c r="CG9" i="3" a="1"/>
  <c r="CG9" i="3" s="1"/>
  <c r="CF9" i="3" a="1"/>
  <c r="CF9" i="3" s="1"/>
  <c r="CE10" i="3" a="1"/>
  <c r="CE10" i="3" s="1"/>
  <c r="AF107" i="3"/>
  <c r="CH19" i="3" a="1"/>
  <c r="CH19" i="3" s="1"/>
  <c r="CE9" i="3" a="1"/>
  <c r="CE9" i="3" s="1"/>
  <c r="AF145" i="3"/>
  <c r="AF190" i="3"/>
  <c r="AZ127" i="15"/>
  <c r="AG129" i="3" s="1"/>
  <c r="CK10" i="3" s="1" a="1"/>
  <c r="CK10" i="3" s="1"/>
  <c r="AZ98" i="15"/>
  <c r="AG100" i="3" s="1"/>
  <c r="CJ10" i="3" s="1" a="1"/>
  <c r="CJ10" i="3" s="1"/>
  <c r="AF101" i="3"/>
  <c r="AF144" i="3"/>
  <c r="AF175" i="3"/>
  <c r="AZ71" i="15"/>
  <c r="AG73" i="3" s="1"/>
  <c r="AZ101" i="15"/>
  <c r="AG103" i="3" s="1"/>
  <c r="CI18" i="3" s="1" a="1"/>
  <c r="CI18" i="3" s="1"/>
  <c r="AZ59" i="15"/>
  <c r="AG61" i="3" s="1"/>
  <c r="AF93" i="3"/>
  <c r="AF185" i="3"/>
  <c r="AF110" i="3"/>
  <c r="AF194" i="3"/>
  <c r="AZ56" i="15"/>
  <c r="AG58" i="3" s="1"/>
  <c r="AF186" i="3"/>
  <c r="AF9" i="3"/>
  <c r="AZ43" i="15"/>
  <c r="AG45" i="3" s="1"/>
  <c r="CF11" i="3" s="1" a="1"/>
  <c r="CF11" i="3" s="1"/>
  <c r="AF160" i="3"/>
  <c r="AZ102" i="15"/>
  <c r="AG104" i="3" s="1"/>
  <c r="CI19" i="3" s="1" a="1"/>
  <c r="CI19" i="3" s="1"/>
  <c r="AF180" i="3"/>
  <c r="AZ9" i="15"/>
  <c r="AG11" i="3" s="1"/>
  <c r="CD11" i="3" s="1" a="1"/>
  <c r="CD11" i="3" s="1"/>
  <c r="AF94" i="3"/>
  <c r="AZ112" i="15"/>
  <c r="AG114" i="3" s="1"/>
  <c r="CJ12" i="3" s="1" a="1"/>
  <c r="CJ12" i="3" s="1"/>
  <c r="AF21" i="3"/>
  <c r="AZ187" i="15"/>
  <c r="AG189" i="3" s="1"/>
  <c r="AZ146" i="15"/>
  <c r="AG148" i="3" s="1"/>
  <c r="AF131" i="3"/>
  <c r="AF77" i="3"/>
  <c r="AF25" i="3"/>
  <c r="AF111" i="3"/>
  <c r="AF26" i="3"/>
  <c r="AZ42" i="15"/>
  <c r="AG44" i="3" s="1"/>
  <c r="CF14" i="3" s="1" a="1"/>
  <c r="CF14" i="3" s="1"/>
  <c r="AZ104" i="15"/>
  <c r="AG106" i="3" s="1"/>
  <c r="CJ16" i="3" s="1" a="1"/>
  <c r="CJ16" i="3" s="1"/>
  <c r="AZ88" i="15"/>
  <c r="AG90" i="3" s="1"/>
  <c r="AZ135" i="15"/>
  <c r="AG137" i="3" s="1"/>
  <c r="CL17" i="3" s="1" a="1"/>
  <c r="CL17" i="3" s="1"/>
  <c r="AZ38" i="15"/>
  <c r="AG40" i="3" s="1"/>
  <c r="AF15" i="3"/>
  <c r="AF43" i="3"/>
  <c r="AZ199" i="15"/>
  <c r="AG201" i="3" s="1"/>
  <c r="AF197" i="3"/>
  <c r="AZ15" i="15"/>
  <c r="AG17" i="3" s="1"/>
  <c r="AZ54" i="15"/>
  <c r="AG56" i="3" s="1"/>
  <c r="AZ53" i="15"/>
  <c r="AG55" i="3" s="1"/>
  <c r="AF193" i="3"/>
  <c r="AZ147" i="15"/>
  <c r="AG149" i="3" s="1"/>
  <c r="AF102" i="3"/>
  <c r="AF70" i="3"/>
  <c r="AF143" i="3"/>
  <c r="AZ79" i="15"/>
  <c r="AG81" i="3" s="1"/>
  <c r="AZ35" i="15"/>
  <c r="AG37" i="3" s="1"/>
  <c r="AZ21" i="15"/>
  <c r="AG23" i="3" s="1"/>
  <c r="CE8" i="3" s="1" a="1"/>
  <c r="CE8" i="3" s="1"/>
  <c r="AF23" i="3"/>
  <c r="AF92" i="3"/>
  <c r="AZ90" i="15"/>
  <c r="AG92" i="3" s="1"/>
  <c r="CI17" i="3" s="1" a="1"/>
  <c r="CI17" i="3" s="1"/>
  <c r="AF117" i="3"/>
  <c r="AZ115" i="15"/>
  <c r="AG117" i="3" s="1"/>
  <c r="CJ15" i="3" s="1" a="1"/>
  <c r="CJ15" i="3" s="1"/>
  <c r="AZ130" i="15"/>
  <c r="AG132" i="3" s="1"/>
  <c r="CK13" i="3" s="1" a="1"/>
  <c r="CK13" i="3" s="1"/>
  <c r="AF132" i="3"/>
  <c r="AF69" i="3"/>
  <c r="AZ67" i="15"/>
  <c r="AG69" i="3" s="1"/>
  <c r="CG18" i="3" s="1" a="1"/>
  <c r="CG18" i="3" s="1"/>
  <c r="AF157" i="3"/>
  <c r="AF120" i="3"/>
  <c r="AZ164" i="15"/>
  <c r="AG166" i="3" s="1"/>
  <c r="AF166" i="3"/>
  <c r="AZ198" i="15"/>
  <c r="AG200" i="3" s="1"/>
  <c r="AF200" i="3"/>
  <c r="AF204" i="3"/>
  <c r="AZ202" i="15"/>
  <c r="AG204" i="3" s="1"/>
  <c r="CO17" i="3" s="1" a="1"/>
  <c r="CO17" i="3" s="1"/>
  <c r="AZ66" i="15"/>
  <c r="AG68" i="3" s="1"/>
  <c r="AF68" i="3"/>
  <c r="AZ200" i="15"/>
  <c r="AG202" i="3" s="1"/>
  <c r="CO15" i="3" s="1" a="1"/>
  <c r="CO15" i="3" s="1"/>
  <c r="AF202" i="3"/>
  <c r="AZ196" i="15"/>
  <c r="AG198" i="3" s="1"/>
  <c r="CO11" i="3" s="1" a="1"/>
  <c r="CO11" i="3" s="1"/>
  <c r="AF198" i="3"/>
  <c r="AZ114" i="15"/>
  <c r="AG116" i="3" s="1"/>
  <c r="CJ14" i="3" s="1" a="1"/>
  <c r="CJ14" i="3" s="1"/>
  <c r="AF116" i="3"/>
  <c r="AF162" i="3"/>
  <c r="AZ160" i="15"/>
  <c r="AG162" i="3" s="1"/>
  <c r="CM9" i="3" s="1" a="1"/>
  <c r="CM9" i="3" s="1"/>
  <c r="AF91" i="3"/>
  <c r="AZ89" i="15"/>
  <c r="AG91" i="3" s="1"/>
  <c r="CI16" i="3" s="1" a="1"/>
  <c r="CI16" i="3" s="1"/>
  <c r="AZ47" i="15"/>
  <c r="AG49" i="3" s="1"/>
  <c r="CF15" i="3" s="1" a="1"/>
  <c r="CF15" i="3" s="1"/>
  <c r="AF49" i="3"/>
  <c r="AZ190" i="15"/>
  <c r="AG192" i="3" s="1"/>
  <c r="AF192" i="3"/>
  <c r="AZ55" i="15"/>
  <c r="AG57" i="3" s="1"/>
  <c r="CG12" i="3" s="1" a="1"/>
  <c r="CG12" i="3" s="1"/>
  <c r="AF57" i="3"/>
  <c r="AF133" i="3"/>
  <c r="AZ131" i="15"/>
  <c r="AG133" i="3" s="1"/>
  <c r="CK14" i="3" s="1" a="1"/>
  <c r="CK14" i="3" s="1"/>
  <c r="AF167" i="3"/>
  <c r="AZ165" i="15"/>
  <c r="AG167" i="3" s="1"/>
  <c r="AZ120" i="15"/>
  <c r="AG122" i="3" s="1"/>
  <c r="CK17" i="3" s="1" a="1"/>
  <c r="CK17" i="3" s="1"/>
  <c r="AF122" i="3"/>
  <c r="AF127" i="3"/>
  <c r="AF12" i="3"/>
  <c r="AF188" i="3"/>
  <c r="AZ156" i="15"/>
  <c r="AG158" i="3" s="1"/>
  <c r="AF121" i="3"/>
  <c r="AF187" i="3"/>
  <c r="AZ185" i="15"/>
  <c r="AG187" i="3" s="1"/>
  <c r="AZ148" i="15"/>
  <c r="AG150" i="3" s="1"/>
  <c r="CM15" i="3" s="1" a="1"/>
  <c r="CM15" i="3" s="1"/>
  <c r="AF150" i="3"/>
  <c r="AZ11" i="15"/>
  <c r="AG13" i="3" s="1"/>
  <c r="CD13" i="3" s="1" a="1"/>
  <c r="CD13" i="3" s="1"/>
  <c r="AF13" i="3"/>
  <c r="AZ29" i="15"/>
  <c r="AG31" i="3" s="1"/>
  <c r="CE14" i="3" s="1" a="1"/>
  <c r="CE14" i="3" s="1"/>
  <c r="AF31" i="3"/>
  <c r="AZ20" i="15"/>
  <c r="AG22" i="3" s="1"/>
  <c r="AF22" i="3"/>
  <c r="AF147" i="3"/>
  <c r="AZ145" i="15"/>
  <c r="AG147" i="3" s="1"/>
  <c r="CL11" i="3" s="1" a="1"/>
  <c r="CL11" i="3" s="1"/>
  <c r="AF52" i="3"/>
  <c r="AZ50" i="15"/>
  <c r="AG52" i="3" s="1"/>
  <c r="CF18" i="3" s="1" a="1"/>
  <c r="CF18" i="3" s="1"/>
  <c r="AZ176" i="15"/>
  <c r="AG178" i="3" s="1"/>
  <c r="CN8" i="3" s="1" a="1"/>
  <c r="CN8" i="3" s="1"/>
  <c r="AF178" i="3"/>
  <c r="AZ72" i="15"/>
  <c r="AG74" i="3" s="1"/>
  <c r="AF74" i="3"/>
  <c r="AF82" i="3"/>
  <c r="AZ80" i="15"/>
  <c r="AG82" i="3" s="1"/>
  <c r="AZ51" i="15"/>
  <c r="AG53" i="3" s="1"/>
  <c r="AF53" i="3"/>
  <c r="AF10" i="3"/>
  <c r="AZ8" i="15"/>
  <c r="AG10" i="3" s="1"/>
  <c r="CD10" i="3" s="1" a="1"/>
  <c r="CD10" i="3" s="1"/>
  <c r="AF125" i="3"/>
  <c r="AZ123" i="15"/>
  <c r="AG125" i="3" s="1"/>
  <c r="CK20" i="3" s="1" a="1"/>
  <c r="CK20" i="3" s="1"/>
  <c r="AZ149" i="15"/>
  <c r="AG151" i="3" s="1"/>
  <c r="AF151" i="3"/>
  <c r="AF42" i="3"/>
  <c r="AZ40" i="15"/>
  <c r="AG42" i="3" s="1"/>
  <c r="CF8" i="3" s="1" a="1"/>
  <c r="CF8" i="3" s="1"/>
  <c r="AF139" i="3"/>
  <c r="AZ137" i="15"/>
  <c r="AG139" i="3" s="1"/>
  <c r="CL19" i="3" s="1" a="1"/>
  <c r="CL19" i="3" s="1"/>
  <c r="AF84" i="3"/>
  <c r="AZ82" i="15"/>
  <c r="AG84" i="3" s="1"/>
  <c r="AZ122" i="15"/>
  <c r="AG124" i="3" s="1"/>
  <c r="CK19" i="3" s="1" a="1"/>
  <c r="CK19" i="3" s="1"/>
  <c r="AF124" i="3"/>
  <c r="AF130" i="3"/>
  <c r="AZ128" i="15"/>
  <c r="AG130" i="3" s="1"/>
  <c r="CL10" i="3" s="1" a="1"/>
  <c r="CL10" i="3" s="1"/>
  <c r="AZ106" i="15"/>
  <c r="AG108" i="3" s="1"/>
  <c r="CJ18" i="3" s="1" a="1"/>
  <c r="CJ18" i="3" s="1"/>
  <c r="AF108" i="3"/>
  <c r="AF161" i="3"/>
  <c r="AZ159" i="15"/>
  <c r="AG161" i="3" s="1"/>
  <c r="CM8" i="3" s="1" a="1"/>
  <c r="CM8" i="3" s="1"/>
  <c r="AZ171" i="15"/>
  <c r="AG173" i="3" s="1"/>
  <c r="CO8" i="3" s="1" a="1"/>
  <c r="CO8" i="3" s="1"/>
  <c r="AF173" i="3"/>
  <c r="AZ62" i="15"/>
  <c r="AG64" i="3" s="1"/>
  <c r="AF64" i="3"/>
  <c r="AZ133" i="15"/>
  <c r="AG135" i="3" s="1"/>
  <c r="CK16" i="3" s="1" a="1"/>
  <c r="CK16" i="3" s="1"/>
  <c r="AZ6" i="15"/>
  <c r="AG8" i="3" s="1"/>
  <c r="CD8" i="3" s="1" a="1"/>
  <c r="CD8" i="3" s="1"/>
  <c r="AZ177" i="15"/>
  <c r="AG179" i="3" s="1"/>
  <c r="CN9" i="3" s="1" a="1"/>
  <c r="CN9" i="3" s="1"/>
  <c r="AZ84" i="15"/>
  <c r="AG86" i="3" s="1"/>
  <c r="CH18" i="3" s="1" a="1"/>
  <c r="CH18" i="3" s="1"/>
  <c r="AZ60" i="15"/>
  <c r="AG62" i="3" s="1"/>
  <c r="AZ73" i="15"/>
  <c r="AG75" i="3" s="1"/>
  <c r="CH15" i="3" s="1" a="1"/>
  <c r="CH15" i="3" s="1"/>
  <c r="AF75" i="3"/>
  <c r="AF170" i="3"/>
  <c r="AZ168" i="15"/>
  <c r="AG170" i="3" s="1"/>
  <c r="CN20" i="3" s="1" a="1"/>
  <c r="CN20" i="3" s="1"/>
  <c r="AF20" i="3"/>
  <c r="AZ18" i="15"/>
  <c r="AG20" i="3" s="1"/>
  <c r="CD20" i="3" s="1" a="1"/>
  <c r="CD20" i="3" s="1"/>
  <c r="AZ44" i="15"/>
  <c r="AG46" i="3" s="1"/>
  <c r="AF46" i="3"/>
  <c r="AZ132" i="15"/>
  <c r="AG134" i="3" s="1"/>
  <c r="CK15" i="3" s="1" a="1"/>
  <c r="CK15" i="3" s="1"/>
  <c r="AF134" i="3"/>
  <c r="AZ83" i="15"/>
  <c r="AG85" i="3" s="1"/>
  <c r="CH17" i="3" s="1" a="1"/>
  <c r="CH17" i="3" s="1"/>
  <c r="AF85" i="3"/>
  <c r="AZ74" i="15"/>
  <c r="AG76" i="3" s="1"/>
  <c r="AF76" i="3"/>
  <c r="AZ78" i="15"/>
  <c r="AG80" i="3" s="1"/>
  <c r="CH12" i="3" s="1" a="1"/>
  <c r="CH12" i="3" s="1"/>
  <c r="AF80" i="3"/>
  <c r="AZ194" i="15"/>
  <c r="AG196" i="3" s="1"/>
  <c r="CO9" i="3" s="1" a="1"/>
  <c r="CO9" i="3" s="1"/>
  <c r="AF196" i="3"/>
  <c r="AZ140" i="15"/>
  <c r="AG142" i="3" s="1"/>
  <c r="AF142" i="3"/>
  <c r="AZ150" i="15"/>
  <c r="AG152" i="3" s="1"/>
  <c r="CL16" i="3" s="1" a="1"/>
  <c r="CL16" i="3" s="1"/>
  <c r="AF152" i="3"/>
  <c r="CN14" i="3" a="1"/>
  <c r="CN14" i="3" s="1"/>
  <c r="CL8" i="3" a="1"/>
  <c r="CL8" i="3" s="1"/>
  <c r="CG14" i="3" a="1"/>
  <c r="CG14" i="3" s="1"/>
  <c r="CD18" i="3" a="1"/>
  <c r="CD18" i="3" s="1"/>
  <c r="CK18" i="3" a="1"/>
  <c r="CK18" i="3" s="1"/>
  <c r="CD16" i="3" a="1"/>
  <c r="CD16" i="3" s="1"/>
  <c r="CD17" i="3" a="1"/>
  <c r="CD17" i="3" s="1"/>
  <c r="CJ17" i="3" a="1"/>
  <c r="CJ17" i="3" s="1"/>
  <c r="CR8" i="3" a="1"/>
  <c r="CR8" i="3" s="1"/>
  <c r="CR12" i="3" a="1"/>
  <c r="CR12" i="3" s="1"/>
  <c r="CR9" i="3" a="1"/>
  <c r="CR9" i="3" s="1"/>
  <c r="CR17" i="3" a="1"/>
  <c r="CR17" i="3" s="1"/>
  <c r="CS7" i="3"/>
  <c r="CR19" i="3" a="1"/>
  <c r="CR19" i="3" s="1"/>
  <c r="CR11" i="3" a="1"/>
  <c r="CR11" i="3" s="1"/>
  <c r="CR16" i="3" a="1"/>
  <c r="CR16" i="3" s="1"/>
  <c r="CR15" i="3" a="1"/>
  <c r="CR15" i="3" s="1"/>
  <c r="CR18" i="3" a="1"/>
  <c r="CR18" i="3" s="1"/>
  <c r="CR13" i="3" a="1"/>
  <c r="CR13" i="3" s="1"/>
  <c r="CR10" i="3" a="1"/>
  <c r="CR10" i="3" s="1"/>
  <c r="CR20" i="3" a="1"/>
  <c r="CR20" i="3" s="1"/>
  <c r="CR14" i="3" a="1"/>
  <c r="CR14" i="3" s="1"/>
  <c r="CC21" i="3"/>
  <c r="CE20" i="3" a="1"/>
  <c r="CE20" i="3" s="1"/>
  <c r="CF20" i="3" a="1"/>
  <c r="CF20" i="3" s="1"/>
  <c r="CG20" i="3" a="1"/>
  <c r="CG20" i="3" s="1"/>
  <c r="CI20" i="3" a="1"/>
  <c r="CI20" i="3" s="1"/>
  <c r="CJ20" i="3" a="1"/>
  <c r="CJ20" i="3" s="1"/>
  <c r="CL20" i="3" a="1"/>
  <c r="CL20" i="3" s="1"/>
  <c r="CM20" i="3" a="1"/>
  <c r="CM20" i="3" s="1"/>
  <c r="CO20" i="3" a="1"/>
  <c r="CO20" i="3" s="1"/>
  <c r="CP20" i="3" a="1"/>
  <c r="CP20" i="3" s="1"/>
  <c r="CL9" i="3" l="1" a="1"/>
  <c r="CL9" i="3" s="1"/>
  <c r="CF12" i="3" a="1"/>
  <c r="CF12" i="3" s="1"/>
  <c r="CH13" i="3" a="1"/>
  <c r="CH13" i="3" s="1"/>
  <c r="CG11" i="3" a="1"/>
  <c r="CG11" i="3" s="1"/>
  <c r="CN17" i="3" a="1"/>
  <c r="CN17" i="3" s="1"/>
  <c r="CM13" i="3" a="1"/>
  <c r="CM13" i="3" s="1"/>
  <c r="CH16" i="3" a="1"/>
  <c r="CH16" i="3" s="1"/>
  <c r="CL12" i="3" a="1"/>
  <c r="CL12" i="3" s="1"/>
  <c r="CM17" i="3" a="1"/>
  <c r="CM17" i="3" s="1"/>
  <c r="CH14" i="3" a="1"/>
  <c r="CH14" i="3" s="1"/>
  <c r="CL13" i="3" a="1"/>
  <c r="CL13" i="3" s="1"/>
  <c r="CL15" i="3" a="1"/>
  <c r="CL15" i="3" s="1"/>
  <c r="CK11" i="3" a="1"/>
  <c r="CK11" i="3" s="1"/>
  <c r="CO14" i="3" a="1"/>
  <c r="CO14" i="3" s="1"/>
  <c r="CJ13" i="3" a="1"/>
  <c r="CJ13" i="3" s="1"/>
  <c r="CK9" i="3" a="1"/>
  <c r="CK9" i="3" s="1"/>
  <c r="CN12" i="3" a="1"/>
  <c r="CN12" i="3" s="1"/>
  <c r="CL14" i="3" a="1"/>
  <c r="CL14" i="3" s="1"/>
  <c r="CM12" i="3" a="1"/>
  <c r="CM12" i="3" s="1"/>
  <c r="CM16" i="3" a="1"/>
  <c r="CM16" i="3" s="1"/>
  <c r="CM14" i="3" a="1"/>
  <c r="CM14" i="3" s="1"/>
  <c r="CN16" i="3" a="1"/>
  <c r="CN16" i="3" s="1"/>
  <c r="CK12" i="3" a="1"/>
  <c r="CK12" i="3" s="1"/>
  <c r="CO13" i="3" a="1"/>
  <c r="CO13" i="3" s="1"/>
  <c r="CN11" i="3" a="1"/>
  <c r="CN11" i="3" s="1"/>
  <c r="CE16" i="3" a="1"/>
  <c r="CE16" i="3" s="1"/>
  <c r="CG13" i="3" a="1"/>
  <c r="CG13" i="3" s="1"/>
  <c r="CG19" i="3" a="1"/>
  <c r="CG19" i="3" s="1"/>
  <c r="CF19" i="3" a="1"/>
  <c r="CF19" i="3" s="1"/>
  <c r="CF16" i="3" a="1"/>
  <c r="CF16" i="3" s="1"/>
  <c r="CH9" i="3" a="1"/>
  <c r="CH9" i="3" s="1"/>
  <c r="CG17" i="3" a="1"/>
  <c r="CG17" i="3" s="1"/>
  <c r="CI10" i="3" a="1"/>
  <c r="CI10" i="3" s="1"/>
  <c r="CI15" i="3" a="1"/>
  <c r="CI15" i="3" s="1"/>
  <c r="CI11" i="3" a="1"/>
  <c r="CI11" i="3" s="1"/>
  <c r="CH8" i="3" a="1"/>
  <c r="CH8" i="3" s="1"/>
  <c r="CG10" i="3" a="1"/>
  <c r="CG10" i="3" s="1"/>
  <c r="CG8" i="3" a="1"/>
  <c r="CG8" i="3" s="1"/>
  <c r="CF10" i="3" a="1"/>
  <c r="CF10" i="3" s="1"/>
  <c r="CI9" i="3" a="1"/>
  <c r="CI9" i="3" s="1"/>
  <c r="CH20" i="3" a="1"/>
  <c r="CH20" i="3" s="1"/>
  <c r="CG16" i="3" a="1"/>
  <c r="CG16" i="3" s="1"/>
  <c r="CC22" i="3"/>
  <c r="CS22" i="3" s="1" a="1"/>
  <c r="CS22" i="3" s="1"/>
  <c r="CD21" i="3" a="1"/>
  <c r="CD21" i="3" s="1"/>
  <c r="CE21" i="3" a="1"/>
  <c r="CE21" i="3" s="1"/>
  <c r="CF21" i="3" a="1"/>
  <c r="CF21" i="3" s="1"/>
  <c r="CG21" i="3" a="1"/>
  <c r="CG21" i="3" s="1"/>
  <c r="CH21" i="3" a="1"/>
  <c r="CH21" i="3" s="1"/>
  <c r="CI21" i="3" a="1"/>
  <c r="CI21" i="3" s="1"/>
  <c r="CJ21" i="3" a="1"/>
  <c r="CJ21" i="3" s="1"/>
  <c r="CK21" i="3" a="1"/>
  <c r="CK21" i="3" s="1"/>
  <c r="CL21" i="3" a="1"/>
  <c r="CL21" i="3" s="1"/>
  <c r="CM21" i="3" a="1"/>
  <c r="CM21" i="3" s="1"/>
  <c r="CN21" i="3" a="1"/>
  <c r="CN21" i="3" s="1"/>
  <c r="CO21" i="3" a="1"/>
  <c r="CO21" i="3" s="1"/>
  <c r="CP21" i="3" a="1"/>
  <c r="CP21" i="3" s="1"/>
  <c r="CQ21" i="3" a="1"/>
  <c r="CQ21" i="3" s="1"/>
  <c r="CR21" i="3" a="1"/>
  <c r="CR21" i="3" s="1"/>
  <c r="CS11" i="3" a="1"/>
  <c r="CS11" i="3" s="1"/>
  <c r="CS12" i="3" a="1"/>
  <c r="CS12" i="3" s="1"/>
  <c r="CT7" i="3"/>
  <c r="CS10" i="3" a="1"/>
  <c r="CS10" i="3" s="1"/>
  <c r="CS8" i="3" a="1"/>
  <c r="CS8" i="3" s="1"/>
  <c r="CS14" i="3" a="1"/>
  <c r="CS14" i="3" s="1"/>
  <c r="CS15" i="3" a="1"/>
  <c r="CS15" i="3" s="1"/>
  <c r="CS19" i="3" a="1"/>
  <c r="CS19" i="3" s="1"/>
  <c r="CS21" i="3" a="1"/>
  <c r="CS21" i="3" s="1"/>
  <c r="CS20" i="3" a="1"/>
  <c r="CS20" i="3" s="1"/>
  <c r="CS9" i="3" a="1"/>
  <c r="CS9" i="3" s="1"/>
  <c r="CS16" i="3" a="1"/>
  <c r="CS16" i="3" s="1"/>
  <c r="CS13" i="3" a="1"/>
  <c r="CS13" i="3" s="1"/>
  <c r="CS18" i="3" a="1"/>
  <c r="CS18" i="3" s="1"/>
  <c r="CS17" i="3" a="1"/>
  <c r="CS17" i="3" s="1"/>
  <c r="CT9" i="3" l="1" a="1"/>
  <c r="CT9" i="3" s="1"/>
  <c r="CT10" i="3" a="1"/>
  <c r="CT10" i="3" s="1"/>
  <c r="CT8" i="3" a="1"/>
  <c r="CT8" i="3" s="1"/>
  <c r="CU7" i="3"/>
  <c r="CT11" i="3" a="1"/>
  <c r="CT11" i="3" s="1"/>
  <c r="CT18" i="3" a="1"/>
  <c r="CT18" i="3" s="1"/>
  <c r="CT15" i="3" a="1"/>
  <c r="CT15" i="3" s="1"/>
  <c r="CT22" i="3" a="1"/>
  <c r="CT22" i="3" s="1"/>
  <c r="CT13" i="3" a="1"/>
  <c r="CT13" i="3" s="1"/>
  <c r="CT12" i="3" a="1"/>
  <c r="CT12" i="3" s="1"/>
  <c r="CT17" i="3" a="1"/>
  <c r="CT17" i="3" s="1"/>
  <c r="CT16" i="3" a="1"/>
  <c r="CT16" i="3" s="1"/>
  <c r="CT20" i="3" a="1"/>
  <c r="CT20" i="3" s="1"/>
  <c r="CT21" i="3" a="1"/>
  <c r="CT21" i="3" s="1"/>
  <c r="CT19" i="3" a="1"/>
  <c r="CT19" i="3" s="1"/>
  <c r="CT14" i="3" a="1"/>
  <c r="CT14" i="3" s="1"/>
  <c r="CC23" i="3"/>
  <c r="CT23" i="3" s="1" a="1"/>
  <c r="CT23" i="3" s="1"/>
  <c r="CD22" i="3" a="1"/>
  <c r="CD22" i="3" s="1"/>
  <c r="CE22" i="3" a="1"/>
  <c r="CE22" i="3" s="1"/>
  <c r="CF22" i="3" a="1"/>
  <c r="CF22" i="3" s="1"/>
  <c r="CG22" i="3" a="1"/>
  <c r="CG22" i="3" s="1"/>
  <c r="CH22" i="3" a="1"/>
  <c r="CH22" i="3" s="1"/>
  <c r="CI22" i="3" a="1"/>
  <c r="CI22" i="3" s="1"/>
  <c r="CJ22" i="3" a="1"/>
  <c r="CJ22" i="3" s="1"/>
  <c r="CK22" i="3" a="1"/>
  <c r="CK22" i="3" s="1"/>
  <c r="CL22" i="3" a="1"/>
  <c r="CL22" i="3" s="1"/>
  <c r="CM22" i="3" a="1"/>
  <c r="CM22" i="3" s="1"/>
  <c r="CN22" i="3" a="1"/>
  <c r="CN22" i="3" s="1"/>
  <c r="CO22" i="3" a="1"/>
  <c r="CO22" i="3" s="1"/>
  <c r="CP22" i="3" a="1"/>
  <c r="CP22" i="3" s="1"/>
  <c r="CQ22" i="3" a="1"/>
  <c r="CQ22" i="3" s="1"/>
  <c r="CR22" i="3" a="1"/>
  <c r="CR22" i="3" s="1"/>
  <c r="CC24" i="3" l="1"/>
  <c r="CD23" i="3" a="1"/>
  <c r="CD23" i="3" s="1"/>
  <c r="CE23" i="3" a="1"/>
  <c r="CE23" i="3" s="1"/>
  <c r="CF23" i="3" a="1"/>
  <c r="CF23" i="3" s="1"/>
  <c r="CG23" i="3" a="1"/>
  <c r="CG23" i="3" s="1"/>
  <c r="CH23" i="3" a="1"/>
  <c r="CH23" i="3" s="1"/>
  <c r="CI23" i="3" a="1"/>
  <c r="CI23" i="3" s="1"/>
  <c r="CJ23" i="3" a="1"/>
  <c r="CJ23" i="3" s="1"/>
  <c r="CK23" i="3" a="1"/>
  <c r="CK23" i="3" s="1"/>
  <c r="CL23" i="3" a="1"/>
  <c r="CL23" i="3" s="1"/>
  <c r="CM23" i="3" a="1"/>
  <c r="CM23" i="3" s="1"/>
  <c r="CN23" i="3" a="1"/>
  <c r="CN23" i="3" s="1"/>
  <c r="CO23" i="3" a="1"/>
  <c r="CO23" i="3" s="1"/>
  <c r="CP23" i="3" a="1"/>
  <c r="CP23" i="3" s="1"/>
  <c r="CQ23" i="3" a="1"/>
  <c r="CQ23" i="3" s="1"/>
  <c r="CR23" i="3" a="1"/>
  <c r="CR23" i="3" s="1"/>
  <c r="CS23" i="3" a="1"/>
  <c r="CS23" i="3" s="1"/>
  <c r="CU11" i="3" a="1"/>
  <c r="CU11" i="3" s="1"/>
  <c r="CU8" i="3" a="1"/>
  <c r="CU8" i="3" s="1"/>
  <c r="CU10" i="3" a="1"/>
  <c r="CU10" i="3" s="1"/>
  <c r="CV7" i="3"/>
  <c r="CU9" i="3" a="1"/>
  <c r="CU9" i="3" s="1"/>
  <c r="CU15" i="3" a="1"/>
  <c r="CU15" i="3" s="1"/>
  <c r="CU22" i="3" a="1"/>
  <c r="CU22" i="3" s="1"/>
  <c r="CU13" i="3" a="1"/>
  <c r="CU13" i="3" s="1"/>
  <c r="CU12" i="3" a="1"/>
  <c r="CU12" i="3" s="1"/>
  <c r="CU18" i="3" a="1"/>
  <c r="CU18" i="3" s="1"/>
  <c r="CU17" i="3" a="1"/>
  <c r="CU17" i="3" s="1"/>
  <c r="CU14" i="3" a="1"/>
  <c r="CU14" i="3" s="1"/>
  <c r="CU23" i="3" a="1"/>
  <c r="CU23" i="3" s="1"/>
  <c r="CU24" i="3" a="1"/>
  <c r="CU24" i="3" s="1"/>
  <c r="CU16" i="3" a="1"/>
  <c r="CU16" i="3" s="1"/>
  <c r="CU19" i="3" a="1"/>
  <c r="CU19" i="3" s="1"/>
  <c r="CU20" i="3" a="1"/>
  <c r="CU20" i="3" s="1"/>
  <c r="CU21" i="3" a="1"/>
  <c r="CU21" i="3" s="1"/>
  <c r="CV9" i="3" l="1" a="1"/>
  <c r="CV9" i="3" s="1"/>
  <c r="CV8" i="3" a="1"/>
  <c r="CV8" i="3" s="1"/>
  <c r="CV12" i="3" a="1"/>
  <c r="CV12" i="3" s="1"/>
  <c r="CV11" i="3" a="1"/>
  <c r="CV11" i="3" s="1"/>
  <c r="CV22" i="3" a="1"/>
  <c r="CV22" i="3" s="1"/>
  <c r="CV13" i="3" a="1"/>
  <c r="CV13" i="3" s="1"/>
  <c r="CV19" i="3" a="1"/>
  <c r="CV19" i="3" s="1"/>
  <c r="CV17" i="3" a="1"/>
  <c r="CV17" i="3" s="1"/>
  <c r="CV21" i="3" a="1"/>
  <c r="CV21" i="3" s="1"/>
  <c r="CV16" i="3" a="1"/>
  <c r="CV16" i="3" s="1"/>
  <c r="CV14" i="3" a="1"/>
  <c r="CV14" i="3" s="1"/>
  <c r="CV20" i="3" a="1"/>
  <c r="CV20" i="3" s="1"/>
  <c r="CV23" i="3" a="1"/>
  <c r="CV23" i="3" s="1"/>
  <c r="CV10" i="3" a="1"/>
  <c r="CV10" i="3" s="1"/>
  <c r="CV24" i="3" a="1"/>
  <c r="CV24" i="3" s="1"/>
  <c r="CW7" i="3"/>
  <c r="CV18" i="3" a="1"/>
  <c r="CV18" i="3" s="1"/>
  <c r="CV15" i="3" a="1"/>
  <c r="CV15" i="3" s="1"/>
  <c r="CC25" i="3"/>
  <c r="CD24" i="3" a="1"/>
  <c r="CD24" i="3" s="1"/>
  <c r="CE24" i="3" a="1"/>
  <c r="CE24" i="3" s="1"/>
  <c r="CF24" i="3" a="1"/>
  <c r="CF24" i="3" s="1"/>
  <c r="CG24" i="3" a="1"/>
  <c r="CG24" i="3" s="1"/>
  <c r="CH24" i="3" a="1"/>
  <c r="CH24" i="3" s="1"/>
  <c r="CI24" i="3" a="1"/>
  <c r="CI24" i="3" s="1"/>
  <c r="CJ24" i="3" a="1"/>
  <c r="CJ24" i="3" s="1"/>
  <c r="CK24" i="3" a="1"/>
  <c r="CK24" i="3" s="1"/>
  <c r="CL24" i="3" a="1"/>
  <c r="CL24" i="3" s="1"/>
  <c r="CM24" i="3" a="1"/>
  <c r="CM24" i="3" s="1"/>
  <c r="CN24" i="3" a="1"/>
  <c r="CN24" i="3" s="1"/>
  <c r="CO24" i="3" a="1"/>
  <c r="CO24" i="3" s="1"/>
  <c r="CP24" i="3" a="1"/>
  <c r="CP24" i="3" s="1"/>
  <c r="CQ24" i="3" a="1"/>
  <c r="CQ24" i="3" s="1"/>
  <c r="CR24" i="3" a="1"/>
  <c r="CR24" i="3" s="1"/>
  <c r="CS24" i="3" a="1"/>
  <c r="CS24" i="3" s="1"/>
  <c r="CT24" i="3" a="1"/>
  <c r="CT24" i="3" s="1"/>
  <c r="CC26" i="3" l="1"/>
  <c r="CD25" i="3" a="1"/>
  <c r="CD25" i="3" s="1"/>
  <c r="CE25" i="3" a="1"/>
  <c r="CE25" i="3" s="1"/>
  <c r="CF25" i="3" a="1"/>
  <c r="CF25" i="3" s="1"/>
  <c r="CG25" i="3" a="1"/>
  <c r="CG25" i="3" s="1"/>
  <c r="CH25" i="3" a="1"/>
  <c r="CH25" i="3" s="1"/>
  <c r="CI25" i="3" a="1"/>
  <c r="CI25" i="3" s="1"/>
  <c r="CJ25" i="3" a="1"/>
  <c r="CJ25" i="3" s="1"/>
  <c r="CK25" i="3" a="1"/>
  <c r="CK25" i="3" s="1"/>
  <c r="CL25" i="3" a="1"/>
  <c r="CL25" i="3" s="1"/>
  <c r="CM25" i="3" a="1"/>
  <c r="CM25" i="3" s="1"/>
  <c r="CN25" i="3" a="1"/>
  <c r="CN25" i="3" s="1"/>
  <c r="CO25" i="3" a="1"/>
  <c r="CO25" i="3" s="1"/>
  <c r="CP25" i="3" a="1"/>
  <c r="CP25" i="3" s="1"/>
  <c r="CQ25" i="3" a="1"/>
  <c r="CQ25" i="3" s="1"/>
  <c r="CR25" i="3" a="1"/>
  <c r="CR25" i="3" s="1"/>
  <c r="CS25" i="3" a="1"/>
  <c r="CS25" i="3" s="1"/>
  <c r="CT25" i="3" a="1"/>
  <c r="CT25" i="3" s="1"/>
  <c r="CU25" i="3" a="1"/>
  <c r="CU25" i="3" s="1"/>
  <c r="CW12" i="3" a="1"/>
  <c r="CW12" i="3" s="1"/>
  <c r="CX7" i="3"/>
  <c r="CW11" i="3" a="1"/>
  <c r="CW11" i="3" s="1"/>
  <c r="CW9" i="3" a="1"/>
  <c r="CW9" i="3" s="1"/>
  <c r="CW10" i="3" a="1"/>
  <c r="CW10" i="3" s="1"/>
  <c r="CW23" i="3" a="1"/>
  <c r="CW23" i="3" s="1"/>
  <c r="CW22" i="3" a="1"/>
  <c r="CW22" i="3" s="1"/>
  <c r="CW26" i="3" a="1"/>
  <c r="CW26" i="3" s="1"/>
  <c r="CW19" i="3" a="1"/>
  <c r="CW19" i="3" s="1"/>
  <c r="CW21" i="3" a="1"/>
  <c r="CW21" i="3" s="1"/>
  <c r="CW8" i="3" a="1"/>
  <c r="CW8" i="3" s="1"/>
  <c r="CW24" i="3" a="1"/>
  <c r="CW24" i="3" s="1"/>
  <c r="CW18" i="3" a="1"/>
  <c r="CW18" i="3" s="1"/>
  <c r="CW15" i="3" a="1"/>
  <c r="CW15" i="3" s="1"/>
  <c r="CW17" i="3" a="1"/>
  <c r="CW17" i="3" s="1"/>
  <c r="CW14" i="3" a="1"/>
  <c r="CW14" i="3" s="1"/>
  <c r="CW13" i="3" a="1"/>
  <c r="CW13" i="3" s="1"/>
  <c r="CW25" i="3" a="1"/>
  <c r="CW25" i="3" s="1"/>
  <c r="CW20" i="3" a="1"/>
  <c r="CW20" i="3" s="1"/>
  <c r="CW16" i="3" a="1"/>
  <c r="CW16" i="3" s="1"/>
  <c r="CV25" i="3" a="1"/>
  <c r="CV25" i="3" s="1"/>
  <c r="CX10" i="3" l="1" a="1"/>
  <c r="CX10" i="3" s="1"/>
  <c r="CX9" i="3" a="1"/>
  <c r="CX9" i="3" s="1"/>
  <c r="CX8" i="3" a="1"/>
  <c r="CX8" i="3" s="1"/>
  <c r="CY7" i="3"/>
  <c r="CX11" i="3" a="1"/>
  <c r="CX11" i="3" s="1"/>
  <c r="CX12" i="3" a="1"/>
  <c r="CX12" i="3" s="1"/>
  <c r="CX25" i="3" a="1"/>
  <c r="CX25" i="3" s="1"/>
  <c r="CX13" i="3" a="1"/>
  <c r="CX13" i="3" s="1"/>
  <c r="CX24" i="3" a="1"/>
  <c r="CX24" i="3" s="1"/>
  <c r="CX16" i="3" a="1"/>
  <c r="CX16" i="3" s="1"/>
  <c r="CX18" i="3" a="1"/>
  <c r="CX18" i="3" s="1"/>
  <c r="CX23" i="3" a="1"/>
  <c r="CX23" i="3" s="1"/>
  <c r="CX22" i="3" a="1"/>
  <c r="CX22" i="3" s="1"/>
  <c r="CX17" i="3" a="1"/>
  <c r="CX17" i="3" s="1"/>
  <c r="CX15" i="3" a="1"/>
  <c r="CX15" i="3" s="1"/>
  <c r="CX20" i="3" a="1"/>
  <c r="CX20" i="3" s="1"/>
  <c r="CX26" i="3" a="1"/>
  <c r="CX26" i="3" s="1"/>
  <c r="CX19" i="3" a="1"/>
  <c r="CX19" i="3" s="1"/>
  <c r="CX14" i="3" a="1"/>
  <c r="CX14" i="3" s="1"/>
  <c r="CX21" i="3" a="1"/>
  <c r="CX21" i="3" s="1"/>
  <c r="CC27" i="3"/>
  <c r="CX27" i="3" s="1" a="1"/>
  <c r="CX27" i="3" s="1"/>
  <c r="CD26" i="3" a="1"/>
  <c r="CD26" i="3" s="1"/>
  <c r="CE26" i="3" a="1"/>
  <c r="CE26" i="3" s="1"/>
  <c r="CF26" i="3" a="1"/>
  <c r="CF26" i="3" s="1"/>
  <c r="CG26" i="3" a="1"/>
  <c r="CG26" i="3" s="1"/>
  <c r="CH26" i="3" a="1"/>
  <c r="CH26" i="3" s="1"/>
  <c r="CI26" i="3" a="1"/>
  <c r="CI26" i="3" s="1"/>
  <c r="CJ26" i="3" a="1"/>
  <c r="CJ26" i="3" s="1"/>
  <c r="CK26" i="3" a="1"/>
  <c r="CK26" i="3" s="1"/>
  <c r="CL26" i="3" a="1"/>
  <c r="CL26" i="3" s="1"/>
  <c r="CM26" i="3" a="1"/>
  <c r="CM26" i="3" s="1"/>
  <c r="CN26" i="3" a="1"/>
  <c r="CN26" i="3" s="1"/>
  <c r="CO26" i="3" a="1"/>
  <c r="CO26" i="3" s="1"/>
  <c r="CP26" i="3" a="1"/>
  <c r="CP26" i="3" s="1"/>
  <c r="CQ26" i="3" a="1"/>
  <c r="CQ26" i="3" s="1"/>
  <c r="CR26" i="3" a="1"/>
  <c r="CR26" i="3" s="1"/>
  <c r="CS26" i="3" a="1"/>
  <c r="CS26" i="3" s="1"/>
  <c r="CT26" i="3" a="1"/>
  <c r="CT26" i="3" s="1"/>
  <c r="CU26" i="3" a="1"/>
  <c r="CU26" i="3" s="1"/>
  <c r="CV26" i="3" a="1"/>
  <c r="CV26" i="3" s="1"/>
  <c r="CY11" i="3" l="1" a="1"/>
  <c r="CY11" i="3" s="1"/>
  <c r="CY12" i="3" a="1"/>
  <c r="CY12" i="3" s="1"/>
  <c r="CY10" i="3" a="1"/>
  <c r="CY10" i="3" s="1"/>
  <c r="CZ7" i="3"/>
  <c r="CY27" i="3" a="1"/>
  <c r="CY27" i="3" s="1"/>
  <c r="CY8" i="3" a="1"/>
  <c r="CY8" i="3" s="1"/>
  <c r="CY14" i="3" a="1"/>
  <c r="CY14" i="3" s="1"/>
  <c r="CY26" i="3" a="1"/>
  <c r="CY26" i="3" s="1"/>
  <c r="CY17" i="3" a="1"/>
  <c r="CY17" i="3" s="1"/>
  <c r="CY23" i="3" a="1"/>
  <c r="CY23" i="3" s="1"/>
  <c r="CY24" i="3" a="1"/>
  <c r="CY24" i="3" s="1"/>
  <c r="CY15" i="3" a="1"/>
  <c r="CY15" i="3" s="1"/>
  <c r="CY21" i="3" a="1"/>
  <c r="CY21" i="3" s="1"/>
  <c r="CY25" i="3" a="1"/>
  <c r="CY25" i="3" s="1"/>
  <c r="CY20" i="3" a="1"/>
  <c r="CY20" i="3" s="1"/>
  <c r="CY9" i="3" a="1"/>
  <c r="CY9" i="3" s="1"/>
  <c r="CY16" i="3" a="1"/>
  <c r="CY16" i="3" s="1"/>
  <c r="CY19" i="3" a="1"/>
  <c r="CY19" i="3" s="1"/>
  <c r="CY18" i="3" a="1"/>
  <c r="CY18" i="3" s="1"/>
  <c r="CY22" i="3" a="1"/>
  <c r="CY22" i="3" s="1"/>
  <c r="CY13" i="3" a="1"/>
  <c r="CY13" i="3" s="1"/>
  <c r="CC28" i="3"/>
  <c r="CD27" i="3" a="1"/>
  <c r="CD27" i="3" s="1"/>
  <c r="CE27" i="3" a="1"/>
  <c r="CE27" i="3" s="1"/>
  <c r="CF27" i="3" a="1"/>
  <c r="CF27" i="3" s="1"/>
  <c r="CG27" i="3" a="1"/>
  <c r="CG27" i="3" s="1"/>
  <c r="CH27" i="3" a="1"/>
  <c r="CH27" i="3" s="1"/>
  <c r="CI27" i="3" a="1"/>
  <c r="CI27" i="3" s="1"/>
  <c r="CJ27" i="3" a="1"/>
  <c r="CJ27" i="3" s="1"/>
  <c r="CK27" i="3" a="1"/>
  <c r="CK27" i="3" s="1"/>
  <c r="CL27" i="3" a="1"/>
  <c r="CL27" i="3" s="1"/>
  <c r="CM27" i="3" a="1"/>
  <c r="CM27" i="3" s="1"/>
  <c r="CN27" i="3" a="1"/>
  <c r="CN27" i="3" s="1"/>
  <c r="CO27" i="3" a="1"/>
  <c r="CO27" i="3" s="1"/>
  <c r="CP27" i="3" a="1"/>
  <c r="CP27" i="3" s="1"/>
  <c r="CQ27" i="3" a="1"/>
  <c r="CQ27" i="3" s="1"/>
  <c r="CR27" i="3" a="1"/>
  <c r="CR27" i="3" s="1"/>
  <c r="CS27" i="3" a="1"/>
  <c r="CS27" i="3" s="1"/>
  <c r="CT27" i="3" a="1"/>
  <c r="CT27" i="3" s="1"/>
  <c r="CU27" i="3" a="1"/>
  <c r="CU27" i="3" s="1"/>
  <c r="CV27" i="3" a="1"/>
  <c r="CV27" i="3" s="1"/>
  <c r="CW27" i="3" a="1"/>
  <c r="CW27" i="3" s="1"/>
  <c r="CC29" i="3" l="1"/>
  <c r="CD28" i="3" a="1"/>
  <c r="CD28" i="3" s="1"/>
  <c r="CE28" i="3" a="1"/>
  <c r="CE28" i="3" s="1"/>
  <c r="CF28" i="3" a="1"/>
  <c r="CF28" i="3" s="1"/>
  <c r="CG28" i="3" a="1"/>
  <c r="CG28" i="3" s="1"/>
  <c r="CH28" i="3" a="1"/>
  <c r="CH28" i="3" s="1"/>
  <c r="CI28" i="3" a="1"/>
  <c r="CI28" i="3" s="1"/>
  <c r="CJ28" i="3" a="1"/>
  <c r="CJ28" i="3" s="1"/>
  <c r="CK28" i="3" a="1"/>
  <c r="CK28" i="3" s="1"/>
  <c r="CL28" i="3" a="1"/>
  <c r="CL28" i="3" s="1"/>
  <c r="CM28" i="3" a="1"/>
  <c r="CM28" i="3" s="1"/>
  <c r="CN28" i="3" a="1"/>
  <c r="CN28" i="3" s="1"/>
  <c r="CO28" i="3" a="1"/>
  <c r="CO28" i="3" s="1"/>
  <c r="CP28" i="3" a="1"/>
  <c r="CP28" i="3" s="1"/>
  <c r="CQ28" i="3" a="1"/>
  <c r="CQ28" i="3" s="1"/>
  <c r="CR28" i="3" a="1"/>
  <c r="CR28" i="3" s="1"/>
  <c r="CS28" i="3" a="1"/>
  <c r="CS28" i="3" s="1"/>
  <c r="CT28" i="3" a="1"/>
  <c r="CT28" i="3" s="1"/>
  <c r="CU28" i="3" a="1"/>
  <c r="CU28" i="3" s="1"/>
  <c r="CV28" i="3" a="1"/>
  <c r="CV28" i="3" s="1"/>
  <c r="CW28" i="3" a="1"/>
  <c r="CW28" i="3" s="1"/>
  <c r="CX28" i="3" a="1"/>
  <c r="CX28" i="3" s="1"/>
  <c r="CZ9" i="3" a="1"/>
  <c r="CZ9" i="3" s="1"/>
  <c r="CZ8" i="3" a="1"/>
  <c r="CZ8" i="3" s="1"/>
  <c r="CZ10" i="3" a="1"/>
  <c r="CZ10" i="3" s="1"/>
  <c r="DA7" i="3"/>
  <c r="CZ21" i="3" a="1"/>
  <c r="CZ21" i="3" s="1"/>
  <c r="CZ11" i="3" a="1"/>
  <c r="CZ11" i="3" s="1"/>
  <c r="CZ24" i="3" a="1"/>
  <c r="CZ24" i="3" s="1"/>
  <c r="CZ23" i="3" a="1"/>
  <c r="CZ23" i="3" s="1"/>
  <c r="CZ25" i="3" a="1"/>
  <c r="CZ25" i="3" s="1"/>
  <c r="CZ27" i="3" a="1"/>
  <c r="CZ27" i="3" s="1"/>
  <c r="CZ15" i="3" a="1"/>
  <c r="CZ15" i="3" s="1"/>
  <c r="CZ19" i="3" a="1"/>
  <c r="CZ19" i="3" s="1"/>
  <c r="CZ17" i="3" a="1"/>
  <c r="CZ17" i="3" s="1"/>
  <c r="CZ13" i="3" a="1"/>
  <c r="CZ13" i="3" s="1"/>
  <c r="CZ20" i="3" a="1"/>
  <c r="CZ20" i="3" s="1"/>
  <c r="CZ12" i="3" a="1"/>
  <c r="CZ12" i="3" s="1"/>
  <c r="CZ29" i="3" a="1"/>
  <c r="CZ29" i="3" s="1"/>
  <c r="CZ26" i="3" a="1"/>
  <c r="CZ26" i="3" s="1"/>
  <c r="CZ16" i="3" a="1"/>
  <c r="CZ16" i="3" s="1"/>
  <c r="CZ18" i="3" a="1"/>
  <c r="CZ18" i="3" s="1"/>
  <c r="CZ28" i="3" a="1"/>
  <c r="CZ28" i="3" s="1"/>
  <c r="CZ14" i="3" a="1"/>
  <c r="CZ14" i="3" s="1"/>
  <c r="CZ22" i="3" a="1"/>
  <c r="CZ22" i="3" s="1"/>
  <c r="CY28" i="3" a="1"/>
  <c r="CY28" i="3" s="1"/>
  <c r="DA12" i="3" l="1" a="1"/>
  <c r="DA12" i="3" s="1"/>
  <c r="DB7" i="3"/>
  <c r="DA11" i="3" a="1"/>
  <c r="DA11" i="3" s="1"/>
  <c r="DA9" i="3" a="1"/>
  <c r="DA9" i="3" s="1"/>
  <c r="DA10" i="3" a="1"/>
  <c r="DA10" i="3" s="1"/>
  <c r="DA21" i="3" a="1"/>
  <c r="DA21" i="3" s="1"/>
  <c r="DA16" i="3" a="1"/>
  <c r="DA16" i="3" s="1"/>
  <c r="DA26" i="3" a="1"/>
  <c r="DA26" i="3" s="1"/>
  <c r="DA20" i="3" a="1"/>
  <c r="DA20" i="3" s="1"/>
  <c r="DA14" i="3" a="1"/>
  <c r="DA14" i="3" s="1"/>
  <c r="DA25" i="3" a="1"/>
  <c r="DA25" i="3" s="1"/>
  <c r="DA28" i="3" a="1"/>
  <c r="DA28" i="3" s="1"/>
  <c r="DA19" i="3" a="1"/>
  <c r="DA19" i="3" s="1"/>
  <c r="DA24" i="3" a="1"/>
  <c r="DA24" i="3" s="1"/>
  <c r="DA23" i="3" a="1"/>
  <c r="DA23" i="3" s="1"/>
  <c r="DA22" i="3" a="1"/>
  <c r="DA22" i="3" s="1"/>
  <c r="DA29" i="3" a="1"/>
  <c r="DA29" i="3" s="1"/>
  <c r="DA15" i="3" a="1"/>
  <c r="DA15" i="3" s="1"/>
  <c r="DA13" i="3" a="1"/>
  <c r="DA13" i="3" s="1"/>
  <c r="DA8" i="3" a="1"/>
  <c r="DA8" i="3" s="1"/>
  <c r="DA17" i="3" a="1"/>
  <c r="DA17" i="3" s="1"/>
  <c r="DA27" i="3" a="1"/>
  <c r="DA27" i="3" s="1"/>
  <c r="DA18" i="3" a="1"/>
  <c r="DA18" i="3" s="1"/>
  <c r="CC30" i="3"/>
  <c r="CD29" i="3" a="1"/>
  <c r="CD29" i="3" s="1"/>
  <c r="CE29" i="3" a="1"/>
  <c r="CE29" i="3" s="1"/>
  <c r="CF29" i="3" a="1"/>
  <c r="CF29" i="3" s="1"/>
  <c r="CG29" i="3" a="1"/>
  <c r="CG29" i="3" s="1"/>
  <c r="CH29" i="3" a="1"/>
  <c r="CH29" i="3" s="1"/>
  <c r="CI29" i="3" a="1"/>
  <c r="CI29" i="3" s="1"/>
  <c r="CJ29" i="3" a="1"/>
  <c r="CJ29" i="3" s="1"/>
  <c r="CK29" i="3" a="1"/>
  <c r="CK29" i="3" s="1"/>
  <c r="CL29" i="3" a="1"/>
  <c r="CL29" i="3" s="1"/>
  <c r="CM29" i="3" a="1"/>
  <c r="CM29" i="3" s="1"/>
  <c r="CN29" i="3" a="1"/>
  <c r="CN29" i="3" s="1"/>
  <c r="CO29" i="3" a="1"/>
  <c r="CO29" i="3" s="1"/>
  <c r="CP29" i="3" a="1"/>
  <c r="CP29" i="3" s="1"/>
  <c r="CQ29" i="3" a="1"/>
  <c r="CQ29" i="3" s="1"/>
  <c r="CR29" i="3" a="1"/>
  <c r="CR29" i="3" s="1"/>
  <c r="CS29" i="3" a="1"/>
  <c r="CS29" i="3" s="1"/>
  <c r="CT29" i="3" a="1"/>
  <c r="CT29" i="3" s="1"/>
  <c r="CU29" i="3" a="1"/>
  <c r="CU29" i="3" s="1"/>
  <c r="CV29" i="3" a="1"/>
  <c r="CV29" i="3" s="1"/>
  <c r="CW29" i="3" a="1"/>
  <c r="CW29" i="3" s="1"/>
  <c r="CX29" i="3" a="1"/>
  <c r="CX29" i="3" s="1"/>
  <c r="CY29" i="3" a="1"/>
  <c r="CY29" i="3" s="1"/>
  <c r="CC31" i="3" l="1"/>
  <c r="CD30" i="3" a="1"/>
  <c r="CD30" i="3" s="1"/>
  <c r="CE30" i="3" a="1"/>
  <c r="CE30" i="3" s="1"/>
  <c r="CF30" i="3" a="1"/>
  <c r="CF30" i="3" s="1"/>
  <c r="CG30" i="3" a="1"/>
  <c r="CG30" i="3" s="1"/>
  <c r="CH30" i="3" a="1"/>
  <c r="CH30" i="3" s="1"/>
  <c r="CI30" i="3" a="1"/>
  <c r="CI30" i="3" s="1"/>
  <c r="CJ30" i="3" a="1"/>
  <c r="CJ30" i="3" s="1"/>
  <c r="CK30" i="3" a="1"/>
  <c r="CK30" i="3" s="1"/>
  <c r="CL30" i="3" a="1"/>
  <c r="CL30" i="3" s="1"/>
  <c r="CM30" i="3" a="1"/>
  <c r="CM30" i="3" s="1"/>
  <c r="CN30" i="3" a="1"/>
  <c r="CN30" i="3" s="1"/>
  <c r="CO30" i="3" a="1"/>
  <c r="CO30" i="3" s="1"/>
  <c r="CP30" i="3" a="1"/>
  <c r="CP30" i="3" s="1"/>
  <c r="CQ30" i="3" a="1"/>
  <c r="CQ30" i="3" s="1"/>
  <c r="CR30" i="3" a="1"/>
  <c r="CR30" i="3" s="1"/>
  <c r="CS30" i="3" a="1"/>
  <c r="CS30" i="3" s="1"/>
  <c r="CT30" i="3" a="1"/>
  <c r="CT30" i="3" s="1"/>
  <c r="CU30" i="3" a="1"/>
  <c r="CU30" i="3" s="1"/>
  <c r="CV30" i="3" a="1"/>
  <c r="CV30" i="3" s="1"/>
  <c r="CW30" i="3" a="1"/>
  <c r="CW30" i="3" s="1"/>
  <c r="CX30" i="3" a="1"/>
  <c r="CX30" i="3" s="1"/>
  <c r="CY30" i="3" a="1"/>
  <c r="CY30" i="3" s="1"/>
  <c r="CZ30" i="3" a="1"/>
  <c r="CZ30" i="3" s="1"/>
  <c r="DA30" i="3" a="1"/>
  <c r="DA30" i="3" s="1"/>
  <c r="DB9" i="3" a="1"/>
  <c r="DB9" i="3" s="1"/>
  <c r="DB10" i="3" a="1"/>
  <c r="DB10" i="3" s="1"/>
  <c r="DB11" i="3" a="1"/>
  <c r="DB11" i="3" s="1"/>
  <c r="DB8" i="3" a="1"/>
  <c r="DB8" i="3" s="1"/>
  <c r="DC7" i="3"/>
  <c r="DB25" i="3" a="1"/>
  <c r="DB25" i="3" s="1"/>
  <c r="DB19" i="3" a="1"/>
  <c r="DB19" i="3" s="1"/>
  <c r="DB12" i="3" a="1"/>
  <c r="DB12" i="3" s="1"/>
  <c r="DB23" i="3" a="1"/>
  <c r="DB23" i="3" s="1"/>
  <c r="DB20" i="3" a="1"/>
  <c r="DB20" i="3" s="1"/>
  <c r="DB28" i="3" a="1"/>
  <c r="DB28" i="3" s="1"/>
  <c r="DB13" i="3" a="1"/>
  <c r="DB13" i="3" s="1"/>
  <c r="DB24" i="3" a="1"/>
  <c r="DB24" i="3" s="1"/>
  <c r="DB14" i="3" a="1"/>
  <c r="DB14" i="3" s="1"/>
  <c r="DB17" i="3" a="1"/>
  <c r="DB17" i="3" s="1"/>
  <c r="DB18" i="3" a="1"/>
  <c r="DB18" i="3" s="1"/>
  <c r="DB31" i="3" a="1"/>
  <c r="DB31" i="3" s="1"/>
  <c r="DB30" i="3" a="1"/>
  <c r="DB30" i="3" s="1"/>
  <c r="DB15" i="3" a="1"/>
  <c r="DB15" i="3" s="1"/>
  <c r="DB27" i="3" a="1"/>
  <c r="DB27" i="3" s="1"/>
  <c r="DB16" i="3" a="1"/>
  <c r="DB16" i="3" s="1"/>
  <c r="DB26" i="3" a="1"/>
  <c r="DB26" i="3" s="1"/>
  <c r="DB22" i="3" a="1"/>
  <c r="DB22" i="3" s="1"/>
  <c r="DB29" i="3" a="1"/>
  <c r="DB29" i="3" s="1"/>
  <c r="DB21" i="3" a="1"/>
  <c r="DB21" i="3" s="1"/>
  <c r="DC8" i="3" l="1" a="1"/>
  <c r="DC8" i="3" s="1"/>
  <c r="DC11" i="3" a="1"/>
  <c r="DC11" i="3" s="1"/>
  <c r="DC9" i="3" a="1"/>
  <c r="DC9" i="3" s="1"/>
  <c r="DC10" i="3" a="1"/>
  <c r="DC10" i="3" s="1"/>
  <c r="DC21" i="3" a="1"/>
  <c r="DC21" i="3" s="1"/>
  <c r="DC12" i="3" a="1"/>
  <c r="DC12" i="3" s="1"/>
  <c r="DC24" i="3" a="1"/>
  <c r="DC24" i="3" s="1"/>
  <c r="DC27" i="3" a="1"/>
  <c r="DC27" i="3" s="1"/>
  <c r="DC30" i="3" a="1"/>
  <c r="DC30" i="3" s="1"/>
  <c r="DC16" i="3" a="1"/>
  <c r="DC16" i="3" s="1"/>
  <c r="DC20" i="3" a="1"/>
  <c r="DC20" i="3" s="1"/>
  <c r="DC14" i="3" a="1"/>
  <c r="DC14" i="3" s="1"/>
  <c r="DC31" i="3" a="1"/>
  <c r="DC31" i="3" s="1"/>
  <c r="DC23" i="3" a="1"/>
  <c r="DC23" i="3" s="1"/>
  <c r="DC25" i="3" a="1"/>
  <c r="DC25" i="3" s="1"/>
  <c r="DC22" i="3" a="1"/>
  <c r="DC22" i="3" s="1"/>
  <c r="DD7" i="3"/>
  <c r="DC26" i="3" a="1"/>
  <c r="DC26" i="3" s="1"/>
  <c r="DC18" i="3" a="1"/>
  <c r="DC18" i="3" s="1"/>
  <c r="DC13" i="3" a="1"/>
  <c r="DC13" i="3" s="1"/>
  <c r="DC19" i="3" a="1"/>
  <c r="DC19" i="3" s="1"/>
  <c r="DC29" i="3" a="1"/>
  <c r="DC29" i="3" s="1"/>
  <c r="DC17" i="3" a="1"/>
  <c r="DC17" i="3" s="1"/>
  <c r="DC15" i="3" a="1"/>
  <c r="DC15" i="3" s="1"/>
  <c r="DC28" i="3" a="1"/>
  <c r="DC28" i="3" s="1"/>
  <c r="CC32" i="3"/>
  <c r="CD31" i="3" a="1"/>
  <c r="CD31" i="3" s="1"/>
  <c r="CE31" i="3" a="1"/>
  <c r="CE31" i="3" s="1"/>
  <c r="CF31" i="3" a="1"/>
  <c r="CF31" i="3" s="1"/>
  <c r="CG31" i="3" a="1"/>
  <c r="CG31" i="3" s="1"/>
  <c r="CH31" i="3" a="1"/>
  <c r="CH31" i="3" s="1"/>
  <c r="CI31" i="3" a="1"/>
  <c r="CI31" i="3" s="1"/>
  <c r="CJ31" i="3" a="1"/>
  <c r="CJ31" i="3" s="1"/>
  <c r="CK31" i="3" a="1"/>
  <c r="CK31" i="3" s="1"/>
  <c r="CL31" i="3" a="1"/>
  <c r="CL31" i="3" s="1"/>
  <c r="CM31" i="3" a="1"/>
  <c r="CM31" i="3" s="1"/>
  <c r="CN31" i="3" a="1"/>
  <c r="CN31" i="3" s="1"/>
  <c r="CO31" i="3" a="1"/>
  <c r="CO31" i="3" s="1"/>
  <c r="CP31" i="3" a="1"/>
  <c r="CP31" i="3" s="1"/>
  <c r="CQ31" i="3" a="1"/>
  <c r="CQ31" i="3" s="1"/>
  <c r="CR31" i="3" a="1"/>
  <c r="CR31" i="3" s="1"/>
  <c r="CS31" i="3" a="1"/>
  <c r="CS31" i="3" s="1"/>
  <c r="CT31" i="3" a="1"/>
  <c r="CT31" i="3" s="1"/>
  <c r="CU31" i="3" a="1"/>
  <c r="CU31" i="3" s="1"/>
  <c r="CV31" i="3" a="1"/>
  <c r="CV31" i="3" s="1"/>
  <c r="CW31" i="3" a="1"/>
  <c r="CW31" i="3" s="1"/>
  <c r="CX31" i="3" a="1"/>
  <c r="CX31" i="3" s="1"/>
  <c r="CY31" i="3" a="1"/>
  <c r="CY31" i="3" s="1"/>
  <c r="CZ31" i="3" a="1"/>
  <c r="CZ31" i="3" s="1"/>
  <c r="DA31" i="3" a="1"/>
  <c r="DA31" i="3" s="1"/>
  <c r="DD10" i="3" l="1" a="1"/>
  <c r="DD10" i="3" s="1"/>
  <c r="DE7" i="3"/>
  <c r="DD11" i="3" a="1"/>
  <c r="DD11" i="3" s="1"/>
  <c r="DD12" i="3" a="1"/>
  <c r="DD12" i="3" s="1"/>
  <c r="DD8" i="3" a="1"/>
  <c r="DD8" i="3" s="1"/>
  <c r="DD23" i="3" a="1"/>
  <c r="DD23" i="3" s="1"/>
  <c r="DD19" i="3" a="1"/>
  <c r="DD19" i="3" s="1"/>
  <c r="DD25" i="3" a="1"/>
  <c r="DD25" i="3" s="1"/>
  <c r="DD26" i="3" a="1"/>
  <c r="DD26" i="3" s="1"/>
  <c r="DD22" i="3" a="1"/>
  <c r="DD22" i="3" s="1"/>
  <c r="DD14" i="3" a="1"/>
  <c r="DD14" i="3" s="1"/>
  <c r="DD21" i="3" a="1"/>
  <c r="DD21" i="3" s="1"/>
  <c r="DD16" i="3" a="1"/>
  <c r="DD16" i="3" s="1"/>
  <c r="DD13" i="3" a="1"/>
  <c r="DD13" i="3" s="1"/>
  <c r="DD9" i="3" a="1"/>
  <c r="DD9" i="3" s="1"/>
  <c r="DD32" i="3" a="1"/>
  <c r="DD32" i="3" s="1"/>
  <c r="DD31" i="3" a="1"/>
  <c r="DD31" i="3" s="1"/>
  <c r="DD18" i="3" a="1"/>
  <c r="DD18" i="3" s="1"/>
  <c r="DD29" i="3" a="1"/>
  <c r="DD29" i="3" s="1"/>
  <c r="DD15" i="3" a="1"/>
  <c r="DD15" i="3" s="1"/>
  <c r="DD20" i="3" a="1"/>
  <c r="DD20" i="3" s="1"/>
  <c r="DD17" i="3" a="1"/>
  <c r="DD17" i="3" s="1"/>
  <c r="DD24" i="3" a="1"/>
  <c r="DD24" i="3" s="1"/>
  <c r="DD30" i="3" a="1"/>
  <c r="DD30" i="3" s="1"/>
  <c r="DD27" i="3" a="1"/>
  <c r="DD27" i="3" s="1"/>
  <c r="DD28" i="3" a="1"/>
  <c r="DD28" i="3" s="1"/>
  <c r="CC33" i="3"/>
  <c r="DD33" i="3" s="1" a="1"/>
  <c r="DD33" i="3" s="1"/>
  <c r="CD32" i="3" a="1"/>
  <c r="CD32" i="3" s="1"/>
  <c r="CE32" i="3" a="1"/>
  <c r="CE32" i="3" s="1"/>
  <c r="CF32" i="3" a="1"/>
  <c r="CF32" i="3" s="1"/>
  <c r="CG32" i="3" a="1"/>
  <c r="CG32" i="3" s="1"/>
  <c r="CH32" i="3" a="1"/>
  <c r="CH32" i="3" s="1"/>
  <c r="CI32" i="3" a="1"/>
  <c r="CI32" i="3" s="1"/>
  <c r="CJ32" i="3" a="1"/>
  <c r="CJ32" i="3" s="1"/>
  <c r="CK32" i="3" a="1"/>
  <c r="CK32" i="3" s="1"/>
  <c r="CL32" i="3" a="1"/>
  <c r="CL32" i="3" s="1"/>
  <c r="CM32" i="3" a="1"/>
  <c r="CM32" i="3" s="1"/>
  <c r="CN32" i="3" a="1"/>
  <c r="CN32" i="3" s="1"/>
  <c r="CO32" i="3" a="1"/>
  <c r="CO32" i="3" s="1"/>
  <c r="CP32" i="3" a="1"/>
  <c r="CP32" i="3" s="1"/>
  <c r="CQ32" i="3" a="1"/>
  <c r="CQ32" i="3" s="1"/>
  <c r="CR32" i="3" a="1"/>
  <c r="CR32" i="3" s="1"/>
  <c r="CS32" i="3" a="1"/>
  <c r="CS32" i="3" s="1"/>
  <c r="CT32" i="3" a="1"/>
  <c r="CT32" i="3" s="1"/>
  <c r="CU32" i="3" a="1"/>
  <c r="CU32" i="3" s="1"/>
  <c r="CV32" i="3" a="1"/>
  <c r="CV32" i="3" s="1"/>
  <c r="CW32" i="3" a="1"/>
  <c r="CW32" i="3" s="1"/>
  <c r="CX32" i="3" a="1"/>
  <c r="CX32" i="3" s="1"/>
  <c r="CY32" i="3" a="1"/>
  <c r="CY32" i="3" s="1"/>
  <c r="CZ32" i="3" a="1"/>
  <c r="CZ32" i="3" s="1"/>
  <c r="DA32" i="3" a="1"/>
  <c r="DA32" i="3" s="1"/>
  <c r="DB32" i="3" a="1"/>
  <c r="DB32" i="3" s="1"/>
  <c r="DC32" i="3" a="1"/>
  <c r="DC32" i="3" s="1"/>
  <c r="CC34" i="3" l="1"/>
  <c r="CD33" i="3" a="1"/>
  <c r="CD33" i="3" s="1"/>
  <c r="CE33" i="3" a="1"/>
  <c r="CE33" i="3" s="1"/>
  <c r="CF33" i="3" a="1"/>
  <c r="CF33" i="3" s="1"/>
  <c r="CG33" i="3" a="1"/>
  <c r="CG33" i="3" s="1"/>
  <c r="CH33" i="3" a="1"/>
  <c r="CH33" i="3" s="1"/>
  <c r="CI33" i="3" a="1"/>
  <c r="CI33" i="3" s="1"/>
  <c r="CJ33" i="3" a="1"/>
  <c r="CJ33" i="3" s="1"/>
  <c r="CK33" i="3" a="1"/>
  <c r="CK33" i="3" s="1"/>
  <c r="CL33" i="3" a="1"/>
  <c r="CL33" i="3" s="1"/>
  <c r="CM33" i="3" a="1"/>
  <c r="CM33" i="3" s="1"/>
  <c r="CN33" i="3" a="1"/>
  <c r="CN33" i="3" s="1"/>
  <c r="CO33" i="3" a="1"/>
  <c r="CO33" i="3" s="1"/>
  <c r="CP33" i="3" a="1"/>
  <c r="CP33" i="3" s="1"/>
  <c r="CQ33" i="3" a="1"/>
  <c r="CQ33" i="3" s="1"/>
  <c r="CR33" i="3" a="1"/>
  <c r="CR33" i="3" s="1"/>
  <c r="CS33" i="3" a="1"/>
  <c r="CS33" i="3" s="1"/>
  <c r="CT33" i="3" a="1"/>
  <c r="CT33" i="3" s="1"/>
  <c r="CU33" i="3" a="1"/>
  <c r="CU33" i="3" s="1"/>
  <c r="CV33" i="3" a="1"/>
  <c r="CV33" i="3" s="1"/>
  <c r="CW33" i="3" a="1"/>
  <c r="CW33" i="3" s="1"/>
  <c r="CX33" i="3" a="1"/>
  <c r="CX33" i="3" s="1"/>
  <c r="CY33" i="3" a="1"/>
  <c r="CY33" i="3" s="1"/>
  <c r="CZ33" i="3" a="1"/>
  <c r="CZ33" i="3" s="1"/>
  <c r="DA33" i="3" a="1"/>
  <c r="DA33" i="3" s="1"/>
  <c r="DB33" i="3" a="1"/>
  <c r="DB33" i="3" s="1"/>
  <c r="DC33" i="3" a="1"/>
  <c r="DC33" i="3" s="1"/>
  <c r="DE10" i="3" a="1"/>
  <c r="DE10" i="3" s="1"/>
  <c r="DE8" i="3" a="1"/>
  <c r="DE8" i="3" s="1"/>
  <c r="DE9" i="3" a="1"/>
  <c r="DE9" i="3" s="1"/>
  <c r="DF7" i="3"/>
  <c r="DE11" i="3" a="1"/>
  <c r="DE11" i="3" s="1"/>
  <c r="DE30" i="3" a="1"/>
  <c r="DE30" i="3" s="1"/>
  <c r="DE16" i="3" a="1"/>
  <c r="DE16" i="3" s="1"/>
  <c r="DE26" i="3" a="1"/>
  <c r="DE26" i="3" s="1"/>
  <c r="DE22" i="3" a="1"/>
  <c r="DE22" i="3" s="1"/>
  <c r="DE29" i="3" a="1"/>
  <c r="DE29" i="3" s="1"/>
  <c r="DE19" i="3" a="1"/>
  <c r="DE19" i="3" s="1"/>
  <c r="DE27" i="3" a="1"/>
  <c r="DE27" i="3" s="1"/>
  <c r="DE24" i="3" a="1"/>
  <c r="DE24" i="3" s="1"/>
  <c r="DE32" i="3" a="1"/>
  <c r="DE32" i="3" s="1"/>
  <c r="DE28" i="3" a="1"/>
  <c r="DE28" i="3" s="1"/>
  <c r="DE14" i="3" a="1"/>
  <c r="DE14" i="3" s="1"/>
  <c r="DE20" i="3" a="1"/>
  <c r="DE20" i="3" s="1"/>
  <c r="DE25" i="3" a="1"/>
  <c r="DE25" i="3" s="1"/>
  <c r="DE33" i="3" a="1"/>
  <c r="DE33" i="3" s="1"/>
  <c r="DE15" i="3" a="1"/>
  <c r="DE15" i="3" s="1"/>
  <c r="DE31" i="3" a="1"/>
  <c r="DE31" i="3" s="1"/>
  <c r="DE12" i="3" a="1"/>
  <c r="DE12" i="3" s="1"/>
  <c r="DE18" i="3" a="1"/>
  <c r="DE18" i="3" s="1"/>
  <c r="DE13" i="3" a="1"/>
  <c r="DE13" i="3" s="1"/>
  <c r="DE34" i="3" a="1"/>
  <c r="DE34" i="3" s="1"/>
  <c r="DE21" i="3" a="1"/>
  <c r="DE21" i="3" s="1"/>
  <c r="DE23" i="3" a="1"/>
  <c r="DE23" i="3" s="1"/>
  <c r="DE17" i="3" a="1"/>
  <c r="DE17" i="3" s="1"/>
  <c r="DF12" i="3" l="1" a="1"/>
  <c r="DF12" i="3" s="1"/>
  <c r="DF8" i="3" a="1"/>
  <c r="DF8" i="3" s="1"/>
  <c r="DG7" i="3"/>
  <c r="DF9" i="3" a="1"/>
  <c r="DF9" i="3" s="1"/>
  <c r="DF11" i="3" a="1"/>
  <c r="DF11" i="3" s="1"/>
  <c r="DF31" i="3" a="1"/>
  <c r="DF31" i="3" s="1"/>
  <c r="DF24" i="3" a="1"/>
  <c r="DF24" i="3" s="1"/>
  <c r="DF20" i="3" a="1"/>
  <c r="DF20" i="3" s="1"/>
  <c r="DF26" i="3" a="1"/>
  <c r="DF26" i="3" s="1"/>
  <c r="DF28" i="3" a="1"/>
  <c r="DF28" i="3" s="1"/>
  <c r="DF17" i="3" a="1"/>
  <c r="DF17" i="3" s="1"/>
  <c r="DF19" i="3" a="1"/>
  <c r="DF19" i="3" s="1"/>
  <c r="DF21" i="3" a="1"/>
  <c r="DF21" i="3" s="1"/>
  <c r="DF16" i="3" a="1"/>
  <c r="DF16" i="3" s="1"/>
  <c r="DF30" i="3" a="1"/>
  <c r="DF30" i="3" s="1"/>
  <c r="DF22" i="3" a="1"/>
  <c r="DF22" i="3" s="1"/>
  <c r="DF15" i="3" a="1"/>
  <c r="DF15" i="3" s="1"/>
  <c r="DF13" i="3" a="1"/>
  <c r="DF13" i="3" s="1"/>
  <c r="DF34" i="3" a="1"/>
  <c r="DF34" i="3" s="1"/>
  <c r="DF33" i="3" a="1"/>
  <c r="DF33" i="3" s="1"/>
  <c r="DF29" i="3" a="1"/>
  <c r="DF29" i="3" s="1"/>
  <c r="DF10" i="3" a="1"/>
  <c r="DF10" i="3" s="1"/>
  <c r="DF18" i="3" a="1"/>
  <c r="DF18" i="3" s="1"/>
  <c r="DF27" i="3" a="1"/>
  <c r="DF27" i="3" s="1"/>
  <c r="DF25" i="3" a="1"/>
  <c r="DF25" i="3" s="1"/>
  <c r="DF23" i="3" a="1"/>
  <c r="DF23" i="3" s="1"/>
  <c r="DF32" i="3" a="1"/>
  <c r="DF32" i="3" s="1"/>
  <c r="DF14" i="3" a="1"/>
  <c r="DF14" i="3" s="1"/>
  <c r="CC35" i="3"/>
  <c r="CD34" i="3" a="1"/>
  <c r="CD34" i="3" s="1"/>
  <c r="CE34" i="3" a="1"/>
  <c r="CE34" i="3" s="1"/>
  <c r="CF34" i="3" a="1"/>
  <c r="CF34" i="3" s="1"/>
  <c r="CG34" i="3" a="1"/>
  <c r="CG34" i="3" s="1"/>
  <c r="CH34" i="3" a="1"/>
  <c r="CH34" i="3" s="1"/>
  <c r="CI34" i="3" a="1"/>
  <c r="CI34" i="3" s="1"/>
  <c r="CJ34" i="3" a="1"/>
  <c r="CJ34" i="3" s="1"/>
  <c r="CK34" i="3" a="1"/>
  <c r="CK34" i="3" s="1"/>
  <c r="CL34" i="3" a="1"/>
  <c r="CL34" i="3" s="1"/>
  <c r="CM34" i="3" a="1"/>
  <c r="CM34" i="3" s="1"/>
  <c r="CN34" i="3" a="1"/>
  <c r="CN34" i="3" s="1"/>
  <c r="CO34" i="3" a="1"/>
  <c r="CO34" i="3" s="1"/>
  <c r="CP34" i="3" a="1"/>
  <c r="CP34" i="3" s="1"/>
  <c r="CQ34" i="3" a="1"/>
  <c r="CQ34" i="3" s="1"/>
  <c r="CR34" i="3" a="1"/>
  <c r="CR34" i="3" s="1"/>
  <c r="CS34" i="3" a="1"/>
  <c r="CS34" i="3" s="1"/>
  <c r="CT34" i="3" a="1"/>
  <c r="CT34" i="3" s="1"/>
  <c r="CU34" i="3" a="1"/>
  <c r="CU34" i="3" s="1"/>
  <c r="CV34" i="3" a="1"/>
  <c r="CV34" i="3" s="1"/>
  <c r="CW34" i="3" a="1"/>
  <c r="CW34" i="3" s="1"/>
  <c r="CX34" i="3" a="1"/>
  <c r="CX34" i="3" s="1"/>
  <c r="CY34" i="3" a="1"/>
  <c r="CY34" i="3" s="1"/>
  <c r="CZ34" i="3" a="1"/>
  <c r="CZ34" i="3" s="1"/>
  <c r="DA34" i="3" a="1"/>
  <c r="DA34" i="3" s="1"/>
  <c r="DB34" i="3" a="1"/>
  <c r="DB34" i="3" s="1"/>
  <c r="DC34" i="3" a="1"/>
  <c r="DC34" i="3" s="1"/>
  <c r="DD34" i="3" a="1"/>
  <c r="DD34" i="3" s="1"/>
  <c r="CC36" i="3" l="1"/>
  <c r="CD35" i="3" a="1"/>
  <c r="CD35" i="3" s="1"/>
  <c r="CE35" i="3" a="1"/>
  <c r="CE35" i="3" s="1"/>
  <c r="CF35" i="3" a="1"/>
  <c r="CF35" i="3" s="1"/>
  <c r="CG35" i="3" a="1"/>
  <c r="CG35" i="3" s="1"/>
  <c r="CH35" i="3" a="1"/>
  <c r="CH35" i="3" s="1"/>
  <c r="CI35" i="3" a="1"/>
  <c r="CI35" i="3" s="1"/>
  <c r="CJ35" i="3" a="1"/>
  <c r="CJ35" i="3" s="1"/>
  <c r="CK35" i="3" a="1"/>
  <c r="CK35" i="3" s="1"/>
  <c r="CL35" i="3" a="1"/>
  <c r="CL35" i="3" s="1"/>
  <c r="CM35" i="3" a="1"/>
  <c r="CM35" i="3" s="1"/>
  <c r="CN35" i="3" a="1"/>
  <c r="CN35" i="3" s="1"/>
  <c r="CO35" i="3" a="1"/>
  <c r="CO35" i="3" s="1"/>
  <c r="CP35" i="3" a="1"/>
  <c r="CP35" i="3" s="1"/>
  <c r="CQ35" i="3" a="1"/>
  <c r="CQ35" i="3" s="1"/>
  <c r="CR35" i="3" a="1"/>
  <c r="CR35" i="3" s="1"/>
  <c r="CS35" i="3" a="1"/>
  <c r="CS35" i="3" s="1"/>
  <c r="CT35" i="3" a="1"/>
  <c r="CT35" i="3" s="1"/>
  <c r="CU35" i="3" a="1"/>
  <c r="CU35" i="3" s="1"/>
  <c r="CV35" i="3" a="1"/>
  <c r="CV35" i="3" s="1"/>
  <c r="CW35" i="3" a="1"/>
  <c r="CW35" i="3" s="1"/>
  <c r="CX35" i="3" a="1"/>
  <c r="CX35" i="3" s="1"/>
  <c r="CY35" i="3" a="1"/>
  <c r="CY35" i="3" s="1"/>
  <c r="CZ35" i="3" a="1"/>
  <c r="CZ35" i="3" s="1"/>
  <c r="DA35" i="3" a="1"/>
  <c r="DA35" i="3" s="1"/>
  <c r="DB35" i="3" a="1"/>
  <c r="DB35" i="3" s="1"/>
  <c r="DC35" i="3" a="1"/>
  <c r="DC35" i="3" s="1"/>
  <c r="DD35" i="3" a="1"/>
  <c r="DD35" i="3" s="1"/>
  <c r="DE35" i="3" a="1"/>
  <c r="DE35" i="3" s="1"/>
  <c r="DG10" i="3" a="1"/>
  <c r="DG10" i="3" s="1"/>
  <c r="DG12" i="3" a="1"/>
  <c r="DG12" i="3" s="1"/>
  <c r="DG9" i="3" a="1"/>
  <c r="DG9" i="3" s="1"/>
  <c r="DG11" i="3" a="1"/>
  <c r="DG11" i="3" s="1"/>
  <c r="DG8" i="3" a="1"/>
  <c r="DG8" i="3" s="1"/>
  <c r="DG24" i="3" a="1"/>
  <c r="DG24" i="3" s="1"/>
  <c r="DG18" i="3" a="1"/>
  <c r="DG18" i="3" s="1"/>
  <c r="DG36" i="3" a="1"/>
  <c r="DG36" i="3" s="1"/>
  <c r="DG34" i="3" a="1"/>
  <c r="DG34" i="3" s="1"/>
  <c r="DG33" i="3" a="1"/>
  <c r="DG33" i="3" s="1"/>
  <c r="DG14" i="3" a="1"/>
  <c r="DG14" i="3" s="1"/>
  <c r="DG28" i="3" a="1"/>
  <c r="DG28" i="3" s="1"/>
  <c r="DG32" i="3" a="1"/>
  <c r="DG32" i="3" s="1"/>
  <c r="DG22" i="3" a="1"/>
  <c r="DG22" i="3" s="1"/>
  <c r="DG30" i="3" a="1"/>
  <c r="DG30" i="3" s="1"/>
  <c r="DG27" i="3" a="1"/>
  <c r="DG27" i="3" s="1"/>
  <c r="DG13" i="3" a="1"/>
  <c r="DG13" i="3" s="1"/>
  <c r="DG16" i="3" a="1"/>
  <c r="DG16" i="3" s="1"/>
  <c r="DG25" i="3" a="1"/>
  <c r="DG25" i="3" s="1"/>
  <c r="DG21" i="3" a="1"/>
  <c r="DG21" i="3" s="1"/>
  <c r="DG29" i="3" a="1"/>
  <c r="DG29" i="3" s="1"/>
  <c r="DG31" i="3" a="1"/>
  <c r="DG31" i="3" s="1"/>
  <c r="DG15" i="3" a="1"/>
  <c r="DG15" i="3" s="1"/>
  <c r="DG19" i="3" a="1"/>
  <c r="DG19" i="3" s="1"/>
  <c r="DG26" i="3" a="1"/>
  <c r="DG26" i="3" s="1"/>
  <c r="DG23" i="3" a="1"/>
  <c r="DG23" i="3" s="1"/>
  <c r="DG35" i="3" a="1"/>
  <c r="DG35" i="3" s="1"/>
  <c r="DG17" i="3" a="1"/>
  <c r="DG17" i="3" s="1"/>
  <c r="DG20" i="3" a="1"/>
  <c r="DG20" i="3" s="1"/>
  <c r="DF35" i="3" a="1"/>
  <c r="DF35" i="3" s="1"/>
  <c r="CC37" i="3" l="1"/>
  <c r="CD36" i="3" a="1"/>
  <c r="CD36" i="3" s="1"/>
  <c r="CE36" i="3" a="1"/>
  <c r="CE36" i="3" s="1"/>
  <c r="CF36" i="3" a="1"/>
  <c r="CF36" i="3" s="1"/>
  <c r="CG36" i="3" a="1"/>
  <c r="CG36" i="3" s="1"/>
  <c r="CH36" i="3" a="1"/>
  <c r="CH36" i="3" s="1"/>
  <c r="CI36" i="3" a="1"/>
  <c r="CI36" i="3" s="1"/>
  <c r="CJ36" i="3" a="1"/>
  <c r="CJ36" i="3" s="1"/>
  <c r="CK36" i="3" a="1"/>
  <c r="CK36" i="3" s="1"/>
  <c r="CL36" i="3" a="1"/>
  <c r="CL36" i="3" s="1"/>
  <c r="CM36" i="3" a="1"/>
  <c r="CM36" i="3" s="1"/>
  <c r="CN36" i="3" a="1"/>
  <c r="CN36" i="3" s="1"/>
  <c r="CO36" i="3" a="1"/>
  <c r="CO36" i="3" s="1"/>
  <c r="CP36" i="3" a="1"/>
  <c r="CP36" i="3" s="1"/>
  <c r="CQ36" i="3" a="1"/>
  <c r="CQ36" i="3" s="1"/>
  <c r="CR36" i="3" a="1"/>
  <c r="CR36" i="3" s="1"/>
  <c r="CS36" i="3" a="1"/>
  <c r="CS36" i="3" s="1"/>
  <c r="CT36" i="3" a="1"/>
  <c r="CT36" i="3" s="1"/>
  <c r="CU36" i="3" a="1"/>
  <c r="CU36" i="3" s="1"/>
  <c r="CV36" i="3" a="1"/>
  <c r="CV36" i="3" s="1"/>
  <c r="CW36" i="3" a="1"/>
  <c r="CW36" i="3" s="1"/>
  <c r="CX36" i="3" a="1"/>
  <c r="CX36" i="3" s="1"/>
  <c r="CY36" i="3" a="1"/>
  <c r="CY36" i="3" s="1"/>
  <c r="CZ36" i="3" a="1"/>
  <c r="CZ36" i="3" s="1"/>
  <c r="DA36" i="3" a="1"/>
  <c r="DA36" i="3" s="1"/>
  <c r="DB36" i="3" a="1"/>
  <c r="DB36" i="3" s="1"/>
  <c r="DC36" i="3" a="1"/>
  <c r="DC36" i="3" s="1"/>
  <c r="DD36" i="3" a="1"/>
  <c r="DD36" i="3" s="1"/>
  <c r="DE36" i="3" a="1"/>
  <c r="DE36" i="3" s="1"/>
  <c r="DF36" i="3" a="1"/>
  <c r="DF36" i="3" s="1"/>
  <c r="CC38" i="3" l="1"/>
  <c r="CD37" i="3" a="1"/>
  <c r="CD37" i="3" s="1"/>
  <c r="CE37" i="3" a="1"/>
  <c r="CE37" i="3" s="1"/>
  <c r="CF37" i="3" a="1"/>
  <c r="CF37" i="3" s="1"/>
  <c r="CG37" i="3" a="1"/>
  <c r="CG37" i="3" s="1"/>
  <c r="CH37" i="3" a="1"/>
  <c r="CH37" i="3" s="1"/>
  <c r="CI37" i="3" a="1"/>
  <c r="CI37" i="3" s="1"/>
  <c r="CJ37" i="3" a="1"/>
  <c r="CJ37" i="3" s="1"/>
  <c r="CK37" i="3" a="1"/>
  <c r="CK37" i="3" s="1"/>
  <c r="CL37" i="3" a="1"/>
  <c r="CL37" i="3" s="1"/>
  <c r="CM37" i="3" a="1"/>
  <c r="CM37" i="3" s="1"/>
  <c r="CN37" i="3" a="1"/>
  <c r="CN37" i="3" s="1"/>
  <c r="CO37" i="3" a="1"/>
  <c r="CO37" i="3" s="1"/>
  <c r="CP37" i="3" a="1"/>
  <c r="CP37" i="3" s="1"/>
  <c r="CQ37" i="3" a="1"/>
  <c r="CQ37" i="3" s="1"/>
  <c r="CR37" i="3" a="1"/>
  <c r="CR37" i="3" s="1"/>
  <c r="CS37" i="3" a="1"/>
  <c r="CS37" i="3" s="1"/>
  <c r="CT37" i="3" a="1"/>
  <c r="CT37" i="3" s="1"/>
  <c r="CU37" i="3" a="1"/>
  <c r="CU37" i="3" s="1"/>
  <c r="CV37" i="3" a="1"/>
  <c r="CV37" i="3" s="1"/>
  <c r="CW37" i="3" a="1"/>
  <c r="CW37" i="3" s="1"/>
  <c r="CX37" i="3" a="1"/>
  <c r="CX37" i="3" s="1"/>
  <c r="CY37" i="3" a="1"/>
  <c r="CY37" i="3" s="1"/>
  <c r="CZ37" i="3" a="1"/>
  <c r="CZ37" i="3" s="1"/>
  <c r="DA37" i="3" a="1"/>
  <c r="DA37" i="3" s="1"/>
  <c r="DB37" i="3" a="1"/>
  <c r="DB37" i="3" s="1"/>
  <c r="DC37" i="3" a="1"/>
  <c r="DC37" i="3" s="1"/>
  <c r="DD37" i="3" a="1"/>
  <c r="DD37" i="3" s="1"/>
  <c r="DE37" i="3" a="1"/>
  <c r="DE37" i="3" s="1"/>
  <c r="DF37" i="3" a="1"/>
  <c r="DF37" i="3" s="1"/>
  <c r="DG37" i="3" a="1"/>
  <c r="DG37" i="3" s="1"/>
  <c r="CC39" i="3" l="1"/>
  <c r="CD38" i="3" a="1"/>
  <c r="CD38" i="3" s="1"/>
  <c r="CE38" i="3" a="1"/>
  <c r="CE38" i="3" s="1"/>
  <c r="CF38" i="3" a="1"/>
  <c r="CF38" i="3" s="1"/>
  <c r="CG38" i="3" a="1"/>
  <c r="CG38" i="3" s="1"/>
  <c r="CH38" i="3" a="1"/>
  <c r="CH38" i="3" s="1"/>
  <c r="CI38" i="3" a="1"/>
  <c r="CI38" i="3" s="1"/>
  <c r="CJ38" i="3" a="1"/>
  <c r="CJ38" i="3" s="1"/>
  <c r="CK38" i="3" a="1"/>
  <c r="CK38" i="3" s="1"/>
  <c r="CL38" i="3" a="1"/>
  <c r="CL38" i="3" s="1"/>
  <c r="CM38" i="3" a="1"/>
  <c r="CM38" i="3" s="1"/>
  <c r="CN38" i="3" a="1"/>
  <c r="CN38" i="3" s="1"/>
  <c r="CO38" i="3" a="1"/>
  <c r="CO38" i="3" s="1"/>
  <c r="CP38" i="3" a="1"/>
  <c r="CP38" i="3" s="1"/>
  <c r="CQ38" i="3" a="1"/>
  <c r="CQ38" i="3" s="1"/>
  <c r="CR38" i="3" a="1"/>
  <c r="CR38" i="3" s="1"/>
  <c r="CS38" i="3" a="1"/>
  <c r="CS38" i="3" s="1"/>
  <c r="CT38" i="3" a="1"/>
  <c r="CT38" i="3" s="1"/>
  <c r="CU38" i="3" a="1"/>
  <c r="CU38" i="3" s="1"/>
  <c r="CV38" i="3" a="1"/>
  <c r="CV38" i="3" s="1"/>
  <c r="CW38" i="3" a="1"/>
  <c r="CW38" i="3" s="1"/>
  <c r="CX38" i="3" a="1"/>
  <c r="CX38" i="3" s="1"/>
  <c r="CY38" i="3" a="1"/>
  <c r="CY38" i="3" s="1"/>
  <c r="CZ38" i="3" a="1"/>
  <c r="CZ38" i="3" s="1"/>
  <c r="DA38" i="3" a="1"/>
  <c r="DA38" i="3" s="1"/>
  <c r="DB38" i="3" a="1"/>
  <c r="DB38" i="3" s="1"/>
  <c r="DC38" i="3" a="1"/>
  <c r="DC38" i="3" s="1"/>
  <c r="DD38" i="3" a="1"/>
  <c r="DD38" i="3" s="1"/>
  <c r="DE38" i="3" a="1"/>
  <c r="DE38" i="3" s="1"/>
  <c r="DF38" i="3" a="1"/>
  <c r="DF38" i="3" s="1"/>
  <c r="DG38" i="3" a="1"/>
  <c r="DG38" i="3" s="1"/>
  <c r="CC40" i="3" l="1"/>
  <c r="CD39" i="3" a="1"/>
  <c r="CD39" i="3" s="1"/>
  <c r="CE39" i="3" a="1"/>
  <c r="CE39" i="3" s="1"/>
  <c r="CF39" i="3" a="1"/>
  <c r="CF39" i="3" s="1"/>
  <c r="CG39" i="3" a="1"/>
  <c r="CG39" i="3" s="1"/>
  <c r="CH39" i="3" a="1"/>
  <c r="CH39" i="3" s="1"/>
  <c r="CI39" i="3" a="1"/>
  <c r="CI39" i="3" s="1"/>
  <c r="CJ39" i="3" a="1"/>
  <c r="CJ39" i="3" s="1"/>
  <c r="CK39" i="3" a="1"/>
  <c r="CK39" i="3" s="1"/>
  <c r="CL39" i="3" a="1"/>
  <c r="CL39" i="3" s="1"/>
  <c r="CM39" i="3" a="1"/>
  <c r="CM39" i="3" s="1"/>
  <c r="CN39" i="3" a="1"/>
  <c r="CN39" i="3" s="1"/>
  <c r="CO39" i="3" a="1"/>
  <c r="CO39" i="3" s="1"/>
  <c r="CP39" i="3" a="1"/>
  <c r="CP39" i="3" s="1"/>
  <c r="CQ39" i="3" a="1"/>
  <c r="CQ39" i="3" s="1"/>
  <c r="CR39" i="3" a="1"/>
  <c r="CR39" i="3" s="1"/>
  <c r="CS39" i="3" a="1"/>
  <c r="CS39" i="3" s="1"/>
  <c r="CT39" i="3" a="1"/>
  <c r="CT39" i="3" s="1"/>
  <c r="CU39" i="3" a="1"/>
  <c r="CU39" i="3" s="1"/>
  <c r="CV39" i="3" a="1"/>
  <c r="CV39" i="3" s="1"/>
  <c r="CW39" i="3" a="1"/>
  <c r="CW39" i="3" s="1"/>
  <c r="CX39" i="3" a="1"/>
  <c r="CX39" i="3" s="1"/>
  <c r="CY39" i="3" a="1"/>
  <c r="CY39" i="3" s="1"/>
  <c r="CZ39" i="3" a="1"/>
  <c r="CZ39" i="3" s="1"/>
  <c r="DA39" i="3" a="1"/>
  <c r="DA39" i="3" s="1"/>
  <c r="DB39" i="3" a="1"/>
  <c r="DB39" i="3" s="1"/>
  <c r="DC39" i="3" a="1"/>
  <c r="DC39" i="3" s="1"/>
  <c r="DD39" i="3" a="1"/>
  <c r="DD39" i="3" s="1"/>
  <c r="DE39" i="3" a="1"/>
  <c r="DE39" i="3" s="1"/>
  <c r="DF39" i="3" a="1"/>
  <c r="DF39" i="3" s="1"/>
  <c r="DG39" i="3" a="1"/>
  <c r="DG39" i="3" s="1"/>
  <c r="CC41" i="3" l="1"/>
  <c r="CD40" i="3" a="1"/>
  <c r="CD40" i="3" s="1"/>
  <c r="CE40" i="3" a="1"/>
  <c r="CE40" i="3" s="1"/>
  <c r="CF40" i="3" a="1"/>
  <c r="CF40" i="3" s="1"/>
  <c r="CG40" i="3" a="1"/>
  <c r="CG40" i="3" s="1"/>
  <c r="CH40" i="3" a="1"/>
  <c r="CH40" i="3" s="1"/>
  <c r="CI40" i="3" a="1"/>
  <c r="CI40" i="3" s="1"/>
  <c r="CJ40" i="3" a="1"/>
  <c r="CJ40" i="3" s="1"/>
  <c r="CK40" i="3" a="1"/>
  <c r="CK40" i="3" s="1"/>
  <c r="CL40" i="3" a="1"/>
  <c r="CL40" i="3" s="1"/>
  <c r="CM40" i="3" a="1"/>
  <c r="CM40" i="3" s="1"/>
  <c r="CN40" i="3" a="1"/>
  <c r="CN40" i="3" s="1"/>
  <c r="CO40" i="3" a="1"/>
  <c r="CO40" i="3" s="1"/>
  <c r="CP40" i="3" a="1"/>
  <c r="CP40" i="3" s="1"/>
  <c r="CQ40" i="3" a="1"/>
  <c r="CQ40" i="3" s="1"/>
  <c r="CR40" i="3" a="1"/>
  <c r="CR40" i="3" s="1"/>
  <c r="CS40" i="3" a="1"/>
  <c r="CS40" i="3" s="1"/>
  <c r="CT40" i="3" a="1"/>
  <c r="CT40" i="3" s="1"/>
  <c r="CU40" i="3" a="1"/>
  <c r="CU40" i="3" s="1"/>
  <c r="CV40" i="3" a="1"/>
  <c r="CV40" i="3" s="1"/>
  <c r="CW40" i="3" a="1"/>
  <c r="CW40" i="3" s="1"/>
  <c r="CX40" i="3" a="1"/>
  <c r="CX40" i="3" s="1"/>
  <c r="CY40" i="3" a="1"/>
  <c r="CY40" i="3" s="1"/>
  <c r="CZ40" i="3" a="1"/>
  <c r="CZ40" i="3" s="1"/>
  <c r="DA40" i="3" a="1"/>
  <c r="DA40" i="3" s="1"/>
  <c r="DB40" i="3" a="1"/>
  <c r="DB40" i="3" s="1"/>
  <c r="DC40" i="3" a="1"/>
  <c r="DC40" i="3" s="1"/>
  <c r="DD40" i="3" a="1"/>
  <c r="DD40" i="3" s="1"/>
  <c r="DE40" i="3" a="1"/>
  <c r="DE40" i="3" s="1"/>
  <c r="DF40" i="3" a="1"/>
  <c r="DF40" i="3" s="1"/>
  <c r="DG40" i="3" a="1"/>
  <c r="DG40" i="3" s="1"/>
  <c r="CC42" i="3" l="1"/>
  <c r="CD41" i="3" a="1"/>
  <c r="CD41" i="3" s="1"/>
  <c r="CE41" i="3" a="1"/>
  <c r="CE41" i="3" s="1"/>
  <c r="CF41" i="3" a="1"/>
  <c r="CF41" i="3" s="1"/>
  <c r="CG41" i="3" a="1"/>
  <c r="CG41" i="3" s="1"/>
  <c r="CH41" i="3" a="1"/>
  <c r="CH41" i="3" s="1"/>
  <c r="CI41" i="3" a="1"/>
  <c r="CI41" i="3" s="1"/>
  <c r="CJ41" i="3" a="1"/>
  <c r="CJ41" i="3" s="1"/>
  <c r="CK41" i="3" a="1"/>
  <c r="CK41" i="3" s="1"/>
  <c r="CL41" i="3" a="1"/>
  <c r="CL41" i="3" s="1"/>
  <c r="CM41" i="3" a="1"/>
  <c r="CM41" i="3" s="1"/>
  <c r="CN41" i="3" a="1"/>
  <c r="CN41" i="3" s="1"/>
  <c r="CO41" i="3" a="1"/>
  <c r="CO41" i="3" s="1"/>
  <c r="CP41" i="3" a="1"/>
  <c r="CP41" i="3" s="1"/>
  <c r="CQ41" i="3" a="1"/>
  <c r="CQ41" i="3" s="1"/>
  <c r="CR41" i="3" a="1"/>
  <c r="CR41" i="3" s="1"/>
  <c r="CS41" i="3" a="1"/>
  <c r="CS41" i="3" s="1"/>
  <c r="CT41" i="3" a="1"/>
  <c r="CT41" i="3" s="1"/>
  <c r="CU41" i="3" a="1"/>
  <c r="CU41" i="3" s="1"/>
  <c r="CV41" i="3" a="1"/>
  <c r="CV41" i="3" s="1"/>
  <c r="CW41" i="3" a="1"/>
  <c r="CW41" i="3" s="1"/>
  <c r="CX41" i="3" a="1"/>
  <c r="CX41" i="3" s="1"/>
  <c r="CY41" i="3" a="1"/>
  <c r="CY41" i="3" s="1"/>
  <c r="CZ41" i="3" a="1"/>
  <c r="CZ41" i="3" s="1"/>
  <c r="DA41" i="3" a="1"/>
  <c r="DA41" i="3" s="1"/>
  <c r="DB41" i="3" a="1"/>
  <c r="DB41" i="3" s="1"/>
  <c r="DC41" i="3" a="1"/>
  <c r="DC41" i="3" s="1"/>
  <c r="DD41" i="3" a="1"/>
  <c r="DD41" i="3" s="1"/>
  <c r="DE41" i="3" a="1"/>
  <c r="DE41" i="3" s="1"/>
  <c r="DF41" i="3" a="1"/>
  <c r="DF41" i="3" s="1"/>
  <c r="DG41" i="3" a="1"/>
  <c r="DG41" i="3" s="1"/>
  <c r="CC43" i="3" l="1"/>
  <c r="CD42" i="3" a="1"/>
  <c r="CD42" i="3" s="1"/>
  <c r="CE42" i="3" a="1"/>
  <c r="CE42" i="3" s="1"/>
  <c r="CF42" i="3" a="1"/>
  <c r="CF42" i="3" s="1"/>
  <c r="CG42" i="3" a="1"/>
  <c r="CG42" i="3" s="1"/>
  <c r="CH42" i="3" a="1"/>
  <c r="CH42" i="3" s="1"/>
  <c r="CI42" i="3" a="1"/>
  <c r="CI42" i="3" s="1"/>
  <c r="CJ42" i="3" a="1"/>
  <c r="CJ42" i="3" s="1"/>
  <c r="CK42" i="3" a="1"/>
  <c r="CK42" i="3" s="1"/>
  <c r="CL42" i="3" a="1"/>
  <c r="CL42" i="3" s="1"/>
  <c r="CM42" i="3" a="1"/>
  <c r="CM42" i="3" s="1"/>
  <c r="CN42" i="3" a="1"/>
  <c r="CN42" i="3" s="1"/>
  <c r="CO42" i="3" a="1"/>
  <c r="CO42" i="3" s="1"/>
  <c r="CP42" i="3" a="1"/>
  <c r="CP42" i="3" s="1"/>
  <c r="CQ42" i="3" a="1"/>
  <c r="CQ42" i="3" s="1"/>
  <c r="CR42" i="3" a="1"/>
  <c r="CR42" i="3" s="1"/>
  <c r="CS42" i="3" a="1"/>
  <c r="CS42" i="3" s="1"/>
  <c r="CT42" i="3" a="1"/>
  <c r="CT42" i="3" s="1"/>
  <c r="CU42" i="3" a="1"/>
  <c r="CU42" i="3" s="1"/>
  <c r="CV42" i="3" a="1"/>
  <c r="CV42" i="3" s="1"/>
  <c r="CW42" i="3" a="1"/>
  <c r="CW42" i="3" s="1"/>
  <c r="CX42" i="3" a="1"/>
  <c r="CX42" i="3" s="1"/>
  <c r="CY42" i="3" a="1"/>
  <c r="CY42" i="3" s="1"/>
  <c r="CZ42" i="3" a="1"/>
  <c r="CZ42" i="3" s="1"/>
  <c r="DA42" i="3" a="1"/>
  <c r="DA42" i="3" s="1"/>
  <c r="DB42" i="3" a="1"/>
  <c r="DB42" i="3" s="1"/>
  <c r="DC42" i="3" a="1"/>
  <c r="DC42" i="3" s="1"/>
  <c r="DD42" i="3" a="1"/>
  <c r="DD42" i="3" s="1"/>
  <c r="DE42" i="3" a="1"/>
  <c r="DE42" i="3" s="1"/>
  <c r="DF42" i="3" a="1"/>
  <c r="DF42" i="3" s="1"/>
  <c r="DG42" i="3" a="1"/>
  <c r="DG42" i="3" s="1"/>
  <c r="CC44" i="3" l="1"/>
  <c r="CD43" i="3" a="1"/>
  <c r="CD43" i="3" s="1"/>
  <c r="CE43" i="3" a="1"/>
  <c r="CE43" i="3" s="1"/>
  <c r="CF43" i="3" a="1"/>
  <c r="CF43" i="3" s="1"/>
  <c r="CG43" i="3" a="1"/>
  <c r="CG43" i="3" s="1"/>
  <c r="CH43" i="3" a="1"/>
  <c r="CH43" i="3" s="1"/>
  <c r="CI43" i="3" a="1"/>
  <c r="CI43" i="3" s="1"/>
  <c r="CJ43" i="3" a="1"/>
  <c r="CJ43" i="3" s="1"/>
  <c r="CK43" i="3" a="1"/>
  <c r="CK43" i="3" s="1"/>
  <c r="CL43" i="3" a="1"/>
  <c r="CL43" i="3" s="1"/>
  <c r="CM43" i="3" a="1"/>
  <c r="CM43" i="3" s="1"/>
  <c r="CN43" i="3" a="1"/>
  <c r="CN43" i="3" s="1"/>
  <c r="CO43" i="3" a="1"/>
  <c r="CO43" i="3" s="1"/>
  <c r="CP43" i="3" a="1"/>
  <c r="CP43" i="3" s="1"/>
  <c r="CQ43" i="3" a="1"/>
  <c r="CQ43" i="3" s="1"/>
  <c r="CR43" i="3" a="1"/>
  <c r="CR43" i="3" s="1"/>
  <c r="CS43" i="3" a="1"/>
  <c r="CS43" i="3" s="1"/>
  <c r="CT43" i="3" a="1"/>
  <c r="CT43" i="3" s="1"/>
  <c r="CU43" i="3" a="1"/>
  <c r="CU43" i="3" s="1"/>
  <c r="CV43" i="3" a="1"/>
  <c r="CV43" i="3" s="1"/>
  <c r="CW43" i="3" a="1"/>
  <c r="CW43" i="3" s="1"/>
  <c r="CX43" i="3" a="1"/>
  <c r="CX43" i="3" s="1"/>
  <c r="CY43" i="3" a="1"/>
  <c r="CY43" i="3" s="1"/>
  <c r="CZ43" i="3" a="1"/>
  <c r="CZ43" i="3" s="1"/>
  <c r="DA43" i="3" a="1"/>
  <c r="DA43" i="3" s="1"/>
  <c r="DB43" i="3" a="1"/>
  <c r="DB43" i="3" s="1"/>
  <c r="DC43" i="3" a="1"/>
  <c r="DC43" i="3" s="1"/>
  <c r="DD43" i="3" a="1"/>
  <c r="DD43" i="3" s="1"/>
  <c r="DE43" i="3" a="1"/>
  <c r="DE43" i="3" s="1"/>
  <c r="DF43" i="3" a="1"/>
  <c r="DF43" i="3" s="1"/>
  <c r="DG43" i="3" a="1"/>
  <c r="DG43" i="3" s="1"/>
  <c r="CC45" i="3" l="1"/>
  <c r="CD44" i="3" a="1"/>
  <c r="CD44" i="3" s="1"/>
  <c r="CE44" i="3" a="1"/>
  <c r="CE44" i="3" s="1"/>
  <c r="CF44" i="3" a="1"/>
  <c r="CF44" i="3" s="1"/>
  <c r="CG44" i="3" a="1"/>
  <c r="CG44" i="3" s="1"/>
  <c r="CH44" i="3" a="1"/>
  <c r="CH44" i="3" s="1"/>
  <c r="CI44" i="3" a="1"/>
  <c r="CI44" i="3" s="1"/>
  <c r="CJ44" i="3" a="1"/>
  <c r="CJ44" i="3" s="1"/>
  <c r="CK44" i="3" a="1"/>
  <c r="CK44" i="3" s="1"/>
  <c r="CL44" i="3" a="1"/>
  <c r="CL44" i="3" s="1"/>
  <c r="CM44" i="3" a="1"/>
  <c r="CM44" i="3" s="1"/>
  <c r="CN44" i="3" a="1"/>
  <c r="CN44" i="3" s="1"/>
  <c r="CO44" i="3" a="1"/>
  <c r="CO44" i="3" s="1"/>
  <c r="CP44" i="3" a="1"/>
  <c r="CP44" i="3" s="1"/>
  <c r="CQ44" i="3" a="1"/>
  <c r="CQ44" i="3" s="1"/>
  <c r="CR44" i="3" a="1"/>
  <c r="CR44" i="3" s="1"/>
  <c r="CS44" i="3" a="1"/>
  <c r="CS44" i="3" s="1"/>
  <c r="CT44" i="3" a="1"/>
  <c r="CT44" i="3" s="1"/>
  <c r="CU44" i="3" a="1"/>
  <c r="CU44" i="3" s="1"/>
  <c r="CV44" i="3" a="1"/>
  <c r="CV44" i="3" s="1"/>
  <c r="CW44" i="3" a="1"/>
  <c r="CW44" i="3" s="1"/>
  <c r="CX44" i="3" a="1"/>
  <c r="CX44" i="3" s="1"/>
  <c r="CY44" i="3" a="1"/>
  <c r="CY44" i="3" s="1"/>
  <c r="CZ44" i="3" a="1"/>
  <c r="CZ44" i="3" s="1"/>
  <c r="DA44" i="3" a="1"/>
  <c r="DA44" i="3" s="1"/>
  <c r="DB44" i="3" a="1"/>
  <c r="DB44" i="3" s="1"/>
  <c r="DC44" i="3" a="1"/>
  <c r="DC44" i="3" s="1"/>
  <c r="DD44" i="3" a="1"/>
  <c r="DD44" i="3" s="1"/>
  <c r="DE44" i="3" a="1"/>
  <c r="DE44" i="3" s="1"/>
  <c r="DF44" i="3" a="1"/>
  <c r="DF44" i="3" s="1"/>
  <c r="DG44" i="3" a="1"/>
  <c r="DG44" i="3" s="1"/>
  <c r="CC46" i="3" l="1"/>
  <c r="CD45" i="3" a="1"/>
  <c r="CD45" i="3" s="1"/>
  <c r="CE45" i="3" a="1"/>
  <c r="CE45" i="3" s="1"/>
  <c r="CF45" i="3" a="1"/>
  <c r="CF45" i="3" s="1"/>
  <c r="CG45" i="3" a="1"/>
  <c r="CG45" i="3" s="1"/>
  <c r="CH45" i="3" a="1"/>
  <c r="CH45" i="3" s="1"/>
  <c r="CI45" i="3" a="1"/>
  <c r="CI45" i="3" s="1"/>
  <c r="CJ45" i="3" a="1"/>
  <c r="CJ45" i="3" s="1"/>
  <c r="CK45" i="3" a="1"/>
  <c r="CK45" i="3" s="1"/>
  <c r="CL45" i="3" a="1"/>
  <c r="CL45" i="3" s="1"/>
  <c r="CM45" i="3" a="1"/>
  <c r="CM45" i="3" s="1"/>
  <c r="CN45" i="3" a="1"/>
  <c r="CN45" i="3" s="1"/>
  <c r="CO45" i="3" a="1"/>
  <c r="CO45" i="3" s="1"/>
  <c r="CP45" i="3" a="1"/>
  <c r="CP45" i="3" s="1"/>
  <c r="CQ45" i="3" a="1"/>
  <c r="CQ45" i="3" s="1"/>
  <c r="CR45" i="3" a="1"/>
  <c r="CR45" i="3" s="1"/>
  <c r="CS45" i="3" a="1"/>
  <c r="CS45" i="3" s="1"/>
  <c r="CT45" i="3" a="1"/>
  <c r="CT45" i="3" s="1"/>
  <c r="CU45" i="3" a="1"/>
  <c r="CU45" i="3" s="1"/>
  <c r="CV45" i="3" a="1"/>
  <c r="CV45" i="3" s="1"/>
  <c r="CW45" i="3" a="1"/>
  <c r="CW45" i="3" s="1"/>
  <c r="CX45" i="3" a="1"/>
  <c r="CX45" i="3" s="1"/>
  <c r="CY45" i="3" a="1"/>
  <c r="CY45" i="3" s="1"/>
  <c r="CZ45" i="3" a="1"/>
  <c r="CZ45" i="3" s="1"/>
  <c r="DA45" i="3" a="1"/>
  <c r="DA45" i="3" s="1"/>
  <c r="DB45" i="3" a="1"/>
  <c r="DB45" i="3" s="1"/>
  <c r="DC45" i="3" a="1"/>
  <c r="DC45" i="3" s="1"/>
  <c r="DD45" i="3" a="1"/>
  <c r="DD45" i="3" s="1"/>
  <c r="DE45" i="3" a="1"/>
  <c r="DE45" i="3" s="1"/>
  <c r="DF45" i="3" a="1"/>
  <c r="DF45" i="3" s="1"/>
  <c r="DG45" i="3" a="1"/>
  <c r="DG45" i="3" s="1"/>
  <c r="CC47" i="3" l="1"/>
  <c r="CD46" i="3" a="1"/>
  <c r="CD46" i="3" s="1"/>
  <c r="CE46" i="3" a="1"/>
  <c r="CE46" i="3" s="1"/>
  <c r="CF46" i="3" a="1"/>
  <c r="CF46" i="3" s="1"/>
  <c r="CG46" i="3" a="1"/>
  <c r="CG46" i="3" s="1"/>
  <c r="CH46" i="3" a="1"/>
  <c r="CH46" i="3" s="1"/>
  <c r="CI46" i="3" a="1"/>
  <c r="CI46" i="3" s="1"/>
  <c r="CJ46" i="3" a="1"/>
  <c r="CJ46" i="3" s="1"/>
  <c r="CK46" i="3" a="1"/>
  <c r="CK46" i="3" s="1"/>
  <c r="CL46" i="3" a="1"/>
  <c r="CL46" i="3" s="1"/>
  <c r="CM46" i="3" a="1"/>
  <c r="CM46" i="3" s="1"/>
  <c r="CN46" i="3" a="1"/>
  <c r="CN46" i="3" s="1"/>
  <c r="CO46" i="3" a="1"/>
  <c r="CO46" i="3" s="1"/>
  <c r="CP46" i="3" a="1"/>
  <c r="CP46" i="3" s="1"/>
  <c r="CQ46" i="3" a="1"/>
  <c r="CQ46" i="3" s="1"/>
  <c r="CR46" i="3" a="1"/>
  <c r="CR46" i="3" s="1"/>
  <c r="CS46" i="3" a="1"/>
  <c r="CS46" i="3" s="1"/>
  <c r="CT46" i="3" a="1"/>
  <c r="CT46" i="3" s="1"/>
  <c r="CU46" i="3" a="1"/>
  <c r="CU46" i="3" s="1"/>
  <c r="CV46" i="3" a="1"/>
  <c r="CV46" i="3" s="1"/>
  <c r="CW46" i="3" a="1"/>
  <c r="CW46" i="3" s="1"/>
  <c r="CX46" i="3" a="1"/>
  <c r="CX46" i="3" s="1"/>
  <c r="CY46" i="3" a="1"/>
  <c r="CY46" i="3" s="1"/>
  <c r="CZ46" i="3" a="1"/>
  <c r="CZ46" i="3" s="1"/>
  <c r="DA46" i="3" a="1"/>
  <c r="DA46" i="3" s="1"/>
  <c r="DB46" i="3" a="1"/>
  <c r="DB46" i="3" s="1"/>
  <c r="DC46" i="3" a="1"/>
  <c r="DC46" i="3" s="1"/>
  <c r="DD46" i="3" a="1"/>
  <c r="DD46" i="3" s="1"/>
  <c r="DE46" i="3" a="1"/>
  <c r="DE46" i="3" s="1"/>
  <c r="DF46" i="3" a="1"/>
  <c r="DF46" i="3" s="1"/>
  <c r="DG46" i="3" a="1"/>
  <c r="DG46" i="3" s="1"/>
  <c r="CC48" i="3" l="1"/>
  <c r="CD47" i="3" a="1"/>
  <c r="CD47" i="3" s="1"/>
  <c r="CE47" i="3" a="1"/>
  <c r="CE47" i="3" s="1"/>
  <c r="CF47" i="3" a="1"/>
  <c r="CF47" i="3" s="1"/>
  <c r="CG47" i="3" a="1"/>
  <c r="CG47" i="3" s="1"/>
  <c r="CH47" i="3" a="1"/>
  <c r="CH47" i="3" s="1"/>
  <c r="CI47" i="3" a="1"/>
  <c r="CI47" i="3" s="1"/>
  <c r="CJ47" i="3" a="1"/>
  <c r="CJ47" i="3" s="1"/>
  <c r="CK47" i="3" a="1"/>
  <c r="CK47" i="3" s="1"/>
  <c r="CL47" i="3" a="1"/>
  <c r="CL47" i="3" s="1"/>
  <c r="CM47" i="3" a="1"/>
  <c r="CM47" i="3" s="1"/>
  <c r="CN47" i="3" a="1"/>
  <c r="CN47" i="3" s="1"/>
  <c r="CO47" i="3" a="1"/>
  <c r="CO47" i="3" s="1"/>
  <c r="CP47" i="3" a="1"/>
  <c r="CP47" i="3" s="1"/>
  <c r="CQ47" i="3" a="1"/>
  <c r="CQ47" i="3" s="1"/>
  <c r="CR47" i="3" a="1"/>
  <c r="CR47" i="3" s="1"/>
  <c r="CS47" i="3" a="1"/>
  <c r="CS47" i="3" s="1"/>
  <c r="CT47" i="3" a="1"/>
  <c r="CT47" i="3" s="1"/>
  <c r="CU47" i="3" a="1"/>
  <c r="CU47" i="3" s="1"/>
  <c r="CV47" i="3" a="1"/>
  <c r="CV47" i="3" s="1"/>
  <c r="CW47" i="3" a="1"/>
  <c r="CW47" i="3" s="1"/>
  <c r="CX47" i="3" a="1"/>
  <c r="CX47" i="3" s="1"/>
  <c r="CY47" i="3" a="1"/>
  <c r="CY47" i="3" s="1"/>
  <c r="CZ47" i="3" a="1"/>
  <c r="CZ47" i="3" s="1"/>
  <c r="DA47" i="3" a="1"/>
  <c r="DA47" i="3" s="1"/>
  <c r="DB47" i="3" a="1"/>
  <c r="DB47" i="3" s="1"/>
  <c r="DC47" i="3" a="1"/>
  <c r="DC47" i="3" s="1"/>
  <c r="DD47" i="3" a="1"/>
  <c r="DD47" i="3" s="1"/>
  <c r="DE47" i="3" a="1"/>
  <c r="DE47" i="3" s="1"/>
  <c r="DF47" i="3" a="1"/>
  <c r="DF47" i="3" s="1"/>
  <c r="DG47" i="3" a="1"/>
  <c r="DG47" i="3" s="1"/>
  <c r="CC49" i="3" l="1"/>
  <c r="CD48" i="3" a="1"/>
  <c r="CD48" i="3" s="1"/>
  <c r="CE48" i="3" a="1"/>
  <c r="CE48" i="3" s="1"/>
  <c r="CF48" i="3" a="1"/>
  <c r="CF48" i="3" s="1"/>
  <c r="CG48" i="3" a="1"/>
  <c r="CG48" i="3" s="1"/>
  <c r="CH48" i="3" a="1"/>
  <c r="CH48" i="3" s="1"/>
  <c r="CI48" i="3" a="1"/>
  <c r="CI48" i="3" s="1"/>
  <c r="CJ48" i="3" a="1"/>
  <c r="CJ48" i="3" s="1"/>
  <c r="CK48" i="3" a="1"/>
  <c r="CK48" i="3" s="1"/>
  <c r="CL48" i="3" a="1"/>
  <c r="CL48" i="3" s="1"/>
  <c r="CM48" i="3" a="1"/>
  <c r="CM48" i="3" s="1"/>
  <c r="CN48" i="3" a="1"/>
  <c r="CN48" i="3" s="1"/>
  <c r="CO48" i="3" a="1"/>
  <c r="CO48" i="3" s="1"/>
  <c r="CP48" i="3" a="1"/>
  <c r="CP48" i="3" s="1"/>
  <c r="CQ48" i="3" a="1"/>
  <c r="CQ48" i="3" s="1"/>
  <c r="CR48" i="3" a="1"/>
  <c r="CR48" i="3" s="1"/>
  <c r="CS48" i="3" a="1"/>
  <c r="CS48" i="3" s="1"/>
  <c r="CT48" i="3" a="1"/>
  <c r="CT48" i="3" s="1"/>
  <c r="CU48" i="3" a="1"/>
  <c r="CU48" i="3" s="1"/>
  <c r="CV48" i="3" a="1"/>
  <c r="CV48" i="3" s="1"/>
  <c r="CW48" i="3" a="1"/>
  <c r="CW48" i="3" s="1"/>
  <c r="CX48" i="3" a="1"/>
  <c r="CX48" i="3" s="1"/>
  <c r="CY48" i="3" a="1"/>
  <c r="CY48" i="3" s="1"/>
  <c r="CZ48" i="3" a="1"/>
  <c r="CZ48" i="3" s="1"/>
  <c r="DA48" i="3" a="1"/>
  <c r="DA48" i="3" s="1"/>
  <c r="DB48" i="3" a="1"/>
  <c r="DB48" i="3" s="1"/>
  <c r="DC48" i="3" a="1"/>
  <c r="DC48" i="3" s="1"/>
  <c r="DD48" i="3" a="1"/>
  <c r="DD48" i="3" s="1"/>
  <c r="DE48" i="3" a="1"/>
  <c r="DE48" i="3" s="1"/>
  <c r="DF48" i="3" a="1"/>
  <c r="DF48" i="3" s="1"/>
  <c r="DG48" i="3" a="1"/>
  <c r="DG48" i="3" s="1"/>
  <c r="CC50" i="3" l="1"/>
  <c r="CD49" i="3" a="1"/>
  <c r="CD49" i="3" s="1"/>
  <c r="CE49" i="3" a="1"/>
  <c r="CE49" i="3" s="1"/>
  <c r="CF49" i="3" a="1"/>
  <c r="CF49" i="3" s="1"/>
  <c r="CG49" i="3" a="1"/>
  <c r="CG49" i="3" s="1"/>
  <c r="CH49" i="3" a="1"/>
  <c r="CH49" i="3" s="1"/>
  <c r="CI49" i="3" a="1"/>
  <c r="CI49" i="3" s="1"/>
  <c r="CJ49" i="3" a="1"/>
  <c r="CJ49" i="3" s="1"/>
  <c r="CK49" i="3" a="1"/>
  <c r="CK49" i="3" s="1"/>
  <c r="CL49" i="3" a="1"/>
  <c r="CL49" i="3" s="1"/>
  <c r="CM49" i="3" a="1"/>
  <c r="CM49" i="3" s="1"/>
  <c r="CN49" i="3" a="1"/>
  <c r="CN49" i="3" s="1"/>
  <c r="CO49" i="3" a="1"/>
  <c r="CO49" i="3" s="1"/>
  <c r="CP49" i="3" a="1"/>
  <c r="CP49" i="3" s="1"/>
  <c r="CQ49" i="3" a="1"/>
  <c r="CQ49" i="3" s="1"/>
  <c r="CR49" i="3" a="1"/>
  <c r="CR49" i="3" s="1"/>
  <c r="CS49" i="3" a="1"/>
  <c r="CS49" i="3" s="1"/>
  <c r="CT49" i="3" a="1"/>
  <c r="CT49" i="3" s="1"/>
  <c r="CU49" i="3" a="1"/>
  <c r="CU49" i="3" s="1"/>
  <c r="CV49" i="3" a="1"/>
  <c r="CV49" i="3" s="1"/>
  <c r="CW49" i="3" a="1"/>
  <c r="CW49" i="3" s="1"/>
  <c r="CX49" i="3" a="1"/>
  <c r="CX49" i="3" s="1"/>
  <c r="CY49" i="3" a="1"/>
  <c r="CY49" i="3" s="1"/>
  <c r="CZ49" i="3" a="1"/>
  <c r="CZ49" i="3" s="1"/>
  <c r="DA49" i="3" a="1"/>
  <c r="DA49" i="3" s="1"/>
  <c r="DB49" i="3" a="1"/>
  <c r="DB49" i="3" s="1"/>
  <c r="DC49" i="3" a="1"/>
  <c r="DC49" i="3" s="1"/>
  <c r="DD49" i="3" a="1"/>
  <c r="DD49" i="3" s="1"/>
  <c r="DE49" i="3" a="1"/>
  <c r="DE49" i="3" s="1"/>
  <c r="DF49" i="3" a="1"/>
  <c r="DF49" i="3" s="1"/>
  <c r="DG49" i="3" a="1"/>
  <c r="DG49" i="3" s="1"/>
  <c r="CD50" i="3" l="1" a="1"/>
  <c r="CD50" i="3" s="1"/>
  <c r="CE50" i="3" a="1"/>
  <c r="CE50" i="3" s="1"/>
  <c r="CF50" i="3" a="1"/>
  <c r="CF50" i="3" s="1"/>
  <c r="CG50" i="3" a="1"/>
  <c r="CG50" i="3" s="1"/>
  <c r="CH50" i="3" a="1"/>
  <c r="CH50" i="3" s="1"/>
  <c r="CI50" i="3" a="1"/>
  <c r="CI50" i="3" s="1"/>
  <c r="CJ50" i="3" a="1"/>
  <c r="CJ50" i="3" s="1"/>
  <c r="CK50" i="3" a="1"/>
  <c r="CK50" i="3" s="1"/>
  <c r="CL50" i="3" a="1"/>
  <c r="CL50" i="3" s="1"/>
  <c r="CM50" i="3" a="1"/>
  <c r="CM50" i="3" s="1"/>
  <c r="CN50" i="3" a="1"/>
  <c r="CN50" i="3" s="1"/>
  <c r="CO50" i="3" a="1"/>
  <c r="CO50" i="3" s="1"/>
  <c r="CP50" i="3" a="1"/>
  <c r="CP50" i="3" s="1"/>
  <c r="CQ50" i="3" a="1"/>
  <c r="CQ50" i="3" s="1"/>
  <c r="CR50" i="3" a="1"/>
  <c r="CR50" i="3" s="1"/>
  <c r="CS50" i="3" a="1"/>
  <c r="CS50" i="3" s="1"/>
  <c r="CT50" i="3" a="1"/>
  <c r="CT50" i="3" s="1"/>
  <c r="CU50" i="3" a="1"/>
  <c r="CU50" i="3" s="1"/>
  <c r="CV50" i="3" a="1"/>
  <c r="CV50" i="3" s="1"/>
  <c r="CW50" i="3" a="1"/>
  <c r="CW50" i="3" s="1"/>
  <c r="CX50" i="3" a="1"/>
  <c r="CX50" i="3" s="1"/>
  <c r="CY50" i="3" a="1"/>
  <c r="CY50" i="3" s="1"/>
  <c r="CZ50" i="3" a="1"/>
  <c r="CZ50" i="3" s="1"/>
  <c r="DA50" i="3" a="1"/>
  <c r="DA50" i="3" s="1"/>
  <c r="DB50" i="3" a="1"/>
  <c r="DB50" i="3" s="1"/>
  <c r="DC50" i="3" a="1"/>
  <c r="DC50" i="3" s="1"/>
  <c r="DD50" i="3" a="1"/>
  <c r="DD50" i="3" s="1"/>
  <c r="DE50" i="3" a="1"/>
  <c r="DE50" i="3" s="1"/>
  <c r="DF50" i="3" a="1"/>
  <c r="DF50" i="3" s="1"/>
  <c r="DG50" i="3" a="1"/>
  <c r="DG5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100-000001000000}">
      <text>
        <r>
          <rPr>
            <b/>
            <sz val="14"/>
            <color indexed="81"/>
            <rFont val="Calibri"/>
            <family val="2"/>
          </rPr>
          <t>Look for cells with red marks in the upper right corners for further information.
Press 'ctrl + t' (on a PC) or 'option + command + t' (on a Mac) to make the Intro page reappear if it isn't already there. A tutorial is available there.</t>
        </r>
      </text>
    </comment>
    <comment ref="B2" authorId="0" shapeId="0" xr:uid="{00000000-0006-0000-0100-000002000000}">
      <text>
        <r>
          <rPr>
            <b/>
            <sz val="14"/>
            <color rgb="FF000000"/>
            <rFont val="Calibri"/>
            <family val="2"/>
          </rPr>
          <t>Enter the chemical equation here. Reactants go on the blue side, products on the green. Make sure to place the species in the proper areas. Water must be entered as H2O.</t>
        </r>
      </text>
    </comment>
    <comment ref="CM18" authorId="0" shapeId="0" xr:uid="{00000000-0006-0000-0100-000003000000}">
      <text>
        <r>
          <rPr>
            <b/>
            <sz val="14"/>
            <color indexed="81"/>
            <rFont val="Calibri"/>
            <family val="2"/>
          </rPr>
          <t>This option only applies if water is part of the reaction.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200-000001000000}">
      <text>
        <r>
          <rPr>
            <b/>
            <sz val="14"/>
            <color indexed="81"/>
            <rFont val="Calibri"/>
            <family val="2"/>
          </rPr>
          <t>If the species does not appear when it is entered, check to make sure the species name is correct. It must match the name in "Aqueous Species Table" or "Gas Table" exactly. If certain information does not appear even though a species is entered, check to make sure all the necessary information was given in the tables to calculate all the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300-000001000000}">
      <text>
        <r>
          <rPr>
            <b/>
            <sz val="14"/>
            <color indexed="81"/>
            <rFont val="Calibri"/>
            <family val="2"/>
          </rPr>
          <t>This sheet displays the results of the calculations, based on the input. In the table below, if any cells are colored red, the values calculated should be used VERY cautiously as they are beyond the pressure and temperature range of the equations involved.
Anytime a change is made on the "Input" sheet make sure to hit the Update Button on the graph to get the fully updated version.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400-000001000000}">
      <text>
        <r>
          <rPr>
            <b/>
            <sz val="14"/>
            <color indexed="81"/>
            <rFont val="Calibri"/>
            <family val="2"/>
          </rPr>
          <t>This sheet is meant to allow for editing of the parameters and equations used for calculating information about the given species. A summarized list of results from this page can be seen on the "Aqueous Species Table" sheet. Any changes to a species should be made here.</t>
        </r>
      </text>
    </comment>
    <comment ref="V1" authorId="0" shapeId="0" xr:uid="{00000000-0006-0000-0400-000002000000}">
      <text>
        <r>
          <rPr>
            <b/>
            <sz val="14"/>
            <color indexed="81"/>
            <rFont val="Calibri"/>
            <family val="2"/>
          </rPr>
          <t>Use this table to define the values used
in the a</t>
        </r>
        <r>
          <rPr>
            <vertAlign val="subscript"/>
            <sz val="14"/>
            <color theme="1"/>
            <rFont val="Calibri"/>
            <family val="2"/>
          </rPr>
          <t>1</t>
        </r>
        <r>
          <rPr>
            <b/>
            <sz val="14"/>
            <color indexed="81"/>
            <rFont val="Calibri"/>
            <family val="2"/>
          </rPr>
          <t xml:space="preserve"> vs V</t>
        </r>
        <r>
          <rPr>
            <b/>
            <vertAlign val="subscript"/>
            <sz val="14"/>
            <color indexed="81"/>
            <rFont val="Calibri"/>
            <family val="2"/>
          </rPr>
          <t>n</t>
        </r>
        <r>
          <rPr>
            <sz val="14"/>
            <color theme="1"/>
            <rFont val="Calibri"/>
            <family val="2"/>
          </rPr>
          <t xml:space="preserve"> </t>
        </r>
        <r>
          <rPr>
            <b/>
            <sz val="14"/>
            <color theme="1"/>
            <rFont val="Calibri"/>
            <family val="2"/>
          </rPr>
          <t xml:space="preserve">correlation. </t>
        </r>
        <r>
          <rPr>
            <b/>
            <sz val="14"/>
            <color indexed="81"/>
            <rFont val="Calibri"/>
            <family val="2"/>
          </rPr>
          <t xml:space="preserve"> These values
are specific to each correlation.</t>
        </r>
      </text>
    </comment>
    <comment ref="K2" authorId="0" shapeId="0" xr:uid="{00000000-0006-0000-0400-000003000000}">
      <text>
        <r>
          <rPr>
            <b/>
            <sz val="14"/>
            <color indexed="81"/>
            <rFont val="Calibri"/>
            <family val="2"/>
          </rPr>
          <t xml:space="preserve">This option indicates how the value of </t>
        </r>
        <r>
          <rPr>
            <b/>
            <sz val="14"/>
            <color indexed="81"/>
            <rFont val="Symbol"/>
            <family val="1"/>
            <charset val="2"/>
          </rPr>
          <t>w</t>
        </r>
        <r>
          <rPr>
            <b/>
            <sz val="14"/>
            <color indexed="81"/>
            <rFont val="Calibri"/>
            <family val="2"/>
          </rPr>
          <t xml:space="preserve"> is defined. Either the value listed explicitly in the </t>
        </r>
        <r>
          <rPr>
            <b/>
            <sz val="14"/>
            <color indexed="81"/>
            <rFont val="Symbol"/>
            <family val="1"/>
            <charset val="2"/>
          </rPr>
          <t>w</t>
        </r>
        <r>
          <rPr>
            <b/>
            <sz val="14"/>
            <color indexed="81"/>
            <rFont val="Calibri"/>
            <family val="2"/>
          </rPr>
          <t xml:space="preserve"> column can be used, or a correlation equation can be used to calculate the value. Entering either zero or one indicates the choice.</t>
        </r>
      </text>
    </comment>
    <comment ref="L2" authorId="0" shapeId="0" xr:uid="{00000000-0006-0000-0400-000004000000}">
      <text>
        <r>
          <rPr>
            <b/>
            <sz val="14"/>
            <color indexed="81"/>
            <rFont val="Calibri"/>
            <family val="2"/>
          </rPr>
          <t>This option indicates how the HKF equation of state parameters are defined. Either the values listed explicitly in the a</t>
        </r>
        <r>
          <rPr>
            <b/>
            <vertAlign val="subscript"/>
            <sz val="14"/>
            <color indexed="81"/>
            <rFont val="Calibri"/>
            <family val="2"/>
          </rPr>
          <t>1</t>
        </r>
        <r>
          <rPr>
            <b/>
            <sz val="14"/>
            <color theme="1"/>
            <rFont val="Calibri"/>
            <family val="2"/>
            <scheme val="minor"/>
          </rPr>
          <t>, a</t>
        </r>
        <r>
          <rPr>
            <b/>
            <vertAlign val="subscript"/>
            <sz val="14"/>
            <color theme="1"/>
            <rFont val="Calibri"/>
            <family val="2"/>
            <scheme val="minor"/>
          </rPr>
          <t>2</t>
        </r>
        <r>
          <rPr>
            <b/>
            <sz val="14"/>
            <color theme="1"/>
            <rFont val="Calibri"/>
            <family val="2"/>
            <scheme val="minor"/>
          </rPr>
          <t>, a</t>
        </r>
        <r>
          <rPr>
            <b/>
            <vertAlign val="subscript"/>
            <sz val="14"/>
            <color theme="1"/>
            <rFont val="Calibri"/>
            <family val="2"/>
            <scheme val="minor"/>
          </rPr>
          <t>3</t>
        </r>
        <r>
          <rPr>
            <b/>
            <sz val="14"/>
            <color theme="1"/>
            <rFont val="Calibri"/>
            <family val="2"/>
            <scheme val="minor"/>
          </rPr>
          <t>, a</t>
        </r>
        <r>
          <rPr>
            <b/>
            <vertAlign val="subscript"/>
            <sz val="14"/>
            <color theme="1"/>
            <rFont val="Calibri"/>
            <family val="2"/>
            <scheme val="minor"/>
          </rPr>
          <t>4</t>
        </r>
        <r>
          <rPr>
            <b/>
            <sz val="14"/>
            <color theme="1"/>
            <rFont val="Calibri"/>
            <family val="2"/>
            <scheme val="minor"/>
          </rPr>
          <t>, c</t>
        </r>
        <r>
          <rPr>
            <b/>
            <vertAlign val="subscript"/>
            <sz val="14"/>
            <color theme="1"/>
            <rFont val="Calibri"/>
            <family val="2"/>
            <scheme val="minor"/>
          </rPr>
          <t>1,</t>
        </r>
        <r>
          <rPr>
            <b/>
            <sz val="14"/>
            <color theme="1"/>
            <rFont val="Calibri"/>
            <family val="2"/>
            <scheme val="minor"/>
          </rPr>
          <t xml:space="preserve"> and c</t>
        </r>
        <r>
          <rPr>
            <b/>
            <vertAlign val="subscript"/>
            <sz val="14"/>
            <color theme="1"/>
            <rFont val="Calibri"/>
            <family val="2"/>
            <scheme val="minor"/>
          </rPr>
          <t>2</t>
        </r>
        <r>
          <rPr>
            <b/>
            <sz val="14"/>
            <color theme="1"/>
            <rFont val="Calibri"/>
            <family val="2"/>
            <scheme val="minor"/>
          </rPr>
          <t xml:space="preserve"> columns can be used, or correlation equations can be used to calculate the values from </t>
        </r>
        <r>
          <rPr>
            <b/>
            <sz val="14"/>
            <color indexed="81"/>
            <rFont val="Calibri"/>
            <family val="2"/>
          </rPr>
          <t>V</t>
        </r>
        <r>
          <rPr>
            <b/>
            <vertAlign val="superscript"/>
            <sz val="14"/>
            <color indexed="81"/>
            <rFont val="Calibri"/>
            <family val="2"/>
          </rPr>
          <t>o</t>
        </r>
        <r>
          <rPr>
            <b/>
            <sz val="14"/>
            <color theme="1"/>
            <rFont val="Calibri"/>
            <family val="2"/>
            <scheme val="minor"/>
          </rPr>
          <t>, C</t>
        </r>
        <r>
          <rPr>
            <b/>
            <vertAlign val="subscript"/>
            <sz val="14"/>
            <color theme="1"/>
            <rFont val="Calibri"/>
            <family val="2"/>
            <scheme val="minor"/>
          </rPr>
          <t>p</t>
        </r>
        <r>
          <rPr>
            <b/>
            <vertAlign val="superscript"/>
            <sz val="14"/>
            <color theme="1"/>
            <rFont val="Calibri"/>
            <family val="2"/>
            <scheme val="minor"/>
          </rPr>
          <t>o</t>
        </r>
        <r>
          <rPr>
            <b/>
            <sz val="14"/>
            <color theme="1"/>
            <rFont val="Calibri"/>
            <family val="2"/>
            <scheme val="minor"/>
          </rPr>
          <t xml:space="preserve">, and </t>
        </r>
        <r>
          <rPr>
            <b/>
            <sz val="14"/>
            <color theme="1"/>
            <rFont val="Symbol"/>
            <family val="1"/>
            <charset val="2"/>
          </rPr>
          <t>w</t>
        </r>
        <r>
          <rPr>
            <b/>
            <sz val="14"/>
            <color indexed="81"/>
            <rFont val="Calibri"/>
            <family val="2"/>
          </rPr>
          <t>. Entering either zero or one indicates the choice.</t>
        </r>
      </text>
    </comment>
    <comment ref="M2" authorId="0" shapeId="0" xr:uid="{00000000-0006-0000-0400-000005000000}">
      <text>
        <r>
          <rPr>
            <b/>
            <sz val="14"/>
            <color indexed="81"/>
            <rFont val="Calibri"/>
            <family val="2"/>
          </rPr>
          <t>This option determines which correlation between a</t>
        </r>
        <r>
          <rPr>
            <b/>
            <vertAlign val="subscript"/>
            <sz val="14"/>
            <color indexed="81"/>
            <rFont val="Calibri"/>
            <family val="2"/>
          </rPr>
          <t>1</t>
        </r>
        <r>
          <rPr>
            <b/>
            <sz val="14"/>
            <color indexed="81"/>
            <rFont val="Calibri"/>
            <family val="2"/>
          </rPr>
          <t xml:space="preserve"> and V</t>
        </r>
        <r>
          <rPr>
            <b/>
            <vertAlign val="subscript"/>
            <sz val="14"/>
            <color indexed="81"/>
            <rFont val="Calibri"/>
            <family val="2"/>
          </rPr>
          <t>n</t>
        </r>
        <r>
          <rPr>
            <b/>
            <sz val="14"/>
            <color indexed="81"/>
            <rFont val="Calibri"/>
            <family val="2"/>
          </rPr>
          <t xml:space="preserve"> to use. There are separate equations depending on if the species is a simple ionic species such as Na+ or if it is a more complex species such as SiO2,aq. This is option is only important if the HKF Parameters Option is set to one.</t>
        </r>
      </text>
    </comment>
    <comment ref="V2" authorId="0" shapeId="0" xr:uid="{00000000-0006-0000-0400-000006000000}">
      <text>
        <r>
          <rPr>
            <b/>
            <sz val="14"/>
            <color theme="1"/>
            <rFont val="Calibri"/>
            <family val="2"/>
          </rPr>
          <t>The equation for ionic species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indexed="81"/>
            <rFont val="Calibri"/>
            <family val="2"/>
          </rPr>
          <t>m</t>
        </r>
        <r>
          <rPr>
            <b/>
            <i/>
            <vertAlign val="subscript"/>
            <sz val="14"/>
            <color indexed="81"/>
            <rFont val="Calibri"/>
            <family val="2"/>
          </rPr>
          <t>1</t>
        </r>
        <r>
          <rPr>
            <b/>
            <sz val="14"/>
            <color indexed="81"/>
            <rFont val="Calibri"/>
            <family val="2"/>
          </rPr>
          <t xml:space="preserve">*Z + </t>
        </r>
        <r>
          <rPr>
            <b/>
            <i/>
            <sz val="14"/>
            <color indexed="81"/>
            <rFont val="Calibri"/>
            <family val="2"/>
          </rPr>
          <t>b</t>
        </r>
        <r>
          <rPr>
            <b/>
            <i/>
            <vertAlign val="subscript"/>
            <sz val="14"/>
            <color indexed="81"/>
            <rFont val="Calibri"/>
            <family val="2"/>
          </rPr>
          <t>1</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theme="1"/>
            <rFont val="Calibri"/>
            <family val="2"/>
          </rPr>
          <t>m</t>
        </r>
        <r>
          <rPr>
            <b/>
            <i/>
            <vertAlign val="subscript"/>
            <sz val="14"/>
            <color theme="1"/>
            <rFont val="Calibri"/>
            <family val="2"/>
          </rPr>
          <t>2</t>
        </r>
        <r>
          <rPr>
            <b/>
            <sz val="14"/>
            <color theme="1"/>
            <rFont val="Calibri"/>
            <family val="2"/>
          </rPr>
          <t xml:space="preserve">*Z + </t>
        </r>
        <r>
          <rPr>
            <b/>
            <i/>
            <sz val="14"/>
            <color theme="1"/>
            <rFont val="Calibri"/>
            <family val="2"/>
          </rPr>
          <t>b</t>
        </r>
        <r>
          <rPr>
            <b/>
            <i/>
            <vertAlign val="subscript"/>
            <sz val="14"/>
            <color theme="1"/>
            <rFont val="Calibri"/>
            <family val="2"/>
          </rPr>
          <t>2</t>
        </r>
        <r>
          <rPr>
            <b/>
            <sz val="14"/>
            <color theme="1"/>
            <rFont val="Calibri"/>
            <family val="2"/>
          </rPr>
          <t>)</t>
        </r>
        <r>
          <rPr>
            <b/>
            <sz val="14"/>
            <color indexed="81"/>
            <rFont val="Calibri"/>
            <family val="2"/>
          </rPr>
          <t xml:space="preserve">
where Z is the charge of the species.</t>
        </r>
      </text>
    </comment>
    <comment ref="Z2" authorId="0" shapeId="0" xr:uid="{00000000-0006-0000-0400-000007000000}">
      <text>
        <r>
          <rPr>
            <b/>
            <sz val="14"/>
            <color theme="1"/>
            <rFont val="Calibri"/>
            <family val="2"/>
          </rPr>
          <t>The equation for this correlation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theme="1"/>
            <rFont val="Calibri"/>
            <family val="2"/>
          </rPr>
          <t>m</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indexed="81"/>
            <rFont val="Calibri"/>
            <family val="2"/>
          </rPr>
          <t>b</t>
        </r>
        <r>
          <rPr>
            <b/>
            <sz val="14"/>
            <color indexed="81"/>
            <rFont val="Calibri"/>
            <family val="2"/>
          </rPr>
          <t xml:space="preserve">
where </t>
        </r>
        <r>
          <rPr>
            <b/>
            <i/>
            <sz val="14"/>
            <color indexed="81"/>
            <rFont val="Calibri"/>
            <family val="2"/>
          </rPr>
          <t>m</t>
        </r>
        <r>
          <rPr>
            <b/>
            <sz val="14"/>
            <color indexed="81"/>
            <rFont val="Calibri"/>
            <family val="2"/>
          </rPr>
          <t xml:space="preserve"> is the slope and </t>
        </r>
        <r>
          <rPr>
            <b/>
            <i/>
            <sz val="14"/>
            <color indexed="81"/>
            <rFont val="Calibri"/>
            <family val="2"/>
          </rPr>
          <t>b</t>
        </r>
        <r>
          <rPr>
            <b/>
            <sz val="14"/>
            <color indexed="81"/>
            <rFont val="Calibri"/>
            <family val="2"/>
          </rPr>
          <t xml:space="preserve"> is the intercept.</t>
        </r>
      </text>
    </comment>
    <comment ref="G3" authorId="0" shapeId="0" xr:uid="{00000000-0006-0000-0400-000008000000}">
      <text>
        <r>
          <rPr>
            <b/>
            <sz val="14"/>
            <color rgb="FF000000"/>
            <rFont val="Calibri"/>
            <family val="2"/>
          </rPr>
          <t>The input values for V</t>
        </r>
        <r>
          <rPr>
            <b/>
            <vertAlign val="superscript"/>
            <sz val="14"/>
            <color rgb="FF000000"/>
            <rFont val="Calibri"/>
            <family val="2"/>
          </rPr>
          <t>o</t>
        </r>
        <r>
          <rPr>
            <b/>
            <sz val="14"/>
            <color rgb="FF000000"/>
            <rFont val="Calibri"/>
            <family val="2"/>
          </rPr>
          <t xml:space="preserve"> and C</t>
        </r>
        <r>
          <rPr>
            <b/>
            <vertAlign val="subscript"/>
            <sz val="14"/>
            <color rgb="FF000000"/>
            <rFont val="Calibri"/>
            <family val="2"/>
          </rPr>
          <t>p</t>
        </r>
        <r>
          <rPr>
            <b/>
            <vertAlign val="superscript"/>
            <sz val="14"/>
            <color rgb="FF000000"/>
            <rFont val="Calibri"/>
            <family val="2"/>
          </rPr>
          <t>o</t>
        </r>
        <r>
          <rPr>
            <b/>
            <sz val="14"/>
            <color rgb="FF000000"/>
            <rFont val="Calibri"/>
            <family val="2"/>
          </rPr>
          <t xml:space="preserve"> are only used if the correponding HKF Parameters Option is set to one. Otherwise these values entered are ignored and V</t>
        </r>
        <r>
          <rPr>
            <b/>
            <vertAlign val="superscript"/>
            <sz val="14"/>
            <color rgb="FF000000"/>
            <rFont val="Calibri"/>
            <family val="2"/>
          </rPr>
          <t>o</t>
        </r>
        <r>
          <rPr>
            <b/>
            <sz val="14"/>
            <color rgb="FF000000"/>
            <rFont val="Calibri"/>
            <family val="2"/>
          </rPr>
          <t xml:space="preserve"> and C</t>
        </r>
        <r>
          <rPr>
            <b/>
            <vertAlign val="subscript"/>
            <sz val="14"/>
            <color rgb="FF000000"/>
            <rFont val="Calibri"/>
            <family val="2"/>
          </rPr>
          <t>p</t>
        </r>
        <r>
          <rPr>
            <b/>
            <vertAlign val="superscript"/>
            <sz val="14"/>
            <color rgb="FF000000"/>
            <rFont val="Calibri"/>
            <family val="2"/>
          </rPr>
          <t>o</t>
        </r>
        <r>
          <rPr>
            <b/>
            <sz val="14"/>
            <color rgb="FF000000"/>
            <rFont val="Calibri"/>
            <family val="2"/>
          </rPr>
          <t xml:space="preserve"> are calculated from the entered HKF parameters.</t>
        </r>
      </text>
    </comment>
    <comment ref="I3" authorId="0" shapeId="0" xr:uid="{00000000-0006-0000-0400-000009000000}">
      <text>
        <r>
          <rPr>
            <b/>
            <sz val="14"/>
            <color indexed="81"/>
            <rFont val="Calibri"/>
            <family val="2"/>
          </rPr>
          <t xml:space="preserve">The input value for </t>
        </r>
        <r>
          <rPr>
            <b/>
            <sz val="14"/>
            <color indexed="81"/>
            <rFont val="Symbol"/>
            <family val="1"/>
            <charset val="2"/>
          </rPr>
          <t>w</t>
        </r>
        <r>
          <rPr>
            <b/>
            <sz val="14"/>
            <color indexed="81"/>
            <rFont val="Calibri"/>
            <family val="2"/>
          </rPr>
          <t xml:space="preserve"> is only used if the </t>
        </r>
        <r>
          <rPr>
            <b/>
            <sz val="14"/>
            <color indexed="81"/>
            <rFont val="Symbol"/>
            <family val="1"/>
            <charset val="2"/>
          </rPr>
          <t>w</t>
        </r>
        <r>
          <rPr>
            <b/>
            <sz val="14"/>
            <color indexed="81"/>
            <rFont val="Calibri"/>
            <family val="2"/>
          </rPr>
          <t xml:space="preserve"> Option is set to zero. Otherwise, the value entered here is ignored and </t>
        </r>
        <r>
          <rPr>
            <b/>
            <sz val="14"/>
            <color indexed="81"/>
            <rFont val="Symbol"/>
            <family val="1"/>
            <charset val="2"/>
          </rPr>
          <t>w</t>
        </r>
        <r>
          <rPr>
            <b/>
            <sz val="14"/>
            <color indexed="81"/>
            <rFont val="Calibri"/>
            <family val="2"/>
          </rPr>
          <t xml:space="preserve"> is calculated using correlations which depend on the charge of the species.</t>
        </r>
      </text>
    </comment>
    <comment ref="N3" authorId="0" shapeId="0" xr:uid="{00000000-0006-0000-0400-00000A000000}">
      <text>
        <r>
          <rPr>
            <b/>
            <sz val="14"/>
            <color indexed="81"/>
            <rFont val="Calibri"/>
            <family val="2"/>
          </rPr>
          <t>These values are only used if the corresponding HKF Parameters Option is set to zero for this species. Otherwise these values are ignored and the HKF parameters are calculated from V</t>
        </r>
        <r>
          <rPr>
            <b/>
            <vertAlign val="superscript"/>
            <sz val="14"/>
            <color theme="1"/>
            <rFont val="Calibri"/>
            <family val="2"/>
            <scheme val="minor"/>
          </rPr>
          <t>o</t>
        </r>
        <r>
          <rPr>
            <b/>
            <sz val="14"/>
            <color indexed="81"/>
            <rFont val="Calibri"/>
            <family val="2"/>
          </rPr>
          <t>, C</t>
        </r>
        <r>
          <rPr>
            <b/>
            <vertAlign val="subscript"/>
            <sz val="14"/>
            <color theme="1"/>
            <rFont val="Calibri"/>
            <family val="2"/>
            <scheme val="minor"/>
          </rPr>
          <t>p</t>
        </r>
        <r>
          <rPr>
            <b/>
            <vertAlign val="superscript"/>
            <sz val="14"/>
            <color indexed="81"/>
            <rFont val="Calibri"/>
            <family val="2"/>
          </rPr>
          <t>o</t>
        </r>
        <r>
          <rPr>
            <b/>
            <sz val="14"/>
            <color theme="1"/>
            <rFont val="Calibri"/>
            <family val="2"/>
            <scheme val="minor"/>
          </rPr>
          <t xml:space="preserve"> and </t>
        </r>
        <r>
          <rPr>
            <b/>
            <sz val="14"/>
            <color indexed="81"/>
            <rFont val="Symbol"/>
            <family val="1"/>
            <charset val="2"/>
          </rPr>
          <t>w</t>
        </r>
        <r>
          <rPr>
            <b/>
            <sz val="14"/>
            <color indexed="81"/>
            <rFont val="Calibri"/>
            <family val="2"/>
          </rPr>
          <t>.</t>
        </r>
      </text>
    </comment>
    <comment ref="T3" authorId="0" shapeId="0" xr:uid="{00000000-0006-0000-0400-00000B000000}">
      <text>
        <r>
          <rPr>
            <b/>
            <sz val="14"/>
            <color indexed="81"/>
            <rFont val="Calibri"/>
            <family val="2"/>
          </rPr>
          <t xml:space="preserve">Add and edit comments for each species here. They can be viewed more completely on the "Aqueous Species Table" sheet.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500-000001000000}">
      <text>
        <r>
          <rPr>
            <b/>
            <sz val="14"/>
            <color indexed="81"/>
            <rFont val="Calibri"/>
            <family val="2"/>
          </rPr>
          <t>This sheet is meant to only display the paratemeters used for calculating information about the given species. It calculates and retrieves any values from the "Aqueous Species Options" sheet. Any changes to a species should be made there.</t>
        </r>
      </text>
    </comment>
    <comment ref="Q3" authorId="0" shapeId="0" xr:uid="{00000000-0006-0000-0500-000002000000}">
      <text>
        <r>
          <rPr>
            <b/>
            <sz val="14"/>
            <color indexed="81"/>
            <rFont val="Calibri"/>
            <family val="2"/>
          </rPr>
          <t>Comments for each species can be viewed here. Click on the cell containing the comment to expand it. Comments should be edited or added on the "Aqueous Species Options" 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800-000001000000}">
      <text>
        <r>
          <rPr>
            <b/>
            <sz val="14"/>
            <color indexed="81"/>
            <rFont val="Calibri"/>
            <family val="2"/>
          </rPr>
          <t>The values entered into the pressure and temperature columns can be changed and put in any order.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900-000001000000}">
      <text>
        <r>
          <rPr>
            <b/>
            <sz val="14"/>
            <color indexed="81"/>
            <rFont val="Calibri"/>
            <family val="2"/>
          </rPr>
          <t>The values entered into the pressure and temperature columns can be changed and put in any order.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A00-000001000000}">
      <text>
        <r>
          <rPr>
            <b/>
            <sz val="14"/>
            <color indexed="81"/>
            <rFont val="Calibri"/>
            <family val="2"/>
          </rPr>
          <t>The values entered into the pressure and temperature columns can be changed and put in any order.</t>
        </r>
      </text>
    </comment>
  </commentList>
</comments>
</file>

<file path=xl/sharedStrings.xml><?xml version="1.0" encoding="utf-8"?>
<sst xmlns="http://schemas.openxmlformats.org/spreadsheetml/2006/main" count="2296" uniqueCount="884">
  <si>
    <t>Chemical</t>
  </si>
  <si>
    <t>+</t>
  </si>
  <si>
    <t>=</t>
  </si>
  <si>
    <t>Z</t>
  </si>
  <si>
    <r>
      <t>a</t>
    </r>
    <r>
      <rPr>
        <i/>
        <vertAlign val="subscript"/>
        <sz val="16"/>
        <color theme="1"/>
        <rFont val="Calibri"/>
        <family val="2"/>
        <scheme val="minor"/>
      </rPr>
      <t>3</t>
    </r>
  </si>
  <si>
    <r>
      <t>c</t>
    </r>
    <r>
      <rPr>
        <i/>
        <vertAlign val="subscript"/>
        <sz val="16"/>
        <color theme="1"/>
        <rFont val="Calibri"/>
        <family val="2"/>
        <scheme val="minor"/>
      </rPr>
      <t>1</t>
    </r>
  </si>
  <si>
    <t>Symbol</t>
  </si>
  <si>
    <t>Name</t>
  </si>
  <si>
    <t>PROPANOATE,AQ</t>
  </si>
  <si>
    <t>PROPANOIC-ACID,AQ</t>
  </si>
  <si>
    <t>C3H6O2</t>
  </si>
  <si>
    <t>PROPANOL,AQ</t>
  </si>
  <si>
    <t>C3H7OH</t>
  </si>
  <si>
    <t>ACETATE,AQ</t>
  </si>
  <si>
    <t>CH3COO-</t>
  </si>
  <si>
    <t>ACETIC-ACID,AQ</t>
  </si>
  <si>
    <t>CH3COOH</t>
  </si>
  <si>
    <t>Ag+</t>
  </si>
  <si>
    <t>Ag(+)</t>
  </si>
  <si>
    <t>AgCl,aq</t>
  </si>
  <si>
    <t>AgCl(0)</t>
  </si>
  <si>
    <t>AgCl2-</t>
  </si>
  <si>
    <t>AgCl2(-)</t>
  </si>
  <si>
    <t>Al+3</t>
  </si>
  <si>
    <t>Al(+3)</t>
  </si>
  <si>
    <t>Ar,aq</t>
  </si>
  <si>
    <t>Ar(0)</t>
  </si>
  <si>
    <t>Au+</t>
  </si>
  <si>
    <t>Au(+)</t>
  </si>
  <si>
    <t>Au+3</t>
  </si>
  <si>
    <t>Au(+3)</t>
  </si>
  <si>
    <t>B(OH)3,aq</t>
  </si>
  <si>
    <t>B(OH)3(0)</t>
  </si>
  <si>
    <t>BENZENE,AQ</t>
  </si>
  <si>
    <t>BO2-</t>
  </si>
  <si>
    <t>BO2(-)</t>
  </si>
  <si>
    <t>Ba+2</t>
  </si>
  <si>
    <t>Ba(+2)</t>
  </si>
  <si>
    <t>BaCl+</t>
  </si>
  <si>
    <t>BaCl(+)</t>
  </si>
  <si>
    <t>Be+2</t>
  </si>
  <si>
    <t>Be(+2)</t>
  </si>
  <si>
    <t>Br-</t>
  </si>
  <si>
    <t>Br(-)</t>
  </si>
  <si>
    <t>CN-</t>
  </si>
  <si>
    <t>CN(-)</t>
  </si>
  <si>
    <t>CO,aq</t>
  </si>
  <si>
    <t>CO(0)</t>
  </si>
  <si>
    <t>CO2,aq</t>
  </si>
  <si>
    <t>CO2(0)</t>
  </si>
  <si>
    <t>CO3-2</t>
  </si>
  <si>
    <t>CO3(-2)</t>
  </si>
  <si>
    <t>Ca(HCO3)+</t>
  </si>
  <si>
    <t>Ca(HCO3)(+)</t>
  </si>
  <si>
    <t>Ca+2</t>
  </si>
  <si>
    <t>Ca(+2)</t>
  </si>
  <si>
    <t>CaCO3,aq</t>
  </si>
  <si>
    <t>CaCO3(0)</t>
  </si>
  <si>
    <t>CaCl+</t>
  </si>
  <si>
    <t>CaCl(+)</t>
  </si>
  <si>
    <t>CaCl2,aq</t>
  </si>
  <si>
    <t>CaCl(0)</t>
  </si>
  <si>
    <t>Ca(OH)+</t>
  </si>
  <si>
    <t>Ca(OH)(+)</t>
  </si>
  <si>
    <t>CaSO4,aq</t>
  </si>
  <si>
    <t>CaSO4(0)</t>
  </si>
  <si>
    <t>Cd+2</t>
  </si>
  <si>
    <t>Cd(+2)</t>
  </si>
  <si>
    <t>Ce+3</t>
  </si>
  <si>
    <t>Ce(+3)</t>
  </si>
  <si>
    <t>Ce+4</t>
  </si>
  <si>
    <t>Ce(+4)</t>
  </si>
  <si>
    <t>Cl-</t>
  </si>
  <si>
    <t>Cl(-)</t>
  </si>
  <si>
    <t>Co+2</t>
  </si>
  <si>
    <t>Co(+2)</t>
  </si>
  <si>
    <t>Co+3</t>
  </si>
  <si>
    <t>Co(+3)</t>
  </si>
  <si>
    <t>Cr+3</t>
  </si>
  <si>
    <t>Cr(+3)</t>
  </si>
  <si>
    <t>Cr2O7-2</t>
  </si>
  <si>
    <t>Cr2O7(-2)</t>
  </si>
  <si>
    <t>CrO4-2</t>
  </si>
  <si>
    <t>CrO4(-2)</t>
  </si>
  <si>
    <t>Cs+</t>
  </si>
  <si>
    <t>Cs(+)</t>
  </si>
  <si>
    <t>Cu+</t>
  </si>
  <si>
    <t>Cu(+)</t>
  </si>
  <si>
    <t>Cu+2</t>
  </si>
  <si>
    <t>Cu(+2)</t>
  </si>
  <si>
    <t>DIGLYCINE,AQ</t>
  </si>
  <si>
    <t>C4H8O3N2</t>
  </si>
  <si>
    <t>DKP,AQ</t>
  </si>
  <si>
    <t>C4H6O2N2</t>
  </si>
  <si>
    <t>Dy+3</t>
  </si>
  <si>
    <t>Dy(+3)</t>
  </si>
  <si>
    <t>ETHANE,AQ</t>
  </si>
  <si>
    <t>C2H6</t>
  </si>
  <si>
    <t>ETHANOL,AQ</t>
  </si>
  <si>
    <t>C2H5OH</t>
  </si>
  <si>
    <t>ETHYLENE,AQ</t>
  </si>
  <si>
    <t>C2H4</t>
  </si>
  <si>
    <t>Er+3</t>
  </si>
  <si>
    <t>Er(+3)</t>
  </si>
  <si>
    <t>Eu+2</t>
  </si>
  <si>
    <t>Eu(+2)</t>
  </si>
  <si>
    <t>Eu+3</t>
  </si>
  <si>
    <t>Eu(+3)</t>
  </si>
  <si>
    <t>F-</t>
  </si>
  <si>
    <t>F(-)</t>
  </si>
  <si>
    <t>FORMATE,AQ</t>
  </si>
  <si>
    <t>HCOO-</t>
  </si>
  <si>
    <t>FORMIC-ACID,AQ</t>
  </si>
  <si>
    <t>HCOOH</t>
  </si>
  <si>
    <t>Fe(CH3COO)+</t>
  </si>
  <si>
    <t>Fe(CH3COO)(+)</t>
  </si>
  <si>
    <t>Fe(CH3COO)2,aq</t>
  </si>
  <si>
    <t>Fe(CH3COO)2(0)</t>
  </si>
  <si>
    <t>Fe+2</t>
  </si>
  <si>
    <t>Fe(+2)</t>
  </si>
  <si>
    <t>Fe+3</t>
  </si>
  <si>
    <t>Fe(+3)</t>
  </si>
  <si>
    <t>FeCl+</t>
  </si>
  <si>
    <t>FeCl(+)</t>
  </si>
  <si>
    <t>FeCl2,aq</t>
  </si>
  <si>
    <t>FeCl2(0)</t>
  </si>
  <si>
    <t>FeCl++</t>
  </si>
  <si>
    <t>NaCl(0)</t>
  </si>
  <si>
    <t>C5H9NO4</t>
  </si>
  <si>
    <t>GLUTAMATE</t>
  </si>
  <si>
    <t>C5H8NO4-</t>
  </si>
  <si>
    <t>GLUTARIC-ACID,AQ</t>
  </si>
  <si>
    <t>C5H8O4</t>
  </si>
  <si>
    <t>GLUTAMINE,AQ</t>
  </si>
  <si>
    <t>C5H10N2O3</t>
  </si>
  <si>
    <t>GLUTARATE-</t>
  </si>
  <si>
    <t>C5H7O4-</t>
  </si>
  <si>
    <t>GLYCINE,AQ</t>
  </si>
  <si>
    <t>C2H5NO2</t>
  </si>
  <si>
    <t>GLYCOLATE,AQ</t>
  </si>
  <si>
    <t>C2H3O3-</t>
  </si>
  <si>
    <t>GLYCOLIC-ACID,AQ</t>
  </si>
  <si>
    <t>C2H4O3</t>
  </si>
  <si>
    <t>Ga+3</t>
  </si>
  <si>
    <t>Ga(+3)</t>
  </si>
  <si>
    <t>Gd+3</t>
  </si>
  <si>
    <t>Gd(+3)</t>
  </si>
  <si>
    <t>H+</t>
  </si>
  <si>
    <t>H(+)</t>
  </si>
  <si>
    <t>H-SUCCINATE,AQ</t>
  </si>
  <si>
    <t>C4H504-</t>
  </si>
  <si>
    <t>H2,aq</t>
  </si>
  <si>
    <t>H2(0)</t>
  </si>
  <si>
    <t>H2AsO3-</t>
  </si>
  <si>
    <t>H2AsO3(-)</t>
  </si>
  <si>
    <t>H2AsO4-</t>
  </si>
  <si>
    <t>H2AsO4(-)</t>
  </si>
  <si>
    <t>H2P2O7-2</t>
  </si>
  <si>
    <t>H2P2O7(-2)</t>
  </si>
  <si>
    <t>H2PO4-</t>
  </si>
  <si>
    <t>H2PO4(-)</t>
  </si>
  <si>
    <t>H2S,aq</t>
  </si>
  <si>
    <t>H2S(0)</t>
  </si>
  <si>
    <t>H2VO4-</t>
  </si>
  <si>
    <t>H2VO4(-)</t>
  </si>
  <si>
    <t>H3P2O7-</t>
  </si>
  <si>
    <t>H3P2O7(-)</t>
  </si>
  <si>
    <t>H3PO4,aq</t>
  </si>
  <si>
    <t>H3PO4(0)</t>
  </si>
  <si>
    <t>HAsO4-2</t>
  </si>
  <si>
    <t>HAsO4(-2)</t>
  </si>
  <si>
    <t>HCl,aq</t>
  </si>
  <si>
    <t>HCl(0)</t>
  </si>
  <si>
    <t>HCO3-</t>
  </si>
  <si>
    <t>HCO3(-)</t>
  </si>
  <si>
    <t>HCrO4-</t>
  </si>
  <si>
    <t>HCrO4(-)</t>
  </si>
  <si>
    <t>HO2-</t>
  </si>
  <si>
    <t>HO2(-)</t>
  </si>
  <si>
    <t>HPO4-2</t>
  </si>
  <si>
    <t>HPO4(-2)</t>
  </si>
  <si>
    <t>HS-</t>
  </si>
  <si>
    <t>HS(-)</t>
  </si>
  <si>
    <t>HSO3-</t>
  </si>
  <si>
    <t>HSO3(-)</t>
  </si>
  <si>
    <t>HSO4-</t>
  </si>
  <si>
    <t>HSO4(-)</t>
  </si>
  <si>
    <t>HSO5-</t>
  </si>
  <si>
    <t>HSO5(-)</t>
  </si>
  <si>
    <t>HSe-</t>
  </si>
  <si>
    <t>HSe(-)</t>
  </si>
  <si>
    <t>HSeO3-</t>
  </si>
  <si>
    <t>HSeO3(-)</t>
  </si>
  <si>
    <t>HSeO4-</t>
  </si>
  <si>
    <t>HSeO4(-)</t>
  </si>
  <si>
    <t>HSiO3(-)</t>
  </si>
  <si>
    <t>HVO4-2</t>
  </si>
  <si>
    <t>HVO4(-2)</t>
  </si>
  <si>
    <t>He,aq</t>
  </si>
  <si>
    <t>He(0)</t>
  </si>
  <si>
    <t>Hg+2</t>
  </si>
  <si>
    <t>Hg(+2)</t>
  </si>
  <si>
    <t>Hg2+2</t>
  </si>
  <si>
    <t>Hg2(+2)</t>
  </si>
  <si>
    <t>Ho+3</t>
  </si>
  <si>
    <t>Ho(+3)</t>
  </si>
  <si>
    <t>I-</t>
  </si>
  <si>
    <t>I(-)</t>
  </si>
  <si>
    <t>C6H13NO2</t>
  </si>
  <si>
    <t>In+3</t>
  </si>
  <si>
    <t>In(+3)</t>
  </si>
  <si>
    <t>K+</t>
  </si>
  <si>
    <t>K(+)</t>
  </si>
  <si>
    <t>KCl,aq</t>
  </si>
  <si>
    <t>KCl(0)</t>
  </si>
  <si>
    <t>KSO4-</t>
  </si>
  <si>
    <t>KSO4(-)</t>
  </si>
  <si>
    <t>Kr,aq</t>
  </si>
  <si>
    <t>Kr(0)</t>
  </si>
  <si>
    <t>LACTATE,AQ</t>
  </si>
  <si>
    <t>C3H5O3-</t>
  </si>
  <si>
    <t>LACTIC-ACID,AQ</t>
  </si>
  <si>
    <t>C3H6O3</t>
  </si>
  <si>
    <t>LEUCINE,AQ</t>
  </si>
  <si>
    <t>La+3</t>
  </si>
  <si>
    <t>La(+3)</t>
  </si>
  <si>
    <t>Li+</t>
  </si>
  <si>
    <t>Li(+)</t>
  </si>
  <si>
    <t>Lu+3</t>
  </si>
  <si>
    <t>Lu(+3)</t>
  </si>
  <si>
    <t>METHANE,AQ</t>
  </si>
  <si>
    <t>CH4</t>
  </si>
  <si>
    <t>METHANOL,AQ</t>
  </si>
  <si>
    <t>CH3OH</t>
  </si>
  <si>
    <t>Mg(HCO3)+</t>
  </si>
  <si>
    <t>Mg(HCO3)(+)</t>
  </si>
  <si>
    <t>Mg+2</t>
  </si>
  <si>
    <t>Mg(+2)</t>
  </si>
  <si>
    <t>MgCO3,aq</t>
  </si>
  <si>
    <t>MgCO3(0)</t>
  </si>
  <si>
    <t>MgCl+</t>
  </si>
  <si>
    <t>MgCl(+)</t>
  </si>
  <si>
    <t>Mn+2</t>
  </si>
  <si>
    <t>Mn(+2)</t>
  </si>
  <si>
    <t>MnCl+</t>
  </si>
  <si>
    <t>MnCl(+)</t>
  </si>
  <si>
    <t>MnO4-</t>
  </si>
  <si>
    <t>MnO4(-)</t>
  </si>
  <si>
    <t>MnO4-2</t>
  </si>
  <si>
    <t>MnO4(-2)</t>
  </si>
  <si>
    <t>MnSO4,aq</t>
  </si>
  <si>
    <t>MnSO4(0)</t>
  </si>
  <si>
    <t>MoO4-2</t>
  </si>
  <si>
    <t>MoO4(-2)</t>
  </si>
  <si>
    <t>C6H14</t>
  </si>
  <si>
    <t>N2,aq</t>
  </si>
  <si>
    <t>N2(0)</t>
  </si>
  <si>
    <t>NH3,aq</t>
  </si>
  <si>
    <t>NH3(0)</t>
  </si>
  <si>
    <t>NH4+</t>
  </si>
  <si>
    <t>NH4(+)</t>
  </si>
  <si>
    <t>NO2-</t>
  </si>
  <si>
    <t>NO2(-)</t>
  </si>
  <si>
    <t>NO3-</t>
  </si>
  <si>
    <t>NO3(-)</t>
  </si>
  <si>
    <t>Na+</t>
  </si>
  <si>
    <t>Na(+)</t>
  </si>
  <si>
    <t>NaCl,aq</t>
  </si>
  <si>
    <t>NaHSiO3,aq</t>
  </si>
  <si>
    <t>NaHSiO3(0)</t>
  </si>
  <si>
    <t>Nd+3</t>
  </si>
  <si>
    <t>Nd(+3)</t>
  </si>
  <si>
    <t>Ne,aq</t>
  </si>
  <si>
    <t>Ne(0)</t>
  </si>
  <si>
    <t>Ni+2</t>
  </si>
  <si>
    <t>Ni(+2)</t>
  </si>
  <si>
    <t>O2,aq</t>
  </si>
  <si>
    <t>O2(0)</t>
  </si>
  <si>
    <t>OH-</t>
  </si>
  <si>
    <t>OH(-)</t>
  </si>
  <si>
    <t>PO4-3</t>
  </si>
  <si>
    <t>PO4(-3)</t>
  </si>
  <si>
    <t>PROPANE,AQ</t>
  </si>
  <si>
    <t>C3H8</t>
  </si>
  <si>
    <t>C2H5COO-</t>
  </si>
  <si>
    <t>Pb+2</t>
  </si>
  <si>
    <t>Pb(+2)</t>
  </si>
  <si>
    <t>PbCl+</t>
  </si>
  <si>
    <t>PbCl(+)</t>
  </si>
  <si>
    <t>PbCl2,aq</t>
  </si>
  <si>
    <t>PbCl2(0)</t>
  </si>
  <si>
    <t>PbCl3-</t>
  </si>
  <si>
    <t>PbCl3(-)</t>
  </si>
  <si>
    <t>Pd+2</t>
  </si>
  <si>
    <t>Pd(+2)</t>
  </si>
  <si>
    <t>Pr+3</t>
  </si>
  <si>
    <t>Pr(+3)</t>
  </si>
  <si>
    <t>Ra+2</t>
  </si>
  <si>
    <t>Ra(+2)</t>
  </si>
  <si>
    <t>Rb+</t>
  </si>
  <si>
    <t>Rb(+)</t>
  </si>
  <si>
    <t>ReO4-</t>
  </si>
  <si>
    <t>ReO4(-)</t>
  </si>
  <si>
    <t>Rn,aq</t>
  </si>
  <si>
    <t>Rn(0)</t>
  </si>
  <si>
    <t>S2-2</t>
  </si>
  <si>
    <t>S2(-2)</t>
  </si>
  <si>
    <t>S2O3-2</t>
  </si>
  <si>
    <t>S2O3(-2)</t>
  </si>
  <si>
    <t>S2O4-2</t>
  </si>
  <si>
    <t>S2O4(-2)</t>
  </si>
  <si>
    <t>S2O5-2</t>
  </si>
  <si>
    <t>S2O5(-2)</t>
  </si>
  <si>
    <t>S2O6-2</t>
  </si>
  <si>
    <t>S2O6(-2)</t>
  </si>
  <si>
    <t>S2O8-2</t>
  </si>
  <si>
    <t>S2O8(-2)</t>
  </si>
  <si>
    <t>S3-2</t>
  </si>
  <si>
    <t>S3(-2)</t>
  </si>
  <si>
    <t>S3O6-2</t>
  </si>
  <si>
    <t>S3O6(-2)</t>
  </si>
  <si>
    <t>S4-2</t>
  </si>
  <si>
    <t>S4(-2)</t>
  </si>
  <si>
    <t>S4O6-2</t>
  </si>
  <si>
    <t>S4O6(-2)</t>
  </si>
  <si>
    <t>S5-2</t>
  </si>
  <si>
    <t>S5(-2)</t>
  </si>
  <si>
    <t>S5O6-2</t>
  </si>
  <si>
    <t>S5O6(-2)</t>
  </si>
  <si>
    <t>SO2,aq</t>
  </si>
  <si>
    <t>SO2(0)</t>
  </si>
  <si>
    <t>SO3-2</t>
  </si>
  <si>
    <t>SO3(-2)</t>
  </si>
  <si>
    <t>SO4-2</t>
  </si>
  <si>
    <t>SO4(-2)</t>
  </si>
  <si>
    <t>Sc+3</t>
  </si>
  <si>
    <t>Sc(+3)</t>
  </si>
  <si>
    <t>SeO3-2</t>
  </si>
  <si>
    <t>SeO3(-2)</t>
  </si>
  <si>
    <t>SeO4-2</t>
  </si>
  <si>
    <t>SeO4(-2)</t>
  </si>
  <si>
    <t>SiO2,aq</t>
  </si>
  <si>
    <t>SiO2(0)</t>
  </si>
  <si>
    <t>Sm+2</t>
  </si>
  <si>
    <t>Sm(+2)</t>
  </si>
  <si>
    <t>Sm+3</t>
  </si>
  <si>
    <t>Sm(+3)</t>
  </si>
  <si>
    <t>Sn+2</t>
  </si>
  <si>
    <t>Sn(+2)</t>
  </si>
  <si>
    <t>Sr+2</t>
  </si>
  <si>
    <t>Sr(+2)</t>
  </si>
  <si>
    <t>SrCl+</t>
  </si>
  <si>
    <t>SrCl(+)</t>
  </si>
  <si>
    <t>TOLUENE,AQ</t>
  </si>
  <si>
    <t>C6H5CH3</t>
  </si>
  <si>
    <t>Tb+3</t>
  </si>
  <si>
    <t>Tb(+3)</t>
  </si>
  <si>
    <t>Tl+</t>
  </si>
  <si>
    <t>Tl(+)</t>
  </si>
  <si>
    <t>Tl+3</t>
  </si>
  <si>
    <t>Tl(+3)</t>
  </si>
  <si>
    <t>Tm+3</t>
  </si>
  <si>
    <t>Tm(+3)</t>
  </si>
  <si>
    <t>UREA,AQ</t>
  </si>
  <si>
    <t>CH4N2O</t>
  </si>
  <si>
    <t>U+4</t>
  </si>
  <si>
    <t>U(+4)</t>
  </si>
  <si>
    <t>UO2+2</t>
  </si>
  <si>
    <t>UO2(+2)</t>
  </si>
  <si>
    <t>VO+2</t>
  </si>
  <si>
    <t>VO(+2)</t>
  </si>
  <si>
    <t>VO2+</t>
  </si>
  <si>
    <t>VO2(+)</t>
  </si>
  <si>
    <t>WO4-2</t>
  </si>
  <si>
    <t>WO4(-2)</t>
  </si>
  <si>
    <t>Xe,aq</t>
  </si>
  <si>
    <t>Xe(0)</t>
  </si>
  <si>
    <t>Y+3</t>
  </si>
  <si>
    <t>Y(+3)</t>
  </si>
  <si>
    <t>Yb+2</t>
  </si>
  <si>
    <t>Yb(+2)</t>
  </si>
  <si>
    <t>Yb+3</t>
  </si>
  <si>
    <t>Yb(+3)</t>
  </si>
  <si>
    <t>Zn+2</t>
  </si>
  <si>
    <t>Zn(+2)</t>
  </si>
  <si>
    <t>ZnCl+</t>
  </si>
  <si>
    <t>ZnCl(+)</t>
  </si>
  <si>
    <t>ZnCl3-</t>
  </si>
  <si>
    <t>ZnCl3(-)</t>
  </si>
  <si>
    <t>ZnCl2,aq</t>
  </si>
  <si>
    <t>ZnCl2(0)</t>
  </si>
  <si>
    <t>a</t>
  </si>
  <si>
    <t>Ar,g</t>
  </si>
  <si>
    <t>ARGON</t>
  </si>
  <si>
    <t>CH4,g</t>
  </si>
  <si>
    <t>METHANE</t>
  </si>
  <si>
    <t>CO,g</t>
  </si>
  <si>
    <t>CARBON-MONOXIDE</t>
  </si>
  <si>
    <t>CO2,g</t>
  </si>
  <si>
    <t>CARBON-DIOXIDE</t>
  </si>
  <si>
    <t>H2,g</t>
  </si>
  <si>
    <t>HYDROGEN</t>
  </si>
  <si>
    <t>H2S,g</t>
  </si>
  <si>
    <t>HYDROGEN-SULFIDE</t>
  </si>
  <si>
    <t>He,g</t>
  </si>
  <si>
    <t>HELIUM</t>
  </si>
  <si>
    <t>Kr,g</t>
  </si>
  <si>
    <t>KRYPTON</t>
  </si>
  <si>
    <t>N2,g</t>
  </si>
  <si>
    <t>NITROGEN</t>
  </si>
  <si>
    <t>NH3,g</t>
  </si>
  <si>
    <t>AMMONIA</t>
  </si>
  <si>
    <t>Ne,g</t>
  </si>
  <si>
    <t>NEON</t>
  </si>
  <si>
    <t>O2,g</t>
  </si>
  <si>
    <t>OXYGEN</t>
  </si>
  <si>
    <t>Rn,g</t>
  </si>
  <si>
    <t>RADON</t>
  </si>
  <si>
    <t>S2,g</t>
  </si>
  <si>
    <t>SULFUR</t>
  </si>
  <si>
    <t>SO2,g</t>
  </si>
  <si>
    <t>SULFUR-DIOXIDE</t>
  </si>
  <si>
    <t>Xe,g</t>
  </si>
  <si>
    <t>XENON</t>
  </si>
  <si>
    <t>Pressure</t>
  </si>
  <si>
    <r>
      <t>a</t>
    </r>
    <r>
      <rPr>
        <i/>
        <vertAlign val="subscript"/>
        <sz val="12"/>
        <color theme="1"/>
        <rFont val="Calibri"/>
        <family val="2"/>
        <scheme val="minor"/>
      </rPr>
      <t>3</t>
    </r>
  </si>
  <si>
    <r>
      <t>c</t>
    </r>
    <r>
      <rPr>
        <i/>
        <vertAlign val="subscript"/>
        <sz val="12"/>
        <color theme="1"/>
        <rFont val="Calibri"/>
        <family val="2"/>
        <scheme val="minor"/>
      </rPr>
      <t>1</t>
    </r>
  </si>
  <si>
    <t>ε</t>
  </si>
  <si>
    <r>
      <t>ΔG</t>
    </r>
    <r>
      <rPr>
        <vertAlign val="subscript"/>
        <sz val="11"/>
        <color theme="1"/>
        <rFont val="Calibri"/>
        <family val="2"/>
      </rPr>
      <t>r</t>
    </r>
    <r>
      <rPr>
        <vertAlign val="superscript"/>
        <sz val="11"/>
        <color theme="1"/>
        <rFont val="Calibri"/>
        <family val="2"/>
      </rPr>
      <t>o</t>
    </r>
  </si>
  <si>
    <r>
      <t>T</t>
    </r>
    <r>
      <rPr>
        <vertAlign val="subscript"/>
        <sz val="11"/>
        <color theme="1"/>
        <rFont val="Calibri"/>
        <family val="2"/>
        <scheme val="minor"/>
      </rPr>
      <t>r</t>
    </r>
  </si>
  <si>
    <t>θ</t>
  </si>
  <si>
    <t>Value</t>
  </si>
  <si>
    <t>Units</t>
  </si>
  <si>
    <t>K</t>
  </si>
  <si>
    <t>log K</t>
  </si>
  <si>
    <t>R</t>
  </si>
  <si>
    <t>Y</t>
  </si>
  <si>
    <r>
      <t>K</t>
    </r>
    <r>
      <rPr>
        <vertAlign val="superscript"/>
        <sz val="11"/>
        <color theme="1"/>
        <rFont val="Calibri"/>
        <family val="2"/>
        <scheme val="minor"/>
      </rPr>
      <t>-1</t>
    </r>
  </si>
  <si>
    <t>Aqueous</t>
  </si>
  <si>
    <r>
      <t>P</t>
    </r>
    <r>
      <rPr>
        <vertAlign val="subscript"/>
        <sz val="11"/>
        <color theme="1"/>
        <rFont val="Calibri"/>
        <family val="2"/>
        <scheme val="minor"/>
      </rPr>
      <t>r</t>
    </r>
  </si>
  <si>
    <t>bar</t>
  </si>
  <si>
    <r>
      <rPr>
        <sz val="11"/>
        <color theme="1"/>
        <rFont val="Calibri"/>
        <family val="2"/>
      </rPr>
      <t>ε</t>
    </r>
    <r>
      <rPr>
        <vertAlign val="subscript"/>
        <sz val="11"/>
        <color theme="1"/>
        <rFont val="Calibri"/>
        <family val="2"/>
      </rPr>
      <t>PrTr</t>
    </r>
  </si>
  <si>
    <t>-</t>
  </si>
  <si>
    <r>
      <t>cal mol</t>
    </r>
    <r>
      <rPr>
        <vertAlign val="superscript"/>
        <sz val="11"/>
        <color theme="1"/>
        <rFont val="Calibri"/>
        <family val="2"/>
        <scheme val="minor"/>
      </rPr>
      <t>-1</t>
    </r>
    <r>
      <rPr>
        <sz val="11"/>
        <color theme="1"/>
        <rFont val="Calibri"/>
        <family val="2"/>
        <scheme val="minor"/>
      </rPr>
      <t xml:space="preserve"> K</t>
    </r>
    <r>
      <rPr>
        <vertAlign val="superscript"/>
        <sz val="11"/>
        <color theme="1"/>
        <rFont val="Calibri"/>
        <family val="2"/>
        <scheme val="minor"/>
      </rPr>
      <t>-1</t>
    </r>
  </si>
  <si>
    <t>T</t>
  </si>
  <si>
    <r>
      <t>ΔG</t>
    </r>
    <r>
      <rPr>
        <i/>
        <vertAlign val="subscript"/>
        <sz val="16"/>
        <color theme="1"/>
        <rFont val="Calibri"/>
        <family val="2"/>
        <scheme val="minor"/>
      </rPr>
      <t>f</t>
    </r>
    <r>
      <rPr>
        <i/>
        <vertAlign val="superscript"/>
        <sz val="16"/>
        <color theme="1"/>
        <rFont val="Calibri"/>
        <family val="2"/>
        <scheme val="minor"/>
      </rPr>
      <t>o</t>
    </r>
    <r>
      <rPr>
        <i/>
        <sz val="16"/>
        <color theme="1"/>
        <rFont val="Calibri"/>
        <family val="2"/>
        <scheme val="minor"/>
      </rPr>
      <t xml:space="preserve"> </t>
    </r>
    <r>
      <rPr>
        <i/>
        <sz val="10"/>
        <color theme="1"/>
        <rFont val="Calibri"/>
        <family val="2"/>
        <scheme val="minor"/>
      </rPr>
      <t/>
    </r>
  </si>
  <si>
    <r>
      <t>S</t>
    </r>
    <r>
      <rPr>
        <i/>
        <vertAlign val="superscript"/>
        <sz val="16"/>
        <color theme="1"/>
        <rFont val="Calibri"/>
        <family val="2"/>
        <scheme val="minor"/>
      </rPr>
      <t>o</t>
    </r>
  </si>
  <si>
    <r>
      <t>ΔH</t>
    </r>
    <r>
      <rPr>
        <i/>
        <vertAlign val="subscript"/>
        <sz val="16"/>
        <color theme="1"/>
        <rFont val="Calibri"/>
        <family val="2"/>
      </rPr>
      <t>f</t>
    </r>
    <r>
      <rPr>
        <i/>
        <vertAlign val="superscript"/>
        <sz val="16"/>
        <color theme="1"/>
        <rFont val="Calibri"/>
        <family val="2"/>
      </rPr>
      <t>o</t>
    </r>
  </si>
  <si>
    <r>
      <t>V</t>
    </r>
    <r>
      <rPr>
        <i/>
        <vertAlign val="superscript"/>
        <sz val="16"/>
        <color theme="1"/>
        <rFont val="Calibri"/>
        <family val="2"/>
        <scheme val="minor"/>
      </rPr>
      <t>o</t>
    </r>
  </si>
  <si>
    <t>Standard Constants</t>
  </si>
  <si>
    <t>Temp</t>
  </si>
  <si>
    <t>ε Used for Calculation</t>
  </si>
  <si>
    <t>Water</t>
  </si>
  <si>
    <t>Bold Values are extrapolated</t>
  </si>
  <si>
    <t>User Input Dielectric Constant Values</t>
  </si>
  <si>
    <t>Values from Helgeson, Kirkham, &amp; Flowers (1974)</t>
  </si>
  <si>
    <t>Version</t>
  </si>
  <si>
    <r>
      <t xml:space="preserve">First Official Version, Calculated </t>
    </r>
    <r>
      <rPr>
        <sz val="11"/>
        <color theme="1"/>
        <rFont val="Calibri"/>
        <family val="2"/>
      </rPr>
      <t>ΔG from user input Dielectric Constant, Calculations sheet Hidden away as Extra</t>
    </r>
  </si>
  <si>
    <t>Changed User Input values to Dielectric Constant table to reflect values from Supcrt</t>
  </si>
  <si>
    <t>Major Restructuring, Redesigned Calculations Table and made the sheet more prominent, Removed Dielectric Constant sheet and used Water density to calculate Dielectric Constant using either Supcrt or Franck's equation, Water Density values were taken from Supcrt</t>
  </si>
  <si>
    <t>Added the ability to input water as a reactant by itself, Restructured the Input sheet to better display information, Added a Water Free Energy sheet but left blank for time being, Removed Extraneous Details from Reaction Information Table</t>
  </si>
  <si>
    <t>Minor tweaks and a few fixes</t>
  </si>
  <si>
    <t>Calculated Values for Water Density from Brodholt &amp; Wood up to 50 kbar and put into Water Density Sheet, Performed Calculations from 100 To 1000 C every 10 C</t>
  </si>
  <si>
    <t>Fixed Problem in displaying Water Gibbs Free Energy from Calculations sheet, Updated Water Density chart - Used Supcrt values for pressure less than 5 kbar and Brodholt &amp; Wood for pressures greater than 5 kbar, Added in densities from Brodholt and Wood for temperatures ending in 25 and 75</t>
  </si>
  <si>
    <t>Redefined Each information sheet to extend out to 50 kbar, fixed information pulling from the sheets to look at entire area (previously the formulas did look as far down as it should have), Calculated new Water Free Energies from Delaney &amp; Helgeson, Removed links to external data source</t>
  </si>
  <si>
    <t>Change Log &amp; Information</t>
  </si>
  <si>
    <t>Increased Values in Water Density sheet to go up to 30 kbar, Recolored cells to be consistant with colors in Excel 2007</t>
  </si>
  <si>
    <t>Combined 1.1 and 2.2 by allowing the user to input their own Dielectric Constant or calculate it based on data in the Water Density Table, Water Gibbs Free Energy values were put in up to 15 kbar and 1000 C from Supcrt, Added recording the version on the Input sheet</t>
  </si>
  <si>
    <t>Updated results sheet to not display zeros if no values are present, Restructured Reaction Information Sheet, Fixed Credit to Water Free Energy values, Updated Epsilon to give N/A error if it gives a zero value, Added Change Log</t>
  </si>
  <si>
    <r>
      <t xml:space="preserve">Updated results sheet further to properly display values when they are known and display nothing if they are not known, previously entering only water made </t>
    </r>
    <r>
      <rPr>
        <sz val="11"/>
        <color theme="1"/>
        <rFont val="Calibri"/>
        <family val="2"/>
      </rPr>
      <t>ΔG print out zero for all values</t>
    </r>
  </si>
  <si>
    <r>
      <t xml:space="preserve">Added in an option to calculate the dielectric constant using an equation which approximates Franck's equation at high pressures. Changed the dipole moment of water, </t>
    </r>
    <r>
      <rPr>
        <sz val="11"/>
        <color theme="1"/>
        <rFont val="Calibri"/>
        <family val="2"/>
      </rPr>
      <t>μ, from 2.33 D to 2.30 D. Recalculated the densities in the table using the equation from Zhang &amp; Duan (2005).</t>
    </r>
  </si>
  <si>
    <t>Changed the Results sheet to display which equation was used to calculate the dielectric constant of water.</t>
  </si>
  <si>
    <t>Changed the Reaction Information sheet to look at a larger table from the Aqueous Species sheet to allow for adding in new species. Froze various sheets to keep labels on the top.</t>
  </si>
  <si>
    <t>Q</t>
  </si>
  <si>
    <t>X</t>
  </si>
  <si>
    <t>Conversion</t>
  </si>
  <si>
    <t>Added the ability to calculate the EOS coefficients from certain input parameters. The user can now choose to pull values from the table or use the calculations to determine the values. Changed the Water Free Energy calculations to calculate it directly rather than pulling it from a table.</t>
  </si>
  <si>
    <t>Updated Franck Power Fit constants, Removed Water Density sheet and created a VBA program to calculate the density using Zhang &amp; Duan (2005)</t>
  </si>
  <si>
    <t>Redefined the Franck Power fit to have the form of a new version of the equation which takes Heger Data into account in it's formulation. This function behaves much better at lower temperatures.</t>
  </si>
  <si>
    <t>Tweaked the Franck Power Fit constants a bit. Renamed Franck Power Fit to Power Function.</t>
  </si>
  <si>
    <t>Options for Dielectric Constant Equation</t>
  </si>
  <si>
    <t>Custom Values</t>
  </si>
  <si>
    <t>Options for Water Free Energy Equation</t>
  </si>
  <si>
    <t>Removed radio buttons as choices for the dielectric constant equation and replaced it with a combo box. Also added a feature to choose an equation for the Gibbs Free Energy of water (also using a combo box). Currently the options are Delaney &amp; Helgeson, a Supcrt fit, and custom values.</t>
  </si>
  <si>
    <t>Changed the Supcrt fit equation to calculate the Gibbs Free Energy to instead use an equation based off of Helgeson, Kirkham, &amp; Flowers (1974).</t>
  </si>
  <si>
    <t>Zhang &amp; Duan (2005)</t>
  </si>
  <si>
    <t>Delaney &amp; Helgeson (1978)</t>
  </si>
  <si>
    <t>Fixed a few issues in the code (some versions of excel didn't like using a^b, and a few rounding problems). Reformatted slightly to change number of digits displayed. Updated values for SiO2 ,aq in Aqueous Species Table based on new data.</t>
  </si>
  <si>
    <t>HEXANE,AQ</t>
  </si>
  <si>
    <t>MgOH+</t>
  </si>
  <si>
    <t>MgOH(+)</t>
  </si>
  <si>
    <t>MgSO4,aq</t>
  </si>
  <si>
    <t>MgSO4</t>
  </si>
  <si>
    <t>NaOH,aq</t>
  </si>
  <si>
    <t>NaOH(0)</t>
  </si>
  <si>
    <t>Updated values for CO2,aq and HCO3-. Added new Aqueous Species to the list.</t>
  </si>
  <si>
    <t>NaHCO3(0)</t>
  </si>
  <si>
    <t>Row</t>
  </si>
  <si>
    <t>Constants and Options used for calculations</t>
  </si>
  <si>
    <t>Standard values calculated at input pressure and temperature</t>
  </si>
  <si>
    <t>Gibbs Free Energy Calculations</t>
  </si>
  <si>
    <t>Volume Calculations</t>
  </si>
  <si>
    <r>
      <t>V</t>
    </r>
    <r>
      <rPr>
        <vertAlign val="superscript"/>
        <sz val="11"/>
        <color theme="1"/>
        <rFont val="Calibri"/>
        <family val="2"/>
      </rPr>
      <t>o</t>
    </r>
  </si>
  <si>
    <r>
      <t>ΔV</t>
    </r>
    <r>
      <rPr>
        <vertAlign val="subscript"/>
        <sz val="11"/>
        <color theme="1"/>
        <rFont val="Calibri"/>
        <family val="2"/>
      </rPr>
      <t>r</t>
    </r>
  </si>
  <si>
    <r>
      <t>bar</t>
    </r>
    <r>
      <rPr>
        <vertAlign val="superscript"/>
        <sz val="11"/>
        <color theme="1"/>
        <rFont val="Calibri"/>
        <family val="2"/>
        <scheme val="minor"/>
      </rPr>
      <t>-1</t>
    </r>
  </si>
  <si>
    <t>7.0.0</t>
  </si>
  <si>
    <t>Major changes. Added the ability to calculate volumes as well as Gibbs Free Energies. Implemented a function to calculate the Q Born Coefficient which uses a private function for calculating epsilon. The function will not work if the user inputs epsilon values. Cleaned up and reorganized the Calculations page to make it easier to read. Hid certain tabs which are less important and not used very often. Added a second decimal place to the version for keeping track of when aqueous species EOS are updated. Updated CaHCO3+ EOS parameters. Colored tabs for easier recognition.</t>
  </si>
  <si>
    <r>
      <t>cal mol</t>
    </r>
    <r>
      <rPr>
        <i/>
        <vertAlign val="superscript"/>
        <sz val="9"/>
        <color theme="1"/>
        <rFont val="Calibri"/>
        <family val="2"/>
        <scheme val="minor"/>
      </rPr>
      <t>-1</t>
    </r>
  </si>
  <si>
    <r>
      <t>cal mol</t>
    </r>
    <r>
      <rPr>
        <i/>
        <vertAlign val="superscript"/>
        <sz val="9"/>
        <color theme="1"/>
        <rFont val="Calibri"/>
        <family val="2"/>
      </rPr>
      <t>-1</t>
    </r>
  </si>
  <si>
    <r>
      <t>cal mol</t>
    </r>
    <r>
      <rPr>
        <i/>
        <vertAlign val="superscript"/>
        <sz val="9"/>
        <color theme="1"/>
        <rFont val="Calibri"/>
        <family val="2"/>
      </rPr>
      <t xml:space="preserve">-1 </t>
    </r>
    <r>
      <rPr>
        <i/>
        <sz val="9"/>
        <color theme="1"/>
        <rFont val="Calibri"/>
        <family val="2"/>
      </rPr>
      <t>K</t>
    </r>
    <r>
      <rPr>
        <i/>
        <vertAlign val="superscript"/>
        <sz val="9"/>
        <color theme="1"/>
        <rFont val="Calibri"/>
        <family val="2"/>
      </rPr>
      <t>-1</t>
    </r>
  </si>
  <si>
    <r>
      <t>cal K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</si>
  <si>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-1</t>
    </r>
  </si>
  <si>
    <r>
      <t>cal mol</t>
    </r>
    <r>
      <rPr>
        <i/>
        <vertAlign val="superscript"/>
        <sz val="12"/>
        <color theme="1"/>
        <rFont val="Calibri"/>
        <family val="2"/>
        <scheme val="minor"/>
      </rPr>
      <t>-1</t>
    </r>
  </si>
  <si>
    <r>
      <t>cal mol</t>
    </r>
    <r>
      <rPr>
        <i/>
        <vertAlign val="superscript"/>
        <sz val="12"/>
        <color theme="1"/>
        <rFont val="Calibri"/>
        <family val="2"/>
      </rPr>
      <t>-1</t>
    </r>
  </si>
  <si>
    <r>
      <t>cal mol</t>
    </r>
    <r>
      <rPr>
        <i/>
        <vertAlign val="superscript"/>
        <sz val="12"/>
        <color theme="1"/>
        <rFont val="Calibri"/>
        <family val="2"/>
      </rPr>
      <t xml:space="preserve">-1 </t>
    </r>
    <r>
      <rPr>
        <i/>
        <sz val="12"/>
        <color theme="1"/>
        <rFont val="Calibri"/>
        <family val="2"/>
      </rPr>
      <t>K</t>
    </r>
    <r>
      <rPr>
        <i/>
        <vertAlign val="superscript"/>
        <sz val="12"/>
        <color theme="1"/>
        <rFont val="Calibri"/>
        <family val="2"/>
      </rPr>
      <t>-1</t>
    </r>
  </si>
  <si>
    <r>
      <t>cal K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</si>
  <si>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cal mol</t>
    </r>
    <r>
      <rPr>
        <i/>
        <vertAlign val="superscript"/>
        <sz val="12"/>
        <color theme="1"/>
        <rFont val="Calibri"/>
        <family val="2"/>
        <scheme val="minor"/>
      </rPr>
      <t>-1</t>
    </r>
    <r>
      <rPr>
        <i/>
        <sz val="12"/>
        <color theme="1"/>
        <rFont val="Calibri"/>
        <family val="2"/>
        <scheme val="minor"/>
      </rPr>
      <t xml:space="preserve"> K</t>
    </r>
    <r>
      <rPr>
        <i/>
        <vertAlign val="superscript"/>
        <sz val="12"/>
        <color theme="1"/>
        <rFont val="Calibri"/>
        <family val="2"/>
        <scheme val="minor"/>
      </rPr>
      <t>-1</t>
    </r>
  </si>
  <si>
    <r>
      <t>a</t>
    </r>
    <r>
      <rPr>
        <i/>
        <vertAlign val="subscript"/>
        <sz val="16"/>
        <color theme="1"/>
        <rFont val="Calibri"/>
        <family val="2"/>
        <scheme val="minor"/>
      </rPr>
      <t>1</t>
    </r>
    <r>
      <rPr>
        <i/>
        <sz val="12"/>
        <color theme="1"/>
        <rFont val="Calibri"/>
        <family val="2"/>
        <scheme val="minor"/>
      </rPr>
      <t xml:space="preserve"> x 10</t>
    </r>
  </si>
  <si>
    <r>
      <t>cal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</si>
  <si>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a</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-2</t>
    </r>
  </si>
  <si>
    <r>
      <t>cal mol</t>
    </r>
    <r>
      <rPr>
        <i/>
        <vertAlign val="superscript"/>
        <sz val="12"/>
        <color theme="1"/>
        <rFont val="Calibri"/>
        <family val="2"/>
        <scheme val="minor"/>
      </rPr>
      <t xml:space="preserve">-1 </t>
    </r>
  </si>
  <si>
    <r>
      <t>a</t>
    </r>
    <r>
      <rPr>
        <i/>
        <vertAlign val="subscript"/>
        <sz val="16"/>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</si>
  <si>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-4</t>
    </r>
  </si>
  <si>
    <r>
      <t>cal K mol</t>
    </r>
    <r>
      <rPr>
        <i/>
        <vertAlign val="superscript"/>
        <sz val="12"/>
        <color theme="1"/>
        <rFont val="Calibri"/>
        <family val="2"/>
        <scheme val="minor"/>
      </rPr>
      <t>-1</t>
    </r>
  </si>
  <si>
    <r>
      <t xml:space="preserve">ω </t>
    </r>
    <r>
      <rPr>
        <i/>
        <sz val="12"/>
        <color theme="1"/>
        <rFont val="Calibri"/>
        <family val="2"/>
      </rPr>
      <t>x 10</t>
    </r>
    <r>
      <rPr>
        <i/>
        <vertAlign val="superscript"/>
        <sz val="12"/>
        <color theme="1"/>
        <rFont val="Calibri"/>
        <family val="2"/>
      </rPr>
      <t>-5</t>
    </r>
  </si>
  <si>
    <r>
      <t>ΔG</t>
    </r>
    <r>
      <rPr>
        <i/>
        <vertAlign val="subscript"/>
        <sz val="12"/>
        <color theme="1"/>
        <rFont val="Calibri"/>
        <family val="2"/>
        <scheme val="minor"/>
      </rPr>
      <t>f</t>
    </r>
    <r>
      <rPr>
        <i/>
        <vertAlign val="superscript"/>
        <sz val="12"/>
        <color theme="1"/>
        <rFont val="Calibri"/>
        <family val="2"/>
        <scheme val="minor"/>
      </rPr>
      <t>o</t>
    </r>
    <r>
      <rPr>
        <i/>
        <sz val="12"/>
        <color theme="1"/>
        <rFont val="Calibri"/>
        <family val="2"/>
        <scheme val="minor"/>
      </rPr>
      <t xml:space="preserve"> </t>
    </r>
    <r>
      <rPr>
        <i/>
        <sz val="10"/>
        <color theme="1"/>
        <rFont val="Calibri"/>
        <family val="2"/>
        <scheme val="minor"/>
      </rPr>
      <t/>
    </r>
  </si>
  <si>
    <r>
      <t>ΔH</t>
    </r>
    <r>
      <rPr>
        <i/>
        <vertAlign val="subscript"/>
        <sz val="12"/>
        <color theme="1"/>
        <rFont val="Calibri"/>
        <family val="2"/>
      </rPr>
      <t>f</t>
    </r>
    <r>
      <rPr>
        <i/>
        <vertAlign val="superscript"/>
        <sz val="12"/>
        <color theme="1"/>
        <rFont val="Calibri"/>
        <family val="2"/>
      </rPr>
      <t>o</t>
    </r>
  </si>
  <si>
    <r>
      <t>S</t>
    </r>
    <r>
      <rPr>
        <i/>
        <vertAlign val="superscript"/>
        <sz val="12"/>
        <color theme="1"/>
        <rFont val="Calibri"/>
        <family val="2"/>
        <scheme val="minor"/>
      </rPr>
      <t>o</t>
    </r>
  </si>
  <si>
    <r>
      <t>a</t>
    </r>
    <r>
      <rPr>
        <i/>
        <vertAlign val="subscript"/>
        <sz val="12"/>
        <color theme="1"/>
        <rFont val="Calibri"/>
        <family val="2"/>
        <scheme val="minor"/>
      </rPr>
      <t>1</t>
    </r>
    <r>
      <rPr>
        <i/>
        <sz val="12"/>
        <color theme="1"/>
        <rFont val="Calibri"/>
        <family val="2"/>
        <scheme val="minor"/>
      </rPr>
      <t xml:space="preserve"> x 10</t>
    </r>
  </si>
  <si>
    <r>
      <t>a</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-2</t>
    </r>
  </si>
  <si>
    <r>
      <t>a</t>
    </r>
    <r>
      <rPr>
        <i/>
        <vertAlign val="subscript"/>
        <sz val="12"/>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</si>
  <si>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-4</t>
    </r>
  </si>
  <si>
    <r>
      <t>ω x 10</t>
    </r>
    <r>
      <rPr>
        <i/>
        <vertAlign val="superscript"/>
        <sz val="12"/>
        <color theme="1"/>
        <rFont val="Calibri"/>
        <family val="2"/>
      </rPr>
      <t>-5</t>
    </r>
  </si>
  <si>
    <r>
      <t>cal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</si>
  <si>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 xml:space="preserve">-1 </t>
    </r>
  </si>
  <si>
    <r>
      <t>cal K mol</t>
    </r>
    <r>
      <rPr>
        <i/>
        <vertAlign val="superscript"/>
        <sz val="9"/>
        <color theme="1"/>
        <rFont val="Calibri"/>
        <family val="2"/>
        <scheme val="minor"/>
      </rPr>
      <t>-1</t>
    </r>
  </si>
  <si>
    <r>
      <rPr>
        <i/>
        <sz val="11"/>
        <color theme="1"/>
        <rFont val="Calibri"/>
        <family val="2"/>
      </rPr>
      <t>ρ</t>
    </r>
    <r>
      <rPr>
        <vertAlign val="subscript"/>
        <sz val="11"/>
        <color theme="1"/>
        <rFont val="Calibri"/>
        <family val="2"/>
      </rPr>
      <t>H20</t>
    </r>
  </si>
  <si>
    <r>
      <rPr>
        <i/>
        <sz val="11"/>
        <color theme="1"/>
        <rFont val="Calibri"/>
        <family val="2"/>
      </rPr>
      <t>g cm</t>
    </r>
    <r>
      <rPr>
        <i/>
        <vertAlign val="superscript"/>
        <sz val="11"/>
        <color theme="1"/>
        <rFont val="Calibri"/>
        <family val="2"/>
      </rPr>
      <t>-3</t>
    </r>
  </si>
  <si>
    <r>
      <rPr>
        <i/>
        <vertAlign val="superscript"/>
        <sz val="11"/>
        <color theme="1"/>
        <rFont val="Calibri"/>
        <family val="2"/>
        <scheme val="minor"/>
      </rPr>
      <t>o</t>
    </r>
    <r>
      <rPr>
        <i/>
        <sz val="11"/>
        <color theme="1"/>
        <rFont val="Calibri"/>
        <family val="2"/>
        <scheme val="minor"/>
      </rPr>
      <t>C</t>
    </r>
  </si>
  <si>
    <t>7.0.1</t>
  </si>
  <si>
    <r>
      <t>V</t>
    </r>
    <r>
      <rPr>
        <vertAlign val="superscript"/>
        <sz val="11"/>
        <color theme="1"/>
        <rFont val="Calibri"/>
        <family val="2"/>
      </rPr>
      <t xml:space="preserve">o </t>
    </r>
    <r>
      <rPr>
        <sz val="11"/>
        <color theme="1"/>
        <rFont val="Calibri"/>
        <family val="2"/>
      </rPr>
      <t xml:space="preserve"> (cm</t>
    </r>
    <r>
      <rPr>
        <vertAlign val="superscript"/>
        <sz val="11"/>
        <color theme="1"/>
        <rFont val="Calibri"/>
        <family val="2"/>
      </rPr>
      <t>3</t>
    </r>
    <r>
      <rPr>
        <sz val="11"/>
        <color theme="1"/>
        <rFont val="Calibri"/>
        <family val="2"/>
      </rPr>
      <t xml:space="preserve"> mol</t>
    </r>
    <r>
      <rPr>
        <vertAlign val="superscript"/>
        <sz val="11"/>
        <color theme="1"/>
        <rFont val="Calibri"/>
        <family val="2"/>
      </rPr>
      <t>-1</t>
    </r>
    <r>
      <rPr>
        <sz val="11"/>
        <color theme="1"/>
        <rFont val="Calibri"/>
        <family val="2"/>
      </rPr>
      <t>)</t>
    </r>
  </si>
  <si>
    <t>Corrected units listed for certain variables. Fixed typos in Gibbs Free Energy equation on "Calculations" sheet. Added the feature where columns only appear in the "Results" sheet if the species is added to the equation.</t>
  </si>
  <si>
    <t>Step</t>
  </si>
  <si>
    <t>7.1.0</t>
  </si>
  <si>
    <t>Added in the option to calculate at a range of pressures as well as a range of temperatures.</t>
  </si>
  <si>
    <r>
      <t>K</t>
    </r>
    <r>
      <rPr>
        <vertAlign val="superscript"/>
        <sz val="11"/>
        <color theme="1"/>
        <rFont val="Calibri"/>
        <family val="2"/>
        <scheme val="minor"/>
      </rPr>
      <t>-2</t>
    </r>
  </si>
  <si>
    <r>
      <t>User Input Water Gibbs Free Energy Values (</t>
    </r>
    <r>
      <rPr>
        <b/>
        <i/>
        <sz val="16"/>
        <color theme="1"/>
        <rFont val="Calibri"/>
        <family val="2"/>
        <scheme val="minor"/>
      </rPr>
      <t>cal mol</t>
    </r>
    <r>
      <rPr>
        <b/>
        <i/>
        <vertAlign val="superscript"/>
        <sz val="16"/>
        <color theme="1"/>
        <rFont val="Calibri"/>
        <family val="2"/>
        <scheme val="minor"/>
      </rPr>
      <t>-1</t>
    </r>
    <r>
      <rPr>
        <b/>
        <sz val="16"/>
        <color theme="1"/>
        <rFont val="Calibri"/>
        <family val="2"/>
        <scheme val="minor"/>
      </rPr>
      <t>)</t>
    </r>
  </si>
  <si>
    <r>
      <t>Temp (</t>
    </r>
    <r>
      <rPr>
        <b/>
        <i/>
        <vertAlign val="superscript"/>
        <sz val="14"/>
        <color theme="1"/>
        <rFont val="Calibri"/>
        <family val="2"/>
        <scheme val="minor"/>
      </rPr>
      <t>o</t>
    </r>
    <r>
      <rPr>
        <b/>
        <i/>
        <sz val="14"/>
        <color theme="1"/>
        <rFont val="Calibri"/>
        <family val="2"/>
        <scheme val="minor"/>
      </rPr>
      <t>C</t>
    </r>
    <r>
      <rPr>
        <b/>
        <sz val="14"/>
        <color theme="1"/>
        <rFont val="Calibri"/>
        <family val="2"/>
        <scheme val="minor"/>
      </rPr>
      <t>)</t>
    </r>
  </si>
  <si>
    <r>
      <t>Pressure (</t>
    </r>
    <r>
      <rPr>
        <b/>
        <i/>
        <sz val="14"/>
        <color theme="1"/>
        <rFont val="Calibri"/>
        <family val="2"/>
        <scheme val="minor"/>
      </rPr>
      <t>kbar</t>
    </r>
    <r>
      <rPr>
        <b/>
        <sz val="14"/>
        <color theme="1"/>
        <rFont val="Calibri"/>
        <family val="2"/>
        <scheme val="minor"/>
      </rPr>
      <t>)</t>
    </r>
  </si>
  <si>
    <t>Min</t>
  </si>
  <si>
    <t>Max</t>
  </si>
  <si>
    <t>°C</t>
  </si>
  <si>
    <t>Temperature (°C)</t>
  </si>
  <si>
    <t>Choose Pressure Range</t>
  </si>
  <si>
    <t>Choose Temperature Range</t>
  </si>
  <si>
    <t>Choose an equation to calculate the Water Gibbs Free Energy</t>
  </si>
  <si>
    <t>Enter P-T Points</t>
  </si>
  <si>
    <t>Options for P-T Input Type</t>
  </si>
  <si>
    <t>Custom P-T Points</t>
  </si>
  <si>
    <t>Regular P-T Increments</t>
  </si>
  <si>
    <t>Regular Increments</t>
  </si>
  <si>
    <r>
      <t>P (</t>
    </r>
    <r>
      <rPr>
        <i/>
        <sz val="11"/>
        <color theme="1"/>
        <rFont val="Calibri"/>
        <family val="2"/>
        <scheme val="minor"/>
      </rPr>
      <t>bar</t>
    </r>
    <r>
      <rPr>
        <sz val="11"/>
        <color theme="1"/>
        <rFont val="Calibri"/>
        <family val="2"/>
        <scheme val="minor"/>
      </rPr>
      <t>)</t>
    </r>
  </si>
  <si>
    <r>
      <t>T (</t>
    </r>
    <r>
      <rPr>
        <i/>
        <sz val="11"/>
        <color theme="1"/>
        <rFont val="Calibri"/>
        <family val="2"/>
        <scheme val="minor"/>
      </rPr>
      <t>°C</t>
    </r>
    <r>
      <rPr>
        <sz val="11"/>
        <color theme="1"/>
        <rFont val="Calibri"/>
        <family val="2"/>
        <scheme val="minor"/>
      </rPr>
      <t>)</t>
    </r>
  </si>
  <si>
    <t>P-T used for calculation</t>
  </si>
  <si>
    <t>7.1.1</t>
  </si>
  <si>
    <t>Added in the option to input custom temperature and pressure points. This would be particularly useful if one wanted to calculate values along a geotherm.</t>
  </si>
  <si>
    <t>7.1.2</t>
  </si>
  <si>
    <t>Date</t>
  </si>
  <si>
    <t>Changed a few formulas to speed up the process marginally. Used IFERROR(… rather than IF(ISERROR(… Used INDEX() and MATCH() rather than HLOOKUP. Locked the "Input", "Results", and "Reaction Information" sheets so that users cannot edit things which they should not be changing. Changed the EOS parameters for CO2,aq, HCO3-, and CO3-2.</t>
  </si>
  <si>
    <r>
      <t>V</t>
    </r>
    <r>
      <rPr>
        <i/>
        <vertAlign val="superscript"/>
        <sz val="12"/>
        <color theme="1"/>
        <rFont val="Calibri"/>
        <family val="2"/>
        <scheme val="minor"/>
      </rPr>
      <t>o</t>
    </r>
  </si>
  <si>
    <r>
      <t>C</t>
    </r>
    <r>
      <rPr>
        <i/>
        <vertAlign val="subscript"/>
        <sz val="12"/>
        <color theme="1"/>
        <rFont val="Calibri"/>
        <family val="2"/>
        <scheme val="minor"/>
      </rPr>
      <t>p</t>
    </r>
  </si>
  <si>
    <r>
      <t>cm</t>
    </r>
    <r>
      <rPr>
        <i/>
        <vertAlign val="superscript"/>
        <sz val="9"/>
        <color theme="1"/>
        <rFont val="Calibri"/>
        <family val="2"/>
      </rPr>
      <t>3</t>
    </r>
    <r>
      <rPr>
        <i/>
        <sz val="9"/>
        <color theme="1"/>
        <rFont val="Calibri"/>
        <family val="2"/>
      </rPr>
      <t xml:space="preserve"> mol</t>
    </r>
    <r>
      <rPr>
        <i/>
        <vertAlign val="superscript"/>
        <sz val="9"/>
        <color theme="1"/>
        <rFont val="Calibri"/>
        <family val="2"/>
      </rPr>
      <t>-1</t>
    </r>
  </si>
  <si>
    <t>7.2.0</t>
  </si>
  <si>
    <r>
      <t>Added the ability to display the volume and heat capacity at 25 C and 1 bar to the "Reaction Information" tab. Because there is no data on this given in the "Aqueous Species" table, it is calculated from HKF equations (if the option of use the table rather than the equations is chosen). The terms in the equations for V and C</t>
    </r>
    <r>
      <rPr>
        <vertAlign val="subscript"/>
        <sz val="11"/>
        <color theme="1"/>
        <rFont val="Calibri"/>
        <family val="2"/>
        <scheme val="minor"/>
      </rPr>
      <t>p</t>
    </r>
    <r>
      <rPr>
        <sz val="11"/>
        <color theme="1"/>
        <rFont val="Calibri"/>
        <family val="2"/>
        <scheme val="minor"/>
      </rPr>
      <t xml:space="preserve"> with the derivative of omega are ignored, which potentially introduces slight inaccuracies.</t>
    </r>
  </si>
  <si>
    <t>7.3.0</t>
  </si>
  <si>
    <t>Choose an equation to calculate the Dielectric Constant</t>
  </si>
  <si>
    <t>Si2O4,aq</t>
  </si>
  <si>
    <t>Si2O4(0)</t>
  </si>
  <si>
    <t>Added a new option for calculating the HKF equation of state parameters which uses different equations for complex aqueous species (rather than simple ionic species). Updated the table in "Calculations" which calculates the EOS parameters to reflect the new equations and new option. Redefined the equations in "Reaction Information" to use different equations to look up species in the Aqueous Species table. The new equations no longer require the table to be sorted. Added the species Si2O4,aq into the "Aqueous Species" table and updated values for SiO2,aq.</t>
  </si>
  <si>
    <t>7.3.1</t>
  </si>
  <si>
    <t>Updated the HKF parameters for SiO2,aq and Si2O4,aq.</t>
  </si>
  <si>
    <t>Pressure (kb)</t>
  </si>
  <si>
    <t>Temperature (C)</t>
  </si>
  <si>
    <t>Log K</t>
  </si>
  <si>
    <t>Choose an equation to calculate the density of water</t>
  </si>
  <si>
    <t>Options for the density of water equation</t>
  </si>
  <si>
    <t>Zhang &amp; Duan (2009)</t>
  </si>
  <si>
    <t>User Options</t>
  </si>
  <si>
    <t>P-T Input Option</t>
  </si>
  <si>
    <t>Density of water equation</t>
  </si>
  <si>
    <t>Dielectric Constant Equation</t>
  </si>
  <si>
    <t>Water Free Energy Equation</t>
  </si>
  <si>
    <r>
      <t xml:space="preserve">Force Supcrt for P </t>
    </r>
    <r>
      <rPr>
        <sz val="11"/>
        <color theme="1"/>
        <rFont val="Calibri"/>
        <family val="2"/>
      </rPr>
      <t>≤</t>
    </r>
    <r>
      <rPr>
        <sz val="11"/>
        <color theme="1"/>
        <rFont val="Calibri"/>
        <family val="2"/>
        <scheme val="minor"/>
      </rPr>
      <t xml:space="preserve"> 5 kb</t>
    </r>
  </si>
  <si>
    <t>User Input Water Gibbs Free Energy</t>
  </si>
  <si>
    <r>
      <rPr>
        <sz val="11"/>
        <color theme="1"/>
        <rFont val="Calibri"/>
        <family val="2"/>
        <scheme val="minor"/>
      </rPr>
      <t xml:space="preserve">User Input </t>
    </r>
    <r>
      <rPr>
        <sz val="11"/>
        <color theme="1"/>
        <rFont val="Symbol"/>
        <family val="1"/>
        <charset val="2"/>
      </rPr>
      <t>e</t>
    </r>
  </si>
  <si>
    <r>
      <t>bar</t>
    </r>
    <r>
      <rPr>
        <i/>
        <vertAlign val="superscript"/>
        <sz val="11"/>
        <color theme="1"/>
        <rFont val="Calibri"/>
        <family val="2"/>
        <scheme val="minor"/>
      </rPr>
      <t>-1</t>
    </r>
  </si>
  <si>
    <r>
      <t xml:space="preserve">Q </t>
    </r>
    <r>
      <rPr>
        <i/>
        <sz val="11"/>
        <color theme="1"/>
        <rFont val="Calibri"/>
        <family val="2"/>
        <scheme val="minor"/>
      </rPr>
      <t>x 10</t>
    </r>
    <r>
      <rPr>
        <i/>
        <vertAlign val="superscript"/>
        <sz val="11"/>
        <color theme="1"/>
        <rFont val="Calibri"/>
        <family val="2"/>
        <scheme val="minor"/>
      </rPr>
      <t>6</t>
    </r>
  </si>
  <si>
    <t>8.0.0</t>
  </si>
  <si>
    <r>
      <t>cm</t>
    </r>
    <r>
      <rPr>
        <i/>
        <vertAlign val="superscript"/>
        <sz val="12"/>
        <color theme="1"/>
        <rFont val="Calibri"/>
        <family val="2"/>
      </rPr>
      <t>3</t>
    </r>
    <r>
      <rPr>
        <i/>
        <sz val="12"/>
        <color theme="1"/>
        <rFont val="Calibri"/>
        <family val="2"/>
      </rPr>
      <t xml:space="preserve"> mol</t>
    </r>
    <r>
      <rPr>
        <i/>
        <vertAlign val="superscript"/>
        <sz val="12"/>
        <color theme="1"/>
        <rFont val="Calibri"/>
        <family val="2"/>
      </rPr>
      <t>-1</t>
    </r>
  </si>
  <si>
    <r>
      <t>C</t>
    </r>
    <r>
      <rPr>
        <i/>
        <vertAlign val="subscript"/>
        <sz val="16"/>
        <color theme="1"/>
        <rFont val="Calibri"/>
        <family val="2"/>
        <scheme val="minor"/>
      </rPr>
      <t>p</t>
    </r>
    <r>
      <rPr>
        <i/>
        <vertAlign val="superscript"/>
        <sz val="16"/>
        <color theme="1"/>
        <rFont val="Calibri"/>
        <family val="2"/>
        <scheme val="minor"/>
      </rPr>
      <t>o</t>
    </r>
  </si>
  <si>
    <r>
      <rPr>
        <i/>
        <sz val="16"/>
        <color theme="1"/>
        <rFont val="Symbol"/>
        <family val="1"/>
        <charset val="2"/>
      </rPr>
      <t>w</t>
    </r>
    <r>
      <rPr>
        <i/>
        <sz val="16"/>
        <color theme="1"/>
        <rFont val="Calibri"/>
        <family val="2"/>
        <scheme val="minor"/>
      </rPr>
      <t xml:space="preserve"> Option</t>
    </r>
  </si>
  <si>
    <t>0: Defined Value</t>
  </si>
  <si>
    <t>0: Ionic Species</t>
  </si>
  <si>
    <t>1: Complex Species</t>
  </si>
  <si>
    <t>HKF Parameters Option</t>
  </si>
  <si>
    <r>
      <t>a</t>
    </r>
    <r>
      <rPr>
        <i/>
        <vertAlign val="subscript"/>
        <sz val="12"/>
        <color theme="1"/>
        <rFont val="Calibri"/>
        <family val="2"/>
        <scheme val="minor"/>
      </rPr>
      <t>1</t>
    </r>
    <r>
      <rPr>
        <i/>
        <sz val="12"/>
        <color theme="1"/>
        <rFont val="Calibri"/>
        <family val="2"/>
        <scheme val="minor"/>
      </rPr>
      <t xml:space="preserve"> Correlation Option</t>
    </r>
  </si>
  <si>
    <t>1: Correlations</t>
  </si>
  <si>
    <t>Integral of Volume</t>
  </si>
  <si>
    <t>Added a check box for the option to force the use of the Supcrt Equation below 5 kb. The HKF parameters for SiO2,aq and Si2O4,aq have again been updated. Added a feature which takes the list of log K's and forms them into a table. A plot is generated from this table. There are buttons on the plot which update the plot and switch whether the x-axis is temperature or pressure. The buttons were made to force the user to manual update to save processing time, rather than constantly updating with every change. The option to use correlations to find the HKF parameters has been overhauled. This feature has been integrated with the aqueous species table such that all the species can be defined at will, rather than only when they are put into the reaction. This is all laid out in the new "Aqueous Species Options" tab. "The Aqueous Species" tab still exists, but has been hidden so as not to confuse. Comments have been added to cells further explaining information.</t>
  </si>
  <si>
    <t>8.0.1</t>
  </si>
  <si>
    <r>
      <t>a</t>
    </r>
    <r>
      <rPr>
        <b/>
        <vertAlign val="subscript"/>
        <sz val="11"/>
        <color theme="1"/>
        <rFont val="Calibri"/>
        <family val="2"/>
        <scheme val="minor"/>
      </rPr>
      <t>1</t>
    </r>
    <r>
      <rPr>
        <b/>
        <sz val="11"/>
        <color theme="1"/>
        <rFont val="Calibri"/>
        <family val="2"/>
        <scheme val="minor"/>
      </rPr>
      <t xml:space="preserve"> Correlation Values</t>
    </r>
  </si>
  <si>
    <t>Ionic Species (0)</t>
  </si>
  <si>
    <t>Complex Species (1)</t>
  </si>
  <si>
    <t xml:space="preserve"> </t>
  </si>
  <si>
    <t>Minor changes to code. Fixed a few errors in formulas introduced in 8.0.0, particularly involving the plot on the "Results" sheet and the corresponding table. Added a textbox to the chart on the "Results" sheet which displays the reaction entered. The parameters for OH- have been updated.</t>
  </si>
  <si>
    <t>8.1.0</t>
  </si>
  <si>
    <t>Redisplayed the Aqueous Species Table so that there would be one spot where all updated values for aqueous species are displayed. The table is for viewing only. Added new functions to the code to be able to calculate the change in omega with pressure and temperature. These functions used the electrostatic radius and the pressure and temperature dependent solvent function, denoted as g. These equations were taken from Johnson et al. (1992). Because the calculation of of the g function does not apply for densities below 0.35, conditional formatting has been applied to the results page to color in cells where the values might be wrong. This will also highligh values if the pressure is below 1 kb or temperature is above 1000 C. The Fill All buttons on the "Aqeous Species Options" sheet have been removed as they were deemed unnecessary.</t>
  </si>
  <si>
    <t>8.1.1</t>
  </si>
  <si>
    <t>AlO2-</t>
  </si>
  <si>
    <t>AlO2(-)</t>
  </si>
  <si>
    <t>HAlO2(0)</t>
  </si>
  <si>
    <t>HAlO2,aq</t>
  </si>
  <si>
    <t>Updated values for Al+3 and Al(OH)+2. The new species AlO+, HAlO2,aq, and AlO2- were added to the list. All values were taken Shock et al. (1997) tables 4 and 10.</t>
  </si>
  <si>
    <t>8.1.2</t>
  </si>
  <si>
    <t>Fixed the formula discerning the equation title for the Graph. It now handles fractional species properly, such as 0.5 H2O. Also fixed the cells where one enters the quantity of species to properly display fractional species. The slope and intercept for the a1 vs Vn correlations were changed for the complex case on the "Aqueous Species Options" tab.</t>
  </si>
  <si>
    <t>8.1.3</t>
  </si>
  <si>
    <r>
      <t xml:space="preserve">Changed the volume of the HAlO2,aq species from 13.0 to 14.5 to better match density model extrapolations up to 50 kb. The 13.0 value was taken from Shock et al. (1997) Table 10. Changed the a1 through c2 parameters for AlO2-. The c1 and c2 parameters were taken from Shock et al. (1988). The complex correlation between a1 and Vn was used to get a1. The value of </t>
    </r>
    <r>
      <rPr>
        <sz val="11"/>
        <color theme="1"/>
        <rFont val="Symbol"/>
        <family val="1"/>
        <charset val="2"/>
      </rPr>
      <t>s</t>
    </r>
    <r>
      <rPr>
        <sz val="11"/>
        <color theme="1"/>
        <rFont val="Calibri"/>
        <family val="2"/>
        <scheme val="minor"/>
      </rPr>
      <t xml:space="preserve"> from Shock et al. (1988) was used in the relation between a2 and a1. These parameterizations were used for AlO2- to match density model extrapolations up to 50 kb as best as possible. The HKF parameters for AlO2- should use the defined values rather than the correlations.</t>
    </r>
  </si>
  <si>
    <t>8.1.4</t>
  </si>
  <si>
    <t>Updated the values for HAlO2,aq. Previously values were taken from Shock et al. (1997) and slightly modified. It was found that values from Pokrovskii &amp; Helgeson (1995), table 3 did a much better job of fitting data in Tropper &amp; Manning (2007), Ragnarsdottir &amp; Walther (1985), and Becker et al. (1983) than Shock et al. (1997). However, the correlations were not used to find a1 through c2. So instead, the values for G, H, and S were used from Pokrovskii and Helgeson (1995) and V, Cp, and omega were varied and the correlations used to reproduce results from Pokrovskii &amp; Helgeson. Pokrovskii &amp; Helgeson had V = 13.3, Cp = 41.3, and omega = 0.3. New values are V = 13, Cp = 47.5, and omega = 0.5. Further aluminum and sodium species, Al(OH)+2, Al(OH)2+, NaAlO2,aq, and NaOH,aq, were added or updated in the "Aqueous Species Options" sheet. All values were taken from Pokrovskii &amp; Helgeson (1995).</t>
  </si>
  <si>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-1</t>
    </r>
  </si>
  <si>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2</t>
    </r>
  </si>
  <si>
    <r>
      <t xml:space="preserve">b </t>
    </r>
    <r>
      <rPr>
        <i/>
        <sz val="12"/>
        <color theme="1"/>
        <rFont val="Calibri"/>
        <family val="2"/>
        <scheme val="minor"/>
      </rPr>
      <t>x 10</t>
    </r>
    <r>
      <rPr>
        <i/>
        <vertAlign val="superscript"/>
        <sz val="12"/>
        <color theme="1"/>
        <rFont val="Calibri"/>
        <family val="2"/>
        <scheme val="minor"/>
      </rPr>
      <t>3</t>
    </r>
  </si>
  <si>
    <r>
      <t xml:space="preserve">c </t>
    </r>
    <r>
      <rPr>
        <i/>
        <sz val="12"/>
        <color theme="1"/>
        <rFont val="Calibri"/>
        <family val="2"/>
        <scheme val="minor"/>
      </rPr>
      <t>x 10</t>
    </r>
    <r>
      <rPr>
        <i/>
        <vertAlign val="superscript"/>
        <sz val="12"/>
        <color theme="1"/>
        <rFont val="Calibri"/>
        <family val="2"/>
        <scheme val="minor"/>
      </rPr>
      <t>-5</t>
    </r>
  </si>
  <si>
    <t>kb</t>
  </si>
  <si>
    <t>Mineral</t>
  </si>
  <si>
    <t>Gas</t>
  </si>
  <si>
    <t>Psat Conditions</t>
  </si>
  <si>
    <t>Comments</t>
  </si>
  <si>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2</t>
    </r>
  </si>
  <si>
    <r>
      <t>b x 10</t>
    </r>
    <r>
      <rPr>
        <i/>
        <vertAlign val="superscript"/>
        <sz val="12"/>
        <color theme="1"/>
        <rFont val="Calibri"/>
        <family val="2"/>
        <scheme val="minor"/>
      </rPr>
      <t>3</t>
    </r>
  </si>
  <si>
    <r>
      <t>c x 10</t>
    </r>
    <r>
      <rPr>
        <i/>
        <vertAlign val="superscript"/>
        <sz val="12"/>
        <color theme="1"/>
        <rFont val="Calibri"/>
        <family val="2"/>
        <scheme val="minor"/>
      </rPr>
      <t>-5</t>
    </r>
  </si>
  <si>
    <t>T Limit</t>
  </si>
  <si>
    <t>9.0.0</t>
  </si>
  <si>
    <t>Modified the input sheet. The equation now has a separate section for Gases and Minerals. Added code to expand and contract many things so they are only visible when necessary. The table now calculates the gibbs free energies of gases, the only necessary input at this point is for minerals. Added the ability to calculate at Psat as one of the options. Because the density equations do not go down that far, polynomial fits to data from Supcrt were used to calculate pressure, density, the dielectric constant, and the Gibbs Free Energy of water, all as a function of temperature. Because of this, the options for which equations to use is not necessary when calculating under Psat conditions and the equation options are hidden when calculating under Psat conditions. The aqueous species table has been extended to accomodate an extra 200 new species. Comments have been added so one can annotate changes to each particular species. The comments should be edited on the "Aqueous Species Options" sheet and viewed properly on the "Aqueous Species Table" sheet. The warnings on the Results sheet table have been updated to include a warning for gases if the temperature for calculations goes beyond the Maier-Kelly coefficient range of validity for that gas.</t>
  </si>
  <si>
    <r>
      <t>Pressure (</t>
    </r>
    <r>
      <rPr>
        <b/>
        <i/>
        <sz val="14"/>
        <color theme="1"/>
        <rFont val="Calibri"/>
        <family val="2"/>
        <scheme val="minor"/>
      </rPr>
      <t>kb</t>
    </r>
    <r>
      <rPr>
        <b/>
        <sz val="14"/>
        <color theme="1"/>
        <rFont val="Calibri"/>
        <family val="2"/>
        <scheme val="minor"/>
      </rPr>
      <t>)</t>
    </r>
  </si>
  <si>
    <t>Values are taken from Supcrt92</t>
  </si>
  <si>
    <r>
      <t>User Input Density of Water Values (g cm</t>
    </r>
    <r>
      <rPr>
        <b/>
        <vertAlign val="superscript"/>
        <sz val="16"/>
        <color theme="1"/>
        <rFont val="Calibri"/>
        <family val="2"/>
        <scheme val="minor"/>
      </rPr>
      <t>-3</t>
    </r>
    <r>
      <rPr>
        <b/>
        <sz val="16"/>
        <color theme="1"/>
        <rFont val="Calibri"/>
        <family val="2"/>
        <scheme val="minor"/>
      </rPr>
      <t>)</t>
    </r>
  </si>
  <si>
    <r>
      <t xml:space="preserve">User Input </t>
    </r>
    <r>
      <rPr>
        <sz val="11"/>
        <color theme="1"/>
        <rFont val="Symbol"/>
        <family val="1"/>
        <charset val="2"/>
      </rPr>
      <t>r</t>
    </r>
    <r>
      <rPr>
        <vertAlign val="subscript"/>
        <sz val="11"/>
        <color theme="1"/>
        <rFont val="Calibri"/>
        <family val="2"/>
        <scheme val="minor"/>
      </rPr>
      <t>H2O</t>
    </r>
  </si>
  <si>
    <r>
      <t>ρ</t>
    </r>
    <r>
      <rPr>
        <vertAlign val="subscript"/>
        <sz val="11"/>
        <color theme="1"/>
        <rFont val="Calibri"/>
        <family val="2"/>
      </rPr>
      <t xml:space="preserve">H20 </t>
    </r>
    <r>
      <rPr>
        <sz val="11"/>
        <color theme="1"/>
        <rFont val="Calibri"/>
        <family val="2"/>
      </rPr>
      <t>Used for Calculation</t>
    </r>
  </si>
  <si>
    <t>9.1.0</t>
  </si>
  <si>
    <t>Added in a volume for any gasses which are part of the equation. All gases display and use the volume of 24.465 g cm^-3. Added in the ability to use custom density points. A sheet now exists where these points can be added entitled "Water Density". Added in values up to 5 kb and 1000 C from Supcrt92. Reworked the conditions on the results sheet where warnings are displayed for bad calculations. Made the formulas simpler and fixed a few problems. Added code to be able to plot the Psat Curve if the Psat conditions are chosen to calculate at. Remodeled equations for Psat conditions. Got better fits for pressure, density, dielectric constant, and water gibbs free energy as a function of temperature at Psat. Added f(T,P) difference function, which is to be used to calculate the g function (which is used in the function for omega) for Psat conditions.</t>
  </si>
  <si>
    <t>9.2.0</t>
  </si>
  <si>
    <t>9.2.1</t>
  </si>
  <si>
    <t>Changed the code which hides the conditions for which equations to calculate everything at depending on the P-T input. Previously this was causing issues because it constantly checked to see if it needed to be hidden any time a calculation was made. The code is now directly attached to the radio buttons as a macro and only hides/unhides the conditions if the buttons are pressed or changed. Updated Dielectric Constant Power Function equation to latest equation. This new equation should perform better at low temperatures and high pressures. An intro page has been added which has the option of running through a tutorial. There is also the ability to hide the intro page from view. It can be hidden/unhidden by using the 'Ctrl + r' (on a PC) or 'Option + Command + r' (on a Mac) keyboard shortcut. Parameters for CaCO3,aq, CO2,aq, and CO3-2 changed.</t>
  </si>
  <si>
    <t>Updated parameters for CO3-2, HCO3- and Ca+2. All new parameters derived from fitting Raman data.</t>
  </si>
  <si>
    <t>9.2.2</t>
  </si>
  <si>
    <t>Changed the note on the Input page under the current version cell. It now says to use 'Ctrl + t' (on a PC) or 'Option + Command + t' (on a Mac) to redisplay the intro page. Previously used the 'r' key but that shortcut conflicted with Macs. Fixed the correltion equations on 'Aqueous Species Table' between entropy and omega. Previously, the arrays listing the charge was out of order.</t>
  </si>
  <si>
    <t>9.2.3</t>
  </si>
  <si>
    <t>Shock, Helgeson &amp; Sverjensky (1989)</t>
  </si>
  <si>
    <t>Update parameters for OH-, CO3-2, HCO3-, Ca+2, CO2,aq, CaCO3,aq, Ca(HCO3)+, MgCl+, and CaCl+</t>
  </si>
  <si>
    <t>9.2.4</t>
  </si>
  <si>
    <t>H2O,g</t>
  </si>
  <si>
    <t>STEAM</t>
  </si>
  <si>
    <t>KOH,aq</t>
  </si>
  <si>
    <t>KOH(0)</t>
  </si>
  <si>
    <t>Added H2O,g to the list of gases. Parameters were taken directly from Supcrt input file. Supcrt values derived from Johnson, J.W., Personal Calculations. Parameters porivide smooth metastable extrapolation of one-bar steam properties predicted from Haar et al. (1984) equation of state to temperatures less than the saturatin temperature (99.632 C). Added KOH,aq to list of aqueous species.</t>
  </si>
  <si>
    <t>Shock et al. (1997) with new a1 prediction</t>
  </si>
  <si>
    <t>Shock et al. (1989) + new a1</t>
  </si>
  <si>
    <t>Shock &amp; Helgeson (1988) + new a1</t>
  </si>
  <si>
    <t>Choose settings</t>
  </si>
  <si>
    <t>Choose equations and settings</t>
  </si>
  <si>
    <t>m</t>
  </si>
  <si>
    <t>b</t>
  </si>
  <si>
    <r>
      <t>b</t>
    </r>
    <r>
      <rPr>
        <b/>
        <vertAlign val="subscript"/>
        <sz val="11"/>
        <color theme="1"/>
        <rFont val="Calibri"/>
        <family val="2"/>
        <scheme val="minor"/>
      </rPr>
      <t>2</t>
    </r>
  </si>
  <si>
    <r>
      <t>m</t>
    </r>
    <r>
      <rPr>
        <b/>
        <vertAlign val="subscript"/>
        <sz val="11"/>
        <color theme="1"/>
        <rFont val="Calibri"/>
        <family val="2"/>
        <scheme val="minor"/>
      </rPr>
      <t>2</t>
    </r>
  </si>
  <si>
    <r>
      <t>b</t>
    </r>
    <r>
      <rPr>
        <b/>
        <vertAlign val="subscript"/>
        <sz val="11"/>
        <color theme="1"/>
        <rFont val="Calibri"/>
        <family val="2"/>
        <scheme val="minor"/>
      </rPr>
      <t>1</t>
    </r>
  </si>
  <si>
    <r>
      <t>m</t>
    </r>
    <r>
      <rPr>
        <b/>
        <vertAlign val="subscript"/>
        <sz val="11"/>
        <color theme="1"/>
        <rFont val="Calibri"/>
        <family val="2"/>
        <scheme val="minor"/>
      </rPr>
      <t>1</t>
    </r>
  </si>
  <si>
    <t>10.0.0</t>
  </si>
  <si>
    <t>Display Volume Option</t>
  </si>
  <si>
    <t>Psat Display Volume Option</t>
  </si>
  <si>
    <t>Display Volume</t>
  </si>
  <si>
    <r>
      <t>G</t>
    </r>
    <r>
      <rPr>
        <vertAlign val="superscript"/>
        <sz val="11"/>
        <color theme="1"/>
        <rFont val="Calibri"/>
        <family val="2"/>
      </rPr>
      <t>o</t>
    </r>
    <r>
      <rPr>
        <vertAlign val="subscript"/>
        <sz val="11"/>
        <color theme="1"/>
        <rFont val="Calibri"/>
        <family val="2"/>
      </rPr>
      <t>P,T</t>
    </r>
  </si>
  <si>
    <r>
      <t>G</t>
    </r>
    <r>
      <rPr>
        <vertAlign val="superscript"/>
        <sz val="11"/>
        <color theme="1"/>
        <rFont val="Calibri"/>
        <family val="2"/>
      </rPr>
      <t>o</t>
    </r>
    <r>
      <rPr>
        <vertAlign val="subscript"/>
        <sz val="11"/>
        <color theme="1"/>
        <rFont val="Calibri"/>
        <family val="2"/>
      </rPr>
      <t>P,T</t>
    </r>
    <r>
      <rPr>
        <sz val="11"/>
        <color theme="1"/>
        <rFont val="Calibri"/>
        <family val="2"/>
      </rPr>
      <t xml:space="preserve">   (cal mol</t>
    </r>
    <r>
      <rPr>
        <vertAlign val="superscript"/>
        <sz val="11"/>
        <color theme="1"/>
        <rFont val="Calibri"/>
        <family val="2"/>
      </rPr>
      <t>-1</t>
    </r>
    <r>
      <rPr>
        <sz val="11"/>
        <color theme="1"/>
        <rFont val="Calibri"/>
        <family val="2"/>
      </rPr>
      <t>)</t>
    </r>
  </si>
  <si>
    <r>
      <t>ΔV</t>
    </r>
    <r>
      <rPr>
        <vertAlign val="superscript"/>
        <sz val="11"/>
        <color theme="1"/>
        <rFont val="Calibri"/>
        <family val="2"/>
      </rPr>
      <t>o</t>
    </r>
  </si>
  <si>
    <t>Reaction Stoichiometry</t>
  </si>
  <si>
    <t>Choose a pressure-temperature input type and enter values</t>
  </si>
  <si>
    <t>Welcome to the Deep Earth Water (DEW) Model</t>
  </si>
  <si>
    <t>This program was created by Brandon Harrison and Dimitri Sverjensky at Johns Hopkins University. The purpose of this program is to calculate thermodynamic properties of geochemical reactions involving aqueous species at high pressures and temperatures using theory and data described in Sverjensky et al. (2013, submitted).</t>
  </si>
  <si>
    <t>9.3.0</t>
  </si>
  <si>
    <t>Updated parameters for Si2O4,aq. Changed the equations used in the correlation between a1 and Vn for ionic species. Previously, there was only one function. The new function takes the charge of the species into account. Only linear fits were found for charges of +/- 1 and +/-2 so linear extrapolations were made for the slope and intercept to calculate higher charges. Added a section of code to the calculation of the Q born coefficient which calculates at PSat using a polynomial fit to data from Shock &amp; Helgeson (1988). Created the ability to hide the volume calculations if wanted. A seperate option exists for PSat calculations and for regular P-T calculations.</t>
  </si>
  <si>
    <t>First time users can run the tutorial to learn how to use this program or this page can simply be hidden from view. Look for cells with red marks in the upper right corner for further information.</t>
  </si>
  <si>
    <t>Gibbs Free Energy</t>
  </si>
  <si>
    <t>Volume</t>
  </si>
  <si>
    <t>This represents the final major version before public release. The code behind the scenes has been restructured some. Code has been added to calculate the derivative of omega with respect to pressure to accurately calculate the volume. The tutorial has been updated slightly. The code to calculate the density has had another term added to the function to change the largest error accepted in calculating the density. Previously the smallest error was always set at 0.01. Everything continues to use 0.01 except for the function to integrate the volume in calculating the gibbs free energy for water. This function now uses 100 for the error, simply to save in calculational time. The calculations for the volume have been updated to include the full form of the HKF equation. Previously the final term involving the derivative with respect to temperature was left out and so the volume was slightly innacurate at high temperatures. That term is now part of the volume equation. The "Calculations" sheet has restructured some to display the born functions Q. The calculations at Psat have been limited to 350 Celsius from their previous upper limit of 374 Celsius. Futhermore, the upper pressure limit on the use of the g solvent function has been raised from 5 kb to 6 kb, which gives a much smaller discontinuity in the gibbs free energy and volume as a function of pressure. Slight changes to appearance of the input page. An instructions textbox has been included. The user input sheets have now also been locked. The macros governing updating the graph have been changed to allow choosing what is graphed. The graph can now graph the gibbs free energy, the log K, or the volume of the reaction. The formulas for the square table next to the chart have been greatly simplified. The sheet has been renamed from "Log K Calculator" to the "Deep Earth Water" Model or else the DEW Model (Get it? Dew is just condensed water.)</t>
  </si>
  <si>
    <t>10.0.1</t>
  </si>
  <si>
    <t>Changed the equation used to calculate the Q born coefficient. Previously a finite difference derivative was used, but this gave a high variability in the volume. The function was switch to a more exact defintion, even though the values calculated from this definition differ from values calculated in Shock et al. (1992).</t>
  </si>
  <si>
    <t>11.0.0</t>
  </si>
  <si>
    <t>Choose property to graph</t>
  </si>
  <si>
    <r>
      <t xml:space="preserve">Force custom </t>
    </r>
    <r>
      <rPr>
        <sz val="11"/>
        <color theme="1"/>
        <rFont val="Symbol"/>
        <family val="1"/>
        <charset val="2"/>
      </rPr>
      <t>r</t>
    </r>
    <r>
      <rPr>
        <sz val="11"/>
        <color theme="1"/>
        <rFont val="Calibri"/>
        <family val="2"/>
        <scheme val="minor"/>
      </rPr>
      <t xml:space="preserve"> for P &lt; 1 kb</t>
    </r>
  </si>
  <si>
    <t>The Supcrt Equation</t>
  </si>
  <si>
    <t>Franck et al. (1990)</t>
  </si>
  <si>
    <t>Fernandez et al. (1997)</t>
  </si>
  <si>
    <t>Plyasunov &amp; Shock (2001)</t>
  </si>
  <si>
    <t>Shock &amp; Helgeson (1988) revised with new predicted a1 for cations</t>
  </si>
  <si>
    <t>Sverjensky et al. (1997) with new V greater than the sum of a1 values of ions</t>
  </si>
  <si>
    <t>Shock et al. (1997)</t>
  </si>
  <si>
    <t>Sverjensky et al. (2014)</t>
  </si>
  <si>
    <t>Shock et al. (1989)</t>
  </si>
  <si>
    <t>Sverjensky et al. (1997) with new V from the sum of a1 values of ions</t>
  </si>
  <si>
    <t>C6H6(0)</t>
  </si>
  <si>
    <t>Plyasunov &amp; Shock (2001) for c1, c2 &amp; omega; a1 predicted with new correlation for complex species from Sverjensky et al. (2014)</t>
  </si>
  <si>
    <t>BO(OH),aq</t>
  </si>
  <si>
    <t>BO(OH)(0)</t>
  </si>
  <si>
    <t>Revised May, 2013</t>
  </si>
  <si>
    <t>revised a1 - a4  using delkappan for BO2- instead of B(OH)4- used by Shock and Helgeson (1988); Shock et al. (1997)</t>
  </si>
  <si>
    <t>Shock &amp; Helgeson (1988)</t>
  </si>
  <si>
    <t>Facq et al. (2014)</t>
  </si>
  <si>
    <t xml:space="preserve">Shock &amp; McKibben (1993) for c1, c2 and omega with revised a1 from correlation for complex species </t>
  </si>
  <si>
    <t>Cr+2</t>
  </si>
  <si>
    <t>Cr(+2)</t>
  </si>
  <si>
    <t>Shock et al. (1997) revised with new predicted a1 for cations</t>
  </si>
  <si>
    <t>Shock &amp; Helgeson (1990) revised with new predicted a1 for complex species</t>
  </si>
  <si>
    <t>Sverjensky et al. (1997) with revised volume increased in order that a1 of the complex is the sum of the a1 values of the ions</t>
  </si>
  <si>
    <t>FeCl(++)</t>
  </si>
  <si>
    <t>Shock &amp; Helgeson (1990) revised with new predicted a1 for ions</t>
  </si>
  <si>
    <t>Perfectly known, by convention!</t>
  </si>
  <si>
    <t>Shock et al. (1997) revised with new predicted a1 for complex species</t>
  </si>
  <si>
    <t>Shock et al. (1989) with revised prediction of a1 using new correlation</t>
  </si>
  <si>
    <t>HCN,aq</t>
  </si>
  <si>
    <t>HCN(0)</t>
  </si>
  <si>
    <t>HSiO3-</t>
  </si>
  <si>
    <t>Sverjensky et al. (1997) revised using published estimated V and pred. a1 from new correlation</t>
  </si>
  <si>
    <t>Fitted to Ho &amp; Palmer (1997) data with a1 pred. from the sum of the ions and used to predict the volume</t>
  </si>
  <si>
    <t>Revised G, S and Cp to fit Noyes et al. (1906) &amp; Sharygin et al. (2006) with a1 of the complex equal to the sum of the a1 values of the ions</t>
  </si>
  <si>
    <t>Shock et al. (1997) revised with new predicted a1 for ions</t>
  </si>
  <si>
    <t>Sverjensky et al. (1997) revised V increased so that a1 of the complex is the sum of the a1 values of the ions</t>
  </si>
  <si>
    <t>Mg(HSiO3)+</t>
  </si>
  <si>
    <t>Mg(HSiO3)(+)</t>
  </si>
  <si>
    <t>Sverjensky et al. (1997) with new a1 from the sum of the ions and V predicted from a1 value</t>
  </si>
  <si>
    <t>S, Cp, V, omega from fit to Akilan et al. (2006a) and Frantz et al. (1994)</t>
  </si>
  <si>
    <t>Sverjensky et al. (1997) with revised a1 equal to the sum of the ions used to predict new values of V using new correlation in Sverjensky et al. (2014)</t>
  </si>
  <si>
    <t>Shock et al. (1989) + new a1 predicted for complex species</t>
  </si>
  <si>
    <t>Sverjensky et al. (1997) with new predicted a1 value</t>
  </si>
  <si>
    <t>NaCO3-</t>
  </si>
  <si>
    <t>NaCO3(-)</t>
  </si>
  <si>
    <t>Fit to Stefansson et al. (2013; 80 to 200 C) &amp; Garrels et al., (1961; at 25 C) to get G, S and Cp;  with a1 pred. from the sum of the ions and used to predict the volume</t>
  </si>
  <si>
    <t>NaHCO3,aq</t>
  </si>
  <si>
    <t>Shock &amp; Helgeson (1988) revised with new predicted a1 for ions</t>
  </si>
  <si>
    <t>August 16th, 2013 fit to Bandura &amp; Lvov (2005)</t>
  </si>
  <si>
    <t>Shock &amp; Helgeson (1990) with new a1-a4 based on revised correlation to predict a1 in Sverjensky et al. (2013)</t>
  </si>
  <si>
    <t>Revised a1 from new delVn correlation for -1 ions; kept original regression c1 and c2 plus omega from Shock &amp; Helgeson (1990)</t>
  </si>
  <si>
    <t>Fit to Raman speciation and quartz solubility data (Sverjensky et al., 2014).</t>
  </si>
  <si>
    <t>Shock et al. (1989) with revised a1 predicted as a complex from delVn</t>
  </si>
  <si>
    <t>Plyasunov &amp; Shock (2001) with new a1 to a4 predicted with revised a1 consistent with Sverjensky et al. (2013)</t>
  </si>
  <si>
    <t>Updated the input sheet to allow for more species to be input. Specifically, two more minerals and two more aqueous species can be entered for both reactants and products. This has required a rewrite of much of the code handling the functioning of the sheet and for this reason, the major version number has been increased from 10 to 11. An option has been added to the settings on the "Input" page to allow for forcing the use of custom, user-input densities for P &lt; 1 kb (where Zhang &amp; Duan (2005) becomes innacurate). The error warnings have been updated accordingly. Most importantly, the species contained in "Aqueous Species Options" has been drastically updated. All the old values have been revised and many species have been removed or added. On a related note, the relation between a1 and Vn for ionic species has been adjusted slightly.</t>
  </si>
  <si>
    <t>11.0.1</t>
  </si>
  <si>
    <t>Fixed a small mistake in the Zhang and Duan 2005 pressure equation in the code. One of the numbers in the equation got mixed up in the rewrite of the code, causing the density to be mistaken.</t>
  </si>
  <si>
    <t>11.0.2</t>
  </si>
  <si>
    <t>Minor adjustment to add the reaction name to the "Results" sheet at the top. Fixed a bug in the ZD09 Density equation that was causing it to not calculate.</t>
  </si>
  <si>
    <t>Revised 1/22/15 based on V at 25 C from Ziemer &amp; Woolley (2007) and predicted a1, a2, and a4; c1 and c2 from fits to delCpr protonation of Ziemer &amp; Woolley (2007); S from fitting temperature dependence of logK from Ziemer &amp; Woolley (2007); omega predicted from S using ion correlation.</t>
  </si>
  <si>
    <t>Revised 1/22/15 based on fitting Cp and V vs T data from Hakin et al. (1994) + revised correlation for a1 from Sverjensky et al. (2014); omega from delCPr above 100 °C (Ziemer &amp; Woolley, 2007); G, H, and S from Amend &amp; Helgeson (1997).</t>
  </si>
  <si>
    <t>Jamie &amp; Dimitri fit to exptl Cp(T) and pred. a1-a4; delGf and S from fitting logK dimerisation values from Lemke et al. (2009).</t>
  </si>
  <si>
    <t>Revised Feb. 2015 by Dimitri: c1, c2, and omega from PS01 based on Stokes (1967) data; V from Cabani et al. (1981) with a1-a4 predicted.</t>
  </si>
  <si>
    <t>Fit to Stéfansson et al. (2014) &amp; Siebert &amp; Hostetler (1977); plus revised V increased so that a1 of the complex is the sum of the a1 values of the ions</t>
  </si>
  <si>
    <t>Sverjensky et al. (1997) revised volume increased in order that a1 of the complex is the sum of the a1 values of the ions; and Cp revised using isocoulombic reln with CaCO3,aq; also omega is set to +0.3 as for all neutral metal complexes.</t>
  </si>
  <si>
    <t xml:space="preserve">Revised the following species: HSiO3-, glutamic acid, glutamate, diglycine, urea, MgCO3, Mg(HCO3+, ;    Added the following species: </t>
  </si>
  <si>
    <r>
      <t xml:space="preserve">Through Feb. </t>
    </r>
    <r>
      <rPr>
        <sz val="12"/>
        <color theme="1"/>
        <rFont val="Calibri"/>
        <family val="2"/>
        <scheme val="minor"/>
      </rPr>
      <t>14</t>
    </r>
    <r>
      <rPr>
        <sz val="12"/>
        <color theme="1"/>
        <rFont val="Calibri"/>
        <family val="2"/>
        <scheme val="minor"/>
      </rPr>
      <t>th 2015</t>
    </r>
  </si>
  <si>
    <t>GLUTAMIC,AQ</t>
  </si>
  <si>
    <t>Jamie &amp; Dimitri fit delGf and S from to logK dimerisation values from Lemke et al. (2009);  pred. a1-a4;</t>
  </si>
  <si>
    <t>S3-</t>
  </si>
  <si>
    <t>S3(-)</t>
  </si>
  <si>
    <t>Na(Ac)2-</t>
  </si>
  <si>
    <t>NaCH3COO(0)</t>
  </si>
  <si>
    <t>Na(CH3COO)2(-1)</t>
  </si>
  <si>
    <t>Na(Ac),aq</t>
  </si>
  <si>
    <t>G, H, S, Cp, V from Shock &amp; Koretsky (1993); a1 estimated with Sverjensky et al. (2014)</t>
  </si>
  <si>
    <t>Isobutane,aq</t>
  </si>
  <si>
    <t>C4H10(0)</t>
  </si>
  <si>
    <t>G, H, S, Cp, V from Shock &amp; Helgeson (1990); a1 estimated with Sverjensky et al. (2014; c2 estimated with a new hydrocarbon correlation.</t>
  </si>
  <si>
    <t>revised January 26th, 2016; new a1 value from complexes and organics correlation.</t>
  </si>
  <si>
    <t>29/11/16: Fit to Tagirov et al. (2000) with revised volume increased in order that a1 of the complex a bit greater than the sum of the a1 values of the ions</t>
  </si>
  <si>
    <t>FeCl2+</t>
  </si>
  <si>
    <t>FeCl3,aq</t>
  </si>
  <si>
    <t>FeCl4-</t>
  </si>
  <si>
    <t>FeCl2(+)</t>
  </si>
  <si>
    <t>FeCl3(0)</t>
  </si>
  <si>
    <t>FeCl4(-)</t>
  </si>
  <si>
    <t>29/11/16: Fit to Liu et al. (2006) with revised volume increased in order that a1 of the complex a bit greater than the sum of the a1 values of the ions</t>
  </si>
  <si>
    <t>29/11/16: Fit to Liu et al. (2006) with revised volume increased in order that a1 of the complex is equal to the sum of the a1 values of the ions</t>
  </si>
  <si>
    <t>29/11/16: Fit to Liu et al. (200vv6) with revised volume increased in order that a1 of the complex is equal to the sum of the a1 values of the ions</t>
  </si>
  <si>
    <t>FeO,aq</t>
  </si>
  <si>
    <t>FeO(0)</t>
  </si>
  <si>
    <t>31/1/17 G, S, Cp from SSWS97 regression of Sweeton &amp; Baes (1970); V from estimate to have similar behavior to MgO,aq</t>
  </si>
  <si>
    <t>Fe(OH)+</t>
  </si>
  <si>
    <t>HFeO2-</t>
  </si>
  <si>
    <t>FeOH(+)</t>
  </si>
  <si>
    <t>HFeO2(-)</t>
  </si>
  <si>
    <t>Regression of Ruaya &amp; Seward (1987) &amp; Tagirov et al. (1997) with new full correlations</t>
  </si>
  <si>
    <t>May, 2017 Fitted to logKs from Oelkers &amp; Helgeson (1988) + retrieved logKs from Hemley experiments at 1.0 kb using the HCl referred to above</t>
  </si>
  <si>
    <t>Glycinate,aq</t>
  </si>
  <si>
    <t>AH97 for the G, H, S, Cp, V</t>
  </si>
  <si>
    <t>AlO2(SiO2)-</t>
  </si>
  <si>
    <t>bG,NaCl</t>
  </si>
  <si>
    <t>bG extended term parameter from Oelkers &amp; Helgeson (1990)</t>
  </si>
  <si>
    <t>CaO,aq</t>
  </si>
  <si>
    <t>CaO(0)</t>
  </si>
  <si>
    <t>Fitted by Dimitri to high PT retrieval's from Fang</t>
  </si>
  <si>
    <t>H2CO3,aq</t>
  </si>
  <si>
    <t>Ca(HSiO3)+</t>
  </si>
  <si>
    <t>Ca(HCOO)+</t>
  </si>
  <si>
    <t>MgSiC+</t>
  </si>
  <si>
    <t>MgO,aq</t>
  </si>
  <si>
    <t>Fe(HSiO3)+</t>
  </si>
  <si>
    <t>Fe(HCOO)+</t>
  </si>
  <si>
    <t>Si3O6,aq</t>
  </si>
  <si>
    <t>Si3O6(0)</t>
  </si>
  <si>
    <t>Mg(SiO2)(HCO3)+</t>
  </si>
  <si>
    <t>Huang &amp; Sverjensky (2019)</t>
  </si>
  <si>
    <t>Revised by Dimitri, January, 2019; with minimum volume needed</t>
  </si>
  <si>
    <t>TIO2,aq</t>
  </si>
  <si>
    <t>TiO2(0)</t>
  </si>
  <si>
    <t>Preliminary fit to Antignano &amp; Manning (2008) May 13, 2019</t>
  </si>
  <si>
    <t>NaTiSi2-</t>
  </si>
  <si>
    <t>NaTiSi2(-)</t>
  </si>
  <si>
    <t>Dimitri June 30th, 2020</t>
  </si>
  <si>
    <t>NaZrSi2-</t>
  </si>
  <si>
    <t>NaZrSi2(-)</t>
  </si>
  <si>
    <t>ZrO2,aq</t>
  </si>
  <si>
    <t>ZrO2(0)</t>
  </si>
  <si>
    <t>Simon, June 15th, 2020</t>
  </si>
  <si>
    <t>Ca(CH3COO)+</t>
  </si>
  <si>
    <t>Ca(CH3COO)2,aq</t>
  </si>
  <si>
    <t>Ca(CH3COO)3-</t>
  </si>
  <si>
    <t>Ca(CH3COO)3(-)</t>
  </si>
  <si>
    <t>Ca(CH3COO)2(0)</t>
  </si>
  <si>
    <t>Ca(CH3COO)(+)</t>
  </si>
  <si>
    <t>Shock &amp; Koretsky (1993) with revised volume from the sum of the ion a1 values by Dimitri June 22, 2021</t>
  </si>
  <si>
    <t>PdCl+</t>
  </si>
  <si>
    <t>PdCl2,aq</t>
  </si>
  <si>
    <t>PdCl(+)</t>
  </si>
  <si>
    <t>PdCl2(0)</t>
  </si>
  <si>
    <t>Tagirov et al. (2013)</t>
  </si>
  <si>
    <t>CuCl,aq</t>
  </si>
  <si>
    <t>CuCl2-</t>
  </si>
  <si>
    <t>CuCl(0)</t>
  </si>
  <si>
    <t>CuCl2(-)</t>
  </si>
  <si>
    <t>SSH97 for G, S, Cp, V, omega; a1 pred with SHA14</t>
  </si>
  <si>
    <t>CuCl+</t>
  </si>
  <si>
    <t>CuCl2,aq</t>
  </si>
  <si>
    <t>CuCl(+)</t>
  </si>
  <si>
    <t>CuCl2(0)</t>
  </si>
  <si>
    <t>CdCl+</t>
  </si>
  <si>
    <t>CdCl(+)</t>
  </si>
  <si>
    <t>CdCl2,aq</t>
  </si>
  <si>
    <t>CdCl2(0)</t>
  </si>
  <si>
    <t>Beaudry et al. (2024)</t>
  </si>
  <si>
    <t>Ca(HSO4)+</t>
  </si>
  <si>
    <t>Ca(HSO4)(+)</t>
  </si>
  <si>
    <t>NaSO4-</t>
  </si>
  <si>
    <t>NaSO4(-)</t>
  </si>
  <si>
    <t>Na2SO4,aq</t>
  </si>
  <si>
    <t>Na2SO4(0)</t>
  </si>
  <si>
    <t>H2SO4,aq</t>
  </si>
  <si>
    <t>H2SO4(0)</t>
  </si>
  <si>
    <t>Na(HSO4),aq</t>
  </si>
  <si>
    <t>Na(HSO4)(0)</t>
  </si>
  <si>
    <t>Al(OH)+2</t>
  </si>
  <si>
    <t>Al(OH)(+2)</t>
  </si>
  <si>
    <t>Shock et al. (1997) with V calc from a1 predicted as in S24</t>
  </si>
  <si>
    <t>Pt+2</t>
  </si>
  <si>
    <t>Pt(+2)</t>
  </si>
  <si>
    <t>PtCl+</t>
  </si>
  <si>
    <t>PtCl2,0</t>
  </si>
  <si>
    <t>PtCl3-</t>
  </si>
  <si>
    <t>PtCl4-2</t>
  </si>
  <si>
    <t>PtCl(+)</t>
  </si>
  <si>
    <t>PtCl2(0)</t>
  </si>
  <si>
    <t>PtCl3(-)</t>
  </si>
  <si>
    <t>PtCl4(-2)</t>
  </si>
  <si>
    <t>delG0,f Tagirov et al. (2015), V0 Kawaizumi92, Cp0 from pronsprep</t>
  </si>
  <si>
    <t>delG0,f from Tagirov et al. (2015) &amp; V0, Cp0 from SS98</t>
  </si>
  <si>
    <t>delG0,f from Tagirov et al. (2015) &amp; Cp0 from pronsprep, V0 est from high P behaviour</t>
  </si>
  <si>
    <t>Simon October, 2024 fit to all low and high PT data</t>
  </si>
  <si>
    <t>H2O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</si>
</sst>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E+00"/>
    <numFmt numFmtId="165" formatCode="0.00000E+00"/>
    <numFmt numFmtId="166" formatCode="0.000000E+00"/>
    <numFmt numFmtId="167" formatCode="0.0000E+00"/>
    <numFmt numFmtId="168" formatCode="0.00000"/>
    <numFmt numFmtId="169" formatCode="0.0"/>
    <numFmt numFmtId="170" formatCode="0.0000"/>
    <numFmt numFmtId="171" formatCode="0.000"/>
    <numFmt numFmtId="172" formatCode="0.000000"/>
  </numFmts>
  <fonts count="7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font>
    <font>
      <b/>
      <sz val="11"/>
      <color theme="1"/>
      <name val="Calibri"/>
      <family val="2"/>
      <scheme val="minor"/>
    </font>
    <font>
      <sz val="12"/>
      <color theme="1"/>
      <name val="Calibri"/>
      <family val="2"/>
      <scheme val="minor"/>
    </font>
    <font>
      <sz val="16"/>
      <color theme="1"/>
      <name val="Calibri"/>
      <family val="2"/>
      <scheme val="minor"/>
    </font>
    <font>
      <vertAlign val="superscript"/>
      <sz val="11"/>
      <color theme="1"/>
      <name val="Calibri"/>
      <family val="2"/>
      <scheme val="minor"/>
    </font>
    <font>
      <vertAlign val="superscript"/>
      <sz val="11"/>
      <color theme="1"/>
      <name val="Calibri"/>
      <family val="2"/>
    </font>
    <font>
      <vertAlign val="subscript"/>
      <sz val="11"/>
      <color theme="1"/>
      <name val="Calibri"/>
      <family val="2"/>
    </font>
    <font>
      <i/>
      <sz val="16"/>
      <color theme="1"/>
      <name val="Calibri"/>
      <family val="2"/>
    </font>
    <font>
      <i/>
      <vertAlign val="subscript"/>
      <sz val="16"/>
      <color theme="1"/>
      <name val="Calibri"/>
      <family val="2"/>
    </font>
    <font>
      <i/>
      <vertAlign val="superscript"/>
      <sz val="16"/>
      <color theme="1"/>
      <name val="Calibri"/>
      <family val="2"/>
    </font>
    <font>
      <i/>
      <sz val="12"/>
      <color theme="1"/>
      <name val="Calibri"/>
      <family val="2"/>
      <scheme val="minor"/>
    </font>
    <font>
      <i/>
      <sz val="16"/>
      <color theme="1"/>
      <name val="Calibri"/>
      <family val="2"/>
      <scheme val="minor"/>
    </font>
    <font>
      <i/>
      <vertAlign val="superscript"/>
      <sz val="16"/>
      <color theme="1"/>
      <name val="Calibri"/>
      <family val="2"/>
      <scheme val="minor"/>
    </font>
    <font>
      <i/>
      <vertAlign val="subscript"/>
      <sz val="16"/>
      <color theme="1"/>
      <name val="Calibri"/>
      <family val="2"/>
      <scheme val="minor"/>
    </font>
    <font>
      <i/>
      <vertAlign val="superscript"/>
      <sz val="12"/>
      <color theme="1"/>
      <name val="Calibri"/>
      <family val="2"/>
      <scheme val="minor"/>
    </font>
    <font>
      <i/>
      <sz val="10"/>
      <color theme="1"/>
      <name val="Calibri"/>
      <family val="2"/>
      <scheme val="minor"/>
    </font>
    <font>
      <i/>
      <sz val="9"/>
      <color theme="1"/>
      <name val="Calibri"/>
      <family val="2"/>
      <scheme val="minor"/>
    </font>
    <font>
      <i/>
      <vertAlign val="superscript"/>
      <sz val="9"/>
      <color theme="1"/>
      <name val="Calibri"/>
      <family val="2"/>
      <scheme val="minor"/>
    </font>
    <font>
      <i/>
      <sz val="12"/>
      <color theme="1"/>
      <name val="Calibri"/>
      <family val="2"/>
    </font>
    <font>
      <i/>
      <vertAlign val="superscript"/>
      <sz val="12"/>
      <color theme="1"/>
      <name val="Calibri"/>
      <family val="2"/>
    </font>
    <font>
      <sz val="20"/>
      <color theme="1"/>
      <name val="Calibri"/>
      <family val="2"/>
      <scheme val="minor"/>
    </font>
    <font>
      <b/>
      <sz val="16"/>
      <color theme="1"/>
      <name val="Calibri"/>
      <family val="2"/>
      <scheme val="minor"/>
    </font>
    <font>
      <vertAlign val="subscript"/>
      <sz val="11"/>
      <color theme="1"/>
      <name val="Calibri"/>
      <family val="2"/>
      <scheme val="minor"/>
    </font>
    <font>
      <i/>
      <vertAlign val="subscript"/>
      <sz val="12"/>
      <color theme="1"/>
      <name val="Calibri"/>
      <family val="2"/>
      <scheme val="minor"/>
    </font>
    <font>
      <i/>
      <vertAlign val="subscript"/>
      <sz val="12"/>
      <color theme="1"/>
      <name val="Calibri"/>
      <family val="2"/>
    </font>
    <font>
      <i/>
      <sz val="9"/>
      <color theme="1"/>
      <name val="Calibri"/>
      <family val="2"/>
    </font>
    <font>
      <i/>
      <vertAlign val="superscript"/>
      <sz val="9"/>
      <color theme="1"/>
      <name val="Calibri"/>
      <family val="2"/>
    </font>
    <font>
      <b/>
      <sz val="14"/>
      <color theme="1"/>
      <name val="Calibri"/>
      <family val="2"/>
      <scheme val="minor"/>
    </font>
    <font>
      <b/>
      <sz val="12"/>
      <color theme="1"/>
      <name val="Calibri"/>
      <family val="2"/>
      <scheme val="minor"/>
    </font>
    <font>
      <sz val="18"/>
      <color theme="1"/>
      <name val="Calibri"/>
      <family val="2"/>
      <scheme val="minor"/>
    </font>
    <font>
      <sz val="8"/>
      <color theme="1"/>
      <name val="Calibri"/>
      <family val="2"/>
      <scheme val="minor"/>
    </font>
    <font>
      <sz val="6"/>
      <color theme="1"/>
      <name val="Calibri"/>
      <family val="2"/>
      <scheme val="minor"/>
    </font>
    <font>
      <sz val="14"/>
      <color theme="1"/>
      <name val="Calibri"/>
      <family val="2"/>
      <scheme val="minor"/>
    </font>
    <font>
      <sz val="11"/>
      <color theme="1"/>
      <name val="Symbol"/>
      <family val="1"/>
      <charset val="2"/>
    </font>
    <font>
      <sz val="14"/>
      <color theme="1"/>
      <name val="Calibri"/>
      <family val="2"/>
    </font>
    <font>
      <i/>
      <sz val="11"/>
      <color theme="1"/>
      <name val="Calibri"/>
      <family val="2"/>
      <scheme val="minor"/>
    </font>
    <font>
      <i/>
      <vertAlign val="superscript"/>
      <sz val="11"/>
      <color theme="1"/>
      <name val="Calibri"/>
      <family val="2"/>
      <scheme val="minor"/>
    </font>
    <font>
      <i/>
      <sz val="11"/>
      <color theme="1"/>
      <name val="Calibri"/>
      <family val="2"/>
    </font>
    <font>
      <i/>
      <vertAlign val="superscript"/>
      <sz val="11"/>
      <color theme="1"/>
      <name val="Calibri"/>
      <family val="2"/>
    </font>
    <font>
      <b/>
      <i/>
      <sz val="16"/>
      <color theme="1"/>
      <name val="Calibri"/>
      <family val="2"/>
      <scheme val="minor"/>
    </font>
    <font>
      <b/>
      <i/>
      <vertAlign val="superscript"/>
      <sz val="16"/>
      <color theme="1"/>
      <name val="Calibri"/>
      <family val="2"/>
      <scheme val="minor"/>
    </font>
    <font>
      <b/>
      <i/>
      <sz val="14"/>
      <color theme="1"/>
      <name val="Calibri"/>
      <family val="2"/>
      <scheme val="minor"/>
    </font>
    <font>
      <b/>
      <i/>
      <vertAlign val="superscript"/>
      <sz val="14"/>
      <color theme="1"/>
      <name val="Calibri"/>
      <family val="2"/>
      <scheme val="minor"/>
    </font>
    <font>
      <sz val="8"/>
      <color rgb="FF000000"/>
      <name val="Tahoma"/>
      <family val="2"/>
    </font>
    <font>
      <sz val="10"/>
      <color theme="1"/>
      <name val="Calibri"/>
      <family val="2"/>
    </font>
    <font>
      <i/>
      <sz val="16"/>
      <color theme="1"/>
      <name val="Symbol"/>
      <family val="1"/>
      <charset val="2"/>
    </font>
    <font>
      <b/>
      <sz val="14"/>
      <color indexed="81"/>
      <name val="Calibri"/>
      <family val="2"/>
    </font>
    <font>
      <b/>
      <vertAlign val="subscript"/>
      <sz val="14"/>
      <color indexed="81"/>
      <name val="Calibri"/>
      <family val="2"/>
    </font>
    <font>
      <vertAlign val="subscript"/>
      <sz val="14"/>
      <color theme="1"/>
      <name val="Calibri"/>
      <family val="2"/>
    </font>
    <font>
      <b/>
      <sz val="14"/>
      <color theme="1"/>
      <name val="Calibri"/>
      <family val="2"/>
    </font>
    <font>
      <b/>
      <i/>
      <sz val="14"/>
      <color theme="1"/>
      <name val="Calibri"/>
      <family val="2"/>
    </font>
    <font>
      <b/>
      <i/>
      <sz val="14"/>
      <color indexed="81"/>
      <name val="Calibri"/>
      <family val="2"/>
    </font>
    <font>
      <b/>
      <sz val="14"/>
      <color indexed="81"/>
      <name val="Symbol"/>
      <family val="1"/>
      <charset val="2"/>
    </font>
    <font>
      <b/>
      <vertAlign val="superscript"/>
      <sz val="14"/>
      <color indexed="81"/>
      <name val="Calibri"/>
      <family val="2"/>
    </font>
    <font>
      <b/>
      <vertAlign val="subscript"/>
      <sz val="14"/>
      <color theme="1"/>
      <name val="Calibri"/>
      <family val="2"/>
      <scheme val="minor"/>
    </font>
    <font>
      <b/>
      <vertAlign val="superscript"/>
      <sz val="14"/>
      <color theme="1"/>
      <name val="Calibri"/>
      <family val="2"/>
      <scheme val="minor"/>
    </font>
    <font>
      <b/>
      <sz val="14"/>
      <color theme="1"/>
      <name val="Symbol"/>
      <family val="1"/>
      <charset val="2"/>
    </font>
    <font>
      <b/>
      <vertAlign val="subscript"/>
      <sz val="11"/>
      <color theme="1"/>
      <name val="Calibri"/>
      <family val="2"/>
      <scheme val="minor"/>
    </font>
    <font>
      <b/>
      <vertAlign val="superscript"/>
      <sz val="16"/>
      <color theme="1"/>
      <name val="Calibri"/>
      <family val="2"/>
      <scheme val="minor"/>
    </font>
    <font>
      <b/>
      <i/>
      <vertAlign val="subscript"/>
      <sz val="14"/>
      <color theme="1"/>
      <name val="Calibri"/>
      <family val="2"/>
    </font>
    <font>
      <b/>
      <i/>
      <vertAlign val="subscript"/>
      <sz val="14"/>
      <color indexed="81"/>
      <name val="Calibri"/>
      <family val="2"/>
    </font>
    <font>
      <b/>
      <sz val="24"/>
      <color rgb="FFFF0000"/>
      <name val="Calibri"/>
      <family val="2"/>
      <scheme val="minor"/>
    </font>
    <font>
      <b/>
      <sz val="16"/>
      <color rgb="FFFF0000"/>
      <name val="Calibri"/>
      <family val="2"/>
      <scheme val="minor"/>
    </font>
    <font>
      <sz val="11"/>
      <color theme="0" tint="-0.1499984740745262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
      <sz val="8"/>
      <name val="Calibri"/>
      <family val="2"/>
      <scheme val="minor"/>
    </font>
    <font>
      <b/>
      <sz val="14"/>
      <color rgb="FF000000"/>
      <name val="Calibri"/>
      <family val="2"/>
    </font>
    <font>
      <b/>
      <vertAlign val="superscript"/>
      <sz val="14"/>
      <color rgb="FF000000"/>
      <name val="Calibri"/>
      <family val="2"/>
    </font>
    <font>
      <b/>
      <vertAlign val="subscript"/>
      <sz val="14"/>
      <color rgb="FF000000"/>
      <name val="Calibri"/>
      <family val="2"/>
    </font>
  </fonts>
  <fills count="13">
    <fill>
      <patternFill patternType="none"/>
    </fill>
    <fill>
      <patternFill patternType="gray125"/>
    </fill>
    <fill>
      <patternFill patternType="solid">
        <fgColor theme="4" tint="0.59999389629810485"/>
        <bgColor indexed="64"/>
      </patternFill>
    </fill>
    <fill>
      <patternFill patternType="solid">
        <fgColor rgb="FF99FF99"/>
        <bgColor indexed="64"/>
      </patternFill>
    </fill>
    <fill>
      <patternFill patternType="solid">
        <fgColor rgb="FF339966"/>
        <bgColor indexed="64"/>
      </patternFill>
    </fill>
    <fill>
      <patternFill patternType="solid">
        <fgColor rgb="FF3366FF"/>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CE6F1"/>
        <bgColor indexed="64"/>
      </patternFill>
    </fill>
    <fill>
      <patternFill patternType="solid">
        <fgColor rgb="FFF2DCDB"/>
        <bgColor indexed="64"/>
      </patternFill>
    </fill>
    <fill>
      <patternFill patternType="solid">
        <fgColor theme="8" tint="0.59999389629810485"/>
        <bgColor indexed="64"/>
      </patternFill>
    </fill>
    <fill>
      <patternFill patternType="solid">
        <fgColor rgb="FF99FF99"/>
        <bgColor rgb="FF000000"/>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style="medium">
        <color auto="1"/>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right/>
      <top/>
      <bottom style="medium">
        <color auto="1"/>
      </bottom>
      <diagonal/>
    </border>
    <border>
      <left style="thick">
        <color theme="8" tint="-0.24994659260841701"/>
      </left>
      <right/>
      <top style="thick">
        <color theme="8" tint="-0.24994659260841701"/>
      </top>
      <bottom/>
      <diagonal/>
    </border>
    <border>
      <left/>
      <right/>
      <top style="thick">
        <color theme="8" tint="-0.24994659260841701"/>
      </top>
      <bottom/>
      <diagonal/>
    </border>
    <border>
      <left/>
      <right style="thick">
        <color theme="8" tint="-0.24994659260841701"/>
      </right>
      <top style="thick">
        <color theme="8" tint="-0.24994659260841701"/>
      </top>
      <bottom/>
      <diagonal/>
    </border>
    <border>
      <left style="thick">
        <color theme="8" tint="-0.24994659260841701"/>
      </left>
      <right/>
      <top/>
      <bottom/>
      <diagonal/>
    </border>
    <border>
      <left/>
      <right style="thick">
        <color theme="8" tint="-0.24994659260841701"/>
      </right>
      <top/>
      <bottom/>
      <diagonal/>
    </border>
    <border>
      <left style="thick">
        <color theme="8" tint="-0.24994659260841701"/>
      </left>
      <right/>
      <top/>
      <bottom style="thick">
        <color theme="8" tint="-0.24994659260841701"/>
      </bottom>
      <diagonal/>
    </border>
    <border>
      <left/>
      <right/>
      <top/>
      <bottom style="thick">
        <color theme="8" tint="-0.24994659260841701"/>
      </bottom>
      <diagonal/>
    </border>
    <border>
      <left/>
      <right style="thick">
        <color theme="8" tint="-0.24994659260841701"/>
      </right>
      <top/>
      <bottom style="thick">
        <color theme="8" tint="-0.24994659260841701"/>
      </bottom>
      <diagonal/>
    </border>
  </borders>
  <cellStyleXfs count="51">
    <xf numFmtId="0" fontId="0" fillId="0" borderId="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cellStyleXfs>
  <cellXfs count="312">
    <xf numFmtId="0" fontId="0" fillId="0" borderId="0" xfId="0"/>
    <xf numFmtId="0" fontId="0" fillId="0" borderId="0" xfId="0" applyAlignment="1">
      <alignment horizontal="center" vertical="center"/>
    </xf>
    <xf numFmtId="0" fontId="0" fillId="0" borderId="2" xfId="0"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2" fontId="0" fillId="0" borderId="0" xfId="0" applyNumberFormat="1" applyAlignment="1">
      <alignment horizontal="center" vertical="center"/>
    </xf>
    <xf numFmtId="0" fontId="0" fillId="0" borderId="0" xfId="0" applyAlignment="1">
      <alignment horizontal="left" vertical="center"/>
    </xf>
    <xf numFmtId="0" fontId="15" fillId="0" borderId="4" xfId="0" applyFont="1" applyBorder="1" applyAlignment="1">
      <alignment horizontal="center" vertical="center" wrapText="1"/>
    </xf>
    <xf numFmtId="0" fontId="14" fillId="0" borderId="4" xfId="0" applyFont="1" applyBorder="1" applyAlignment="1">
      <alignment horizontal="center" vertical="center"/>
    </xf>
    <xf numFmtId="0" fontId="20" fillId="0" borderId="8" xfId="0" applyFont="1" applyBorder="1" applyAlignment="1">
      <alignment horizontal="center" vertical="center"/>
    </xf>
    <xf numFmtId="0" fontId="29" fillId="0" borderId="8" xfId="0" applyFont="1" applyBorder="1" applyAlignment="1">
      <alignment horizontal="center" vertical="center"/>
    </xf>
    <xf numFmtId="0" fontId="11" fillId="0" borderId="4" xfId="0" applyFont="1" applyBorder="1" applyAlignment="1">
      <alignment horizontal="center" vertical="center" wrapText="1"/>
    </xf>
    <xf numFmtId="0" fontId="14" fillId="0" borderId="5" xfId="0" applyFont="1" applyBorder="1" applyAlignment="1">
      <alignment horizontal="center" vertical="center" wrapText="1"/>
    </xf>
    <xf numFmtId="0" fontId="0" fillId="0" borderId="4" xfId="0" applyBorder="1" applyAlignment="1">
      <alignment horizontal="center" vertical="center"/>
    </xf>
    <xf numFmtId="0" fontId="4" fillId="0" borderId="0" xfId="0" applyFont="1" applyAlignment="1">
      <alignment horizontal="center"/>
    </xf>
    <xf numFmtId="0" fontId="0" fillId="0" borderId="0" xfId="0" applyAlignment="1">
      <alignment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165" fontId="0" fillId="0" borderId="4" xfId="0" applyNumberFormat="1" applyBorder="1" applyAlignment="1">
      <alignment horizontal="center" vertical="center"/>
    </xf>
    <xf numFmtId="11" fontId="0" fillId="0" borderId="0" xfId="0" applyNumberFormat="1" applyAlignment="1">
      <alignment horizontal="center" vertical="center"/>
    </xf>
    <xf numFmtId="167" fontId="0" fillId="0" borderId="0" xfId="0" applyNumberFormat="1" applyAlignment="1">
      <alignment horizontal="center" vertical="center"/>
    </xf>
    <xf numFmtId="164" fontId="0" fillId="0" borderId="1" xfId="0" applyNumberFormat="1" applyBorder="1" applyAlignment="1">
      <alignment horizontal="center" vertical="center"/>
    </xf>
    <xf numFmtId="0" fontId="0" fillId="0" borderId="6" xfId="0" applyBorder="1" applyAlignment="1">
      <alignment horizontal="center" vertical="center"/>
    </xf>
    <xf numFmtId="2" fontId="0" fillId="0" borderId="7" xfId="0" applyNumberFormat="1" applyBorder="1" applyAlignment="1">
      <alignment horizontal="center" vertical="center"/>
    </xf>
    <xf numFmtId="0" fontId="0" fillId="3" borderId="1" xfId="0" applyFill="1" applyBorder="1" applyAlignment="1">
      <alignment horizontal="center" vertical="center"/>
    </xf>
    <xf numFmtId="169" fontId="0" fillId="0" borderId="6" xfId="0" applyNumberFormat="1" applyBorder="1" applyAlignment="1">
      <alignment horizontal="center" vertical="center"/>
    </xf>
    <xf numFmtId="169" fontId="0" fillId="0" borderId="0" xfId="0" applyNumberFormat="1" applyAlignment="1">
      <alignment horizontal="center" vertical="center"/>
    </xf>
    <xf numFmtId="0" fontId="5" fillId="0" borderId="0" xfId="0" applyFont="1" applyAlignment="1">
      <alignment horizontal="center" vertical="center"/>
    </xf>
    <xf numFmtId="2" fontId="0" fillId="0" borderId="2" xfId="0" applyNumberFormat="1" applyBorder="1" applyAlignment="1">
      <alignment horizontal="center" vertical="center"/>
    </xf>
    <xf numFmtId="2" fontId="0" fillId="0" borderId="6" xfId="0" applyNumberFormat="1" applyBorder="1" applyAlignment="1">
      <alignment horizontal="center" vertical="center"/>
    </xf>
    <xf numFmtId="0" fontId="0" fillId="0" borderId="0" xfId="0" applyAlignment="1">
      <alignment vertical="top" wrapText="1"/>
    </xf>
    <xf numFmtId="169" fontId="36" fillId="0" borderId="1" xfId="0" applyNumberFormat="1" applyFont="1" applyBorder="1" applyAlignment="1">
      <alignment horizontal="center" vertical="center"/>
    </xf>
    <xf numFmtId="0" fontId="36" fillId="0" borderId="1" xfId="0" applyFont="1" applyBorder="1" applyAlignment="1">
      <alignment horizontal="center" vertical="center"/>
    </xf>
    <xf numFmtId="169" fontId="36" fillId="0" borderId="5" xfId="0" applyNumberFormat="1" applyFont="1" applyBorder="1" applyAlignment="1">
      <alignment horizontal="center" vertical="center"/>
    </xf>
    <xf numFmtId="169" fontId="36" fillId="0" borderId="18" xfId="0" applyNumberFormat="1" applyFont="1" applyBorder="1" applyAlignment="1">
      <alignment horizontal="center" vertical="center"/>
    </xf>
    <xf numFmtId="0" fontId="36" fillId="0" borderId="18" xfId="0" applyFont="1" applyBorder="1" applyAlignment="1">
      <alignment horizontal="center" vertical="center"/>
    </xf>
    <xf numFmtId="0" fontId="37" fillId="0" borderId="1" xfId="0" applyFont="1" applyBorder="1" applyAlignment="1">
      <alignment horizontal="center" vertical="center"/>
    </xf>
    <xf numFmtId="169" fontId="0" fillId="0" borderId="5" xfId="0" applyNumberFormat="1" applyBorder="1" applyAlignment="1">
      <alignment horizontal="center" vertical="center"/>
    </xf>
    <xf numFmtId="169" fontId="36" fillId="0" borderId="1" xfId="0" applyNumberFormat="1" applyFont="1" applyBorder="1" applyAlignment="1">
      <alignment horizontal="center" vertical="center" wrapText="1"/>
    </xf>
    <xf numFmtId="170" fontId="0" fillId="0" borderId="0" xfId="0" applyNumberFormat="1" applyAlignment="1">
      <alignment horizontal="center" vertical="center"/>
    </xf>
    <xf numFmtId="169" fontId="36" fillId="0" borderId="5" xfId="0" applyNumberFormat="1" applyFont="1" applyBorder="1" applyAlignment="1">
      <alignment horizontal="center" vertical="center" wrapText="1"/>
    </xf>
    <xf numFmtId="169" fontId="36" fillId="0" borderId="19" xfId="0" applyNumberFormat="1"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169" fontId="0" fillId="0" borderId="0" xfId="0" applyNumberFormat="1"/>
    <xf numFmtId="169" fontId="0" fillId="0" borderId="10" xfId="0" applyNumberFormat="1" applyBorder="1"/>
    <xf numFmtId="169" fontId="0" fillId="0" borderId="2" xfId="0" applyNumberFormat="1" applyBorder="1"/>
    <xf numFmtId="169" fontId="0" fillId="0" borderId="11" xfId="0" applyNumberFormat="1" applyBorder="1"/>
    <xf numFmtId="169" fontId="0" fillId="0" borderId="7" xfId="0" applyNumberFormat="1" applyBorder="1"/>
    <xf numFmtId="169" fontId="0" fillId="0" borderId="12" xfId="0" applyNumberFormat="1" applyBorder="1"/>
    <xf numFmtId="170" fontId="0" fillId="0" borderId="7" xfId="0" applyNumberFormat="1" applyBorder="1" applyAlignment="1">
      <alignment horizontal="center" vertical="center"/>
    </xf>
    <xf numFmtId="0" fontId="22" fillId="0" borderId="5" xfId="0" applyFont="1" applyBorder="1" applyAlignment="1">
      <alignment horizontal="center" vertical="center"/>
    </xf>
    <xf numFmtId="0" fontId="0" fillId="0" borderId="10" xfId="0" applyBorder="1" applyAlignment="1">
      <alignment horizontal="left" vertical="center"/>
    </xf>
    <xf numFmtId="0" fontId="0" fillId="0" borderId="1" xfId="0" applyBorder="1" applyAlignment="1">
      <alignment horizontal="center"/>
    </xf>
    <xf numFmtId="168" fontId="0" fillId="0" borderId="6" xfId="0" applyNumberFormat="1" applyBorder="1" applyAlignment="1">
      <alignment horizontal="center" vertical="center"/>
    </xf>
    <xf numFmtId="168" fontId="0" fillId="0" borderId="0" xfId="0" applyNumberFormat="1" applyAlignment="1">
      <alignment horizontal="center" vertical="center"/>
    </xf>
    <xf numFmtId="168" fontId="0" fillId="0" borderId="7" xfId="0" applyNumberFormat="1" applyBorder="1" applyAlignment="1">
      <alignment horizontal="center" vertical="center"/>
    </xf>
    <xf numFmtId="170" fontId="0" fillId="0" borderId="6" xfId="0" applyNumberFormat="1" applyBorder="1" applyAlignment="1">
      <alignment horizontal="center" vertical="center"/>
    </xf>
    <xf numFmtId="0" fontId="0" fillId="2" borderId="4" xfId="0" applyFill="1" applyBorder="1" applyAlignment="1">
      <alignment horizontal="center" vertical="center"/>
    </xf>
    <xf numFmtId="0" fontId="0" fillId="3" borderId="4" xfId="0" applyFill="1" applyBorder="1" applyAlignment="1">
      <alignment horizontal="center" vertical="center"/>
    </xf>
    <xf numFmtId="0" fontId="5" fillId="0" borderId="0" xfId="0" applyFont="1" applyAlignment="1">
      <alignment horizontal="center" vertical="center" wrapText="1"/>
    </xf>
    <xf numFmtId="0" fontId="14" fillId="0" borderId="4" xfId="0" applyFont="1" applyBorder="1" applyAlignment="1">
      <alignment horizontal="center" vertical="center" wrapText="1"/>
    </xf>
    <xf numFmtId="0" fontId="22" fillId="0" borderId="4" xfId="0" applyFont="1" applyBorder="1" applyAlignment="1">
      <alignment horizontal="center" vertical="center" wrapText="1"/>
    </xf>
    <xf numFmtId="0" fontId="41" fillId="0" borderId="5" xfId="0" applyFont="1" applyBorder="1" applyAlignment="1">
      <alignment horizontal="center" vertical="center"/>
    </xf>
    <xf numFmtId="0" fontId="39" fillId="0" borderId="5" xfId="0" applyFont="1" applyBorder="1" applyAlignment="1">
      <alignment horizontal="center" vertical="center"/>
    </xf>
    <xf numFmtId="0" fontId="0" fillId="0" borderId="7" xfId="0" applyBorder="1" applyAlignment="1">
      <alignment horizontal="center" vertical="center"/>
    </xf>
    <xf numFmtId="0" fontId="4" fillId="0" borderId="4" xfId="0" applyFont="1" applyBorder="1" applyAlignment="1">
      <alignment horizontal="center" vertical="center"/>
    </xf>
    <xf numFmtId="0" fontId="39" fillId="0" borderId="14" xfId="0" applyFont="1" applyBorder="1" applyAlignment="1">
      <alignment horizontal="center" vertical="center"/>
    </xf>
    <xf numFmtId="0" fontId="14" fillId="0" borderId="14" xfId="0" applyFont="1" applyBorder="1" applyAlignment="1">
      <alignment horizontal="center" vertical="center"/>
    </xf>
    <xf numFmtId="0" fontId="22" fillId="0" borderId="14" xfId="0" applyFont="1" applyBorder="1" applyAlignment="1">
      <alignment horizontal="center" vertical="center"/>
    </xf>
    <xf numFmtId="0" fontId="25" fillId="0" borderId="0" xfId="0" applyFont="1" applyAlignment="1">
      <alignment horizontal="center" vertical="center"/>
    </xf>
    <xf numFmtId="0" fontId="25" fillId="0" borderId="0" xfId="0" applyFont="1" applyAlignment="1">
      <alignment horizontal="left" vertical="center"/>
    </xf>
    <xf numFmtId="1" fontId="0" fillId="0" borderId="6" xfId="0" applyNumberFormat="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2" fontId="0" fillId="0" borderId="11" xfId="0" applyNumberFormat="1" applyBorder="1" applyAlignment="1">
      <alignment horizontal="center" vertical="center"/>
    </xf>
    <xf numFmtId="2" fontId="0" fillId="0" borderId="0" xfId="0" applyNumberFormat="1"/>
    <xf numFmtId="2" fontId="0" fillId="0" borderId="10" xfId="0" applyNumberFormat="1" applyBorder="1"/>
    <xf numFmtId="2" fontId="0" fillId="0" borderId="2" xfId="0" applyNumberFormat="1" applyBorder="1"/>
    <xf numFmtId="2" fontId="0" fillId="0" borderId="11" xfId="0" applyNumberFormat="1" applyBorder="1"/>
    <xf numFmtId="2" fontId="0" fillId="0" borderId="7" xfId="0" applyNumberFormat="1" applyBorder="1"/>
    <xf numFmtId="2" fontId="0" fillId="0" borderId="12" xfId="0" applyNumberFormat="1" applyBorder="1"/>
    <xf numFmtId="0" fontId="0" fillId="2"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3" borderId="0" xfId="0" applyFill="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7" xfId="0"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0" fontId="3" fillId="0" borderId="1" xfId="0" applyFont="1" applyBorder="1" applyAlignment="1">
      <alignment horizontal="center"/>
    </xf>
    <xf numFmtId="0" fontId="3" fillId="0" borderId="0" xfId="0" applyFont="1"/>
    <xf numFmtId="14" fontId="3" fillId="0" borderId="1" xfId="0" applyNumberFormat="1" applyFont="1" applyBorder="1" applyAlignment="1">
      <alignment horizontal="center" vertical="center"/>
    </xf>
    <xf numFmtId="14" fontId="3" fillId="0" borderId="18" xfId="0" applyNumberFormat="1" applyFont="1" applyBorder="1" applyAlignment="1">
      <alignment horizontal="center" vertical="center"/>
    </xf>
    <xf numFmtId="14" fontId="3" fillId="0" borderId="5" xfId="0" applyNumberFormat="1" applyFont="1" applyBorder="1" applyAlignment="1">
      <alignment horizontal="center" vertical="center"/>
    </xf>
    <xf numFmtId="14" fontId="3" fillId="0" borderId="13" xfId="0" applyNumberFormat="1" applyFont="1" applyBorder="1" applyAlignment="1">
      <alignment horizontal="center" vertical="center"/>
    </xf>
    <xf numFmtId="14" fontId="3" fillId="0" borderId="19" xfId="0" applyNumberFormat="1" applyFont="1" applyBorder="1" applyAlignment="1">
      <alignment horizontal="center" vertical="center"/>
    </xf>
    <xf numFmtId="14" fontId="3" fillId="0" borderId="5" xfId="0" applyNumberFormat="1" applyFont="1" applyBorder="1" applyAlignment="1">
      <alignment horizontal="center" vertical="center" wrapText="1"/>
    </xf>
    <xf numFmtId="14" fontId="3" fillId="0" borderId="1" xfId="0" applyNumberFormat="1" applyFont="1" applyBorder="1" applyAlignment="1">
      <alignment horizontal="center" vertical="center" wrapText="1"/>
    </xf>
    <xf numFmtId="170" fontId="0" fillId="0" borderId="5" xfId="0" applyNumberForma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Alignment="1">
      <alignment vertical="center" textRotation="90"/>
    </xf>
    <xf numFmtId="0" fontId="0" fillId="0" borderId="14" xfId="0" applyBorder="1" applyAlignment="1">
      <alignment horizontal="center" vertical="center"/>
    </xf>
    <xf numFmtId="0" fontId="39" fillId="0" borderId="0" xfId="0" applyFont="1" applyAlignment="1">
      <alignment horizontal="center" vertical="center"/>
    </xf>
    <xf numFmtId="166" fontId="0" fillId="0" borderId="0" xfId="0" applyNumberFormat="1" applyAlignment="1">
      <alignment horizontal="center" vertical="center"/>
    </xf>
    <xf numFmtId="164" fontId="0" fillId="0" borderId="0" xfId="0" applyNumberFormat="1" applyAlignment="1">
      <alignment horizontal="center" vertical="center"/>
    </xf>
    <xf numFmtId="0" fontId="0" fillId="0" borderId="11" xfId="0" applyBorder="1" applyAlignment="1" applyProtection="1">
      <alignment horizontal="center" vertical="center"/>
      <protection locked="0"/>
    </xf>
    <xf numFmtId="0" fontId="0" fillId="0" borderId="0" xfId="0" applyAlignment="1" applyProtection="1">
      <alignment horizontal="left" vertical="center"/>
      <protection locked="0"/>
    </xf>
    <xf numFmtId="0" fontId="0" fillId="0" borderId="6" xfId="0" applyBorder="1" applyAlignment="1" applyProtection="1">
      <alignment horizontal="center" vertical="center"/>
      <protection locked="0"/>
    </xf>
    <xf numFmtId="170" fontId="0" fillId="0" borderId="6" xfId="0" applyNumberFormat="1" applyBorder="1" applyAlignment="1" applyProtection="1">
      <alignment horizontal="center" vertical="center"/>
      <protection locked="0"/>
    </xf>
    <xf numFmtId="170" fontId="0" fillId="0" borderId="0" xfId="0" applyNumberFormat="1" applyAlignment="1" applyProtection="1">
      <alignment horizontal="center" vertical="center"/>
      <protection locked="0"/>
    </xf>
    <xf numFmtId="0" fontId="0" fillId="0" borderId="10" xfId="0" applyBorder="1" applyAlignment="1" applyProtection="1">
      <alignment horizontal="left" vertical="center"/>
      <protection locked="0"/>
    </xf>
    <xf numFmtId="0" fontId="0" fillId="0" borderId="7" xfId="0" applyBorder="1"/>
    <xf numFmtId="1" fontId="0" fillId="0" borderId="0" xfId="0" applyNumberFormat="1" applyAlignment="1">
      <alignment vertical="center"/>
    </xf>
    <xf numFmtId="1" fontId="0" fillId="0" borderId="0" xfId="0" applyNumberFormat="1" applyAlignment="1">
      <alignment horizontal="center" vertical="center"/>
    </xf>
    <xf numFmtId="1" fontId="0" fillId="0" borderId="0" xfId="0" applyNumberFormat="1" applyAlignment="1">
      <alignment vertical="center" wrapText="1"/>
    </xf>
    <xf numFmtId="169" fontId="0" fillId="0" borderId="7" xfId="0" applyNumberFormat="1" applyBorder="1" applyAlignment="1">
      <alignment horizontal="center" vertical="center"/>
    </xf>
    <xf numFmtId="169" fontId="0" fillId="0" borderId="6" xfId="0" applyNumberFormat="1" applyBorder="1" applyAlignment="1" applyProtection="1">
      <alignment horizontal="center" vertical="center"/>
      <protection locked="0"/>
    </xf>
    <xf numFmtId="169" fontId="0" fillId="0" borderId="0" xfId="0" applyNumberFormat="1" applyAlignment="1" applyProtection="1">
      <alignment horizontal="center" vertical="center"/>
      <protection locked="0"/>
    </xf>
    <xf numFmtId="1" fontId="0" fillId="0" borderId="5" xfId="0" applyNumberFormat="1" applyBorder="1" applyAlignment="1">
      <alignment horizontal="center" vertical="center"/>
    </xf>
    <xf numFmtId="0" fontId="15" fillId="0" borderId="9" xfId="0" applyFont="1" applyBorder="1" applyAlignment="1">
      <alignment horizontal="center" vertical="center" wrapText="1"/>
    </xf>
    <xf numFmtId="0" fontId="14" fillId="0" borderId="10" xfId="0" applyFont="1" applyBorder="1" applyAlignment="1">
      <alignment horizontal="center" vertical="center"/>
    </xf>
    <xf numFmtId="0" fontId="14" fillId="7" borderId="14" xfId="0" applyFont="1" applyFill="1" applyBorder="1" applyAlignment="1">
      <alignment horizontal="center" vertical="center"/>
    </xf>
    <xf numFmtId="0" fontId="14" fillId="8" borderId="5" xfId="0" applyFont="1" applyFill="1" applyBorder="1" applyAlignment="1">
      <alignment horizontal="center" vertical="center"/>
    </xf>
    <xf numFmtId="0" fontId="14" fillId="7" borderId="14" xfId="0" applyFont="1" applyFill="1" applyBorder="1" applyAlignment="1">
      <alignment horizontal="center" vertical="center" wrapText="1"/>
    </xf>
    <xf numFmtId="0" fontId="14" fillId="9" borderId="14" xfId="0" applyFont="1" applyFill="1" applyBorder="1" applyAlignment="1">
      <alignment horizontal="center" vertical="center" wrapText="1"/>
    </xf>
    <xf numFmtId="0" fontId="22" fillId="8" borderId="5" xfId="0" applyFont="1" applyFill="1" applyBorder="1" applyAlignment="1">
      <alignment horizontal="center" vertical="center"/>
    </xf>
    <xf numFmtId="0" fontId="22" fillId="10" borderId="5" xfId="0" applyFont="1" applyFill="1" applyBorder="1" applyAlignment="1">
      <alignment horizontal="center" vertical="center"/>
    </xf>
    <xf numFmtId="171" fontId="0" fillId="0" borderId="5" xfId="0" applyNumberFormat="1" applyBorder="1" applyAlignment="1">
      <alignment horizontal="center" vertical="center"/>
    </xf>
    <xf numFmtId="0" fontId="0" fillId="4" borderId="0" xfId="0" applyFill="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 fontId="34" fillId="0" borderId="0" xfId="0" applyNumberFormat="1" applyFont="1" applyAlignment="1">
      <alignment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0" fontId="5" fillId="0" borderId="0" xfId="0" applyFont="1" applyAlignment="1">
      <alignment vertical="center"/>
    </xf>
    <xf numFmtId="171" fontId="0" fillId="0" borderId="0" xfId="0" applyNumberFormat="1" applyAlignment="1">
      <alignment horizontal="center" vertical="center"/>
    </xf>
    <xf numFmtId="1" fontId="5" fillId="0" borderId="1" xfId="0" applyNumberFormat="1" applyFont="1" applyBorder="1" applyAlignment="1">
      <alignment horizontal="center" vertical="center"/>
    </xf>
    <xf numFmtId="1" fontId="5" fillId="0" borderId="0" xfId="0" applyNumberFormat="1" applyFont="1" applyAlignment="1">
      <alignment horizontal="center" vertical="center"/>
    </xf>
    <xf numFmtId="0" fontId="24" fillId="0" borderId="0" xfId="0" applyFont="1" applyAlignment="1">
      <alignment vertical="center"/>
    </xf>
    <xf numFmtId="0" fontId="35" fillId="0" borderId="0" xfId="0" applyFont="1" applyAlignment="1">
      <alignment horizontal="center" vertical="center"/>
    </xf>
    <xf numFmtId="171" fontId="0" fillId="0" borderId="6" xfId="0" applyNumberFormat="1" applyBorder="1" applyAlignment="1" applyProtection="1">
      <alignment horizontal="center" vertical="center"/>
      <protection locked="0"/>
    </xf>
    <xf numFmtId="171" fontId="0" fillId="0" borderId="0" xfId="0" applyNumberFormat="1" applyAlignment="1" applyProtection="1">
      <alignment horizontal="center" vertical="center"/>
      <protection locked="0"/>
    </xf>
    <xf numFmtId="171" fontId="0" fillId="0" borderId="6" xfId="0" applyNumberFormat="1" applyBorder="1" applyAlignment="1">
      <alignment horizontal="center" vertical="center"/>
    </xf>
    <xf numFmtId="171" fontId="0" fillId="0" borderId="7" xfId="0" applyNumberFormat="1" applyBorder="1" applyAlignment="1">
      <alignment horizontal="center" vertical="center"/>
    </xf>
    <xf numFmtId="0" fontId="0" fillId="0" borderId="0" xfId="0" applyProtection="1">
      <protection locked="0"/>
    </xf>
    <xf numFmtId="0" fontId="0" fillId="0" borderId="7" xfId="0" applyBorder="1" applyProtection="1">
      <protection locked="0"/>
    </xf>
    <xf numFmtId="170" fontId="0" fillId="0" borderId="0" xfId="0" applyNumberFormat="1" applyAlignment="1" applyProtection="1">
      <alignment horizontal="left" vertical="center"/>
      <protection locked="0"/>
    </xf>
    <xf numFmtId="0" fontId="0" fillId="0" borderId="0" xfId="0" applyAlignment="1" applyProtection="1">
      <alignment horizontal="left"/>
      <protection locked="0"/>
    </xf>
    <xf numFmtId="0" fontId="0" fillId="0" borderId="7" xfId="0" applyBorder="1" applyAlignment="1" applyProtection="1">
      <alignment horizontal="left"/>
      <protection locked="0"/>
    </xf>
    <xf numFmtId="0" fontId="0" fillId="2" borderId="0" xfId="0" applyFill="1" applyAlignment="1">
      <alignment horizontal="center" vertical="center"/>
    </xf>
    <xf numFmtId="2" fontId="0" fillId="0" borderId="5" xfId="0" applyNumberFormat="1" applyBorder="1" applyAlignment="1">
      <alignment horizontal="center" vertical="center"/>
    </xf>
    <xf numFmtId="0" fontId="14" fillId="2" borderId="0" xfId="0" applyFont="1" applyFill="1" applyAlignment="1">
      <alignment horizontal="center" vertical="center" wrapText="1"/>
    </xf>
    <xf numFmtId="0" fontId="22" fillId="2" borderId="0" xfId="0" applyFont="1" applyFill="1" applyAlignment="1">
      <alignment horizontal="center" vertical="center" wrapText="1"/>
    </xf>
    <xf numFmtId="0" fontId="14" fillId="2" borderId="0" xfId="0" applyFont="1" applyFill="1" applyAlignment="1">
      <alignment horizontal="center" vertical="center"/>
    </xf>
    <xf numFmtId="0" fontId="20" fillId="2" borderId="0" xfId="0" applyFont="1" applyFill="1" applyAlignment="1">
      <alignment horizontal="center" vertical="center"/>
    </xf>
    <xf numFmtId="0" fontId="29" fillId="2" borderId="0" xfId="0" applyFont="1" applyFill="1" applyAlignment="1">
      <alignment horizontal="center" vertical="center"/>
    </xf>
    <xf numFmtId="170" fontId="0" fillId="2" borderId="0" xfId="0" applyNumberFormat="1" applyFill="1" applyAlignment="1">
      <alignment horizontal="center" vertical="center"/>
    </xf>
    <xf numFmtId="0" fontId="33" fillId="3" borderId="0" xfId="0" applyFont="1" applyFill="1" applyAlignment="1">
      <alignment vertical="center" textRotation="90"/>
    </xf>
    <xf numFmtId="0" fontId="0" fillId="3" borderId="0" xfId="0" applyFill="1" applyAlignment="1">
      <alignment horizontal="center" vertical="center"/>
    </xf>
    <xf numFmtId="0" fontId="0" fillId="2" borderId="0" xfId="0" applyFill="1" applyAlignment="1">
      <alignment vertical="center" textRotation="90"/>
    </xf>
    <xf numFmtId="0" fontId="0" fillId="3" borderId="0" xfId="0" applyFill="1" applyAlignment="1">
      <alignment vertical="center" textRotation="90"/>
    </xf>
    <xf numFmtId="2" fontId="0" fillId="0" borderId="23" xfId="0" applyNumberFormat="1" applyBorder="1" applyAlignment="1">
      <alignment horizontal="center" vertical="center"/>
    </xf>
    <xf numFmtId="0" fontId="0" fillId="0" borderId="6" xfId="0" applyBorder="1" applyProtection="1">
      <protection locked="0"/>
    </xf>
    <xf numFmtId="0" fontId="0" fillId="0" borderId="9" xfId="0" applyBorder="1" applyProtection="1">
      <protection locked="0"/>
    </xf>
    <xf numFmtId="1" fontId="0" fillId="0" borderId="0" xfId="0" applyNumberFormat="1" applyAlignment="1" applyProtection="1">
      <alignment horizontal="center" vertical="center"/>
      <protection locked="0"/>
    </xf>
    <xf numFmtId="0" fontId="0" fillId="0" borderId="10" xfId="0" applyBorder="1" applyProtection="1">
      <protection locked="0"/>
    </xf>
    <xf numFmtId="0" fontId="0" fillId="0" borderId="7" xfId="0" applyBorder="1" applyAlignment="1" applyProtection="1">
      <alignment horizontal="left" vertical="center"/>
      <protection locked="0"/>
    </xf>
    <xf numFmtId="0" fontId="0" fillId="0" borderId="12" xfId="0" applyBorder="1" applyAlignment="1" applyProtection="1">
      <alignment horizontal="left" vertical="center"/>
      <protection locked="0"/>
    </xf>
    <xf numFmtId="170" fontId="0" fillId="0" borderId="7" xfId="0" applyNumberFormat="1" applyBorder="1" applyAlignment="1" applyProtection="1">
      <alignment horizontal="center" vertical="center"/>
      <protection locked="0"/>
    </xf>
    <xf numFmtId="171" fontId="0" fillId="0" borderId="7" xfId="0" applyNumberFormat="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5" fillId="0" borderId="0" xfId="0" applyFont="1" applyAlignment="1">
      <alignment horizontal="center"/>
    </xf>
    <xf numFmtId="2" fontId="0" fillId="0" borderId="9" xfId="0" applyNumberFormat="1" applyBorder="1" applyAlignment="1">
      <alignment horizontal="center" vertical="center"/>
    </xf>
    <xf numFmtId="2" fontId="0" fillId="0" borderId="10" xfId="0" applyNumberFormat="1" applyBorder="1" applyAlignment="1">
      <alignment horizontal="center" vertical="center"/>
    </xf>
    <xf numFmtId="2" fontId="0" fillId="0" borderId="12" xfId="0" applyNumberFormat="1" applyBorder="1" applyAlignment="1">
      <alignment horizontal="center" vertical="center"/>
    </xf>
    <xf numFmtId="172" fontId="0" fillId="0" borderId="6" xfId="0" applyNumberFormat="1" applyBorder="1" applyAlignment="1">
      <alignment horizontal="center" vertical="center"/>
    </xf>
    <xf numFmtId="172" fontId="0" fillId="0" borderId="0" xfId="0" applyNumberFormat="1" applyAlignment="1">
      <alignment horizontal="center" vertical="center"/>
    </xf>
    <xf numFmtId="172" fontId="0" fillId="0" borderId="7" xfId="0" applyNumberFormat="1" applyBorder="1" applyAlignment="1">
      <alignment horizontal="center" vertical="center"/>
    </xf>
    <xf numFmtId="0" fontId="0" fillId="0" borderId="0" xfId="0" applyAlignment="1">
      <alignment horizontal="left" vertical="top" wrapText="1"/>
    </xf>
    <xf numFmtId="0" fontId="0" fillId="0" borderId="7" xfId="0" applyBorder="1" applyAlignment="1">
      <alignment horizontal="left" vertical="top" wrapText="1"/>
    </xf>
    <xf numFmtId="0" fontId="5" fillId="0" borderId="1" xfId="0" applyFont="1" applyBorder="1" applyAlignment="1" applyProtection="1">
      <alignment horizontal="center" vertical="center"/>
      <protection locked="0"/>
    </xf>
    <xf numFmtId="1" fontId="0" fillId="0" borderId="7" xfId="0" applyNumberFormat="1" applyBorder="1" applyAlignment="1">
      <alignment horizontal="center" vertical="center"/>
    </xf>
    <xf numFmtId="0" fontId="66" fillId="0" borderId="24" xfId="0" applyFont="1" applyBorder="1" applyAlignment="1">
      <alignment horizontal="center" vertical="center" wrapText="1"/>
    </xf>
    <xf numFmtId="0" fontId="5" fillId="0" borderId="0" xfId="0" applyFont="1" applyAlignment="1" applyProtection="1">
      <alignment horizontal="center" vertical="center"/>
      <protection locked="0"/>
    </xf>
    <xf numFmtId="171" fontId="0" fillId="0" borderId="3" xfId="0" applyNumberFormat="1" applyBorder="1" applyAlignment="1" applyProtection="1">
      <alignment horizontal="center" vertical="center"/>
      <protection locked="0"/>
    </xf>
    <xf numFmtId="2" fontId="0" fillId="0" borderId="6" xfId="0" applyNumberFormat="1" applyBorder="1" applyAlignment="1" applyProtection="1">
      <alignment horizontal="center" vertical="center"/>
      <protection locked="0"/>
    </xf>
    <xf numFmtId="2" fontId="0" fillId="0" borderId="9" xfId="0" applyNumberFormat="1" applyBorder="1" applyAlignment="1" applyProtection="1">
      <alignment horizontal="center" vertical="center"/>
      <protection locked="0"/>
    </xf>
    <xf numFmtId="171" fontId="0" fillId="0" borderId="2" xfId="0" applyNumberFormat="1" applyBorder="1" applyAlignment="1" applyProtection="1">
      <alignment horizontal="center" vertical="center"/>
      <protection locked="0"/>
    </xf>
    <xf numFmtId="2" fontId="0" fillId="0" borderId="10" xfId="0" applyNumberFormat="1" applyBorder="1" applyAlignment="1" applyProtection="1">
      <alignment horizontal="center" vertical="center"/>
      <protection locked="0"/>
    </xf>
    <xf numFmtId="0" fontId="5" fillId="0" borderId="0" xfId="0" applyFont="1" applyAlignment="1" applyProtection="1">
      <alignment horizontal="center"/>
      <protection locked="0"/>
    </xf>
    <xf numFmtId="2" fontId="0" fillId="0" borderId="2" xfId="0" applyNumberFormat="1" applyBorder="1" applyAlignment="1" applyProtection="1">
      <alignment horizontal="center" vertical="center"/>
      <protection locked="0"/>
    </xf>
    <xf numFmtId="2" fontId="0" fillId="0" borderId="11" xfId="0" applyNumberFormat="1" applyBorder="1" applyAlignment="1" applyProtection="1">
      <alignment horizontal="center" vertical="center"/>
      <protection locked="0"/>
    </xf>
    <xf numFmtId="2" fontId="0" fillId="0" borderId="7" xfId="0" applyNumberFormat="1" applyBorder="1" applyAlignment="1" applyProtection="1">
      <alignment horizontal="center" vertical="center"/>
      <protection locked="0"/>
    </xf>
    <xf numFmtId="2" fontId="0" fillId="0" borderId="12" xfId="0" applyNumberFormat="1" applyBorder="1" applyAlignment="1" applyProtection="1">
      <alignment horizontal="center" vertical="center"/>
      <protection locked="0"/>
    </xf>
    <xf numFmtId="0" fontId="0" fillId="0" borderId="0" xfId="0" applyAlignment="1" applyProtection="1">
      <alignment vertical="center"/>
      <protection locked="0"/>
    </xf>
    <xf numFmtId="2" fontId="0" fillId="0" borderId="3" xfId="0" applyNumberFormat="1" applyBorder="1" applyAlignment="1" applyProtection="1">
      <alignment horizontal="center" vertical="center"/>
      <protection locked="0"/>
    </xf>
    <xf numFmtId="2" fontId="0" fillId="0" borderId="6" xfId="0" applyNumberFormat="1" applyBorder="1" applyProtection="1">
      <protection locked="0"/>
    </xf>
    <xf numFmtId="2" fontId="0" fillId="0" borderId="9" xfId="0" applyNumberFormat="1" applyBorder="1" applyProtection="1">
      <protection locked="0"/>
    </xf>
    <xf numFmtId="2" fontId="0" fillId="0" borderId="0" xfId="0" applyNumberFormat="1" applyProtection="1">
      <protection locked="0"/>
    </xf>
    <xf numFmtId="2" fontId="0" fillId="0" borderId="10" xfId="0" applyNumberFormat="1" applyBorder="1" applyProtection="1">
      <protection locked="0"/>
    </xf>
    <xf numFmtId="2" fontId="5" fillId="0" borderId="2" xfId="0" applyNumberFormat="1" applyFont="1" applyBorder="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0" fontId="5" fillId="0" borderId="0" xfId="0" applyFont="1" applyProtection="1">
      <protection locked="0"/>
    </xf>
    <xf numFmtId="169" fontId="0" fillId="0" borderId="3" xfId="0" applyNumberFormat="1" applyBorder="1" applyAlignment="1" applyProtection="1">
      <alignment horizontal="center" vertical="center"/>
      <protection locked="0"/>
    </xf>
    <xf numFmtId="169" fontId="0" fillId="0" borderId="6" xfId="0" applyNumberFormat="1" applyBorder="1" applyProtection="1">
      <protection locked="0"/>
    </xf>
    <xf numFmtId="169" fontId="0" fillId="0" borderId="9" xfId="0" applyNumberFormat="1" applyBorder="1" applyProtection="1">
      <protection locked="0"/>
    </xf>
    <xf numFmtId="169" fontId="0" fillId="0" borderId="2" xfId="0" applyNumberFormat="1" applyBorder="1" applyAlignment="1" applyProtection="1">
      <alignment horizontal="center" vertical="center"/>
      <protection locked="0"/>
    </xf>
    <xf numFmtId="169" fontId="0" fillId="0" borderId="0" xfId="0" applyNumberFormat="1" applyProtection="1">
      <protection locked="0"/>
    </xf>
    <xf numFmtId="169" fontId="0" fillId="0" borderId="10" xfId="0" applyNumberFormat="1" applyBorder="1" applyProtection="1">
      <protection locked="0"/>
    </xf>
    <xf numFmtId="169" fontId="5" fillId="0" borderId="2" xfId="0" applyNumberFormat="1" applyFont="1" applyBorder="1" applyAlignment="1" applyProtection="1">
      <alignment horizontal="center" vertical="center"/>
      <protection locked="0"/>
    </xf>
    <xf numFmtId="169" fontId="5" fillId="0" borderId="0" xfId="0" applyNumberFormat="1" applyFont="1" applyAlignment="1" applyProtection="1">
      <alignment horizontal="center" vertical="center"/>
      <protection locked="0"/>
    </xf>
    <xf numFmtId="169" fontId="0" fillId="0" borderId="2" xfId="0" applyNumberFormat="1" applyBorder="1" applyProtection="1">
      <protection locked="0"/>
    </xf>
    <xf numFmtId="0" fontId="67" fillId="0" borderId="0" xfId="0" applyFont="1" applyAlignment="1">
      <alignment horizontal="center" vertical="center"/>
    </xf>
    <xf numFmtId="0" fontId="67" fillId="0" borderId="0" xfId="0" applyFont="1" applyAlignment="1" applyProtection="1">
      <alignment horizontal="center" vertical="center"/>
      <protection locked="0"/>
    </xf>
    <xf numFmtId="1" fontId="0" fillId="0" borderId="0" xfId="0" quotePrefix="1" applyNumberFormat="1" applyAlignment="1">
      <alignment horizontal="center" vertical="center"/>
    </xf>
    <xf numFmtId="0" fontId="25" fillId="0" borderId="0" xfId="0" applyFont="1" applyAlignment="1">
      <alignment horizontal="left"/>
    </xf>
    <xf numFmtId="0" fontId="70" fillId="12" borderId="0" xfId="0" applyFont="1" applyFill="1" applyAlignment="1" applyProtection="1">
      <alignment horizontal="center" vertical="center"/>
      <protection locked="0"/>
    </xf>
    <xf numFmtId="0" fontId="70" fillId="0" borderId="2" xfId="0" applyFont="1" applyBorder="1" applyAlignment="1" applyProtection="1">
      <alignment horizontal="center" vertical="center"/>
      <protection locked="0"/>
    </xf>
    <xf numFmtId="0" fontId="70" fillId="0" borderId="0" xfId="0" applyFont="1" applyAlignment="1" applyProtection="1">
      <alignment horizontal="center" vertical="center"/>
      <protection locked="0"/>
    </xf>
    <xf numFmtId="171" fontId="70" fillId="0" borderId="0" xfId="0" applyNumberFormat="1" applyFont="1" applyAlignment="1" applyProtection="1">
      <alignment horizontal="center" vertical="center"/>
      <protection locked="0"/>
    </xf>
    <xf numFmtId="169" fontId="70" fillId="0" borderId="0" xfId="0" applyNumberFormat="1" applyFont="1" applyAlignment="1" applyProtection="1">
      <alignment horizontal="center" vertical="center"/>
      <protection locked="0"/>
    </xf>
    <xf numFmtId="170" fontId="70" fillId="0" borderId="0" xfId="0" applyNumberFormat="1" applyFont="1" applyAlignment="1" applyProtection="1">
      <alignment horizontal="center" vertical="center"/>
      <protection locked="0"/>
    </xf>
    <xf numFmtId="14" fontId="2" fillId="0" borderId="1" xfId="0" applyNumberFormat="1" applyFont="1" applyBorder="1" applyAlignment="1">
      <alignment horizontal="center" vertical="center"/>
    </xf>
    <xf numFmtId="170" fontId="70" fillId="0" borderId="0" xfId="0" applyNumberFormat="1" applyFont="1" applyAlignment="1" applyProtection="1">
      <alignment horizontal="left" vertical="center"/>
      <protection locked="0"/>
    </xf>
    <xf numFmtId="171" fontId="0" fillId="0" borderId="0" xfId="0" applyNumberFormat="1"/>
    <xf numFmtId="171" fontId="15" fillId="0" borderId="4" xfId="0" applyNumberFormat="1" applyFont="1" applyBorder="1" applyAlignment="1">
      <alignment horizontal="center" vertical="center" wrapText="1"/>
    </xf>
    <xf numFmtId="171" fontId="22" fillId="0" borderId="14" xfId="0" applyNumberFormat="1" applyFont="1" applyBorder="1" applyAlignment="1">
      <alignment horizontal="center" vertical="center"/>
    </xf>
    <xf numFmtId="171" fontId="0" fillId="0" borderId="0" xfId="0" applyNumberFormat="1" applyProtection="1">
      <protection locked="0"/>
    </xf>
    <xf numFmtId="171" fontId="0" fillId="0" borderId="7" xfId="0" applyNumberFormat="1" applyBorder="1" applyProtection="1">
      <protection locked="0"/>
    </xf>
    <xf numFmtId="0" fontId="0" fillId="11" borderId="25" xfId="0" applyFill="1" applyBorder="1" applyAlignment="1">
      <alignment horizontal="center" vertical="center"/>
    </xf>
    <xf numFmtId="0" fontId="0" fillId="11" borderId="26" xfId="0" applyFill="1" applyBorder="1" applyAlignment="1">
      <alignment horizontal="center" vertical="center"/>
    </xf>
    <xf numFmtId="0" fontId="0" fillId="11" borderId="30" xfId="0" applyFill="1" applyBorder="1" applyAlignment="1">
      <alignment horizontal="center" vertical="center"/>
    </xf>
    <xf numFmtId="0" fontId="0" fillId="11" borderId="31" xfId="0" applyFill="1" applyBorder="1" applyAlignment="1">
      <alignment horizontal="center" vertical="center"/>
    </xf>
    <xf numFmtId="0" fontId="0" fillId="11" borderId="27" xfId="0" applyFill="1" applyBorder="1" applyAlignment="1">
      <alignment horizontal="center" vertical="center"/>
    </xf>
    <xf numFmtId="0" fontId="0" fillId="11" borderId="32" xfId="0" applyFill="1" applyBorder="1" applyAlignment="1">
      <alignment horizontal="center" vertical="center"/>
    </xf>
    <xf numFmtId="0" fontId="32" fillId="11" borderId="25" xfId="0" applyFont="1" applyFill="1" applyBorder="1" applyAlignment="1">
      <alignment horizontal="center" vertical="center"/>
    </xf>
    <xf numFmtId="0" fontId="32" fillId="11" borderId="26" xfId="0" applyFont="1" applyFill="1" applyBorder="1" applyAlignment="1">
      <alignment horizontal="center" vertical="center"/>
    </xf>
    <xf numFmtId="0" fontId="32" fillId="11" borderId="27" xfId="0" applyFont="1" applyFill="1" applyBorder="1" applyAlignment="1">
      <alignment horizontal="center" vertical="center"/>
    </xf>
    <xf numFmtId="0" fontId="32" fillId="11" borderId="28" xfId="0" applyFont="1" applyFill="1" applyBorder="1" applyAlignment="1">
      <alignment horizontal="center" vertical="center"/>
    </xf>
    <xf numFmtId="0" fontId="32" fillId="11" borderId="0" xfId="0" applyFont="1" applyFill="1" applyAlignment="1">
      <alignment horizontal="center" vertical="center"/>
    </xf>
    <xf numFmtId="0" fontId="32" fillId="11" borderId="29" xfId="0" applyFont="1" applyFill="1" applyBorder="1" applyAlignment="1">
      <alignment horizontal="center" vertical="center"/>
    </xf>
    <xf numFmtId="0" fontId="0" fillId="11" borderId="28" xfId="0" applyFill="1" applyBorder="1" applyAlignment="1">
      <alignment horizontal="center" vertical="center" wrapText="1"/>
    </xf>
    <xf numFmtId="0" fontId="0" fillId="11" borderId="0" xfId="0" applyFill="1" applyAlignment="1">
      <alignment horizontal="center" vertical="center" wrapText="1"/>
    </xf>
    <xf numFmtId="0" fontId="0" fillId="11" borderId="29" xfId="0" applyFill="1" applyBorder="1" applyAlignment="1">
      <alignment horizontal="center" vertical="center" wrapText="1"/>
    </xf>
    <xf numFmtId="0" fontId="0" fillId="11" borderId="30" xfId="0" applyFill="1" applyBorder="1" applyAlignment="1">
      <alignment horizontal="center" vertical="center" wrapText="1"/>
    </xf>
    <xf numFmtId="0" fontId="0" fillId="11" borderId="31" xfId="0" applyFill="1" applyBorder="1" applyAlignment="1">
      <alignment horizontal="center" vertical="center" wrapText="1"/>
    </xf>
    <xf numFmtId="0" fontId="0" fillId="11" borderId="32" xfId="0" applyFill="1" applyBorder="1" applyAlignment="1">
      <alignment horizontal="center" vertical="center" wrapText="1"/>
    </xf>
    <xf numFmtId="0" fontId="66" fillId="0" borderId="24" xfId="0" applyFont="1" applyBorder="1" applyAlignment="1">
      <alignment horizontal="center" vertical="center"/>
    </xf>
    <xf numFmtId="0" fontId="36" fillId="0" borderId="6" xfId="0" applyFont="1" applyBorder="1" applyAlignment="1">
      <alignment horizontal="center" vertical="center"/>
    </xf>
    <xf numFmtId="1" fontId="36" fillId="0" borderId="6" xfId="0" applyNumberFormat="1" applyFont="1" applyBorder="1" applyAlignment="1">
      <alignment horizontal="center" vertical="center"/>
    </xf>
    <xf numFmtId="1" fontId="5" fillId="0" borderId="1" xfId="0" applyNumberFormat="1" applyFont="1" applyBorder="1" applyAlignment="1">
      <alignment horizontal="center" vertical="center"/>
    </xf>
    <xf numFmtId="0" fontId="65" fillId="0" borderId="24" xfId="0" applyFont="1" applyBorder="1"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5" xfId="0" applyFont="1" applyBorder="1" applyAlignment="1">
      <alignment horizontal="center" vertical="center"/>
    </xf>
    <xf numFmtId="0" fontId="5" fillId="0" borderId="13"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4" xfId="0" applyBorder="1" applyAlignment="1">
      <alignment horizontal="center" vertical="center" textRotation="90"/>
    </xf>
    <xf numFmtId="0" fontId="0" fillId="0" borderId="14" xfId="0" applyBorder="1" applyAlignment="1">
      <alignment horizontal="center" vertical="center" textRotation="90"/>
    </xf>
    <xf numFmtId="0" fontId="0" fillId="0" borderId="5" xfId="0" applyBorder="1" applyAlignment="1">
      <alignment horizontal="center" vertical="center" textRotation="90"/>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3" xfId="0" applyFont="1" applyBorder="1" applyAlignment="1">
      <alignment horizontal="center" vertical="center"/>
    </xf>
    <xf numFmtId="0" fontId="7" fillId="0" borderId="1" xfId="0" applyFont="1" applyBorder="1" applyAlignment="1">
      <alignment horizontal="center" vertical="center"/>
    </xf>
    <xf numFmtId="0" fontId="15" fillId="0" borderId="1" xfId="0" applyFont="1" applyBorder="1" applyAlignment="1">
      <alignment horizontal="center" vertical="center" wrapText="1"/>
    </xf>
    <xf numFmtId="0" fontId="15" fillId="0" borderId="1" xfId="0" applyFont="1" applyBorder="1" applyAlignment="1">
      <alignment horizontal="center" vertical="center"/>
    </xf>
    <xf numFmtId="0" fontId="5" fillId="6" borderId="20" xfId="0" applyFont="1" applyFill="1" applyBorder="1" applyAlignment="1">
      <alignment horizontal="center" vertical="center" wrapText="1"/>
    </xf>
    <xf numFmtId="0" fontId="5" fillId="6" borderId="21" xfId="0" applyFont="1" applyFill="1" applyBorder="1" applyAlignment="1">
      <alignment horizontal="center" vertical="center" wrapText="1"/>
    </xf>
    <xf numFmtId="0" fontId="5" fillId="6" borderId="22" xfId="0" applyFont="1" applyFill="1" applyBorder="1" applyAlignment="1">
      <alignment horizontal="center" vertical="center" wrapText="1"/>
    </xf>
    <xf numFmtId="0" fontId="48" fillId="0" borderId="4" xfId="0" applyFont="1" applyBorder="1" applyAlignment="1">
      <alignment horizontal="center" vertical="center" wrapText="1"/>
    </xf>
    <xf numFmtId="0" fontId="48" fillId="0" borderId="14"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4" fillId="0" borderId="4" xfId="0" applyFont="1" applyBorder="1" applyAlignment="1">
      <alignment horizontal="center" vertical="center" wrapText="1"/>
    </xf>
    <xf numFmtId="0" fontId="4" fillId="0" borderId="14" xfId="0" applyFont="1" applyBorder="1" applyAlignment="1">
      <alignment horizontal="center" vertical="center" wrapText="1"/>
    </xf>
    <xf numFmtId="0" fontId="37" fillId="0" borderId="4" xfId="0" applyFont="1" applyBorder="1" applyAlignment="1">
      <alignment horizontal="center" vertical="center" wrapText="1"/>
    </xf>
    <xf numFmtId="0" fontId="0" fillId="0" borderId="14" xfId="0" applyBorder="1" applyAlignment="1">
      <alignment horizontal="center" vertical="center" wrapText="1"/>
    </xf>
    <xf numFmtId="0" fontId="34" fillId="0" borderId="15" xfId="0" applyFont="1" applyBorder="1" applyAlignment="1">
      <alignment horizontal="center" vertical="center"/>
    </xf>
    <xf numFmtId="0" fontId="34" fillId="0" borderId="13" xfId="0" applyFont="1" applyBorder="1" applyAlignment="1">
      <alignment horizontal="center" vertical="center"/>
    </xf>
    <xf numFmtId="0" fontId="0" fillId="0" borderId="4" xfId="0" applyBorder="1" applyAlignment="1">
      <alignment horizontal="center" vertic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3" xfId="0" applyFont="1" applyBorder="1" applyAlignment="1">
      <alignment horizontal="center"/>
    </xf>
    <xf numFmtId="0" fontId="0" fillId="0" borderId="1" xfId="0" applyBorder="1" applyAlignment="1">
      <alignment horizontal="center" vertical="center" wrapText="1"/>
    </xf>
    <xf numFmtId="0" fontId="31" fillId="0" borderId="0" xfId="0" applyFont="1" applyAlignment="1" applyProtection="1">
      <alignment horizontal="center" vertical="center"/>
      <protection locked="0"/>
    </xf>
    <xf numFmtId="0" fontId="0" fillId="0" borderId="0" xfId="0" applyAlignment="1" applyProtection="1">
      <alignment horizontal="center" vertical="center" wrapText="1"/>
      <protection locked="0"/>
    </xf>
    <xf numFmtId="0" fontId="25" fillId="0" borderId="0" xfId="0" applyFont="1" applyAlignment="1" applyProtection="1">
      <alignment horizontal="center" vertical="center"/>
      <protection locked="0"/>
    </xf>
    <xf numFmtId="0" fontId="5" fillId="0" borderId="0" xfId="0" applyFont="1" applyAlignment="1" applyProtection="1">
      <alignment horizontal="center" wrapText="1"/>
      <protection locked="0"/>
    </xf>
    <xf numFmtId="0" fontId="0" fillId="0" borderId="1" xfId="0" applyBorder="1" applyAlignment="1">
      <alignment horizontal="left" vertical="top" wrapText="1"/>
    </xf>
    <xf numFmtId="0" fontId="0" fillId="0" borderId="18" xfId="0" applyBorder="1" applyAlignment="1">
      <alignment horizontal="left" vertical="top" wrapText="1"/>
    </xf>
    <xf numFmtId="0" fontId="0" fillId="0" borderId="5"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1" xfId="0" applyBorder="1" applyAlignment="1">
      <alignment horizontal="center"/>
    </xf>
  </cellXfs>
  <cellStyles count="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Normal" xfId="0" builtinId="0"/>
  </cellStyles>
  <dxfs count="21">
    <dxf>
      <fill>
        <patternFill>
          <bgColor rgb="FFF2DCDB"/>
        </patternFill>
      </fill>
    </dxf>
    <dxf>
      <fill>
        <patternFill>
          <bgColor rgb="FFDCE6F1"/>
        </patternFill>
      </fill>
    </dxf>
    <dxf>
      <fill>
        <patternFill patternType="none">
          <bgColor auto="1"/>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s>
  <tableStyles count="0" defaultTableStyle="TableStyleMedium2" defaultPivotStyle="PivotStyleLight16"/>
  <colors>
    <mruColors>
      <color rgb="FFFF4B4B"/>
      <color rgb="FF339966"/>
      <color rgb="FF3366FF"/>
      <color rgb="FF00FF00"/>
      <color rgb="FFFF907D"/>
      <color rgb="FFF2DCDB"/>
      <color rgb="FF709ED6"/>
      <color rgb="FF99FF99"/>
      <color rgb="FFFF4747"/>
      <color rgb="FF98BA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Results!$CC$8</c:f>
              <c:strCache>
                <c:ptCount val="1"/>
                <c:pt idx="0">
                  <c:v>300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Results!$CD$8:$CO$8</c:f>
              <c:numCache>
                <c:formatCode>0.00</c:formatCode>
                <c:ptCount val="12"/>
                <c:pt idx="0">
                  <c:v>-6.237846269148104</c:v>
                </c:pt>
                <c:pt idx="1">
                  <c:v>-5.2177909455999387</c:v>
                </c:pt>
                <c:pt idx="2">
                  <c:v>-4.4112762239717869</c:v>
                </c:pt>
                <c:pt idx="3">
                  <c:v>-3.707898716139777</c:v>
                </c:pt>
                <c:pt idx="4">
                  <c:v>-3.0688547460967808</c:v>
                </c:pt>
                <c:pt idx="5">
                  <c:v>-2.4744300126336487</c:v>
                </c:pt>
                <c:pt idx="6">
                  <c:v>-1.9141537001572699</c:v>
                </c:pt>
                <c:pt idx="7">
                  <c:v>-1.3808596630945151</c:v>
                </c:pt>
                <c:pt idx="8">
                  <c:v>-0.8694486886899826</c:v>
                </c:pt>
                <c:pt idx="9">
                  <c:v>-0.37686524867464188</c:v>
                </c:pt>
                <c:pt idx="10">
                  <c:v>9.9878975967235092E-2</c:v>
                </c:pt>
                <c:pt idx="11">
                  <c:v>0.56139444693491303</c:v>
                </c:pt>
              </c:numCache>
            </c:numRef>
          </c:yVal>
          <c:smooth val="1"/>
          <c:extLst>
            <c:ext xmlns:c16="http://schemas.microsoft.com/office/drawing/2014/chart" uri="{C3380CC4-5D6E-409C-BE32-E72D297353CC}">
              <c16:uniqueId val="{00000012-2135-D34B-85B0-67B2CAE6164E}"/>
            </c:ext>
          </c:extLst>
        </c:ser>
        <c:ser>
          <c:idx val="1"/>
          <c:order val="1"/>
          <c:tx>
            <c:strRef>
              <c:f>Results!$CC$9</c:f>
              <c:strCache>
                <c:ptCount val="1"/>
                <c:pt idx="0">
                  <c:v>350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Results!$CD$9:$CO$9</c:f>
              <c:numCache>
                <c:formatCode>0.00</c:formatCode>
                <c:ptCount val="12"/>
                <c:pt idx="0">
                  <c:v>-6.5548423016812549</c:v>
                </c:pt>
                <c:pt idx="1">
                  <c:v>-5.5160771740739154</c:v>
                </c:pt>
                <c:pt idx="2">
                  <c:v>-4.7247803495625629</c:v>
                </c:pt>
                <c:pt idx="3">
                  <c:v>-4.0459133384367254</c:v>
                </c:pt>
                <c:pt idx="4">
                  <c:v>-3.434889518928514</c:v>
                </c:pt>
                <c:pt idx="5">
                  <c:v>-2.8700160778469401</c:v>
                </c:pt>
                <c:pt idx="6">
                  <c:v>-2.3397647059705604</c:v>
                </c:pt>
                <c:pt idx="7">
                  <c:v>-1.8365989503305733</c:v>
                </c:pt>
                <c:pt idx="8">
                  <c:v>-1.3557170790331092</c:v>
                </c:pt>
                <c:pt idx="9">
                  <c:v>-0.89263634631473199</c:v>
                </c:pt>
                <c:pt idx="10">
                  <c:v>-0.44675013660720958</c:v>
                </c:pt>
                <c:pt idx="11">
                  <c:v>-1.4050762068628873E-2</c:v>
                </c:pt>
              </c:numCache>
            </c:numRef>
          </c:yVal>
          <c:smooth val="1"/>
          <c:extLst>
            <c:ext xmlns:c16="http://schemas.microsoft.com/office/drawing/2014/chart" uri="{C3380CC4-5D6E-409C-BE32-E72D297353CC}">
              <c16:uniqueId val="{00000013-2135-D34B-85B0-67B2CAE6164E}"/>
            </c:ext>
          </c:extLst>
        </c:ser>
        <c:ser>
          <c:idx val="2"/>
          <c:order val="2"/>
          <c:tx>
            <c:strRef>
              <c:f>Results!$CC$10</c:f>
              <c:strCache>
                <c:ptCount val="1"/>
                <c:pt idx="0">
                  <c:v>400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Results!$CD$10:$CO$10</c:f>
              <c:numCache>
                <c:formatCode>0.00</c:formatCode>
                <c:ptCount val="12"/>
                <c:pt idx="0">
                  <c:v>-6.8835072565384774</c:v>
                </c:pt>
                <c:pt idx="1">
                  <c:v>-5.8107713315153937</c:v>
                </c:pt>
                <c:pt idx="2">
                  <c:v>-5.0258602396047669</c:v>
                </c:pt>
                <c:pt idx="3">
                  <c:v>-4.3645853930524865</c:v>
                </c:pt>
                <c:pt idx="4">
                  <c:v>-3.7748391176348401</c:v>
                </c:pt>
                <c:pt idx="5">
                  <c:v>-3.2336598662689102</c:v>
                </c:pt>
                <c:pt idx="6">
                  <c:v>-2.7278112254048503</c:v>
                </c:pt>
                <c:pt idx="7">
                  <c:v>-2.2502691918609155</c:v>
                </c:pt>
                <c:pt idx="8">
                  <c:v>-1.7936667414304648</c:v>
                </c:pt>
                <c:pt idx="9">
                  <c:v>-1.3557248893261338</c:v>
                </c:pt>
                <c:pt idx="10">
                  <c:v>-0.93399084402637789</c:v>
                </c:pt>
                <c:pt idx="11">
                  <c:v>-0.52499153642354679</c:v>
                </c:pt>
              </c:numCache>
            </c:numRef>
          </c:yVal>
          <c:smooth val="1"/>
          <c:extLst>
            <c:ext xmlns:c16="http://schemas.microsoft.com/office/drawing/2014/chart" uri="{C3380CC4-5D6E-409C-BE32-E72D297353CC}">
              <c16:uniqueId val="{00000014-2135-D34B-85B0-67B2CAE6164E}"/>
            </c:ext>
          </c:extLst>
        </c:ser>
        <c:ser>
          <c:idx val="3"/>
          <c:order val="3"/>
          <c:tx>
            <c:strRef>
              <c:f>Results!$CC$11</c:f>
              <c:strCache>
                <c:ptCount val="1"/>
                <c:pt idx="0">
                  <c:v>450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Results!$CD$11:$CO$11</c:f>
              <c:numCache>
                <c:formatCode>0.00</c:formatCode>
                <c:ptCount val="12"/>
                <c:pt idx="0">
                  <c:v>-7.2228589653115485</c:v>
                </c:pt>
                <c:pt idx="1">
                  <c:v>-6.1021761727711858</c:v>
                </c:pt>
                <c:pt idx="2">
                  <c:v>-5.3163592260329251</c:v>
                </c:pt>
                <c:pt idx="3">
                  <c:v>-4.6669084562660839</c:v>
                </c:pt>
                <c:pt idx="4">
                  <c:v>-4.0940277502333844</c:v>
                </c:pt>
                <c:pt idx="5">
                  <c:v>-3.5714563022105454</c:v>
                </c:pt>
                <c:pt idx="6">
                  <c:v>-3.0858778347317632</c:v>
                </c:pt>
                <c:pt idx="7">
                  <c:v>-2.6280534756807223</c:v>
                </c:pt>
                <c:pt idx="8">
                  <c:v>-2.1926466281475561</c:v>
                </c:pt>
                <c:pt idx="9">
                  <c:v>-1.7762667865657087</c:v>
                </c:pt>
                <c:pt idx="10">
                  <c:v>-1.3740136923301041</c:v>
                </c:pt>
                <c:pt idx="11">
                  <c:v>-0.98639249623077996</c:v>
                </c:pt>
              </c:numCache>
            </c:numRef>
          </c:yVal>
          <c:smooth val="1"/>
          <c:extLst>
            <c:ext xmlns:c16="http://schemas.microsoft.com/office/drawing/2014/chart" uri="{C3380CC4-5D6E-409C-BE32-E72D297353CC}">
              <c16:uniqueId val="{00000015-2135-D34B-85B0-67B2CAE6164E}"/>
            </c:ext>
          </c:extLst>
        </c:ser>
        <c:ser>
          <c:idx val="4"/>
          <c:order val="4"/>
          <c:tx>
            <c:strRef>
              <c:f>Results!$CC$12</c:f>
              <c:strCache>
                <c:ptCount val="1"/>
                <c:pt idx="0">
                  <c:v>500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Results!$CD$12:$CO$12</c:f>
              <c:numCache>
                <c:formatCode>0.00</c:formatCode>
                <c:ptCount val="12"/>
                <c:pt idx="0">
                  <c:v>-7.572036760701244</c:v>
                </c:pt>
                <c:pt idx="1">
                  <c:v>-6.3904652110951243</c:v>
                </c:pt>
                <c:pt idx="2">
                  <c:v>-5.5981114960140355</c:v>
                </c:pt>
                <c:pt idx="3">
                  <c:v>-4.9549510413264297</c:v>
                </c:pt>
                <c:pt idx="4">
                  <c:v>-4.3943746515457915</c:v>
                </c:pt>
                <c:pt idx="5">
                  <c:v>-3.8873022424197337</c:v>
                </c:pt>
                <c:pt idx="6">
                  <c:v>-3.4172815256796865</c:v>
                </c:pt>
                <c:pt idx="7">
                  <c:v>-2.9764234862379997</c:v>
                </c:pt>
                <c:pt idx="8">
                  <c:v>-2.559452465918457</c:v>
                </c:pt>
                <c:pt idx="9">
                  <c:v>-2.1601223733162902</c:v>
                </c:pt>
                <c:pt idx="10">
                  <c:v>-1.7757789073147221</c:v>
                </c:pt>
                <c:pt idx="11">
                  <c:v>-1.406049543129259</c:v>
                </c:pt>
              </c:numCache>
            </c:numRef>
          </c:yVal>
          <c:smooth val="1"/>
          <c:extLst>
            <c:ext xmlns:c16="http://schemas.microsoft.com/office/drawing/2014/chart" uri="{C3380CC4-5D6E-409C-BE32-E72D297353CC}">
              <c16:uniqueId val="{00000016-2135-D34B-85B0-67B2CAE6164E}"/>
            </c:ext>
          </c:extLst>
        </c:ser>
        <c:ser>
          <c:idx val="5"/>
          <c:order val="5"/>
          <c:tx>
            <c:strRef>
              <c:f>Results!$CC$13</c:f>
              <c:strCache>
                <c:ptCount val="1"/>
                <c:pt idx="0">
                  <c:v>550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Results!$CD$13:$CO$13</c:f>
              <c:numCache>
                <c:formatCode>0.00</c:formatCode>
                <c:ptCount val="12"/>
                <c:pt idx="0">
                  <c:v>-7.9306379013006616</c:v>
                </c:pt>
                <c:pt idx="1">
                  <c:v>-6.6756812510745664</c:v>
                </c:pt>
                <c:pt idx="2">
                  <c:v>-5.8709382746584389</c:v>
                </c:pt>
                <c:pt idx="3">
                  <c:v>-5.2310449697500383</c:v>
                </c:pt>
                <c:pt idx="4">
                  <c:v>-4.6801543378676635</c:v>
                </c:pt>
                <c:pt idx="5">
                  <c:v>-4.1843068325501251</c:v>
                </c:pt>
                <c:pt idx="6">
                  <c:v>-3.7272691072487607</c:v>
                </c:pt>
                <c:pt idx="7">
                  <c:v>-3.3018416439309615</c:v>
                </c:pt>
                <c:pt idx="8">
                  <c:v>-2.8976773264593185</c:v>
                </c:pt>
                <c:pt idx="9">
                  <c:v>-2.5152071418530078</c:v>
                </c:pt>
                <c:pt idx="10">
                  <c:v>-2.1452301630363779</c:v>
                </c:pt>
                <c:pt idx="11">
                  <c:v>-1.7884595052165131</c:v>
                </c:pt>
              </c:numCache>
            </c:numRef>
          </c:yVal>
          <c:smooth val="1"/>
          <c:extLst>
            <c:ext xmlns:c16="http://schemas.microsoft.com/office/drawing/2014/chart" uri="{C3380CC4-5D6E-409C-BE32-E72D297353CC}">
              <c16:uniqueId val="{00000018-42F2-4140-AC39-D9273FEDCE08}"/>
            </c:ext>
          </c:extLst>
        </c:ser>
        <c:ser>
          <c:idx val="6"/>
          <c:order val="6"/>
          <c:tx>
            <c:strRef>
              <c:f>Results!$CC$14</c:f>
              <c:strCache>
                <c:ptCount val="1"/>
                <c:pt idx="0">
                  <c:v>600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Results!$CD$14:$CO$14</c:f>
              <c:numCache>
                <c:formatCode>0.00</c:formatCode>
                <c:ptCount val="12"/>
                <c:pt idx="0">
                  <c:v>-8.2969960337136115</c:v>
                </c:pt>
                <c:pt idx="1">
                  <c:v>-6.9563985417072596</c:v>
                </c:pt>
                <c:pt idx="2">
                  <c:v>-6.1361631313146718</c:v>
                </c:pt>
                <c:pt idx="3">
                  <c:v>-5.4961462048603531</c:v>
                </c:pt>
                <c:pt idx="4">
                  <c:v>-4.9514274517651353</c:v>
                </c:pt>
                <c:pt idx="5">
                  <c:v>-4.4657826877961666</c:v>
                </c:pt>
                <c:pt idx="6">
                  <c:v>-4.0193999414280634</c:v>
                </c:pt>
                <c:pt idx="7">
                  <c:v>-3.6046795477888351</c:v>
                </c:pt>
                <c:pt idx="8">
                  <c:v>-3.2156841183144249</c:v>
                </c:pt>
                <c:pt idx="9">
                  <c:v>-2.8401530321027133</c:v>
                </c:pt>
                <c:pt idx="10">
                  <c:v>-2.4871389777315724</c:v>
                </c:pt>
                <c:pt idx="11">
                  <c:v>-2.1427934564322881</c:v>
                </c:pt>
              </c:numCache>
            </c:numRef>
          </c:yVal>
          <c:smooth val="1"/>
          <c:extLst>
            <c:ext xmlns:c16="http://schemas.microsoft.com/office/drawing/2014/chart" uri="{C3380CC4-5D6E-409C-BE32-E72D297353CC}">
              <c16:uniqueId val="{00000019-42F2-4140-AC39-D9273FEDCE08}"/>
            </c:ext>
          </c:extLst>
        </c:ser>
        <c:ser>
          <c:idx val="7"/>
          <c:order val="7"/>
          <c:tx>
            <c:strRef>
              <c:f>Results!$CC$15</c:f>
              <c:strCache>
                <c:ptCount val="1"/>
                <c:pt idx="0">
                  <c:v>650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Results!$CD$15:$CO$15</c:f>
              <c:numCache>
                <c:formatCode>0.00</c:formatCode>
                <c:ptCount val="12"/>
                <c:pt idx="0">
                  <c:v>-8.6752043179581726</c:v>
                </c:pt>
                <c:pt idx="1">
                  <c:v>-7.2371487037799653</c:v>
                </c:pt>
                <c:pt idx="2">
                  <c:v>-6.3950207115696047</c:v>
                </c:pt>
                <c:pt idx="3">
                  <c:v>-5.7526756548583755</c:v>
                </c:pt>
                <c:pt idx="4">
                  <c:v>-5.2116642231253563</c:v>
                </c:pt>
                <c:pt idx="5">
                  <c:v>-4.7341736519135997</c:v>
                </c:pt>
                <c:pt idx="6">
                  <c:v>-4.2952567946859492</c:v>
                </c:pt>
                <c:pt idx="7">
                  <c:v>-3.89206118812033</c:v>
                </c:pt>
                <c:pt idx="8">
                  <c:v>-3.5107008133365918</c:v>
                </c:pt>
                <c:pt idx="9">
                  <c:v>-3.1484685424359613</c:v>
                </c:pt>
                <c:pt idx="10">
                  <c:v>-2.8032899589419586</c:v>
                </c:pt>
                <c:pt idx="11">
                  <c:v>-2.4754208752255846</c:v>
                </c:pt>
              </c:numCache>
            </c:numRef>
          </c:yVal>
          <c:smooth val="1"/>
          <c:extLst>
            <c:ext xmlns:c16="http://schemas.microsoft.com/office/drawing/2014/chart" uri="{C3380CC4-5D6E-409C-BE32-E72D297353CC}">
              <c16:uniqueId val="{0000001A-42F2-4140-AC39-D9273FEDCE08}"/>
            </c:ext>
          </c:extLst>
        </c:ser>
        <c:ser>
          <c:idx val="8"/>
          <c:order val="8"/>
          <c:tx>
            <c:strRef>
              <c:f>Results!$CC$16</c:f>
              <c:strCache>
                <c:ptCount val="1"/>
                <c:pt idx="0">
                  <c:v>700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Results!$CD$16:$CO$16</c:f>
              <c:numCache>
                <c:formatCode>0.00</c:formatCode>
                <c:ptCount val="12"/>
                <c:pt idx="0">
                  <c:v>-9.067480062600012</c:v>
                </c:pt>
                <c:pt idx="1">
                  <c:v>-7.5208421165057651</c:v>
                </c:pt>
                <c:pt idx="2">
                  <c:v>-6.6558416960590909</c:v>
                </c:pt>
                <c:pt idx="3">
                  <c:v>-6.0086103821348038</c:v>
                </c:pt>
                <c:pt idx="4">
                  <c:v>-5.469597049460833</c:v>
                </c:pt>
                <c:pt idx="5">
                  <c:v>-4.9958613536246315</c:v>
                </c:pt>
                <c:pt idx="6">
                  <c:v>-4.565189187012388</c:v>
                </c:pt>
                <c:pt idx="7">
                  <c:v>-4.1695120551458729</c:v>
                </c:pt>
                <c:pt idx="8">
                  <c:v>-3.7972871446009129</c:v>
                </c:pt>
                <c:pt idx="9">
                  <c:v>-3.4422782722252174</c:v>
                </c:pt>
                <c:pt idx="10">
                  <c:v>-3.1096000939206139</c:v>
                </c:pt>
                <c:pt idx="11">
                  <c:v>-2.7888748583274805</c:v>
                </c:pt>
              </c:numCache>
            </c:numRef>
          </c:yVal>
          <c:smooth val="1"/>
          <c:extLst>
            <c:ext xmlns:c16="http://schemas.microsoft.com/office/drawing/2014/chart" uri="{C3380CC4-5D6E-409C-BE32-E72D297353CC}">
              <c16:uniqueId val="{0000001B-42F2-4140-AC39-D9273FEDCE08}"/>
            </c:ext>
          </c:extLst>
        </c:ser>
        <c:ser>
          <c:idx val="9"/>
          <c:order val="9"/>
          <c:tx>
            <c:strRef>
              <c:f>Results!$CC$17</c:f>
              <c:strCache>
                <c:ptCount val="1"/>
                <c:pt idx="0">
                  <c:v>750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Results!$CD$17:$CO$17</c:f>
              <c:numCache>
                <c:formatCode>0.00</c:formatCode>
                <c:ptCount val="12"/>
                <c:pt idx="0">
                  <c:v>-9.4668010336215147</c:v>
                </c:pt>
                <c:pt idx="1">
                  <c:v>-7.8017013541106346</c:v>
                </c:pt>
                <c:pt idx="2">
                  <c:v>-6.9102152380678428</c:v>
                </c:pt>
                <c:pt idx="3">
                  <c:v>-6.2542380495337166</c:v>
                </c:pt>
                <c:pt idx="4">
                  <c:v>-5.7171643312611273</c:v>
                </c:pt>
                <c:pt idx="5">
                  <c:v>-5.2492576573885792</c:v>
                </c:pt>
                <c:pt idx="6">
                  <c:v>-4.822687653805616</c:v>
                </c:pt>
                <c:pt idx="7">
                  <c:v>-4.4353176268123704</c:v>
                </c:pt>
                <c:pt idx="8">
                  <c:v>-4.0718477865259928</c:v>
                </c:pt>
                <c:pt idx="9">
                  <c:v>-3.7243906251587391</c:v>
                </c:pt>
                <c:pt idx="10">
                  <c:v>-3.3962088952201479</c:v>
                </c:pt>
                <c:pt idx="11">
                  <c:v>-3.0847079192427542</c:v>
                </c:pt>
              </c:numCache>
            </c:numRef>
          </c:yVal>
          <c:smooth val="1"/>
          <c:extLst>
            <c:ext xmlns:c16="http://schemas.microsoft.com/office/drawing/2014/chart" uri="{C3380CC4-5D6E-409C-BE32-E72D297353CC}">
              <c16:uniqueId val="{0000001C-42F2-4140-AC39-D9273FEDCE08}"/>
            </c:ext>
          </c:extLst>
        </c:ser>
        <c:ser>
          <c:idx val="10"/>
          <c:order val="10"/>
          <c:tx>
            <c:strRef>
              <c:f>Results!$CC$18</c:f>
              <c:strCache>
                <c:ptCount val="1"/>
                <c:pt idx="0">
                  <c:v>800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Results!$CD$18:$CO$18</c:f>
              <c:numCache>
                <c:formatCode>0.00</c:formatCode>
                <c:ptCount val="12"/>
                <c:pt idx="0">
                  <c:v>-9.8763694961074115</c:v>
                </c:pt>
                <c:pt idx="1">
                  <c:v>-8.0845803369133655</c:v>
                </c:pt>
                <c:pt idx="2">
                  <c:v>-7.1647299030473457</c:v>
                </c:pt>
                <c:pt idx="3">
                  <c:v>-6.500659341556041</c:v>
                </c:pt>
                <c:pt idx="4">
                  <c:v>-5.9635909882074349</c:v>
                </c:pt>
                <c:pt idx="5">
                  <c:v>-5.4941295143740518</c:v>
                </c:pt>
                <c:pt idx="6">
                  <c:v>-5.0809972940956882</c:v>
                </c:pt>
                <c:pt idx="7">
                  <c:v>-4.6923332008554128</c:v>
                </c:pt>
                <c:pt idx="8">
                  <c:v>-4.3338438357394287</c:v>
                </c:pt>
                <c:pt idx="9">
                  <c:v>-3.99989763727792</c:v>
                </c:pt>
                <c:pt idx="10">
                  <c:v>-3.6765537722285466</c:v>
                </c:pt>
                <c:pt idx="11">
                  <c:v>-3.3726660718919121</c:v>
                </c:pt>
              </c:numCache>
            </c:numRef>
          </c:yVal>
          <c:smooth val="1"/>
          <c:extLst>
            <c:ext xmlns:c16="http://schemas.microsoft.com/office/drawing/2014/chart" uri="{C3380CC4-5D6E-409C-BE32-E72D297353CC}">
              <c16:uniqueId val="{0000001D-42F2-4140-AC39-D9273FEDCE08}"/>
            </c:ext>
          </c:extLst>
        </c:ser>
        <c:ser>
          <c:idx val="11"/>
          <c:order val="11"/>
          <c:tx>
            <c:strRef>
              <c:f>Results!$CC$19</c:f>
              <c:strCache>
                <c:ptCount val="1"/>
                <c:pt idx="0">
                  <c:v>850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Results!$CD$19:$CO$19</c:f>
              <c:numCache>
                <c:formatCode>0.00</c:formatCode>
                <c:ptCount val="12"/>
                <c:pt idx="0">
                  <c:v>-10.291954754987106</c:v>
                </c:pt>
                <c:pt idx="1">
                  <c:v>-8.3675314275976795</c:v>
                </c:pt>
                <c:pt idx="2">
                  <c:v>-7.4166151879966806</c:v>
                </c:pt>
                <c:pt idx="3">
                  <c:v>-6.742938471700727</c:v>
                </c:pt>
                <c:pt idx="4">
                  <c:v>-6.20110752467866</c:v>
                </c:pt>
                <c:pt idx="5">
                  <c:v>-5.7374417783871241</c:v>
                </c:pt>
                <c:pt idx="6">
                  <c:v>-5.3209644425524054</c:v>
                </c:pt>
                <c:pt idx="7">
                  <c:v>-4.9421126334619849</c:v>
                </c:pt>
                <c:pt idx="8">
                  <c:v>-4.5898082409073426</c:v>
                </c:pt>
                <c:pt idx="9">
                  <c:v>-4.2567883368890662</c:v>
                </c:pt>
                <c:pt idx="10">
                  <c:v>-3.9469952094095802</c:v>
                </c:pt>
                <c:pt idx="11">
                  <c:v>-3.6443731403859343</c:v>
                </c:pt>
              </c:numCache>
            </c:numRef>
          </c:yVal>
          <c:smooth val="1"/>
          <c:extLst>
            <c:ext xmlns:c16="http://schemas.microsoft.com/office/drawing/2014/chart" uri="{C3380CC4-5D6E-409C-BE32-E72D297353CC}">
              <c16:uniqueId val="{0000001E-42F2-4140-AC39-D9273FEDCE08}"/>
            </c:ext>
          </c:extLst>
        </c:ser>
        <c:ser>
          <c:idx val="12"/>
          <c:order val="12"/>
          <c:tx>
            <c:strRef>
              <c:f>Results!$CC$20</c:f>
              <c:strCache>
                <c:ptCount val="1"/>
                <c:pt idx="0">
                  <c:v>900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Results!$CD$20:$CO$20</c:f>
              <c:numCache>
                <c:formatCode>0.00</c:formatCode>
                <c:ptCount val="12"/>
                <c:pt idx="0">
                  <c:v>-10.706480595081764</c:v>
                </c:pt>
                <c:pt idx="1">
                  <c:v>-8.6458474947994084</c:v>
                </c:pt>
                <c:pt idx="2">
                  <c:v>-7.6622683482368918</c:v>
                </c:pt>
                <c:pt idx="3">
                  <c:v>-6.9822240806552207</c:v>
                </c:pt>
                <c:pt idx="4">
                  <c:v>-6.4397350297685447</c:v>
                </c:pt>
                <c:pt idx="5">
                  <c:v>-5.97334925794173</c:v>
                </c:pt>
                <c:pt idx="6">
                  <c:v>-5.5582791781236836</c:v>
                </c:pt>
                <c:pt idx="7">
                  <c:v>-5.1854822500534548</c:v>
                </c:pt>
                <c:pt idx="8">
                  <c:v>-4.8423645549221845</c:v>
                </c:pt>
                <c:pt idx="9">
                  <c:v>-4.5193838711511694</c:v>
                </c:pt>
                <c:pt idx="10">
                  <c:v>-4.210736703861782</c:v>
                </c:pt>
                <c:pt idx="11">
                  <c:v>-3.9130266349389857</c:v>
                </c:pt>
              </c:numCache>
            </c:numRef>
          </c:yVal>
          <c:smooth val="1"/>
          <c:extLst>
            <c:ext xmlns:c16="http://schemas.microsoft.com/office/drawing/2014/chart" uri="{C3380CC4-5D6E-409C-BE32-E72D297353CC}">
              <c16:uniqueId val="{00000000-BC29-6F41-A58A-1AE778B3D829}"/>
            </c:ext>
          </c:extLst>
        </c:ser>
        <c:ser>
          <c:idx val="13"/>
          <c:order val="13"/>
          <c:tx>
            <c:strRef>
              <c:f>Results!$CC$21</c:f>
              <c:strCache>
                <c:ptCount val="1"/>
                <c:pt idx="0">
                  <c:v>950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Results!$CD$21:$CO$21</c:f>
              <c:numCache>
                <c:formatCode>0.00</c:formatCode>
                <c:ptCount val="12"/>
                <c:pt idx="0">
                  <c:v>-11.120930691136657</c:v>
                </c:pt>
                <c:pt idx="1">
                  <c:v>-8.9231867560765448</c:v>
                </c:pt>
                <c:pt idx="2">
                  <c:v>-7.9088029688510311</c:v>
                </c:pt>
                <c:pt idx="3">
                  <c:v>-7.2162749145888601</c:v>
                </c:pt>
                <c:pt idx="4">
                  <c:v>-6.6682961318484919</c:v>
                </c:pt>
                <c:pt idx="5">
                  <c:v>-6.2050080603282485</c:v>
                </c:pt>
                <c:pt idx="6">
                  <c:v>-5.7950108525188773</c:v>
                </c:pt>
                <c:pt idx="7">
                  <c:v>-5.4246195850745487</c:v>
                </c:pt>
                <c:pt idx="8">
                  <c:v>-5.0832929842459453</c:v>
                </c:pt>
                <c:pt idx="9">
                  <c:v>-4.7601141657510313</c:v>
                </c:pt>
                <c:pt idx="10">
                  <c:v>-4.459749567546182</c:v>
                </c:pt>
                <c:pt idx="11">
                  <c:v>-4.1670016383166288</c:v>
                </c:pt>
              </c:numCache>
            </c:numRef>
          </c:yVal>
          <c:smooth val="1"/>
          <c:extLst>
            <c:ext xmlns:c16="http://schemas.microsoft.com/office/drawing/2014/chart" uri="{C3380CC4-5D6E-409C-BE32-E72D297353CC}">
              <c16:uniqueId val="{00000001-BC29-6F41-A58A-1AE778B3D829}"/>
            </c:ext>
          </c:extLst>
        </c:ser>
        <c:ser>
          <c:idx val="14"/>
          <c:order val="14"/>
          <c:tx>
            <c:strRef>
              <c:f>Results!$CC$22</c:f>
              <c:strCache>
                <c:ptCount val="1"/>
                <c:pt idx="0">
                  <c:v>1000</c:v>
                </c:pt>
              </c:strCache>
            </c:strRef>
          </c:tx>
          <c:marker>
            <c:symbol val="none"/>
          </c:marker>
          <c:xVal>
            <c:numRef>
              <c:f>Results!$CD$7:$CO$7</c:f>
              <c:numCache>
                <c:formatCode>General</c:formatCode>
                <c:ptCount val="12"/>
                <c:pt idx="0">
                  <c:v>5</c:v>
                </c:pt>
                <c:pt idx="1">
                  <c:v>10</c:v>
                </c:pt>
                <c:pt idx="2">
                  <c:v>15</c:v>
                </c:pt>
                <c:pt idx="3">
                  <c:v>20</c:v>
                </c:pt>
                <c:pt idx="4">
                  <c:v>25</c:v>
                </c:pt>
                <c:pt idx="5">
                  <c:v>30</c:v>
                </c:pt>
                <c:pt idx="6">
                  <c:v>35</c:v>
                </c:pt>
                <c:pt idx="7">
                  <c:v>40</c:v>
                </c:pt>
                <c:pt idx="8">
                  <c:v>45</c:v>
                </c:pt>
                <c:pt idx="9">
                  <c:v>50</c:v>
                </c:pt>
                <c:pt idx="10">
                  <c:v>55</c:v>
                </c:pt>
                <c:pt idx="11">
                  <c:v>60</c:v>
                </c:pt>
              </c:numCache>
            </c:numRef>
          </c:xVal>
          <c:yVal>
            <c:numRef>
              <c:f>Results!$CD$22:$CO$22</c:f>
              <c:numCache>
                <c:formatCode>0.00</c:formatCode>
                <c:ptCount val="12"/>
                <c:pt idx="0">
                  <c:v>-11.528210035511357</c:v>
                </c:pt>
                <c:pt idx="1">
                  <c:v>-9.1952165283395288</c:v>
                </c:pt>
                <c:pt idx="2">
                  <c:v>-8.1496577478127357</c:v>
                </c:pt>
                <c:pt idx="3">
                  <c:v>-7.44354657757067</c:v>
                </c:pt>
                <c:pt idx="4">
                  <c:v>-6.8920208971295454</c:v>
                </c:pt>
                <c:pt idx="5">
                  <c:v>-6.4291188194820572</c:v>
                </c:pt>
                <c:pt idx="6">
                  <c:v>-6.018340045219456</c:v>
                </c:pt>
                <c:pt idx="7">
                  <c:v>-5.6523881265314859</c:v>
                </c:pt>
                <c:pt idx="8">
                  <c:v>-5.3150355904558229</c:v>
                </c:pt>
                <c:pt idx="9">
                  <c:v>-4.9967051681877805</c:v>
                </c:pt>
                <c:pt idx="10">
                  <c:v>-4.6994436739822047</c:v>
                </c:pt>
                <c:pt idx="11">
                  <c:v>-4.4157422990027335</c:v>
                </c:pt>
              </c:numCache>
            </c:numRef>
          </c:yVal>
          <c:smooth val="1"/>
          <c:extLst>
            <c:ext xmlns:c16="http://schemas.microsoft.com/office/drawing/2014/chart" uri="{C3380CC4-5D6E-409C-BE32-E72D297353CC}">
              <c16:uniqueId val="{00000002-BC29-6F41-A58A-1AE778B3D829}"/>
            </c:ext>
          </c:extLst>
        </c:ser>
        <c:dLbls>
          <c:showLegendKey val="0"/>
          <c:showVal val="0"/>
          <c:showCatName val="0"/>
          <c:showSerName val="0"/>
          <c:showPercent val="0"/>
          <c:showBubbleSize val="0"/>
        </c:dLbls>
        <c:axId val="-1905155968"/>
        <c:axId val="-1905153264"/>
      </c:scatterChart>
      <c:valAx>
        <c:axId val="-1905155968"/>
        <c:scaling>
          <c:orientation val="minMax"/>
        </c:scaling>
        <c:delete val="0"/>
        <c:axPos val="b"/>
        <c:title>
          <c:tx>
            <c:rich>
              <a:bodyPr/>
              <a:lstStyle/>
              <a:p>
                <a:pPr>
                  <a:defRPr lang="en-US" sz="1100"/>
                </a:pPr>
                <a:r>
                  <a:rPr lang="en-US" sz="1100"/>
                  <a:t>Pressure (kb)</a:t>
                </a:r>
              </a:p>
            </c:rich>
          </c:tx>
          <c:overlay val="0"/>
        </c:title>
        <c:numFmt formatCode="General" sourceLinked="1"/>
        <c:majorTickMark val="out"/>
        <c:minorTickMark val="none"/>
        <c:tickLblPos val="nextTo"/>
        <c:crossAx val="-1905153264"/>
        <c:crossesAt val="-10000000"/>
        <c:crossBetween val="midCat"/>
      </c:valAx>
      <c:valAx>
        <c:axId val="-1905153264"/>
        <c:scaling>
          <c:orientation val="minMax"/>
        </c:scaling>
        <c:delete val="0"/>
        <c:axPos val="l"/>
        <c:title>
          <c:tx>
            <c:rich>
              <a:bodyPr rot="-5400000" vert="horz"/>
              <a:lstStyle/>
              <a:p>
                <a:pPr>
                  <a:defRPr lang="en-US" sz="1100"/>
                </a:pPr>
                <a:r>
                  <a:rPr lang="en-US" sz="1100"/>
                  <a:t>Log K</a:t>
                </a:r>
              </a:p>
            </c:rich>
          </c:tx>
          <c:overlay val="0"/>
        </c:title>
        <c:numFmt formatCode="General" sourceLinked="0"/>
        <c:majorTickMark val="out"/>
        <c:minorTickMark val="none"/>
        <c:tickLblPos val="nextTo"/>
        <c:crossAx val="-1905155968"/>
        <c:crosses val="autoZero"/>
        <c:crossBetween val="midCat"/>
      </c:valAx>
    </c:plotArea>
    <c:legend>
      <c:legendPos val="r"/>
      <c:layout>
        <c:manualLayout>
          <c:xMode val="edge"/>
          <c:yMode val="edge"/>
          <c:x val="0.88300171174255404"/>
          <c:y val="8.3241035861968099E-2"/>
          <c:w val="7.26225920500191E-2"/>
          <c:h val="0.71382376600604158"/>
        </c:manualLayout>
      </c:layout>
      <c:overlay val="0"/>
    </c:legend>
    <c:plotVisOnly val="0"/>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Lines="41" dropStyle="combo" dx="16" fmlaLink="Calculations!$D$22" fmlaRange="Calculations!$C$40:$D$44" noThreeD="1" sel="4" val="0"/>
</file>

<file path=xl/ctrlProps/ctrlProp2.xml><?xml version="1.0" encoding="utf-8"?>
<formControlPr xmlns="http://schemas.microsoft.com/office/spreadsheetml/2009/9/main" objectType="Drop" dropLines="41" dropStyle="combo" dx="16" fmlaLink="Calculations!$D$24" fmlaRange="Calculations!$C$47:$D$49" noThreeD="1" sel="2" val="0"/>
</file>

<file path=xl/ctrlProps/ctrlProp3.xml><?xml version="1.0" encoding="utf-8"?>
<formControlPr xmlns="http://schemas.microsoft.com/office/spreadsheetml/2009/9/main" objectType="Radio" firstButton="1" fmlaLink="Calculations!$D$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Calculations!$D$23" lockText="1" noThreeD="1"/>
</file>

<file path=xl/ctrlProps/ctrlProp6.xml><?xml version="1.0" encoding="utf-8"?>
<formControlPr xmlns="http://schemas.microsoft.com/office/spreadsheetml/2009/9/main" objectType="Drop" dropLines="39" dropStyle="combo" dx="16" fmlaLink="Calculations!$D$20" fmlaRange="Calculations!$C$35:$D$37" noThreeD="1" sel="1" val="0"/>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alculations!$D$25" lockText="1" noThreeD="1"/>
</file>

<file path=xl/ctrlProps/ctrlProp9.xml><?xml version="1.0" encoding="utf-8"?>
<formControlPr xmlns="http://schemas.microsoft.com/office/spreadsheetml/2009/9/main" objectType="CheckBox" checked="Checked" fmlaLink="Calculations!$D$26" lockText="1" noThreeD="1"/>
</file>

<file path=xl/ctrlProps/ctrlProp10.xml><?xml version="1.0" encoding="utf-8"?>
<formControlPr xmlns="http://schemas.microsoft.com/office/spreadsheetml/2009/9/main" objectType="CheckBox" fmlaLink="Calculations!$D$21" lockText="1" noThreeD="1"/>
</file>

<file path=xl/ctrlProps/ctrlProp11.xml><?xml version="1.0" encoding="utf-8"?>
<formControlPr xmlns="http://schemas.microsoft.com/office/spreadsheetml/2009/9/main" objectType="Drop" dropLines="35" dropStyle="combo" dx="16" fmlaLink="$BO$11" fmlaRange="$BO$8:$BO$10" noThreeD="1" sel="2" val="0"/>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16</xdr:row>
      <xdr:rowOff>15240</xdr:rowOff>
    </xdr:from>
    <xdr:to>
      <xdr:col>3</xdr:col>
      <xdr:colOff>591312</xdr:colOff>
      <xdr:row>17</xdr:row>
      <xdr:rowOff>182880</xdr:rowOff>
    </xdr:to>
    <xdr:sp macro="[0]!RunTutorial" textlink="">
      <xdr:nvSpPr>
        <xdr:cNvPr id="3" name="Rounded Rectangle 2">
          <a:extLst>
            <a:ext uri="{FF2B5EF4-FFF2-40B4-BE49-F238E27FC236}">
              <a16:creationId xmlns:a16="http://schemas.microsoft.com/office/drawing/2014/main" id="{00000000-0008-0000-0000-000003000000}"/>
            </a:ext>
          </a:extLst>
        </xdr:cNvPr>
        <xdr:cNvSpPr/>
      </xdr:nvSpPr>
      <xdr:spPr>
        <a:xfrm>
          <a:off x="213360" y="251460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Run Tutorial</a:t>
          </a:r>
        </a:p>
      </xdr:txBody>
    </xdr:sp>
    <xdr:clientData/>
  </xdr:twoCellAnchor>
  <xdr:twoCellAnchor>
    <xdr:from>
      <xdr:col>4</xdr:col>
      <xdr:colOff>9526</xdr:colOff>
      <xdr:row>16</xdr:row>
      <xdr:rowOff>11430</xdr:rowOff>
    </xdr:from>
    <xdr:to>
      <xdr:col>6</xdr:col>
      <xdr:colOff>585598</xdr:colOff>
      <xdr:row>17</xdr:row>
      <xdr:rowOff>179070</xdr:rowOff>
    </xdr:to>
    <xdr:sp macro="[0]!ChangeIntroSheetHiddenProperty" textlink="">
      <xdr:nvSpPr>
        <xdr:cNvPr id="5" name="Rounded Rectangle 4">
          <a:extLst>
            <a:ext uri="{FF2B5EF4-FFF2-40B4-BE49-F238E27FC236}">
              <a16:creationId xmlns:a16="http://schemas.microsoft.com/office/drawing/2014/main" id="{00000000-0008-0000-0000-000005000000}"/>
            </a:ext>
          </a:extLst>
        </xdr:cNvPr>
        <xdr:cNvSpPr/>
      </xdr:nvSpPr>
      <xdr:spPr>
        <a:xfrm>
          <a:off x="1990726" y="251079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Hide Intro Page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90</xdr:col>
          <xdr:colOff>0</xdr:colOff>
          <xdr:row>13</xdr:row>
          <xdr:rowOff>0</xdr:rowOff>
        </xdr:from>
        <xdr:to>
          <xdr:col>91</xdr:col>
          <xdr:colOff>0</xdr:colOff>
          <xdr:row>14</xdr:row>
          <xdr:rowOff>50800</xdr:rowOff>
        </xdr:to>
        <xdr:sp macro="" textlink="">
          <xdr:nvSpPr>
            <xdr:cNvPr id="1048" name="Dielectric Constant Option"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20</xdr:row>
          <xdr:rowOff>0</xdr:rowOff>
        </xdr:from>
        <xdr:to>
          <xdr:col>91</xdr:col>
          <xdr:colOff>0</xdr:colOff>
          <xdr:row>21</xdr:row>
          <xdr:rowOff>63500</xdr:rowOff>
        </xdr:to>
        <xdr:sp macro="" textlink="">
          <xdr:nvSpPr>
            <xdr:cNvPr id="1049" name="Water Gibbs Opti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571500</xdr:colOff>
          <xdr:row>1</xdr:row>
          <xdr:rowOff>444500</xdr:rowOff>
        </xdr:from>
        <xdr:to>
          <xdr:col>80</xdr:col>
          <xdr:colOff>546100</xdr:colOff>
          <xdr:row>2</xdr:row>
          <xdr:rowOff>127000</xdr:rowOff>
        </xdr:to>
        <xdr:sp macro="" textlink="">
          <xdr:nvSpPr>
            <xdr:cNvPr id="1054" name="Option 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Custom P-T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254000</xdr:colOff>
          <xdr:row>1</xdr:row>
          <xdr:rowOff>444500</xdr:rowOff>
        </xdr:from>
        <xdr:to>
          <xdr:col>84</xdr:col>
          <xdr:colOff>228600</xdr:colOff>
          <xdr:row>2</xdr:row>
          <xdr:rowOff>139700</xdr:rowOff>
        </xdr:to>
        <xdr:sp macro="" textlink="">
          <xdr:nvSpPr>
            <xdr:cNvPr id="1055" name="Option 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Regular P-T Increments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14</xdr:row>
          <xdr:rowOff>0</xdr:rowOff>
        </xdr:from>
        <xdr:to>
          <xdr:col>90</xdr:col>
          <xdr:colOff>1384300</xdr:colOff>
          <xdr:row>15</xdr:row>
          <xdr:rowOff>177800</xdr:rowOff>
        </xdr:to>
        <xdr:sp macro="" textlink="">
          <xdr:nvSpPr>
            <xdr:cNvPr id="1056" name="Supcrt Equation Option"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Force the use of the Supcrt Equation for Pressure ≤ 5 kb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6</xdr:row>
          <xdr:rowOff>0</xdr:rowOff>
        </xdr:from>
        <xdr:to>
          <xdr:col>91</xdr:col>
          <xdr:colOff>0</xdr:colOff>
          <xdr:row>7</xdr:row>
          <xdr:rowOff>50800</xdr:rowOff>
        </xdr:to>
        <xdr:sp macro="" textlink="">
          <xdr:nvSpPr>
            <xdr:cNvPr id="1057" name="Density Option"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444500</xdr:colOff>
          <xdr:row>1</xdr:row>
          <xdr:rowOff>444500</xdr:rowOff>
        </xdr:from>
        <xdr:to>
          <xdr:col>88</xdr:col>
          <xdr:colOff>63500</xdr:colOff>
          <xdr:row>2</xdr:row>
          <xdr:rowOff>114300</xdr:rowOff>
        </xdr:to>
        <xdr:sp macro="" textlink="">
          <xdr:nvSpPr>
            <xdr:cNvPr id="1068" name="Psat Conditions" descr="PSat"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Psat Conditions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21</xdr:row>
          <xdr:rowOff>165100</xdr:rowOff>
        </xdr:from>
        <xdr:to>
          <xdr:col>90</xdr:col>
          <xdr:colOff>1549400</xdr:colOff>
          <xdr:row>23</xdr:row>
          <xdr:rowOff>38100</xdr:rowOff>
        </xdr:to>
        <xdr:sp macro="" textlink="">
          <xdr:nvSpPr>
            <xdr:cNvPr id="1070" name="Display Volume Option"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Display Volume Calculations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xdr:row>
          <xdr:rowOff>152400</xdr:rowOff>
        </xdr:from>
        <xdr:to>
          <xdr:col>90</xdr:col>
          <xdr:colOff>1549400</xdr:colOff>
          <xdr:row>4</xdr:row>
          <xdr:rowOff>25400</xdr:rowOff>
        </xdr:to>
        <xdr:sp macro="" textlink="">
          <xdr:nvSpPr>
            <xdr:cNvPr id="1071" name="PSat Display Volume Option"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Display Volume Calculations</a:t>
              </a:r>
            </a:p>
          </xdr:txBody>
        </xdr:sp>
        <xdr:clientData/>
      </xdr:twoCellAnchor>
    </mc:Choice>
    <mc:Fallback/>
  </mc:AlternateContent>
  <xdr:twoCellAnchor editAs="absolute">
    <xdr:from>
      <xdr:col>1</xdr:col>
      <xdr:colOff>0</xdr:colOff>
      <xdr:row>14</xdr:row>
      <xdr:rowOff>0</xdr:rowOff>
    </xdr:from>
    <xdr:to>
      <xdr:col>60</xdr:col>
      <xdr:colOff>38100</xdr:colOff>
      <xdr:row>30</xdr:row>
      <xdr:rowOff>9525</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352425" y="3048000"/>
          <a:ext cx="11010900" cy="3057525"/>
        </a:xfrm>
        <a:prstGeom prst="rect">
          <a:avLst/>
        </a:prstGeom>
        <a:noFill/>
        <a:ln w="15875" cap="rnd" cmpd="sng">
          <a:solidFill>
            <a:schemeClr val="accent5">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Please note: </a:t>
          </a:r>
        </a:p>
        <a:p>
          <a:r>
            <a:rPr lang="en-US" sz="1600"/>
            <a:t>(1) Aqueous and gas species names must be exactly the same as they appear on the Aqueous Species Table sheet and Gas Table sheet respectively.</a:t>
          </a:r>
          <a:r>
            <a:rPr lang="en-US" sz="1600" baseline="0"/>
            <a:t> </a:t>
          </a:r>
          <a:r>
            <a:rPr lang="en-US" sz="1600"/>
            <a:t>Water must be entered exactly as H2O. The names are not</a:t>
          </a:r>
          <a:r>
            <a:rPr lang="en-US" sz="1600" baseline="0"/>
            <a:t> case sensitive.</a:t>
          </a:r>
          <a:endParaRPr lang="en-US" sz="1600"/>
        </a:p>
        <a:p>
          <a:endParaRPr lang="en-US" sz="1600"/>
        </a:p>
        <a:p>
          <a:r>
            <a:rPr lang="en-US" sz="1600"/>
            <a:t>(2)</a:t>
          </a:r>
          <a:r>
            <a:rPr lang="en-US" sz="1600" baseline="0"/>
            <a:t> </a:t>
          </a:r>
          <a:r>
            <a:rPr lang="en-US" sz="1600"/>
            <a:t>The mineral name can be entered above, but the mineral free energies or volumes must be pasted into the appropriate column on the Results sheet.</a:t>
          </a:r>
        </a:p>
        <a:p>
          <a:endParaRPr lang="en-US" sz="1600"/>
        </a:p>
        <a:p>
          <a:r>
            <a:rPr lang="en-US" sz="1600"/>
            <a:t>(3) It</a:t>
          </a:r>
          <a:r>
            <a:rPr lang="en-US" sz="1600" baseline="0"/>
            <a:t> is estimated that the c</a:t>
          </a:r>
          <a:r>
            <a:rPr lang="en-US" sz="1600"/>
            <a:t>urrent P-T limits for the calculation</a:t>
          </a:r>
          <a:r>
            <a:rPr lang="en-US" sz="1600" baseline="0"/>
            <a:t> of epsilon using Sverjensky et al. (2014) are the most reliable in the range from 1.0 to 60 kb and 100 to 1,200°C.</a:t>
          </a:r>
        </a:p>
        <a:p>
          <a:endParaRPr lang="en-US" sz="1600" baseline="0"/>
        </a:p>
        <a:p>
          <a:r>
            <a:rPr lang="en-US" sz="1600" baseline="0"/>
            <a:t>(4) This version of the program should work on a Mac or a PC with Office 2010 or later.</a:t>
          </a:r>
          <a:endParaRPr lang="en-US" sz="1600"/>
        </a:p>
      </xdr:txBody>
    </xdr:sp>
    <xdr:clientData/>
  </xdr:twoCellAnchor>
  <mc:AlternateContent xmlns:mc="http://schemas.openxmlformats.org/markup-compatibility/2006">
    <mc:Choice xmlns:a14="http://schemas.microsoft.com/office/drawing/2010/main" Requires="a14">
      <xdr:twoCellAnchor editAs="oneCell">
        <xdr:from>
          <xdr:col>90</xdr:col>
          <xdr:colOff>12700</xdr:colOff>
          <xdr:row>7</xdr:row>
          <xdr:rowOff>38100</xdr:rowOff>
        </xdr:from>
        <xdr:to>
          <xdr:col>90</xdr:col>
          <xdr:colOff>1435100</xdr:colOff>
          <xdr:row>8</xdr:row>
          <xdr:rowOff>152400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Force the use of custom densities for Pressure &lt; 1 kb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64</xdr:col>
      <xdr:colOff>565150</xdr:colOff>
      <xdr:row>4</xdr:row>
      <xdr:rowOff>179915</xdr:rowOff>
    </xdr:from>
    <xdr:to>
      <xdr:col>77</xdr:col>
      <xdr:colOff>559859</xdr:colOff>
      <xdr:row>29</xdr:row>
      <xdr:rowOff>151341</xdr:rowOff>
    </xdr:to>
    <xdr:graphicFrame macro="">
      <xdr:nvGraphicFramePr>
        <xdr:cNvPr id="2" name="Log K 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9525</xdr:colOff>
      <xdr:row>2</xdr:row>
      <xdr:rowOff>9525</xdr:rowOff>
    </xdr:from>
    <xdr:to>
      <xdr:col>67</xdr:col>
      <xdr:colOff>584073</xdr:colOff>
      <xdr:row>3</xdr:row>
      <xdr:rowOff>228599</xdr:rowOff>
    </xdr:to>
    <xdr:sp macro="[0]!UpdateGraph" textlink="">
      <xdr:nvSpPr>
        <xdr:cNvPr id="3" name="Rounded Rectangle 2">
          <a:extLst>
            <a:ext uri="{FF2B5EF4-FFF2-40B4-BE49-F238E27FC236}">
              <a16:creationId xmlns:a16="http://schemas.microsoft.com/office/drawing/2014/main" id="{00000000-0008-0000-0300-000003000000}"/>
            </a:ext>
          </a:extLst>
        </xdr:cNvPr>
        <xdr:cNvSpPr/>
      </xdr:nvSpPr>
      <xdr:spPr>
        <a:xfrm>
          <a:off x="7553325" y="438150"/>
          <a:ext cx="1755648" cy="457199"/>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Update</a:t>
          </a:r>
          <a:r>
            <a:rPr lang="en-US" sz="1200" baseline="0">
              <a:ln>
                <a:noFill/>
              </a:ln>
              <a:solidFill>
                <a:schemeClr val="bg1"/>
              </a:solidFill>
            </a:rPr>
            <a:t> Plot</a:t>
          </a:r>
          <a:endParaRPr lang="en-US" sz="1200">
            <a:ln>
              <a:noFill/>
            </a:ln>
            <a:solidFill>
              <a:schemeClr val="bg1"/>
            </a:solidFill>
          </a:endParaRPr>
        </a:p>
      </xdr:txBody>
    </xdr:sp>
    <xdr:clientData/>
  </xdr:twoCellAnchor>
  <xdr:twoCellAnchor>
    <xdr:from>
      <xdr:col>67</xdr:col>
      <xdr:colOff>590549</xdr:colOff>
      <xdr:row>2</xdr:row>
      <xdr:rowOff>9525</xdr:rowOff>
    </xdr:from>
    <xdr:to>
      <xdr:col>70</xdr:col>
      <xdr:colOff>583691</xdr:colOff>
      <xdr:row>3</xdr:row>
      <xdr:rowOff>225932</xdr:rowOff>
    </xdr:to>
    <xdr:sp macro="[0]!SwitchPandT" textlink="">
      <xdr:nvSpPr>
        <xdr:cNvPr id="10" name="Rounded Rectangle 9">
          <a:extLst>
            <a:ext uri="{FF2B5EF4-FFF2-40B4-BE49-F238E27FC236}">
              <a16:creationId xmlns:a16="http://schemas.microsoft.com/office/drawing/2014/main" id="{00000000-0008-0000-0300-00000A000000}"/>
            </a:ext>
          </a:extLst>
        </xdr:cNvPr>
        <xdr:cNvSpPr/>
      </xdr:nvSpPr>
      <xdr:spPr>
        <a:xfrm>
          <a:off x="9315449" y="438150"/>
          <a:ext cx="1764792" cy="454532"/>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Switch P and T</a:t>
          </a:r>
        </a:p>
      </xdr:txBody>
    </xdr:sp>
    <xdr:clientData/>
  </xdr:twoCellAnchor>
  <mc:AlternateContent xmlns:mc="http://schemas.openxmlformats.org/markup-compatibility/2006">
    <mc:Choice xmlns:a14="http://schemas.microsoft.com/office/drawing/2010/main" Requires="a14">
      <xdr:twoCellAnchor editAs="oneCell">
        <xdr:from>
          <xdr:col>71</xdr:col>
          <xdr:colOff>0</xdr:colOff>
          <xdr:row>3</xdr:row>
          <xdr:rowOff>0</xdr:rowOff>
        </xdr:from>
        <xdr:to>
          <xdr:col>74</xdr:col>
          <xdr:colOff>0</xdr:colOff>
          <xdr:row>4</xdr:row>
          <xdr:rowOff>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0.82377</cdr:x>
      <cdr:y>0.01455</cdr:y>
    </cdr:from>
    <cdr:to>
      <cdr:x>0.99627</cdr:x>
      <cdr:y>0.07022</cdr:y>
    </cdr:to>
    <cdr:sp macro="" textlink="">
      <cdr:nvSpPr>
        <cdr:cNvPr id="4" name="Legend Textbox"/>
        <cdr:cNvSpPr txBox="1"/>
      </cdr:nvSpPr>
      <cdr:spPr>
        <a:xfrm xmlns:a="http://schemas.openxmlformats.org/drawingml/2006/main">
          <a:off x="6316385" y="69872"/>
          <a:ext cx="1322665" cy="26724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a:t>Temperature (C)</a:t>
          </a:r>
        </a:p>
      </cdr:txBody>
    </cdr:sp>
  </cdr:relSizeAnchor>
  <cdr:relSizeAnchor xmlns:cdr="http://schemas.openxmlformats.org/drawingml/2006/chartDrawing">
    <cdr:from>
      <cdr:x>0.16563</cdr:x>
      <cdr:y>0.07606</cdr:y>
    </cdr:from>
    <cdr:to>
      <cdr:x>0.83395</cdr:x>
      <cdr:y>0.13757</cdr:y>
    </cdr:to>
    <cdr:sp macro="" textlink="">
      <cdr:nvSpPr>
        <cdr:cNvPr id="5" name="Reaction"/>
        <cdr:cNvSpPr txBox="1"/>
      </cdr:nvSpPr>
      <cdr:spPr>
        <a:xfrm xmlns:a="http://schemas.openxmlformats.org/drawingml/2006/main">
          <a:off x="1270000" y="365125"/>
          <a:ext cx="5124450" cy="2952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1200" b="1"/>
        </a:p>
      </cdr:txBody>
    </cdr:sp>
  </cdr:relSizeAnchor>
  <cdr:relSizeAnchor xmlns:cdr="http://schemas.openxmlformats.org/drawingml/2006/chartDrawing">
    <cdr:from>
      <cdr:x>0.21381</cdr:x>
      <cdr:y>0.05596</cdr:y>
    </cdr:from>
    <cdr:to>
      <cdr:x>0.78855</cdr:x>
      <cdr:y>0.12144</cdr:y>
    </cdr:to>
    <cdr:sp macro="" textlink="">
      <cdr:nvSpPr>
        <cdr:cNvPr id="7" name="Reaction Textbox"/>
        <cdr:cNvSpPr txBox="1"/>
      </cdr:nvSpPr>
      <cdr:spPr>
        <a:xfrm xmlns:a="http://schemas.openxmlformats.org/drawingml/2006/main">
          <a:off x="1640327" y="268650"/>
          <a:ext cx="4409323" cy="31434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200" b="1"/>
            <a:t>H2O + CO2,aq = H+ + HCO3-</a:t>
          </a:r>
        </a:p>
      </cdr:txBody>
    </cdr:sp>
  </cdr:relSizeAnchor>
  <cdr:relSizeAnchor xmlns:cdr="http://schemas.openxmlformats.org/drawingml/2006/chartDrawing">
    <cdr:from>
      <cdr:x>0.21525</cdr:x>
      <cdr:y>0</cdr:y>
    </cdr:from>
    <cdr:to>
      <cdr:x>0.79045</cdr:x>
      <cdr:y>0.08929</cdr:y>
    </cdr:to>
    <cdr:sp macro="" textlink="Results!$BO$13">
      <cdr:nvSpPr>
        <cdr:cNvPr id="8" name="Title Textbox"/>
        <cdr:cNvSpPr txBox="1"/>
      </cdr:nvSpPr>
      <cdr:spPr>
        <a:xfrm xmlns:a="http://schemas.openxmlformats.org/drawingml/2006/main">
          <a:off x="1651356" y="0"/>
          <a:ext cx="4412894" cy="4286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C469A17A-FEE4-4B4E-914A-8C08A488CA01}" type="TxLink">
            <a:rPr lang="en-US" sz="1800" b="1"/>
            <a:pPr algn="ctr"/>
            <a:t>Log K vs Pressure</a:t>
          </a:fld>
          <a:endParaRPr lang="en-US" sz="18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190499</xdr:colOff>
      <xdr:row>1</xdr:row>
      <xdr:rowOff>0</xdr:rowOff>
    </xdr:from>
    <xdr:to>
      <xdr:col>3</xdr:col>
      <xdr:colOff>0</xdr:colOff>
      <xdr:row>1</xdr:row>
      <xdr:rowOff>260773</xdr:rowOff>
    </xdr:to>
    <xdr:sp macro="[0]!SortAqueousSpeciesTable" textlink="">
      <xdr:nvSpPr>
        <xdr:cNvPr id="12" name="Rounded Rectangle 11">
          <a:extLst>
            <a:ext uri="{FF2B5EF4-FFF2-40B4-BE49-F238E27FC236}">
              <a16:creationId xmlns:a16="http://schemas.microsoft.com/office/drawing/2014/main" id="{00000000-0008-0000-0400-00000C000000}"/>
            </a:ext>
          </a:extLst>
        </xdr:cNvPr>
        <xdr:cNvSpPr/>
      </xdr:nvSpPr>
      <xdr:spPr>
        <a:xfrm>
          <a:off x="190499"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xdr:colOff>
      <xdr:row>1</xdr:row>
      <xdr:rowOff>260773</xdr:rowOff>
    </xdr:to>
    <xdr:sp macro="[0]!SortGasTable" textlink="">
      <xdr:nvSpPr>
        <xdr:cNvPr id="2" name="Rounded Rectangle 1">
          <a:extLst>
            <a:ext uri="{FF2B5EF4-FFF2-40B4-BE49-F238E27FC236}">
              <a16:creationId xmlns:a16="http://schemas.microsoft.com/office/drawing/2014/main" id="{00000000-0008-0000-0600-000002000000}"/>
            </a:ext>
          </a:extLst>
        </xdr:cNvPr>
        <xdr:cNvSpPr/>
      </xdr:nvSpPr>
      <xdr:spPr>
        <a:xfrm>
          <a:off x="190500"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1"/>
  </sheetPr>
  <dimension ref="B1:G19"/>
  <sheetViews>
    <sheetView showGridLines="0" showRowColHeaders="0" zoomScale="125" zoomScaleNormal="125" zoomScalePageLayoutView="125" workbookViewId="0"/>
  </sheetViews>
  <sheetFormatPr baseColWidth="10" defaultColWidth="8.83203125" defaultRowHeight="15" x14ac:dyDescent="0.2"/>
  <cols>
    <col min="1" max="1" width="3" style="1" customWidth="1"/>
    <col min="2" max="16384" width="8.83203125" style="1"/>
  </cols>
  <sheetData>
    <row r="1" spans="2:7" ht="16" thickBot="1" x14ac:dyDescent="0.25"/>
    <row r="2" spans="2:7" ht="16" thickTop="1" x14ac:dyDescent="0.2">
      <c r="B2" s="241" t="s">
        <v>686</v>
      </c>
      <c r="C2" s="242"/>
      <c r="D2" s="242"/>
      <c r="E2" s="242"/>
      <c r="F2" s="242"/>
      <c r="G2" s="243"/>
    </row>
    <row r="3" spans="2:7" x14ac:dyDescent="0.2">
      <c r="B3" s="244"/>
      <c r="C3" s="245"/>
      <c r="D3" s="245"/>
      <c r="E3" s="245"/>
      <c r="F3" s="245"/>
      <c r="G3" s="246"/>
    </row>
    <row r="4" spans="2:7" ht="15" customHeight="1" x14ac:dyDescent="0.2">
      <c r="B4" s="244"/>
      <c r="C4" s="245"/>
      <c r="D4" s="245"/>
      <c r="E4" s="245"/>
      <c r="F4" s="245"/>
      <c r="G4" s="246"/>
    </row>
    <row r="5" spans="2:7" ht="15" customHeight="1" x14ac:dyDescent="0.2">
      <c r="B5" s="247" t="s">
        <v>687</v>
      </c>
      <c r="C5" s="248"/>
      <c r="D5" s="248"/>
      <c r="E5" s="248"/>
      <c r="F5" s="248"/>
      <c r="G5" s="249"/>
    </row>
    <row r="6" spans="2:7" x14ac:dyDescent="0.2">
      <c r="B6" s="247"/>
      <c r="C6" s="248"/>
      <c r="D6" s="248"/>
      <c r="E6" s="248"/>
      <c r="F6" s="248"/>
      <c r="G6" s="249"/>
    </row>
    <row r="7" spans="2:7" x14ac:dyDescent="0.2">
      <c r="B7" s="247"/>
      <c r="C7" s="248"/>
      <c r="D7" s="248"/>
      <c r="E7" s="248"/>
      <c r="F7" s="248"/>
      <c r="G7" s="249"/>
    </row>
    <row r="8" spans="2:7" x14ac:dyDescent="0.2">
      <c r="B8" s="247"/>
      <c r="C8" s="248"/>
      <c r="D8" s="248"/>
      <c r="E8" s="248"/>
      <c r="F8" s="248"/>
      <c r="G8" s="249"/>
    </row>
    <row r="9" spans="2:7" x14ac:dyDescent="0.2">
      <c r="B9" s="247"/>
      <c r="C9" s="248"/>
      <c r="D9" s="248"/>
      <c r="E9" s="248"/>
      <c r="F9" s="248"/>
      <c r="G9" s="249"/>
    </row>
    <row r="10" spans="2:7" x14ac:dyDescent="0.2">
      <c r="B10" s="247"/>
      <c r="C10" s="248"/>
      <c r="D10" s="248"/>
      <c r="E10" s="248"/>
      <c r="F10" s="248"/>
      <c r="G10" s="249"/>
    </row>
    <row r="11" spans="2:7" x14ac:dyDescent="0.2">
      <c r="B11" s="247"/>
      <c r="C11" s="248"/>
      <c r="D11" s="248"/>
      <c r="E11" s="248"/>
      <c r="F11" s="248"/>
      <c r="G11" s="249"/>
    </row>
    <row r="12" spans="2:7" ht="15" customHeight="1" x14ac:dyDescent="0.2">
      <c r="B12" s="247" t="s">
        <v>690</v>
      </c>
      <c r="C12" s="248"/>
      <c r="D12" s="248"/>
      <c r="E12" s="248"/>
      <c r="F12" s="248"/>
      <c r="G12" s="249"/>
    </row>
    <row r="13" spans="2:7" x14ac:dyDescent="0.2">
      <c r="B13" s="247"/>
      <c r="C13" s="248"/>
      <c r="D13" s="248"/>
      <c r="E13" s="248"/>
      <c r="F13" s="248"/>
      <c r="G13" s="249"/>
    </row>
    <row r="14" spans="2:7" x14ac:dyDescent="0.2">
      <c r="B14" s="247"/>
      <c r="C14" s="248"/>
      <c r="D14" s="248"/>
      <c r="E14" s="248"/>
      <c r="F14" s="248"/>
      <c r="G14" s="249"/>
    </row>
    <row r="15" spans="2:7" x14ac:dyDescent="0.2">
      <c r="B15" s="247"/>
      <c r="C15" s="248"/>
      <c r="D15" s="248"/>
      <c r="E15" s="248"/>
      <c r="F15" s="248"/>
      <c r="G15" s="249"/>
    </row>
    <row r="16" spans="2:7" ht="16" thickBot="1" x14ac:dyDescent="0.25">
      <c r="B16" s="250"/>
      <c r="C16" s="251"/>
      <c r="D16" s="251"/>
      <c r="E16" s="251"/>
      <c r="F16" s="251"/>
      <c r="G16" s="252"/>
    </row>
    <row r="17" spans="2:7" ht="16" thickTop="1" x14ac:dyDescent="0.2">
      <c r="B17" s="235"/>
      <c r="C17" s="236"/>
      <c r="D17" s="236"/>
      <c r="E17" s="236"/>
      <c r="F17" s="236"/>
      <c r="G17" s="239"/>
    </row>
    <row r="18" spans="2:7" ht="16" thickBot="1" x14ac:dyDescent="0.25">
      <c r="B18" s="237"/>
      <c r="C18" s="238"/>
      <c r="D18" s="238"/>
      <c r="E18" s="238"/>
      <c r="F18" s="238"/>
      <c r="G18" s="240"/>
    </row>
    <row r="19" spans="2:7" ht="16" thickTop="1" x14ac:dyDescent="0.2"/>
  </sheetData>
  <sheetProtection sheet="1" objects="1" scenarios="1" selectLockedCells="1" selectUnlockedCells="1"/>
  <mergeCells count="5">
    <mergeCell ref="B17:D18"/>
    <mergeCell ref="E17:G18"/>
    <mergeCell ref="B2:G4"/>
    <mergeCell ref="B5:G11"/>
    <mergeCell ref="B12:G16"/>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CN206"/>
  <sheetViews>
    <sheetView showGridLines="0" topLeftCell="A2" zoomScale="170" zoomScaleNormal="170" zoomScalePageLayoutView="150" workbookViewId="0">
      <selection activeCell="X9" sqref="X9"/>
    </sheetView>
  </sheetViews>
  <sheetFormatPr baseColWidth="10" defaultColWidth="8.83203125" defaultRowHeight="15" x14ac:dyDescent="0.2"/>
  <cols>
    <col min="1" max="1" width="5.33203125" style="1" customWidth="1"/>
    <col min="2" max="2" width="4.83203125" style="1" customWidth="1"/>
    <col min="3" max="3" width="12.6640625" style="1" customWidth="1"/>
    <col min="4" max="4" width="3.5" style="1" hidden="1" customWidth="1"/>
    <col min="5" max="5" width="4.83203125" style="1" hidden="1" customWidth="1"/>
    <col min="6" max="6" width="12.6640625" style="1" hidden="1" customWidth="1"/>
    <col min="7" max="7" width="3.5" style="1" hidden="1" customWidth="1"/>
    <col min="8" max="8" width="4.83203125" style="1" hidden="1" customWidth="1"/>
    <col min="9" max="9" width="12.6640625" style="1" hidden="1" customWidth="1"/>
    <col min="10" max="10" width="3.5" style="1" hidden="1" customWidth="1"/>
    <col min="11" max="11" width="4.83203125" style="1" hidden="1" customWidth="1"/>
    <col min="12" max="12" width="12.6640625" style="1" hidden="1" customWidth="1"/>
    <col min="13" max="13" width="3.5" style="1" customWidth="1"/>
    <col min="14" max="14" width="4.83203125" style="117" customWidth="1"/>
    <col min="15" max="15" width="12.6640625" style="1" customWidth="1"/>
    <col min="16" max="16" width="3.5" style="117" hidden="1" customWidth="1"/>
    <col min="17" max="17" width="4.83203125" style="117" hidden="1" customWidth="1"/>
    <col min="18" max="18" width="12.6640625" style="1" hidden="1" customWidth="1"/>
    <col min="19" max="19" width="3.5" style="1" customWidth="1"/>
    <col min="20" max="20" width="4.83203125" style="1" customWidth="1"/>
    <col min="21" max="21" width="12.6640625" style="1" customWidth="1"/>
    <col min="22" max="22" width="3.5" style="1" customWidth="1"/>
    <col min="23" max="23" width="4.83203125" style="1" customWidth="1"/>
    <col min="24" max="24" width="12.6640625" style="1" customWidth="1"/>
    <col min="25" max="25" width="3.5" style="1" customWidth="1"/>
    <col min="26" max="26" width="4.83203125" style="1" customWidth="1"/>
    <col min="27" max="27" width="12.6640625" style="1" customWidth="1"/>
    <col min="28" max="28" width="3.5" style="1" hidden="1" customWidth="1"/>
    <col min="29" max="29" width="4.83203125" style="117" hidden="1" customWidth="1"/>
    <col min="30" max="30" width="12.6640625" style="1" hidden="1" customWidth="1"/>
    <col min="31" max="31" width="3.5" style="1" hidden="1" customWidth="1"/>
    <col min="32" max="32" width="4.83203125" style="117" hidden="1" customWidth="1"/>
    <col min="33" max="33" width="12.6640625" style="1" hidden="1" customWidth="1"/>
    <col min="34" max="34" width="3.5" style="1" hidden="1" customWidth="1"/>
    <col min="35" max="35" width="4.83203125" style="1" hidden="1" customWidth="1"/>
    <col min="36" max="36" width="12.6640625" style="1" hidden="1" customWidth="1"/>
    <col min="37" max="37" width="3.5" style="1" hidden="1" customWidth="1"/>
    <col min="38" max="38" width="4.83203125" style="1" hidden="1" customWidth="1"/>
    <col min="39" max="39" width="12.6640625" style="1" hidden="1" customWidth="1"/>
    <col min="40" max="40" width="3.5" style="1" customWidth="1"/>
    <col min="41" max="41" width="4.83203125" style="1" customWidth="1"/>
    <col min="42" max="42" width="12.6640625" style="1" customWidth="1"/>
    <col min="43" max="43" width="3.5" style="1" hidden="1" customWidth="1"/>
    <col min="44" max="44" width="4.83203125" style="1" hidden="1" customWidth="1"/>
    <col min="45" max="45" width="12.6640625" style="1" hidden="1" customWidth="1"/>
    <col min="46" max="46" width="3.5" style="1" hidden="1" customWidth="1"/>
    <col min="47" max="47" width="4.83203125" style="1" hidden="1" customWidth="1"/>
    <col min="48" max="48" width="12.6640625" style="1" hidden="1" customWidth="1"/>
    <col min="49" max="49" width="3.5" style="1" hidden="1" customWidth="1"/>
    <col min="50" max="50" width="4.83203125" style="1" hidden="1" customWidth="1"/>
    <col min="51" max="51" width="12.6640625" style="1" hidden="1" customWidth="1"/>
    <col min="52" max="52" width="3.5" style="1" customWidth="1"/>
    <col min="53" max="53" width="4.83203125" style="1" customWidth="1"/>
    <col min="54" max="54" width="12.6640625" style="1" customWidth="1"/>
    <col min="55" max="55" width="3.5" style="1" hidden="1" customWidth="1"/>
    <col min="56" max="56" width="4.83203125" style="1" hidden="1" customWidth="1"/>
    <col min="57" max="57" width="12.6640625" style="1" hidden="1" customWidth="1"/>
    <col min="58" max="58" width="3.5" style="1" customWidth="1"/>
    <col min="59" max="59" width="4.83203125" style="1" customWidth="1"/>
    <col min="60" max="60" width="12.6640625" style="1" customWidth="1"/>
    <col min="61" max="61" width="3.5" style="1" customWidth="1"/>
    <col min="62" max="62" width="4.83203125" style="1" customWidth="1"/>
    <col min="63" max="63" width="12.6640625" style="1" customWidth="1"/>
    <col min="64" max="64" width="3.5" style="1" customWidth="1"/>
    <col min="65" max="65" width="4.83203125" style="1" customWidth="1"/>
    <col min="66" max="66" width="12.6640625" style="1" customWidth="1"/>
    <col min="67" max="67" width="3.5" style="1" customWidth="1"/>
    <col min="68" max="68" width="4.83203125" style="1" customWidth="1"/>
    <col min="69" max="69" width="12.6640625" style="1" customWidth="1"/>
    <col min="70" max="70" width="3.5" style="1" hidden="1" customWidth="1"/>
    <col min="71" max="71" width="4.83203125" style="1" hidden="1" customWidth="1"/>
    <col min="72" max="72" width="12.6640625" style="1" hidden="1" customWidth="1"/>
    <col min="73" max="73" width="3.5" style="1" hidden="1" customWidth="1"/>
    <col min="74" max="74" width="4.83203125" style="1" hidden="1" customWidth="1"/>
    <col min="75" max="75" width="12.6640625" style="1" hidden="1" customWidth="1"/>
    <col min="76" max="76" width="3.5" style="1" hidden="1" customWidth="1"/>
    <col min="77" max="77" width="4.83203125" style="1" hidden="1" customWidth="1"/>
    <col min="78" max="78" width="12.6640625" style="1" hidden="1" customWidth="1"/>
    <col min="79" max="79" width="6.83203125" style="1" customWidth="1"/>
    <col min="80" max="80" width="16.5" style="1" customWidth="1"/>
    <col min="81" max="81" width="16.5" style="117" customWidth="1"/>
    <col min="82" max="82" width="3.5" style="1" customWidth="1"/>
    <col min="83" max="83" width="7.5" style="1" customWidth="1"/>
    <col min="84" max="84" width="12.6640625" style="1" customWidth="1"/>
    <col min="85" max="85" width="5.83203125" style="1" customWidth="1"/>
    <col min="86" max="86" width="3.5" style="1" customWidth="1"/>
    <col min="87" max="87" width="7.5" style="1" customWidth="1"/>
    <col min="88" max="88" width="12.6640625" style="1" customWidth="1"/>
    <col min="89" max="89" width="5.83203125" style="1" customWidth="1"/>
    <col min="90" max="90" width="3.5" style="1" customWidth="1"/>
    <col min="91" max="91" width="23.5" style="1" customWidth="1"/>
    <col min="92" max="92" width="23.5" style="1" hidden="1" customWidth="1"/>
    <col min="93" max="16384" width="8.83203125" style="1"/>
  </cols>
  <sheetData>
    <row r="1" spans="1:92" x14ac:dyDescent="0.2">
      <c r="A1" s="143" t="s">
        <v>757</v>
      </c>
      <c r="CB1" s="135"/>
    </row>
    <row r="2" spans="1:92" ht="45" customHeight="1" thickBot="1" x14ac:dyDescent="0.25">
      <c r="B2" s="257" t="s">
        <v>684</v>
      </c>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B2" s="253" t="s">
        <v>685</v>
      </c>
      <c r="CC2" s="253"/>
      <c r="CD2" s="253"/>
      <c r="CE2" s="253"/>
      <c r="CF2" s="253"/>
      <c r="CG2" s="253"/>
      <c r="CH2" s="253"/>
      <c r="CI2" s="253"/>
      <c r="CJ2" s="253"/>
      <c r="CK2" s="253"/>
      <c r="CM2" s="188" t="s">
        <v>670</v>
      </c>
      <c r="CN2" s="188" t="s">
        <v>669</v>
      </c>
    </row>
    <row r="3" spans="1:92" ht="15" customHeight="1" x14ac:dyDescent="0.2">
      <c r="B3" s="142"/>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2"/>
      <c r="AT3" s="142"/>
      <c r="AU3" s="142"/>
      <c r="AV3" s="142"/>
      <c r="AW3" s="142"/>
      <c r="AX3" s="142"/>
      <c r="AY3" s="142"/>
      <c r="AZ3" s="142"/>
      <c r="BA3" s="142"/>
      <c r="BB3" s="142"/>
      <c r="BC3" s="142"/>
      <c r="BD3" s="142"/>
      <c r="BE3" s="142"/>
      <c r="BF3" s="142"/>
      <c r="BG3" s="142"/>
      <c r="BH3" s="142"/>
      <c r="BI3" s="142"/>
      <c r="BJ3" s="142"/>
      <c r="BK3" s="142"/>
      <c r="BL3" s="142"/>
      <c r="BM3" s="142"/>
      <c r="BN3" s="142"/>
      <c r="BO3" s="142"/>
      <c r="BP3" s="142"/>
      <c r="BQ3" s="142"/>
      <c r="BR3" s="142"/>
      <c r="BS3" s="142"/>
      <c r="BT3" s="142"/>
      <c r="BU3" s="142"/>
      <c r="BV3" s="142"/>
      <c r="BW3" s="142"/>
      <c r="BX3" s="142"/>
      <c r="BY3" s="142"/>
      <c r="BZ3" s="142"/>
    </row>
    <row r="4" spans="1:92" ht="15" customHeight="1" x14ac:dyDescent="0.2">
      <c r="B4" s="86">
        <v>1</v>
      </c>
      <c r="C4" s="85"/>
      <c r="D4" s="136" t="s">
        <v>1</v>
      </c>
      <c r="E4" s="86">
        <v>1</v>
      </c>
      <c r="F4" s="85"/>
      <c r="G4" s="136" t="s">
        <v>1</v>
      </c>
      <c r="H4" s="86">
        <v>1</v>
      </c>
      <c r="I4" s="85"/>
      <c r="J4" s="136" t="s">
        <v>1</v>
      </c>
      <c r="K4" s="86">
        <v>1</v>
      </c>
      <c r="L4" s="85"/>
      <c r="M4" s="136" t="s">
        <v>1</v>
      </c>
      <c r="N4" s="86">
        <v>0.5</v>
      </c>
      <c r="O4" s="85"/>
      <c r="P4" s="136" t="s">
        <v>1</v>
      </c>
      <c r="Q4" s="86">
        <v>1</v>
      </c>
      <c r="R4" s="85"/>
      <c r="S4" s="136" t="s">
        <v>1</v>
      </c>
      <c r="T4" s="86">
        <v>1</v>
      </c>
      <c r="U4" s="85" t="s">
        <v>883</v>
      </c>
      <c r="V4" s="136" t="s">
        <v>1</v>
      </c>
      <c r="W4" s="86">
        <v>1</v>
      </c>
      <c r="X4" s="222" t="s">
        <v>48</v>
      </c>
      <c r="Y4" s="136" t="s">
        <v>1</v>
      </c>
      <c r="Z4" s="86">
        <v>1</v>
      </c>
      <c r="AA4" s="85"/>
      <c r="AB4" s="136" t="s">
        <v>1</v>
      </c>
      <c r="AC4" s="86">
        <v>1</v>
      </c>
      <c r="AD4" s="85"/>
      <c r="AE4" s="136" t="s">
        <v>1</v>
      </c>
      <c r="AF4" s="86">
        <v>1</v>
      </c>
      <c r="AG4" s="85"/>
      <c r="AH4" s="136" t="s">
        <v>1</v>
      </c>
      <c r="AI4" s="86">
        <v>1</v>
      </c>
      <c r="AJ4" s="85"/>
      <c r="AK4" s="136" t="s">
        <v>1</v>
      </c>
      <c r="AL4" s="86">
        <v>1</v>
      </c>
      <c r="AM4" s="85"/>
      <c r="AN4" s="136" t="s">
        <v>2</v>
      </c>
      <c r="AO4" s="132">
        <v>1</v>
      </c>
      <c r="AP4" s="87"/>
      <c r="AQ4" s="137" t="s">
        <v>1</v>
      </c>
      <c r="AR4" s="132">
        <v>1</v>
      </c>
      <c r="AS4" s="87"/>
      <c r="AT4" s="136" t="s">
        <v>1</v>
      </c>
      <c r="AU4" s="132">
        <v>1</v>
      </c>
      <c r="AV4" s="87"/>
      <c r="AW4" s="136" t="s">
        <v>1</v>
      </c>
      <c r="AX4" s="132">
        <v>1</v>
      </c>
      <c r="AY4" s="87"/>
      <c r="AZ4" s="137" t="s">
        <v>1</v>
      </c>
      <c r="BA4" s="132">
        <v>1</v>
      </c>
      <c r="BB4" s="87"/>
      <c r="BC4" s="137" t="s">
        <v>1</v>
      </c>
      <c r="BD4" s="132">
        <v>1</v>
      </c>
      <c r="BE4" s="87"/>
      <c r="BF4" s="137" t="s">
        <v>1</v>
      </c>
      <c r="BG4" s="132">
        <v>1</v>
      </c>
      <c r="BH4" s="87"/>
      <c r="BI4" s="136" t="s">
        <v>1</v>
      </c>
      <c r="BJ4" s="132">
        <v>1</v>
      </c>
      <c r="BK4" s="87" t="s">
        <v>147</v>
      </c>
      <c r="BL4" s="136" t="s">
        <v>1</v>
      </c>
      <c r="BM4" s="132">
        <v>1</v>
      </c>
      <c r="BN4" s="87" t="s">
        <v>173</v>
      </c>
      <c r="BO4" s="136" t="s">
        <v>1</v>
      </c>
      <c r="BP4" s="132">
        <v>1</v>
      </c>
      <c r="BQ4" s="87"/>
      <c r="BR4" s="136" t="s">
        <v>1</v>
      </c>
      <c r="BS4" s="132">
        <v>1</v>
      </c>
      <c r="BT4" s="87"/>
      <c r="BU4" s="136" t="s">
        <v>1</v>
      </c>
      <c r="BV4" s="132">
        <v>1</v>
      </c>
      <c r="BW4" s="87"/>
      <c r="BX4" s="136" t="s">
        <v>1</v>
      </c>
      <c r="BY4" s="132">
        <v>1</v>
      </c>
      <c r="BZ4" s="87"/>
      <c r="CB4" s="260" t="s">
        <v>556</v>
      </c>
      <c r="CC4" s="261"/>
      <c r="CE4" s="256" t="s">
        <v>553</v>
      </c>
      <c r="CF4" s="256"/>
      <c r="CG4" s="256"/>
      <c r="CH4" s="141"/>
      <c r="CI4" s="259" t="s">
        <v>554</v>
      </c>
      <c r="CJ4" s="259"/>
      <c r="CK4" s="259"/>
      <c r="CL4" s="141"/>
      <c r="CM4" s="258" t="s">
        <v>584</v>
      </c>
    </row>
    <row r="5" spans="1:92" ht="15" customHeight="1" x14ac:dyDescent="0.2">
      <c r="B5" s="117"/>
      <c r="E5" s="117"/>
      <c r="N5" s="1"/>
      <c r="P5" s="1"/>
      <c r="Q5" s="1"/>
      <c r="W5" s="117"/>
      <c r="Z5" s="117"/>
      <c r="AC5" s="1"/>
      <c r="AF5" s="1"/>
      <c r="AO5" s="117"/>
      <c r="AQ5" s="117"/>
      <c r="AR5" s="117"/>
      <c r="BJ5" s="117"/>
      <c r="BM5" s="117"/>
      <c r="CB5" s="20" t="s">
        <v>581</v>
      </c>
      <c r="CC5" s="140" t="s">
        <v>552</v>
      </c>
      <c r="CE5" s="7" t="s">
        <v>549</v>
      </c>
      <c r="CF5" s="88">
        <v>5</v>
      </c>
      <c r="CG5" s="7" t="s">
        <v>633</v>
      </c>
      <c r="CI5" s="7" t="s">
        <v>549</v>
      </c>
      <c r="CJ5" s="88">
        <v>0</v>
      </c>
      <c r="CK5" s="7" t="s">
        <v>551</v>
      </c>
      <c r="CM5" s="258"/>
    </row>
    <row r="6" spans="1:92" ht="15" customHeight="1" x14ac:dyDescent="0.2">
      <c r="B6" s="254" t="s">
        <v>634</v>
      </c>
      <c r="C6" s="254"/>
      <c r="D6" s="254"/>
      <c r="E6" s="254"/>
      <c r="F6" s="254"/>
      <c r="G6" s="254"/>
      <c r="H6" s="254"/>
      <c r="I6" s="254"/>
      <c r="J6" s="254"/>
      <c r="K6" s="254"/>
      <c r="L6" s="254"/>
      <c r="M6" s="18"/>
      <c r="N6" s="254" t="s">
        <v>635</v>
      </c>
      <c r="O6" s="254"/>
      <c r="P6" s="254"/>
      <c r="Q6" s="254"/>
      <c r="R6" s="254"/>
      <c r="T6" s="254" t="s">
        <v>452</v>
      </c>
      <c r="U6" s="254"/>
      <c r="W6" s="255" t="s">
        <v>438</v>
      </c>
      <c r="X6" s="255"/>
      <c r="Y6" s="255"/>
      <c r="Z6" s="255"/>
      <c r="AA6" s="255"/>
      <c r="AB6" s="255"/>
      <c r="AC6" s="255"/>
      <c r="AD6" s="255"/>
      <c r="AE6" s="255"/>
      <c r="AF6" s="255"/>
      <c r="AG6" s="255"/>
      <c r="AH6" s="255"/>
      <c r="AI6" s="255"/>
      <c r="AJ6" s="255"/>
      <c r="AK6" s="255"/>
      <c r="AL6" s="255"/>
      <c r="AM6" s="255"/>
      <c r="AO6" s="255" t="s">
        <v>634</v>
      </c>
      <c r="AP6" s="255"/>
      <c r="AQ6" s="255"/>
      <c r="AR6" s="255"/>
      <c r="AS6" s="255"/>
      <c r="AT6" s="255"/>
      <c r="AU6" s="255"/>
      <c r="AV6" s="255"/>
      <c r="AW6" s="255"/>
      <c r="AX6" s="255"/>
      <c r="AY6" s="255"/>
      <c r="AZ6" s="116"/>
      <c r="BA6" s="255" t="s">
        <v>635</v>
      </c>
      <c r="BB6" s="255"/>
      <c r="BC6" s="255"/>
      <c r="BD6" s="255"/>
      <c r="BE6" s="255"/>
      <c r="BF6" s="117"/>
      <c r="BG6" s="255" t="s">
        <v>452</v>
      </c>
      <c r="BH6" s="255"/>
      <c r="BJ6" s="255" t="s">
        <v>438</v>
      </c>
      <c r="BK6" s="255"/>
      <c r="BL6" s="255"/>
      <c r="BM6" s="255"/>
      <c r="BN6" s="255"/>
      <c r="BO6" s="255"/>
      <c r="BP6" s="255"/>
      <c r="BQ6" s="255"/>
      <c r="BR6" s="255"/>
      <c r="BS6" s="255"/>
      <c r="BT6" s="255"/>
      <c r="BU6" s="255"/>
      <c r="BV6" s="255"/>
      <c r="BW6" s="255"/>
      <c r="BX6" s="255"/>
      <c r="BY6" s="255"/>
      <c r="BZ6" s="255"/>
      <c r="CB6" s="134">
        <v>2</v>
      </c>
      <c r="CC6" s="174">
        <v>263</v>
      </c>
      <c r="CE6" s="7" t="s">
        <v>542</v>
      </c>
      <c r="CF6" s="88">
        <v>5</v>
      </c>
      <c r="CG6" s="7" t="s">
        <v>633</v>
      </c>
      <c r="CI6" s="7" t="s">
        <v>542</v>
      </c>
      <c r="CJ6" s="88">
        <v>25</v>
      </c>
      <c r="CK6" s="7" t="s">
        <v>551</v>
      </c>
      <c r="CM6" s="258"/>
    </row>
    <row r="7" spans="1:92" ht="15" customHeight="1" x14ac:dyDescent="0.2">
      <c r="N7" s="1"/>
      <c r="P7" s="1"/>
      <c r="Q7" s="1"/>
      <c r="AC7" s="1"/>
      <c r="AF7" s="1"/>
      <c r="CB7" s="133">
        <v>6</v>
      </c>
      <c r="CC7" s="175">
        <v>280</v>
      </c>
      <c r="CE7" s="7" t="s">
        <v>550</v>
      </c>
      <c r="CF7" s="88">
        <v>60</v>
      </c>
      <c r="CG7" s="7" t="s">
        <v>633</v>
      </c>
      <c r="CI7" s="7" t="s">
        <v>550</v>
      </c>
      <c r="CJ7" s="88">
        <v>350</v>
      </c>
      <c r="CK7" s="7" t="s">
        <v>551</v>
      </c>
    </row>
    <row r="8" spans="1:92" ht="15" customHeight="1" x14ac:dyDescent="0.2">
      <c r="B8" s="118"/>
      <c r="C8" s="118"/>
      <c r="D8" s="118"/>
      <c r="E8" s="118"/>
      <c r="F8" s="18"/>
      <c r="G8" s="18"/>
      <c r="H8" s="18"/>
      <c r="I8" s="18"/>
      <c r="J8" s="18"/>
      <c r="K8" s="18"/>
      <c r="L8" s="18"/>
      <c r="O8" s="18"/>
      <c r="P8" s="18"/>
      <c r="Q8" s="18"/>
      <c r="R8" s="18"/>
      <c r="S8" s="18"/>
      <c r="T8" s="18"/>
      <c r="U8" s="18"/>
      <c r="V8" s="18"/>
      <c r="W8" s="18"/>
      <c r="X8"/>
      <c r="Y8"/>
      <c r="Z8"/>
      <c r="AA8"/>
      <c r="AB8"/>
      <c r="AC8"/>
      <c r="AD8"/>
      <c r="AE8"/>
      <c r="AF8"/>
      <c r="AG8" s="18"/>
      <c r="AH8" s="18"/>
      <c r="AI8" s="18"/>
      <c r="AJ8" s="18"/>
      <c r="AK8" s="18"/>
      <c r="AL8" s="18"/>
      <c r="AM8" s="18"/>
      <c r="AN8" s="18"/>
      <c r="AO8" s="18"/>
      <c r="CB8" s="133">
        <v>10</v>
      </c>
      <c r="CC8" s="175">
        <v>292</v>
      </c>
    </row>
    <row r="9" spans="1:92" ht="15" customHeight="1" x14ac:dyDescent="0.2">
      <c r="B9" s="18"/>
      <c r="C9" s="18"/>
      <c r="D9" s="18"/>
      <c r="E9" s="18"/>
      <c r="O9" s="18"/>
      <c r="P9" s="18"/>
      <c r="Q9" s="18"/>
      <c r="R9" s="18"/>
      <c r="S9" s="18"/>
      <c r="T9" s="18"/>
      <c r="U9" s="18"/>
      <c r="V9" s="18"/>
      <c r="W9" s="18"/>
      <c r="X9"/>
      <c r="Y9"/>
      <c r="Z9"/>
      <c r="AA9"/>
      <c r="AB9"/>
      <c r="AC9"/>
      <c r="AD9"/>
      <c r="AE9"/>
      <c r="AF9"/>
      <c r="AG9" s="18"/>
      <c r="AH9" s="18"/>
      <c r="AI9" s="18"/>
      <c r="AJ9" s="18"/>
      <c r="AK9" s="18"/>
      <c r="AL9" s="18"/>
      <c r="AM9" s="18"/>
      <c r="AN9" s="18"/>
      <c r="AO9" s="18"/>
      <c r="CB9" s="133"/>
      <c r="CC9" s="175"/>
      <c r="CE9" s="259" t="s">
        <v>554</v>
      </c>
      <c r="CF9" s="259"/>
      <c r="CG9" s="259"/>
      <c r="CH9" s="30"/>
      <c r="CI9" s="30"/>
      <c r="CJ9" s="30"/>
      <c r="CK9" s="30"/>
      <c r="CL9" s="30"/>
    </row>
    <row r="10" spans="1:92" ht="15" customHeight="1" x14ac:dyDescent="0.2">
      <c r="B10" s="18"/>
      <c r="C10" s="18"/>
      <c r="D10" s="18"/>
      <c r="E10" s="18"/>
      <c r="O10" s="18"/>
      <c r="P10" s="18"/>
      <c r="Q10" s="18"/>
      <c r="R10" s="18"/>
      <c r="S10" s="18"/>
      <c r="T10" s="18"/>
      <c r="U10" s="18"/>
      <c r="V10" s="18"/>
      <c r="W10" s="18"/>
      <c r="X10"/>
      <c r="Y10"/>
      <c r="Z10"/>
      <c r="AA10"/>
      <c r="AB10"/>
      <c r="AC10"/>
      <c r="AD10"/>
      <c r="AE10"/>
      <c r="AF10"/>
      <c r="AG10" s="18"/>
      <c r="AH10" s="18"/>
      <c r="AI10" s="18"/>
      <c r="AJ10" s="18"/>
      <c r="AK10" s="18"/>
      <c r="AL10" s="18"/>
      <c r="AM10" s="18"/>
      <c r="AN10" s="18"/>
      <c r="AO10" s="18"/>
      <c r="CB10" s="133"/>
      <c r="CC10" s="175"/>
      <c r="CE10" s="7" t="s">
        <v>549</v>
      </c>
      <c r="CF10" s="88">
        <v>300</v>
      </c>
      <c r="CG10" s="7" t="s">
        <v>551</v>
      </c>
    </row>
    <row r="11" spans="1:92" ht="15" customHeight="1" x14ac:dyDescent="0.2">
      <c r="B11" s="18"/>
      <c r="C11" s="18"/>
      <c r="D11" s="18"/>
      <c r="E11" s="18"/>
      <c r="O11" s="18"/>
      <c r="P11" s="18"/>
      <c r="Q11" s="18"/>
      <c r="R11" s="18"/>
      <c r="S11" s="18"/>
      <c r="T11" s="18"/>
      <c r="U11" s="18"/>
      <c r="V11" s="18"/>
      <c r="W11" s="18"/>
      <c r="X11"/>
      <c r="Y11"/>
      <c r="Z11"/>
      <c r="AA11"/>
      <c r="AB11"/>
      <c r="AC11"/>
      <c r="AD11"/>
      <c r="AE11"/>
      <c r="AF11"/>
      <c r="AG11" s="18"/>
      <c r="AH11" s="18"/>
      <c r="AI11" s="18"/>
      <c r="AJ11" s="18"/>
      <c r="AK11" s="18"/>
      <c r="AL11" s="18"/>
      <c r="AM11" s="18"/>
      <c r="AN11" s="18"/>
      <c r="AO11" s="18"/>
      <c r="CB11" s="133"/>
      <c r="CC11" s="175"/>
      <c r="CE11" s="7" t="s">
        <v>542</v>
      </c>
      <c r="CF11" s="88">
        <v>50</v>
      </c>
      <c r="CG11" s="7" t="s">
        <v>551</v>
      </c>
      <c r="CM11" s="258" t="s">
        <v>575</v>
      </c>
    </row>
    <row r="12" spans="1:92" ht="15" customHeight="1" x14ac:dyDescent="0.2">
      <c r="B12" s="18"/>
      <c r="C12" s="18"/>
      <c r="D12" s="18"/>
      <c r="E12" s="18"/>
      <c r="O12" s="18"/>
      <c r="P12" s="18"/>
      <c r="Q12" s="18"/>
      <c r="R12" s="18"/>
      <c r="S12" s="18"/>
      <c r="T12" s="18"/>
      <c r="U12" s="18"/>
      <c r="V12" s="18"/>
      <c r="W12" s="18"/>
      <c r="X12"/>
      <c r="Y12"/>
      <c r="Z12"/>
      <c r="AA12"/>
      <c r="AB12"/>
      <c r="AC12"/>
      <c r="AD12"/>
      <c r="AE12"/>
      <c r="AF12"/>
      <c r="AG12" s="18"/>
      <c r="AH12" s="18"/>
      <c r="AI12" s="18"/>
      <c r="AJ12" s="18"/>
      <c r="AK12" s="18"/>
      <c r="AL12" s="18"/>
      <c r="AM12" s="18"/>
      <c r="AN12" s="18"/>
      <c r="AO12" s="18"/>
      <c r="CB12" s="133"/>
      <c r="CC12" s="175"/>
      <c r="CE12" s="7" t="s">
        <v>550</v>
      </c>
      <c r="CF12" s="88">
        <v>1000</v>
      </c>
      <c r="CG12" s="7" t="s">
        <v>551</v>
      </c>
      <c r="CM12" s="258"/>
    </row>
    <row r="13" spans="1:92" ht="15" customHeight="1" x14ac:dyDescent="0.2">
      <c r="B13" s="18"/>
      <c r="C13" s="18"/>
      <c r="D13" s="18"/>
      <c r="E13"/>
      <c r="F13"/>
      <c r="G13"/>
      <c r="H13"/>
      <c r="I13"/>
      <c r="J13"/>
      <c r="K13"/>
      <c r="L13"/>
      <c r="O13" s="18"/>
      <c r="P13" s="18"/>
      <c r="Q13" s="18"/>
      <c r="R13" s="18"/>
      <c r="S13" s="18"/>
      <c r="T13" s="18"/>
      <c r="U13" s="18"/>
      <c r="V13" s="18"/>
      <c r="W13" s="18"/>
      <c r="X13"/>
      <c r="Y13"/>
      <c r="Z13"/>
      <c r="AA13"/>
      <c r="AB13"/>
      <c r="AC13"/>
      <c r="AD13"/>
      <c r="AE13"/>
      <c r="AF13"/>
      <c r="AG13" s="18"/>
      <c r="AH13" s="18"/>
      <c r="AI13" s="18"/>
      <c r="AJ13" s="18"/>
      <c r="AK13" s="18"/>
      <c r="AL13" s="18"/>
      <c r="AM13" s="18"/>
      <c r="AN13" s="18"/>
      <c r="AO13" s="18"/>
      <c r="CB13" s="133"/>
      <c r="CC13" s="175"/>
      <c r="CM13" s="258"/>
    </row>
    <row r="14" spans="1:92" ht="15" customHeight="1" x14ac:dyDescent="0.2">
      <c r="B14" s="18"/>
      <c r="C14" s="18"/>
      <c r="D14" s="18"/>
      <c r="E14" s="18"/>
      <c r="O14" s="18"/>
      <c r="P14" s="18"/>
      <c r="Q14" s="18"/>
      <c r="R14" s="18"/>
      <c r="S14" s="18"/>
      <c r="T14" s="18"/>
      <c r="U14" s="18"/>
      <c r="V14" s="18"/>
      <c r="W14" s="18"/>
      <c r="X14"/>
      <c r="Y14"/>
      <c r="Z14"/>
      <c r="AA14"/>
      <c r="AB14"/>
      <c r="AC14"/>
      <c r="AD14"/>
      <c r="AE14"/>
      <c r="AF14"/>
      <c r="AG14" s="18"/>
      <c r="AH14" s="18"/>
      <c r="AI14" s="18"/>
      <c r="AJ14" s="18"/>
      <c r="AK14" s="18"/>
      <c r="AL14" s="18"/>
      <c r="AM14" s="18"/>
      <c r="AN14" s="18"/>
      <c r="AO14" s="18"/>
      <c r="CB14" s="133"/>
      <c r="CC14" s="175"/>
    </row>
    <row r="15" spans="1:92" ht="15" customHeight="1" x14ac:dyDescent="0.2">
      <c r="B15" s="18"/>
      <c r="C15" s="18"/>
      <c r="D15" s="18"/>
      <c r="E15"/>
      <c r="F15"/>
      <c r="G15"/>
      <c r="H15"/>
      <c r="I15"/>
      <c r="J15"/>
      <c r="K15"/>
      <c r="L15"/>
      <c r="O15" s="18"/>
      <c r="P15" s="18"/>
      <c r="Q15" s="18"/>
      <c r="R15" s="18"/>
      <c r="S15" s="18"/>
      <c r="T15" s="18"/>
      <c r="U15" s="18"/>
      <c r="V15" s="18"/>
      <c r="W15" s="18"/>
      <c r="X15"/>
      <c r="Y15"/>
      <c r="Z15"/>
      <c r="AA15"/>
      <c r="AB15"/>
      <c r="AC15"/>
      <c r="AD15"/>
      <c r="AE15"/>
      <c r="AF15"/>
      <c r="AG15" s="18"/>
      <c r="AH15" s="18"/>
      <c r="AI15" s="18"/>
      <c r="AJ15" s="18"/>
      <c r="AK15" s="18"/>
      <c r="AL15" s="18"/>
      <c r="AM15" s="18"/>
      <c r="AN15" s="18"/>
      <c r="AO15" s="18"/>
      <c r="CB15" s="133"/>
      <c r="CC15" s="175"/>
      <c r="CM15" s="117"/>
    </row>
    <row r="16" spans="1:92" ht="15" customHeight="1" x14ac:dyDescent="0.2">
      <c r="M16" s="18"/>
      <c r="CB16" s="133"/>
      <c r="CC16" s="175"/>
      <c r="CM16" s="138"/>
    </row>
    <row r="17" spans="14:91" ht="15" customHeight="1" x14ac:dyDescent="0.2">
      <c r="N17" s="1"/>
      <c r="P17" s="1"/>
      <c r="Q17" s="1"/>
      <c r="AC17" s="1"/>
      <c r="AF17" s="1"/>
      <c r="CB17" s="133"/>
      <c r="CC17" s="175"/>
      <c r="CM17" s="138"/>
    </row>
    <row r="18" spans="14:91" ht="15" customHeight="1" x14ac:dyDescent="0.2">
      <c r="N18" s="1"/>
      <c r="P18" s="1"/>
      <c r="Q18" s="1"/>
      <c r="AC18" s="1"/>
      <c r="AF18" s="1"/>
      <c r="CB18" s="133"/>
      <c r="CC18" s="175"/>
      <c r="CM18" s="258" t="s">
        <v>555</v>
      </c>
    </row>
    <row r="19" spans="14:91" x14ac:dyDescent="0.2">
      <c r="CB19" s="133"/>
      <c r="CC19" s="175"/>
      <c r="CM19" s="258"/>
    </row>
    <row r="20" spans="14:91" x14ac:dyDescent="0.2">
      <c r="CB20" s="133"/>
      <c r="CC20" s="175"/>
      <c r="CM20" s="258"/>
    </row>
    <row r="21" spans="14:91" x14ac:dyDescent="0.2">
      <c r="CB21" s="133"/>
      <c r="CC21" s="175"/>
    </row>
    <row r="22" spans="14:91" x14ac:dyDescent="0.2">
      <c r="CB22" s="133"/>
      <c r="CC22" s="175"/>
    </row>
    <row r="23" spans="14:91" x14ac:dyDescent="0.2">
      <c r="CB23" s="133"/>
      <c r="CC23" s="175"/>
    </row>
    <row r="24" spans="14:91" x14ac:dyDescent="0.2">
      <c r="CB24" s="133"/>
      <c r="CC24" s="175"/>
    </row>
    <row r="25" spans="14:91" x14ac:dyDescent="0.2">
      <c r="CB25" s="133"/>
      <c r="CC25" s="175"/>
    </row>
    <row r="26" spans="14:91" x14ac:dyDescent="0.2">
      <c r="CB26" s="133"/>
      <c r="CC26" s="175"/>
    </row>
    <row r="27" spans="14:91" x14ac:dyDescent="0.2">
      <c r="CB27" s="133"/>
      <c r="CC27" s="175"/>
    </row>
    <row r="28" spans="14:91" x14ac:dyDescent="0.2">
      <c r="CB28" s="133"/>
      <c r="CC28" s="175"/>
    </row>
    <row r="29" spans="14:91" x14ac:dyDescent="0.2">
      <c r="CB29" s="133"/>
      <c r="CC29" s="175"/>
    </row>
    <row r="30" spans="14:91" x14ac:dyDescent="0.2">
      <c r="CB30" s="133"/>
      <c r="CC30" s="175"/>
    </row>
    <row r="31" spans="14:91" x14ac:dyDescent="0.2">
      <c r="CB31" s="133"/>
      <c r="CC31" s="175"/>
    </row>
    <row r="32" spans="14:91" x14ac:dyDescent="0.2">
      <c r="CB32" s="133"/>
      <c r="CC32" s="175"/>
    </row>
    <row r="33" spans="80:81" x14ac:dyDescent="0.2">
      <c r="CB33" s="133"/>
      <c r="CC33" s="175"/>
    </row>
    <row r="34" spans="80:81" x14ac:dyDescent="0.2">
      <c r="CB34" s="133"/>
      <c r="CC34" s="175"/>
    </row>
    <row r="35" spans="80:81" x14ac:dyDescent="0.2">
      <c r="CB35" s="133"/>
      <c r="CC35" s="175"/>
    </row>
    <row r="36" spans="80:81" x14ac:dyDescent="0.2">
      <c r="CB36" s="133"/>
      <c r="CC36" s="175"/>
    </row>
    <row r="37" spans="80:81" x14ac:dyDescent="0.2">
      <c r="CB37" s="133"/>
      <c r="CC37" s="175"/>
    </row>
    <row r="38" spans="80:81" x14ac:dyDescent="0.2">
      <c r="CB38" s="133"/>
      <c r="CC38" s="175"/>
    </row>
    <row r="39" spans="80:81" x14ac:dyDescent="0.2">
      <c r="CB39" s="133"/>
      <c r="CC39" s="175"/>
    </row>
    <row r="40" spans="80:81" x14ac:dyDescent="0.2">
      <c r="CB40" s="133"/>
      <c r="CC40" s="175"/>
    </row>
    <row r="41" spans="80:81" x14ac:dyDescent="0.2">
      <c r="CB41" s="133"/>
      <c r="CC41" s="175"/>
    </row>
    <row r="42" spans="80:81" x14ac:dyDescent="0.2">
      <c r="CB42" s="133"/>
      <c r="CC42" s="175"/>
    </row>
    <row r="43" spans="80:81" x14ac:dyDescent="0.2">
      <c r="CB43" s="133"/>
      <c r="CC43" s="175"/>
    </row>
    <row r="44" spans="80:81" x14ac:dyDescent="0.2">
      <c r="CB44" s="133"/>
      <c r="CC44" s="175"/>
    </row>
    <row r="45" spans="80:81" x14ac:dyDescent="0.2">
      <c r="CB45" s="133"/>
      <c r="CC45" s="175"/>
    </row>
    <row r="46" spans="80:81" x14ac:dyDescent="0.2">
      <c r="CB46" s="133"/>
      <c r="CC46" s="175"/>
    </row>
    <row r="47" spans="80:81" x14ac:dyDescent="0.2">
      <c r="CB47" s="133"/>
      <c r="CC47" s="175"/>
    </row>
    <row r="48" spans="80:81" x14ac:dyDescent="0.2">
      <c r="CB48" s="133"/>
      <c r="CC48" s="175"/>
    </row>
    <row r="49" spans="80:81" x14ac:dyDescent="0.2">
      <c r="CB49" s="133"/>
      <c r="CC49" s="175"/>
    </row>
    <row r="50" spans="80:81" x14ac:dyDescent="0.2">
      <c r="CB50" s="133"/>
      <c r="CC50" s="175"/>
    </row>
    <row r="51" spans="80:81" x14ac:dyDescent="0.2">
      <c r="CB51" s="133"/>
      <c r="CC51" s="175"/>
    </row>
    <row r="52" spans="80:81" x14ac:dyDescent="0.2">
      <c r="CB52" s="133"/>
      <c r="CC52" s="175"/>
    </row>
    <row r="53" spans="80:81" x14ac:dyDescent="0.2">
      <c r="CB53" s="133"/>
      <c r="CC53" s="175"/>
    </row>
    <row r="54" spans="80:81" x14ac:dyDescent="0.2">
      <c r="CB54" s="133"/>
      <c r="CC54" s="175"/>
    </row>
    <row r="55" spans="80:81" x14ac:dyDescent="0.2">
      <c r="CB55" s="133"/>
      <c r="CC55" s="175"/>
    </row>
    <row r="56" spans="80:81" x14ac:dyDescent="0.2">
      <c r="CB56" s="133"/>
      <c r="CC56" s="175"/>
    </row>
    <row r="57" spans="80:81" x14ac:dyDescent="0.2">
      <c r="CB57" s="133"/>
      <c r="CC57" s="175"/>
    </row>
    <row r="58" spans="80:81" x14ac:dyDescent="0.2">
      <c r="CB58" s="133"/>
      <c r="CC58" s="175"/>
    </row>
    <row r="59" spans="80:81" x14ac:dyDescent="0.2">
      <c r="CB59" s="133"/>
      <c r="CC59" s="175"/>
    </row>
    <row r="60" spans="80:81" x14ac:dyDescent="0.2">
      <c r="CB60" s="133"/>
      <c r="CC60" s="175"/>
    </row>
    <row r="61" spans="80:81" x14ac:dyDescent="0.2">
      <c r="CB61" s="133"/>
      <c r="CC61" s="175"/>
    </row>
    <row r="62" spans="80:81" x14ac:dyDescent="0.2">
      <c r="CB62" s="133"/>
      <c r="CC62" s="175"/>
    </row>
    <row r="63" spans="80:81" x14ac:dyDescent="0.2">
      <c r="CB63" s="133"/>
      <c r="CC63" s="175"/>
    </row>
    <row r="64" spans="80:81" x14ac:dyDescent="0.2">
      <c r="CB64" s="133"/>
      <c r="CC64" s="175"/>
    </row>
    <row r="65" spans="80:81" x14ac:dyDescent="0.2">
      <c r="CB65" s="133"/>
      <c r="CC65" s="175"/>
    </row>
    <row r="66" spans="80:81" x14ac:dyDescent="0.2">
      <c r="CB66" s="133"/>
      <c r="CC66" s="175"/>
    </row>
    <row r="67" spans="80:81" x14ac:dyDescent="0.2">
      <c r="CB67" s="133"/>
      <c r="CC67" s="175"/>
    </row>
    <row r="68" spans="80:81" x14ac:dyDescent="0.2">
      <c r="CB68" s="133"/>
      <c r="CC68" s="175"/>
    </row>
    <row r="69" spans="80:81" x14ac:dyDescent="0.2">
      <c r="CB69" s="133"/>
      <c r="CC69" s="175"/>
    </row>
    <row r="70" spans="80:81" x14ac:dyDescent="0.2">
      <c r="CB70" s="133"/>
      <c r="CC70" s="175"/>
    </row>
    <row r="71" spans="80:81" x14ac:dyDescent="0.2">
      <c r="CB71" s="133"/>
      <c r="CC71" s="175"/>
    </row>
    <row r="72" spans="80:81" x14ac:dyDescent="0.2">
      <c r="CB72" s="133"/>
      <c r="CC72" s="175"/>
    </row>
    <row r="73" spans="80:81" x14ac:dyDescent="0.2">
      <c r="CB73" s="133"/>
      <c r="CC73" s="175"/>
    </row>
    <row r="74" spans="80:81" x14ac:dyDescent="0.2">
      <c r="CB74" s="133"/>
      <c r="CC74" s="175"/>
    </row>
    <row r="75" spans="80:81" x14ac:dyDescent="0.2">
      <c r="CB75" s="133"/>
      <c r="CC75" s="175"/>
    </row>
    <row r="76" spans="80:81" x14ac:dyDescent="0.2">
      <c r="CB76" s="133"/>
      <c r="CC76" s="175"/>
    </row>
    <row r="77" spans="80:81" x14ac:dyDescent="0.2">
      <c r="CB77" s="133"/>
      <c r="CC77" s="175"/>
    </row>
    <row r="78" spans="80:81" x14ac:dyDescent="0.2">
      <c r="CB78" s="133"/>
      <c r="CC78" s="175"/>
    </row>
    <row r="79" spans="80:81" x14ac:dyDescent="0.2">
      <c r="CB79" s="133"/>
      <c r="CC79" s="175"/>
    </row>
    <row r="80" spans="80:81" x14ac:dyDescent="0.2">
      <c r="CB80" s="133"/>
      <c r="CC80" s="175"/>
    </row>
    <row r="81" spans="80:81" x14ac:dyDescent="0.2">
      <c r="CB81" s="133"/>
      <c r="CC81" s="175"/>
    </row>
    <row r="82" spans="80:81" x14ac:dyDescent="0.2">
      <c r="CB82" s="133"/>
      <c r="CC82" s="175"/>
    </row>
    <row r="83" spans="80:81" x14ac:dyDescent="0.2">
      <c r="CB83" s="133"/>
      <c r="CC83" s="175"/>
    </row>
    <row r="84" spans="80:81" x14ac:dyDescent="0.2">
      <c r="CB84" s="133"/>
      <c r="CC84" s="175"/>
    </row>
    <row r="85" spans="80:81" x14ac:dyDescent="0.2">
      <c r="CB85" s="133"/>
      <c r="CC85" s="175"/>
    </row>
    <row r="86" spans="80:81" x14ac:dyDescent="0.2">
      <c r="CB86" s="133"/>
      <c r="CC86" s="175"/>
    </row>
    <row r="87" spans="80:81" x14ac:dyDescent="0.2">
      <c r="CB87" s="133"/>
      <c r="CC87" s="175"/>
    </row>
    <row r="88" spans="80:81" x14ac:dyDescent="0.2">
      <c r="CB88" s="133"/>
      <c r="CC88" s="175"/>
    </row>
    <row r="89" spans="80:81" x14ac:dyDescent="0.2">
      <c r="CB89" s="133"/>
      <c r="CC89" s="175"/>
    </row>
    <row r="90" spans="80:81" x14ac:dyDescent="0.2">
      <c r="CB90" s="133"/>
      <c r="CC90" s="175"/>
    </row>
    <row r="91" spans="80:81" x14ac:dyDescent="0.2">
      <c r="CB91" s="133"/>
      <c r="CC91" s="175"/>
    </row>
    <row r="92" spans="80:81" x14ac:dyDescent="0.2">
      <c r="CB92" s="133"/>
      <c r="CC92" s="175"/>
    </row>
    <row r="93" spans="80:81" x14ac:dyDescent="0.2">
      <c r="CB93" s="133"/>
      <c r="CC93" s="175"/>
    </row>
    <row r="94" spans="80:81" x14ac:dyDescent="0.2">
      <c r="CB94" s="133"/>
      <c r="CC94" s="175"/>
    </row>
    <row r="95" spans="80:81" x14ac:dyDescent="0.2">
      <c r="CB95" s="133"/>
      <c r="CC95" s="175"/>
    </row>
    <row r="96" spans="80:81" x14ac:dyDescent="0.2">
      <c r="CB96" s="133"/>
      <c r="CC96" s="175"/>
    </row>
    <row r="97" spans="80:81" x14ac:dyDescent="0.2">
      <c r="CB97" s="133"/>
      <c r="CC97" s="175"/>
    </row>
    <row r="98" spans="80:81" x14ac:dyDescent="0.2">
      <c r="CB98" s="133"/>
      <c r="CC98" s="175"/>
    </row>
    <row r="99" spans="80:81" x14ac:dyDescent="0.2">
      <c r="CB99" s="133"/>
      <c r="CC99" s="175"/>
    </row>
    <row r="100" spans="80:81" x14ac:dyDescent="0.2">
      <c r="CB100" s="133"/>
      <c r="CC100" s="175"/>
    </row>
    <row r="101" spans="80:81" x14ac:dyDescent="0.2">
      <c r="CB101" s="133"/>
      <c r="CC101" s="175"/>
    </row>
    <row r="102" spans="80:81" x14ac:dyDescent="0.2">
      <c r="CB102" s="133"/>
      <c r="CC102" s="175"/>
    </row>
    <row r="103" spans="80:81" x14ac:dyDescent="0.2">
      <c r="CB103" s="133"/>
      <c r="CC103" s="175"/>
    </row>
    <row r="104" spans="80:81" x14ac:dyDescent="0.2">
      <c r="CB104" s="133"/>
      <c r="CC104" s="175"/>
    </row>
    <row r="105" spans="80:81" x14ac:dyDescent="0.2">
      <c r="CB105" s="133"/>
      <c r="CC105" s="175"/>
    </row>
    <row r="106" spans="80:81" x14ac:dyDescent="0.2">
      <c r="CB106" s="133"/>
      <c r="CC106" s="175"/>
    </row>
    <row r="107" spans="80:81" x14ac:dyDescent="0.2">
      <c r="CB107" s="133"/>
      <c r="CC107" s="175"/>
    </row>
    <row r="108" spans="80:81" x14ac:dyDescent="0.2">
      <c r="CB108" s="133"/>
      <c r="CC108" s="175"/>
    </row>
    <row r="109" spans="80:81" x14ac:dyDescent="0.2">
      <c r="CB109" s="133"/>
      <c r="CC109" s="175"/>
    </row>
    <row r="110" spans="80:81" x14ac:dyDescent="0.2">
      <c r="CB110" s="133"/>
      <c r="CC110" s="175"/>
    </row>
    <row r="111" spans="80:81" x14ac:dyDescent="0.2">
      <c r="CB111" s="133"/>
      <c r="CC111" s="175"/>
    </row>
    <row r="112" spans="80:81" x14ac:dyDescent="0.2">
      <c r="CB112" s="133"/>
      <c r="CC112" s="175"/>
    </row>
    <row r="113" spans="80:81" x14ac:dyDescent="0.2">
      <c r="CB113" s="133"/>
      <c r="CC113" s="175"/>
    </row>
    <row r="114" spans="80:81" x14ac:dyDescent="0.2">
      <c r="CB114" s="133"/>
      <c r="CC114" s="175"/>
    </row>
    <row r="115" spans="80:81" x14ac:dyDescent="0.2">
      <c r="CB115" s="133"/>
      <c r="CC115" s="175"/>
    </row>
    <row r="116" spans="80:81" x14ac:dyDescent="0.2">
      <c r="CB116" s="133"/>
      <c r="CC116" s="175"/>
    </row>
    <row r="117" spans="80:81" x14ac:dyDescent="0.2">
      <c r="CB117" s="133"/>
      <c r="CC117" s="175"/>
    </row>
    <row r="118" spans="80:81" x14ac:dyDescent="0.2">
      <c r="CB118" s="133"/>
      <c r="CC118" s="175"/>
    </row>
    <row r="119" spans="80:81" x14ac:dyDescent="0.2">
      <c r="CB119" s="133"/>
      <c r="CC119" s="175"/>
    </row>
    <row r="120" spans="80:81" x14ac:dyDescent="0.2">
      <c r="CB120" s="133"/>
      <c r="CC120" s="175"/>
    </row>
    <row r="121" spans="80:81" x14ac:dyDescent="0.2">
      <c r="CB121" s="133"/>
      <c r="CC121" s="175"/>
    </row>
    <row r="122" spans="80:81" x14ac:dyDescent="0.2">
      <c r="CB122" s="133"/>
      <c r="CC122" s="175"/>
    </row>
    <row r="123" spans="80:81" x14ac:dyDescent="0.2">
      <c r="CB123" s="133"/>
      <c r="CC123" s="175"/>
    </row>
    <row r="124" spans="80:81" x14ac:dyDescent="0.2">
      <c r="CB124" s="133"/>
      <c r="CC124" s="175"/>
    </row>
    <row r="125" spans="80:81" x14ac:dyDescent="0.2">
      <c r="CB125" s="133"/>
      <c r="CC125" s="175"/>
    </row>
    <row r="126" spans="80:81" x14ac:dyDescent="0.2">
      <c r="CB126" s="133"/>
      <c r="CC126" s="175"/>
    </row>
    <row r="127" spans="80:81" x14ac:dyDescent="0.2">
      <c r="CB127" s="133"/>
      <c r="CC127" s="175"/>
    </row>
    <row r="128" spans="80:81" x14ac:dyDescent="0.2">
      <c r="CB128" s="133"/>
      <c r="CC128" s="175"/>
    </row>
    <row r="129" spans="80:81" x14ac:dyDescent="0.2">
      <c r="CB129" s="133"/>
      <c r="CC129" s="175"/>
    </row>
    <row r="130" spans="80:81" x14ac:dyDescent="0.2">
      <c r="CB130" s="133"/>
      <c r="CC130" s="175"/>
    </row>
    <row r="131" spans="80:81" x14ac:dyDescent="0.2">
      <c r="CB131" s="133"/>
      <c r="CC131" s="175"/>
    </row>
    <row r="132" spans="80:81" x14ac:dyDescent="0.2">
      <c r="CB132" s="133"/>
      <c r="CC132" s="175"/>
    </row>
    <row r="133" spans="80:81" x14ac:dyDescent="0.2">
      <c r="CB133" s="133"/>
      <c r="CC133" s="175"/>
    </row>
    <row r="134" spans="80:81" x14ac:dyDescent="0.2">
      <c r="CB134" s="133"/>
      <c r="CC134" s="175"/>
    </row>
    <row r="135" spans="80:81" x14ac:dyDescent="0.2">
      <c r="CB135" s="133"/>
      <c r="CC135" s="175"/>
    </row>
    <row r="136" spans="80:81" x14ac:dyDescent="0.2">
      <c r="CB136" s="133"/>
      <c r="CC136" s="175"/>
    </row>
    <row r="137" spans="80:81" x14ac:dyDescent="0.2">
      <c r="CB137" s="133"/>
      <c r="CC137" s="175"/>
    </row>
    <row r="138" spans="80:81" x14ac:dyDescent="0.2">
      <c r="CB138" s="133"/>
      <c r="CC138" s="175"/>
    </row>
    <row r="139" spans="80:81" x14ac:dyDescent="0.2">
      <c r="CB139" s="133"/>
      <c r="CC139" s="175"/>
    </row>
    <row r="140" spans="80:81" x14ac:dyDescent="0.2">
      <c r="CB140" s="133"/>
      <c r="CC140" s="175"/>
    </row>
    <row r="141" spans="80:81" x14ac:dyDescent="0.2">
      <c r="CB141" s="133"/>
      <c r="CC141" s="175"/>
    </row>
    <row r="142" spans="80:81" x14ac:dyDescent="0.2">
      <c r="CB142" s="133"/>
      <c r="CC142" s="175"/>
    </row>
    <row r="143" spans="80:81" x14ac:dyDescent="0.2">
      <c r="CB143" s="133"/>
      <c r="CC143" s="175"/>
    </row>
    <row r="144" spans="80:81" x14ac:dyDescent="0.2">
      <c r="CB144" s="133"/>
      <c r="CC144" s="175"/>
    </row>
    <row r="145" spans="80:81" x14ac:dyDescent="0.2">
      <c r="CB145" s="133"/>
      <c r="CC145" s="175"/>
    </row>
    <row r="146" spans="80:81" x14ac:dyDescent="0.2">
      <c r="CB146" s="133"/>
      <c r="CC146" s="175"/>
    </row>
    <row r="147" spans="80:81" x14ac:dyDescent="0.2">
      <c r="CB147" s="133"/>
      <c r="CC147" s="175"/>
    </row>
    <row r="148" spans="80:81" x14ac:dyDescent="0.2">
      <c r="CB148" s="133"/>
      <c r="CC148" s="175"/>
    </row>
    <row r="149" spans="80:81" x14ac:dyDescent="0.2">
      <c r="CB149" s="133"/>
      <c r="CC149" s="175"/>
    </row>
    <row r="150" spans="80:81" x14ac:dyDescent="0.2">
      <c r="CB150" s="133"/>
      <c r="CC150" s="175"/>
    </row>
    <row r="151" spans="80:81" x14ac:dyDescent="0.2">
      <c r="CB151" s="133"/>
      <c r="CC151" s="175"/>
    </row>
    <row r="152" spans="80:81" x14ac:dyDescent="0.2">
      <c r="CB152" s="133"/>
      <c r="CC152" s="175"/>
    </row>
    <row r="153" spans="80:81" x14ac:dyDescent="0.2">
      <c r="CB153" s="133"/>
      <c r="CC153" s="175"/>
    </row>
    <row r="154" spans="80:81" x14ac:dyDescent="0.2">
      <c r="CB154" s="133"/>
      <c r="CC154" s="175"/>
    </row>
    <row r="155" spans="80:81" x14ac:dyDescent="0.2">
      <c r="CB155" s="133"/>
      <c r="CC155" s="175"/>
    </row>
    <row r="156" spans="80:81" x14ac:dyDescent="0.2">
      <c r="CB156" s="133"/>
      <c r="CC156" s="175"/>
    </row>
    <row r="157" spans="80:81" x14ac:dyDescent="0.2">
      <c r="CB157" s="133"/>
      <c r="CC157" s="175"/>
    </row>
    <row r="158" spans="80:81" x14ac:dyDescent="0.2">
      <c r="CB158" s="133"/>
      <c r="CC158" s="175"/>
    </row>
    <row r="159" spans="80:81" x14ac:dyDescent="0.2">
      <c r="CB159" s="133"/>
      <c r="CC159" s="175"/>
    </row>
    <row r="160" spans="80:81" x14ac:dyDescent="0.2">
      <c r="CB160" s="133"/>
      <c r="CC160" s="175"/>
    </row>
    <row r="161" spans="80:81" x14ac:dyDescent="0.2">
      <c r="CB161" s="133"/>
      <c r="CC161" s="175"/>
    </row>
    <row r="162" spans="80:81" x14ac:dyDescent="0.2">
      <c r="CB162" s="133"/>
      <c r="CC162" s="175"/>
    </row>
    <row r="163" spans="80:81" x14ac:dyDescent="0.2">
      <c r="CB163" s="133"/>
      <c r="CC163" s="175"/>
    </row>
    <row r="164" spans="80:81" x14ac:dyDescent="0.2">
      <c r="CB164" s="133"/>
      <c r="CC164" s="175"/>
    </row>
    <row r="165" spans="80:81" x14ac:dyDescent="0.2">
      <c r="CB165" s="133"/>
      <c r="CC165" s="175"/>
    </row>
    <row r="166" spans="80:81" x14ac:dyDescent="0.2">
      <c r="CB166" s="133"/>
      <c r="CC166" s="175"/>
    </row>
    <row r="167" spans="80:81" x14ac:dyDescent="0.2">
      <c r="CB167" s="133"/>
      <c r="CC167" s="175"/>
    </row>
    <row r="168" spans="80:81" x14ac:dyDescent="0.2">
      <c r="CB168" s="133"/>
      <c r="CC168" s="175"/>
    </row>
    <row r="169" spans="80:81" x14ac:dyDescent="0.2">
      <c r="CB169" s="133"/>
      <c r="CC169" s="175"/>
    </row>
    <row r="170" spans="80:81" x14ac:dyDescent="0.2">
      <c r="CB170" s="133"/>
      <c r="CC170" s="175"/>
    </row>
    <row r="171" spans="80:81" x14ac:dyDescent="0.2">
      <c r="CB171" s="133"/>
      <c r="CC171" s="175"/>
    </row>
    <row r="172" spans="80:81" x14ac:dyDescent="0.2">
      <c r="CB172" s="133"/>
      <c r="CC172" s="175"/>
    </row>
    <row r="173" spans="80:81" x14ac:dyDescent="0.2">
      <c r="CB173" s="133"/>
      <c r="CC173" s="175"/>
    </row>
    <row r="174" spans="80:81" x14ac:dyDescent="0.2">
      <c r="CB174" s="133"/>
      <c r="CC174" s="175"/>
    </row>
    <row r="175" spans="80:81" x14ac:dyDescent="0.2">
      <c r="CB175" s="133"/>
      <c r="CC175" s="175"/>
    </row>
    <row r="176" spans="80:81" x14ac:dyDescent="0.2">
      <c r="CB176" s="133"/>
      <c r="CC176" s="175"/>
    </row>
    <row r="177" spans="80:81" x14ac:dyDescent="0.2">
      <c r="CB177" s="133"/>
      <c r="CC177" s="175"/>
    </row>
    <row r="178" spans="80:81" x14ac:dyDescent="0.2">
      <c r="CB178" s="133"/>
      <c r="CC178" s="175"/>
    </row>
    <row r="179" spans="80:81" x14ac:dyDescent="0.2">
      <c r="CB179" s="133"/>
      <c r="CC179" s="175"/>
    </row>
    <row r="180" spans="80:81" x14ac:dyDescent="0.2">
      <c r="CB180" s="133"/>
      <c r="CC180" s="175"/>
    </row>
    <row r="181" spans="80:81" x14ac:dyDescent="0.2">
      <c r="CB181" s="133"/>
      <c r="CC181" s="175"/>
    </row>
    <row r="182" spans="80:81" x14ac:dyDescent="0.2">
      <c r="CB182" s="133"/>
      <c r="CC182" s="175"/>
    </row>
    <row r="183" spans="80:81" x14ac:dyDescent="0.2">
      <c r="CB183" s="133"/>
      <c r="CC183" s="175"/>
    </row>
    <row r="184" spans="80:81" x14ac:dyDescent="0.2">
      <c r="CB184" s="133"/>
      <c r="CC184" s="175"/>
    </row>
    <row r="185" spans="80:81" x14ac:dyDescent="0.2">
      <c r="CB185" s="133"/>
      <c r="CC185" s="175"/>
    </row>
    <row r="186" spans="80:81" x14ac:dyDescent="0.2">
      <c r="CB186" s="133"/>
      <c r="CC186" s="175"/>
    </row>
    <row r="187" spans="80:81" x14ac:dyDescent="0.2">
      <c r="CB187" s="133"/>
      <c r="CC187" s="175"/>
    </row>
    <row r="188" spans="80:81" x14ac:dyDescent="0.2">
      <c r="CB188" s="133"/>
      <c r="CC188" s="175"/>
    </row>
    <row r="189" spans="80:81" x14ac:dyDescent="0.2">
      <c r="CB189" s="133"/>
      <c r="CC189" s="175"/>
    </row>
    <row r="190" spans="80:81" x14ac:dyDescent="0.2">
      <c r="CB190" s="133"/>
      <c r="CC190" s="175"/>
    </row>
    <row r="191" spans="80:81" x14ac:dyDescent="0.2">
      <c r="CB191" s="133"/>
      <c r="CC191" s="175"/>
    </row>
    <row r="192" spans="80:81" x14ac:dyDescent="0.2">
      <c r="CB192" s="133"/>
      <c r="CC192" s="175"/>
    </row>
    <row r="193" spans="80:81" x14ac:dyDescent="0.2">
      <c r="CB193" s="133"/>
      <c r="CC193" s="175"/>
    </row>
    <row r="194" spans="80:81" x14ac:dyDescent="0.2">
      <c r="CB194" s="133"/>
      <c r="CC194" s="175"/>
    </row>
    <row r="195" spans="80:81" x14ac:dyDescent="0.2">
      <c r="CB195" s="133"/>
      <c r="CC195" s="175"/>
    </row>
    <row r="196" spans="80:81" x14ac:dyDescent="0.2">
      <c r="CB196" s="133"/>
      <c r="CC196" s="175"/>
    </row>
    <row r="197" spans="80:81" x14ac:dyDescent="0.2">
      <c r="CB197" s="133"/>
      <c r="CC197" s="175"/>
    </row>
    <row r="198" spans="80:81" x14ac:dyDescent="0.2">
      <c r="CB198" s="133"/>
      <c r="CC198" s="175"/>
    </row>
    <row r="199" spans="80:81" x14ac:dyDescent="0.2">
      <c r="CB199" s="133"/>
      <c r="CC199" s="175"/>
    </row>
    <row r="200" spans="80:81" x14ac:dyDescent="0.2">
      <c r="CB200" s="133"/>
      <c r="CC200" s="175"/>
    </row>
    <row r="201" spans="80:81" x14ac:dyDescent="0.2">
      <c r="CB201" s="133"/>
      <c r="CC201" s="175"/>
    </row>
    <row r="202" spans="80:81" x14ac:dyDescent="0.2">
      <c r="CB202" s="133"/>
      <c r="CC202" s="175"/>
    </row>
    <row r="203" spans="80:81" x14ac:dyDescent="0.2">
      <c r="CB203" s="133"/>
      <c r="CC203" s="175"/>
    </row>
    <row r="204" spans="80:81" x14ac:dyDescent="0.2">
      <c r="CB204" s="133"/>
      <c r="CC204" s="175"/>
    </row>
    <row r="205" spans="80:81" x14ac:dyDescent="0.2">
      <c r="CB205" s="109"/>
      <c r="CC205" s="176"/>
    </row>
    <row r="206" spans="80:81" x14ac:dyDescent="0.2">
      <c r="CC206" s="1"/>
    </row>
  </sheetData>
  <sheetProtection sheet="1" objects="1" scenarios="1" formatColumns="0"/>
  <mergeCells count="17">
    <mergeCell ref="CM4:CM6"/>
    <mergeCell ref="CI4:CK4"/>
    <mergeCell ref="CB4:CC4"/>
    <mergeCell ref="CM18:CM20"/>
    <mergeCell ref="CM11:CM13"/>
    <mergeCell ref="CE9:CG9"/>
    <mergeCell ref="CB2:CK2"/>
    <mergeCell ref="N6:R6"/>
    <mergeCell ref="BA6:BE6"/>
    <mergeCell ref="T6:U6"/>
    <mergeCell ref="CE4:CG4"/>
    <mergeCell ref="BG6:BH6"/>
    <mergeCell ref="W6:AM6"/>
    <mergeCell ref="BJ6:BZ6"/>
    <mergeCell ref="B2:BZ2"/>
    <mergeCell ref="B6:L6"/>
    <mergeCell ref="AO6:AY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48" r:id="rId3" name="Dielectric Constant Option">
              <controlPr defaultSize="0" autoLine="0" autoPict="0">
                <anchor moveWithCells="1">
                  <from>
                    <xdr:col>90</xdr:col>
                    <xdr:colOff>0</xdr:colOff>
                    <xdr:row>13</xdr:row>
                    <xdr:rowOff>0</xdr:rowOff>
                  </from>
                  <to>
                    <xdr:col>91</xdr:col>
                    <xdr:colOff>0</xdr:colOff>
                    <xdr:row>14</xdr:row>
                    <xdr:rowOff>50800</xdr:rowOff>
                  </to>
                </anchor>
              </controlPr>
            </control>
          </mc:Choice>
        </mc:AlternateContent>
        <mc:AlternateContent xmlns:mc="http://schemas.openxmlformats.org/markup-compatibility/2006">
          <mc:Choice Requires="x14">
            <control shapeId="1049" r:id="rId4" name="Water Gibbs Option">
              <controlPr defaultSize="0" autoLine="0" autoPict="0">
                <anchor moveWithCells="1">
                  <from>
                    <xdr:col>90</xdr:col>
                    <xdr:colOff>0</xdr:colOff>
                    <xdr:row>20</xdr:row>
                    <xdr:rowOff>0</xdr:rowOff>
                  </from>
                  <to>
                    <xdr:col>91</xdr:col>
                    <xdr:colOff>0</xdr:colOff>
                    <xdr:row>21</xdr:row>
                    <xdr:rowOff>63500</xdr:rowOff>
                  </to>
                </anchor>
              </controlPr>
            </control>
          </mc:Choice>
        </mc:AlternateContent>
        <mc:AlternateContent xmlns:mc="http://schemas.openxmlformats.org/markup-compatibility/2006">
          <mc:Choice Requires="x14">
            <control shapeId="1054" r:id="rId5" name="Option Button 30">
              <controlPr defaultSize="0" autoFill="0" autoLine="0" autoPict="0" macro="[0]!ChangeEquationsHiddenProperty">
                <anchor moveWithCells="1">
                  <from>
                    <xdr:col>79</xdr:col>
                    <xdr:colOff>571500</xdr:colOff>
                    <xdr:row>1</xdr:row>
                    <xdr:rowOff>444500</xdr:rowOff>
                  </from>
                  <to>
                    <xdr:col>80</xdr:col>
                    <xdr:colOff>546100</xdr:colOff>
                    <xdr:row>2</xdr:row>
                    <xdr:rowOff>127000</xdr:rowOff>
                  </to>
                </anchor>
              </controlPr>
            </control>
          </mc:Choice>
        </mc:AlternateContent>
        <mc:AlternateContent xmlns:mc="http://schemas.openxmlformats.org/markup-compatibility/2006">
          <mc:Choice Requires="x14">
            <control shapeId="1055" r:id="rId6" name="Option Button 31">
              <controlPr defaultSize="0" autoFill="0" autoLine="0" autoPict="0" macro="[0]!ChangeEquationsHiddenProperty">
                <anchor moveWithCells="1">
                  <from>
                    <xdr:col>82</xdr:col>
                    <xdr:colOff>254000</xdr:colOff>
                    <xdr:row>1</xdr:row>
                    <xdr:rowOff>444500</xdr:rowOff>
                  </from>
                  <to>
                    <xdr:col>84</xdr:col>
                    <xdr:colOff>228600</xdr:colOff>
                    <xdr:row>2</xdr:row>
                    <xdr:rowOff>139700</xdr:rowOff>
                  </to>
                </anchor>
              </controlPr>
            </control>
          </mc:Choice>
        </mc:AlternateContent>
        <mc:AlternateContent xmlns:mc="http://schemas.openxmlformats.org/markup-compatibility/2006">
          <mc:Choice Requires="x14">
            <control shapeId="1056" r:id="rId7" name="Supcrt Equation Option">
              <controlPr defaultSize="0" autoFill="0" autoLine="0" autoPict="0">
                <anchor moveWithCells="1">
                  <from>
                    <xdr:col>90</xdr:col>
                    <xdr:colOff>0</xdr:colOff>
                    <xdr:row>14</xdr:row>
                    <xdr:rowOff>0</xdr:rowOff>
                  </from>
                  <to>
                    <xdr:col>90</xdr:col>
                    <xdr:colOff>1384300</xdr:colOff>
                    <xdr:row>15</xdr:row>
                    <xdr:rowOff>177800</xdr:rowOff>
                  </to>
                </anchor>
              </controlPr>
            </control>
          </mc:Choice>
        </mc:AlternateContent>
        <mc:AlternateContent xmlns:mc="http://schemas.openxmlformats.org/markup-compatibility/2006">
          <mc:Choice Requires="x14">
            <control shapeId="1057" r:id="rId8" name="Density Option">
              <controlPr defaultSize="0" autoLine="0" autoPict="0">
                <anchor moveWithCells="1">
                  <from>
                    <xdr:col>90</xdr:col>
                    <xdr:colOff>0</xdr:colOff>
                    <xdr:row>6</xdr:row>
                    <xdr:rowOff>0</xdr:rowOff>
                  </from>
                  <to>
                    <xdr:col>91</xdr:col>
                    <xdr:colOff>0</xdr:colOff>
                    <xdr:row>7</xdr:row>
                    <xdr:rowOff>50800</xdr:rowOff>
                  </to>
                </anchor>
              </controlPr>
            </control>
          </mc:Choice>
        </mc:AlternateContent>
        <mc:AlternateContent xmlns:mc="http://schemas.openxmlformats.org/markup-compatibility/2006">
          <mc:Choice Requires="x14">
            <control shapeId="1068" r:id="rId9" name="Psat Conditions">
              <controlPr defaultSize="0" autoFill="0" autoLine="0" autoPict="0" macro="[0]!ChangeEquationsHiddenProperty" altText="PSat">
                <anchor moveWithCells="1">
                  <from>
                    <xdr:col>86</xdr:col>
                    <xdr:colOff>444500</xdr:colOff>
                    <xdr:row>1</xdr:row>
                    <xdr:rowOff>444500</xdr:rowOff>
                  </from>
                  <to>
                    <xdr:col>88</xdr:col>
                    <xdr:colOff>63500</xdr:colOff>
                    <xdr:row>2</xdr:row>
                    <xdr:rowOff>114300</xdr:rowOff>
                  </to>
                </anchor>
              </controlPr>
            </control>
          </mc:Choice>
        </mc:AlternateContent>
        <mc:AlternateContent xmlns:mc="http://schemas.openxmlformats.org/markup-compatibility/2006">
          <mc:Choice Requires="x14">
            <control shapeId="1070" r:id="rId10" name="Display Volume Option">
              <controlPr defaultSize="0" autoFill="0" autoLine="0" autoPict="0" macro="[0]!ChangeVolumeCalculationsHiddenProperty">
                <anchor moveWithCells="1">
                  <from>
                    <xdr:col>90</xdr:col>
                    <xdr:colOff>0</xdr:colOff>
                    <xdr:row>21</xdr:row>
                    <xdr:rowOff>165100</xdr:rowOff>
                  </from>
                  <to>
                    <xdr:col>90</xdr:col>
                    <xdr:colOff>1549400</xdr:colOff>
                    <xdr:row>23</xdr:row>
                    <xdr:rowOff>38100</xdr:rowOff>
                  </to>
                </anchor>
              </controlPr>
            </control>
          </mc:Choice>
        </mc:AlternateContent>
        <mc:AlternateContent xmlns:mc="http://schemas.openxmlformats.org/markup-compatibility/2006">
          <mc:Choice Requires="x14">
            <control shapeId="1071" r:id="rId11" name="PSat Display Volume Option">
              <controlPr defaultSize="0" autoFill="0" autoLine="0" autoPict="0" macro="[0]!ChangeVolumeCalculationsHiddenProperty">
                <anchor moveWithCells="1">
                  <from>
                    <xdr:col>90</xdr:col>
                    <xdr:colOff>0</xdr:colOff>
                    <xdr:row>2</xdr:row>
                    <xdr:rowOff>152400</xdr:rowOff>
                  </from>
                  <to>
                    <xdr:col>90</xdr:col>
                    <xdr:colOff>1549400</xdr:colOff>
                    <xdr:row>4</xdr:row>
                    <xdr:rowOff>25400</xdr:rowOff>
                  </to>
                </anchor>
              </controlPr>
            </control>
          </mc:Choice>
        </mc:AlternateContent>
        <mc:AlternateContent xmlns:mc="http://schemas.openxmlformats.org/markup-compatibility/2006">
          <mc:Choice Requires="x14">
            <control shapeId="1072" r:id="rId12" name="Check Box 48">
              <controlPr defaultSize="0" autoFill="0" autoLine="0" autoPict="0">
                <anchor moveWithCells="1">
                  <from>
                    <xdr:col>90</xdr:col>
                    <xdr:colOff>12700</xdr:colOff>
                    <xdr:row>7</xdr:row>
                    <xdr:rowOff>38100</xdr:rowOff>
                  </from>
                  <to>
                    <xdr:col>90</xdr:col>
                    <xdr:colOff>1435100</xdr:colOff>
                    <xdr:row>8</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50"/>
    <pageSetUpPr fitToPage="1"/>
  </sheetPr>
  <dimension ref="A1:R67"/>
  <sheetViews>
    <sheetView showGridLines="0" topLeftCell="B1" zoomScale="110" zoomScaleNormal="110" workbookViewId="0">
      <selection activeCell="J83" sqref="J83"/>
    </sheetView>
  </sheetViews>
  <sheetFormatPr baseColWidth="10" defaultColWidth="8.83203125" defaultRowHeight="15" x14ac:dyDescent="0.2"/>
  <cols>
    <col min="1" max="1" width="2.83203125" style="1" customWidth="1"/>
    <col min="2" max="2" width="9.1640625" style="1" customWidth="1"/>
    <col min="3" max="4" width="20.6640625" style="1" customWidth="1"/>
    <col min="5" max="6" width="10.33203125" style="1" customWidth="1"/>
    <col min="7" max="9" width="10.83203125" style="1" customWidth="1"/>
    <col min="10" max="10" width="12.5" style="1" customWidth="1"/>
    <col min="11" max="11" width="10.83203125" style="1" customWidth="1"/>
    <col min="12" max="12" width="14.1640625" style="1" customWidth="1"/>
    <col min="13" max="13" width="12.1640625" style="1" customWidth="1"/>
    <col min="14" max="14" width="11.6640625" style="1" customWidth="1"/>
    <col min="15" max="15" width="11.33203125" style="1" customWidth="1"/>
    <col min="16" max="16" width="9.5" style="1" customWidth="1"/>
    <col min="17" max="16384" width="8.83203125" style="1"/>
  </cols>
  <sheetData>
    <row r="1" spans="1:18" x14ac:dyDescent="0.2"/>
    <row r="2" spans="1:18" x14ac:dyDescent="0.2">
      <c r="B2" s="153"/>
      <c r="C2" s="153"/>
      <c r="D2" s="153"/>
      <c r="E2" s="153"/>
      <c r="F2" s="153"/>
      <c r="G2" s="153"/>
      <c r="H2" s="153"/>
      <c r="I2" s="153"/>
      <c r="J2" s="153"/>
      <c r="K2" s="153"/>
      <c r="L2" s="153"/>
      <c r="M2" s="153"/>
      <c r="N2" s="153"/>
      <c r="O2" s="153"/>
      <c r="P2" s="153"/>
      <c r="Q2" s="153"/>
      <c r="R2" s="153"/>
    </row>
    <row r="3" spans="1:18" ht="21" hidden="1" x14ac:dyDescent="0.2">
      <c r="B3" s="153"/>
      <c r="C3" s="262" t="s">
        <v>7</v>
      </c>
      <c r="D3" s="262" t="s">
        <v>6</v>
      </c>
      <c r="E3" s="64" t="s">
        <v>525</v>
      </c>
      <c r="F3" s="65" t="s">
        <v>526</v>
      </c>
      <c r="G3" s="64" t="s">
        <v>527</v>
      </c>
      <c r="H3" s="64" t="s">
        <v>570</v>
      </c>
      <c r="I3" s="64" t="s">
        <v>391</v>
      </c>
      <c r="J3" s="64" t="s">
        <v>639</v>
      </c>
      <c r="K3" s="64" t="s">
        <v>640</v>
      </c>
      <c r="L3" s="11" t="s">
        <v>641</v>
      </c>
      <c r="M3" s="153"/>
      <c r="N3" s="153"/>
      <c r="O3" s="153"/>
      <c r="P3" s="153"/>
      <c r="Q3" s="153"/>
      <c r="R3" s="153"/>
    </row>
    <row r="4" spans="1:18" ht="16" hidden="1" thickBot="1" x14ac:dyDescent="0.25">
      <c r="B4" s="153"/>
      <c r="C4" s="263"/>
      <c r="D4" s="263"/>
      <c r="E4" s="12" t="s">
        <v>507</v>
      </c>
      <c r="F4" s="13" t="s">
        <v>508</v>
      </c>
      <c r="G4" s="13" t="s">
        <v>509</v>
      </c>
      <c r="H4" s="13" t="s">
        <v>509</v>
      </c>
      <c r="I4" s="12" t="s">
        <v>507</v>
      </c>
      <c r="J4" s="12" t="s">
        <v>511</v>
      </c>
      <c r="K4" s="12" t="s">
        <v>638</v>
      </c>
      <c r="L4" s="12" t="s">
        <v>433</v>
      </c>
      <c r="M4" s="153"/>
      <c r="N4" s="153"/>
      <c r="O4" s="153"/>
      <c r="P4" s="153"/>
      <c r="Q4" s="153"/>
      <c r="R4" s="153"/>
    </row>
    <row r="5" spans="1:18" hidden="1" x14ac:dyDescent="0.2">
      <c r="B5" s="153"/>
      <c r="C5" s="5" t="str">
        <f>IF(ISBLANK(Input!$O$4),"",Input!$O$4)</f>
        <v/>
      </c>
      <c r="D5" s="5" t="str">
        <f>IF('Reaction Information'!$C5 = "", "", INDEX('Gas Table'!C$5:C$53,MATCH('Reaction Information'!$C5,'Gas Table'!$B$5:$B$53,0)))</f>
        <v/>
      </c>
      <c r="E5" s="122" t="str">
        <f>IF('Reaction Information'!$C5 = "", "", INDEX('Gas Table'!D$5:D$53,MATCH('Reaction Information'!$C5,'Gas Table'!$B$5:$B$53,0)))</f>
        <v/>
      </c>
      <c r="F5" s="122" t="str">
        <f>IF('Reaction Information'!$C5 = "", "", INDEX('Gas Table'!E$5:E$53,MATCH('Reaction Information'!$C5,'Gas Table'!$B$5:$B$53,0)))</f>
        <v/>
      </c>
      <c r="G5" s="131" t="str">
        <f>IF('Reaction Information'!$C5 = "", "", INDEX('Gas Table'!F$5:F$53,MATCH('Reaction Information'!$C5,'Gas Table'!$B$5:$B$53,0)))</f>
        <v/>
      </c>
      <c r="H5" s="165" t="str">
        <f>IF('Reaction Information'!$C5 = "", "", I5 + J5*0.001*Calculations!$C$8 + K5*100000/Calculations!$C$8^2)</f>
        <v/>
      </c>
      <c r="I5" s="154" t="str">
        <f>IF('Reaction Information'!$C5 = "", "", INDEX('Gas Table'!G$5:G$53,MATCH('Reaction Information'!$C5,'Gas Table'!$B$5:$B$53,0)))</f>
        <v/>
      </c>
      <c r="J5" s="40" t="str">
        <f>IF('Reaction Information'!$C5 = "", "", INDEX('Gas Table'!H$5:H$53,MATCH('Reaction Information'!$C5,'Gas Table'!$B$5:$B$53,0)))</f>
        <v/>
      </c>
      <c r="K5" s="101" t="str">
        <f>IF('Reaction Information'!$C5 = "", "", INDEX('Gas Table'!I$5:I$53,MATCH('Reaction Information'!$C5,'Gas Table'!$B$5:$B$53,0)))</f>
        <v/>
      </c>
      <c r="L5" s="122" t="str">
        <f>IF('Reaction Information'!$C5 = "", "", INDEX('Gas Table'!J$5:J$53,MATCH('Reaction Information'!$C5,'Gas Table'!$B$5:$B$53,0)))</f>
        <v/>
      </c>
      <c r="M5" s="153"/>
      <c r="N5" s="153"/>
      <c r="O5" s="153"/>
      <c r="P5" s="153"/>
      <c r="Q5" s="153"/>
      <c r="R5" s="153"/>
    </row>
    <row r="6" spans="1:18" hidden="1" x14ac:dyDescent="0.2">
      <c r="B6" s="153"/>
      <c r="C6" s="153"/>
      <c r="D6" s="153"/>
      <c r="E6" s="153"/>
      <c r="F6" s="153"/>
      <c r="G6" s="153"/>
      <c r="H6" s="153"/>
      <c r="I6" s="153"/>
      <c r="J6" s="153"/>
      <c r="K6" s="153"/>
      <c r="L6" s="153"/>
      <c r="M6" s="153"/>
      <c r="N6" s="153"/>
      <c r="O6" s="153"/>
      <c r="P6" s="153"/>
      <c r="Q6" s="153"/>
      <c r="R6" s="153"/>
    </row>
    <row r="7" spans="1:18" ht="21" hidden="1" x14ac:dyDescent="0.2">
      <c r="B7" s="153"/>
      <c r="C7" s="262" t="s">
        <v>7</v>
      </c>
      <c r="D7" s="262" t="s">
        <v>6</v>
      </c>
      <c r="E7" s="64" t="s">
        <v>525</v>
      </c>
      <c r="F7" s="65" t="s">
        <v>526</v>
      </c>
      <c r="G7" s="64" t="s">
        <v>527</v>
      </c>
      <c r="H7" s="64" t="s">
        <v>570</v>
      </c>
      <c r="I7" s="64" t="s">
        <v>391</v>
      </c>
      <c r="J7" s="64" t="s">
        <v>639</v>
      </c>
      <c r="K7" s="64" t="s">
        <v>640</v>
      </c>
      <c r="L7" s="11" t="s">
        <v>641</v>
      </c>
      <c r="M7" s="155"/>
      <c r="N7" s="155"/>
      <c r="O7" s="156"/>
      <c r="P7" s="157"/>
      <c r="Q7" s="153"/>
      <c r="R7" s="153"/>
    </row>
    <row r="8" spans="1:18" ht="15.75" hidden="1" customHeight="1" thickBot="1" x14ac:dyDescent="0.25">
      <c r="B8" s="153"/>
      <c r="C8" s="263"/>
      <c r="D8" s="263"/>
      <c r="E8" s="12" t="s">
        <v>507</v>
      </c>
      <c r="F8" s="13" t="s">
        <v>508</v>
      </c>
      <c r="G8" s="13" t="s">
        <v>509</v>
      </c>
      <c r="H8" s="13" t="s">
        <v>509</v>
      </c>
      <c r="I8" s="12" t="s">
        <v>507</v>
      </c>
      <c r="J8" s="12" t="s">
        <v>511</v>
      </c>
      <c r="K8" s="12" t="s">
        <v>638</v>
      </c>
      <c r="L8" s="12" t="s">
        <v>433</v>
      </c>
      <c r="M8" s="158"/>
      <c r="N8" s="158"/>
      <c r="O8" s="159"/>
      <c r="P8" s="158"/>
      <c r="Q8" s="153"/>
      <c r="R8" s="153"/>
    </row>
    <row r="9" spans="1:18" hidden="1" x14ac:dyDescent="0.2">
      <c r="B9" s="153"/>
      <c r="C9" s="5" t="str">
        <f>IF(ISBLANK(Input!$R$4),"",Input!$R$4)</f>
        <v/>
      </c>
      <c r="D9" s="5" t="str">
        <f>IF('Reaction Information'!$C9 = "", "", INDEX('Gas Table'!C$5:C$53,MATCH('Reaction Information'!$C9,'Gas Table'!$B$5:$B$53,0)))</f>
        <v/>
      </c>
      <c r="E9" s="122" t="str">
        <f>IF('Reaction Information'!$C9 = "", "", INDEX('Gas Table'!D$5:D$53,MATCH('Reaction Information'!$C9,'Gas Table'!$B$5:$B$53,0)))</f>
        <v/>
      </c>
      <c r="F9" s="122" t="str">
        <f>IF('Reaction Information'!$C9 = "", "", INDEX('Gas Table'!E$5:E$53,MATCH('Reaction Information'!$C9,'Gas Table'!$B$5:$B$53,0)))</f>
        <v/>
      </c>
      <c r="G9" s="131" t="str">
        <f>IF('Reaction Information'!$C9 = "", "", INDEX('Gas Table'!F$5:F$53,MATCH('Reaction Information'!$C9,'Gas Table'!$B$5:$B$53,0)))</f>
        <v/>
      </c>
      <c r="H9" s="165" t="str">
        <f>IF('Reaction Information'!$C9 = "", "", I9 + J9*0.001*Calculations!$C$8 + K9*100000/Calculations!$C$8^2)</f>
        <v/>
      </c>
      <c r="I9" s="154" t="str">
        <f>IF('Reaction Information'!$C9 = "", "", INDEX('Gas Table'!G$5:G$53,MATCH('Reaction Information'!$C9,'Gas Table'!$B$5:$B$53,0)))</f>
        <v/>
      </c>
      <c r="J9" s="40" t="str">
        <f>IF('Reaction Information'!$C9 = "", "", INDEX('Gas Table'!H$5:H$53,MATCH('Reaction Information'!$C9,'Gas Table'!$B$5:$B$53,0)))</f>
        <v/>
      </c>
      <c r="K9" s="101" t="str">
        <f>IF('Reaction Information'!$C9 = "", "", INDEX('Gas Table'!I$5:I$53,MATCH('Reaction Information'!$C9,'Gas Table'!$B$5:$B$53,0)))</f>
        <v/>
      </c>
      <c r="L9" s="122" t="str">
        <f>IF('Reaction Information'!$C9 = "", "", INDEX('Gas Table'!J$5:J$53,MATCH('Reaction Information'!$C9,'Gas Table'!$B$5:$B$53,0)))</f>
        <v/>
      </c>
      <c r="M9" s="160"/>
      <c r="N9" s="160"/>
      <c r="O9" s="160"/>
      <c r="P9" s="153"/>
      <c r="Q9" s="153"/>
      <c r="R9" s="153"/>
    </row>
    <row r="10" spans="1:18" hidden="1" x14ac:dyDescent="0.2">
      <c r="B10" s="153"/>
      <c r="C10" s="153"/>
      <c r="D10" s="153"/>
      <c r="E10" s="153"/>
      <c r="F10" s="153"/>
      <c r="G10" s="153"/>
      <c r="H10" s="153"/>
      <c r="I10" s="153"/>
      <c r="J10" s="153"/>
      <c r="K10" s="153"/>
      <c r="L10" s="153"/>
      <c r="M10" s="153"/>
      <c r="N10" s="153"/>
      <c r="O10" s="153"/>
      <c r="P10" s="153"/>
      <c r="Q10" s="153"/>
      <c r="R10" s="153"/>
    </row>
    <row r="11" spans="1:18" ht="18.75" customHeight="1" x14ac:dyDescent="0.2">
      <c r="B11" s="163"/>
      <c r="C11" s="262" t="s">
        <v>7</v>
      </c>
      <c r="D11" s="262" t="s">
        <v>6</v>
      </c>
      <c r="E11" s="64" t="s">
        <v>525</v>
      </c>
      <c r="F11" s="65" t="s">
        <v>526</v>
      </c>
      <c r="G11" s="64" t="s">
        <v>527</v>
      </c>
      <c r="H11" s="64" t="s">
        <v>569</v>
      </c>
      <c r="I11" s="64" t="s">
        <v>570</v>
      </c>
      <c r="J11" s="64" t="s">
        <v>528</v>
      </c>
      <c r="K11" s="64" t="s">
        <v>529</v>
      </c>
      <c r="L11" s="64" t="s">
        <v>425</v>
      </c>
      <c r="M11" s="64" t="s">
        <v>530</v>
      </c>
      <c r="N11" s="64" t="s">
        <v>426</v>
      </c>
      <c r="O11" s="64" t="s">
        <v>531</v>
      </c>
      <c r="P11" s="65" t="s">
        <v>532</v>
      </c>
      <c r="Q11" s="11" t="s">
        <v>3</v>
      </c>
      <c r="R11" s="153"/>
    </row>
    <row r="12" spans="1:18" ht="18.75" customHeight="1" thickBot="1" x14ac:dyDescent="0.25">
      <c r="B12" s="163"/>
      <c r="C12" s="263"/>
      <c r="D12" s="263"/>
      <c r="E12" s="12" t="s">
        <v>507</v>
      </c>
      <c r="F12" s="13" t="s">
        <v>508</v>
      </c>
      <c r="G12" s="13" t="s">
        <v>509</v>
      </c>
      <c r="H12" s="13" t="s">
        <v>571</v>
      </c>
      <c r="I12" s="13" t="s">
        <v>509</v>
      </c>
      <c r="J12" s="12" t="s">
        <v>533</v>
      </c>
      <c r="K12" s="12" t="s">
        <v>534</v>
      </c>
      <c r="L12" s="12" t="s">
        <v>510</v>
      </c>
      <c r="M12" s="12" t="s">
        <v>535</v>
      </c>
      <c r="N12" s="12" t="s">
        <v>511</v>
      </c>
      <c r="O12" s="12" t="s">
        <v>535</v>
      </c>
      <c r="P12" s="13" t="s">
        <v>508</v>
      </c>
      <c r="Q12" s="12"/>
      <c r="R12" s="153"/>
    </row>
    <row r="13" spans="1:18" x14ac:dyDescent="0.2">
      <c r="B13" s="163"/>
      <c r="C13" s="5" t="str">
        <f>IF(ISBLANK(Input!$X$4),"",Input!$X$4)</f>
        <v>CO2,aq</v>
      </c>
      <c r="D13" s="5" t="str">
        <f>IF('Reaction Information'!$C13 = "", "", INDEX('Aqueous Species Table'!C$5:C$700,MATCH('Reaction Information'!$C13,'Aqueous Species Table'!$B$5:$B$700,0)))</f>
        <v>CO2(0)</v>
      </c>
      <c r="E13" s="122">
        <f>IF('Reaction Information'!$C13 = "", "", INDEX('Aqueous Species Table'!D$5:D$700,MATCH('Reaction Information'!$C13,'Aqueous Species Table'!$B$5:$B$700,0)))</f>
        <v>-92200</v>
      </c>
      <c r="F13" s="122" t="str">
        <f>IF('Reaction Information'!$C13 = "", "", INDEX('Aqueous Species Table'!E$5:E$700,MATCH('Reaction Information'!$C13,'Aqueous Species Table'!$B$5:$B$700,0)))</f>
        <v/>
      </c>
      <c r="G13" s="131">
        <f>IF('Reaction Information'!$C13 = "", "", INDEX('Aqueous Species Table'!F$5:F$700,MATCH('Reaction Information'!$C13,'Aqueous Species Table'!$B$5:$B$700,0)))</f>
        <v>35.799999999999997</v>
      </c>
      <c r="H13" s="40">
        <f>IF('Reaction Information'!$C13 = "", "", INDEX('Aqueous Species Table'!G$5:G$700,MATCH('Reaction Information'!$C13,'Aqueous Species Table'!$B$5:$B$700,0)))</f>
        <v>30</v>
      </c>
      <c r="I13" s="40">
        <f>IF('Reaction Information'!$C13 = "", "", INDEX('Aqueous Species Table'!H$5:H$700,MATCH('Reaction Information'!$C13,'Aqueous Species Table'!$B$5:$B$700,0)))</f>
        <v>16.899999999999999</v>
      </c>
      <c r="J13" s="101">
        <f>IF('Reaction Information'!$C13 = "", "", INDEX('Aqueous Species Table'!I$5:I$700,MATCH('Reaction Information'!$C13,'Aqueous Species Table'!$B$5:$B$700,0)))</f>
        <v>6.9629761719675276</v>
      </c>
      <c r="K13" s="101">
        <f>IF('Reaction Information'!$C13 = "", "", INDEX('Aqueous Species Table'!J$5:J$700,MATCH('Reaction Information'!$C13,'Aqueous Species Table'!$B$5:$B$700,0)))</f>
        <v>2.34630779592317</v>
      </c>
      <c r="L13" s="101">
        <f>IF('Reaction Information'!$C13 = "", "", INDEX('Aqueous Species Table'!K$5:K$700,MATCH('Reaction Information'!$C13,'Aqueous Species Table'!$B$5:$B$700,0)))</f>
        <v>2.8707438977614714</v>
      </c>
      <c r="M13" s="101">
        <f>IF('Reaction Information'!$C13 = "", "", INDEX('Aqueous Species Table'!L$5:L$700,MATCH('Reaction Information'!$C13,'Aqueous Species Table'!$B$5:$B$700,0)))</f>
        <v>-2.8759963642834641</v>
      </c>
      <c r="N13" s="101">
        <f>IF('Reaction Information'!$C13 = "", "", INDEX('Aqueous Species Table'!M$5:M$700,MATCH('Reaction Information'!$C13,'Aqueous Species Table'!$B$5:$B$700,0)))</f>
        <v>8.7007782612190852</v>
      </c>
      <c r="O13" s="101">
        <f>IF('Reaction Information'!$C13 = "", "", INDEX('Aqueous Species Table'!N$5:N$700,MATCH('Reaction Information'!$C13,'Aqueous Species Table'!$B$5:$B$700,0)))</f>
        <v>0.40792999999999946</v>
      </c>
      <c r="P13" s="101">
        <f>IF('Reaction Information'!$C13 = "", "", INDEX('Aqueous Species Table'!O$5:O$700,MATCH('Reaction Information'!$C13,'Aqueous Species Table'!$B$5:$B$700,0)))</f>
        <v>-0.8</v>
      </c>
      <c r="Q13" s="5">
        <f>IF('Reaction Information'!$C13 = "", "", INDEX('Aqueous Species Table'!P$5:P$700,MATCH('Reaction Information'!$C13,'Aqueous Species Table'!$B$5:$B$700,0)))</f>
        <v>0</v>
      </c>
      <c r="R13" s="153"/>
    </row>
    <row r="14" spans="1:18" x14ac:dyDescent="0.2">
      <c r="B14" s="163"/>
      <c r="C14" s="153"/>
      <c r="D14" s="153"/>
      <c r="E14" s="153"/>
      <c r="F14" s="153"/>
      <c r="G14" s="153"/>
      <c r="H14" s="153"/>
      <c r="I14" s="153"/>
      <c r="J14" s="153"/>
      <c r="K14" s="153"/>
      <c r="L14" s="153"/>
      <c r="M14" s="153"/>
      <c r="N14" s="153"/>
      <c r="O14" s="153"/>
      <c r="P14" s="153"/>
      <c r="Q14" s="153"/>
      <c r="R14" s="153"/>
    </row>
    <row r="15" spans="1:18" ht="18.75" hidden="1" customHeight="1" x14ac:dyDescent="0.2">
      <c r="B15" s="163"/>
      <c r="C15" s="264" t="s">
        <v>7</v>
      </c>
      <c r="D15" s="262" t="s">
        <v>6</v>
      </c>
      <c r="E15" s="64" t="s">
        <v>525</v>
      </c>
      <c r="F15" s="65" t="s">
        <v>526</v>
      </c>
      <c r="G15" s="64" t="s">
        <v>527</v>
      </c>
      <c r="H15" s="64" t="s">
        <v>569</v>
      </c>
      <c r="I15" s="64" t="s">
        <v>570</v>
      </c>
      <c r="J15" s="64" t="s">
        <v>528</v>
      </c>
      <c r="K15" s="64" t="s">
        <v>529</v>
      </c>
      <c r="L15" s="64" t="s">
        <v>425</v>
      </c>
      <c r="M15" s="64" t="s">
        <v>530</v>
      </c>
      <c r="N15" s="64" t="s">
        <v>426</v>
      </c>
      <c r="O15" s="64" t="s">
        <v>531</v>
      </c>
      <c r="P15" s="65" t="s">
        <v>532</v>
      </c>
      <c r="Q15" s="11" t="s">
        <v>3</v>
      </c>
      <c r="R15" s="153"/>
    </row>
    <row r="16" spans="1:18" ht="18.75" hidden="1" customHeight="1" thickBot="1" x14ac:dyDescent="0.25">
      <c r="B16" s="163"/>
      <c r="C16" s="265"/>
      <c r="D16" s="263"/>
      <c r="E16" s="12" t="s">
        <v>507</v>
      </c>
      <c r="F16" s="13" t="s">
        <v>508</v>
      </c>
      <c r="G16" s="13" t="s">
        <v>509</v>
      </c>
      <c r="H16" s="13" t="s">
        <v>571</v>
      </c>
      <c r="I16" s="13" t="s">
        <v>509</v>
      </c>
      <c r="J16" s="12" t="s">
        <v>533</v>
      </c>
      <c r="K16" s="12" t="s">
        <v>534</v>
      </c>
      <c r="L16" s="12" t="s">
        <v>510</v>
      </c>
      <c r="M16" s="12" t="s">
        <v>535</v>
      </c>
      <c r="N16" s="12" t="s">
        <v>511</v>
      </c>
      <c r="O16" s="12" t="s">
        <v>535</v>
      </c>
      <c r="P16" s="13" t="s">
        <v>508</v>
      </c>
      <c r="Q16" s="12"/>
      <c r="R16" s="153"/>
    </row>
    <row r="17" spans="2:18" ht="15" hidden="1" customHeight="1" x14ac:dyDescent="0.2">
      <c r="B17" s="163"/>
      <c r="C17" s="5" t="str">
        <f>IF(ISBLANK(Input!$AA$4),"",Input!$AA$4)</f>
        <v/>
      </c>
      <c r="D17" s="5" t="str">
        <f>IF('Reaction Information'!$C17 = "", "", INDEX('Aqueous Species Table'!C$5:C$700,MATCH('Reaction Information'!$C17,'Aqueous Species Table'!$B$5:$B$700,0)))</f>
        <v/>
      </c>
      <c r="E17" s="122" t="str">
        <f>IF('Reaction Information'!$C17 = "", "", INDEX('Aqueous Species Table'!D$5:D$700,MATCH('Reaction Information'!$C17,'Aqueous Species Table'!$B$5:$B$700,0)))</f>
        <v/>
      </c>
      <c r="F17" s="122" t="str">
        <f>IF('Reaction Information'!$C17 = "", "", INDEX('Aqueous Species Table'!E$5:E$700,MATCH('Reaction Information'!$C17,'Aqueous Species Table'!$B$5:$B$700,0)))</f>
        <v/>
      </c>
      <c r="G17" s="131" t="str">
        <f>IF('Reaction Information'!$C17 = "", "", INDEX('Aqueous Species Table'!F$5:F$700,MATCH('Reaction Information'!$C17,'Aqueous Species Table'!$B$5:$B$700,0)))</f>
        <v/>
      </c>
      <c r="H17" s="40" t="str">
        <f>IF('Reaction Information'!$C17 = "", "", INDEX('Aqueous Species Table'!G$5:G$700,MATCH('Reaction Information'!$C17,'Aqueous Species Table'!$B$5:$B$700,0)))</f>
        <v/>
      </c>
      <c r="I17" s="40" t="str">
        <f>IF('Reaction Information'!$C17 = "", "", INDEX('Aqueous Species Table'!H$5:H$700,MATCH('Reaction Information'!$C17,'Aqueous Species Table'!$B$5:$B$700,0)))</f>
        <v/>
      </c>
      <c r="J17" s="101" t="str">
        <f>IF('Reaction Information'!$C17 = "", "", INDEX('Aqueous Species Table'!I$5:I$700,MATCH('Reaction Information'!$C17,'Aqueous Species Table'!$B$5:$B$700,0)))</f>
        <v/>
      </c>
      <c r="K17" s="101" t="str">
        <f>IF('Reaction Information'!$C17 = "", "", INDEX('Aqueous Species Table'!J$5:J$700,MATCH('Reaction Information'!$C17,'Aqueous Species Table'!$B$5:$B$700,0)))</f>
        <v/>
      </c>
      <c r="L17" s="101" t="str">
        <f>IF('Reaction Information'!$C17 = "", "", INDEX('Aqueous Species Table'!K$5:K$700,MATCH('Reaction Information'!$C17,'Aqueous Species Table'!$B$5:$B$700,0)))</f>
        <v/>
      </c>
      <c r="M17" s="101" t="str">
        <f>IF('Reaction Information'!$C17 = "", "", INDEX('Aqueous Species Table'!L$5:L$700,MATCH('Reaction Information'!$C17,'Aqueous Species Table'!$B$5:$B$700,0)))</f>
        <v/>
      </c>
      <c r="N17" s="101" t="str">
        <f>IF('Reaction Information'!$C17 = "", "", INDEX('Aqueous Species Table'!M$5:M$700,MATCH('Reaction Information'!$C17,'Aqueous Species Table'!$B$5:$B$700,0)))</f>
        <v/>
      </c>
      <c r="O17" s="101" t="str">
        <f>IF('Reaction Information'!$C17 = "", "", INDEX('Aqueous Species Table'!N$5:N$700,MATCH('Reaction Information'!$C17,'Aqueous Species Table'!$B$5:$B$700,0)))</f>
        <v/>
      </c>
      <c r="P17" s="101" t="str">
        <f>IF('Reaction Information'!$C17 = "", "", INDEX('Aqueous Species Table'!O$5:O$700,MATCH('Reaction Information'!$C17,'Aqueous Species Table'!$B$5:$B$700,0)))</f>
        <v/>
      </c>
      <c r="Q17" s="5" t="str">
        <f>IF('Reaction Information'!$C17 = "", "", INDEX('Aqueous Species Table'!P$5:P$700,MATCH('Reaction Information'!$C17,'Aqueous Species Table'!$B$5:$B$700,0)))</f>
        <v/>
      </c>
      <c r="R17" s="153"/>
    </row>
    <row r="18" spans="2:18" ht="15" hidden="1" customHeight="1" x14ac:dyDescent="0.2">
      <c r="B18" s="163"/>
      <c r="C18" s="153"/>
      <c r="D18" s="153"/>
      <c r="E18" s="153"/>
      <c r="F18" s="153"/>
      <c r="G18" s="153"/>
      <c r="H18" s="153"/>
      <c r="I18" s="153"/>
      <c r="J18" s="153"/>
      <c r="K18" s="153"/>
      <c r="L18" s="153"/>
      <c r="M18" s="153"/>
      <c r="N18" s="153"/>
      <c r="O18" s="153"/>
      <c r="P18" s="153"/>
      <c r="Q18" s="153"/>
      <c r="R18" s="153"/>
    </row>
    <row r="19" spans="2:18" ht="18.75" hidden="1" customHeight="1" x14ac:dyDescent="0.2">
      <c r="B19" s="163"/>
      <c r="C19" s="262" t="s">
        <v>7</v>
      </c>
      <c r="D19" s="262" t="s">
        <v>6</v>
      </c>
      <c r="E19" s="64" t="s">
        <v>525</v>
      </c>
      <c r="F19" s="65" t="s">
        <v>526</v>
      </c>
      <c r="G19" s="64" t="s">
        <v>527</v>
      </c>
      <c r="H19" s="64" t="s">
        <v>569</v>
      </c>
      <c r="I19" s="64" t="s">
        <v>570</v>
      </c>
      <c r="J19" s="64" t="s">
        <v>528</v>
      </c>
      <c r="K19" s="64" t="s">
        <v>529</v>
      </c>
      <c r="L19" s="64" t="s">
        <v>425</v>
      </c>
      <c r="M19" s="64" t="s">
        <v>530</v>
      </c>
      <c r="N19" s="64" t="s">
        <v>426</v>
      </c>
      <c r="O19" s="64" t="s">
        <v>531</v>
      </c>
      <c r="P19" s="65" t="s">
        <v>532</v>
      </c>
      <c r="Q19" s="11" t="s">
        <v>3</v>
      </c>
      <c r="R19" s="153"/>
    </row>
    <row r="20" spans="2:18" ht="18.75" hidden="1" customHeight="1" thickBot="1" x14ac:dyDescent="0.25">
      <c r="B20" s="163"/>
      <c r="C20" s="263"/>
      <c r="D20" s="263"/>
      <c r="E20" s="12" t="s">
        <v>507</v>
      </c>
      <c r="F20" s="13" t="s">
        <v>508</v>
      </c>
      <c r="G20" s="13" t="s">
        <v>509</v>
      </c>
      <c r="H20" s="13" t="s">
        <v>571</v>
      </c>
      <c r="I20" s="13" t="s">
        <v>509</v>
      </c>
      <c r="J20" s="12" t="s">
        <v>533</v>
      </c>
      <c r="K20" s="12" t="s">
        <v>534</v>
      </c>
      <c r="L20" s="12" t="s">
        <v>510</v>
      </c>
      <c r="M20" s="12" t="s">
        <v>535</v>
      </c>
      <c r="N20" s="12" t="s">
        <v>511</v>
      </c>
      <c r="O20" s="12" t="s">
        <v>535</v>
      </c>
      <c r="P20" s="13" t="s">
        <v>508</v>
      </c>
      <c r="Q20" s="12"/>
      <c r="R20" s="153"/>
    </row>
    <row r="21" spans="2:18" ht="15" hidden="1" customHeight="1" x14ac:dyDescent="0.2">
      <c r="B21" s="163"/>
      <c r="C21" s="5" t="str">
        <f>IF(ISBLANK(Input!$AD$4),"",Input!$AD$4)</f>
        <v/>
      </c>
      <c r="D21" s="5" t="str">
        <f>IF('Reaction Information'!$C21 = "", "", INDEX('Aqueous Species Table'!C$5:C$700,MATCH('Reaction Information'!$C21,'Aqueous Species Table'!$B$5:$B$700,0)))</f>
        <v/>
      </c>
      <c r="E21" s="122" t="str">
        <f>IF('Reaction Information'!$C21 = "", "", INDEX('Aqueous Species Table'!D$5:D$700,MATCH('Reaction Information'!$C21,'Aqueous Species Table'!$B$5:$B$700,0)))</f>
        <v/>
      </c>
      <c r="F21" s="122" t="str">
        <f>IF('Reaction Information'!$C21 = "", "", INDEX('Aqueous Species Table'!E$5:E$700,MATCH('Reaction Information'!$C21,'Aqueous Species Table'!$B$5:$B$700,0)))</f>
        <v/>
      </c>
      <c r="G21" s="131" t="str">
        <f>IF('Reaction Information'!$C21 = "", "", INDEX('Aqueous Species Table'!F$5:F$700,MATCH('Reaction Information'!$C21,'Aqueous Species Table'!$B$5:$B$700,0)))</f>
        <v/>
      </c>
      <c r="H21" s="40" t="str">
        <f>IF('Reaction Information'!$C21 = "", "", INDEX('Aqueous Species Table'!G$5:G$700,MATCH('Reaction Information'!$C21,'Aqueous Species Table'!$B$5:$B$700,0)))</f>
        <v/>
      </c>
      <c r="I21" s="40" t="str">
        <f>IF('Reaction Information'!$C21 = "", "", INDEX('Aqueous Species Table'!H$5:H$700,MATCH('Reaction Information'!$C21,'Aqueous Species Table'!$B$5:$B$700,0)))</f>
        <v/>
      </c>
      <c r="J21" s="101" t="str">
        <f>IF('Reaction Information'!$C21 = "", "", INDEX('Aqueous Species Table'!I$5:I$700,MATCH('Reaction Information'!$C21,'Aqueous Species Table'!$B$5:$B$700,0)))</f>
        <v/>
      </c>
      <c r="K21" s="101" t="str">
        <f>IF('Reaction Information'!$C21 = "", "", INDEX('Aqueous Species Table'!J$5:J$700,MATCH('Reaction Information'!$C21,'Aqueous Species Table'!$B$5:$B$700,0)))</f>
        <v/>
      </c>
      <c r="L21" s="101" t="str">
        <f>IF('Reaction Information'!$C21 = "", "", INDEX('Aqueous Species Table'!K$5:K$700,MATCH('Reaction Information'!$C21,'Aqueous Species Table'!$B$5:$B$700,0)))</f>
        <v/>
      </c>
      <c r="M21" s="101" t="str">
        <f>IF('Reaction Information'!$C21 = "", "", INDEX('Aqueous Species Table'!L$5:L$700,MATCH('Reaction Information'!$C21,'Aqueous Species Table'!$B$5:$B$700,0)))</f>
        <v/>
      </c>
      <c r="N21" s="101" t="str">
        <f>IF('Reaction Information'!$C21 = "", "", INDEX('Aqueous Species Table'!M$5:M$700,MATCH('Reaction Information'!$C21,'Aqueous Species Table'!$B$5:$B$700,0)))</f>
        <v/>
      </c>
      <c r="O21" s="101" t="str">
        <f>IF('Reaction Information'!$C21 = "", "", INDEX('Aqueous Species Table'!N$5:N$700,MATCH('Reaction Information'!$C21,'Aqueous Species Table'!$B$5:$B$700,0)))</f>
        <v/>
      </c>
      <c r="P21" s="101" t="str">
        <f>IF('Reaction Information'!$C21 = "", "", INDEX('Aqueous Species Table'!O$5:O$700,MATCH('Reaction Information'!$C21,'Aqueous Species Table'!$B$5:$B$700,0)))</f>
        <v/>
      </c>
      <c r="Q21" s="5" t="str">
        <f>IF('Reaction Information'!$C21 = "", "", INDEX('Aqueous Species Table'!P$5:P$700,MATCH('Reaction Information'!$C21,'Aqueous Species Table'!$B$5:$B$700,0)))</f>
        <v/>
      </c>
      <c r="R21" s="153"/>
    </row>
    <row r="22" spans="2:18" ht="15" hidden="1" customHeight="1" x14ac:dyDescent="0.2">
      <c r="B22" s="163"/>
      <c r="C22" s="153"/>
      <c r="D22" s="153"/>
      <c r="E22" s="153"/>
      <c r="F22" s="153"/>
      <c r="G22" s="153"/>
      <c r="H22" s="153"/>
      <c r="I22" s="153"/>
      <c r="J22" s="153"/>
      <c r="K22" s="153"/>
      <c r="L22" s="153"/>
      <c r="M22" s="153"/>
      <c r="N22" s="153"/>
      <c r="O22" s="153"/>
      <c r="P22" s="153"/>
      <c r="Q22" s="153"/>
      <c r="R22" s="153"/>
    </row>
    <row r="23" spans="2:18" ht="18.75" hidden="1" customHeight="1" x14ac:dyDescent="0.2">
      <c r="B23" s="163"/>
      <c r="C23" s="264" t="s">
        <v>7</v>
      </c>
      <c r="D23" s="262" t="s">
        <v>6</v>
      </c>
      <c r="E23" s="64" t="s">
        <v>525</v>
      </c>
      <c r="F23" s="65" t="s">
        <v>526</v>
      </c>
      <c r="G23" s="64" t="s">
        <v>527</v>
      </c>
      <c r="H23" s="64" t="s">
        <v>569</v>
      </c>
      <c r="I23" s="64" t="s">
        <v>570</v>
      </c>
      <c r="J23" s="64" t="s">
        <v>528</v>
      </c>
      <c r="K23" s="64" t="s">
        <v>529</v>
      </c>
      <c r="L23" s="64" t="s">
        <v>425</v>
      </c>
      <c r="M23" s="64" t="s">
        <v>530</v>
      </c>
      <c r="N23" s="64" t="s">
        <v>426</v>
      </c>
      <c r="O23" s="64" t="s">
        <v>531</v>
      </c>
      <c r="P23" s="65" t="s">
        <v>532</v>
      </c>
      <c r="Q23" s="11" t="s">
        <v>3</v>
      </c>
      <c r="R23" s="153"/>
    </row>
    <row r="24" spans="2:18" ht="18.75" hidden="1" customHeight="1" thickBot="1" x14ac:dyDescent="0.25">
      <c r="B24" s="163"/>
      <c r="C24" s="265"/>
      <c r="D24" s="263"/>
      <c r="E24" s="12" t="s">
        <v>507</v>
      </c>
      <c r="F24" s="13" t="s">
        <v>508</v>
      </c>
      <c r="G24" s="13" t="s">
        <v>509</v>
      </c>
      <c r="H24" s="13" t="s">
        <v>571</v>
      </c>
      <c r="I24" s="13" t="s">
        <v>509</v>
      </c>
      <c r="J24" s="12" t="s">
        <v>533</v>
      </c>
      <c r="K24" s="12" t="s">
        <v>534</v>
      </c>
      <c r="L24" s="12" t="s">
        <v>510</v>
      </c>
      <c r="M24" s="12" t="s">
        <v>535</v>
      </c>
      <c r="N24" s="12" t="s">
        <v>511</v>
      </c>
      <c r="O24" s="12" t="s">
        <v>535</v>
      </c>
      <c r="P24" s="13" t="s">
        <v>508</v>
      </c>
      <c r="Q24" s="12"/>
      <c r="R24" s="153"/>
    </row>
    <row r="25" spans="2:18" ht="15" hidden="1" customHeight="1" x14ac:dyDescent="0.2">
      <c r="B25" s="163"/>
      <c r="C25" s="5" t="str">
        <f>IF(ISBLANK(Input!$AG$4),"",Input!$AG$4)</f>
        <v/>
      </c>
      <c r="D25" s="5" t="str">
        <f>IF('Reaction Information'!$C25 = "", "", INDEX('Aqueous Species Table'!C$5:C$700,MATCH('Reaction Information'!$C25,'Aqueous Species Table'!$B$5:$B$700,0)))</f>
        <v/>
      </c>
      <c r="E25" s="122" t="str">
        <f>IF('Reaction Information'!$C25 = "", "", INDEX('Aqueous Species Table'!D$5:D$700,MATCH('Reaction Information'!$C25,'Aqueous Species Table'!$B$5:$B$700,0)))</f>
        <v/>
      </c>
      <c r="F25" s="122" t="str">
        <f>IF('Reaction Information'!$C25 = "", "", INDEX('Aqueous Species Table'!E$5:E$700,MATCH('Reaction Information'!$C25,'Aqueous Species Table'!$B$5:$B$700,0)))</f>
        <v/>
      </c>
      <c r="G25" s="131" t="str">
        <f>IF('Reaction Information'!$C25 = "", "", INDEX('Aqueous Species Table'!F$5:F$700,MATCH('Reaction Information'!$C25,'Aqueous Species Table'!$B$5:$B$700,0)))</f>
        <v/>
      </c>
      <c r="H25" s="40" t="str">
        <f>IF('Reaction Information'!$C25 = "", "", INDEX('Aqueous Species Table'!G$5:G$700,MATCH('Reaction Information'!$C25,'Aqueous Species Table'!$B$5:$B$700,0)))</f>
        <v/>
      </c>
      <c r="I25" s="40" t="str">
        <f>IF('Reaction Information'!$C25 = "", "", INDEX('Aqueous Species Table'!H$5:H$700,MATCH('Reaction Information'!$C25,'Aqueous Species Table'!$B$5:$B$700,0)))</f>
        <v/>
      </c>
      <c r="J25" s="101" t="str">
        <f>IF('Reaction Information'!$C25 = "", "", INDEX('Aqueous Species Table'!I$5:I$700,MATCH('Reaction Information'!$C25,'Aqueous Species Table'!$B$5:$B$700,0)))</f>
        <v/>
      </c>
      <c r="K25" s="101" t="str">
        <f>IF('Reaction Information'!$C25 = "", "", INDEX('Aqueous Species Table'!J$5:J$700,MATCH('Reaction Information'!$C25,'Aqueous Species Table'!$B$5:$B$700,0)))</f>
        <v/>
      </c>
      <c r="L25" s="101" t="str">
        <f>IF('Reaction Information'!$C25 = "", "", INDEX('Aqueous Species Table'!K$5:K$700,MATCH('Reaction Information'!$C25,'Aqueous Species Table'!$B$5:$B$700,0)))</f>
        <v/>
      </c>
      <c r="M25" s="101" t="str">
        <f>IF('Reaction Information'!$C25 = "", "", INDEX('Aqueous Species Table'!L$5:L$700,MATCH('Reaction Information'!$C25,'Aqueous Species Table'!$B$5:$B$700,0)))</f>
        <v/>
      </c>
      <c r="N25" s="101" t="str">
        <f>IF('Reaction Information'!$C25 = "", "", INDEX('Aqueous Species Table'!M$5:M$700,MATCH('Reaction Information'!$C25,'Aqueous Species Table'!$B$5:$B$700,0)))</f>
        <v/>
      </c>
      <c r="O25" s="101" t="str">
        <f>IF('Reaction Information'!$C25 = "", "", INDEX('Aqueous Species Table'!N$5:N$700,MATCH('Reaction Information'!$C25,'Aqueous Species Table'!$B$5:$B$700,0)))</f>
        <v/>
      </c>
      <c r="P25" s="101" t="str">
        <f>IF('Reaction Information'!$C25 = "", "", INDEX('Aqueous Species Table'!O$5:O$700,MATCH('Reaction Information'!$C25,'Aqueous Species Table'!$B$5:$B$700,0)))</f>
        <v/>
      </c>
      <c r="Q25" s="5" t="str">
        <f>IF('Reaction Information'!$C25 = "", "", INDEX('Aqueous Species Table'!P$5:P$700,MATCH('Reaction Information'!$C25,'Aqueous Species Table'!$B$5:$B$700,0)))</f>
        <v/>
      </c>
      <c r="R25" s="153"/>
    </row>
    <row r="26" spans="2:18" ht="15" hidden="1" customHeight="1" x14ac:dyDescent="0.2">
      <c r="B26" s="163"/>
      <c r="C26" s="153"/>
      <c r="D26" s="153"/>
      <c r="E26" s="153"/>
      <c r="F26" s="153"/>
      <c r="G26" s="153"/>
      <c r="H26" s="153"/>
      <c r="I26" s="153"/>
      <c r="J26" s="153"/>
      <c r="K26" s="153"/>
      <c r="L26" s="153"/>
      <c r="M26" s="153"/>
      <c r="N26" s="153"/>
      <c r="O26" s="153"/>
      <c r="P26" s="153"/>
      <c r="Q26" s="153"/>
      <c r="R26" s="153"/>
    </row>
    <row r="27" spans="2:18" ht="18.75" hidden="1" customHeight="1" x14ac:dyDescent="0.2">
      <c r="B27" s="163"/>
      <c r="C27" s="262" t="s">
        <v>7</v>
      </c>
      <c r="D27" s="262" t="s">
        <v>6</v>
      </c>
      <c r="E27" s="64" t="s">
        <v>525</v>
      </c>
      <c r="F27" s="65" t="s">
        <v>526</v>
      </c>
      <c r="G27" s="64" t="s">
        <v>527</v>
      </c>
      <c r="H27" s="64" t="s">
        <v>569</v>
      </c>
      <c r="I27" s="64" t="s">
        <v>570</v>
      </c>
      <c r="J27" s="64" t="s">
        <v>528</v>
      </c>
      <c r="K27" s="64" t="s">
        <v>529</v>
      </c>
      <c r="L27" s="64" t="s">
        <v>425</v>
      </c>
      <c r="M27" s="64" t="s">
        <v>530</v>
      </c>
      <c r="N27" s="64" t="s">
        <v>426</v>
      </c>
      <c r="O27" s="64" t="s">
        <v>531</v>
      </c>
      <c r="P27" s="65" t="s">
        <v>532</v>
      </c>
      <c r="Q27" s="11" t="s">
        <v>3</v>
      </c>
      <c r="R27" s="153"/>
    </row>
    <row r="28" spans="2:18" ht="18.75" hidden="1" customHeight="1" thickBot="1" x14ac:dyDescent="0.25">
      <c r="B28" s="163"/>
      <c r="C28" s="263"/>
      <c r="D28" s="263"/>
      <c r="E28" s="12" t="s">
        <v>507</v>
      </c>
      <c r="F28" s="13" t="s">
        <v>508</v>
      </c>
      <c r="G28" s="13" t="s">
        <v>509</v>
      </c>
      <c r="H28" s="13" t="s">
        <v>571</v>
      </c>
      <c r="I28" s="13" t="s">
        <v>509</v>
      </c>
      <c r="J28" s="12" t="s">
        <v>533</v>
      </c>
      <c r="K28" s="12" t="s">
        <v>534</v>
      </c>
      <c r="L28" s="12" t="s">
        <v>510</v>
      </c>
      <c r="M28" s="12" t="s">
        <v>535</v>
      </c>
      <c r="N28" s="12" t="s">
        <v>511</v>
      </c>
      <c r="O28" s="12" t="s">
        <v>535</v>
      </c>
      <c r="P28" s="13" t="s">
        <v>508</v>
      </c>
      <c r="Q28" s="12"/>
      <c r="R28" s="153"/>
    </row>
    <row r="29" spans="2:18" ht="15" hidden="1" customHeight="1" x14ac:dyDescent="0.2">
      <c r="B29" s="163"/>
      <c r="C29" s="5" t="str">
        <f>IF(ISBLANK(Input!$AJ$4),"",Input!$AJ$4)</f>
        <v/>
      </c>
      <c r="D29" s="5" t="str">
        <f>IF('Reaction Information'!$C29 = "", "", INDEX('Aqueous Species Table'!C$5:C$700,MATCH('Reaction Information'!$C29,'Aqueous Species Table'!$B$5:$B$700,0)))</f>
        <v/>
      </c>
      <c r="E29" s="122" t="str">
        <f>IF('Reaction Information'!$C29 = "", "", INDEX('Aqueous Species Table'!D$5:D$700,MATCH('Reaction Information'!$C29,'Aqueous Species Table'!$B$5:$B$700,0)))</f>
        <v/>
      </c>
      <c r="F29" s="122" t="str">
        <f>IF('Reaction Information'!$C29 = "", "", INDEX('Aqueous Species Table'!E$5:E$700,MATCH('Reaction Information'!$C29,'Aqueous Species Table'!$B$5:$B$700,0)))</f>
        <v/>
      </c>
      <c r="G29" s="131" t="str">
        <f>IF('Reaction Information'!$C29 = "", "", INDEX('Aqueous Species Table'!F$5:F$700,MATCH('Reaction Information'!$C29,'Aqueous Species Table'!$B$5:$B$700,0)))</f>
        <v/>
      </c>
      <c r="H29" s="40" t="str">
        <f>IF('Reaction Information'!$C29 = "", "", INDEX('Aqueous Species Table'!G$5:G$700,MATCH('Reaction Information'!$C29,'Aqueous Species Table'!$B$5:$B$700,0)))</f>
        <v/>
      </c>
      <c r="I29" s="40" t="str">
        <f>IF('Reaction Information'!$C29 = "", "", INDEX('Aqueous Species Table'!H$5:H$700,MATCH('Reaction Information'!$C29,'Aqueous Species Table'!$B$5:$B$700,0)))</f>
        <v/>
      </c>
      <c r="J29" s="101" t="str">
        <f>IF('Reaction Information'!$C29 = "", "", INDEX('Aqueous Species Table'!I$5:I$700,MATCH('Reaction Information'!$C29,'Aqueous Species Table'!$B$5:$B$700,0)))</f>
        <v/>
      </c>
      <c r="K29" s="101" t="str">
        <f>IF('Reaction Information'!$C29 = "", "", INDEX('Aqueous Species Table'!J$5:J$700,MATCH('Reaction Information'!$C29,'Aqueous Species Table'!$B$5:$B$700,0)))</f>
        <v/>
      </c>
      <c r="L29" s="101" t="str">
        <f>IF('Reaction Information'!$C29 = "", "", INDEX('Aqueous Species Table'!K$5:K$700,MATCH('Reaction Information'!$C29,'Aqueous Species Table'!$B$5:$B$700,0)))</f>
        <v/>
      </c>
      <c r="M29" s="101" t="str">
        <f>IF('Reaction Information'!$C29 = "", "", INDEX('Aqueous Species Table'!L$5:L$700,MATCH('Reaction Information'!$C29,'Aqueous Species Table'!$B$5:$B$700,0)))</f>
        <v/>
      </c>
      <c r="N29" s="101" t="str">
        <f>IF('Reaction Information'!$C29 = "", "", INDEX('Aqueous Species Table'!M$5:M$700,MATCH('Reaction Information'!$C29,'Aqueous Species Table'!$B$5:$B$700,0)))</f>
        <v/>
      </c>
      <c r="O29" s="101" t="str">
        <f>IF('Reaction Information'!$C29 = "", "", INDEX('Aqueous Species Table'!N$5:N$700,MATCH('Reaction Information'!$C29,'Aqueous Species Table'!$B$5:$B$700,0)))</f>
        <v/>
      </c>
      <c r="P29" s="101" t="str">
        <f>IF('Reaction Information'!$C29 = "", "", INDEX('Aqueous Species Table'!O$5:O$700,MATCH('Reaction Information'!$C29,'Aqueous Species Table'!$B$5:$B$700,0)))</f>
        <v/>
      </c>
      <c r="Q29" s="5" t="str">
        <f>IF('Reaction Information'!$C29 = "", "", INDEX('Aqueous Species Table'!P$5:P$700,MATCH('Reaction Information'!$C29,'Aqueous Species Table'!$B$5:$B$700,0)))</f>
        <v/>
      </c>
      <c r="R29" s="153"/>
    </row>
    <row r="30" spans="2:18" ht="15" hidden="1" customHeight="1" x14ac:dyDescent="0.2">
      <c r="B30" s="163"/>
      <c r="C30" s="153"/>
      <c r="D30" s="153"/>
      <c r="E30" s="153"/>
      <c r="F30" s="153"/>
      <c r="G30" s="153"/>
      <c r="H30" s="153"/>
      <c r="I30" s="153"/>
      <c r="J30" s="153"/>
      <c r="K30" s="153"/>
      <c r="L30" s="153"/>
      <c r="M30" s="153"/>
      <c r="N30" s="153"/>
      <c r="O30" s="153"/>
      <c r="P30" s="153"/>
      <c r="Q30" s="153"/>
      <c r="R30" s="153"/>
    </row>
    <row r="31" spans="2:18" ht="18.75" hidden="1" customHeight="1" x14ac:dyDescent="0.2">
      <c r="B31" s="163"/>
      <c r="C31" s="264" t="s">
        <v>7</v>
      </c>
      <c r="D31" s="262" t="s">
        <v>6</v>
      </c>
      <c r="E31" s="64" t="s">
        <v>525</v>
      </c>
      <c r="F31" s="65" t="s">
        <v>526</v>
      </c>
      <c r="G31" s="64" t="s">
        <v>527</v>
      </c>
      <c r="H31" s="64" t="s">
        <v>569</v>
      </c>
      <c r="I31" s="64" t="s">
        <v>570</v>
      </c>
      <c r="J31" s="64" t="s">
        <v>528</v>
      </c>
      <c r="K31" s="64" t="s">
        <v>529</v>
      </c>
      <c r="L31" s="64" t="s">
        <v>425</v>
      </c>
      <c r="M31" s="64" t="s">
        <v>530</v>
      </c>
      <c r="N31" s="64" t="s">
        <v>426</v>
      </c>
      <c r="O31" s="64" t="s">
        <v>531</v>
      </c>
      <c r="P31" s="65" t="s">
        <v>532</v>
      </c>
      <c r="Q31" s="11" t="s">
        <v>3</v>
      </c>
      <c r="R31" s="153"/>
    </row>
    <row r="32" spans="2:18" ht="18.75" hidden="1" customHeight="1" thickBot="1" x14ac:dyDescent="0.25">
      <c r="B32" s="163"/>
      <c r="C32" s="265"/>
      <c r="D32" s="263"/>
      <c r="E32" s="12" t="s">
        <v>507</v>
      </c>
      <c r="F32" s="13" t="s">
        <v>508</v>
      </c>
      <c r="G32" s="13" t="s">
        <v>509</v>
      </c>
      <c r="H32" s="13" t="s">
        <v>571</v>
      </c>
      <c r="I32" s="13" t="s">
        <v>509</v>
      </c>
      <c r="J32" s="12" t="s">
        <v>533</v>
      </c>
      <c r="K32" s="12" t="s">
        <v>534</v>
      </c>
      <c r="L32" s="12" t="s">
        <v>510</v>
      </c>
      <c r="M32" s="12" t="s">
        <v>535</v>
      </c>
      <c r="N32" s="12" t="s">
        <v>511</v>
      </c>
      <c r="O32" s="12" t="s">
        <v>535</v>
      </c>
      <c r="P32" s="13" t="s">
        <v>508</v>
      </c>
      <c r="Q32" s="12"/>
      <c r="R32" s="153"/>
    </row>
    <row r="33" spans="2:18" ht="15" hidden="1" customHeight="1" x14ac:dyDescent="0.2">
      <c r="B33" s="163"/>
      <c r="C33" s="5" t="str">
        <f>IF(ISBLANK(Input!$AM$4),"",Input!$AM$4)</f>
        <v/>
      </c>
      <c r="D33" s="5" t="str">
        <f>IF('Reaction Information'!$C33 = "", "", INDEX('Aqueous Species Table'!C$5:C$700,MATCH('Reaction Information'!$C33,'Aqueous Species Table'!$B$5:$B$700,0)))</f>
        <v/>
      </c>
      <c r="E33" s="122" t="str">
        <f>IF('Reaction Information'!$C33 = "", "", INDEX('Aqueous Species Table'!D$5:D$700,MATCH('Reaction Information'!$C33,'Aqueous Species Table'!$B$5:$B$700,0)))</f>
        <v/>
      </c>
      <c r="F33" s="122" t="str">
        <f>IF('Reaction Information'!$C33 = "", "", INDEX('Aqueous Species Table'!E$5:E$700,MATCH('Reaction Information'!$C33,'Aqueous Species Table'!$B$5:$B$700,0)))</f>
        <v/>
      </c>
      <c r="G33" s="131" t="str">
        <f>IF('Reaction Information'!$C33 = "", "", INDEX('Aqueous Species Table'!F$5:F$700,MATCH('Reaction Information'!$C33,'Aqueous Species Table'!$B$5:$B$700,0)))</f>
        <v/>
      </c>
      <c r="H33" s="40" t="str">
        <f>IF('Reaction Information'!$C33 = "", "", INDEX('Aqueous Species Table'!G$5:G$700,MATCH('Reaction Information'!$C33,'Aqueous Species Table'!$B$5:$B$700,0)))</f>
        <v/>
      </c>
      <c r="I33" s="40" t="str">
        <f>IF('Reaction Information'!$C33 = "", "", INDEX('Aqueous Species Table'!H$5:H$700,MATCH('Reaction Information'!$C33,'Aqueous Species Table'!$B$5:$B$700,0)))</f>
        <v/>
      </c>
      <c r="J33" s="101" t="str">
        <f>IF('Reaction Information'!$C33 = "", "", INDEX('Aqueous Species Table'!I$5:I$700,MATCH('Reaction Information'!$C33,'Aqueous Species Table'!$B$5:$B$700,0)))</f>
        <v/>
      </c>
      <c r="K33" s="101" t="str">
        <f>IF('Reaction Information'!$C33 = "", "", INDEX('Aqueous Species Table'!J$5:J$700,MATCH('Reaction Information'!$C33,'Aqueous Species Table'!$B$5:$B$700,0)))</f>
        <v/>
      </c>
      <c r="L33" s="101" t="str">
        <f>IF('Reaction Information'!$C33 = "", "", INDEX('Aqueous Species Table'!K$5:K$700,MATCH('Reaction Information'!$C33,'Aqueous Species Table'!$B$5:$B$700,0)))</f>
        <v/>
      </c>
      <c r="M33" s="101" t="str">
        <f>IF('Reaction Information'!$C33 = "", "", INDEX('Aqueous Species Table'!L$5:L$700,MATCH('Reaction Information'!$C33,'Aqueous Species Table'!$B$5:$B$700,0)))</f>
        <v/>
      </c>
      <c r="N33" s="101" t="str">
        <f>IF('Reaction Information'!$C33 = "", "", INDEX('Aqueous Species Table'!M$5:M$700,MATCH('Reaction Information'!$C33,'Aqueous Species Table'!$B$5:$B$700,0)))</f>
        <v/>
      </c>
      <c r="O33" s="101" t="str">
        <f>IF('Reaction Information'!$C33 = "", "", INDEX('Aqueous Species Table'!N$5:N$700,MATCH('Reaction Information'!$C33,'Aqueous Species Table'!$B$5:$B$700,0)))</f>
        <v/>
      </c>
      <c r="P33" s="101" t="str">
        <f>IF('Reaction Information'!$C33 = "", "", INDEX('Aqueous Species Table'!O$5:O$700,MATCH('Reaction Information'!$C33,'Aqueous Species Table'!$B$5:$B$700,0)))</f>
        <v/>
      </c>
      <c r="Q33" s="5" t="str">
        <f>IF('Reaction Information'!$C33 = "", "", INDEX('Aqueous Species Table'!P$5:P$700,MATCH('Reaction Information'!$C33,'Aqueous Species Table'!$B$5:$B$700,0)))</f>
        <v/>
      </c>
      <c r="R33" s="153"/>
    </row>
    <row r="34" spans="2:18" hidden="1" x14ac:dyDescent="0.2">
      <c r="B34" s="163"/>
      <c r="C34" s="153"/>
      <c r="D34" s="153"/>
      <c r="E34" s="153"/>
      <c r="F34" s="153"/>
      <c r="G34" s="153"/>
      <c r="H34" s="153"/>
      <c r="I34" s="153"/>
      <c r="J34" s="153"/>
      <c r="K34" s="153"/>
      <c r="L34" s="153"/>
      <c r="M34" s="153"/>
      <c r="N34" s="153"/>
      <c r="O34" s="153"/>
      <c r="P34" s="153"/>
      <c r="Q34" s="153"/>
      <c r="R34" s="153"/>
    </row>
    <row r="35" spans="2:18" x14ac:dyDescent="0.2">
      <c r="B35" s="164"/>
      <c r="C35" s="162"/>
      <c r="D35" s="162"/>
      <c r="E35" s="162"/>
      <c r="F35" s="162"/>
      <c r="G35" s="162"/>
      <c r="H35" s="162"/>
      <c r="I35" s="162"/>
      <c r="J35" s="162"/>
      <c r="K35" s="162"/>
      <c r="L35" s="162"/>
      <c r="M35" s="162"/>
      <c r="N35" s="162"/>
      <c r="O35" s="162"/>
      <c r="P35" s="162"/>
      <c r="Q35" s="162"/>
      <c r="R35" s="162"/>
    </row>
    <row r="36" spans="2:18" ht="15.75" hidden="1" customHeight="1" x14ac:dyDescent="0.2">
      <c r="B36" s="164"/>
      <c r="C36" s="262" t="s">
        <v>7</v>
      </c>
      <c r="D36" s="262" t="s">
        <v>6</v>
      </c>
      <c r="E36" s="64" t="s">
        <v>525</v>
      </c>
      <c r="F36" s="65" t="s">
        <v>526</v>
      </c>
      <c r="G36" s="64" t="s">
        <v>527</v>
      </c>
      <c r="H36" s="64" t="s">
        <v>570</v>
      </c>
      <c r="I36" s="64" t="s">
        <v>391</v>
      </c>
      <c r="J36" s="64" t="s">
        <v>639</v>
      </c>
      <c r="K36" s="64" t="s">
        <v>640</v>
      </c>
      <c r="L36" s="11" t="s">
        <v>641</v>
      </c>
      <c r="M36" s="162"/>
      <c r="N36" s="162"/>
      <c r="O36" s="162"/>
      <c r="P36" s="162"/>
      <c r="Q36" s="162"/>
      <c r="R36" s="162"/>
    </row>
    <row r="37" spans="2:18" ht="16" hidden="1" thickBot="1" x14ac:dyDescent="0.25">
      <c r="B37" s="164"/>
      <c r="C37" s="263"/>
      <c r="D37" s="263"/>
      <c r="E37" s="12" t="s">
        <v>507</v>
      </c>
      <c r="F37" s="13" t="s">
        <v>508</v>
      </c>
      <c r="G37" s="13" t="s">
        <v>509</v>
      </c>
      <c r="H37" s="13" t="s">
        <v>509</v>
      </c>
      <c r="I37" s="12" t="s">
        <v>507</v>
      </c>
      <c r="J37" s="12" t="s">
        <v>511</v>
      </c>
      <c r="K37" s="12" t="s">
        <v>638</v>
      </c>
      <c r="L37" s="12" t="s">
        <v>433</v>
      </c>
      <c r="M37" s="162"/>
      <c r="N37" s="162"/>
      <c r="O37" s="162"/>
      <c r="P37" s="162"/>
      <c r="Q37" s="162"/>
      <c r="R37" s="162"/>
    </row>
    <row r="38" spans="2:18" hidden="1" x14ac:dyDescent="0.2">
      <c r="B38" s="164"/>
      <c r="C38" s="5" t="str">
        <f>IF(ISBLANK(Input!$BB$4),"",Input!$BB$4)</f>
        <v/>
      </c>
      <c r="D38" s="5" t="str">
        <f>IF('Reaction Information'!$C38 = "", "", INDEX('Gas Table'!C$5:C$53,MATCH('Reaction Information'!$C38,'Gas Table'!$B$5:$B$53,0)))</f>
        <v/>
      </c>
      <c r="E38" s="122" t="str">
        <f>IF('Reaction Information'!$C38 = "", "", INDEX('Gas Table'!D$5:D$53,MATCH('Reaction Information'!$C38,'Gas Table'!$B$5:$B$53,0)))</f>
        <v/>
      </c>
      <c r="F38" s="122" t="str">
        <f>IF('Reaction Information'!$C38 = "", "", INDEX('Gas Table'!E$5:E$53,MATCH('Reaction Information'!$C38,'Gas Table'!$B$5:$B$53,0)))</f>
        <v/>
      </c>
      <c r="G38" s="131" t="str">
        <f>IF('Reaction Information'!$C38 = "", "", INDEX('Gas Table'!F$5:F$53,MATCH('Reaction Information'!$C38,'Gas Table'!$B$5:$B$53,0)))</f>
        <v/>
      </c>
      <c r="H38" s="165" t="str">
        <f>IF('Reaction Information'!$C38 = "", "", I38 + J38*0.001*Calculations!$C$8 + K38*100000/Calculations!$C$8^2)</f>
        <v/>
      </c>
      <c r="I38" s="154" t="str">
        <f>IF('Reaction Information'!$C38 = "", "", INDEX('Gas Table'!G$5:G$53,MATCH('Reaction Information'!$C38,'Gas Table'!$B$5:$B$53,0)))</f>
        <v/>
      </c>
      <c r="J38" s="40" t="str">
        <f>IF('Reaction Information'!$C38 = "", "", INDEX('Gas Table'!H$5:H$53,MATCH('Reaction Information'!$C38,'Gas Table'!$B$5:$B$53,0)))</f>
        <v/>
      </c>
      <c r="K38" s="101" t="str">
        <f>IF('Reaction Information'!$C38 = "", "", INDEX('Gas Table'!I$5:I$53,MATCH('Reaction Information'!$C38,'Gas Table'!$B$5:$B$53,0)))</f>
        <v/>
      </c>
      <c r="L38" s="122" t="str">
        <f>IF('Reaction Information'!$C38 = "", "", INDEX('Gas Table'!J$5:J$53,MATCH('Reaction Information'!$C38,'Gas Table'!$B$5:$B$53,0)))</f>
        <v/>
      </c>
      <c r="M38" s="162"/>
      <c r="N38" s="162"/>
      <c r="O38" s="162"/>
      <c r="P38" s="162"/>
      <c r="Q38" s="162"/>
      <c r="R38" s="162"/>
    </row>
    <row r="39" spans="2:18" hidden="1" x14ac:dyDescent="0.2">
      <c r="B39" s="164"/>
      <c r="C39" s="162"/>
      <c r="D39" s="162"/>
      <c r="E39" s="162"/>
      <c r="F39" s="162"/>
      <c r="G39" s="162"/>
      <c r="H39" s="162"/>
      <c r="I39" s="162"/>
      <c r="J39" s="162"/>
      <c r="K39" s="162"/>
      <c r="L39" s="162"/>
      <c r="M39" s="162"/>
      <c r="N39" s="162"/>
      <c r="O39" s="162"/>
      <c r="P39" s="162"/>
      <c r="Q39" s="162"/>
      <c r="R39" s="162"/>
    </row>
    <row r="40" spans="2:18" ht="15.75" hidden="1" customHeight="1" x14ac:dyDescent="0.2">
      <c r="B40" s="164"/>
      <c r="C40" s="262" t="s">
        <v>7</v>
      </c>
      <c r="D40" s="262" t="s">
        <v>6</v>
      </c>
      <c r="E40" s="64" t="s">
        <v>525</v>
      </c>
      <c r="F40" s="65" t="s">
        <v>526</v>
      </c>
      <c r="G40" s="64" t="s">
        <v>527</v>
      </c>
      <c r="H40" s="64" t="s">
        <v>570</v>
      </c>
      <c r="I40" s="64" t="s">
        <v>391</v>
      </c>
      <c r="J40" s="64" t="s">
        <v>639</v>
      </c>
      <c r="K40" s="64" t="s">
        <v>640</v>
      </c>
      <c r="L40" s="11" t="s">
        <v>641</v>
      </c>
      <c r="M40" s="162"/>
      <c r="N40" s="162"/>
      <c r="O40" s="162"/>
      <c r="P40" s="162"/>
      <c r="Q40" s="162"/>
      <c r="R40" s="162"/>
    </row>
    <row r="41" spans="2:18" ht="16" hidden="1" thickBot="1" x14ac:dyDescent="0.25">
      <c r="B41" s="164"/>
      <c r="C41" s="263"/>
      <c r="D41" s="263"/>
      <c r="E41" s="12" t="s">
        <v>507</v>
      </c>
      <c r="F41" s="13" t="s">
        <v>508</v>
      </c>
      <c r="G41" s="13" t="s">
        <v>509</v>
      </c>
      <c r="H41" s="13" t="s">
        <v>509</v>
      </c>
      <c r="I41" s="12" t="s">
        <v>507</v>
      </c>
      <c r="J41" s="12" t="s">
        <v>511</v>
      </c>
      <c r="K41" s="12" t="s">
        <v>638</v>
      </c>
      <c r="L41" s="12" t="s">
        <v>433</v>
      </c>
      <c r="M41" s="162"/>
      <c r="N41" s="162"/>
      <c r="O41" s="162"/>
      <c r="P41" s="162"/>
      <c r="Q41" s="162"/>
      <c r="R41" s="162"/>
    </row>
    <row r="42" spans="2:18" hidden="1" x14ac:dyDescent="0.2">
      <c r="B42" s="164"/>
      <c r="C42" s="5" t="str">
        <f>IF(ISBLANK(Input!$BE$4),"",Input!$BE$4)</f>
        <v/>
      </c>
      <c r="D42" s="5" t="str">
        <f>IF('Reaction Information'!$C42 = "", "", INDEX('Gas Table'!C$5:C$53,MATCH('Reaction Information'!$C42,'Gas Table'!$B$5:$B$53,0)))</f>
        <v/>
      </c>
      <c r="E42" s="122" t="str">
        <f>IF('Reaction Information'!$C42 = "", "", INDEX('Gas Table'!D$5:D$53,MATCH('Reaction Information'!$C42,'Gas Table'!$B$5:$B$53,0)))</f>
        <v/>
      </c>
      <c r="F42" s="122" t="str">
        <f>IF('Reaction Information'!$C42 = "", "", INDEX('Gas Table'!E$5:E$53,MATCH('Reaction Information'!$C42,'Gas Table'!$B$5:$B$53,0)))</f>
        <v/>
      </c>
      <c r="G42" s="131" t="str">
        <f>IF('Reaction Information'!$C42 = "", "", INDEX('Gas Table'!F$5:F$53,MATCH('Reaction Information'!$C42,'Gas Table'!$B$5:$B$53,0)))</f>
        <v/>
      </c>
      <c r="H42" s="165" t="str">
        <f>IF('Reaction Information'!$C42 = "", "", I42 + J42*0.001*Calculations!$C$8 + K42*100000/Calculations!$C$8^2)</f>
        <v/>
      </c>
      <c r="I42" s="101" t="str">
        <f>IF('Reaction Information'!$C42 = "", "", INDEX('Gas Table'!G$5:G$53,MATCH('Reaction Information'!$C42,'Gas Table'!$B$5:$B$53,0)))</f>
        <v/>
      </c>
      <c r="J42" s="101" t="str">
        <f>IF('Reaction Information'!$C42 = "", "", INDEX('Gas Table'!H$5:H$53,MATCH('Reaction Information'!$C42,'Gas Table'!$B$5:$B$53,0)))</f>
        <v/>
      </c>
      <c r="K42" s="101" t="str">
        <f>IF('Reaction Information'!$C42 = "", "", INDEX('Gas Table'!I$5:I$53,MATCH('Reaction Information'!$C42,'Gas Table'!$B$5:$B$53,0)))</f>
        <v/>
      </c>
      <c r="L42" s="122" t="str">
        <f>IF('Reaction Information'!$C42 = "", "", INDEX('Gas Table'!J$5:J$53,MATCH('Reaction Information'!$C42,'Gas Table'!$B$5:$B$53,0)))</f>
        <v/>
      </c>
      <c r="M42" s="162"/>
      <c r="N42" s="162"/>
      <c r="O42" s="162"/>
      <c r="P42" s="162"/>
      <c r="Q42" s="162"/>
      <c r="R42" s="162"/>
    </row>
    <row r="43" spans="2:18" ht="15" hidden="1" customHeight="1" x14ac:dyDescent="0.2">
      <c r="B43" s="162"/>
      <c r="C43" s="162"/>
      <c r="D43" s="162"/>
      <c r="E43" s="162"/>
      <c r="F43" s="162"/>
      <c r="G43" s="162"/>
      <c r="H43" s="162"/>
      <c r="I43" s="162"/>
      <c r="J43" s="162"/>
      <c r="K43" s="162"/>
      <c r="L43" s="162"/>
      <c r="M43" s="162"/>
      <c r="N43" s="162"/>
      <c r="O43" s="162"/>
      <c r="P43" s="162"/>
      <c r="Q43" s="162"/>
      <c r="R43" s="162"/>
    </row>
    <row r="44" spans="2:18" ht="18.75" customHeight="1" x14ac:dyDescent="0.2">
      <c r="B44" s="164"/>
      <c r="C44" s="264" t="s">
        <v>7</v>
      </c>
      <c r="D44" s="262" t="s">
        <v>6</v>
      </c>
      <c r="E44" s="64" t="s">
        <v>525</v>
      </c>
      <c r="F44" s="65" t="s">
        <v>526</v>
      </c>
      <c r="G44" s="64" t="s">
        <v>527</v>
      </c>
      <c r="H44" s="64" t="s">
        <v>569</v>
      </c>
      <c r="I44" s="64" t="s">
        <v>570</v>
      </c>
      <c r="J44" s="64" t="s">
        <v>528</v>
      </c>
      <c r="K44" s="64" t="s">
        <v>529</v>
      </c>
      <c r="L44" s="64" t="s">
        <v>425</v>
      </c>
      <c r="M44" s="64" t="s">
        <v>530</v>
      </c>
      <c r="N44" s="64" t="s">
        <v>426</v>
      </c>
      <c r="O44" s="64" t="s">
        <v>531</v>
      </c>
      <c r="P44" s="65" t="s">
        <v>532</v>
      </c>
      <c r="Q44" s="11" t="s">
        <v>3</v>
      </c>
      <c r="R44" s="162"/>
    </row>
    <row r="45" spans="2:18" ht="18.75" customHeight="1" thickBot="1" x14ac:dyDescent="0.25">
      <c r="B45" s="164"/>
      <c r="C45" s="265"/>
      <c r="D45" s="263"/>
      <c r="E45" s="12" t="s">
        <v>507</v>
      </c>
      <c r="F45" s="13" t="s">
        <v>508</v>
      </c>
      <c r="G45" s="13" t="s">
        <v>509</v>
      </c>
      <c r="H45" s="13" t="s">
        <v>571</v>
      </c>
      <c r="I45" s="13" t="s">
        <v>509</v>
      </c>
      <c r="J45" s="12" t="s">
        <v>533</v>
      </c>
      <c r="K45" s="12" t="s">
        <v>534</v>
      </c>
      <c r="L45" s="12" t="s">
        <v>510</v>
      </c>
      <c r="M45" s="12" t="s">
        <v>535</v>
      </c>
      <c r="N45" s="12" t="s">
        <v>511</v>
      </c>
      <c r="O45" s="12" t="s">
        <v>535</v>
      </c>
      <c r="P45" s="13" t="s">
        <v>508</v>
      </c>
      <c r="Q45" s="12"/>
      <c r="R45" s="162"/>
    </row>
    <row r="46" spans="2:18" x14ac:dyDescent="0.2">
      <c r="B46" s="164"/>
      <c r="C46" s="5" t="str">
        <f>IF(ISBLANK(Input!$BK$4),"",Input!$BK$4)</f>
        <v>H+</v>
      </c>
      <c r="D46" s="5" t="str">
        <f>IF('Reaction Information'!$C46 = "", "", INDEX('Aqueous Species Table'!C$5:C$700,MATCH('Reaction Information'!$C46,'Aqueous Species Table'!$B$5:$B$700,0)))</f>
        <v>H(+)</v>
      </c>
      <c r="E46" s="122">
        <f>IF('Reaction Information'!$C46 = "", "", INDEX('Aqueous Species Table'!D$5:D$700,MATCH('Reaction Information'!$C46,'Aqueous Species Table'!$B$5:$B$700,0)))</f>
        <v>0</v>
      </c>
      <c r="F46" s="122">
        <f>IF('Reaction Information'!$C46 = "", "", INDEX('Aqueous Species Table'!E$5:E$700,MATCH('Reaction Information'!$C46,'Aqueous Species Table'!$B$5:$B$700,0)))</f>
        <v>0</v>
      </c>
      <c r="G46" s="131">
        <f>IF('Reaction Information'!$C46 = "", "", INDEX('Aqueous Species Table'!F$5:F$700,MATCH('Reaction Information'!$C46,'Aqueous Species Table'!$B$5:$B$700,0)))</f>
        <v>0</v>
      </c>
      <c r="H46" s="40">
        <f>IF('Reaction Information'!$C46 = "", "", INDEX('Aqueous Species Table'!G$5:G$700,MATCH('Reaction Information'!$C46,'Aqueous Species Table'!$B$5:$B$700,0)))</f>
        <v>0</v>
      </c>
      <c r="I46" s="40">
        <f>IF('Reaction Information'!$C46 = "", "", INDEX('Aqueous Species Table'!H$5:H$700,MATCH('Reaction Information'!$C46,'Aqueous Species Table'!$B$5:$B$700,0)))</f>
        <v>0</v>
      </c>
      <c r="J46" s="101">
        <f>IF('Reaction Information'!$C46 = "", "", INDEX('Aqueous Species Table'!I$5:I$700,MATCH('Reaction Information'!$C46,'Aqueous Species Table'!$B$5:$B$700,0)))</f>
        <v>0</v>
      </c>
      <c r="K46" s="101">
        <f>IF('Reaction Information'!$C46 = "", "", INDEX('Aqueous Species Table'!J$5:J$700,MATCH('Reaction Information'!$C46,'Aqueous Species Table'!$B$5:$B$700,0)))</f>
        <v>0</v>
      </c>
      <c r="L46" s="101">
        <f>IF('Reaction Information'!$C46 = "", "", INDEX('Aqueous Species Table'!K$5:K$700,MATCH('Reaction Information'!$C46,'Aqueous Species Table'!$B$5:$B$700,0)))</f>
        <v>0</v>
      </c>
      <c r="M46" s="101">
        <f>IF('Reaction Information'!$C46 = "", "", INDEX('Aqueous Species Table'!L$5:L$700,MATCH('Reaction Information'!$C46,'Aqueous Species Table'!$B$5:$B$700,0)))</f>
        <v>0</v>
      </c>
      <c r="N46" s="101">
        <f>IF('Reaction Information'!$C46 = "", "", INDEX('Aqueous Species Table'!M$5:M$700,MATCH('Reaction Information'!$C46,'Aqueous Species Table'!$B$5:$B$700,0)))</f>
        <v>0</v>
      </c>
      <c r="O46" s="101">
        <f>IF('Reaction Information'!$C46 = "", "", INDEX('Aqueous Species Table'!N$5:N$700,MATCH('Reaction Information'!$C46,'Aqueous Species Table'!$B$5:$B$700,0)))</f>
        <v>0</v>
      </c>
      <c r="P46" s="101">
        <f>IF('Reaction Information'!$C46 = "", "", INDEX('Aqueous Species Table'!O$5:O$700,MATCH('Reaction Information'!$C46,'Aqueous Species Table'!$B$5:$B$700,0)))</f>
        <v>0</v>
      </c>
      <c r="Q46" s="5">
        <f>IF('Reaction Information'!$C46 = "", "", INDEX('Aqueous Species Table'!P$5:P$700,MATCH('Reaction Information'!$C46,'Aqueous Species Table'!$B$5:$B$700,0)))</f>
        <v>1</v>
      </c>
      <c r="R46" s="162"/>
    </row>
    <row r="47" spans="2:18" x14ac:dyDescent="0.2">
      <c r="B47" s="164"/>
      <c r="C47" s="162"/>
      <c r="D47" s="162"/>
      <c r="E47" s="162"/>
      <c r="F47" s="162"/>
      <c r="G47" s="162"/>
      <c r="H47" s="162"/>
      <c r="I47" s="162"/>
      <c r="J47" s="162"/>
      <c r="K47" s="162"/>
      <c r="L47" s="162"/>
      <c r="M47" s="162"/>
      <c r="N47" s="162"/>
      <c r="O47" s="162"/>
      <c r="P47" s="162"/>
      <c r="Q47" s="162"/>
      <c r="R47" s="162"/>
    </row>
    <row r="48" spans="2:18" ht="18.75" customHeight="1" x14ac:dyDescent="0.2">
      <c r="B48" s="164"/>
      <c r="C48" s="264" t="s">
        <v>7</v>
      </c>
      <c r="D48" s="262" t="s">
        <v>6</v>
      </c>
      <c r="E48" s="64" t="s">
        <v>525</v>
      </c>
      <c r="F48" s="65" t="s">
        <v>526</v>
      </c>
      <c r="G48" s="64" t="s">
        <v>527</v>
      </c>
      <c r="H48" s="64" t="s">
        <v>569</v>
      </c>
      <c r="I48" s="64" t="s">
        <v>570</v>
      </c>
      <c r="J48" s="64" t="s">
        <v>528</v>
      </c>
      <c r="K48" s="64" t="s">
        <v>529</v>
      </c>
      <c r="L48" s="64" t="s">
        <v>425</v>
      </c>
      <c r="M48" s="64" t="s">
        <v>530</v>
      </c>
      <c r="N48" s="64" t="s">
        <v>426</v>
      </c>
      <c r="O48" s="64" t="s">
        <v>531</v>
      </c>
      <c r="P48" s="65" t="s">
        <v>532</v>
      </c>
      <c r="Q48" s="11" t="s">
        <v>3</v>
      </c>
      <c r="R48" s="162"/>
    </row>
    <row r="49" spans="2:18" ht="18.75" customHeight="1" thickBot="1" x14ac:dyDescent="0.25">
      <c r="B49" s="164"/>
      <c r="C49" s="265"/>
      <c r="D49" s="263"/>
      <c r="E49" s="12" t="s">
        <v>507</v>
      </c>
      <c r="F49" s="13" t="s">
        <v>508</v>
      </c>
      <c r="G49" s="13" t="s">
        <v>509</v>
      </c>
      <c r="H49" s="13" t="s">
        <v>571</v>
      </c>
      <c r="I49" s="13" t="s">
        <v>509</v>
      </c>
      <c r="J49" s="12" t="s">
        <v>533</v>
      </c>
      <c r="K49" s="12" t="s">
        <v>534</v>
      </c>
      <c r="L49" s="12" t="s">
        <v>510</v>
      </c>
      <c r="M49" s="12" t="s">
        <v>535</v>
      </c>
      <c r="N49" s="12" t="s">
        <v>511</v>
      </c>
      <c r="O49" s="12" t="s">
        <v>535</v>
      </c>
      <c r="P49" s="13" t="s">
        <v>508</v>
      </c>
      <c r="Q49" s="12"/>
      <c r="R49" s="162"/>
    </row>
    <row r="50" spans="2:18" x14ac:dyDescent="0.2">
      <c r="B50" s="164"/>
      <c r="C50" s="5" t="str">
        <f>IF(ISBLANK(Input!$BN$4),"",Input!$BN$4)</f>
        <v>HCO3-</v>
      </c>
      <c r="D50" s="5" t="str">
        <f>IF('Reaction Information'!$C50 = "", "", INDEX('Aqueous Species Table'!C$5:C$700,MATCH('Reaction Information'!$C50,'Aqueous Species Table'!$B$5:$B$700,0)))</f>
        <v>HCO3(-)</v>
      </c>
      <c r="E50" s="122">
        <f>IF('Reaction Information'!$C50 = "", "", INDEX('Aqueous Species Table'!D$5:D$700,MATCH('Reaction Information'!$C50,'Aqueous Species Table'!$B$5:$B$700,0)))</f>
        <v>-140282</v>
      </c>
      <c r="F50" s="122">
        <f>IF('Reaction Information'!$C50 = "", "", INDEX('Aqueous Species Table'!E$5:E$700,MATCH('Reaction Information'!$C50,'Aqueous Species Table'!$B$5:$B$700,0)))</f>
        <v>-164898</v>
      </c>
      <c r="G50" s="131">
        <f>IF('Reaction Information'!$C50 = "", "", INDEX('Aqueous Species Table'!F$5:F$700,MATCH('Reaction Information'!$C50,'Aqueous Species Table'!$B$5:$B$700,0)))</f>
        <v>23.53</v>
      </c>
      <c r="H50" s="40">
        <f>IF('Reaction Information'!$C50 = "", "", INDEX('Aqueous Species Table'!G$5:G$700,MATCH('Reaction Information'!$C50,'Aqueous Species Table'!$B$5:$B$700,0)))</f>
        <v>24.233611954909417</v>
      </c>
      <c r="I50" s="40">
        <f>IF('Reaction Information'!$C50 = "", "", INDEX('Aqueous Species Table'!H$5:H$700,MATCH('Reaction Information'!$C50,'Aqueous Species Table'!$B$5:$B$700,0)))</f>
        <v>-8.4526752207856468</v>
      </c>
      <c r="J50" s="101">
        <f>IF('Reaction Information'!$C50 = "", "", INDEX('Aqueous Species Table'!I$5:I$700,MATCH('Reaction Information'!$C50,'Aqueous Species Table'!$B$5:$B$700,0)))</f>
        <v>7.65</v>
      </c>
      <c r="K50" s="101">
        <f>IF('Reaction Information'!$C50 = "", "", INDEX('Aqueous Species Table'!J$5:J$700,MATCH('Reaction Information'!$C50,'Aqueous Species Table'!$B$5:$B$700,0)))</f>
        <v>0.92</v>
      </c>
      <c r="L50" s="101">
        <f>IF('Reaction Information'!$C50 = "", "", INDEX('Aqueous Species Table'!K$5:K$700,MATCH('Reaction Information'!$C50,'Aqueous Species Table'!$B$5:$B$700,0)))</f>
        <v>0.6</v>
      </c>
      <c r="M50" s="101">
        <f>IF('Reaction Information'!$C50 = "", "", INDEX('Aqueous Species Table'!L$5:L$700,MATCH('Reaction Information'!$C50,'Aqueous Species Table'!$B$5:$B$700,0)))</f>
        <v>-2.82</v>
      </c>
      <c r="N50" s="101">
        <f>IF('Reaction Information'!$C50 = "", "", INDEX('Aqueous Species Table'!M$5:M$700,MATCH('Reaction Information'!$C50,'Aqueous Species Table'!$B$5:$B$700,0)))</f>
        <v>11</v>
      </c>
      <c r="O50" s="101">
        <f>IF('Reaction Information'!$C50 = "", "", INDEX('Aqueous Species Table'!N$5:N$700,MATCH('Reaction Information'!$C50,'Aqueous Species Table'!$B$5:$B$700,0)))</f>
        <v>-3.8</v>
      </c>
      <c r="P50" s="101">
        <f>IF('Reaction Information'!$C50 = "", "", INDEX('Aqueous Species Table'!O$5:O$700,MATCH('Reaction Information'!$C50,'Aqueous Species Table'!$B$5:$B$700,0)))</f>
        <v>1.2733000000000001</v>
      </c>
      <c r="Q50" s="5">
        <f>IF('Reaction Information'!$C50 = "", "", INDEX('Aqueous Species Table'!P$5:P$700,MATCH('Reaction Information'!$C50,'Aqueous Species Table'!$B$5:$B$700,0)))</f>
        <v>-1</v>
      </c>
      <c r="R50" s="162"/>
    </row>
    <row r="51" spans="2:18" x14ac:dyDescent="0.2">
      <c r="B51" s="164"/>
      <c r="C51" s="162"/>
      <c r="D51" s="162"/>
      <c r="E51" s="162"/>
      <c r="F51" s="162"/>
      <c r="G51" s="162"/>
      <c r="H51" s="162"/>
      <c r="I51" s="162"/>
      <c r="J51" s="162"/>
      <c r="K51" s="162"/>
      <c r="L51" s="162"/>
      <c r="M51" s="162"/>
      <c r="N51" s="162"/>
      <c r="O51" s="162"/>
      <c r="P51" s="162"/>
      <c r="Q51" s="162"/>
      <c r="R51" s="162"/>
    </row>
    <row r="52" spans="2:18" ht="18.75" hidden="1" customHeight="1" x14ac:dyDescent="0.2">
      <c r="B52" s="164"/>
      <c r="C52" s="264" t="s">
        <v>7</v>
      </c>
      <c r="D52" s="262" t="s">
        <v>6</v>
      </c>
      <c r="E52" s="64" t="s">
        <v>525</v>
      </c>
      <c r="F52" s="65" t="s">
        <v>526</v>
      </c>
      <c r="G52" s="64" t="s">
        <v>527</v>
      </c>
      <c r="H52" s="64" t="s">
        <v>569</v>
      </c>
      <c r="I52" s="64" t="s">
        <v>570</v>
      </c>
      <c r="J52" s="64" t="s">
        <v>528</v>
      </c>
      <c r="K52" s="64" t="s">
        <v>529</v>
      </c>
      <c r="L52" s="64" t="s">
        <v>425</v>
      </c>
      <c r="M52" s="64" t="s">
        <v>530</v>
      </c>
      <c r="N52" s="64" t="s">
        <v>426</v>
      </c>
      <c r="O52" s="64" t="s">
        <v>531</v>
      </c>
      <c r="P52" s="65" t="s">
        <v>532</v>
      </c>
      <c r="Q52" s="11" t="s">
        <v>3</v>
      </c>
      <c r="R52" s="162"/>
    </row>
    <row r="53" spans="2:18" ht="18.75" hidden="1" customHeight="1" thickBot="1" x14ac:dyDescent="0.25">
      <c r="B53" s="164"/>
      <c r="C53" s="265"/>
      <c r="D53" s="263"/>
      <c r="E53" s="12" t="s">
        <v>507</v>
      </c>
      <c r="F53" s="13" t="s">
        <v>508</v>
      </c>
      <c r="G53" s="13" t="s">
        <v>509</v>
      </c>
      <c r="H53" s="13" t="s">
        <v>571</v>
      </c>
      <c r="I53" s="13" t="s">
        <v>509</v>
      </c>
      <c r="J53" s="12" t="s">
        <v>533</v>
      </c>
      <c r="K53" s="12" t="s">
        <v>534</v>
      </c>
      <c r="L53" s="12" t="s">
        <v>510</v>
      </c>
      <c r="M53" s="12" t="s">
        <v>535</v>
      </c>
      <c r="N53" s="12" t="s">
        <v>511</v>
      </c>
      <c r="O53" s="12" t="s">
        <v>535</v>
      </c>
      <c r="P53" s="13" t="s">
        <v>508</v>
      </c>
      <c r="Q53" s="12"/>
      <c r="R53" s="162"/>
    </row>
    <row r="54" spans="2:18" hidden="1" x14ac:dyDescent="0.2">
      <c r="B54" s="164"/>
      <c r="C54" s="5" t="str">
        <f>IF(ISBLANK(Input!$BQ$4),"",Input!$BQ$4)</f>
        <v/>
      </c>
      <c r="D54" s="5" t="str">
        <f>IF('Reaction Information'!$C54 = "", "", INDEX('Aqueous Species Table'!C$5:C$700,MATCH('Reaction Information'!$C54,'Aqueous Species Table'!$B$5:$B$700,0)))</f>
        <v/>
      </c>
      <c r="E54" s="122" t="str">
        <f>IF('Reaction Information'!$C54 = "", "", INDEX('Aqueous Species Table'!D$5:D$700,MATCH('Reaction Information'!$C54,'Aqueous Species Table'!$B$5:$B$700,0)))</f>
        <v/>
      </c>
      <c r="F54" s="122" t="str">
        <f>IF('Reaction Information'!$C54 = "", "", INDEX('Aqueous Species Table'!E$5:E$700,MATCH('Reaction Information'!$C54,'Aqueous Species Table'!$B$5:$B$700,0)))</f>
        <v/>
      </c>
      <c r="G54" s="131" t="str">
        <f>IF('Reaction Information'!$C54 = "", "", INDEX('Aqueous Species Table'!F$5:F$700,MATCH('Reaction Information'!$C54,'Aqueous Species Table'!$B$5:$B$700,0)))</f>
        <v/>
      </c>
      <c r="H54" s="40" t="str">
        <f>IF('Reaction Information'!$C54 = "", "", INDEX('Aqueous Species Table'!G$5:G$700,MATCH('Reaction Information'!$C54,'Aqueous Species Table'!$B$5:$B$700,0)))</f>
        <v/>
      </c>
      <c r="I54" s="40" t="str">
        <f>IF('Reaction Information'!$C54 = "", "", INDEX('Aqueous Species Table'!H$5:H$700,MATCH('Reaction Information'!$C54,'Aqueous Species Table'!$B$5:$B$700,0)))</f>
        <v/>
      </c>
      <c r="J54" s="101" t="str">
        <f>IF('Reaction Information'!$C54 = "", "", INDEX('Aqueous Species Table'!I$5:I$700,MATCH('Reaction Information'!$C54,'Aqueous Species Table'!$B$5:$B$700,0)))</f>
        <v/>
      </c>
      <c r="K54" s="101" t="str">
        <f>IF('Reaction Information'!$C54 = "", "", INDEX('Aqueous Species Table'!J$5:J$700,MATCH('Reaction Information'!$C54,'Aqueous Species Table'!$B$5:$B$700,0)))</f>
        <v/>
      </c>
      <c r="L54" s="101" t="str">
        <f>IF('Reaction Information'!$C54 = "", "", INDEX('Aqueous Species Table'!K$5:K$700,MATCH('Reaction Information'!$C54,'Aqueous Species Table'!$B$5:$B$700,0)))</f>
        <v/>
      </c>
      <c r="M54" s="101" t="str">
        <f>IF('Reaction Information'!$C54 = "", "", INDEX('Aqueous Species Table'!L$5:L$700,MATCH('Reaction Information'!$C54,'Aqueous Species Table'!$B$5:$B$700,0)))</f>
        <v/>
      </c>
      <c r="N54" s="101" t="str">
        <f>IF('Reaction Information'!$C54 = "", "", INDEX('Aqueous Species Table'!M$5:M$700,MATCH('Reaction Information'!$C54,'Aqueous Species Table'!$B$5:$B$700,0)))</f>
        <v/>
      </c>
      <c r="O54" s="101" t="str">
        <f>IF('Reaction Information'!$C54 = "", "", INDEX('Aqueous Species Table'!N$5:N$700,MATCH('Reaction Information'!$C54,'Aqueous Species Table'!$B$5:$B$700,0)))</f>
        <v/>
      </c>
      <c r="P54" s="101" t="str">
        <f>IF('Reaction Information'!$C54 = "", "", INDEX('Aqueous Species Table'!O$5:O$700,MATCH('Reaction Information'!$C54,'Aqueous Species Table'!$B$5:$B$700,0)))</f>
        <v/>
      </c>
      <c r="Q54" s="5" t="str">
        <f>IF('Reaction Information'!$C54 = "", "", INDEX('Aqueous Species Table'!P$5:P$700,MATCH('Reaction Information'!$C54,'Aqueous Species Table'!$B$5:$B$700,0)))</f>
        <v/>
      </c>
      <c r="R54" s="162"/>
    </row>
    <row r="55" spans="2:18" hidden="1" x14ac:dyDescent="0.2">
      <c r="B55" s="164"/>
      <c r="C55" s="162"/>
      <c r="D55" s="162"/>
      <c r="E55" s="162"/>
      <c r="F55" s="162"/>
      <c r="G55" s="162"/>
      <c r="H55" s="162"/>
      <c r="I55" s="162"/>
      <c r="J55" s="162"/>
      <c r="K55" s="162"/>
      <c r="L55" s="162"/>
      <c r="M55" s="162"/>
      <c r="N55" s="162"/>
      <c r="O55" s="162"/>
      <c r="P55" s="162"/>
      <c r="Q55" s="162"/>
      <c r="R55" s="162"/>
    </row>
    <row r="56" spans="2:18" ht="18.75" hidden="1" customHeight="1" x14ac:dyDescent="0.2">
      <c r="B56" s="164"/>
      <c r="C56" s="264" t="s">
        <v>7</v>
      </c>
      <c r="D56" s="262" t="s">
        <v>6</v>
      </c>
      <c r="E56" s="64" t="s">
        <v>525</v>
      </c>
      <c r="F56" s="65" t="s">
        <v>526</v>
      </c>
      <c r="G56" s="64" t="s">
        <v>527</v>
      </c>
      <c r="H56" s="64" t="s">
        <v>569</v>
      </c>
      <c r="I56" s="64" t="s">
        <v>570</v>
      </c>
      <c r="J56" s="64" t="s">
        <v>528</v>
      </c>
      <c r="K56" s="64" t="s">
        <v>529</v>
      </c>
      <c r="L56" s="64" t="s">
        <v>425</v>
      </c>
      <c r="M56" s="64" t="s">
        <v>530</v>
      </c>
      <c r="N56" s="64" t="s">
        <v>426</v>
      </c>
      <c r="O56" s="64" t="s">
        <v>531</v>
      </c>
      <c r="P56" s="65" t="s">
        <v>532</v>
      </c>
      <c r="Q56" s="11" t="s">
        <v>3</v>
      </c>
      <c r="R56" s="162"/>
    </row>
    <row r="57" spans="2:18" ht="18.75" hidden="1" customHeight="1" thickBot="1" x14ac:dyDescent="0.25">
      <c r="B57" s="164"/>
      <c r="C57" s="265"/>
      <c r="D57" s="263"/>
      <c r="E57" s="12" t="s">
        <v>507</v>
      </c>
      <c r="F57" s="13" t="s">
        <v>508</v>
      </c>
      <c r="G57" s="13" t="s">
        <v>509</v>
      </c>
      <c r="H57" s="13" t="s">
        <v>571</v>
      </c>
      <c r="I57" s="13" t="s">
        <v>509</v>
      </c>
      <c r="J57" s="12" t="s">
        <v>533</v>
      </c>
      <c r="K57" s="12" t="s">
        <v>534</v>
      </c>
      <c r="L57" s="12" t="s">
        <v>510</v>
      </c>
      <c r="M57" s="12" t="s">
        <v>535</v>
      </c>
      <c r="N57" s="12" t="s">
        <v>511</v>
      </c>
      <c r="O57" s="12" t="s">
        <v>535</v>
      </c>
      <c r="P57" s="13" t="s">
        <v>508</v>
      </c>
      <c r="Q57" s="12"/>
      <c r="R57" s="162"/>
    </row>
    <row r="58" spans="2:18" hidden="1" x14ac:dyDescent="0.2">
      <c r="B58" s="164"/>
      <c r="C58" s="5" t="str">
        <f>IF(ISBLANK(Input!$BT$4),"",Input!$BT$4)</f>
        <v/>
      </c>
      <c r="D58" s="5" t="str">
        <f>IF('Reaction Information'!$C58 = "", "", INDEX('Aqueous Species Table'!C$5:C$700,MATCH('Reaction Information'!$C58,'Aqueous Species Table'!$B$5:$B$700,0)))</f>
        <v/>
      </c>
      <c r="E58" s="122" t="str">
        <f>IF('Reaction Information'!$C58 = "", "", INDEX('Aqueous Species Table'!D$5:D$700,MATCH('Reaction Information'!$C58,'Aqueous Species Table'!$B$5:$B$700,0)))</f>
        <v/>
      </c>
      <c r="F58" s="122" t="str">
        <f>IF('Reaction Information'!$C58 = "", "", INDEX('Aqueous Species Table'!E$5:E$700,MATCH('Reaction Information'!$C58,'Aqueous Species Table'!$B$5:$B$700,0)))</f>
        <v/>
      </c>
      <c r="G58" s="131" t="str">
        <f>IF('Reaction Information'!$C58 = "", "", INDEX('Aqueous Species Table'!F$5:F$700,MATCH('Reaction Information'!$C58,'Aqueous Species Table'!$B$5:$B$700,0)))</f>
        <v/>
      </c>
      <c r="H58" s="40" t="str">
        <f>IF('Reaction Information'!$C58 = "", "", INDEX('Aqueous Species Table'!G$5:G$700,MATCH('Reaction Information'!$C58,'Aqueous Species Table'!$B$5:$B$700,0)))</f>
        <v/>
      </c>
      <c r="I58" s="40" t="str">
        <f>IF('Reaction Information'!$C58 = "", "", INDEX('Aqueous Species Table'!H$5:H$700,MATCH('Reaction Information'!$C58,'Aqueous Species Table'!$B$5:$B$700,0)))</f>
        <v/>
      </c>
      <c r="J58" s="101" t="str">
        <f>IF('Reaction Information'!$C58 = "", "", INDEX('Aqueous Species Table'!I$5:I$700,MATCH('Reaction Information'!$C58,'Aqueous Species Table'!$B$5:$B$700,0)))</f>
        <v/>
      </c>
      <c r="K58" s="101" t="str">
        <f>IF('Reaction Information'!$C58 = "", "", INDEX('Aqueous Species Table'!J$5:J$700,MATCH('Reaction Information'!$C58,'Aqueous Species Table'!$B$5:$B$700,0)))</f>
        <v/>
      </c>
      <c r="L58" s="101" t="str">
        <f>IF('Reaction Information'!$C58 = "", "", INDEX('Aqueous Species Table'!K$5:K$700,MATCH('Reaction Information'!$C58,'Aqueous Species Table'!$B$5:$B$700,0)))</f>
        <v/>
      </c>
      <c r="M58" s="101" t="str">
        <f>IF('Reaction Information'!$C58 = "", "", INDEX('Aqueous Species Table'!L$5:L$700,MATCH('Reaction Information'!$C58,'Aqueous Species Table'!$B$5:$B$700,0)))</f>
        <v/>
      </c>
      <c r="N58" s="101" t="str">
        <f>IF('Reaction Information'!$C58 = "", "", INDEX('Aqueous Species Table'!M$5:M$700,MATCH('Reaction Information'!$C58,'Aqueous Species Table'!$B$5:$B$700,0)))</f>
        <v/>
      </c>
      <c r="O58" s="101" t="str">
        <f>IF('Reaction Information'!$C58 = "", "", INDEX('Aqueous Species Table'!N$5:N$700,MATCH('Reaction Information'!$C58,'Aqueous Species Table'!$B$5:$B$700,0)))</f>
        <v/>
      </c>
      <c r="P58" s="101" t="str">
        <f>IF('Reaction Information'!$C58 = "", "", INDEX('Aqueous Species Table'!O$5:O$700,MATCH('Reaction Information'!$C58,'Aqueous Species Table'!$B$5:$B$700,0)))</f>
        <v/>
      </c>
      <c r="Q58" s="5" t="str">
        <f>IF('Reaction Information'!$C58 = "", "", INDEX('Aqueous Species Table'!P$5:P$700,MATCH('Reaction Information'!$C58,'Aqueous Species Table'!$B$5:$B$700,0)))</f>
        <v/>
      </c>
      <c r="R58" s="162"/>
    </row>
    <row r="59" spans="2:18" hidden="1" x14ac:dyDescent="0.2">
      <c r="B59" s="161"/>
      <c r="C59" s="162"/>
      <c r="D59" s="162"/>
      <c r="E59" s="162"/>
      <c r="F59" s="162"/>
      <c r="G59" s="162"/>
      <c r="H59" s="162"/>
      <c r="I59" s="162"/>
      <c r="J59" s="162"/>
      <c r="K59" s="162"/>
      <c r="L59" s="162"/>
      <c r="M59" s="162"/>
      <c r="N59" s="162"/>
      <c r="O59" s="162"/>
      <c r="P59" s="162"/>
      <c r="Q59" s="162"/>
      <c r="R59" s="162"/>
    </row>
    <row r="60" spans="2:18" ht="21" hidden="1" x14ac:dyDescent="0.2">
      <c r="B60" s="164"/>
      <c r="C60" s="264" t="s">
        <v>7</v>
      </c>
      <c r="D60" s="262" t="s">
        <v>6</v>
      </c>
      <c r="E60" s="64" t="s">
        <v>525</v>
      </c>
      <c r="F60" s="65" t="s">
        <v>526</v>
      </c>
      <c r="G60" s="64" t="s">
        <v>527</v>
      </c>
      <c r="H60" s="64" t="s">
        <v>569</v>
      </c>
      <c r="I60" s="64" t="s">
        <v>570</v>
      </c>
      <c r="J60" s="64" t="s">
        <v>528</v>
      </c>
      <c r="K60" s="64" t="s">
        <v>529</v>
      </c>
      <c r="L60" s="64" t="s">
        <v>425</v>
      </c>
      <c r="M60" s="64" t="s">
        <v>530</v>
      </c>
      <c r="N60" s="64" t="s">
        <v>426</v>
      </c>
      <c r="O60" s="64" t="s">
        <v>531</v>
      </c>
      <c r="P60" s="65" t="s">
        <v>532</v>
      </c>
      <c r="Q60" s="11" t="s">
        <v>3</v>
      </c>
      <c r="R60" s="162"/>
    </row>
    <row r="61" spans="2:18" ht="16" hidden="1" thickBot="1" x14ac:dyDescent="0.25">
      <c r="B61" s="164"/>
      <c r="C61" s="265"/>
      <c r="D61" s="263"/>
      <c r="E61" s="12" t="s">
        <v>507</v>
      </c>
      <c r="F61" s="13" t="s">
        <v>508</v>
      </c>
      <c r="G61" s="13" t="s">
        <v>509</v>
      </c>
      <c r="H61" s="13" t="s">
        <v>571</v>
      </c>
      <c r="I61" s="13" t="s">
        <v>509</v>
      </c>
      <c r="J61" s="12" t="s">
        <v>533</v>
      </c>
      <c r="K61" s="12" t="s">
        <v>534</v>
      </c>
      <c r="L61" s="12" t="s">
        <v>510</v>
      </c>
      <c r="M61" s="12" t="s">
        <v>535</v>
      </c>
      <c r="N61" s="12" t="s">
        <v>511</v>
      </c>
      <c r="O61" s="12" t="s">
        <v>535</v>
      </c>
      <c r="P61" s="13" t="s">
        <v>508</v>
      </c>
      <c r="Q61" s="12"/>
      <c r="R61" s="162"/>
    </row>
    <row r="62" spans="2:18" hidden="1" x14ac:dyDescent="0.2">
      <c r="B62" s="164"/>
      <c r="C62" s="5" t="str">
        <f>IF(ISBLANK(Input!$BW$4),"",Input!$BW$4)</f>
        <v/>
      </c>
      <c r="D62" s="5" t="str">
        <f>IF('Reaction Information'!$C62 = "", "", INDEX('Aqueous Species Table'!C$5:C$700,MATCH('Reaction Information'!$C62,'Aqueous Species Table'!$B$5:$B$700,0)))</f>
        <v/>
      </c>
      <c r="E62" s="122" t="str">
        <f>IF('Reaction Information'!$C62 = "", "", INDEX('Aqueous Species Table'!D$5:D$700,MATCH('Reaction Information'!$C62,'Aqueous Species Table'!$B$5:$B$700,0)))</f>
        <v/>
      </c>
      <c r="F62" s="122" t="str">
        <f>IF('Reaction Information'!$C62 = "", "", INDEX('Aqueous Species Table'!E$5:E$700,MATCH('Reaction Information'!$C62,'Aqueous Species Table'!$B$5:$B$700,0)))</f>
        <v/>
      </c>
      <c r="G62" s="131" t="str">
        <f>IF('Reaction Information'!$C62 = "", "", INDEX('Aqueous Species Table'!F$5:F$700,MATCH('Reaction Information'!$C62,'Aqueous Species Table'!$B$5:$B$700,0)))</f>
        <v/>
      </c>
      <c r="H62" s="40" t="str">
        <f>IF('Reaction Information'!$C62 = "", "", INDEX('Aqueous Species Table'!G$5:G$700,MATCH('Reaction Information'!$C62,'Aqueous Species Table'!$B$5:$B$700,0)))</f>
        <v/>
      </c>
      <c r="I62" s="40" t="str">
        <f>IF('Reaction Information'!$C62 = "", "", INDEX('Aqueous Species Table'!H$5:H$700,MATCH('Reaction Information'!$C62,'Aqueous Species Table'!$B$5:$B$700,0)))</f>
        <v/>
      </c>
      <c r="J62" s="101" t="str">
        <f>IF('Reaction Information'!$C62 = "", "", INDEX('Aqueous Species Table'!I$5:I$700,MATCH('Reaction Information'!$C62,'Aqueous Species Table'!$B$5:$B$700,0)))</f>
        <v/>
      </c>
      <c r="K62" s="101" t="str">
        <f>IF('Reaction Information'!$C62 = "", "", INDEX('Aqueous Species Table'!J$5:J$700,MATCH('Reaction Information'!$C62,'Aqueous Species Table'!$B$5:$B$700,0)))</f>
        <v/>
      </c>
      <c r="L62" s="101" t="str">
        <f>IF('Reaction Information'!$C62 = "", "", INDEX('Aqueous Species Table'!K$5:K$700,MATCH('Reaction Information'!$C62,'Aqueous Species Table'!$B$5:$B$700,0)))</f>
        <v/>
      </c>
      <c r="M62" s="101" t="str">
        <f>IF('Reaction Information'!$C62 = "", "", INDEX('Aqueous Species Table'!L$5:L$700,MATCH('Reaction Information'!$C62,'Aqueous Species Table'!$B$5:$B$700,0)))</f>
        <v/>
      </c>
      <c r="N62" s="101" t="str">
        <f>IF('Reaction Information'!$C62 = "", "", INDEX('Aqueous Species Table'!M$5:M$700,MATCH('Reaction Information'!$C62,'Aqueous Species Table'!$B$5:$B$700,0)))</f>
        <v/>
      </c>
      <c r="O62" s="101" t="str">
        <f>IF('Reaction Information'!$C62 = "", "", INDEX('Aqueous Species Table'!N$5:N$700,MATCH('Reaction Information'!$C62,'Aqueous Species Table'!$B$5:$B$700,0)))</f>
        <v/>
      </c>
      <c r="P62" s="101" t="str">
        <f>IF('Reaction Information'!$C62 = "", "", INDEX('Aqueous Species Table'!O$5:O$700,MATCH('Reaction Information'!$C62,'Aqueous Species Table'!$B$5:$B$700,0)))</f>
        <v/>
      </c>
      <c r="Q62" s="5" t="str">
        <f>IF('Reaction Information'!$C62 = "", "", INDEX('Aqueous Species Table'!P$5:P$700,MATCH('Reaction Information'!$C62,'Aqueous Species Table'!$B$5:$B$700,0)))</f>
        <v/>
      </c>
      <c r="R62" s="162"/>
    </row>
    <row r="63" spans="2:18" hidden="1" x14ac:dyDescent="0.2">
      <c r="B63" s="164"/>
      <c r="C63" s="162"/>
      <c r="D63" s="162"/>
      <c r="E63" s="162"/>
      <c r="F63" s="162"/>
      <c r="G63" s="162"/>
      <c r="H63" s="162"/>
      <c r="I63" s="162"/>
      <c r="J63" s="162"/>
      <c r="K63" s="162"/>
      <c r="L63" s="162"/>
      <c r="M63" s="162"/>
      <c r="N63" s="162"/>
      <c r="O63" s="162"/>
      <c r="P63" s="162"/>
      <c r="Q63" s="162"/>
      <c r="R63" s="162"/>
    </row>
    <row r="64" spans="2:18" ht="21" hidden="1" x14ac:dyDescent="0.2">
      <c r="B64" s="164"/>
      <c r="C64" s="264" t="s">
        <v>7</v>
      </c>
      <c r="D64" s="262" t="s">
        <v>6</v>
      </c>
      <c r="E64" s="64" t="s">
        <v>525</v>
      </c>
      <c r="F64" s="65" t="s">
        <v>526</v>
      </c>
      <c r="G64" s="64" t="s">
        <v>527</v>
      </c>
      <c r="H64" s="64" t="s">
        <v>569</v>
      </c>
      <c r="I64" s="64" t="s">
        <v>570</v>
      </c>
      <c r="J64" s="64" t="s">
        <v>528</v>
      </c>
      <c r="K64" s="64" t="s">
        <v>529</v>
      </c>
      <c r="L64" s="64" t="s">
        <v>425</v>
      </c>
      <c r="M64" s="64" t="s">
        <v>530</v>
      </c>
      <c r="N64" s="64" t="s">
        <v>426</v>
      </c>
      <c r="O64" s="64" t="s">
        <v>531</v>
      </c>
      <c r="P64" s="65" t="s">
        <v>532</v>
      </c>
      <c r="Q64" s="11" t="s">
        <v>3</v>
      </c>
      <c r="R64" s="162"/>
    </row>
    <row r="65" spans="2:18" ht="16" hidden="1" thickBot="1" x14ac:dyDescent="0.25">
      <c r="B65" s="164"/>
      <c r="C65" s="265"/>
      <c r="D65" s="263"/>
      <c r="E65" s="12" t="s">
        <v>507</v>
      </c>
      <c r="F65" s="13" t="s">
        <v>508</v>
      </c>
      <c r="G65" s="13" t="s">
        <v>509</v>
      </c>
      <c r="H65" s="13" t="s">
        <v>571</v>
      </c>
      <c r="I65" s="13" t="s">
        <v>509</v>
      </c>
      <c r="J65" s="12" t="s">
        <v>533</v>
      </c>
      <c r="K65" s="12" t="s">
        <v>534</v>
      </c>
      <c r="L65" s="12" t="s">
        <v>510</v>
      </c>
      <c r="M65" s="12" t="s">
        <v>535</v>
      </c>
      <c r="N65" s="12" t="s">
        <v>511</v>
      </c>
      <c r="O65" s="12" t="s">
        <v>535</v>
      </c>
      <c r="P65" s="13" t="s">
        <v>508</v>
      </c>
      <c r="Q65" s="12"/>
      <c r="R65" s="162"/>
    </row>
    <row r="66" spans="2:18" hidden="1" x14ac:dyDescent="0.2">
      <c r="B66" s="164"/>
      <c r="C66" s="5" t="str">
        <f>IF(ISBLANK(Input!$BZ$4),"",Input!$BZ$4)</f>
        <v/>
      </c>
      <c r="D66" s="5" t="str">
        <f>IF('Reaction Information'!$C66 = "", "", INDEX('Aqueous Species Table'!C$5:C$700,MATCH('Reaction Information'!$C66,'Aqueous Species Table'!$B$5:$B$700,0)))</f>
        <v/>
      </c>
      <c r="E66" s="122" t="str">
        <f>IF('Reaction Information'!$C66 = "", "", INDEX('Aqueous Species Table'!D$5:D$700,MATCH('Reaction Information'!$C66,'Aqueous Species Table'!$B$5:$B$700,0)))</f>
        <v/>
      </c>
      <c r="F66" s="122" t="str">
        <f>IF('Reaction Information'!$C66 = "", "", INDEX('Aqueous Species Table'!E$5:E$700,MATCH('Reaction Information'!$C66,'Aqueous Species Table'!$B$5:$B$700,0)))</f>
        <v/>
      </c>
      <c r="G66" s="131" t="str">
        <f>IF('Reaction Information'!$C66 = "", "", INDEX('Aqueous Species Table'!F$5:F$700,MATCH('Reaction Information'!$C66,'Aqueous Species Table'!$B$5:$B$700,0)))</f>
        <v/>
      </c>
      <c r="H66" s="40" t="str">
        <f>IF('Reaction Information'!$C66 = "", "", INDEX('Aqueous Species Table'!G$5:G$700,MATCH('Reaction Information'!$C66,'Aqueous Species Table'!$B$5:$B$700,0)))</f>
        <v/>
      </c>
      <c r="I66" s="40" t="str">
        <f>IF('Reaction Information'!$C66 = "", "", INDEX('Aqueous Species Table'!H$5:H$700,MATCH('Reaction Information'!$C66,'Aqueous Species Table'!$B$5:$B$700,0)))</f>
        <v/>
      </c>
      <c r="J66" s="101" t="str">
        <f>IF('Reaction Information'!$C66 = "", "", INDEX('Aqueous Species Table'!I$5:I$700,MATCH('Reaction Information'!$C66,'Aqueous Species Table'!$B$5:$B$700,0)))</f>
        <v/>
      </c>
      <c r="K66" s="101" t="str">
        <f>IF('Reaction Information'!$C66 = "", "", INDEX('Aqueous Species Table'!J$5:J$700,MATCH('Reaction Information'!$C66,'Aqueous Species Table'!$B$5:$B$700,0)))</f>
        <v/>
      </c>
      <c r="L66" s="101" t="str">
        <f>IF('Reaction Information'!$C66 = "", "", INDEX('Aqueous Species Table'!K$5:K$700,MATCH('Reaction Information'!$C66,'Aqueous Species Table'!$B$5:$B$700,0)))</f>
        <v/>
      </c>
      <c r="M66" s="101" t="str">
        <f>IF('Reaction Information'!$C66 = "", "", INDEX('Aqueous Species Table'!L$5:L$700,MATCH('Reaction Information'!$C66,'Aqueous Species Table'!$B$5:$B$700,0)))</f>
        <v/>
      </c>
      <c r="N66" s="101" t="str">
        <f>IF('Reaction Information'!$C66 = "", "", INDEX('Aqueous Species Table'!M$5:M$700,MATCH('Reaction Information'!$C66,'Aqueous Species Table'!$B$5:$B$700,0)))</f>
        <v/>
      </c>
      <c r="O66" s="101" t="str">
        <f>IF('Reaction Information'!$C66 = "", "", INDEX('Aqueous Species Table'!N$5:N$700,MATCH('Reaction Information'!$C66,'Aqueous Species Table'!$B$5:$B$700,0)))</f>
        <v/>
      </c>
      <c r="P66" s="101" t="str">
        <f>IF('Reaction Information'!$C66 = "", "", INDEX('Aqueous Species Table'!O$5:O$700,MATCH('Reaction Information'!$C66,'Aqueous Species Table'!$B$5:$B$700,0)))</f>
        <v/>
      </c>
      <c r="Q66" s="5" t="str">
        <f>IF('Reaction Information'!$C66 = "", "", INDEX('Aqueous Species Table'!P$5:P$700,MATCH('Reaction Information'!$C66,'Aqueous Species Table'!$B$5:$B$700,0)))</f>
        <v/>
      </c>
      <c r="R66" s="162"/>
    </row>
    <row r="67" spans="2:18" hidden="1" x14ac:dyDescent="0.2">
      <c r="B67" s="161"/>
      <c r="C67" s="162"/>
      <c r="D67" s="162"/>
      <c r="E67" s="162"/>
      <c r="F67" s="162"/>
      <c r="G67" s="162"/>
      <c r="H67" s="162"/>
      <c r="I67" s="162"/>
      <c r="J67" s="162"/>
      <c r="K67" s="162"/>
      <c r="L67" s="162"/>
      <c r="M67" s="162"/>
      <c r="N67" s="162"/>
      <c r="O67" s="162"/>
      <c r="P67" s="162"/>
      <c r="Q67" s="162"/>
      <c r="R67" s="162"/>
    </row>
  </sheetData>
  <sheetProtection sheet="1" objects="1" scenarios="1" formatRows="0"/>
  <mergeCells count="32">
    <mergeCell ref="C60:C61"/>
    <mergeCell ref="D60:D61"/>
    <mergeCell ref="C64:C65"/>
    <mergeCell ref="D64:D65"/>
    <mergeCell ref="C56:C57"/>
    <mergeCell ref="D56:D57"/>
    <mergeCell ref="C52:C53"/>
    <mergeCell ref="D52:D53"/>
    <mergeCell ref="C40:C41"/>
    <mergeCell ref="D40:D41"/>
    <mergeCell ref="C7:C8"/>
    <mergeCell ref="D7:D8"/>
    <mergeCell ref="D48:D49"/>
    <mergeCell ref="C48:C49"/>
    <mergeCell ref="C11:C12"/>
    <mergeCell ref="D11:D12"/>
    <mergeCell ref="C44:C45"/>
    <mergeCell ref="D44:D45"/>
    <mergeCell ref="C15:C16"/>
    <mergeCell ref="D15:D16"/>
    <mergeCell ref="C19:C20"/>
    <mergeCell ref="D19:D20"/>
    <mergeCell ref="C3:C4"/>
    <mergeCell ref="D3:D4"/>
    <mergeCell ref="C36:C37"/>
    <mergeCell ref="D36:D37"/>
    <mergeCell ref="C27:C28"/>
    <mergeCell ref="D27:D28"/>
    <mergeCell ref="C31:C32"/>
    <mergeCell ref="D31:D32"/>
    <mergeCell ref="C23:C24"/>
    <mergeCell ref="D23:D24"/>
  </mergeCells>
  <phoneticPr fontId="71" type="noConversion"/>
  <pageMargins left="0.7" right="0.7" top="0.75" bottom="0.75" header="0.3" footer="0.3"/>
  <pageSetup scale="55" orientation="landscape" horizontalDpi="0" verticalDpi="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pageSetUpPr fitToPage="1"/>
  </sheetPr>
  <dimension ref="A1:EA207"/>
  <sheetViews>
    <sheetView showGridLines="0" tabSelected="1" topLeftCell="BX1" zoomScale="152" zoomScaleNormal="152" zoomScalePageLayoutView="170" workbookViewId="0">
      <selection activeCell="CG29" sqref="CG29"/>
    </sheetView>
  </sheetViews>
  <sheetFormatPr baseColWidth="10" defaultColWidth="8.83203125" defaultRowHeight="15" x14ac:dyDescent="0.2"/>
  <cols>
    <col min="1" max="1" width="2.83203125" style="1" customWidth="1"/>
    <col min="2" max="2" width="8.83203125" style="1" customWidth="1"/>
    <col min="3" max="5" width="9.1640625" style="1" customWidth="1"/>
    <col min="6" max="11" width="15.6640625" style="1" hidden="1" customWidth="1"/>
    <col min="12" max="12" width="15.6640625" style="1" customWidth="1"/>
    <col min="13" max="13" width="15.5" style="1" customWidth="1"/>
    <col min="14" max="25" width="15.6640625" style="1" hidden="1" customWidth="1"/>
    <col min="26" max="27" width="15.6640625" style="1" customWidth="1"/>
    <col min="28" max="31" width="15.6640625" style="1" hidden="1" customWidth="1"/>
    <col min="32" max="33" width="15.6640625" style="1" customWidth="1"/>
    <col min="34" max="35" width="9.1640625" style="1" customWidth="1"/>
    <col min="36" max="41" width="15.6640625" style="1" hidden="1" customWidth="1"/>
    <col min="42" max="43" width="15.6640625" style="1" customWidth="1"/>
    <col min="44" max="55" width="15.6640625" style="1" hidden="1" customWidth="1"/>
    <col min="56" max="57" width="15.6640625" style="1" customWidth="1"/>
    <col min="58" max="61" width="15.6640625" style="1" hidden="1" customWidth="1"/>
    <col min="62" max="62" width="15.6640625" style="1" customWidth="1"/>
    <col min="63" max="64" width="8.83203125" style="1" customWidth="1"/>
    <col min="65" max="79" width="8.83203125" style="1"/>
    <col min="80" max="80" width="3.5" style="1" customWidth="1"/>
    <col min="81" max="81" width="8.83203125" style="1"/>
    <col min="82" max="111" width="10.1640625" style="1" customWidth="1"/>
    <col min="112" max="16384" width="8.83203125" style="1"/>
  </cols>
  <sheetData>
    <row r="1" spans="1:131" ht="37.5" customHeight="1" x14ac:dyDescent="0.25">
      <c r="B1" s="221" t="str">
        <f>"Reaction:  "&amp;BO7</f>
        <v>Reaction:  H2O + CO2,aq = H+ + HCO3-</v>
      </c>
    </row>
    <row r="2" spans="1:131" ht="18.75" customHeight="1" x14ac:dyDescent="0.2">
      <c r="A2" s="73"/>
      <c r="B2" s="74" t="str">
        <f>"Results use " &amp; CHOOSE(Calculations!$D$19,Calculations!$C$30,Calculations!$C$31,Calculations!C32) &amp; " and are at " &amp; CHOOSE(Calculations!$D$19, TEXT(MIN(Input!CB6:CB206),"####0.0##") &amp; IF(MIN(Input!CB6:CB206)&lt;&gt;MAX(Input!CB6:CB206), " to " &amp; TEXT(MAX(Input!CB6:CB206),"####0.0##"),"") &amp; " kb and " &amp; TEXT(MIN(Input!CC6:CC206),"#0") &amp; IF(MIN(Input!CC6:CC206)&lt;&gt;MAX(Input!CC6:CC206), " to " &amp; TEXT(MAX(Input!CC6:CC206),"#0"),"") &amp; " °C.", TEXT(Input!CF5,"####0.0##") &amp; IF(Input!CF7&lt;&gt;Input!CF5," to " &amp; TEXT(Input!CF5+Input!CF6*FLOOR((Input!CF7-Input!CF5)/Input!CF6,1),"####0.0##"),"") &amp; " kb and " &amp; TEXT(Input!CF10,"#0") &amp; IF(Input!CF12&lt;&gt;Input!CF10," to " &amp; TEXT(Input!CF10+Input!CF11*FLOOR((Input!CF12-Input!CF10)/Input!CF11,1),"#0"), "") &amp; " °C.", TEXT(Input!CJ5,"#0") &amp; IF(Input!CJ5&lt;&gt;Input!CJ7, " to " &amp; TEXT(Input!CJ5+Input!CJ6*FLOOR((Input!CJ7-Input!CJ5)/Input!CJ6,1),"#0"), "") &amp; " °C.")</f>
        <v>Results use Regular P-T Increments and are at 5.0 to 60.0 kb and 300 to 1000 °C.</v>
      </c>
      <c r="BT2" s="73"/>
      <c r="BU2" s="73"/>
      <c r="BV2" s="73"/>
      <c r="BW2" s="73"/>
    </row>
    <row r="3" spans="1:131" ht="18.75" customHeight="1" x14ac:dyDescent="0.2">
      <c r="A3" s="73"/>
      <c r="B3" s="74" t="str">
        <f>IF(Calculations!D19 &lt;&gt; 3, CHOOSE(Calculations!$D$20, Calculations!$C$35&amp;" is", Calculations!$C$36&amp;" is", Calculations!$C$37&amp;" are")&amp;" used "&amp;IF(Calculations!D21=TRUE, " for P ≥ 1 kb and Custom Values are used for P &lt; 1 kb ", "")&amp;"to calculate the density of water.", "")</f>
        <v>Zhang &amp; Duan (2005) is used to calculate the density of water.</v>
      </c>
      <c r="BT3" s="266" t="s">
        <v>697</v>
      </c>
      <c r="BU3" s="267"/>
      <c r="BV3" s="268"/>
      <c r="BW3" s="73"/>
    </row>
    <row r="4" spans="1:131" ht="18.75" customHeight="1" x14ac:dyDescent="0.2">
      <c r="A4" s="73"/>
      <c r="B4" s="74" t="str">
        <f>IF(Calculations!D19&lt;&gt;3, CHOOSE(Calculations!$D$22,Calculations!C40&amp;" is",Calculations!C41&amp;" is",Calculations!C42&amp;" is",Calculations!C43&amp;" is",Calculations!C44&amp;" are")&amp;" used "&amp;IF(AND(Calculations!D23,Input!CF5&lt;=5,Calculations!D22&lt;&gt;1),"for P &gt; 5 kb and the Supcrt Equation for P ≤ 5 kb ","")&amp;"to calculate the Dielectric Constant"&amp;IF(OR(Input!U4="H2O",Input!BH4="H2O")," and "&amp;CHOOSE(Calculations!$D$24,Calculations!C47,Calculations!C48,Calculations!C49)&amp;" for the Water Gibbs Free Energy","")&amp;".", "")</f>
        <v>Sverjensky et al. (2014) is used to calculate the Dielectric Constant and Integral of Volume for the Water Gibbs Free Energy.</v>
      </c>
      <c r="L4" s="220"/>
      <c r="BT4" s="73"/>
      <c r="BU4" s="73"/>
      <c r="BV4" s="73"/>
      <c r="BW4" s="73"/>
    </row>
    <row r="6" spans="1:131" ht="17" x14ac:dyDescent="0.2">
      <c r="B6" s="16" t="s">
        <v>424</v>
      </c>
      <c r="C6" s="16" t="s">
        <v>450</v>
      </c>
      <c r="D6" s="69" t="s">
        <v>536</v>
      </c>
      <c r="E6" s="272" t="s">
        <v>427</v>
      </c>
      <c r="F6" s="278" t="s">
        <v>682</v>
      </c>
      <c r="G6" s="279"/>
      <c r="H6" s="279"/>
      <c r="I6" s="279"/>
      <c r="J6" s="279"/>
      <c r="K6" s="279"/>
      <c r="L6" s="279"/>
      <c r="M6" s="279"/>
      <c r="N6" s="279"/>
      <c r="O6" s="279"/>
      <c r="P6" s="279"/>
      <c r="Q6" s="279"/>
      <c r="R6" s="279"/>
      <c r="S6" s="279"/>
      <c r="T6" s="279"/>
      <c r="U6" s="279"/>
      <c r="V6" s="279"/>
      <c r="W6" s="279"/>
      <c r="X6" s="279"/>
      <c r="Y6" s="279"/>
      <c r="Z6" s="279"/>
      <c r="AA6" s="279"/>
      <c r="AB6" s="279"/>
      <c r="AC6" s="279"/>
      <c r="AD6" s="279"/>
      <c r="AE6" s="280"/>
      <c r="AF6" s="272" t="s">
        <v>428</v>
      </c>
      <c r="AG6" s="273" t="s">
        <v>434</v>
      </c>
      <c r="AH6" s="16" t="s">
        <v>424</v>
      </c>
      <c r="AI6" s="16" t="s">
        <v>450</v>
      </c>
      <c r="AJ6" s="278" t="s">
        <v>540</v>
      </c>
      <c r="AK6" s="279"/>
      <c r="AL6" s="279"/>
      <c r="AM6" s="279"/>
      <c r="AN6" s="279"/>
      <c r="AO6" s="279"/>
      <c r="AP6" s="279"/>
      <c r="AQ6" s="279"/>
      <c r="AR6" s="279"/>
      <c r="AS6" s="279"/>
      <c r="AT6" s="279"/>
      <c r="AU6" s="279"/>
      <c r="AV6" s="279"/>
      <c r="AW6" s="279"/>
      <c r="AX6" s="279"/>
      <c r="AY6" s="279"/>
      <c r="AZ6" s="279"/>
      <c r="BA6" s="279"/>
      <c r="BB6" s="279"/>
      <c r="BC6" s="279"/>
      <c r="BD6" s="279"/>
      <c r="BE6" s="279"/>
      <c r="BF6" s="279"/>
      <c r="BG6" s="279"/>
      <c r="BH6" s="279"/>
      <c r="BI6" s="280"/>
      <c r="BJ6" s="272" t="s">
        <v>503</v>
      </c>
      <c r="BK6" s="16" t="s">
        <v>450</v>
      </c>
      <c r="BL6" s="16" t="s">
        <v>424</v>
      </c>
      <c r="CB6" s="274" t="str">
        <f>CHOOSE(BO11,BO8,BO9,BO10)</f>
        <v>Log K</v>
      </c>
      <c r="CC6" s="275"/>
      <c r="CD6" s="266" t="s">
        <v>581</v>
      </c>
      <c r="CE6" s="268"/>
      <c r="CF6" s="18"/>
      <c r="CG6" s="18"/>
    </row>
    <row r="7" spans="1:131" ht="17" x14ac:dyDescent="0.2">
      <c r="B7" s="67" t="s">
        <v>633</v>
      </c>
      <c r="C7" s="67" t="s">
        <v>538</v>
      </c>
      <c r="D7" s="66" t="s">
        <v>537</v>
      </c>
      <c r="E7" s="272"/>
      <c r="F7" s="6" t="str">
        <f>IF(ISBLANK(Input!$C$4),"",Input!$C$4)</f>
        <v/>
      </c>
      <c r="G7" s="6" t="str">
        <f>IF(ISBLANK(Input!$F$4),"",Input!$F$4)</f>
        <v/>
      </c>
      <c r="H7" s="6" t="str">
        <f>IF(ISBLANK(Input!$I$4),"",Input!$I$4)</f>
        <v/>
      </c>
      <c r="I7" s="6" t="str">
        <f>IF(ISBLANK(Input!$L$4),"",Input!$L$4)</f>
        <v/>
      </c>
      <c r="J7" s="6" t="str">
        <f>IF(ISBLANK(Input!$O$4),"",Input!$O$4)</f>
        <v/>
      </c>
      <c r="K7" s="6" t="str">
        <f>IF(ISBLANK(Input!$R$4),"",Input!$R$4)</f>
        <v/>
      </c>
      <c r="L7" s="6" t="str">
        <f>IF(ISBLANK(Input!$U$4),"",Input!$U$4)</f>
        <v>H2O</v>
      </c>
      <c r="M7" s="6" t="str">
        <f>IF(ISBLANK(Input!$X$4),"",Input!$X$4)</f>
        <v>CO2,aq</v>
      </c>
      <c r="N7" s="6" t="str">
        <f>IF(ISBLANK(Input!$AA$4),"",Input!$AA$4)</f>
        <v/>
      </c>
      <c r="O7" s="6" t="str">
        <f>IF(ISBLANK(Input!$AD$4),"",Input!$AD$4)</f>
        <v/>
      </c>
      <c r="P7" s="6" t="str">
        <f>IF(ISBLANK(Input!$AG$4),"",Input!$AG$4)</f>
        <v/>
      </c>
      <c r="Q7" s="6" t="str">
        <f>IF(ISBLANK(Input!$AJ$4),"",Input!$AJ$4)</f>
        <v/>
      </c>
      <c r="R7" s="6" t="str">
        <f>IF(ISBLANK(Input!$AM$4),"",Input!$AM$4)</f>
        <v/>
      </c>
      <c r="S7" s="27" t="str">
        <f>IF(ISBLANK(Input!$AP$4),"",Input!$AP$4)</f>
        <v/>
      </c>
      <c r="T7" s="27" t="str">
        <f>IF(ISBLANK(Input!$AS$4),"",Input!$AS$4)</f>
        <v/>
      </c>
      <c r="U7" s="27" t="str">
        <f>IF(ISBLANK(Input!$AV$4),"",Input!$AV$4)</f>
        <v/>
      </c>
      <c r="V7" s="27" t="str">
        <f>IF(ISBLANK(Input!$AY$4),"",Input!$AY$4)</f>
        <v/>
      </c>
      <c r="W7" s="27" t="str">
        <f>IF(ISBLANK(Input!$BB$4),"",Input!$BB$4)</f>
        <v/>
      </c>
      <c r="X7" s="27" t="str">
        <f>IF(ISBLANK(Input!$BE$4),"",Input!$BE$4)</f>
        <v/>
      </c>
      <c r="Y7" s="27" t="str">
        <f>IF(ISBLANK(Input!$BH$4),"",Input!$BH$4)</f>
        <v/>
      </c>
      <c r="Z7" s="27" t="str">
        <f>IF(ISBLANK(Input!$BK$4),"",Input!$BK$4)</f>
        <v>H+</v>
      </c>
      <c r="AA7" s="27" t="str">
        <f>IF(ISBLANK(Input!$BN$4),"",Input!$BN$4)</f>
        <v>HCO3-</v>
      </c>
      <c r="AB7" s="27" t="str">
        <f>IF(ISBLANK(Input!$BQ$4),"",Input!$BQ$4)</f>
        <v/>
      </c>
      <c r="AC7" s="27" t="str">
        <f>IF(ISBLANK(Input!$BT$4),"",Input!$BT$4)</f>
        <v/>
      </c>
      <c r="AD7" s="27" t="str">
        <f>IF(ISBLANK(Input!$BW$4),"",Input!$BW$4)</f>
        <v/>
      </c>
      <c r="AE7" s="27" t="str">
        <f>IF(ISBLANK(Input!$BZ$4),"",Input!$BZ$4)</f>
        <v/>
      </c>
      <c r="AF7" s="272"/>
      <c r="AG7" s="273"/>
      <c r="AH7" s="67" t="s">
        <v>633</v>
      </c>
      <c r="AI7" s="67" t="s">
        <v>538</v>
      </c>
      <c r="AJ7" s="6" t="str">
        <f>IF(ISBLANK(Input!$C$4),"",Input!$C$4)</f>
        <v/>
      </c>
      <c r="AK7" s="6" t="str">
        <f>IF(ISBLANK(Input!$F$4),"",Input!$F$4)</f>
        <v/>
      </c>
      <c r="AL7" s="6" t="str">
        <f>IF(ISBLANK(Input!$I$4),"",Input!$I$4)</f>
        <v/>
      </c>
      <c r="AM7" s="6" t="str">
        <f>IF(ISBLANK(Input!$L$4),"",Input!$L$4)</f>
        <v/>
      </c>
      <c r="AN7" s="6" t="str">
        <f>IF(ISBLANK(Input!$O$4),"",Input!$O$4)</f>
        <v/>
      </c>
      <c r="AO7" s="6" t="str">
        <f>IF(ISBLANK(Input!$R$4),"",Input!$R$4)</f>
        <v/>
      </c>
      <c r="AP7" s="6" t="str">
        <f>IF(ISBLANK(Input!$U$4),"",Input!$U$4)</f>
        <v>H2O</v>
      </c>
      <c r="AQ7" s="6" t="str">
        <f>IF(ISBLANK(Input!$X$4),"",Input!$X$4)</f>
        <v>CO2,aq</v>
      </c>
      <c r="AR7" s="6" t="str">
        <f>IF(ISBLANK(Input!$AA$4),"",Input!$AA$4)</f>
        <v/>
      </c>
      <c r="AS7" s="6" t="str">
        <f>IF(ISBLANK(Input!$AD$4),"",Input!$AD$4)</f>
        <v/>
      </c>
      <c r="AT7" s="6" t="str">
        <f>IF(ISBLANK(Input!$AG$4),"",Input!$AG$4)</f>
        <v/>
      </c>
      <c r="AU7" s="6" t="str">
        <f>IF(ISBLANK(Input!$AJ$4),"",Input!$AJ$4)</f>
        <v/>
      </c>
      <c r="AV7" s="6" t="str">
        <f>IF(ISBLANK(Input!$AM$4),"",Input!$AM$4)</f>
        <v/>
      </c>
      <c r="AW7" s="27" t="str">
        <f>IF(ISBLANK(Input!$AP$4),"",Input!$AP$4)</f>
        <v/>
      </c>
      <c r="AX7" s="27" t="str">
        <f>IF(ISBLANK(Input!$AS$4),"",Input!$AS$4)</f>
        <v/>
      </c>
      <c r="AY7" s="27" t="str">
        <f>IF(ISBLANK(Input!$AV$4),"",Input!$AV$4)</f>
        <v/>
      </c>
      <c r="AZ7" s="27" t="str">
        <f>IF(ISBLANK(Input!$AY$4),"",Input!$AY$4)</f>
        <v/>
      </c>
      <c r="BA7" s="27" t="str">
        <f>IF(ISBLANK(Input!$BB$4),"",Input!$BB$4)</f>
        <v/>
      </c>
      <c r="BB7" s="27" t="str">
        <f>IF(ISBLANK(Input!$BE$4),"",Input!$BE$4)</f>
        <v/>
      </c>
      <c r="BC7" s="27" t="str">
        <f>IF(ISBLANK(Input!$BH$4),"",Input!$BH$4)</f>
        <v/>
      </c>
      <c r="BD7" s="27" t="str">
        <f>IF(ISBLANK(Input!$BK$4),"",Input!$BK$4)</f>
        <v>H+</v>
      </c>
      <c r="BE7" s="27" t="str">
        <f>IF(ISBLANK(Input!$BN$4),"",Input!$BN$4)</f>
        <v>HCO3-</v>
      </c>
      <c r="BF7" s="27" t="str">
        <f>IF(ISBLANK(Input!$BQ$4),"",Input!$BQ$4)</f>
        <v/>
      </c>
      <c r="BG7" s="27" t="str">
        <f>IF(ISBLANK(Input!$BT$4),"",Input!$BT$4)</f>
        <v/>
      </c>
      <c r="BH7" s="27" t="str">
        <f>IF(ISBLANK(Input!$BW$4),"",Input!$BW$4)</f>
        <v/>
      </c>
      <c r="BI7" s="27" t="str">
        <f>IF(ISBLANK(Input!$BZ$4),"",Input!$BZ$4)</f>
        <v/>
      </c>
      <c r="BJ7" s="272"/>
      <c r="BK7" s="67" t="s">
        <v>538</v>
      </c>
      <c r="BL7" s="67" t="s">
        <v>633</v>
      </c>
      <c r="BM7" s="106"/>
      <c r="BN7" s="1" t="s">
        <v>613</v>
      </c>
      <c r="BO7" s="218" t="str">
        <f>IF(ISBLANK(Input!C4),"",IF(Input!B4&lt;&gt;1,Input!B4,"")&amp;Input!C4&amp;IF(COUNTA(Input!F4,Input!I4,Input!L4,Input!O4,Input!R4,Input!U4,Input!X4,Input!AA4,Input!AD4,Input!AG4,Input!AJ4,Input!AM4)&gt;0," + ",""))&amp;IF(ISBLANK(Input!F4),"",IF(Input!E4&lt;&gt;1,Input!E4,"")&amp;Input!F4&amp;IF(COUNTA(Input!I4,Input!L4,Input!O4,Input!R4,Input!U4,Input!X4,Input!AA4,Input!AD4,Input!AG4,Input!AJ4,Input!AM4)&gt;0," + ",""))&amp;IF(ISBLANK(Input!I4),"",IF(Input!H4&lt;&gt;1,Input!H4,"")&amp;Input!I4&amp;IF(COUNTA(Input!L4,Input!O4,Input!R4,Input!U4,Input!X4,Input!AA4,Input!AD4,Input!AG4,Input!AJ4,Input!AM4)&gt;0," + ",""))&amp;IF(ISBLANK(Input!L4),"",IF(Input!K4&lt;&gt;1,Input!K4,"")&amp;Input!L4&amp;IF(COUNTA(Input!O4,Input!R4,Input!U4,Input!X4,Input!AA4,Input!AD4,Input!AG4,Input!AJ4,Input!AM4)&gt;0," + ",""))&amp;IF(ISBLANK(Input!O4),"",IF(Input!N4&lt;&gt;1,Input!N4,"")&amp;Input!O4&amp;IF(COUNTA(Input!R4,Input!U4,Input!X4,Input!AA4,Input!AD4,Input!AG4,Input!AJ4,Input!AM4)&gt;0," + ",""))&amp;IF(ISBLANK(Input!R4),"",IF(Input!Q4&lt;&gt;1,Input!Q4,"") &amp; Input!R4&amp;IF(COUNTA(Input!U4,Input!X4,Input!AA4,Input!AD4,Input!AG4,Input!AJ4,Input!AM4)&gt;0," + ",""))&amp;IF(ISBLANK(Input!U4),"",IF(Input!T4&lt;&gt;1,Input!T4,"")&amp;Input!U4&amp;IF(COUNTA(Input!X4,Input!AA4,Input!AD4,Input!AG4,Input!AJ4,Input!AM4)&gt;0," + ",""))&amp;IF(ISBLANK(Input!X4),"",IF(Input!W4&lt;&gt;1,Input!W4,"")&amp;Input!X4&amp;IF(COUNTA(Input!AA4,Input!AD4,Input!AG4,Input!AJ4,Input!AM4)&gt;0," + ",""))&amp;IF(ISBLANK(Input!AA4),"",IF(Input!Z4&lt;&gt;1,Input!Z4,"")&amp;Input!AA4&amp;IF(COUNTA(Input!AD4,Input!AG4,Input!AJ4,Input!AM4)&gt;0," + ",""))&amp;IF(ISBLANK(Input!AD4),"",IF(Input!AC4&lt;&gt;1,Input!AC4,"")&amp;Input!AD4&amp;IF(COUNTA(Input!AG4,Input!AJ4,Input!AM4)&gt;0," + ",""))&amp;IF(ISBLANK(Input!AG4),"",IF(Input!AF4&lt;&gt;1,Input!AF4,"")&amp;Input!AG4&amp;IF(COUNTA(Input!AJ4,Input!AM4)&gt;0," + ",""))&amp;IF(ISBLANK(Input!AJ4),"",IF(Input!AI4&lt;&gt;1,Input!AI4,"")&amp;Input!AJ4&amp;IF(COUNTA(Input!AM4)&gt;0," + ",""))&amp;IF(ISBLANK(Input!AM4),"",IF(Input!AL4&lt;&gt;1,Input!AL4,"")&amp;Input!AM4)&amp;IF(AND(COUNTA(Input!C4,Input!F4,Input!I4,Input!L4,Input!O4,Input!R4,Input!U4,Input!X4,Input!AA4,Input!AD4,Input!AG4,Input!AJ4,Input!AM4)&gt;0,COUNTA(Input!AP4,Input!AS4,Input!AV4,Input!AY4,Input!BB4,Input!BE4,Input!BH4,Input!BK4,Input!BN4,Input!BQ4,Input!BT4,Input!BW4,Input!BZ4)&gt;0)," = ","")&amp;IF(ISBLANK(Input!AP4),"",IF(Input!AO4&lt;&gt;1,Input!AO4,"")&amp;Input!AP4&amp;IF(COUNTA(Input!AS4,Input!AV4,Input!AY4,Input!BB4,Input!BE4,Input!BH4,Input!BK4,Input!BN4,Input!BQ4,Input!BT4,Input!BW4,Input!BZ4)&gt;0," + ",""))&amp;IF(ISBLANK(Input!AS4),"",IF(Input!AR4&lt;&gt;1,Input!AR4,"")&amp;Input!AS4&amp;IF(COUNTA(Input!AV4,Input!AY4,Input!BB4,Input!BE4,Input!BH4,Input!BK4,Input!BN4,Input!BQ4,Input!BT4,Input!BW4,Input!BZ4)&gt;0," + ",""))&amp;IF(ISBLANK(Input!AV4),"",IF(Input!AU4&lt;&gt;1,Input!AU4,"")&amp;Input!AV4&amp;IF(COUNTA(Input!AY4,Input!BB4,Input!BE4,Input!BH4,Input!BK4,Input!BN4,Input!BQ4,Input!BT4,Input!BW4,Input!BZ4)&gt;0," + ",""))&amp;IF(ISBLANK(Input!AY4),"",IF(Input!AX4&lt;&gt;1,Input!AX4,"")&amp;Input!AY4&amp;IF(COUNTA(Input!BB4,Input!BE4,Input!BH4,Input!BK4,Input!BN4,Input!BQ4,Input!BT4,Input!BW4,Input!BZ4)&gt;0," + ",""))&amp;IF(ISBLANK(Input!BB4),"",IF(Input!BA4&lt;&gt;1,Input!BA4,"")&amp;Input!BB4&amp;IF(COUNTA(Input!BE4,Input!BH4,Input!BK4,Input!BN4,Input!BQ4,Input!BT4,Input!BW4,Input!BZ4)&gt;0," + ",""))&amp;IF(ISBLANK(Input!BE4),"",IF(Input!BD4&lt;&gt;1,Input!BD4,"")&amp;Input!BE4&amp;IF(COUNTA(Input!BH4,Input!BK4,Input!BN4,Input!BQ4,Input!BT4,Input!BW4,Input!BZ4)&gt;0," + ",""))&amp;IF(ISBLANK(Input!BH4),"",IF(Input!BG4&lt;&gt;1,Input!BG4,"")&amp;Input!BH4&amp;IF(COUNTA(Input!BK4,Input!BN4,Input!BQ4,Input!BT4,Input!BW4,Input!BZ4)&gt;0," + ",""))&amp;IF(ISBLANK(Input!BK4),"",IF(Input!BJ4&lt;&gt;1,Input!BJ4,"")&amp;Input!BK4&amp;IF(COUNTA(Input!BN4,Input!BQ4,Input!BT4,Input!BW4,Input!BZ4)&gt;0," + ",""))&amp;IF(ISBLANK(Input!BN4),"",IF(Input!BM4&lt;&gt;1,Input!BM4,"")&amp;Input!BN4&amp;IF(COUNTA(Input!BQ4,Input!BT4,Input!BW4,Input!BZ4)&gt;0," + ",""))&amp;IF(ISBLANK(Input!BQ4),"",IF(Input!BP4&lt;&gt;1,Input!BP4,"")&amp;Input!BQ4&amp;IF(COUNTA(Input!BT4,Input!BW4,Input!BZ4)&gt;0," + ",""))&amp;IF(ISBLANK(Input!BT4),"",IF(Input!BS4&lt;&gt;1,Input!BS4,"")&amp;Input!BT4&amp;IF(COUNTA(Input!BW4,Input!BZ4)&gt;0," + ",""))&amp;IF(ISBLANK(Input!BW4),"",IF(Input!BV4&lt;&gt;1,Input!BV4,"")&amp;Input!BW4&amp;IF(COUNTA(Input!BZ4)&gt;0," + ",""))&amp;IF(ISBLANK(Input!BZ4),"",IF(Input!BY4&lt;&gt;1,Input!BY4,"")&amp;Input!BZ4)</f>
        <v>H2O + CO2,aq = H+ + HCO3-</v>
      </c>
      <c r="BP7" s="1" t="s">
        <v>613</v>
      </c>
      <c r="BQ7" s="106"/>
      <c r="BR7" s="106"/>
      <c r="BS7" s="106"/>
      <c r="BT7" s="106"/>
      <c r="BU7" s="106"/>
      <c r="BV7" s="106"/>
      <c r="BW7" s="106"/>
      <c r="CB7" s="276"/>
      <c r="CC7" s="277"/>
      <c r="CD7" s="102">
        <f>IFERROR(SMALL($B$8:$B$207, 1), "")</f>
        <v>5</v>
      </c>
      <c r="CE7" s="103">
        <f>IF(OR(CD7 = "", CD7 = MAX($B$8:$B$207)), "", SMALL($B$8:$B$207, FREQUENCY($B$8:$B$207, CD7) + 1))</f>
        <v>10</v>
      </c>
      <c r="CF7" s="1">
        <f t="shared" ref="CF7:DG7" si="0">IF(OR(CE7 = "", CE7 = MAX($B$8:$B$207)), "", SMALL($B$8:$B$207, FREQUENCY($B$8:$B$207, CE7) + 1))</f>
        <v>15</v>
      </c>
      <c r="CG7" s="1">
        <f t="shared" si="0"/>
        <v>20</v>
      </c>
      <c r="CH7" s="1">
        <f t="shared" si="0"/>
        <v>25</v>
      </c>
      <c r="CI7" s="1">
        <f t="shared" si="0"/>
        <v>30</v>
      </c>
      <c r="CJ7" s="1">
        <f t="shared" si="0"/>
        <v>35</v>
      </c>
      <c r="CK7" s="1">
        <f t="shared" si="0"/>
        <v>40</v>
      </c>
      <c r="CL7" s="1">
        <f t="shared" si="0"/>
        <v>45</v>
      </c>
      <c r="CM7" s="1">
        <f t="shared" si="0"/>
        <v>50</v>
      </c>
      <c r="CN7" s="1">
        <f t="shared" si="0"/>
        <v>55</v>
      </c>
      <c r="CO7" s="1">
        <f t="shared" si="0"/>
        <v>60</v>
      </c>
      <c r="CP7" s="1" t="str">
        <f t="shared" si="0"/>
        <v/>
      </c>
      <c r="CQ7" s="1" t="str">
        <f t="shared" si="0"/>
        <v/>
      </c>
      <c r="CR7" s="1" t="str">
        <f t="shared" si="0"/>
        <v/>
      </c>
      <c r="CS7" s="1" t="str">
        <f t="shared" si="0"/>
        <v/>
      </c>
      <c r="CT7" s="1" t="str">
        <f t="shared" si="0"/>
        <v/>
      </c>
      <c r="CU7" s="1" t="str">
        <f t="shared" si="0"/>
        <v/>
      </c>
      <c r="CV7" s="1" t="str">
        <f t="shared" si="0"/>
        <v/>
      </c>
      <c r="CW7" s="1" t="str">
        <f t="shared" si="0"/>
        <v/>
      </c>
      <c r="CX7" s="1" t="str">
        <f t="shared" si="0"/>
        <v/>
      </c>
      <c r="CY7" s="1" t="str">
        <f t="shared" si="0"/>
        <v/>
      </c>
      <c r="CZ7" s="1" t="str">
        <f t="shared" si="0"/>
        <v/>
      </c>
      <c r="DA7" s="1" t="str">
        <f t="shared" si="0"/>
        <v/>
      </c>
      <c r="DB7" s="1" t="str">
        <f t="shared" si="0"/>
        <v/>
      </c>
      <c r="DC7" s="1" t="str">
        <f t="shared" si="0"/>
        <v/>
      </c>
      <c r="DD7" s="1" t="str">
        <f t="shared" si="0"/>
        <v/>
      </c>
      <c r="DE7" s="1" t="str">
        <f t="shared" si="0"/>
        <v/>
      </c>
      <c r="DF7" s="1" t="str">
        <f t="shared" si="0"/>
        <v/>
      </c>
      <c r="DG7" s="1" t="str">
        <f t="shared" si="0"/>
        <v/>
      </c>
    </row>
    <row r="8" spans="1:131" ht="15" customHeight="1" x14ac:dyDescent="0.2">
      <c r="B8" s="1">
        <f>IFERROR(Calculations!M6/1000, "")</f>
        <v>5</v>
      </c>
      <c r="C8" s="1">
        <f>Calculations!N6</f>
        <v>300</v>
      </c>
      <c r="D8" s="58">
        <f>IFERROR(Calculations!$Q6,"")</f>
        <v>0.99332279633283627</v>
      </c>
      <c r="E8" s="8">
        <f>IFERROR(Calculations!$S6, "")</f>
        <v>33.917529139538075</v>
      </c>
      <c r="F8" s="89"/>
      <c r="G8" s="89"/>
      <c r="H8" s="89"/>
      <c r="I8" s="89"/>
      <c r="J8" s="25" t="str">
        <f>IFERROR(Calculations!AC6, "")</f>
        <v/>
      </c>
      <c r="K8" s="25" t="str">
        <f>IFERROR(Calculations!AD6, "")</f>
        <v/>
      </c>
      <c r="L8" s="8">
        <f>IFERROR(Calculations!AE6,"")</f>
        <v>-60673.641695168939</v>
      </c>
      <c r="M8" s="8">
        <f>IFERROR(Calculations!AF6,"")</f>
        <v>-99318.170365635422</v>
      </c>
      <c r="N8" s="8" t="str">
        <f>IFERROR(Calculations!AG6,"")</f>
        <v/>
      </c>
      <c r="O8" s="8" t="str">
        <f>IFERROR(Calculations!AH6,"")</f>
        <v/>
      </c>
      <c r="P8" s="8" t="str">
        <f>IFERROR(Calculations!AI6,"")</f>
        <v/>
      </c>
      <c r="Q8" s="8" t="str">
        <f>IFERROR(Calculations!AJ6,"")</f>
        <v/>
      </c>
      <c r="R8" s="8" t="str">
        <f>IFERROR(Calculations!AK6,"")</f>
        <v/>
      </c>
      <c r="S8" s="89"/>
      <c r="T8" s="89"/>
      <c r="U8" s="89"/>
      <c r="V8" s="89"/>
      <c r="W8" s="25" t="str">
        <f>IFERROR(Calculations!AP6, "")</f>
        <v/>
      </c>
      <c r="X8" s="25" t="str">
        <f>IFERROR(Calculations!AQ6, "")</f>
        <v/>
      </c>
      <c r="Y8" s="8" t="str">
        <f>IFERROR(Calculations!AR6,"")</f>
        <v/>
      </c>
      <c r="Z8" s="8">
        <f>IFERROR(Calculations!AS6,"")</f>
        <v>0</v>
      </c>
      <c r="AA8" s="8">
        <f>IFERROR(Calculations!AT6,"")</f>
        <v>-143643.5688283038</v>
      </c>
      <c r="AB8" s="8" t="str">
        <f>IFERROR(Calculations!AU6,"")</f>
        <v/>
      </c>
      <c r="AC8" s="8" t="str">
        <f>IFERROR(Calculations!AV6,"")</f>
        <v/>
      </c>
      <c r="AD8" s="8" t="str">
        <f>IFERROR(Calculations!AW6,"")</f>
        <v/>
      </c>
      <c r="AE8" s="8" t="str">
        <f>IFERROR(Calculations!AX6,"")</f>
        <v/>
      </c>
      <c r="AF8" s="8">
        <f>IFERROR(IF(Calculations!AY6 &lt;&gt; 0, Calculations!AY6, ""),"")</f>
        <v>16348.243232500565</v>
      </c>
      <c r="AG8" s="42">
        <f>IFERROR(IF(Calculations!AZ6 &lt;&gt; 0, Calculations!AZ6, ""),"")</f>
        <v>-6.237846269148104</v>
      </c>
      <c r="AH8" s="1">
        <f>$B8</f>
        <v>5</v>
      </c>
      <c r="AI8" s="1">
        <f>$C8</f>
        <v>300</v>
      </c>
      <c r="AJ8" s="89"/>
      <c r="AK8" s="89"/>
      <c r="AL8" s="89"/>
      <c r="AM8" s="89"/>
      <c r="AN8" s="8" t="str">
        <f>IFERROR(Calculations!BJ6, "")</f>
        <v/>
      </c>
      <c r="AO8" s="8" t="str">
        <f>IFERROR(Calculations!BK6, "")</f>
        <v/>
      </c>
      <c r="AP8" s="8">
        <f>IFERROR(Calculations!BL6, "")</f>
        <v>18.13638030508217</v>
      </c>
      <c r="AQ8" s="8">
        <f>IFERROR(Calculations!BM6, "")</f>
        <v>33.398680639839739</v>
      </c>
      <c r="AR8" s="8" t="str">
        <f>IFERROR(Calculations!BN6, "")</f>
        <v/>
      </c>
      <c r="AS8" s="8" t="str">
        <f>IFERROR(Calculations!BO6, "")</f>
        <v/>
      </c>
      <c r="AT8" s="8" t="str">
        <f>IFERROR(Calculations!BP6, "")</f>
        <v/>
      </c>
      <c r="AU8" s="8" t="str">
        <f>IFERROR(Calculations!BQ6, "")</f>
        <v/>
      </c>
      <c r="AV8" s="8" t="str">
        <f>IFERROR(Calculations!BR6, "")</f>
        <v/>
      </c>
      <c r="AW8" s="89"/>
      <c r="AX8" s="89"/>
      <c r="AY8" s="89"/>
      <c r="AZ8" s="89"/>
      <c r="BA8" s="8" t="str">
        <f>IFERROR(Calculations!BW6, "")</f>
        <v/>
      </c>
      <c r="BB8" s="8" t="str">
        <f>IFERROR(Calculations!BX6, "")</f>
        <v/>
      </c>
      <c r="BC8" s="8" t="str">
        <f>IFERROR(Calculations!BY6, "")</f>
        <v/>
      </c>
      <c r="BD8" s="8">
        <f>IFERROR(Calculations!BZ6, "")</f>
        <v>0</v>
      </c>
      <c r="BE8" s="8">
        <f>IFERROR(Calculations!CA6, "")</f>
        <v>27.227506382124798</v>
      </c>
      <c r="BF8" s="8" t="str">
        <f>IFERROR(Calculations!CB6, "")</f>
        <v/>
      </c>
      <c r="BG8" s="8" t="str">
        <f>IFERROR(Calculations!CC6, "")</f>
        <v/>
      </c>
      <c r="BH8" s="8" t="str">
        <f>IFERROR(Calculations!CD6, "")</f>
        <v/>
      </c>
      <c r="BI8" s="8" t="str">
        <f>IFERROR(Calculations!CE6, "")</f>
        <v/>
      </c>
      <c r="BJ8" s="8">
        <f>IFERROR(IF(Calculations!CF6 &lt;&gt; 0, Calculations!CF6, ""),"")</f>
        <v>-24.307554562797112</v>
      </c>
      <c r="BK8" s="1">
        <f>$C8</f>
        <v>300</v>
      </c>
      <c r="BL8" s="1">
        <f>$B8</f>
        <v>5</v>
      </c>
      <c r="BN8" s="1" t="s">
        <v>613</v>
      </c>
      <c r="BO8" s="218" t="s">
        <v>691</v>
      </c>
      <c r="BP8" s="1" t="s">
        <v>613</v>
      </c>
      <c r="CB8" s="269" t="s">
        <v>582</v>
      </c>
      <c r="CC8" s="16">
        <f>IFERROR(SMALL($C$8:$C$207,1), "")</f>
        <v>300</v>
      </c>
      <c r="CD8" s="8">
        <f t="array" ref="CD8">IFERROR(INDEX(CHOOSE($BO$11,$AF$8:$AF$207,$AG$8:$AG$207,$BJ$8:$BJ$207), MATCH(CD$7&amp;$CC8, $B$8:$B$207&amp;$C$8:$C$207, 0)), "")</f>
        <v>-6.237846269148104</v>
      </c>
      <c r="CE8" s="8">
        <f t="array" ref="CE8">IFERROR(INDEX(CHOOSE($BO$11,$AF$8:$AF$207,$AG$8:$AG$207,$BJ$8:$BJ$207), MATCH(CE$7&amp;$CC8, $B$8:$B$207&amp;$C$8:$C$207, 0)), "")</f>
        <v>-5.2177909455999387</v>
      </c>
      <c r="CF8" s="8">
        <f t="array" ref="CF8">IFERROR(INDEX(CHOOSE($BO$11,$AF$8:$AF$207,$AG$8:$AG$207,$BJ$8:$BJ$207), MATCH(CF$7&amp;$CC8, $B$8:$B$207&amp;$C$8:$C$207, 0)), "")</f>
        <v>-4.4112762239717869</v>
      </c>
      <c r="CG8" s="8">
        <f t="array" ref="CG8">IFERROR(INDEX(CHOOSE($BO$11,$AF$8:$AF$207,$AG$8:$AG$207,$BJ$8:$BJ$207), MATCH(CG$7&amp;$CC8, $B$8:$B$207&amp;$C$8:$C$207, 0)), "")</f>
        <v>-3.707898716139777</v>
      </c>
      <c r="CH8" s="8">
        <f t="array" ref="CH8">IFERROR(INDEX(CHOOSE($BO$11,$AF$8:$AF$207,$AG$8:$AG$207,$BJ$8:$BJ$207), MATCH(CH$7&amp;$CC8, $B$8:$B$207&amp;$C$8:$C$207, 0)), "")</f>
        <v>-3.0688547460967808</v>
      </c>
      <c r="CI8" s="8">
        <f t="array" ref="CI8">IFERROR(INDEX(CHOOSE($BO$11,$AF$8:$AF$207,$AG$8:$AG$207,$BJ$8:$BJ$207), MATCH(CI$7&amp;$CC8, $B$8:$B$207&amp;$C$8:$C$207, 0)), "")</f>
        <v>-2.4744300126336487</v>
      </c>
      <c r="CJ8" s="8">
        <f t="array" ref="CJ8">IFERROR(INDEX(CHOOSE($BO$11,$AF$8:$AF$207,$AG$8:$AG$207,$BJ$8:$BJ$207), MATCH(CJ$7&amp;$CC8, $B$8:$B$207&amp;$C$8:$C$207, 0)), "")</f>
        <v>-1.9141537001572699</v>
      </c>
      <c r="CK8" s="8">
        <f t="array" ref="CK8">IFERROR(INDEX(CHOOSE($BO$11,$AF$8:$AF$207,$AG$8:$AG$207,$BJ$8:$BJ$207), MATCH(CK$7&amp;$CC8, $B$8:$B$207&amp;$C$8:$C$207, 0)), "")</f>
        <v>-1.3808596630945151</v>
      </c>
      <c r="CL8" s="8">
        <f t="array" ref="CL8">IFERROR(INDEX(CHOOSE($BO$11,$AF$8:$AF$207,$AG$8:$AG$207,$BJ$8:$BJ$207), MATCH(CL$7&amp;$CC8, $B$8:$B$207&amp;$C$8:$C$207, 0)), "")</f>
        <v>-0.8694486886899826</v>
      </c>
      <c r="CM8" s="8">
        <f t="array" ref="CM8">IFERROR(INDEX(CHOOSE($BO$11,$AF$8:$AF$207,$AG$8:$AG$207,$BJ$8:$BJ$207), MATCH(CM$7&amp;$CC8, $B$8:$B$207&amp;$C$8:$C$207, 0)), "")</f>
        <v>-0.37686524867464188</v>
      </c>
      <c r="CN8" s="8">
        <f t="array" ref="CN8">IFERROR(INDEX(CHOOSE($BO$11,$AF$8:$AF$207,$AG$8:$AG$207,$BJ$8:$BJ$207), MATCH(CN$7&amp;$CC8, $B$8:$B$207&amp;$C$8:$C$207, 0)), "")</f>
        <v>9.9878975967235092E-2</v>
      </c>
      <c r="CO8" s="8">
        <f t="array" ref="CO8">IFERROR(INDEX(CHOOSE($BO$11,$AF$8:$AF$207,$AG$8:$AG$207,$BJ$8:$BJ$207), MATCH(CO$7&amp;$CC8, $B$8:$B$207&amp;$C$8:$C$207, 0)), "")</f>
        <v>0.56139444693491303</v>
      </c>
      <c r="CP8" s="8" t="str">
        <f t="array" ref="CP8">IFERROR(INDEX(CHOOSE($BO$11,$AF$8:$AF$207,$AG$8:$AG$207,$BJ$8:$BJ$207), MATCH(CP$7&amp;$CC8, $B$8:$B$207&amp;$C$8:$C$207, 0)), "")</f>
        <v/>
      </c>
      <c r="CQ8" s="8" t="str">
        <f t="array" ref="CQ8">IFERROR(INDEX(CHOOSE($BO$11,$AF$8:$AF$207,$AG$8:$AG$207,$BJ$8:$BJ$207), MATCH(CQ$7&amp;$CC8, $B$8:$B$207&amp;$C$8:$C$207, 0)), "")</f>
        <v/>
      </c>
      <c r="CR8" s="8" t="str">
        <f t="array" ref="CR8">IFERROR(INDEX(CHOOSE($BO$11,$AF$8:$AF$207,$AG$8:$AG$207,$BJ$8:$BJ$207), MATCH(CR$7&amp;$CC8, $B$8:$B$207&amp;$C$8:$C$207, 0)), "")</f>
        <v/>
      </c>
      <c r="CS8" s="8" t="str">
        <f t="array" ref="CS8">IFERROR(INDEX(CHOOSE($BO$11,$AF$8:$AF$207,$AG$8:$AG$207,$BJ$8:$BJ$207), MATCH(CS$7&amp;$CC8, $B$8:$B$207&amp;$C$8:$C$207, 0)), "")</f>
        <v/>
      </c>
      <c r="CT8" s="8" t="str">
        <f t="array" ref="CT8">IFERROR(INDEX(CHOOSE($BO$11,$AF$8:$AF$207,$AG$8:$AG$207,$BJ$8:$BJ$207), MATCH(CT$7&amp;$CC8, $B$8:$B$207&amp;$C$8:$C$207, 0)), "")</f>
        <v/>
      </c>
      <c r="CU8" s="8" t="str">
        <f t="array" ref="CU8">IFERROR(INDEX(CHOOSE($BO$11,$AF$8:$AF$207,$AG$8:$AG$207,$BJ$8:$BJ$207), MATCH(CU$7&amp;$CC8, $B$8:$B$207&amp;$C$8:$C$207, 0)), "")</f>
        <v/>
      </c>
      <c r="CV8" s="8" t="str">
        <f t="array" ref="CV8">IFERROR(INDEX(CHOOSE($BO$11,$AF$8:$AF$207,$AG$8:$AG$207,$BJ$8:$BJ$207), MATCH(CV$7&amp;$CC8, $B$8:$B$207&amp;$C$8:$C$207, 0)), "")</f>
        <v/>
      </c>
      <c r="CW8" s="8" t="str">
        <f t="array" ref="CW8">IFERROR(INDEX(CHOOSE($BO$11,$AF$8:$AF$207,$AG$8:$AG$207,$BJ$8:$BJ$207), MATCH(CW$7&amp;$CC8, $B$8:$B$207&amp;$C$8:$C$207, 0)), "")</f>
        <v/>
      </c>
      <c r="CX8" s="8" t="str">
        <f t="array" ref="CX8">IFERROR(INDEX(CHOOSE($BO$11,$AF$8:$AF$207,$AG$8:$AG$207,$BJ$8:$BJ$207), MATCH(CX$7&amp;$CC8, $B$8:$B$207&amp;$C$8:$C$207, 0)), "")</f>
        <v/>
      </c>
      <c r="CY8" s="8" t="str">
        <f t="array" ref="CY8">IFERROR(INDEX(CHOOSE($BO$11,$AF$8:$AF$207,$AG$8:$AG$207,$BJ$8:$BJ$207), MATCH(CY$7&amp;$CC8, $B$8:$B$207&amp;$C$8:$C$207, 0)), "")</f>
        <v/>
      </c>
      <c r="CZ8" s="8" t="str">
        <f t="array" ref="CZ8">IFERROR(INDEX(CHOOSE($BO$11,$AF$8:$AF$207,$AG$8:$AG$207,$BJ$8:$BJ$207), MATCH(CZ$7&amp;$CC8, $B$8:$B$207&amp;$C$8:$C$207, 0)), "")</f>
        <v/>
      </c>
      <c r="DA8" s="8" t="str">
        <f t="array" ref="DA8">IFERROR(INDEX(CHOOSE($BO$11,$AF$8:$AF$207,$AG$8:$AG$207,$BJ$8:$BJ$207), MATCH(DA$7&amp;$CC8, $B$8:$B$207&amp;$C$8:$C$207, 0)), "")</f>
        <v/>
      </c>
      <c r="DB8" s="8" t="str">
        <f t="array" ref="DB8">IFERROR(INDEX(CHOOSE($BO$11,$AF$8:$AF$207,$AG$8:$AG$207,$BJ$8:$BJ$207), MATCH(DB$7&amp;$CC8, $B$8:$B$207&amp;$C$8:$C$207, 0)), "")</f>
        <v/>
      </c>
      <c r="DC8" s="8" t="str">
        <f t="array" ref="DC8">IFERROR(INDEX(CHOOSE($BO$11,$AF$8:$AF$207,$AG$8:$AG$207,$BJ$8:$BJ$207), MATCH(DC$7&amp;$CC8, $B$8:$B$207&amp;$C$8:$C$207, 0)), "")</f>
        <v/>
      </c>
      <c r="DD8" s="8" t="str">
        <f t="array" ref="DD8">IFERROR(INDEX(CHOOSE($BO$11,$AF$8:$AF$207,$AG$8:$AG$207,$BJ$8:$BJ$207), MATCH(DD$7&amp;$CC8, $B$8:$B$207&amp;$C$8:$C$207, 0)), "")</f>
        <v/>
      </c>
      <c r="DE8" s="8" t="str">
        <f t="array" ref="DE8">IFERROR(INDEX(CHOOSE($BO$11,$AF$8:$AF$207,$AG$8:$AG$207,$BJ$8:$BJ$207), MATCH(DE$7&amp;$CC8, $B$8:$B$207&amp;$C$8:$C$207, 0)), "")</f>
        <v/>
      </c>
      <c r="DF8" s="8" t="str">
        <f t="array" ref="DF8">IFERROR(INDEX(CHOOSE($BO$11,$AF$8:$AF$207,$AG$8:$AG$207,$BJ$8:$BJ$207), MATCH(DF$7&amp;$CC8, $B$8:$B$207&amp;$C$8:$C$207, 0)), "")</f>
        <v/>
      </c>
      <c r="DG8" s="8" t="str">
        <f t="array" ref="DG8">IFERROR(INDEX(CHOOSE($BO$11,$AF$8:$AF$207,$AG$8:$AG$207,$BJ$8:$BJ$207), MATCH(DG$7&amp;$CC8, $B$8:$B$207&amp;$C$8:$C$207, 0)), "")</f>
        <v/>
      </c>
      <c r="DH8" s="8"/>
      <c r="DI8" s="8"/>
      <c r="DJ8" s="8"/>
      <c r="DK8" s="8"/>
      <c r="DL8" s="8"/>
      <c r="DM8" s="8"/>
      <c r="DN8" s="8"/>
      <c r="DO8" s="8"/>
      <c r="DP8" s="8"/>
      <c r="DQ8" s="8"/>
      <c r="DR8" s="8"/>
      <c r="DS8" s="8"/>
      <c r="DT8" s="8"/>
      <c r="DU8" s="8"/>
      <c r="DV8" s="8"/>
      <c r="DW8" s="8"/>
      <c r="DX8" s="8"/>
      <c r="DY8" s="8"/>
      <c r="DZ8" s="8"/>
      <c r="EA8" s="8"/>
    </row>
    <row r="9" spans="1:131" x14ac:dyDescent="0.2">
      <c r="B9" s="1">
        <f>IFERROR(Calculations!M7/1000, "")</f>
        <v>5</v>
      </c>
      <c r="C9" s="1">
        <f>Calculations!N7</f>
        <v>350</v>
      </c>
      <c r="D9" s="58">
        <f>IFERROR(Calculations!$Q7,"")</f>
        <v>0.96202154233455661</v>
      </c>
      <c r="E9" s="8">
        <f>IFERROR(Calculations!$S7, "")</f>
        <v>29.287371064776703</v>
      </c>
      <c r="F9" s="89"/>
      <c r="G9" s="89"/>
      <c r="H9" s="89"/>
      <c r="I9" s="89"/>
      <c r="J9" s="1" t="str">
        <f>IFERROR(Calculations!AC7, "")</f>
        <v/>
      </c>
      <c r="K9" s="1" t="str">
        <f>IFERROR(Calculations!AD7, "")</f>
        <v/>
      </c>
      <c r="L9" s="8">
        <f>IFERROR(Calculations!AE7,"")</f>
        <v>-62033.029153101241</v>
      </c>
      <c r="M9" s="8">
        <f>IFERROR(Calculations!AF7,"")</f>
        <v>-101552.37691280192</v>
      </c>
      <c r="N9" s="8" t="str">
        <f>IFERROR(Calculations!AG7,"")</f>
        <v/>
      </c>
      <c r="O9" s="8" t="str">
        <f>IFERROR(Calculations!AH7,"")</f>
        <v/>
      </c>
      <c r="P9" s="8" t="str">
        <f>IFERROR(Calculations!AI7,"")</f>
        <v/>
      </c>
      <c r="Q9" s="8" t="str">
        <f>IFERROR(Calculations!AJ7,"")</f>
        <v/>
      </c>
      <c r="R9" s="8" t="str">
        <f>IFERROR(Calculations!AK7,"")</f>
        <v/>
      </c>
      <c r="S9" s="89"/>
      <c r="T9" s="89"/>
      <c r="U9" s="89"/>
      <c r="V9" s="89"/>
      <c r="W9" s="1" t="str">
        <f>IFERROR(Calculations!AP7, "")</f>
        <v/>
      </c>
      <c r="X9" s="1" t="str">
        <f>IFERROR(Calculations!AQ7, "")</f>
        <v/>
      </c>
      <c r="Y9" s="8" t="str">
        <f>IFERROR(Calculations!AR7,"")</f>
        <v/>
      </c>
      <c r="Z9" s="8">
        <f>IFERROR(Calculations!AS7,"")</f>
        <v>0</v>
      </c>
      <c r="AA9" s="8">
        <f>IFERROR(Calculations!AT7,"")</f>
        <v>-144907.72421259439</v>
      </c>
      <c r="AB9" s="8" t="str">
        <f>IFERROR(Calculations!AU7,"")</f>
        <v/>
      </c>
      <c r="AC9" s="8" t="str">
        <f>IFERROR(Calculations!AV7,"")</f>
        <v/>
      </c>
      <c r="AD9" s="8" t="str">
        <f>IFERROR(Calculations!AW7,"")</f>
        <v/>
      </c>
      <c r="AE9" s="8" t="str">
        <f>IFERROR(Calculations!AX7,"")</f>
        <v/>
      </c>
      <c r="AF9" s="8">
        <f>IFERROR(IF(Calculations!AY7 &lt;&gt; 0, Calculations!AY7, ""),"")</f>
        <v>18677.681853308779</v>
      </c>
      <c r="AG9" s="42">
        <f>IFERROR(IF(Calculations!AZ7 &lt;&gt; 0, Calculations!AZ7, ""),"")</f>
        <v>-6.5548423016812549</v>
      </c>
      <c r="AH9" s="1">
        <f t="shared" ref="AH9:AH72" si="1">$B9</f>
        <v>5</v>
      </c>
      <c r="AI9" s="1">
        <f t="shared" ref="AI9:AI72" si="2">$C9</f>
        <v>350</v>
      </c>
      <c r="AJ9" s="89"/>
      <c r="AK9" s="89"/>
      <c r="AL9" s="89"/>
      <c r="AM9" s="89"/>
      <c r="AN9" s="8" t="str">
        <f>IFERROR(Calculations!BJ7, "")</f>
        <v/>
      </c>
      <c r="AO9" s="8" t="str">
        <f>IFERROR(Calculations!BK7, "")</f>
        <v/>
      </c>
      <c r="AP9" s="8">
        <f>IFERROR(Calculations!BL7, "")</f>
        <v>18.726482939542045</v>
      </c>
      <c r="AQ9" s="8">
        <f>IFERROR(Calculations!BM7, "")</f>
        <v>34.247396054549633</v>
      </c>
      <c r="AR9" s="8" t="str">
        <f>IFERROR(Calculations!BN7, "")</f>
        <v/>
      </c>
      <c r="AS9" s="8" t="str">
        <f>IFERROR(Calculations!BO7, "")</f>
        <v/>
      </c>
      <c r="AT9" s="8" t="str">
        <f>IFERROR(Calculations!BP7, "")</f>
        <v/>
      </c>
      <c r="AU9" s="8" t="str">
        <f>IFERROR(Calculations!BQ7, "")</f>
        <v/>
      </c>
      <c r="AV9" s="8" t="str">
        <f>IFERROR(Calculations!BR7, "")</f>
        <v/>
      </c>
      <c r="AW9" s="91"/>
      <c r="AX9" s="91"/>
      <c r="AY9" s="91"/>
      <c r="AZ9" s="91"/>
      <c r="BA9" s="8" t="str">
        <f>IFERROR(Calculations!BW7, "")</f>
        <v/>
      </c>
      <c r="BB9" s="8" t="str">
        <f>IFERROR(Calculations!BX7, "")</f>
        <v/>
      </c>
      <c r="BC9" s="8" t="str">
        <f>IFERROR(Calculations!BY7, "")</f>
        <v/>
      </c>
      <c r="BD9" s="8">
        <f>IFERROR(Calculations!BZ7, "")</f>
        <v>0</v>
      </c>
      <c r="BE9" s="8">
        <f>IFERROR(Calculations!CA7, "")</f>
        <v>25.95769733501016</v>
      </c>
      <c r="BF9" s="8" t="str">
        <f>IFERROR(Calculations!CB7, "")</f>
        <v/>
      </c>
      <c r="BG9" s="8" t="str">
        <f>IFERROR(Calculations!CC7, "")</f>
        <v/>
      </c>
      <c r="BH9" s="8" t="str">
        <f>IFERROR(Calculations!CD7, "")</f>
        <v/>
      </c>
      <c r="BI9" s="8" t="str">
        <f>IFERROR(Calculations!CE7, "")</f>
        <v/>
      </c>
      <c r="BJ9" s="8">
        <f>IFERROR(IF(Calculations!CF7 &lt;&gt; 0, Calculations!CF7, ""),"")</f>
        <v>-27.016181659081518</v>
      </c>
      <c r="BK9" s="1">
        <f t="shared" ref="BK9:BK72" si="3">$C9</f>
        <v>350</v>
      </c>
      <c r="BL9" s="1">
        <f t="shared" ref="BL9:BL72" si="4">$B9</f>
        <v>5</v>
      </c>
      <c r="BN9" s="1" t="s">
        <v>613</v>
      </c>
      <c r="BO9" s="218" t="s">
        <v>583</v>
      </c>
      <c r="BP9" s="1" t="s">
        <v>613</v>
      </c>
      <c r="CB9" s="270"/>
      <c r="CC9" s="105">
        <f>IF(OR(CC8 = "", CC8 = MAX($C$8:$C$207)), "",SMALL($C$8:$C$207, FREQUENCY($C$8:$C$207, CC8) + 1))</f>
        <v>350</v>
      </c>
      <c r="CD9" s="8">
        <f t="array" ref="CD9">IFERROR(INDEX(CHOOSE($BO$11,$AF$8:$AF$207,$AG$8:$AG$207,$BJ$8:$BJ$207), MATCH(CD$7&amp;$CC9, $B$8:$B$207&amp;$C$8:$C$207, 0)), "")</f>
        <v>-6.5548423016812549</v>
      </c>
      <c r="CE9" s="8">
        <f t="array" ref="CE9">IFERROR(INDEX(CHOOSE($BO$11,$AF$8:$AF$207,$AG$8:$AG$207,$BJ$8:$BJ$207), MATCH(CE$7&amp;$CC9, $B$8:$B$207&amp;$C$8:$C$207, 0)), "")</f>
        <v>-5.5160771740739154</v>
      </c>
      <c r="CF9" s="8">
        <f t="array" ref="CF9">IFERROR(INDEX(CHOOSE($BO$11,$AF$8:$AF$207,$AG$8:$AG$207,$BJ$8:$BJ$207), MATCH(CF$7&amp;$CC9, $B$8:$B$207&amp;$C$8:$C$207, 0)), "")</f>
        <v>-4.7247803495625629</v>
      </c>
      <c r="CG9" s="8">
        <f t="array" ref="CG9">IFERROR(INDEX(CHOOSE($BO$11,$AF$8:$AF$207,$AG$8:$AG$207,$BJ$8:$BJ$207), MATCH(CG$7&amp;$CC9, $B$8:$B$207&amp;$C$8:$C$207, 0)), "")</f>
        <v>-4.0459133384367254</v>
      </c>
      <c r="CH9" s="8">
        <f t="array" ref="CH9">IFERROR(INDEX(CHOOSE($BO$11,$AF$8:$AF$207,$AG$8:$AG$207,$BJ$8:$BJ$207), MATCH(CH$7&amp;$CC9, $B$8:$B$207&amp;$C$8:$C$207, 0)), "")</f>
        <v>-3.434889518928514</v>
      </c>
      <c r="CI9" s="8">
        <f t="array" ref="CI9">IFERROR(INDEX(CHOOSE($BO$11,$AF$8:$AF$207,$AG$8:$AG$207,$BJ$8:$BJ$207), MATCH(CI$7&amp;$CC9, $B$8:$B$207&amp;$C$8:$C$207, 0)), "")</f>
        <v>-2.8700160778469401</v>
      </c>
      <c r="CJ9" s="8">
        <f t="array" ref="CJ9">IFERROR(INDEX(CHOOSE($BO$11,$AF$8:$AF$207,$AG$8:$AG$207,$BJ$8:$BJ$207), MATCH(CJ$7&amp;$CC9, $B$8:$B$207&amp;$C$8:$C$207, 0)), "")</f>
        <v>-2.3397647059705604</v>
      </c>
      <c r="CK9" s="8">
        <f t="array" ref="CK9">IFERROR(INDEX(CHOOSE($BO$11,$AF$8:$AF$207,$AG$8:$AG$207,$BJ$8:$BJ$207), MATCH(CK$7&amp;$CC9, $B$8:$B$207&amp;$C$8:$C$207, 0)), "")</f>
        <v>-1.8365989503305733</v>
      </c>
      <c r="CL9" s="8">
        <f t="array" ref="CL9">IFERROR(INDEX(CHOOSE($BO$11,$AF$8:$AF$207,$AG$8:$AG$207,$BJ$8:$BJ$207), MATCH(CL$7&amp;$CC9, $B$8:$B$207&amp;$C$8:$C$207, 0)), "")</f>
        <v>-1.3557170790331092</v>
      </c>
      <c r="CM9" s="8">
        <f t="array" ref="CM9">IFERROR(INDEX(CHOOSE($BO$11,$AF$8:$AF$207,$AG$8:$AG$207,$BJ$8:$BJ$207), MATCH(CM$7&amp;$CC9, $B$8:$B$207&amp;$C$8:$C$207, 0)), "")</f>
        <v>-0.89263634631473199</v>
      </c>
      <c r="CN9" s="8">
        <f t="array" ref="CN9">IFERROR(INDEX(CHOOSE($BO$11,$AF$8:$AF$207,$AG$8:$AG$207,$BJ$8:$BJ$207), MATCH(CN$7&amp;$CC9, $B$8:$B$207&amp;$C$8:$C$207, 0)), "")</f>
        <v>-0.44675013660720958</v>
      </c>
      <c r="CO9" s="8">
        <f t="array" ref="CO9">IFERROR(INDEX(CHOOSE($BO$11,$AF$8:$AF$207,$AG$8:$AG$207,$BJ$8:$BJ$207), MATCH(CO$7&amp;$CC9, $B$8:$B$207&amp;$C$8:$C$207, 0)), "")</f>
        <v>-1.4050762068628873E-2</v>
      </c>
      <c r="CP9" s="8" t="str">
        <f t="array" ref="CP9">IFERROR(INDEX(CHOOSE($BO$11,$AF$8:$AF$207,$AG$8:$AG$207,$BJ$8:$BJ$207), MATCH(CP$7&amp;$CC9, $B$8:$B$207&amp;$C$8:$C$207, 0)), "")</f>
        <v/>
      </c>
      <c r="CQ9" s="8" t="str">
        <f t="array" ref="CQ9">IFERROR(INDEX(CHOOSE($BO$11,$AF$8:$AF$207,$AG$8:$AG$207,$BJ$8:$BJ$207), MATCH(CQ$7&amp;$CC9, $B$8:$B$207&amp;$C$8:$C$207, 0)), "")</f>
        <v/>
      </c>
      <c r="CR9" s="8" t="str">
        <f t="array" ref="CR9">IFERROR(INDEX(CHOOSE($BO$11,$AF$8:$AF$207,$AG$8:$AG$207,$BJ$8:$BJ$207), MATCH(CR$7&amp;$CC9, $B$8:$B$207&amp;$C$8:$C$207, 0)), "")</f>
        <v/>
      </c>
      <c r="CS9" s="8" t="str">
        <f t="array" ref="CS9">IFERROR(INDEX(CHOOSE($BO$11,$AF$8:$AF$207,$AG$8:$AG$207,$BJ$8:$BJ$207), MATCH(CS$7&amp;$CC9, $B$8:$B$207&amp;$C$8:$C$207, 0)), "")</f>
        <v/>
      </c>
      <c r="CT9" s="8" t="str">
        <f t="array" ref="CT9">IFERROR(INDEX(CHOOSE($BO$11,$AF$8:$AF$207,$AG$8:$AG$207,$BJ$8:$BJ$207), MATCH(CT$7&amp;$CC9, $B$8:$B$207&amp;$C$8:$C$207, 0)), "")</f>
        <v/>
      </c>
      <c r="CU9" s="8" t="str">
        <f t="array" ref="CU9">IFERROR(INDEX(CHOOSE($BO$11,$AF$8:$AF$207,$AG$8:$AG$207,$BJ$8:$BJ$207), MATCH(CU$7&amp;$CC9, $B$8:$B$207&amp;$C$8:$C$207, 0)), "")</f>
        <v/>
      </c>
      <c r="CV9" s="8" t="str">
        <f t="array" ref="CV9">IFERROR(INDEX(CHOOSE($BO$11,$AF$8:$AF$207,$AG$8:$AG$207,$BJ$8:$BJ$207), MATCH(CV$7&amp;$CC9, $B$8:$B$207&amp;$C$8:$C$207, 0)), "")</f>
        <v/>
      </c>
      <c r="CW9" s="8" t="str">
        <f t="array" ref="CW9">IFERROR(INDEX(CHOOSE($BO$11,$AF$8:$AF$207,$AG$8:$AG$207,$BJ$8:$BJ$207), MATCH(CW$7&amp;$CC9, $B$8:$B$207&amp;$C$8:$C$207, 0)), "")</f>
        <v/>
      </c>
      <c r="CX9" s="8" t="str">
        <f t="array" ref="CX9">IFERROR(INDEX(CHOOSE($BO$11,$AF$8:$AF$207,$AG$8:$AG$207,$BJ$8:$BJ$207), MATCH(CX$7&amp;$CC9, $B$8:$B$207&amp;$C$8:$C$207, 0)), "")</f>
        <v/>
      </c>
      <c r="CY9" s="8" t="str">
        <f t="array" ref="CY9">IFERROR(INDEX(CHOOSE($BO$11,$AF$8:$AF$207,$AG$8:$AG$207,$BJ$8:$BJ$207), MATCH(CY$7&amp;$CC9, $B$8:$B$207&amp;$C$8:$C$207, 0)), "")</f>
        <v/>
      </c>
      <c r="CZ9" s="8" t="str">
        <f t="array" ref="CZ9">IFERROR(INDEX(CHOOSE($BO$11,$AF$8:$AF$207,$AG$8:$AG$207,$BJ$8:$BJ$207), MATCH(CZ$7&amp;$CC9, $B$8:$B$207&amp;$C$8:$C$207, 0)), "")</f>
        <v/>
      </c>
      <c r="DA9" s="8" t="str">
        <f t="array" ref="DA9">IFERROR(INDEX(CHOOSE($BO$11,$AF$8:$AF$207,$AG$8:$AG$207,$BJ$8:$BJ$207), MATCH(DA$7&amp;$CC9, $B$8:$B$207&amp;$C$8:$C$207, 0)), "")</f>
        <v/>
      </c>
      <c r="DB9" s="8" t="str">
        <f t="array" ref="DB9">IFERROR(INDEX(CHOOSE($BO$11,$AF$8:$AF$207,$AG$8:$AG$207,$BJ$8:$BJ$207), MATCH(DB$7&amp;$CC9, $B$8:$B$207&amp;$C$8:$C$207, 0)), "")</f>
        <v/>
      </c>
      <c r="DC9" s="8" t="str">
        <f t="array" ref="DC9">IFERROR(INDEX(CHOOSE($BO$11,$AF$8:$AF$207,$AG$8:$AG$207,$BJ$8:$BJ$207), MATCH(DC$7&amp;$CC9, $B$8:$B$207&amp;$C$8:$C$207, 0)), "")</f>
        <v/>
      </c>
      <c r="DD9" s="8" t="str">
        <f t="array" ref="DD9">IFERROR(INDEX(CHOOSE($BO$11,$AF$8:$AF$207,$AG$8:$AG$207,$BJ$8:$BJ$207), MATCH(DD$7&amp;$CC9, $B$8:$B$207&amp;$C$8:$C$207, 0)), "")</f>
        <v/>
      </c>
      <c r="DE9" s="8" t="str">
        <f t="array" ref="DE9">IFERROR(INDEX(CHOOSE($BO$11,$AF$8:$AF$207,$AG$8:$AG$207,$BJ$8:$BJ$207), MATCH(DE$7&amp;$CC9, $B$8:$B$207&amp;$C$8:$C$207, 0)), "")</f>
        <v/>
      </c>
      <c r="DF9" s="8" t="str">
        <f t="array" ref="DF9">IFERROR(INDEX(CHOOSE($BO$11,$AF$8:$AF$207,$AG$8:$AG$207,$BJ$8:$BJ$207), MATCH(DF$7&amp;$CC9, $B$8:$B$207&amp;$C$8:$C$207, 0)), "")</f>
        <v/>
      </c>
      <c r="DG9" s="8" t="str">
        <f t="array" ref="DG9">IFERROR(INDEX(CHOOSE($BO$11,$AF$8:$AF$207,$AG$8:$AG$207,$BJ$8:$BJ$207), MATCH(DG$7&amp;$CC9, $B$8:$B$207&amp;$C$8:$C$207, 0)), "")</f>
        <v/>
      </c>
      <c r="DH9" s="8"/>
      <c r="DI9" s="8"/>
      <c r="DJ9" s="8"/>
      <c r="DK9" s="8"/>
      <c r="DL9" s="8"/>
      <c r="DM9" s="8"/>
      <c r="DN9" s="8"/>
      <c r="DO9" s="8"/>
      <c r="DP9" s="8"/>
      <c r="DQ9" s="8"/>
      <c r="DR9" s="8"/>
      <c r="DS9" s="8"/>
      <c r="DT9" s="8"/>
      <c r="DU9" s="8"/>
      <c r="DV9" s="8"/>
      <c r="DW9" s="8"/>
      <c r="DX9" s="8"/>
      <c r="DY9" s="8"/>
      <c r="DZ9" s="8"/>
      <c r="EA9" s="8"/>
    </row>
    <row r="10" spans="1:131" x14ac:dyDescent="0.2">
      <c r="B10" s="1">
        <f>IFERROR(Calculations!M8/1000, "")</f>
        <v>5</v>
      </c>
      <c r="C10" s="1">
        <f>Calculations!N8</f>
        <v>400</v>
      </c>
      <c r="D10" s="58">
        <f>IFERROR(Calculations!$Q8,"")</f>
        <v>0.93027683155298224</v>
      </c>
      <c r="E10" s="8">
        <f>IFERROR(Calculations!$S8, "")</f>
        <v>25.384967997337277</v>
      </c>
      <c r="F10" s="89"/>
      <c r="G10" s="89"/>
      <c r="H10" s="89"/>
      <c r="I10" s="89"/>
      <c r="J10" s="1" t="str">
        <f>IFERROR(Calculations!AC8, "")</f>
        <v/>
      </c>
      <c r="K10" s="1" t="str">
        <f>IFERROR(Calculations!AD8, "")</f>
        <v/>
      </c>
      <c r="L10" s="8">
        <f>IFERROR(Calculations!AE8,"")</f>
        <v>-63461.57285929699</v>
      </c>
      <c r="M10" s="8">
        <f>IFERROR(Calculations!AF8,"")</f>
        <v>-103870.01957332288</v>
      </c>
      <c r="N10" s="8" t="str">
        <f>IFERROR(Calculations!AG8,"")</f>
        <v/>
      </c>
      <c r="O10" s="8" t="str">
        <f>IFERROR(Calculations!AH8,"")</f>
        <v/>
      </c>
      <c r="P10" s="8" t="str">
        <f>IFERROR(Calculations!AI8,"")</f>
        <v/>
      </c>
      <c r="Q10" s="8" t="str">
        <f>IFERROR(Calculations!AJ8,"")</f>
        <v/>
      </c>
      <c r="R10" s="8" t="str">
        <f>IFERROR(Calculations!AK8,"")</f>
        <v/>
      </c>
      <c r="S10" s="89"/>
      <c r="T10" s="89"/>
      <c r="U10" s="89"/>
      <c r="V10" s="89"/>
      <c r="W10" s="1" t="str">
        <f>IFERROR(Calculations!AP8, "")</f>
        <v/>
      </c>
      <c r="X10" s="1" t="str">
        <f>IFERROR(Calculations!AQ8, "")</f>
        <v/>
      </c>
      <c r="Y10" s="8" t="str">
        <f>IFERROR(Calculations!AR8,"")</f>
        <v/>
      </c>
      <c r="Z10" s="8">
        <f>IFERROR(Calculations!AS8,"")</f>
        <v>0</v>
      </c>
      <c r="AA10" s="8">
        <f>IFERROR(Calculations!AT8,"")</f>
        <v>-146143.60282991637</v>
      </c>
      <c r="AB10" s="8" t="str">
        <f>IFERROR(Calculations!AU8,"")</f>
        <v/>
      </c>
      <c r="AC10" s="8" t="str">
        <f>IFERROR(Calculations!AV8,"")</f>
        <v/>
      </c>
      <c r="AD10" s="8" t="str">
        <f>IFERROR(Calculations!AW8,"")</f>
        <v/>
      </c>
      <c r="AE10" s="8" t="str">
        <f>IFERROR(Calculations!AX8,"")</f>
        <v/>
      </c>
      <c r="AF10" s="8">
        <f>IFERROR(IF(Calculations!AY8 &lt;&gt; 0, Calculations!AY8, ""),"")</f>
        <v>21187.989602703485</v>
      </c>
      <c r="AG10" s="42">
        <f>IFERROR(IF(Calculations!AZ8 &lt;&gt; 0, Calculations!AZ8, ""),"")</f>
        <v>-6.8835072565384774</v>
      </c>
      <c r="AH10" s="1">
        <f t="shared" si="1"/>
        <v>5</v>
      </c>
      <c r="AI10" s="1">
        <f t="shared" si="2"/>
        <v>400</v>
      </c>
      <c r="AJ10" s="89"/>
      <c r="AK10" s="89"/>
      <c r="AL10" s="89"/>
      <c r="AM10" s="89"/>
      <c r="AN10" s="8" t="str">
        <f>IFERROR(Calculations!BJ8, "")</f>
        <v/>
      </c>
      <c r="AO10" s="8" t="str">
        <f>IFERROR(Calculations!BK8, "")</f>
        <v/>
      </c>
      <c r="AP10" s="8">
        <f>IFERROR(Calculations!BL8, "")</f>
        <v>19.365504319747185</v>
      </c>
      <c r="AQ10" s="8">
        <f>IFERROR(Calculations!BM8, "")</f>
        <v>35.292865483470543</v>
      </c>
      <c r="AR10" s="8" t="str">
        <f>IFERROR(Calculations!BN8, "")</f>
        <v/>
      </c>
      <c r="AS10" s="8" t="str">
        <f>IFERROR(Calculations!BO8, "")</f>
        <v/>
      </c>
      <c r="AT10" s="8" t="str">
        <f>IFERROR(Calculations!BP8, "")</f>
        <v/>
      </c>
      <c r="AU10" s="8" t="str">
        <f>IFERROR(Calculations!BQ8, "")</f>
        <v/>
      </c>
      <c r="AV10" s="8" t="str">
        <f>IFERROR(Calculations!BR8, "")</f>
        <v/>
      </c>
      <c r="AW10" s="89"/>
      <c r="AX10" s="89"/>
      <c r="AY10" s="89"/>
      <c r="AZ10" s="89"/>
      <c r="BA10" s="8" t="str">
        <f>IFERROR(Calculations!BW8, "")</f>
        <v/>
      </c>
      <c r="BB10" s="8" t="str">
        <f>IFERROR(Calculations!BX8, "")</f>
        <v/>
      </c>
      <c r="BC10" s="8" t="str">
        <f>IFERROR(Calculations!BY8, "")</f>
        <v/>
      </c>
      <c r="BD10" s="8">
        <f>IFERROR(Calculations!BZ8, "")</f>
        <v>0</v>
      </c>
      <c r="BE10" s="8">
        <f>IFERROR(Calculations!CA8, "")</f>
        <v>24.41118345037728</v>
      </c>
      <c r="BF10" s="8" t="str">
        <f>IFERROR(Calculations!CB8, "")</f>
        <v/>
      </c>
      <c r="BG10" s="8" t="str">
        <f>IFERROR(Calculations!CC8, "")</f>
        <v/>
      </c>
      <c r="BH10" s="8" t="str">
        <f>IFERROR(Calculations!CD8, "")</f>
        <v/>
      </c>
      <c r="BI10" s="8" t="str">
        <f>IFERROR(Calculations!CE8, "")</f>
        <v/>
      </c>
      <c r="BJ10" s="8">
        <f>IFERROR(IF(Calculations!CF8 &lt;&gt; 0, Calculations!CF8, ""),"")</f>
        <v>-30.247186352840444</v>
      </c>
      <c r="BK10" s="1">
        <f t="shared" si="3"/>
        <v>400</v>
      </c>
      <c r="BL10" s="1">
        <f t="shared" si="4"/>
        <v>5</v>
      </c>
      <c r="BN10" s="1" t="s">
        <v>613</v>
      </c>
      <c r="BO10" s="218" t="s">
        <v>692</v>
      </c>
      <c r="BP10" s="1" t="s">
        <v>613</v>
      </c>
      <c r="CB10" s="270"/>
      <c r="CC10" s="105">
        <f t="shared" ref="CC10:CC50" si="5">IF(OR(CC9 = "", CC9 = MAX($C$8:$C$207)), "",SMALL($C$8:$C$207, FREQUENCY($C$8:$C$207, CC9) + 1))</f>
        <v>400</v>
      </c>
      <c r="CD10" s="8">
        <f t="array" ref="CD10">IFERROR(INDEX(CHOOSE($BO$11,$AF$8:$AF$207,$AG$8:$AG$207,$BJ$8:$BJ$207), MATCH(CD$7&amp;$CC10, $B$8:$B$207&amp;$C$8:$C$207, 0)), "")</f>
        <v>-6.8835072565384774</v>
      </c>
      <c r="CE10" s="8">
        <f t="array" ref="CE10">IFERROR(INDEX(CHOOSE($BO$11,$AF$8:$AF$207,$AG$8:$AG$207,$BJ$8:$BJ$207), MATCH(CE$7&amp;$CC10, $B$8:$B$207&amp;$C$8:$C$207, 0)), "")</f>
        <v>-5.8107713315153937</v>
      </c>
      <c r="CF10" s="8">
        <f t="array" ref="CF10">IFERROR(INDEX(CHOOSE($BO$11,$AF$8:$AF$207,$AG$8:$AG$207,$BJ$8:$BJ$207), MATCH(CF$7&amp;$CC10, $B$8:$B$207&amp;$C$8:$C$207, 0)), "")</f>
        <v>-5.0258602396047669</v>
      </c>
      <c r="CG10" s="8">
        <f t="array" ref="CG10">IFERROR(INDEX(CHOOSE($BO$11,$AF$8:$AF$207,$AG$8:$AG$207,$BJ$8:$BJ$207), MATCH(CG$7&amp;$CC10, $B$8:$B$207&amp;$C$8:$C$207, 0)), "")</f>
        <v>-4.3645853930524865</v>
      </c>
      <c r="CH10" s="8">
        <f t="array" ref="CH10">IFERROR(INDEX(CHOOSE($BO$11,$AF$8:$AF$207,$AG$8:$AG$207,$BJ$8:$BJ$207), MATCH(CH$7&amp;$CC10, $B$8:$B$207&amp;$C$8:$C$207, 0)), "")</f>
        <v>-3.7748391176348401</v>
      </c>
      <c r="CI10" s="8">
        <f t="array" ref="CI10">IFERROR(INDEX(CHOOSE($BO$11,$AF$8:$AF$207,$AG$8:$AG$207,$BJ$8:$BJ$207), MATCH(CI$7&amp;$CC10, $B$8:$B$207&amp;$C$8:$C$207, 0)), "")</f>
        <v>-3.2336598662689102</v>
      </c>
      <c r="CJ10" s="8">
        <f t="array" ref="CJ10">IFERROR(INDEX(CHOOSE($BO$11,$AF$8:$AF$207,$AG$8:$AG$207,$BJ$8:$BJ$207), MATCH(CJ$7&amp;$CC10, $B$8:$B$207&amp;$C$8:$C$207, 0)), "")</f>
        <v>-2.7278112254048503</v>
      </c>
      <c r="CK10" s="8">
        <f t="array" ref="CK10">IFERROR(INDEX(CHOOSE($BO$11,$AF$8:$AF$207,$AG$8:$AG$207,$BJ$8:$BJ$207), MATCH(CK$7&amp;$CC10, $B$8:$B$207&amp;$C$8:$C$207, 0)), "")</f>
        <v>-2.2502691918609155</v>
      </c>
      <c r="CL10" s="8">
        <f t="array" ref="CL10">IFERROR(INDEX(CHOOSE($BO$11,$AF$8:$AF$207,$AG$8:$AG$207,$BJ$8:$BJ$207), MATCH(CL$7&amp;$CC10, $B$8:$B$207&amp;$C$8:$C$207, 0)), "")</f>
        <v>-1.7936667414304648</v>
      </c>
      <c r="CM10" s="8">
        <f t="array" ref="CM10">IFERROR(INDEX(CHOOSE($BO$11,$AF$8:$AF$207,$AG$8:$AG$207,$BJ$8:$BJ$207), MATCH(CM$7&amp;$CC10, $B$8:$B$207&amp;$C$8:$C$207, 0)), "")</f>
        <v>-1.3557248893261338</v>
      </c>
      <c r="CN10" s="8">
        <f t="array" ref="CN10">IFERROR(INDEX(CHOOSE($BO$11,$AF$8:$AF$207,$AG$8:$AG$207,$BJ$8:$BJ$207), MATCH(CN$7&amp;$CC10, $B$8:$B$207&amp;$C$8:$C$207, 0)), "")</f>
        <v>-0.93399084402637789</v>
      </c>
      <c r="CO10" s="8">
        <f t="array" ref="CO10">IFERROR(INDEX(CHOOSE($BO$11,$AF$8:$AF$207,$AG$8:$AG$207,$BJ$8:$BJ$207), MATCH(CO$7&amp;$CC10, $B$8:$B$207&amp;$C$8:$C$207, 0)), "")</f>
        <v>-0.52499153642354679</v>
      </c>
      <c r="CP10" s="8" t="str">
        <f t="array" ref="CP10">IFERROR(INDEX(CHOOSE($BO$11,$AF$8:$AF$207,$AG$8:$AG$207,$BJ$8:$BJ$207), MATCH(CP$7&amp;$CC10, $B$8:$B$207&amp;$C$8:$C$207, 0)), "")</f>
        <v/>
      </c>
      <c r="CQ10" s="8" t="str">
        <f t="array" ref="CQ10">IFERROR(INDEX(CHOOSE($BO$11,$AF$8:$AF$207,$AG$8:$AG$207,$BJ$8:$BJ$207), MATCH(CQ$7&amp;$CC10, $B$8:$B$207&amp;$C$8:$C$207, 0)), "")</f>
        <v/>
      </c>
      <c r="CR10" s="8" t="str">
        <f t="array" ref="CR10">IFERROR(INDEX(CHOOSE($BO$11,$AF$8:$AF$207,$AG$8:$AG$207,$BJ$8:$BJ$207), MATCH(CR$7&amp;$CC10, $B$8:$B$207&amp;$C$8:$C$207, 0)), "")</f>
        <v/>
      </c>
      <c r="CS10" s="8" t="str">
        <f t="array" ref="CS10">IFERROR(INDEX(CHOOSE($BO$11,$AF$8:$AF$207,$AG$8:$AG$207,$BJ$8:$BJ$207), MATCH(CS$7&amp;$CC10, $B$8:$B$207&amp;$C$8:$C$207, 0)), "")</f>
        <v/>
      </c>
      <c r="CT10" s="8" t="str">
        <f t="array" ref="CT10">IFERROR(INDEX(CHOOSE($BO$11,$AF$8:$AF$207,$AG$8:$AG$207,$BJ$8:$BJ$207), MATCH(CT$7&amp;$CC10, $B$8:$B$207&amp;$C$8:$C$207, 0)), "")</f>
        <v/>
      </c>
      <c r="CU10" s="8" t="str">
        <f t="array" ref="CU10">IFERROR(INDEX(CHOOSE($BO$11,$AF$8:$AF$207,$AG$8:$AG$207,$BJ$8:$BJ$207), MATCH(CU$7&amp;$CC10, $B$8:$B$207&amp;$C$8:$C$207, 0)), "")</f>
        <v/>
      </c>
      <c r="CV10" s="8" t="str">
        <f t="array" ref="CV10">IFERROR(INDEX(CHOOSE($BO$11,$AF$8:$AF$207,$AG$8:$AG$207,$BJ$8:$BJ$207), MATCH(CV$7&amp;$CC10, $B$8:$B$207&amp;$C$8:$C$207, 0)), "")</f>
        <v/>
      </c>
      <c r="CW10" s="8" t="str">
        <f t="array" ref="CW10">IFERROR(INDEX(CHOOSE($BO$11,$AF$8:$AF$207,$AG$8:$AG$207,$BJ$8:$BJ$207), MATCH(CW$7&amp;$CC10, $B$8:$B$207&amp;$C$8:$C$207, 0)), "")</f>
        <v/>
      </c>
      <c r="CX10" s="8" t="str">
        <f t="array" ref="CX10">IFERROR(INDEX(CHOOSE($BO$11,$AF$8:$AF$207,$AG$8:$AG$207,$BJ$8:$BJ$207), MATCH(CX$7&amp;$CC10, $B$8:$B$207&amp;$C$8:$C$207, 0)), "")</f>
        <v/>
      </c>
      <c r="CY10" s="8" t="str">
        <f t="array" ref="CY10">IFERROR(INDEX(CHOOSE($BO$11,$AF$8:$AF$207,$AG$8:$AG$207,$BJ$8:$BJ$207), MATCH(CY$7&amp;$CC10, $B$8:$B$207&amp;$C$8:$C$207, 0)), "")</f>
        <v/>
      </c>
      <c r="CZ10" s="8" t="str">
        <f t="array" ref="CZ10">IFERROR(INDEX(CHOOSE($BO$11,$AF$8:$AF$207,$AG$8:$AG$207,$BJ$8:$BJ$207), MATCH(CZ$7&amp;$CC10, $B$8:$B$207&amp;$C$8:$C$207, 0)), "")</f>
        <v/>
      </c>
      <c r="DA10" s="8" t="str">
        <f t="array" ref="DA10">IFERROR(INDEX(CHOOSE($BO$11,$AF$8:$AF$207,$AG$8:$AG$207,$BJ$8:$BJ$207), MATCH(DA$7&amp;$CC10, $B$8:$B$207&amp;$C$8:$C$207, 0)), "")</f>
        <v/>
      </c>
      <c r="DB10" s="8" t="str">
        <f t="array" ref="DB10">IFERROR(INDEX(CHOOSE($BO$11,$AF$8:$AF$207,$AG$8:$AG$207,$BJ$8:$BJ$207), MATCH(DB$7&amp;$CC10, $B$8:$B$207&amp;$C$8:$C$207, 0)), "")</f>
        <v/>
      </c>
      <c r="DC10" s="8" t="str">
        <f t="array" ref="DC10">IFERROR(INDEX(CHOOSE($BO$11,$AF$8:$AF$207,$AG$8:$AG$207,$BJ$8:$BJ$207), MATCH(DC$7&amp;$CC10, $B$8:$B$207&amp;$C$8:$C$207, 0)), "")</f>
        <v/>
      </c>
      <c r="DD10" s="8" t="str">
        <f t="array" ref="DD10">IFERROR(INDEX(CHOOSE($BO$11,$AF$8:$AF$207,$AG$8:$AG$207,$BJ$8:$BJ$207), MATCH(DD$7&amp;$CC10, $B$8:$B$207&amp;$C$8:$C$207, 0)), "")</f>
        <v/>
      </c>
      <c r="DE10" s="8" t="str">
        <f t="array" ref="DE10">IFERROR(INDEX(CHOOSE($BO$11,$AF$8:$AF$207,$AG$8:$AG$207,$BJ$8:$BJ$207), MATCH(DE$7&amp;$CC10, $B$8:$B$207&amp;$C$8:$C$207, 0)), "")</f>
        <v/>
      </c>
      <c r="DF10" s="8" t="str">
        <f t="array" ref="DF10">IFERROR(INDEX(CHOOSE($BO$11,$AF$8:$AF$207,$AG$8:$AG$207,$BJ$8:$BJ$207), MATCH(DF$7&amp;$CC10, $B$8:$B$207&amp;$C$8:$C$207, 0)), "")</f>
        <v/>
      </c>
      <c r="DG10" s="8" t="str">
        <f t="array" ref="DG10">IFERROR(INDEX(CHOOSE($BO$11,$AF$8:$AF$207,$AG$8:$AG$207,$BJ$8:$BJ$207), MATCH(DG$7&amp;$CC10, $B$8:$B$207&amp;$C$8:$C$207, 0)), "")</f>
        <v/>
      </c>
      <c r="DH10" s="8"/>
      <c r="DI10" s="8"/>
      <c r="DJ10" s="8"/>
      <c r="DK10" s="8"/>
      <c r="DL10" s="8"/>
      <c r="DM10" s="8"/>
      <c r="DN10" s="8"/>
      <c r="DO10" s="8"/>
      <c r="DP10" s="8"/>
      <c r="DQ10" s="8"/>
      <c r="DR10" s="8"/>
      <c r="DS10" s="8"/>
      <c r="DT10" s="8"/>
      <c r="DU10" s="8"/>
      <c r="DV10" s="8"/>
      <c r="DW10" s="8"/>
      <c r="DX10" s="8"/>
      <c r="DY10" s="8"/>
      <c r="DZ10" s="8"/>
      <c r="EA10" s="8"/>
    </row>
    <row r="11" spans="1:131" x14ac:dyDescent="0.2">
      <c r="B11" s="1">
        <f>IFERROR(Calculations!M9/1000, "")</f>
        <v>5</v>
      </c>
      <c r="C11" s="1">
        <f>Calculations!N9</f>
        <v>450</v>
      </c>
      <c r="D11" s="58">
        <f>IFERROR(Calculations!$Q9,"")</f>
        <v>0.89837774535894399</v>
      </c>
      <c r="E11" s="8">
        <f>IFERROR(Calculations!$S9, "")</f>
        <v>22.076469349955243</v>
      </c>
      <c r="F11" s="89"/>
      <c r="G11" s="89"/>
      <c r="H11" s="89"/>
      <c r="I11" s="89"/>
      <c r="J11" s="1" t="str">
        <f>IFERROR(Calculations!AC9, "")</f>
        <v/>
      </c>
      <c r="K11" s="1" t="str">
        <f>IFERROR(Calculations!AD9, "")</f>
        <v/>
      </c>
      <c r="L11" s="8">
        <f>IFERROR(Calculations!AE9,"")</f>
        <v>-64951.441352432324</v>
      </c>
      <c r="M11" s="8">
        <f>IFERROR(Calculations!AF9,"")</f>
        <v>-106273.40727336038</v>
      </c>
      <c r="N11" s="8" t="str">
        <f>IFERROR(Calculations!AG9,"")</f>
        <v/>
      </c>
      <c r="O11" s="8" t="str">
        <f>IFERROR(Calculations!AH9,"")</f>
        <v/>
      </c>
      <c r="P11" s="8" t="str">
        <f>IFERROR(Calculations!AI9,"")</f>
        <v/>
      </c>
      <c r="Q11" s="8" t="str">
        <f>IFERROR(Calculations!AJ9,"")</f>
        <v/>
      </c>
      <c r="R11" s="8" t="str">
        <f>IFERROR(Calculations!AK9,"")</f>
        <v/>
      </c>
      <c r="S11" s="89"/>
      <c r="T11" s="89"/>
      <c r="U11" s="89"/>
      <c r="V11" s="89"/>
      <c r="W11" s="1" t="str">
        <f>IFERROR(Calculations!AP9, "")</f>
        <v/>
      </c>
      <c r="X11" s="1" t="str">
        <f>IFERROR(Calculations!AQ9, "")</f>
        <v/>
      </c>
      <c r="Y11" s="8" t="str">
        <f>IFERROR(Calculations!AR9,"")</f>
        <v/>
      </c>
      <c r="Z11" s="8">
        <f>IFERROR(Calculations!AS9,"")</f>
        <v>0</v>
      </c>
      <c r="AA11" s="8">
        <f>IFERROR(Calculations!AT9,"")</f>
        <v>-147340.92620655676</v>
      </c>
      <c r="AB11" s="8" t="str">
        <f>IFERROR(Calculations!AU9,"")</f>
        <v/>
      </c>
      <c r="AC11" s="8" t="str">
        <f>IFERROR(Calculations!AV9,"")</f>
        <v/>
      </c>
      <c r="AD11" s="8" t="str">
        <f>IFERROR(Calculations!AW9,"")</f>
        <v/>
      </c>
      <c r="AE11" s="8" t="str">
        <f>IFERROR(Calculations!AX9,"")</f>
        <v/>
      </c>
      <c r="AF11" s="8">
        <f>IFERROR(IF(Calculations!AY9 &lt;&gt; 0, Calculations!AY9, ""),"")</f>
        <v>23883.922419235954</v>
      </c>
      <c r="AG11" s="42">
        <f>IFERROR(IF(Calculations!AZ9 &lt;&gt; 0, Calculations!AZ9, ""),"")</f>
        <v>-7.2228589653115485</v>
      </c>
      <c r="AH11" s="1">
        <f t="shared" si="1"/>
        <v>5</v>
      </c>
      <c r="AI11" s="1">
        <f t="shared" si="2"/>
        <v>450</v>
      </c>
      <c r="AJ11" s="89"/>
      <c r="AK11" s="89"/>
      <c r="AL11" s="89"/>
      <c r="AM11" s="89"/>
      <c r="AN11" s="8" t="str">
        <f>IFERROR(Calculations!BJ9, "")</f>
        <v/>
      </c>
      <c r="AO11" s="8" t="str">
        <f>IFERROR(Calculations!BK9, "")</f>
        <v/>
      </c>
      <c r="AP11" s="8">
        <f>IFERROR(Calculations!BL9, "")</f>
        <v>20.053123636541166</v>
      </c>
      <c r="AQ11" s="8">
        <f>IFERROR(Calculations!BM9, "")</f>
        <v>36.578991956088814</v>
      </c>
      <c r="AR11" s="8" t="str">
        <f>IFERROR(Calculations!BN9, "")</f>
        <v/>
      </c>
      <c r="AS11" s="8" t="str">
        <f>IFERROR(Calculations!BO9, "")</f>
        <v/>
      </c>
      <c r="AT11" s="8" t="str">
        <f>IFERROR(Calculations!BP9, "")</f>
        <v/>
      </c>
      <c r="AU11" s="8" t="str">
        <f>IFERROR(Calculations!BQ9, "")</f>
        <v/>
      </c>
      <c r="AV11" s="8" t="str">
        <f>IFERROR(Calculations!BR9, "")</f>
        <v/>
      </c>
      <c r="AW11" s="89"/>
      <c r="AX11" s="89"/>
      <c r="AY11" s="89"/>
      <c r="AZ11" s="89"/>
      <c r="BA11" s="8" t="str">
        <f>IFERROR(Calculations!BW9, "")</f>
        <v/>
      </c>
      <c r="BB11" s="8" t="str">
        <f>IFERROR(Calculations!BX9, "")</f>
        <v/>
      </c>
      <c r="BC11" s="8" t="str">
        <f>IFERROR(Calculations!BY9, "")</f>
        <v/>
      </c>
      <c r="BD11" s="8">
        <f>IFERROR(Calculations!BZ9, "")</f>
        <v>0</v>
      </c>
      <c r="BE11" s="8">
        <f>IFERROR(Calculations!CA9, "")</f>
        <v>22.556325187914499</v>
      </c>
      <c r="BF11" s="8" t="str">
        <f>IFERROR(Calculations!CB9, "")</f>
        <v/>
      </c>
      <c r="BG11" s="8" t="str">
        <f>IFERROR(Calculations!CC9, "")</f>
        <v/>
      </c>
      <c r="BH11" s="8" t="str">
        <f>IFERROR(Calculations!CD9, "")</f>
        <v/>
      </c>
      <c r="BI11" s="8" t="str">
        <f>IFERROR(Calculations!CE9, "")</f>
        <v/>
      </c>
      <c r="BJ11" s="8">
        <f>IFERROR(IF(Calculations!CF9 &lt;&gt; 0, Calculations!CF9, ""),"")</f>
        <v>-34.075790404715477</v>
      </c>
      <c r="BK11" s="1">
        <f t="shared" si="3"/>
        <v>450</v>
      </c>
      <c r="BL11" s="1">
        <f t="shared" si="4"/>
        <v>5</v>
      </c>
      <c r="BN11" s="1" t="s">
        <v>613</v>
      </c>
      <c r="BO11" s="219">
        <v>2</v>
      </c>
      <c r="CB11" s="270"/>
      <c r="CC11" s="105">
        <f t="shared" si="5"/>
        <v>450</v>
      </c>
      <c r="CD11" s="8">
        <f t="array" ref="CD11">IFERROR(INDEX(CHOOSE($BO$11,$AF$8:$AF$207,$AG$8:$AG$207,$BJ$8:$BJ$207), MATCH(CD$7&amp;$CC11, $B$8:$B$207&amp;$C$8:$C$207, 0)), "")</f>
        <v>-7.2228589653115485</v>
      </c>
      <c r="CE11" s="8">
        <f t="array" ref="CE11">IFERROR(INDEX(CHOOSE($BO$11,$AF$8:$AF$207,$AG$8:$AG$207,$BJ$8:$BJ$207), MATCH(CE$7&amp;$CC11, $B$8:$B$207&amp;$C$8:$C$207, 0)), "")</f>
        <v>-6.1021761727711858</v>
      </c>
      <c r="CF11" s="8">
        <f t="array" ref="CF11">IFERROR(INDEX(CHOOSE($BO$11,$AF$8:$AF$207,$AG$8:$AG$207,$BJ$8:$BJ$207), MATCH(CF$7&amp;$CC11, $B$8:$B$207&amp;$C$8:$C$207, 0)), "")</f>
        <v>-5.3163592260329251</v>
      </c>
      <c r="CG11" s="8">
        <f t="array" ref="CG11">IFERROR(INDEX(CHOOSE($BO$11,$AF$8:$AF$207,$AG$8:$AG$207,$BJ$8:$BJ$207), MATCH(CG$7&amp;$CC11, $B$8:$B$207&amp;$C$8:$C$207, 0)), "")</f>
        <v>-4.6669084562660839</v>
      </c>
      <c r="CH11" s="8">
        <f t="array" ref="CH11">IFERROR(INDEX(CHOOSE($BO$11,$AF$8:$AF$207,$AG$8:$AG$207,$BJ$8:$BJ$207), MATCH(CH$7&amp;$CC11, $B$8:$B$207&amp;$C$8:$C$207, 0)), "")</f>
        <v>-4.0940277502333844</v>
      </c>
      <c r="CI11" s="8">
        <f t="array" ref="CI11">IFERROR(INDEX(CHOOSE($BO$11,$AF$8:$AF$207,$AG$8:$AG$207,$BJ$8:$BJ$207), MATCH(CI$7&amp;$CC11, $B$8:$B$207&amp;$C$8:$C$207, 0)), "")</f>
        <v>-3.5714563022105454</v>
      </c>
      <c r="CJ11" s="8">
        <f t="array" ref="CJ11">IFERROR(INDEX(CHOOSE($BO$11,$AF$8:$AF$207,$AG$8:$AG$207,$BJ$8:$BJ$207), MATCH(CJ$7&amp;$CC11, $B$8:$B$207&amp;$C$8:$C$207, 0)), "")</f>
        <v>-3.0858778347317632</v>
      </c>
      <c r="CK11" s="8">
        <f t="array" ref="CK11">IFERROR(INDEX(CHOOSE($BO$11,$AF$8:$AF$207,$AG$8:$AG$207,$BJ$8:$BJ$207), MATCH(CK$7&amp;$CC11, $B$8:$B$207&amp;$C$8:$C$207, 0)), "")</f>
        <v>-2.6280534756807223</v>
      </c>
      <c r="CL11" s="8">
        <f t="array" ref="CL11">IFERROR(INDEX(CHOOSE($BO$11,$AF$8:$AF$207,$AG$8:$AG$207,$BJ$8:$BJ$207), MATCH(CL$7&amp;$CC11, $B$8:$B$207&amp;$C$8:$C$207, 0)), "")</f>
        <v>-2.1926466281475561</v>
      </c>
      <c r="CM11" s="8">
        <f t="array" ref="CM11">IFERROR(INDEX(CHOOSE($BO$11,$AF$8:$AF$207,$AG$8:$AG$207,$BJ$8:$BJ$207), MATCH(CM$7&amp;$CC11, $B$8:$B$207&amp;$C$8:$C$207, 0)), "")</f>
        <v>-1.7762667865657087</v>
      </c>
      <c r="CN11" s="8">
        <f t="array" ref="CN11">IFERROR(INDEX(CHOOSE($BO$11,$AF$8:$AF$207,$AG$8:$AG$207,$BJ$8:$BJ$207), MATCH(CN$7&amp;$CC11, $B$8:$B$207&amp;$C$8:$C$207, 0)), "")</f>
        <v>-1.3740136923301041</v>
      </c>
      <c r="CO11" s="8">
        <f t="array" ref="CO11">IFERROR(INDEX(CHOOSE($BO$11,$AF$8:$AF$207,$AG$8:$AG$207,$BJ$8:$BJ$207), MATCH(CO$7&amp;$CC11, $B$8:$B$207&amp;$C$8:$C$207, 0)), "")</f>
        <v>-0.98639249623077996</v>
      </c>
      <c r="CP11" s="8" t="str">
        <f t="array" ref="CP11">IFERROR(INDEX(CHOOSE($BO$11,$AF$8:$AF$207,$AG$8:$AG$207,$BJ$8:$BJ$207), MATCH(CP$7&amp;$CC11, $B$8:$B$207&amp;$C$8:$C$207, 0)), "")</f>
        <v/>
      </c>
      <c r="CQ11" s="8" t="str">
        <f t="array" ref="CQ11">IFERROR(INDEX(CHOOSE($BO$11,$AF$8:$AF$207,$AG$8:$AG$207,$BJ$8:$BJ$207), MATCH(CQ$7&amp;$CC11, $B$8:$B$207&amp;$C$8:$C$207, 0)), "")</f>
        <v/>
      </c>
      <c r="CR11" s="8" t="str">
        <f t="array" ref="CR11">IFERROR(INDEX(CHOOSE($BO$11,$AF$8:$AF$207,$AG$8:$AG$207,$BJ$8:$BJ$207), MATCH(CR$7&amp;$CC11, $B$8:$B$207&amp;$C$8:$C$207, 0)), "")</f>
        <v/>
      </c>
      <c r="CS11" s="8" t="str">
        <f t="array" ref="CS11">IFERROR(INDEX(CHOOSE($BO$11,$AF$8:$AF$207,$AG$8:$AG$207,$BJ$8:$BJ$207), MATCH(CS$7&amp;$CC11, $B$8:$B$207&amp;$C$8:$C$207, 0)), "")</f>
        <v/>
      </c>
      <c r="CT11" s="8" t="str">
        <f t="array" ref="CT11">IFERROR(INDEX(CHOOSE($BO$11,$AF$8:$AF$207,$AG$8:$AG$207,$BJ$8:$BJ$207), MATCH(CT$7&amp;$CC11, $B$8:$B$207&amp;$C$8:$C$207, 0)), "")</f>
        <v/>
      </c>
      <c r="CU11" s="8" t="str">
        <f t="array" ref="CU11">IFERROR(INDEX(CHOOSE($BO$11,$AF$8:$AF$207,$AG$8:$AG$207,$BJ$8:$BJ$207), MATCH(CU$7&amp;$CC11, $B$8:$B$207&amp;$C$8:$C$207, 0)), "")</f>
        <v/>
      </c>
      <c r="CV11" s="8" t="str">
        <f t="array" ref="CV11">IFERROR(INDEX(CHOOSE($BO$11,$AF$8:$AF$207,$AG$8:$AG$207,$BJ$8:$BJ$207), MATCH(CV$7&amp;$CC11, $B$8:$B$207&amp;$C$8:$C$207, 0)), "")</f>
        <v/>
      </c>
      <c r="CW11" s="8" t="str">
        <f t="array" ref="CW11">IFERROR(INDEX(CHOOSE($BO$11,$AF$8:$AF$207,$AG$8:$AG$207,$BJ$8:$BJ$207), MATCH(CW$7&amp;$CC11, $B$8:$B$207&amp;$C$8:$C$207, 0)), "")</f>
        <v/>
      </c>
      <c r="CX11" s="8" t="str">
        <f t="array" ref="CX11">IFERROR(INDEX(CHOOSE($BO$11,$AF$8:$AF$207,$AG$8:$AG$207,$BJ$8:$BJ$207), MATCH(CX$7&amp;$CC11, $B$8:$B$207&amp;$C$8:$C$207, 0)), "")</f>
        <v/>
      </c>
      <c r="CY11" s="8" t="str">
        <f t="array" ref="CY11">IFERROR(INDEX(CHOOSE($BO$11,$AF$8:$AF$207,$AG$8:$AG$207,$BJ$8:$BJ$207), MATCH(CY$7&amp;$CC11, $B$8:$B$207&amp;$C$8:$C$207, 0)), "")</f>
        <v/>
      </c>
      <c r="CZ11" s="8" t="str">
        <f t="array" ref="CZ11">IFERROR(INDEX(CHOOSE($BO$11,$AF$8:$AF$207,$AG$8:$AG$207,$BJ$8:$BJ$207), MATCH(CZ$7&amp;$CC11, $B$8:$B$207&amp;$C$8:$C$207, 0)), "")</f>
        <v/>
      </c>
      <c r="DA11" s="8" t="str">
        <f t="array" ref="DA11">IFERROR(INDEX(CHOOSE($BO$11,$AF$8:$AF$207,$AG$8:$AG$207,$BJ$8:$BJ$207), MATCH(DA$7&amp;$CC11, $B$8:$B$207&amp;$C$8:$C$207, 0)), "")</f>
        <v/>
      </c>
      <c r="DB11" s="8" t="str">
        <f t="array" ref="DB11">IFERROR(INDEX(CHOOSE($BO$11,$AF$8:$AF$207,$AG$8:$AG$207,$BJ$8:$BJ$207), MATCH(DB$7&amp;$CC11, $B$8:$B$207&amp;$C$8:$C$207, 0)), "")</f>
        <v/>
      </c>
      <c r="DC11" s="8" t="str">
        <f t="array" ref="DC11">IFERROR(INDEX(CHOOSE($BO$11,$AF$8:$AF$207,$AG$8:$AG$207,$BJ$8:$BJ$207), MATCH(DC$7&amp;$CC11, $B$8:$B$207&amp;$C$8:$C$207, 0)), "")</f>
        <v/>
      </c>
      <c r="DD11" s="8" t="str">
        <f t="array" ref="DD11">IFERROR(INDEX(CHOOSE($BO$11,$AF$8:$AF$207,$AG$8:$AG$207,$BJ$8:$BJ$207), MATCH(DD$7&amp;$CC11, $B$8:$B$207&amp;$C$8:$C$207, 0)), "")</f>
        <v/>
      </c>
      <c r="DE11" s="8" t="str">
        <f t="array" ref="DE11">IFERROR(INDEX(CHOOSE($BO$11,$AF$8:$AF$207,$AG$8:$AG$207,$BJ$8:$BJ$207), MATCH(DE$7&amp;$CC11, $B$8:$B$207&amp;$C$8:$C$207, 0)), "")</f>
        <v/>
      </c>
      <c r="DF11" s="8" t="str">
        <f t="array" ref="DF11">IFERROR(INDEX(CHOOSE($BO$11,$AF$8:$AF$207,$AG$8:$AG$207,$BJ$8:$BJ$207), MATCH(DF$7&amp;$CC11, $B$8:$B$207&amp;$C$8:$C$207, 0)), "")</f>
        <v/>
      </c>
      <c r="DG11" s="8" t="str">
        <f t="array" ref="DG11">IFERROR(INDEX(CHOOSE($BO$11,$AF$8:$AF$207,$AG$8:$AG$207,$BJ$8:$BJ$207), MATCH(DG$7&amp;$CC11, $B$8:$B$207&amp;$C$8:$C$207, 0)), "")</f>
        <v/>
      </c>
      <c r="DH11" s="8"/>
      <c r="DI11" s="8"/>
      <c r="DJ11" s="8"/>
      <c r="DK11" s="8"/>
      <c r="DL11" s="8"/>
      <c r="DM11" s="8"/>
      <c r="DN11" s="8"/>
      <c r="DO11" s="8"/>
      <c r="DP11" s="8"/>
      <c r="DQ11" s="8"/>
      <c r="DR11" s="8"/>
      <c r="DS11" s="8"/>
      <c r="DT11" s="8"/>
      <c r="DU11" s="8"/>
      <c r="DV11" s="8"/>
      <c r="DW11" s="8"/>
      <c r="DX11" s="8"/>
      <c r="DY11" s="8"/>
      <c r="DZ11" s="8"/>
      <c r="EA11" s="8"/>
    </row>
    <row r="12" spans="1:131" x14ac:dyDescent="0.2">
      <c r="B12" s="1">
        <f>IFERROR(Calculations!M10/1000, "")</f>
        <v>5</v>
      </c>
      <c r="C12" s="1">
        <f>Calculations!N10</f>
        <v>500</v>
      </c>
      <c r="D12" s="58">
        <f>IFERROR(Calculations!$Q10,"")</f>
        <v>0.86660084819793692</v>
      </c>
      <c r="E12" s="8">
        <f>IFERROR(Calculations!$S10, "")</f>
        <v>19.261056775589186</v>
      </c>
      <c r="F12" s="89"/>
      <c r="G12" s="89"/>
      <c r="H12" s="89"/>
      <c r="I12" s="89"/>
      <c r="J12" s="1" t="str">
        <f>IFERROR(Calculations!AC10, "")</f>
        <v/>
      </c>
      <c r="K12" s="1" t="str">
        <f>IFERROR(Calculations!AD10, "")</f>
        <v/>
      </c>
      <c r="L12" s="8">
        <f>IFERROR(Calculations!AE10,"")</f>
        <v>-66494.808798301601</v>
      </c>
      <c r="M12" s="8">
        <f>IFERROR(Calculations!AF10,"")</f>
        <v>-108765.03663410168</v>
      </c>
      <c r="N12" s="8" t="str">
        <f>IFERROR(Calculations!AG10,"")</f>
        <v/>
      </c>
      <c r="O12" s="8" t="str">
        <f>IFERROR(Calculations!AH10,"")</f>
        <v/>
      </c>
      <c r="P12" s="8" t="str">
        <f>IFERROR(Calculations!AI10,"")</f>
        <v/>
      </c>
      <c r="Q12" s="8" t="str">
        <f>IFERROR(Calculations!AJ10,"")</f>
        <v/>
      </c>
      <c r="R12" s="8" t="str">
        <f>IFERROR(Calculations!AK10,"")</f>
        <v/>
      </c>
      <c r="S12" s="89"/>
      <c r="T12" s="89"/>
      <c r="U12" s="89"/>
      <c r="V12" s="89"/>
      <c r="W12" s="1" t="str">
        <f>IFERROR(Calculations!AP10, "")</f>
        <v/>
      </c>
      <c r="X12" s="1" t="str">
        <f>IFERROR(Calculations!AQ10, "")</f>
        <v/>
      </c>
      <c r="Y12" s="8" t="str">
        <f>IFERROR(Calculations!AR10,"")</f>
        <v/>
      </c>
      <c r="Z12" s="8">
        <f>IFERROR(Calculations!AS10,"")</f>
        <v>0</v>
      </c>
      <c r="AA12" s="8">
        <f>IFERROR(Calculations!AT10,"")</f>
        <v>-148490.07786533993</v>
      </c>
      <c r="AB12" s="8" t="str">
        <f>IFERROR(Calculations!AU10,"")</f>
        <v/>
      </c>
      <c r="AC12" s="8" t="str">
        <f>IFERROR(Calculations!AV10,"")</f>
        <v/>
      </c>
      <c r="AD12" s="8" t="str">
        <f>IFERROR(Calculations!AW10,"")</f>
        <v/>
      </c>
      <c r="AE12" s="8" t="str">
        <f>IFERROR(Calculations!AX10,"")</f>
        <v/>
      </c>
      <c r="AF12" s="8">
        <f>IFERROR(IF(Calculations!AY10 &lt;&gt; 0, Calculations!AY10, ""),"")</f>
        <v>26769.767567063333</v>
      </c>
      <c r="AG12" s="42">
        <f>IFERROR(IF(Calculations!AZ10 &lt;&gt; 0, Calculations!AZ10, ""),"")</f>
        <v>-7.572036760701244</v>
      </c>
      <c r="AH12" s="1">
        <f t="shared" si="1"/>
        <v>5</v>
      </c>
      <c r="AI12" s="1">
        <f t="shared" si="2"/>
        <v>500</v>
      </c>
      <c r="AJ12" s="89"/>
      <c r="AK12" s="89"/>
      <c r="AL12" s="89"/>
      <c r="AM12" s="89"/>
      <c r="AN12" s="8" t="str">
        <f>IFERROR(Calculations!BJ10, "")</f>
        <v/>
      </c>
      <c r="AO12" s="8" t="str">
        <f>IFERROR(Calculations!BK10, "")</f>
        <v/>
      </c>
      <c r="AP12" s="8">
        <f>IFERROR(Calculations!BL10, "")</f>
        <v>20.788440303817012</v>
      </c>
      <c r="AQ12" s="8">
        <f>IFERROR(Calculations!BM10, "")</f>
        <v>38.154526878655588</v>
      </c>
      <c r="AR12" s="8" t="str">
        <f>IFERROR(Calculations!BN10, "")</f>
        <v/>
      </c>
      <c r="AS12" s="8" t="str">
        <f>IFERROR(Calculations!BO10, "")</f>
        <v/>
      </c>
      <c r="AT12" s="8" t="str">
        <f>IFERROR(Calculations!BP10, "")</f>
        <v/>
      </c>
      <c r="AU12" s="8" t="str">
        <f>IFERROR(Calculations!BQ10, "")</f>
        <v/>
      </c>
      <c r="AV12" s="8" t="str">
        <f>IFERROR(Calculations!BR10, "")</f>
        <v/>
      </c>
      <c r="AW12" s="89"/>
      <c r="AX12" s="89"/>
      <c r="AY12" s="89"/>
      <c r="AZ12" s="89"/>
      <c r="BA12" s="8" t="str">
        <f>IFERROR(Calculations!BW10, "")</f>
        <v/>
      </c>
      <c r="BB12" s="8" t="str">
        <f>IFERROR(Calculations!BX10, "")</f>
        <v/>
      </c>
      <c r="BC12" s="8" t="str">
        <f>IFERROR(Calculations!BY10, "")</f>
        <v/>
      </c>
      <c r="BD12" s="8">
        <f>IFERROR(Calculations!BZ10, "")</f>
        <v>0</v>
      </c>
      <c r="BE12" s="8">
        <f>IFERROR(Calculations!CA10, "")</f>
        <v>20.325493564496661</v>
      </c>
      <c r="BF12" s="8" t="str">
        <f>IFERROR(Calculations!CB10, "")</f>
        <v/>
      </c>
      <c r="BG12" s="8" t="str">
        <f>IFERROR(Calculations!CC10, "")</f>
        <v/>
      </c>
      <c r="BH12" s="8" t="str">
        <f>IFERROR(Calculations!CD10, "")</f>
        <v/>
      </c>
      <c r="BI12" s="8" t="str">
        <f>IFERROR(Calculations!CE10, "")</f>
        <v/>
      </c>
      <c r="BJ12" s="8">
        <f>IFERROR(IF(Calculations!CF10 &lt;&gt; 0, Calculations!CF10, ""),"")</f>
        <v>-38.617473617975939</v>
      </c>
      <c r="BK12" s="1">
        <f t="shared" si="3"/>
        <v>500</v>
      </c>
      <c r="BL12" s="1">
        <f t="shared" si="4"/>
        <v>5</v>
      </c>
      <c r="BO12" s="218">
        <v>1</v>
      </c>
      <c r="CB12" s="270"/>
      <c r="CC12" s="105">
        <f t="shared" si="5"/>
        <v>500</v>
      </c>
      <c r="CD12" s="8">
        <f t="array" ref="CD12">IFERROR(INDEX(CHOOSE($BO$11,$AF$8:$AF$207,$AG$8:$AG$207,$BJ$8:$BJ$207), MATCH(CD$7&amp;$CC12, $B$8:$B$207&amp;$C$8:$C$207, 0)), "")</f>
        <v>-7.572036760701244</v>
      </c>
      <c r="CE12" s="8">
        <f t="array" ref="CE12">IFERROR(INDEX(CHOOSE($BO$11,$AF$8:$AF$207,$AG$8:$AG$207,$BJ$8:$BJ$207), MATCH(CE$7&amp;$CC12, $B$8:$B$207&amp;$C$8:$C$207, 0)), "")</f>
        <v>-6.3904652110951243</v>
      </c>
      <c r="CF12" s="8">
        <f t="array" ref="CF12">IFERROR(INDEX(CHOOSE($BO$11,$AF$8:$AF$207,$AG$8:$AG$207,$BJ$8:$BJ$207), MATCH(CF$7&amp;$CC12, $B$8:$B$207&amp;$C$8:$C$207, 0)), "")</f>
        <v>-5.5981114960140355</v>
      </c>
      <c r="CG12" s="8">
        <f t="array" ref="CG12">IFERROR(INDEX(CHOOSE($BO$11,$AF$8:$AF$207,$AG$8:$AG$207,$BJ$8:$BJ$207), MATCH(CG$7&amp;$CC12, $B$8:$B$207&amp;$C$8:$C$207, 0)), "")</f>
        <v>-4.9549510413264297</v>
      </c>
      <c r="CH12" s="8">
        <f t="array" ref="CH12">IFERROR(INDEX(CHOOSE($BO$11,$AF$8:$AF$207,$AG$8:$AG$207,$BJ$8:$BJ$207), MATCH(CH$7&amp;$CC12, $B$8:$B$207&amp;$C$8:$C$207, 0)), "")</f>
        <v>-4.3943746515457915</v>
      </c>
      <c r="CI12" s="8">
        <f t="array" ref="CI12">IFERROR(INDEX(CHOOSE($BO$11,$AF$8:$AF$207,$AG$8:$AG$207,$BJ$8:$BJ$207), MATCH(CI$7&amp;$CC12, $B$8:$B$207&amp;$C$8:$C$207, 0)), "")</f>
        <v>-3.8873022424197337</v>
      </c>
      <c r="CJ12" s="8">
        <f t="array" ref="CJ12">IFERROR(INDEX(CHOOSE($BO$11,$AF$8:$AF$207,$AG$8:$AG$207,$BJ$8:$BJ$207), MATCH(CJ$7&amp;$CC12, $B$8:$B$207&amp;$C$8:$C$207, 0)), "")</f>
        <v>-3.4172815256796865</v>
      </c>
      <c r="CK12" s="8">
        <f t="array" ref="CK12">IFERROR(INDEX(CHOOSE($BO$11,$AF$8:$AF$207,$AG$8:$AG$207,$BJ$8:$BJ$207), MATCH(CK$7&amp;$CC12, $B$8:$B$207&amp;$C$8:$C$207, 0)), "")</f>
        <v>-2.9764234862379997</v>
      </c>
      <c r="CL12" s="8">
        <f t="array" ref="CL12">IFERROR(INDEX(CHOOSE($BO$11,$AF$8:$AF$207,$AG$8:$AG$207,$BJ$8:$BJ$207), MATCH(CL$7&amp;$CC12, $B$8:$B$207&amp;$C$8:$C$207, 0)), "")</f>
        <v>-2.559452465918457</v>
      </c>
      <c r="CM12" s="8">
        <f t="array" ref="CM12">IFERROR(INDEX(CHOOSE($BO$11,$AF$8:$AF$207,$AG$8:$AG$207,$BJ$8:$BJ$207), MATCH(CM$7&amp;$CC12, $B$8:$B$207&amp;$C$8:$C$207, 0)), "")</f>
        <v>-2.1601223733162902</v>
      </c>
      <c r="CN12" s="8">
        <f t="array" ref="CN12">IFERROR(INDEX(CHOOSE($BO$11,$AF$8:$AF$207,$AG$8:$AG$207,$BJ$8:$BJ$207), MATCH(CN$7&amp;$CC12, $B$8:$B$207&amp;$C$8:$C$207, 0)), "")</f>
        <v>-1.7757789073147221</v>
      </c>
      <c r="CO12" s="8">
        <f t="array" ref="CO12">IFERROR(INDEX(CHOOSE($BO$11,$AF$8:$AF$207,$AG$8:$AG$207,$BJ$8:$BJ$207), MATCH(CO$7&amp;$CC12, $B$8:$B$207&amp;$C$8:$C$207, 0)), "")</f>
        <v>-1.406049543129259</v>
      </c>
      <c r="CP12" s="8" t="str">
        <f t="array" ref="CP12">IFERROR(INDEX(CHOOSE($BO$11,$AF$8:$AF$207,$AG$8:$AG$207,$BJ$8:$BJ$207), MATCH(CP$7&amp;$CC12, $B$8:$B$207&amp;$C$8:$C$207, 0)), "")</f>
        <v/>
      </c>
      <c r="CQ12" s="8" t="str">
        <f t="array" ref="CQ12">IFERROR(INDEX(CHOOSE($BO$11,$AF$8:$AF$207,$AG$8:$AG$207,$BJ$8:$BJ$207), MATCH(CQ$7&amp;$CC12, $B$8:$B$207&amp;$C$8:$C$207, 0)), "")</f>
        <v/>
      </c>
      <c r="CR12" s="8" t="str">
        <f t="array" ref="CR12">IFERROR(INDEX(CHOOSE($BO$11,$AF$8:$AF$207,$AG$8:$AG$207,$BJ$8:$BJ$207), MATCH(CR$7&amp;$CC12, $B$8:$B$207&amp;$C$8:$C$207, 0)), "")</f>
        <v/>
      </c>
      <c r="CS12" s="8" t="str">
        <f t="array" ref="CS12">IFERROR(INDEX(CHOOSE($BO$11,$AF$8:$AF$207,$AG$8:$AG$207,$BJ$8:$BJ$207), MATCH(CS$7&amp;$CC12, $B$8:$B$207&amp;$C$8:$C$207, 0)), "")</f>
        <v/>
      </c>
      <c r="CT12" s="8" t="str">
        <f t="array" ref="CT12">IFERROR(INDEX(CHOOSE($BO$11,$AF$8:$AF$207,$AG$8:$AG$207,$BJ$8:$BJ$207), MATCH(CT$7&amp;$CC12, $B$8:$B$207&amp;$C$8:$C$207, 0)), "")</f>
        <v/>
      </c>
      <c r="CU12" s="8" t="str">
        <f t="array" ref="CU12">IFERROR(INDEX(CHOOSE($BO$11,$AF$8:$AF$207,$AG$8:$AG$207,$BJ$8:$BJ$207), MATCH(CU$7&amp;$CC12, $B$8:$B$207&amp;$C$8:$C$207, 0)), "")</f>
        <v/>
      </c>
      <c r="CV12" s="8" t="str">
        <f t="array" ref="CV12">IFERROR(INDEX(CHOOSE($BO$11,$AF$8:$AF$207,$AG$8:$AG$207,$BJ$8:$BJ$207), MATCH(CV$7&amp;$CC12, $B$8:$B$207&amp;$C$8:$C$207, 0)), "")</f>
        <v/>
      </c>
      <c r="CW12" s="8" t="str">
        <f t="array" ref="CW12">IFERROR(INDEX(CHOOSE($BO$11,$AF$8:$AF$207,$AG$8:$AG$207,$BJ$8:$BJ$207), MATCH(CW$7&amp;$CC12, $B$8:$B$207&amp;$C$8:$C$207, 0)), "")</f>
        <v/>
      </c>
      <c r="CX12" s="8" t="str">
        <f t="array" ref="CX12">IFERROR(INDEX(CHOOSE($BO$11,$AF$8:$AF$207,$AG$8:$AG$207,$BJ$8:$BJ$207), MATCH(CX$7&amp;$CC12, $B$8:$B$207&amp;$C$8:$C$207, 0)), "")</f>
        <v/>
      </c>
      <c r="CY12" s="8" t="str">
        <f t="array" ref="CY12">IFERROR(INDEX(CHOOSE($BO$11,$AF$8:$AF$207,$AG$8:$AG$207,$BJ$8:$BJ$207), MATCH(CY$7&amp;$CC12, $B$8:$B$207&amp;$C$8:$C$207, 0)), "")</f>
        <v/>
      </c>
      <c r="CZ12" s="8" t="str">
        <f t="array" ref="CZ12">IFERROR(INDEX(CHOOSE($BO$11,$AF$8:$AF$207,$AG$8:$AG$207,$BJ$8:$BJ$207), MATCH(CZ$7&amp;$CC12, $B$8:$B$207&amp;$C$8:$C$207, 0)), "")</f>
        <v/>
      </c>
      <c r="DA12" s="8" t="str">
        <f t="array" ref="DA12">IFERROR(INDEX(CHOOSE($BO$11,$AF$8:$AF$207,$AG$8:$AG$207,$BJ$8:$BJ$207), MATCH(DA$7&amp;$CC12, $B$8:$B$207&amp;$C$8:$C$207, 0)), "")</f>
        <v/>
      </c>
      <c r="DB12" s="8" t="str">
        <f t="array" ref="DB12">IFERROR(INDEX(CHOOSE($BO$11,$AF$8:$AF$207,$AG$8:$AG$207,$BJ$8:$BJ$207), MATCH(DB$7&amp;$CC12, $B$8:$B$207&amp;$C$8:$C$207, 0)), "")</f>
        <v/>
      </c>
      <c r="DC12" s="8" t="str">
        <f t="array" ref="DC12">IFERROR(INDEX(CHOOSE($BO$11,$AF$8:$AF$207,$AG$8:$AG$207,$BJ$8:$BJ$207), MATCH(DC$7&amp;$CC12, $B$8:$B$207&amp;$C$8:$C$207, 0)), "")</f>
        <v/>
      </c>
      <c r="DD12" s="8" t="str">
        <f t="array" ref="DD12">IFERROR(INDEX(CHOOSE($BO$11,$AF$8:$AF$207,$AG$8:$AG$207,$BJ$8:$BJ$207), MATCH(DD$7&amp;$CC12, $B$8:$B$207&amp;$C$8:$C$207, 0)), "")</f>
        <v/>
      </c>
      <c r="DE12" s="8" t="str">
        <f t="array" ref="DE12">IFERROR(INDEX(CHOOSE($BO$11,$AF$8:$AF$207,$AG$8:$AG$207,$BJ$8:$BJ$207), MATCH(DE$7&amp;$CC12, $B$8:$B$207&amp;$C$8:$C$207, 0)), "")</f>
        <v/>
      </c>
      <c r="DF12" s="8" t="str">
        <f t="array" ref="DF12">IFERROR(INDEX(CHOOSE($BO$11,$AF$8:$AF$207,$AG$8:$AG$207,$BJ$8:$BJ$207), MATCH(DF$7&amp;$CC12, $B$8:$B$207&amp;$C$8:$C$207, 0)), "")</f>
        <v/>
      </c>
      <c r="DG12" s="8" t="str">
        <f t="array" ref="DG12">IFERROR(INDEX(CHOOSE($BO$11,$AF$8:$AF$207,$AG$8:$AG$207,$BJ$8:$BJ$207), MATCH(DG$7&amp;$CC12, $B$8:$B$207&amp;$C$8:$C$207, 0)), "")</f>
        <v/>
      </c>
      <c r="DH12" s="8"/>
      <c r="DI12" s="8"/>
      <c r="DJ12" s="8"/>
      <c r="DK12" s="8"/>
      <c r="DL12" s="8"/>
      <c r="DM12" s="8"/>
      <c r="DN12" s="8"/>
      <c r="DO12" s="8"/>
      <c r="DP12" s="8"/>
      <c r="DQ12" s="8"/>
      <c r="DR12" s="8"/>
      <c r="DS12" s="8"/>
      <c r="DT12" s="8"/>
      <c r="DU12" s="8"/>
      <c r="DV12" s="8"/>
      <c r="DW12" s="8"/>
      <c r="DX12" s="8"/>
      <c r="DY12" s="8"/>
      <c r="DZ12" s="8"/>
      <c r="EA12" s="8"/>
    </row>
    <row r="13" spans="1:131" x14ac:dyDescent="0.2">
      <c r="B13" s="1">
        <f>IFERROR(Calculations!M11/1000, "")</f>
        <v>5</v>
      </c>
      <c r="C13" s="1">
        <f>Calculations!N11</f>
        <v>550</v>
      </c>
      <c r="D13" s="58">
        <f>IFERROR(Calculations!$Q11,"")</f>
        <v>0.83520422714948639</v>
      </c>
      <c r="E13" s="8">
        <f>IFERROR(Calculations!$S11, "")</f>
        <v>16.859640833226628</v>
      </c>
      <c r="F13" s="89"/>
      <c r="G13" s="89"/>
      <c r="H13" s="89"/>
      <c r="I13" s="89"/>
      <c r="J13" s="1" t="str">
        <f>IFERROR(Calculations!AC11, "")</f>
        <v/>
      </c>
      <c r="K13" s="1" t="str">
        <f>IFERROR(Calculations!AD11, "")</f>
        <v/>
      </c>
      <c r="L13" s="8">
        <f>IFERROR(Calculations!AE11,"")</f>
        <v>-68084.773952606425</v>
      </c>
      <c r="M13" s="8">
        <f>IFERROR(Calculations!AF11,"")</f>
        <v>-111347.28807392645</v>
      </c>
      <c r="N13" s="8" t="str">
        <f>IFERROR(Calculations!AG11,"")</f>
        <v/>
      </c>
      <c r="O13" s="8" t="str">
        <f>IFERROR(Calculations!AH11,"")</f>
        <v/>
      </c>
      <c r="P13" s="8" t="str">
        <f>IFERROR(Calculations!AI11,"")</f>
        <v/>
      </c>
      <c r="Q13" s="8" t="str">
        <f>IFERROR(Calculations!AJ11,"")</f>
        <v/>
      </c>
      <c r="R13" s="8" t="str">
        <f>IFERROR(Calculations!AK11,"")</f>
        <v/>
      </c>
      <c r="S13" s="89"/>
      <c r="T13" s="89"/>
      <c r="U13" s="89"/>
      <c r="V13" s="89"/>
      <c r="W13" s="1" t="str">
        <f>IFERROR(Calculations!AP11, "")</f>
        <v/>
      </c>
      <c r="X13" s="1" t="str">
        <f>IFERROR(Calculations!AQ11, "")</f>
        <v/>
      </c>
      <c r="Y13" s="8" t="str">
        <f>IFERROR(Calculations!AR11,"")</f>
        <v/>
      </c>
      <c r="Z13" s="8">
        <f>IFERROR(Calculations!AS11,"")</f>
        <v>0</v>
      </c>
      <c r="AA13" s="8">
        <f>IFERROR(Calculations!AT11,"")</f>
        <v>-149581.31319944168</v>
      </c>
      <c r="AB13" s="8" t="str">
        <f>IFERROR(Calculations!AU11,"")</f>
        <v/>
      </c>
      <c r="AC13" s="8" t="str">
        <f>IFERROR(Calculations!AV11,"")</f>
        <v/>
      </c>
      <c r="AD13" s="8" t="str">
        <f>IFERROR(Calculations!AW11,"")</f>
        <v/>
      </c>
      <c r="AE13" s="8" t="str">
        <f>IFERROR(Calculations!AX11,"")</f>
        <v/>
      </c>
      <c r="AF13" s="8">
        <f>IFERROR(IF(Calculations!AY11 &lt;&gt; 0, Calculations!AY11, ""),"")</f>
        <v>29850.748827091214</v>
      </c>
      <c r="AG13" s="42">
        <f>IFERROR(IF(Calculations!AZ11 &lt;&gt; 0, Calculations!AZ11, ""),"")</f>
        <v>-7.9306379013006616</v>
      </c>
      <c r="AH13" s="1">
        <f t="shared" si="1"/>
        <v>5</v>
      </c>
      <c r="AI13" s="1">
        <f t="shared" si="2"/>
        <v>550</v>
      </c>
      <c r="AJ13" s="89"/>
      <c r="AK13" s="89"/>
      <c r="AL13" s="89"/>
      <c r="AM13" s="89"/>
      <c r="AN13" s="8" t="str">
        <f>IFERROR(Calculations!BJ11, "")</f>
        <v/>
      </c>
      <c r="AO13" s="8" t="str">
        <f>IFERROR(Calculations!BK11, "")</f>
        <v/>
      </c>
      <c r="AP13" s="8">
        <f>IFERROR(Calculations!BL11, "")</f>
        <v>21.569909986549426</v>
      </c>
      <c r="AQ13" s="8">
        <f>IFERROR(Calculations!BM11, "")</f>
        <v>40.071777255379516</v>
      </c>
      <c r="AR13" s="8" t="str">
        <f>IFERROR(Calculations!BN11, "")</f>
        <v/>
      </c>
      <c r="AS13" s="8" t="str">
        <f>IFERROR(Calculations!BO11, "")</f>
        <v/>
      </c>
      <c r="AT13" s="8" t="str">
        <f>IFERROR(Calculations!BP11, "")</f>
        <v/>
      </c>
      <c r="AU13" s="8" t="str">
        <f>IFERROR(Calculations!BQ11, "")</f>
        <v/>
      </c>
      <c r="AV13" s="8" t="str">
        <f>IFERROR(Calculations!BR11, "")</f>
        <v/>
      </c>
      <c r="AW13" s="89"/>
      <c r="AX13" s="89"/>
      <c r="AY13" s="89"/>
      <c r="AZ13" s="89"/>
      <c r="BA13" s="8" t="str">
        <f>IFERROR(Calculations!BW11, "")</f>
        <v/>
      </c>
      <c r="BB13" s="8" t="str">
        <f>IFERROR(Calculations!BX11, "")</f>
        <v/>
      </c>
      <c r="BC13" s="8" t="str">
        <f>IFERROR(Calculations!BY11, "")</f>
        <v/>
      </c>
      <c r="BD13" s="8">
        <f>IFERROR(Calculations!BZ11, "")</f>
        <v>0</v>
      </c>
      <c r="BE13" s="8">
        <f>IFERROR(Calculations!CA11, "")</f>
        <v>17.625144442509516</v>
      </c>
      <c r="BF13" s="8" t="str">
        <f>IFERROR(Calculations!CB11, "")</f>
        <v/>
      </c>
      <c r="BG13" s="8" t="str">
        <f>IFERROR(Calculations!CC11, "")</f>
        <v/>
      </c>
      <c r="BH13" s="8" t="str">
        <f>IFERROR(Calculations!CD11, "")</f>
        <v/>
      </c>
      <c r="BI13" s="8" t="str">
        <f>IFERROR(Calculations!CE11, "")</f>
        <v/>
      </c>
      <c r="BJ13" s="8">
        <f>IFERROR(IF(Calculations!CF11 &lt;&gt; 0, Calculations!CF11, ""),"")</f>
        <v>-44.016542799419426</v>
      </c>
      <c r="BK13" s="1">
        <f t="shared" si="3"/>
        <v>550</v>
      </c>
      <c r="BL13" s="1">
        <f t="shared" si="4"/>
        <v>5</v>
      </c>
      <c r="BN13" s="1" t="s">
        <v>613</v>
      </c>
      <c r="BO13" s="218" t="str">
        <f ca="1">OFFSET($BO$8,$BO$11-1,0)&amp;CHOOSE(BO12, " vs Pressure", " vs Temperature")</f>
        <v>Log K vs Pressure</v>
      </c>
      <c r="BP13" s="1" t="s">
        <v>613</v>
      </c>
      <c r="CB13" s="271"/>
      <c r="CC13" s="105">
        <f t="shared" si="5"/>
        <v>550</v>
      </c>
      <c r="CD13" s="8">
        <f t="array" ref="CD13">IFERROR(INDEX(CHOOSE($BO$11,$AF$8:$AF$207,$AG$8:$AG$207,$BJ$8:$BJ$207), MATCH(CD$7&amp;$CC13, $B$8:$B$207&amp;$C$8:$C$207, 0)), "")</f>
        <v>-7.9306379013006616</v>
      </c>
      <c r="CE13" s="8">
        <f t="array" ref="CE13">IFERROR(INDEX(CHOOSE($BO$11,$AF$8:$AF$207,$AG$8:$AG$207,$BJ$8:$BJ$207), MATCH(CE$7&amp;$CC13, $B$8:$B$207&amp;$C$8:$C$207, 0)), "")</f>
        <v>-6.6756812510745664</v>
      </c>
      <c r="CF13" s="8">
        <f t="array" ref="CF13">IFERROR(INDEX(CHOOSE($BO$11,$AF$8:$AF$207,$AG$8:$AG$207,$BJ$8:$BJ$207), MATCH(CF$7&amp;$CC13, $B$8:$B$207&amp;$C$8:$C$207, 0)), "")</f>
        <v>-5.8709382746584389</v>
      </c>
      <c r="CG13" s="8">
        <f t="array" ref="CG13">IFERROR(INDEX(CHOOSE($BO$11,$AF$8:$AF$207,$AG$8:$AG$207,$BJ$8:$BJ$207), MATCH(CG$7&amp;$CC13, $B$8:$B$207&amp;$C$8:$C$207, 0)), "")</f>
        <v>-5.2310449697500383</v>
      </c>
      <c r="CH13" s="8">
        <f t="array" ref="CH13">IFERROR(INDEX(CHOOSE($BO$11,$AF$8:$AF$207,$AG$8:$AG$207,$BJ$8:$BJ$207), MATCH(CH$7&amp;$CC13, $B$8:$B$207&amp;$C$8:$C$207, 0)), "")</f>
        <v>-4.6801543378676635</v>
      </c>
      <c r="CI13" s="8">
        <f t="array" ref="CI13">IFERROR(INDEX(CHOOSE($BO$11,$AF$8:$AF$207,$AG$8:$AG$207,$BJ$8:$BJ$207), MATCH(CI$7&amp;$CC13, $B$8:$B$207&amp;$C$8:$C$207, 0)), "")</f>
        <v>-4.1843068325501251</v>
      </c>
      <c r="CJ13" s="8">
        <f t="array" ref="CJ13">IFERROR(INDEX(CHOOSE($BO$11,$AF$8:$AF$207,$AG$8:$AG$207,$BJ$8:$BJ$207), MATCH(CJ$7&amp;$CC13, $B$8:$B$207&amp;$C$8:$C$207, 0)), "")</f>
        <v>-3.7272691072487607</v>
      </c>
      <c r="CK13" s="8">
        <f t="array" ref="CK13">IFERROR(INDEX(CHOOSE($BO$11,$AF$8:$AF$207,$AG$8:$AG$207,$BJ$8:$BJ$207), MATCH(CK$7&amp;$CC13, $B$8:$B$207&amp;$C$8:$C$207, 0)), "")</f>
        <v>-3.3018416439309615</v>
      </c>
      <c r="CL13" s="8">
        <f t="array" ref="CL13">IFERROR(INDEX(CHOOSE($BO$11,$AF$8:$AF$207,$AG$8:$AG$207,$BJ$8:$BJ$207), MATCH(CL$7&amp;$CC13, $B$8:$B$207&amp;$C$8:$C$207, 0)), "")</f>
        <v>-2.8976773264593185</v>
      </c>
      <c r="CM13" s="8">
        <f t="array" ref="CM13">IFERROR(INDEX(CHOOSE($BO$11,$AF$8:$AF$207,$AG$8:$AG$207,$BJ$8:$BJ$207), MATCH(CM$7&amp;$CC13, $B$8:$B$207&amp;$C$8:$C$207, 0)), "")</f>
        <v>-2.5152071418530078</v>
      </c>
      <c r="CN13" s="8">
        <f t="array" ref="CN13">IFERROR(INDEX(CHOOSE($BO$11,$AF$8:$AF$207,$AG$8:$AG$207,$BJ$8:$BJ$207), MATCH(CN$7&amp;$CC13, $B$8:$B$207&amp;$C$8:$C$207, 0)), "")</f>
        <v>-2.1452301630363779</v>
      </c>
      <c r="CO13" s="8">
        <f t="array" ref="CO13">IFERROR(INDEX(CHOOSE($BO$11,$AF$8:$AF$207,$AG$8:$AG$207,$BJ$8:$BJ$207), MATCH(CO$7&amp;$CC13, $B$8:$B$207&amp;$C$8:$C$207, 0)), "")</f>
        <v>-1.7884595052165131</v>
      </c>
      <c r="CP13" s="8" t="str">
        <f t="array" ref="CP13">IFERROR(INDEX(CHOOSE($BO$11,$AF$8:$AF$207,$AG$8:$AG$207,$BJ$8:$BJ$207), MATCH(CP$7&amp;$CC13, $B$8:$B$207&amp;$C$8:$C$207, 0)), "")</f>
        <v/>
      </c>
      <c r="CQ13" s="8" t="str">
        <f t="array" ref="CQ13">IFERROR(INDEX(CHOOSE($BO$11,$AF$8:$AF$207,$AG$8:$AG$207,$BJ$8:$BJ$207), MATCH(CQ$7&amp;$CC13, $B$8:$B$207&amp;$C$8:$C$207, 0)), "")</f>
        <v/>
      </c>
      <c r="CR13" s="8" t="str">
        <f t="array" ref="CR13">IFERROR(INDEX(CHOOSE($BO$11,$AF$8:$AF$207,$AG$8:$AG$207,$BJ$8:$BJ$207), MATCH(CR$7&amp;$CC13, $B$8:$B$207&amp;$C$8:$C$207, 0)), "")</f>
        <v/>
      </c>
      <c r="CS13" s="8" t="str">
        <f t="array" ref="CS13">IFERROR(INDEX(CHOOSE($BO$11,$AF$8:$AF$207,$AG$8:$AG$207,$BJ$8:$BJ$207), MATCH(CS$7&amp;$CC13, $B$8:$B$207&amp;$C$8:$C$207, 0)), "")</f>
        <v/>
      </c>
      <c r="CT13" s="8" t="str">
        <f t="array" ref="CT13">IFERROR(INDEX(CHOOSE($BO$11,$AF$8:$AF$207,$AG$8:$AG$207,$BJ$8:$BJ$207), MATCH(CT$7&amp;$CC13, $B$8:$B$207&amp;$C$8:$C$207, 0)), "")</f>
        <v/>
      </c>
      <c r="CU13" s="8" t="str">
        <f t="array" ref="CU13">IFERROR(INDEX(CHOOSE($BO$11,$AF$8:$AF$207,$AG$8:$AG$207,$BJ$8:$BJ$207), MATCH(CU$7&amp;$CC13, $B$8:$B$207&amp;$C$8:$C$207, 0)), "")</f>
        <v/>
      </c>
      <c r="CV13" s="8" t="str">
        <f t="array" ref="CV13">IFERROR(INDEX(CHOOSE($BO$11,$AF$8:$AF$207,$AG$8:$AG$207,$BJ$8:$BJ$207), MATCH(CV$7&amp;$CC13, $B$8:$B$207&amp;$C$8:$C$207, 0)), "")</f>
        <v/>
      </c>
      <c r="CW13" s="8" t="str">
        <f t="array" ref="CW13">IFERROR(INDEX(CHOOSE($BO$11,$AF$8:$AF$207,$AG$8:$AG$207,$BJ$8:$BJ$207), MATCH(CW$7&amp;$CC13, $B$8:$B$207&amp;$C$8:$C$207, 0)), "")</f>
        <v/>
      </c>
      <c r="CX13" s="8" t="str">
        <f t="array" ref="CX13">IFERROR(INDEX(CHOOSE($BO$11,$AF$8:$AF$207,$AG$8:$AG$207,$BJ$8:$BJ$207), MATCH(CX$7&amp;$CC13, $B$8:$B$207&amp;$C$8:$C$207, 0)), "")</f>
        <v/>
      </c>
      <c r="CY13" s="8" t="str">
        <f t="array" ref="CY13">IFERROR(INDEX(CHOOSE($BO$11,$AF$8:$AF$207,$AG$8:$AG$207,$BJ$8:$BJ$207), MATCH(CY$7&amp;$CC13, $B$8:$B$207&amp;$C$8:$C$207, 0)), "")</f>
        <v/>
      </c>
      <c r="CZ13" s="8" t="str">
        <f t="array" ref="CZ13">IFERROR(INDEX(CHOOSE($BO$11,$AF$8:$AF$207,$AG$8:$AG$207,$BJ$8:$BJ$207), MATCH(CZ$7&amp;$CC13, $B$8:$B$207&amp;$C$8:$C$207, 0)), "")</f>
        <v/>
      </c>
      <c r="DA13" s="8" t="str">
        <f t="array" ref="DA13">IFERROR(INDEX(CHOOSE($BO$11,$AF$8:$AF$207,$AG$8:$AG$207,$BJ$8:$BJ$207), MATCH(DA$7&amp;$CC13, $B$8:$B$207&amp;$C$8:$C$207, 0)), "")</f>
        <v/>
      </c>
      <c r="DB13" s="8" t="str">
        <f t="array" ref="DB13">IFERROR(INDEX(CHOOSE($BO$11,$AF$8:$AF$207,$AG$8:$AG$207,$BJ$8:$BJ$207), MATCH(DB$7&amp;$CC13, $B$8:$B$207&amp;$C$8:$C$207, 0)), "")</f>
        <v/>
      </c>
      <c r="DC13" s="8" t="str">
        <f t="array" ref="DC13">IFERROR(INDEX(CHOOSE($BO$11,$AF$8:$AF$207,$AG$8:$AG$207,$BJ$8:$BJ$207), MATCH(DC$7&amp;$CC13, $B$8:$B$207&amp;$C$8:$C$207, 0)), "")</f>
        <v/>
      </c>
      <c r="DD13" s="8" t="str">
        <f t="array" ref="DD13">IFERROR(INDEX(CHOOSE($BO$11,$AF$8:$AF$207,$AG$8:$AG$207,$BJ$8:$BJ$207), MATCH(DD$7&amp;$CC13, $B$8:$B$207&amp;$C$8:$C$207, 0)), "")</f>
        <v/>
      </c>
      <c r="DE13" s="8" t="str">
        <f t="array" ref="DE13">IFERROR(INDEX(CHOOSE($BO$11,$AF$8:$AF$207,$AG$8:$AG$207,$BJ$8:$BJ$207), MATCH(DE$7&amp;$CC13, $B$8:$B$207&amp;$C$8:$C$207, 0)), "")</f>
        <v/>
      </c>
      <c r="DF13" s="8" t="str">
        <f t="array" ref="DF13">IFERROR(INDEX(CHOOSE($BO$11,$AF$8:$AF$207,$AG$8:$AG$207,$BJ$8:$BJ$207), MATCH(DF$7&amp;$CC13, $B$8:$B$207&amp;$C$8:$C$207, 0)), "")</f>
        <v/>
      </c>
      <c r="DG13" s="8" t="str">
        <f t="array" ref="DG13">IFERROR(INDEX(CHOOSE($BO$11,$AF$8:$AF$207,$AG$8:$AG$207,$BJ$8:$BJ$207), MATCH(DG$7&amp;$CC13, $B$8:$B$207&amp;$C$8:$C$207, 0)), "")</f>
        <v/>
      </c>
      <c r="DH13" s="8"/>
      <c r="DI13" s="8"/>
      <c r="DJ13" s="8"/>
      <c r="DK13" s="8"/>
      <c r="DL13" s="8"/>
      <c r="DM13" s="8"/>
      <c r="DN13" s="8"/>
      <c r="DO13" s="8"/>
      <c r="DP13" s="8"/>
      <c r="DQ13" s="8"/>
      <c r="DR13" s="8"/>
      <c r="DS13" s="8"/>
      <c r="DT13" s="8"/>
      <c r="DU13" s="8"/>
      <c r="DV13" s="8"/>
      <c r="DW13" s="8"/>
      <c r="DX13" s="8"/>
      <c r="DY13" s="8"/>
      <c r="DZ13" s="8"/>
      <c r="EA13" s="8"/>
    </row>
    <row r="14" spans="1:131" x14ac:dyDescent="0.2">
      <c r="B14" s="1">
        <f>IFERROR(Calculations!M12/1000, "")</f>
        <v>5</v>
      </c>
      <c r="C14" s="1">
        <f>Calculations!N12</f>
        <v>600</v>
      </c>
      <c r="D14" s="58">
        <f>IFERROR(Calculations!$Q12,"")</f>
        <v>0.80442033939838398</v>
      </c>
      <c r="E14" s="8">
        <f>IFERROR(Calculations!$S12, "")</f>
        <v>14.808247835029572</v>
      </c>
      <c r="F14" s="89"/>
      <c r="G14" s="89"/>
      <c r="H14" s="89"/>
      <c r="I14" s="89"/>
      <c r="J14" s="1" t="str">
        <f>IFERROR(Calculations!AC12, "")</f>
        <v/>
      </c>
      <c r="K14" s="1" t="str">
        <f>IFERROR(Calculations!AD12, "")</f>
        <v/>
      </c>
      <c r="L14" s="8">
        <f>IFERROR(Calculations!AE12,"")</f>
        <v>-69709.480405470546</v>
      </c>
      <c r="M14" s="8">
        <f>IFERROR(Calculations!AF12,"")</f>
        <v>-114022.14415067063</v>
      </c>
      <c r="N14" s="8" t="str">
        <f>IFERROR(Calculations!AG12,"")</f>
        <v/>
      </c>
      <c r="O14" s="8" t="str">
        <f>IFERROR(Calculations!AH12,"")</f>
        <v/>
      </c>
      <c r="P14" s="8" t="str">
        <f>IFERROR(Calculations!AI12,"")</f>
        <v/>
      </c>
      <c r="Q14" s="8" t="str">
        <f>IFERROR(Calculations!AJ12,"")</f>
        <v/>
      </c>
      <c r="R14" s="8" t="str">
        <f>IFERROR(Calculations!AK12,"")</f>
        <v/>
      </c>
      <c r="S14" s="89"/>
      <c r="T14" s="89"/>
      <c r="U14" s="89"/>
      <c r="V14" s="89"/>
      <c r="W14" s="1" t="str">
        <f>IFERROR(Calculations!AP12, "")</f>
        <v/>
      </c>
      <c r="X14" s="1" t="str">
        <f>IFERROR(Calculations!AQ12, "")</f>
        <v/>
      </c>
      <c r="Y14" s="8" t="str">
        <f>IFERROR(Calculations!AR12,"")</f>
        <v/>
      </c>
      <c r="Z14" s="8">
        <f>IFERROR(Calculations!AS12,"")</f>
        <v>0</v>
      </c>
      <c r="AA14" s="8">
        <f>IFERROR(Calculations!AT12,"")</f>
        <v>-150604.94800611876</v>
      </c>
      <c r="AB14" s="8" t="str">
        <f>IFERROR(Calculations!AU12,"")</f>
        <v/>
      </c>
      <c r="AC14" s="8" t="str">
        <f>IFERROR(Calculations!AV12,"")</f>
        <v/>
      </c>
      <c r="AD14" s="8" t="str">
        <f>IFERROR(Calculations!AW12,"")</f>
        <v/>
      </c>
      <c r="AE14" s="8" t="str">
        <f>IFERROR(Calculations!AX12,"")</f>
        <v/>
      </c>
      <c r="AF14" s="8">
        <f>IFERROR(IF(Calculations!AY12 &lt;&gt; 0, Calculations!AY12, ""),"")</f>
        <v>33126.676550022414</v>
      </c>
      <c r="AG14" s="42">
        <f>IFERROR(IF(Calculations!AZ12 &lt;&gt; 0, Calculations!AZ12, ""),"")</f>
        <v>-8.2969960337136115</v>
      </c>
      <c r="AH14" s="1">
        <f t="shared" si="1"/>
        <v>5</v>
      </c>
      <c r="AI14" s="1">
        <f t="shared" si="2"/>
        <v>600</v>
      </c>
      <c r="AJ14" s="89"/>
      <c r="AK14" s="89"/>
      <c r="AL14" s="89"/>
      <c r="AM14" s="89"/>
      <c r="AN14" s="8" t="str">
        <f>IFERROR(Calculations!BJ12, "")</f>
        <v/>
      </c>
      <c r="AO14" s="8" t="str">
        <f>IFERROR(Calculations!BK12, "")</f>
        <v/>
      </c>
      <c r="AP14" s="8">
        <f>IFERROR(Calculations!BL12, "")</f>
        <v>22.395356156053197</v>
      </c>
      <c r="AQ14" s="8">
        <f>IFERROR(Calculations!BM12, "")</f>
        <v>42.38441332622331</v>
      </c>
      <c r="AR14" s="8" t="str">
        <f>IFERROR(Calculations!BN12, "")</f>
        <v/>
      </c>
      <c r="AS14" s="8" t="str">
        <f>IFERROR(Calculations!BO12, "")</f>
        <v/>
      </c>
      <c r="AT14" s="8" t="str">
        <f>IFERROR(Calculations!BP12, "")</f>
        <v/>
      </c>
      <c r="AU14" s="8" t="str">
        <f>IFERROR(Calculations!BQ12, "")</f>
        <v/>
      </c>
      <c r="AV14" s="8" t="str">
        <f>IFERROR(Calculations!BR12, "")</f>
        <v/>
      </c>
      <c r="AW14" s="89"/>
      <c r="AX14" s="89"/>
      <c r="AY14" s="89"/>
      <c r="AZ14" s="89"/>
      <c r="BA14" s="8" t="str">
        <f>IFERROR(Calculations!BW12, "")</f>
        <v/>
      </c>
      <c r="BB14" s="8" t="str">
        <f>IFERROR(Calculations!BX12, "")</f>
        <v/>
      </c>
      <c r="BC14" s="8" t="str">
        <f>IFERROR(Calculations!BY12, "")</f>
        <v/>
      </c>
      <c r="BD14" s="8">
        <f>IFERROR(Calculations!BZ12, "")</f>
        <v>0</v>
      </c>
      <c r="BE14" s="8">
        <f>IFERROR(Calculations!CA12, "")</f>
        <v>14.347829565606391</v>
      </c>
      <c r="BF14" s="8" t="str">
        <f>IFERROR(Calculations!CB12, "")</f>
        <v/>
      </c>
      <c r="BG14" s="8" t="str">
        <f>IFERROR(Calculations!CC12, "")</f>
        <v/>
      </c>
      <c r="BH14" s="8" t="str">
        <f>IFERROR(Calculations!CD12, "")</f>
        <v/>
      </c>
      <c r="BI14" s="8" t="str">
        <f>IFERROR(Calculations!CE12, "")</f>
        <v/>
      </c>
      <c r="BJ14" s="8">
        <f>IFERROR(IF(Calculations!CF12 &lt;&gt; 0, Calculations!CF12, ""),"")</f>
        <v>-50.431939916670117</v>
      </c>
      <c r="BK14" s="1">
        <f t="shared" si="3"/>
        <v>600</v>
      </c>
      <c r="BL14" s="1">
        <f t="shared" si="4"/>
        <v>5</v>
      </c>
      <c r="CB14" s="104"/>
      <c r="CC14" s="1">
        <f t="shared" si="5"/>
        <v>600</v>
      </c>
      <c r="CD14" s="8">
        <f t="array" ref="CD14">IFERROR(INDEX(CHOOSE($BO$11,$AF$8:$AF$207,$AG$8:$AG$207,$BJ$8:$BJ$207), MATCH(CD$7&amp;$CC14, $B$8:$B$207&amp;$C$8:$C$207, 0)), "")</f>
        <v>-8.2969960337136115</v>
      </c>
      <c r="CE14" s="8">
        <f t="array" ref="CE14">IFERROR(INDEX(CHOOSE($BO$11,$AF$8:$AF$207,$AG$8:$AG$207,$BJ$8:$BJ$207), MATCH(CE$7&amp;$CC14, $B$8:$B$207&amp;$C$8:$C$207, 0)), "")</f>
        <v>-6.9563985417072596</v>
      </c>
      <c r="CF14" s="8">
        <f t="array" ref="CF14">IFERROR(INDEX(CHOOSE($BO$11,$AF$8:$AF$207,$AG$8:$AG$207,$BJ$8:$BJ$207), MATCH(CF$7&amp;$CC14, $B$8:$B$207&amp;$C$8:$C$207, 0)), "")</f>
        <v>-6.1361631313146718</v>
      </c>
      <c r="CG14" s="8">
        <f t="array" ref="CG14">IFERROR(INDEX(CHOOSE($BO$11,$AF$8:$AF$207,$AG$8:$AG$207,$BJ$8:$BJ$207), MATCH(CG$7&amp;$CC14, $B$8:$B$207&amp;$C$8:$C$207, 0)), "")</f>
        <v>-5.4961462048603531</v>
      </c>
      <c r="CH14" s="8">
        <f t="array" ref="CH14">IFERROR(INDEX(CHOOSE($BO$11,$AF$8:$AF$207,$AG$8:$AG$207,$BJ$8:$BJ$207), MATCH(CH$7&amp;$CC14, $B$8:$B$207&amp;$C$8:$C$207, 0)), "")</f>
        <v>-4.9514274517651353</v>
      </c>
      <c r="CI14" s="8">
        <f t="array" ref="CI14">IFERROR(INDEX(CHOOSE($BO$11,$AF$8:$AF$207,$AG$8:$AG$207,$BJ$8:$BJ$207), MATCH(CI$7&amp;$CC14, $B$8:$B$207&amp;$C$8:$C$207, 0)), "")</f>
        <v>-4.4657826877961666</v>
      </c>
      <c r="CJ14" s="8">
        <f t="array" ref="CJ14">IFERROR(INDEX(CHOOSE($BO$11,$AF$8:$AF$207,$AG$8:$AG$207,$BJ$8:$BJ$207), MATCH(CJ$7&amp;$CC14, $B$8:$B$207&amp;$C$8:$C$207, 0)), "")</f>
        <v>-4.0193999414280634</v>
      </c>
      <c r="CK14" s="8">
        <f t="array" ref="CK14">IFERROR(INDEX(CHOOSE($BO$11,$AF$8:$AF$207,$AG$8:$AG$207,$BJ$8:$BJ$207), MATCH(CK$7&amp;$CC14, $B$8:$B$207&amp;$C$8:$C$207, 0)), "")</f>
        <v>-3.6046795477888351</v>
      </c>
      <c r="CL14" s="8">
        <f t="array" ref="CL14">IFERROR(INDEX(CHOOSE($BO$11,$AF$8:$AF$207,$AG$8:$AG$207,$BJ$8:$BJ$207), MATCH(CL$7&amp;$CC14, $B$8:$B$207&amp;$C$8:$C$207, 0)), "")</f>
        <v>-3.2156841183144249</v>
      </c>
      <c r="CM14" s="8">
        <f t="array" ref="CM14">IFERROR(INDEX(CHOOSE($BO$11,$AF$8:$AF$207,$AG$8:$AG$207,$BJ$8:$BJ$207), MATCH(CM$7&amp;$CC14, $B$8:$B$207&amp;$C$8:$C$207, 0)), "")</f>
        <v>-2.8401530321027133</v>
      </c>
      <c r="CN14" s="8">
        <f t="array" ref="CN14">IFERROR(INDEX(CHOOSE($BO$11,$AF$8:$AF$207,$AG$8:$AG$207,$BJ$8:$BJ$207), MATCH(CN$7&amp;$CC14, $B$8:$B$207&amp;$C$8:$C$207, 0)), "")</f>
        <v>-2.4871389777315724</v>
      </c>
      <c r="CO14" s="8">
        <f t="array" ref="CO14">IFERROR(INDEX(CHOOSE($BO$11,$AF$8:$AF$207,$AG$8:$AG$207,$BJ$8:$BJ$207), MATCH(CO$7&amp;$CC14, $B$8:$B$207&amp;$C$8:$C$207, 0)), "")</f>
        <v>-2.1427934564322881</v>
      </c>
      <c r="CP14" s="8" t="str">
        <f t="array" ref="CP14">IFERROR(INDEX(CHOOSE($BO$11,$AF$8:$AF$207,$AG$8:$AG$207,$BJ$8:$BJ$207), MATCH(CP$7&amp;$CC14, $B$8:$B$207&amp;$C$8:$C$207, 0)), "")</f>
        <v/>
      </c>
      <c r="CQ14" s="8" t="str">
        <f t="array" ref="CQ14">IFERROR(INDEX(CHOOSE($BO$11,$AF$8:$AF$207,$AG$8:$AG$207,$BJ$8:$BJ$207), MATCH(CQ$7&amp;$CC14, $B$8:$B$207&amp;$C$8:$C$207, 0)), "")</f>
        <v/>
      </c>
      <c r="CR14" s="8" t="str">
        <f t="array" ref="CR14">IFERROR(INDEX(CHOOSE($BO$11,$AF$8:$AF$207,$AG$8:$AG$207,$BJ$8:$BJ$207), MATCH(CR$7&amp;$CC14, $B$8:$B$207&amp;$C$8:$C$207, 0)), "")</f>
        <v/>
      </c>
      <c r="CS14" s="8" t="str">
        <f t="array" ref="CS14">IFERROR(INDEX(CHOOSE($BO$11,$AF$8:$AF$207,$AG$8:$AG$207,$BJ$8:$BJ$207), MATCH(CS$7&amp;$CC14, $B$8:$B$207&amp;$C$8:$C$207, 0)), "")</f>
        <v/>
      </c>
      <c r="CT14" s="8" t="str">
        <f t="array" ref="CT14">IFERROR(INDEX(CHOOSE($BO$11,$AF$8:$AF$207,$AG$8:$AG$207,$BJ$8:$BJ$207), MATCH(CT$7&amp;$CC14, $B$8:$B$207&amp;$C$8:$C$207, 0)), "")</f>
        <v/>
      </c>
      <c r="CU14" s="8" t="str">
        <f t="array" ref="CU14">IFERROR(INDEX(CHOOSE($BO$11,$AF$8:$AF$207,$AG$8:$AG$207,$BJ$8:$BJ$207), MATCH(CU$7&amp;$CC14, $B$8:$B$207&amp;$C$8:$C$207, 0)), "")</f>
        <v/>
      </c>
      <c r="CV14" s="8" t="str">
        <f t="array" ref="CV14">IFERROR(INDEX(CHOOSE($BO$11,$AF$8:$AF$207,$AG$8:$AG$207,$BJ$8:$BJ$207), MATCH(CV$7&amp;$CC14, $B$8:$B$207&amp;$C$8:$C$207, 0)), "")</f>
        <v/>
      </c>
      <c r="CW14" s="8" t="str">
        <f t="array" ref="CW14">IFERROR(INDEX(CHOOSE($BO$11,$AF$8:$AF$207,$AG$8:$AG$207,$BJ$8:$BJ$207), MATCH(CW$7&amp;$CC14, $B$8:$B$207&amp;$C$8:$C$207, 0)), "")</f>
        <v/>
      </c>
      <c r="CX14" s="8" t="str">
        <f t="array" ref="CX14">IFERROR(INDEX(CHOOSE($BO$11,$AF$8:$AF$207,$AG$8:$AG$207,$BJ$8:$BJ$207), MATCH(CX$7&amp;$CC14, $B$8:$B$207&amp;$C$8:$C$207, 0)), "")</f>
        <v/>
      </c>
      <c r="CY14" s="8" t="str">
        <f t="array" ref="CY14">IFERROR(INDEX(CHOOSE($BO$11,$AF$8:$AF$207,$AG$8:$AG$207,$BJ$8:$BJ$207), MATCH(CY$7&amp;$CC14, $B$8:$B$207&amp;$C$8:$C$207, 0)), "")</f>
        <v/>
      </c>
      <c r="CZ14" s="8" t="str">
        <f t="array" ref="CZ14">IFERROR(INDEX(CHOOSE($BO$11,$AF$8:$AF$207,$AG$8:$AG$207,$BJ$8:$BJ$207), MATCH(CZ$7&amp;$CC14, $B$8:$B$207&amp;$C$8:$C$207, 0)), "")</f>
        <v/>
      </c>
      <c r="DA14" s="8" t="str">
        <f t="array" ref="DA14">IFERROR(INDEX(CHOOSE($BO$11,$AF$8:$AF$207,$AG$8:$AG$207,$BJ$8:$BJ$207), MATCH(DA$7&amp;$CC14, $B$8:$B$207&amp;$C$8:$C$207, 0)), "")</f>
        <v/>
      </c>
      <c r="DB14" s="8" t="str">
        <f t="array" ref="DB14">IFERROR(INDEX(CHOOSE($BO$11,$AF$8:$AF$207,$AG$8:$AG$207,$BJ$8:$BJ$207), MATCH(DB$7&amp;$CC14, $B$8:$B$207&amp;$C$8:$C$207, 0)), "")</f>
        <v/>
      </c>
      <c r="DC14" s="8" t="str">
        <f t="array" ref="DC14">IFERROR(INDEX(CHOOSE($BO$11,$AF$8:$AF$207,$AG$8:$AG$207,$BJ$8:$BJ$207), MATCH(DC$7&amp;$CC14, $B$8:$B$207&amp;$C$8:$C$207, 0)), "")</f>
        <v/>
      </c>
      <c r="DD14" s="8" t="str">
        <f t="array" ref="DD14">IFERROR(INDEX(CHOOSE($BO$11,$AF$8:$AF$207,$AG$8:$AG$207,$BJ$8:$BJ$207), MATCH(DD$7&amp;$CC14, $B$8:$B$207&amp;$C$8:$C$207, 0)), "")</f>
        <v/>
      </c>
      <c r="DE14" s="8" t="str">
        <f t="array" ref="DE14">IFERROR(INDEX(CHOOSE($BO$11,$AF$8:$AF$207,$AG$8:$AG$207,$BJ$8:$BJ$207), MATCH(DE$7&amp;$CC14, $B$8:$B$207&amp;$C$8:$C$207, 0)), "")</f>
        <v/>
      </c>
      <c r="DF14" s="8" t="str">
        <f t="array" ref="DF14">IFERROR(INDEX(CHOOSE($BO$11,$AF$8:$AF$207,$AG$8:$AG$207,$BJ$8:$BJ$207), MATCH(DF$7&amp;$CC14, $B$8:$B$207&amp;$C$8:$C$207, 0)), "")</f>
        <v/>
      </c>
      <c r="DG14" s="8" t="str">
        <f t="array" ref="DG14">IFERROR(INDEX(CHOOSE($BO$11,$AF$8:$AF$207,$AG$8:$AG$207,$BJ$8:$BJ$207), MATCH(DG$7&amp;$CC14, $B$8:$B$207&amp;$C$8:$C$207, 0)), "")</f>
        <v/>
      </c>
      <c r="DH14" s="8"/>
      <c r="DI14" s="8"/>
      <c r="DJ14" s="8"/>
      <c r="DK14" s="8"/>
      <c r="DL14" s="8"/>
      <c r="DM14" s="8"/>
      <c r="DN14" s="8"/>
      <c r="DO14" s="8"/>
      <c r="DP14" s="8"/>
      <c r="DQ14" s="8"/>
      <c r="DR14" s="8"/>
      <c r="DS14" s="8"/>
      <c r="DT14" s="8"/>
      <c r="DU14" s="8"/>
      <c r="DV14" s="8"/>
      <c r="DW14" s="8"/>
      <c r="DX14" s="8"/>
      <c r="DY14" s="8"/>
      <c r="DZ14" s="8"/>
      <c r="EA14" s="8"/>
    </row>
    <row r="15" spans="1:131" x14ac:dyDescent="0.2">
      <c r="B15" s="1">
        <f>IFERROR(Calculations!M13/1000, "")</f>
        <v>5</v>
      </c>
      <c r="C15" s="1">
        <f>Calculations!N13</f>
        <v>650</v>
      </c>
      <c r="D15" s="58">
        <f>IFERROR(Calculations!$Q13,"")</f>
        <v>0.77445362805843354</v>
      </c>
      <c r="E15" s="8">
        <f>IFERROR(Calculations!$S13, "")</f>
        <v>13.054071117441893</v>
      </c>
      <c r="F15" s="89"/>
      <c r="G15" s="89"/>
      <c r="H15" s="89"/>
      <c r="I15" s="89"/>
      <c r="J15" s="1" t="str">
        <f>IFERROR(Calculations!AC13, "")</f>
        <v/>
      </c>
      <c r="K15" s="1" t="str">
        <f>IFERROR(Calculations!AD13, "")</f>
        <v/>
      </c>
      <c r="L15" s="8">
        <f>IFERROR(Calculations!AE13,"")</f>
        <v>-71381.374465275469</v>
      </c>
      <c r="M15" s="8">
        <f>IFERROR(Calculations!AF13,"")</f>
        <v>-116790.88944460791</v>
      </c>
      <c r="N15" s="8" t="str">
        <f>IFERROR(Calculations!AG13,"")</f>
        <v/>
      </c>
      <c r="O15" s="8" t="str">
        <f>IFERROR(Calculations!AH13,"")</f>
        <v/>
      </c>
      <c r="P15" s="8" t="str">
        <f>IFERROR(Calculations!AI13,"")</f>
        <v/>
      </c>
      <c r="Q15" s="8" t="str">
        <f>IFERROR(Calculations!AJ13,"")</f>
        <v/>
      </c>
      <c r="R15" s="8" t="str">
        <f>IFERROR(Calculations!AK13,"")</f>
        <v/>
      </c>
      <c r="S15" s="89"/>
      <c r="T15" s="89"/>
      <c r="U15" s="89"/>
      <c r="V15" s="89"/>
      <c r="W15" s="1" t="str">
        <f>IFERROR(Calculations!AP13, "")</f>
        <v/>
      </c>
      <c r="X15" s="1" t="str">
        <f>IFERROR(Calculations!AQ13, "")</f>
        <v/>
      </c>
      <c r="Y15" s="8" t="str">
        <f>IFERROR(Calculations!AR13,"")</f>
        <v/>
      </c>
      <c r="Z15" s="8">
        <f>IFERROR(Calculations!AS13,"")</f>
        <v>0</v>
      </c>
      <c r="AA15" s="8">
        <f>IFERROR(Calculations!AT13,"")</f>
        <v>-151552.11444576137</v>
      </c>
      <c r="AB15" s="8" t="str">
        <f>IFERROR(Calculations!AU13,"")</f>
        <v/>
      </c>
      <c r="AC15" s="8" t="str">
        <f>IFERROR(Calculations!AV13,"")</f>
        <v/>
      </c>
      <c r="AD15" s="8" t="str">
        <f>IFERROR(Calculations!AW13,"")</f>
        <v/>
      </c>
      <c r="AE15" s="8" t="str">
        <f>IFERROR(Calculations!AX13,"")</f>
        <v/>
      </c>
      <c r="AF15" s="8">
        <f>IFERROR(IF(Calculations!AY13 &lt;&gt; 0, Calculations!AY13, ""),"")</f>
        <v>36620.14946412202</v>
      </c>
      <c r="AG15" s="42">
        <f>IFERROR(IF(Calculations!AZ13 &lt;&gt; 0, Calculations!AZ13, ""),"")</f>
        <v>-8.6752043179581726</v>
      </c>
      <c r="AH15" s="1">
        <f t="shared" si="1"/>
        <v>5</v>
      </c>
      <c r="AI15" s="1">
        <f t="shared" si="2"/>
        <v>650</v>
      </c>
      <c r="AJ15" s="89"/>
      <c r="AK15" s="89"/>
      <c r="AL15" s="89"/>
      <c r="AM15" s="89"/>
      <c r="AN15" s="8" t="str">
        <f>IFERROR(Calculations!BJ13, "")</f>
        <v/>
      </c>
      <c r="AO15" s="8" t="str">
        <f>IFERROR(Calculations!BK13, "")</f>
        <v/>
      </c>
      <c r="AP15" s="8">
        <f>IFERROR(Calculations!BL13, "")</f>
        <v>23.261922143956596</v>
      </c>
      <c r="AQ15" s="8">
        <f>IFERROR(Calculations!BM13, "")</f>
        <v>45.144002723811539</v>
      </c>
      <c r="AR15" s="8" t="str">
        <f>IFERROR(Calculations!BN13, "")</f>
        <v/>
      </c>
      <c r="AS15" s="8" t="str">
        <f>IFERROR(Calculations!BO13, "")</f>
        <v/>
      </c>
      <c r="AT15" s="8" t="str">
        <f>IFERROR(Calculations!BP13, "")</f>
        <v/>
      </c>
      <c r="AU15" s="8" t="str">
        <f>IFERROR(Calculations!BQ13, "")</f>
        <v/>
      </c>
      <c r="AV15" s="8" t="str">
        <f>IFERROR(Calculations!BR13, "")</f>
        <v/>
      </c>
      <c r="AW15" s="89"/>
      <c r="AX15" s="89"/>
      <c r="AY15" s="89"/>
      <c r="AZ15" s="89"/>
      <c r="BA15" s="8" t="str">
        <f>IFERROR(Calculations!BW13, "")</f>
        <v/>
      </c>
      <c r="BB15" s="8" t="str">
        <f>IFERROR(Calculations!BX13, "")</f>
        <v/>
      </c>
      <c r="BC15" s="8" t="str">
        <f>IFERROR(Calculations!BY13, "")</f>
        <v/>
      </c>
      <c r="BD15" s="8">
        <f>IFERROR(Calculations!BZ13, "")</f>
        <v>0</v>
      </c>
      <c r="BE15" s="8">
        <f>IFERROR(Calculations!CA13, "")</f>
        <v>10.381134631016799</v>
      </c>
      <c r="BF15" s="8" t="str">
        <f>IFERROR(Calculations!CB13, "")</f>
        <v/>
      </c>
      <c r="BG15" s="8" t="str">
        <f>IFERROR(Calculations!CC13, "")</f>
        <v/>
      </c>
      <c r="BH15" s="8" t="str">
        <f>IFERROR(Calculations!CD13, "")</f>
        <v/>
      </c>
      <c r="BI15" s="8" t="str">
        <f>IFERROR(Calculations!CE13, "")</f>
        <v/>
      </c>
      <c r="BJ15" s="8">
        <f>IFERROR(IF(Calculations!CF13 &lt;&gt; 0, Calculations!CF13, ""),"")</f>
        <v>-58.024790236751336</v>
      </c>
      <c r="BK15" s="1">
        <f t="shared" si="3"/>
        <v>650</v>
      </c>
      <c r="BL15" s="1">
        <f t="shared" si="4"/>
        <v>5</v>
      </c>
      <c r="CB15" s="104"/>
      <c r="CC15" s="1">
        <f t="shared" si="5"/>
        <v>650</v>
      </c>
      <c r="CD15" s="8">
        <f t="array" ref="CD15">IFERROR(INDEX(CHOOSE($BO$11,$AF$8:$AF$207,$AG$8:$AG$207,$BJ$8:$BJ$207), MATCH(CD$7&amp;$CC15, $B$8:$B$207&amp;$C$8:$C$207, 0)), "")</f>
        <v>-8.6752043179581726</v>
      </c>
      <c r="CE15" s="8">
        <f t="array" ref="CE15">IFERROR(INDEX(CHOOSE($BO$11,$AF$8:$AF$207,$AG$8:$AG$207,$BJ$8:$BJ$207), MATCH(CE$7&amp;$CC15, $B$8:$B$207&amp;$C$8:$C$207, 0)), "")</f>
        <v>-7.2371487037799653</v>
      </c>
      <c r="CF15" s="8">
        <f t="array" ref="CF15">IFERROR(INDEX(CHOOSE($BO$11,$AF$8:$AF$207,$AG$8:$AG$207,$BJ$8:$BJ$207), MATCH(CF$7&amp;$CC15, $B$8:$B$207&amp;$C$8:$C$207, 0)), "")</f>
        <v>-6.3950207115696047</v>
      </c>
      <c r="CG15" s="8">
        <f t="array" ref="CG15">IFERROR(INDEX(CHOOSE($BO$11,$AF$8:$AF$207,$AG$8:$AG$207,$BJ$8:$BJ$207), MATCH(CG$7&amp;$CC15, $B$8:$B$207&amp;$C$8:$C$207, 0)), "")</f>
        <v>-5.7526756548583755</v>
      </c>
      <c r="CH15" s="8">
        <f t="array" ref="CH15">IFERROR(INDEX(CHOOSE($BO$11,$AF$8:$AF$207,$AG$8:$AG$207,$BJ$8:$BJ$207), MATCH(CH$7&amp;$CC15, $B$8:$B$207&amp;$C$8:$C$207, 0)), "")</f>
        <v>-5.2116642231253563</v>
      </c>
      <c r="CI15" s="8">
        <f t="array" ref="CI15">IFERROR(INDEX(CHOOSE($BO$11,$AF$8:$AF$207,$AG$8:$AG$207,$BJ$8:$BJ$207), MATCH(CI$7&amp;$CC15, $B$8:$B$207&amp;$C$8:$C$207, 0)), "")</f>
        <v>-4.7341736519135997</v>
      </c>
      <c r="CJ15" s="8">
        <f t="array" ref="CJ15">IFERROR(INDEX(CHOOSE($BO$11,$AF$8:$AF$207,$AG$8:$AG$207,$BJ$8:$BJ$207), MATCH(CJ$7&amp;$CC15, $B$8:$B$207&amp;$C$8:$C$207, 0)), "")</f>
        <v>-4.2952567946859492</v>
      </c>
      <c r="CK15" s="8">
        <f t="array" ref="CK15">IFERROR(INDEX(CHOOSE($BO$11,$AF$8:$AF$207,$AG$8:$AG$207,$BJ$8:$BJ$207), MATCH(CK$7&amp;$CC15, $B$8:$B$207&amp;$C$8:$C$207, 0)), "")</f>
        <v>-3.89206118812033</v>
      </c>
      <c r="CL15" s="8">
        <f t="array" ref="CL15">IFERROR(INDEX(CHOOSE($BO$11,$AF$8:$AF$207,$AG$8:$AG$207,$BJ$8:$BJ$207), MATCH(CL$7&amp;$CC15, $B$8:$B$207&amp;$C$8:$C$207, 0)), "")</f>
        <v>-3.5107008133365918</v>
      </c>
      <c r="CM15" s="8">
        <f t="array" ref="CM15">IFERROR(INDEX(CHOOSE($BO$11,$AF$8:$AF$207,$AG$8:$AG$207,$BJ$8:$BJ$207), MATCH(CM$7&amp;$CC15, $B$8:$B$207&amp;$C$8:$C$207, 0)), "")</f>
        <v>-3.1484685424359613</v>
      </c>
      <c r="CN15" s="8">
        <f t="array" ref="CN15">IFERROR(INDEX(CHOOSE($BO$11,$AF$8:$AF$207,$AG$8:$AG$207,$BJ$8:$BJ$207), MATCH(CN$7&amp;$CC15, $B$8:$B$207&amp;$C$8:$C$207, 0)), "")</f>
        <v>-2.8032899589419586</v>
      </c>
      <c r="CO15" s="8">
        <f t="array" ref="CO15">IFERROR(INDEX(CHOOSE($BO$11,$AF$8:$AF$207,$AG$8:$AG$207,$BJ$8:$BJ$207), MATCH(CO$7&amp;$CC15, $B$8:$B$207&amp;$C$8:$C$207, 0)), "")</f>
        <v>-2.4754208752255846</v>
      </c>
      <c r="CP15" s="8" t="str">
        <f t="array" ref="CP15">IFERROR(INDEX(CHOOSE($BO$11,$AF$8:$AF$207,$AG$8:$AG$207,$BJ$8:$BJ$207), MATCH(CP$7&amp;$CC15, $B$8:$B$207&amp;$C$8:$C$207, 0)), "")</f>
        <v/>
      </c>
      <c r="CQ15" s="8" t="str">
        <f t="array" ref="CQ15">IFERROR(INDEX(CHOOSE($BO$11,$AF$8:$AF$207,$AG$8:$AG$207,$BJ$8:$BJ$207), MATCH(CQ$7&amp;$CC15, $B$8:$B$207&amp;$C$8:$C$207, 0)), "")</f>
        <v/>
      </c>
      <c r="CR15" s="8" t="str">
        <f t="array" ref="CR15">IFERROR(INDEX(CHOOSE($BO$11,$AF$8:$AF$207,$AG$8:$AG$207,$BJ$8:$BJ$207), MATCH(CR$7&amp;$CC15, $B$8:$B$207&amp;$C$8:$C$207, 0)), "")</f>
        <v/>
      </c>
      <c r="CS15" s="8" t="str">
        <f t="array" ref="CS15">IFERROR(INDEX(CHOOSE($BO$11,$AF$8:$AF$207,$AG$8:$AG$207,$BJ$8:$BJ$207), MATCH(CS$7&amp;$CC15, $B$8:$B$207&amp;$C$8:$C$207, 0)), "")</f>
        <v/>
      </c>
      <c r="CT15" s="8" t="str">
        <f t="array" ref="CT15">IFERROR(INDEX(CHOOSE($BO$11,$AF$8:$AF$207,$AG$8:$AG$207,$BJ$8:$BJ$207), MATCH(CT$7&amp;$CC15, $B$8:$B$207&amp;$C$8:$C$207, 0)), "")</f>
        <v/>
      </c>
      <c r="CU15" s="8" t="str">
        <f t="array" ref="CU15">IFERROR(INDEX(CHOOSE($BO$11,$AF$8:$AF$207,$AG$8:$AG$207,$BJ$8:$BJ$207), MATCH(CU$7&amp;$CC15, $B$8:$B$207&amp;$C$8:$C$207, 0)), "")</f>
        <v/>
      </c>
      <c r="CV15" s="8" t="str">
        <f t="array" ref="CV15">IFERROR(INDEX(CHOOSE($BO$11,$AF$8:$AF$207,$AG$8:$AG$207,$BJ$8:$BJ$207), MATCH(CV$7&amp;$CC15, $B$8:$B$207&amp;$C$8:$C$207, 0)), "")</f>
        <v/>
      </c>
      <c r="CW15" s="8" t="str">
        <f t="array" ref="CW15">IFERROR(INDEX(CHOOSE($BO$11,$AF$8:$AF$207,$AG$8:$AG$207,$BJ$8:$BJ$207), MATCH(CW$7&amp;$CC15, $B$8:$B$207&amp;$C$8:$C$207, 0)), "")</f>
        <v/>
      </c>
      <c r="CX15" s="8" t="str">
        <f t="array" ref="CX15">IFERROR(INDEX(CHOOSE($BO$11,$AF$8:$AF$207,$AG$8:$AG$207,$BJ$8:$BJ$207), MATCH(CX$7&amp;$CC15, $B$8:$B$207&amp;$C$8:$C$207, 0)), "")</f>
        <v/>
      </c>
      <c r="CY15" s="8" t="str">
        <f t="array" ref="CY15">IFERROR(INDEX(CHOOSE($BO$11,$AF$8:$AF$207,$AG$8:$AG$207,$BJ$8:$BJ$207), MATCH(CY$7&amp;$CC15, $B$8:$B$207&amp;$C$8:$C$207, 0)), "")</f>
        <v/>
      </c>
      <c r="CZ15" s="8" t="str">
        <f t="array" ref="CZ15">IFERROR(INDEX(CHOOSE($BO$11,$AF$8:$AF$207,$AG$8:$AG$207,$BJ$8:$BJ$207), MATCH(CZ$7&amp;$CC15, $B$8:$B$207&amp;$C$8:$C$207, 0)), "")</f>
        <v/>
      </c>
      <c r="DA15" s="8" t="str">
        <f t="array" ref="DA15">IFERROR(INDEX(CHOOSE($BO$11,$AF$8:$AF$207,$AG$8:$AG$207,$BJ$8:$BJ$207), MATCH(DA$7&amp;$CC15, $B$8:$B$207&amp;$C$8:$C$207, 0)), "")</f>
        <v/>
      </c>
      <c r="DB15" s="8" t="str">
        <f t="array" ref="DB15">IFERROR(INDEX(CHOOSE($BO$11,$AF$8:$AF$207,$AG$8:$AG$207,$BJ$8:$BJ$207), MATCH(DB$7&amp;$CC15, $B$8:$B$207&amp;$C$8:$C$207, 0)), "")</f>
        <v/>
      </c>
      <c r="DC15" s="8" t="str">
        <f t="array" ref="DC15">IFERROR(INDEX(CHOOSE($BO$11,$AF$8:$AF$207,$AG$8:$AG$207,$BJ$8:$BJ$207), MATCH(DC$7&amp;$CC15, $B$8:$B$207&amp;$C$8:$C$207, 0)), "")</f>
        <v/>
      </c>
      <c r="DD15" s="8" t="str">
        <f t="array" ref="DD15">IFERROR(INDEX(CHOOSE($BO$11,$AF$8:$AF$207,$AG$8:$AG$207,$BJ$8:$BJ$207), MATCH(DD$7&amp;$CC15, $B$8:$B$207&amp;$C$8:$C$207, 0)), "")</f>
        <v/>
      </c>
      <c r="DE15" s="8" t="str">
        <f t="array" ref="DE15">IFERROR(INDEX(CHOOSE($BO$11,$AF$8:$AF$207,$AG$8:$AG$207,$BJ$8:$BJ$207), MATCH(DE$7&amp;$CC15, $B$8:$B$207&amp;$C$8:$C$207, 0)), "")</f>
        <v/>
      </c>
      <c r="DF15" s="8" t="str">
        <f t="array" ref="DF15">IFERROR(INDEX(CHOOSE($BO$11,$AF$8:$AF$207,$AG$8:$AG$207,$BJ$8:$BJ$207), MATCH(DF$7&amp;$CC15, $B$8:$B$207&amp;$C$8:$C$207, 0)), "")</f>
        <v/>
      </c>
      <c r="DG15" s="8" t="str">
        <f t="array" ref="DG15">IFERROR(INDEX(CHOOSE($BO$11,$AF$8:$AF$207,$AG$8:$AG$207,$BJ$8:$BJ$207), MATCH(DG$7&amp;$CC15, $B$8:$B$207&amp;$C$8:$C$207, 0)), "")</f>
        <v/>
      </c>
      <c r="DH15" s="8"/>
      <c r="DI15" s="8"/>
      <c r="DJ15" s="8"/>
      <c r="DK15" s="8"/>
      <c r="DL15" s="8"/>
      <c r="DM15" s="8"/>
      <c r="DN15" s="8"/>
      <c r="DO15" s="8"/>
      <c r="DP15" s="8"/>
      <c r="DQ15" s="8"/>
      <c r="DR15" s="8"/>
      <c r="DS15" s="8"/>
      <c r="DT15" s="8"/>
      <c r="DU15" s="8"/>
      <c r="DV15" s="8"/>
      <c r="DW15" s="8"/>
      <c r="DX15" s="8"/>
      <c r="DY15" s="8"/>
      <c r="DZ15" s="8"/>
      <c r="EA15" s="8"/>
    </row>
    <row r="16" spans="1:131" x14ac:dyDescent="0.2">
      <c r="B16" s="1">
        <f>IFERROR(Calculations!M14/1000, "")</f>
        <v>5</v>
      </c>
      <c r="C16" s="1">
        <f>Calculations!N14</f>
        <v>700</v>
      </c>
      <c r="D16" s="58">
        <f>IFERROR(Calculations!$Q14,"")</f>
        <v>0.74547754195213334</v>
      </c>
      <c r="E16" s="8">
        <f>IFERROR(Calculations!$S14, "")</f>
        <v>11.55288478056857</v>
      </c>
      <c r="F16" s="89"/>
      <c r="G16" s="89"/>
      <c r="H16" s="89"/>
      <c r="I16" s="89"/>
      <c r="J16" s="1" t="str">
        <f>IFERROR(Calculations!AC14, "")</f>
        <v/>
      </c>
      <c r="K16" s="1" t="str">
        <f>IFERROR(Calculations!AD14, "")</f>
        <v/>
      </c>
      <c r="L16" s="8">
        <f>IFERROR(Calculations!AE14,"")</f>
        <v>-73111.035478825564</v>
      </c>
      <c r="M16" s="8">
        <f>IFERROR(Calculations!AF14,"")</f>
        <v>-119653.83801059506</v>
      </c>
      <c r="N16" s="8" t="str">
        <f>IFERROR(Calculations!AG14,"")</f>
        <v/>
      </c>
      <c r="O16" s="8" t="str">
        <f>IFERROR(Calculations!AH14,"")</f>
        <v/>
      </c>
      <c r="P16" s="8" t="str">
        <f>IFERROR(Calculations!AI14,"")</f>
        <v/>
      </c>
      <c r="Q16" s="8" t="str">
        <f>IFERROR(Calculations!AJ14,"")</f>
        <v/>
      </c>
      <c r="R16" s="8" t="str">
        <f>IFERROR(Calculations!AK14,"")</f>
        <v/>
      </c>
      <c r="S16" s="89"/>
      <c r="T16" s="89"/>
      <c r="U16" s="89"/>
      <c r="V16" s="89"/>
      <c r="W16" s="1" t="str">
        <f>IFERROR(Calculations!AP14, "")</f>
        <v/>
      </c>
      <c r="X16" s="1" t="str">
        <f>IFERROR(Calculations!AQ14, "")</f>
        <v/>
      </c>
      <c r="Y16" s="8" t="str">
        <f>IFERROR(Calculations!AR14,"")</f>
        <v/>
      </c>
      <c r="Z16" s="8">
        <f>IFERROR(Calculations!AS14,"")</f>
        <v>0</v>
      </c>
      <c r="AA16" s="8">
        <f>IFERROR(Calculations!AT14,"")</f>
        <v>-152415.71117914727</v>
      </c>
      <c r="AB16" s="8" t="str">
        <f>IFERROR(Calculations!AU14,"")</f>
        <v/>
      </c>
      <c r="AC16" s="8" t="str">
        <f>IFERROR(Calculations!AV14,"")</f>
        <v/>
      </c>
      <c r="AD16" s="8" t="str">
        <f>IFERROR(Calculations!AW14,"")</f>
        <v/>
      </c>
      <c r="AE16" s="8" t="str">
        <f>IFERROR(Calculations!AX14,"")</f>
        <v/>
      </c>
      <c r="AF16" s="8">
        <f>IFERROR(IF(Calculations!AY14 &lt;&gt; 0, Calculations!AY14, ""),"")</f>
        <v>40349.162310273357</v>
      </c>
      <c r="AG16" s="42">
        <f>IFERROR(IF(Calculations!AZ14 &lt;&gt; 0, Calculations!AZ14, ""),"")</f>
        <v>-9.067480062600012</v>
      </c>
      <c r="AH16" s="1">
        <f t="shared" si="1"/>
        <v>5</v>
      </c>
      <c r="AI16" s="1">
        <f t="shared" si="2"/>
        <v>700</v>
      </c>
      <c r="AJ16" s="89"/>
      <c r="AK16" s="89"/>
      <c r="AL16" s="89"/>
      <c r="AM16" s="89"/>
      <c r="AN16" s="8" t="str">
        <f>IFERROR(Calculations!BJ14, "")</f>
        <v/>
      </c>
      <c r="AO16" s="8" t="str">
        <f>IFERROR(Calculations!BK14, "")</f>
        <v/>
      </c>
      <c r="AP16" s="8">
        <f>IFERROR(Calculations!BL14, "")</f>
        <v>24.166093525533398</v>
      </c>
      <c r="AQ16" s="8">
        <f>IFERROR(Calculations!BM14, "")</f>
        <v>48.395646531913812</v>
      </c>
      <c r="AR16" s="8" t="str">
        <f>IFERROR(Calculations!BN14, "")</f>
        <v/>
      </c>
      <c r="AS16" s="8" t="str">
        <f>IFERROR(Calculations!BO14, "")</f>
        <v/>
      </c>
      <c r="AT16" s="8" t="str">
        <f>IFERROR(Calculations!BP14, "")</f>
        <v/>
      </c>
      <c r="AU16" s="8" t="str">
        <f>IFERROR(Calculations!BQ14, "")</f>
        <v/>
      </c>
      <c r="AV16" s="8" t="str">
        <f>IFERROR(Calculations!BR14, "")</f>
        <v/>
      </c>
      <c r="AW16" s="89"/>
      <c r="AX16" s="89"/>
      <c r="AY16" s="89"/>
      <c r="AZ16" s="89"/>
      <c r="BA16" s="8" t="str">
        <f>IFERROR(Calculations!BW14, "")</f>
        <v/>
      </c>
      <c r="BB16" s="8" t="str">
        <f>IFERROR(Calculations!BX14, "")</f>
        <v/>
      </c>
      <c r="BC16" s="8" t="str">
        <f>IFERROR(Calculations!BY14, "")</f>
        <v/>
      </c>
      <c r="BD16" s="8">
        <f>IFERROR(Calculations!BZ14, "")</f>
        <v>0</v>
      </c>
      <c r="BE16" s="8">
        <f>IFERROR(Calculations!CA14, "")</f>
        <v>5.6171725582632979</v>
      </c>
      <c r="BF16" s="8" t="str">
        <f>IFERROR(Calculations!CB14, "")</f>
        <v/>
      </c>
      <c r="BG16" s="8" t="str">
        <f>IFERROR(Calculations!CC14, "")</f>
        <v/>
      </c>
      <c r="BH16" s="8" t="str">
        <f>IFERROR(Calculations!CD14, "")</f>
        <v/>
      </c>
      <c r="BI16" s="8" t="str">
        <f>IFERROR(Calculations!CE14, "")</f>
        <v/>
      </c>
      <c r="BJ16" s="8">
        <f>IFERROR(IF(Calculations!CF14 &lt;&gt; 0, Calculations!CF14, ""),"")</f>
        <v>-66.944567499183918</v>
      </c>
      <c r="BK16" s="1">
        <f t="shared" si="3"/>
        <v>700</v>
      </c>
      <c r="BL16" s="1">
        <f t="shared" si="4"/>
        <v>5</v>
      </c>
      <c r="CB16" s="104"/>
      <c r="CC16" s="1">
        <f>IF(OR(CC15 = "", CC15 = MAX($C$8:$C$207)), "",SMALL($C$8:$C$207, FREQUENCY($C$8:$C$207, CC15) + 1))</f>
        <v>700</v>
      </c>
      <c r="CD16" s="8">
        <f t="array" ref="CD16">IFERROR(INDEX(CHOOSE($BO$11,$AF$8:$AF$207,$AG$8:$AG$207,$BJ$8:$BJ$207), MATCH(CD$7&amp;$CC16, $B$8:$B$207&amp;$C$8:$C$207, 0)), "")</f>
        <v>-9.067480062600012</v>
      </c>
      <c r="CE16" s="8">
        <f t="array" ref="CE16">IFERROR(INDEX(CHOOSE($BO$11,$AF$8:$AF$207,$AG$8:$AG$207,$BJ$8:$BJ$207), MATCH(CE$7&amp;$CC16, $B$8:$B$207&amp;$C$8:$C$207, 0)), "")</f>
        <v>-7.5208421165057651</v>
      </c>
      <c r="CF16" s="8">
        <f t="array" ref="CF16">IFERROR(INDEX(CHOOSE($BO$11,$AF$8:$AF$207,$AG$8:$AG$207,$BJ$8:$BJ$207), MATCH(CF$7&amp;$CC16, $B$8:$B$207&amp;$C$8:$C$207, 0)), "")</f>
        <v>-6.6558416960590909</v>
      </c>
      <c r="CG16" s="8">
        <f t="array" ref="CG16">IFERROR(INDEX(CHOOSE($BO$11,$AF$8:$AF$207,$AG$8:$AG$207,$BJ$8:$BJ$207), MATCH(CG$7&amp;$CC16, $B$8:$B$207&amp;$C$8:$C$207, 0)), "")</f>
        <v>-6.0086103821348038</v>
      </c>
      <c r="CH16" s="8">
        <f t="array" ref="CH16">IFERROR(INDEX(CHOOSE($BO$11,$AF$8:$AF$207,$AG$8:$AG$207,$BJ$8:$BJ$207), MATCH(CH$7&amp;$CC16, $B$8:$B$207&amp;$C$8:$C$207, 0)), "")</f>
        <v>-5.469597049460833</v>
      </c>
      <c r="CI16" s="8">
        <f t="array" ref="CI16">IFERROR(INDEX(CHOOSE($BO$11,$AF$8:$AF$207,$AG$8:$AG$207,$BJ$8:$BJ$207), MATCH(CI$7&amp;$CC16, $B$8:$B$207&amp;$C$8:$C$207, 0)), "")</f>
        <v>-4.9958613536246315</v>
      </c>
      <c r="CJ16" s="8">
        <f t="array" ref="CJ16">IFERROR(INDEX(CHOOSE($BO$11,$AF$8:$AF$207,$AG$8:$AG$207,$BJ$8:$BJ$207), MATCH(CJ$7&amp;$CC16, $B$8:$B$207&amp;$C$8:$C$207, 0)), "")</f>
        <v>-4.565189187012388</v>
      </c>
      <c r="CK16" s="8">
        <f t="array" ref="CK16">IFERROR(INDEX(CHOOSE($BO$11,$AF$8:$AF$207,$AG$8:$AG$207,$BJ$8:$BJ$207), MATCH(CK$7&amp;$CC16, $B$8:$B$207&amp;$C$8:$C$207, 0)), "")</f>
        <v>-4.1695120551458729</v>
      </c>
      <c r="CL16" s="8">
        <f t="array" ref="CL16">IFERROR(INDEX(CHOOSE($BO$11,$AF$8:$AF$207,$AG$8:$AG$207,$BJ$8:$BJ$207), MATCH(CL$7&amp;$CC16, $B$8:$B$207&amp;$C$8:$C$207, 0)), "")</f>
        <v>-3.7972871446009129</v>
      </c>
      <c r="CM16" s="8">
        <f t="array" ref="CM16">IFERROR(INDEX(CHOOSE($BO$11,$AF$8:$AF$207,$AG$8:$AG$207,$BJ$8:$BJ$207), MATCH(CM$7&amp;$CC16, $B$8:$B$207&amp;$C$8:$C$207, 0)), "")</f>
        <v>-3.4422782722252174</v>
      </c>
      <c r="CN16" s="8">
        <f t="array" ref="CN16">IFERROR(INDEX(CHOOSE($BO$11,$AF$8:$AF$207,$AG$8:$AG$207,$BJ$8:$BJ$207), MATCH(CN$7&amp;$CC16, $B$8:$B$207&amp;$C$8:$C$207, 0)), "")</f>
        <v>-3.1096000939206139</v>
      </c>
      <c r="CO16" s="8">
        <f t="array" ref="CO16">IFERROR(INDEX(CHOOSE($BO$11,$AF$8:$AF$207,$AG$8:$AG$207,$BJ$8:$BJ$207), MATCH(CO$7&amp;$CC16, $B$8:$B$207&amp;$C$8:$C$207, 0)), "")</f>
        <v>-2.7888748583274805</v>
      </c>
      <c r="CP16" s="8" t="str">
        <f t="array" ref="CP16">IFERROR(INDEX(CHOOSE($BO$11,$AF$8:$AF$207,$AG$8:$AG$207,$BJ$8:$BJ$207), MATCH(CP$7&amp;$CC16, $B$8:$B$207&amp;$C$8:$C$207, 0)), "")</f>
        <v/>
      </c>
      <c r="CQ16" s="8" t="str">
        <f t="array" ref="CQ16">IFERROR(INDEX(CHOOSE($BO$11,$AF$8:$AF$207,$AG$8:$AG$207,$BJ$8:$BJ$207), MATCH(CQ$7&amp;$CC16, $B$8:$B$207&amp;$C$8:$C$207, 0)), "")</f>
        <v/>
      </c>
      <c r="CR16" s="8" t="str">
        <f t="array" ref="CR16">IFERROR(INDEX(CHOOSE($BO$11,$AF$8:$AF$207,$AG$8:$AG$207,$BJ$8:$BJ$207), MATCH(CR$7&amp;$CC16, $B$8:$B$207&amp;$C$8:$C$207, 0)), "")</f>
        <v/>
      </c>
      <c r="CS16" s="8" t="str">
        <f t="array" ref="CS16">IFERROR(INDEX(CHOOSE($BO$11,$AF$8:$AF$207,$AG$8:$AG$207,$BJ$8:$BJ$207), MATCH(CS$7&amp;$CC16, $B$8:$B$207&amp;$C$8:$C$207, 0)), "")</f>
        <v/>
      </c>
      <c r="CT16" s="8" t="str">
        <f t="array" ref="CT16">IFERROR(INDEX(CHOOSE($BO$11,$AF$8:$AF$207,$AG$8:$AG$207,$BJ$8:$BJ$207), MATCH(CT$7&amp;$CC16, $B$8:$B$207&amp;$C$8:$C$207, 0)), "")</f>
        <v/>
      </c>
      <c r="CU16" s="8" t="str">
        <f t="array" ref="CU16">IFERROR(INDEX(CHOOSE($BO$11,$AF$8:$AF$207,$AG$8:$AG$207,$BJ$8:$BJ$207), MATCH(CU$7&amp;$CC16, $B$8:$B$207&amp;$C$8:$C$207, 0)), "")</f>
        <v/>
      </c>
      <c r="CV16" s="8" t="str">
        <f t="array" ref="CV16">IFERROR(INDEX(CHOOSE($BO$11,$AF$8:$AF$207,$AG$8:$AG$207,$BJ$8:$BJ$207), MATCH(CV$7&amp;$CC16, $B$8:$B$207&amp;$C$8:$C$207, 0)), "")</f>
        <v/>
      </c>
      <c r="CW16" s="8" t="str">
        <f t="array" ref="CW16">IFERROR(INDEX(CHOOSE($BO$11,$AF$8:$AF$207,$AG$8:$AG$207,$BJ$8:$BJ$207), MATCH(CW$7&amp;$CC16, $B$8:$B$207&amp;$C$8:$C$207, 0)), "")</f>
        <v/>
      </c>
      <c r="CX16" s="8" t="str">
        <f t="array" ref="CX16">IFERROR(INDEX(CHOOSE($BO$11,$AF$8:$AF$207,$AG$8:$AG$207,$BJ$8:$BJ$207), MATCH(CX$7&amp;$CC16, $B$8:$B$207&amp;$C$8:$C$207, 0)), "")</f>
        <v/>
      </c>
      <c r="CY16" s="8" t="str">
        <f t="array" ref="CY16">IFERROR(INDEX(CHOOSE($BO$11,$AF$8:$AF$207,$AG$8:$AG$207,$BJ$8:$BJ$207), MATCH(CY$7&amp;$CC16, $B$8:$B$207&amp;$C$8:$C$207, 0)), "")</f>
        <v/>
      </c>
      <c r="CZ16" s="8" t="str">
        <f t="array" ref="CZ16">IFERROR(INDEX(CHOOSE($BO$11,$AF$8:$AF$207,$AG$8:$AG$207,$BJ$8:$BJ$207), MATCH(CZ$7&amp;$CC16, $B$8:$B$207&amp;$C$8:$C$207, 0)), "")</f>
        <v/>
      </c>
      <c r="DA16" s="8" t="str">
        <f t="array" ref="DA16">IFERROR(INDEX(CHOOSE($BO$11,$AF$8:$AF$207,$AG$8:$AG$207,$BJ$8:$BJ$207), MATCH(DA$7&amp;$CC16, $B$8:$B$207&amp;$C$8:$C$207, 0)), "")</f>
        <v/>
      </c>
      <c r="DB16" s="8" t="str">
        <f t="array" ref="DB16">IFERROR(INDEX(CHOOSE($BO$11,$AF$8:$AF$207,$AG$8:$AG$207,$BJ$8:$BJ$207), MATCH(DB$7&amp;$CC16, $B$8:$B$207&amp;$C$8:$C$207, 0)), "")</f>
        <v/>
      </c>
      <c r="DC16" s="8" t="str">
        <f t="array" ref="DC16">IFERROR(INDEX(CHOOSE($BO$11,$AF$8:$AF$207,$AG$8:$AG$207,$BJ$8:$BJ$207), MATCH(DC$7&amp;$CC16, $B$8:$B$207&amp;$C$8:$C$207, 0)), "")</f>
        <v/>
      </c>
      <c r="DD16" s="8" t="str">
        <f t="array" ref="DD16">IFERROR(INDEX(CHOOSE($BO$11,$AF$8:$AF$207,$AG$8:$AG$207,$BJ$8:$BJ$207), MATCH(DD$7&amp;$CC16, $B$8:$B$207&amp;$C$8:$C$207, 0)), "")</f>
        <v/>
      </c>
      <c r="DE16" s="8" t="str">
        <f t="array" ref="DE16">IFERROR(INDEX(CHOOSE($BO$11,$AF$8:$AF$207,$AG$8:$AG$207,$BJ$8:$BJ$207), MATCH(DE$7&amp;$CC16, $B$8:$B$207&amp;$C$8:$C$207, 0)), "")</f>
        <v/>
      </c>
      <c r="DF16" s="8" t="str">
        <f t="array" ref="DF16">IFERROR(INDEX(CHOOSE($BO$11,$AF$8:$AF$207,$AG$8:$AG$207,$BJ$8:$BJ$207), MATCH(DF$7&amp;$CC16, $B$8:$B$207&amp;$C$8:$C$207, 0)), "")</f>
        <v/>
      </c>
      <c r="DG16" s="8" t="str">
        <f t="array" ref="DG16">IFERROR(INDEX(CHOOSE($BO$11,$AF$8:$AF$207,$AG$8:$AG$207,$BJ$8:$BJ$207), MATCH(DG$7&amp;$CC16, $B$8:$B$207&amp;$C$8:$C$207, 0)), "")</f>
        <v/>
      </c>
      <c r="DH16" s="8"/>
      <c r="DI16" s="8"/>
      <c r="DJ16" s="8"/>
      <c r="DK16" s="8"/>
      <c r="DL16" s="8"/>
      <c r="DM16" s="8"/>
      <c r="DN16" s="8"/>
      <c r="DO16" s="8"/>
      <c r="DP16" s="8"/>
      <c r="DQ16" s="8"/>
      <c r="DR16" s="8"/>
      <c r="DS16" s="8"/>
      <c r="DT16" s="8"/>
      <c r="DU16" s="8"/>
      <c r="DV16" s="8"/>
      <c r="DW16" s="8"/>
      <c r="DX16" s="8"/>
      <c r="DY16" s="8"/>
      <c r="DZ16" s="8"/>
      <c r="EA16" s="8"/>
    </row>
    <row r="17" spans="2:131" x14ac:dyDescent="0.2">
      <c r="B17" s="1">
        <f>IFERROR(Calculations!M15/1000, "")</f>
        <v>5</v>
      </c>
      <c r="C17" s="1">
        <f>Calculations!N15</f>
        <v>750</v>
      </c>
      <c r="D17" s="58">
        <f>IFERROR(Calculations!$Q15,"")</f>
        <v>0.71762917121410363</v>
      </c>
      <c r="E17" s="8">
        <f>IFERROR(Calculations!$S15, "")</f>
        <v>10.267223678505939</v>
      </c>
      <c r="F17" s="89"/>
      <c r="G17" s="89"/>
      <c r="H17" s="89"/>
      <c r="I17" s="89"/>
      <c r="J17" s="1" t="str">
        <f>IFERROR(Calculations!AC15, "")</f>
        <v/>
      </c>
      <c r="K17" s="1" t="str">
        <f>IFERROR(Calculations!AD15, "")</f>
        <v/>
      </c>
      <c r="L17" s="8">
        <f>IFERROR(Calculations!AE15,"")</f>
        <v>-74871.612707994282</v>
      </c>
      <c r="M17" s="8">
        <f>IFERROR(Calculations!AF15,"")</f>
        <v>-122610.15426876825</v>
      </c>
      <c r="N17" s="8" t="str">
        <f>IFERROR(Calculations!AG15,"")</f>
        <v/>
      </c>
      <c r="O17" s="8" t="str">
        <f>IFERROR(Calculations!AH15,"")</f>
        <v/>
      </c>
      <c r="P17" s="8" t="str">
        <f>IFERROR(Calculations!AI15,"")</f>
        <v/>
      </c>
      <c r="Q17" s="8" t="str">
        <f>IFERROR(Calculations!AJ15,"")</f>
        <v/>
      </c>
      <c r="R17" s="8" t="str">
        <f>IFERROR(Calculations!AK15,"")</f>
        <v/>
      </c>
      <c r="S17" s="89"/>
      <c r="T17" s="89"/>
      <c r="U17" s="89"/>
      <c r="V17" s="89"/>
      <c r="W17" s="1" t="str">
        <f>IFERROR(Calculations!AP15, "")</f>
        <v/>
      </c>
      <c r="X17" s="1" t="str">
        <f>IFERROR(Calculations!AQ15, "")</f>
        <v/>
      </c>
      <c r="Y17" s="8" t="str">
        <f>IFERROR(Calculations!AR15,"")</f>
        <v/>
      </c>
      <c r="Z17" s="8">
        <f>IFERROR(Calculations!AS15,"")</f>
        <v>0</v>
      </c>
      <c r="AA17" s="8">
        <f>IFERROR(Calculations!AT15,"")</f>
        <v>-153191.25663115131</v>
      </c>
      <c r="AB17" s="8" t="str">
        <f>IFERROR(Calculations!AU15,"")</f>
        <v/>
      </c>
      <c r="AC17" s="8" t="str">
        <f>IFERROR(Calculations!AV15,"")</f>
        <v/>
      </c>
      <c r="AD17" s="8" t="str">
        <f>IFERROR(Calculations!AW15,"")</f>
        <v/>
      </c>
      <c r="AE17" s="8" t="str">
        <f>IFERROR(Calculations!AX15,"")</f>
        <v/>
      </c>
      <c r="AF17" s="8">
        <f>IFERROR(IF(Calculations!AY15 &lt;&gt; 0, Calculations!AY15, ""),"")</f>
        <v>44290.510345611227</v>
      </c>
      <c r="AG17" s="42">
        <f>IFERROR(IF(Calculations!AZ15 &lt;&gt; 0, Calculations!AZ15, ""),"")</f>
        <v>-9.4668010336215147</v>
      </c>
      <c r="AH17" s="1">
        <f t="shared" si="1"/>
        <v>5</v>
      </c>
      <c r="AI17" s="1">
        <f t="shared" si="2"/>
        <v>750</v>
      </c>
      <c r="AJ17" s="89"/>
      <c r="AK17" s="89"/>
      <c r="AL17" s="89"/>
      <c r="AM17" s="89"/>
      <c r="AN17" s="8" t="str">
        <f>IFERROR(Calculations!BJ15, "")</f>
        <v/>
      </c>
      <c r="AO17" s="8" t="str">
        <f>IFERROR(Calculations!BK15, "")</f>
        <v/>
      </c>
      <c r="AP17" s="8">
        <f>IFERROR(Calculations!BL15, "")</f>
        <v>25.103884739692624</v>
      </c>
      <c r="AQ17" s="8">
        <f>IFERROR(Calculations!BM15, "")</f>
        <v>52.173622769793901</v>
      </c>
      <c r="AR17" s="8" t="str">
        <f>IFERROR(Calculations!BN15, "")</f>
        <v/>
      </c>
      <c r="AS17" s="8" t="str">
        <f>IFERROR(Calculations!BO15, "")</f>
        <v/>
      </c>
      <c r="AT17" s="8" t="str">
        <f>IFERROR(Calculations!BP15, "")</f>
        <v/>
      </c>
      <c r="AU17" s="8" t="str">
        <f>IFERROR(Calculations!BQ15, "")</f>
        <v/>
      </c>
      <c r="AV17" s="8" t="str">
        <f>IFERROR(Calculations!BR15, "")</f>
        <v/>
      </c>
      <c r="AW17" s="89"/>
      <c r="AX17" s="89"/>
      <c r="AY17" s="89"/>
      <c r="AZ17" s="89"/>
      <c r="BA17" s="8" t="str">
        <f>IFERROR(Calculations!BW15, "")</f>
        <v/>
      </c>
      <c r="BB17" s="8" t="str">
        <f>IFERROR(Calculations!BX15, "")</f>
        <v/>
      </c>
      <c r="BC17" s="8" t="str">
        <f>IFERROR(Calculations!BY15, "")</f>
        <v/>
      </c>
      <c r="BD17" s="8">
        <f>IFERROR(Calculations!BZ15, "")</f>
        <v>0</v>
      </c>
      <c r="BE17" s="8">
        <f>IFERROR(Calculations!CA15, "")</f>
        <v>-3.5831574369417744E-2</v>
      </c>
      <c r="BF17" s="8" t="str">
        <f>IFERROR(Calculations!CB15, "")</f>
        <v/>
      </c>
      <c r="BG17" s="8" t="str">
        <f>IFERROR(Calculations!CC15, "")</f>
        <v/>
      </c>
      <c r="BH17" s="8" t="str">
        <f>IFERROR(Calculations!CD15, "")</f>
        <v/>
      </c>
      <c r="BI17" s="8" t="str">
        <f>IFERROR(Calculations!CE15, "")</f>
        <v/>
      </c>
      <c r="BJ17" s="8">
        <f>IFERROR(IF(Calculations!CF15 &lt;&gt; 0, Calculations!CF15, ""),"")</f>
        <v>-77.313339083855936</v>
      </c>
      <c r="BK17" s="1">
        <f t="shared" si="3"/>
        <v>750</v>
      </c>
      <c r="BL17" s="1">
        <f t="shared" si="4"/>
        <v>5</v>
      </c>
      <c r="CC17" s="1">
        <f t="shared" si="5"/>
        <v>750</v>
      </c>
      <c r="CD17" s="8">
        <f t="array" ref="CD17">IFERROR(INDEX(CHOOSE($BO$11,$AF$8:$AF$207,$AG$8:$AG$207,$BJ$8:$BJ$207), MATCH(CD$7&amp;$CC17, $B$8:$B$207&amp;$C$8:$C$207, 0)), "")</f>
        <v>-9.4668010336215147</v>
      </c>
      <c r="CE17" s="8">
        <f t="array" ref="CE17">IFERROR(INDEX(CHOOSE($BO$11,$AF$8:$AF$207,$AG$8:$AG$207,$BJ$8:$BJ$207), MATCH(CE$7&amp;$CC17, $B$8:$B$207&amp;$C$8:$C$207, 0)), "")</f>
        <v>-7.8017013541106346</v>
      </c>
      <c r="CF17" s="8">
        <f t="array" ref="CF17">IFERROR(INDEX(CHOOSE($BO$11,$AF$8:$AF$207,$AG$8:$AG$207,$BJ$8:$BJ$207), MATCH(CF$7&amp;$CC17, $B$8:$B$207&amp;$C$8:$C$207, 0)), "")</f>
        <v>-6.9102152380678428</v>
      </c>
      <c r="CG17" s="8">
        <f t="array" ref="CG17">IFERROR(INDEX(CHOOSE($BO$11,$AF$8:$AF$207,$AG$8:$AG$207,$BJ$8:$BJ$207), MATCH(CG$7&amp;$CC17, $B$8:$B$207&amp;$C$8:$C$207, 0)), "")</f>
        <v>-6.2542380495337166</v>
      </c>
      <c r="CH17" s="8">
        <f t="array" ref="CH17">IFERROR(INDEX(CHOOSE($BO$11,$AF$8:$AF$207,$AG$8:$AG$207,$BJ$8:$BJ$207), MATCH(CH$7&amp;$CC17, $B$8:$B$207&amp;$C$8:$C$207, 0)), "")</f>
        <v>-5.7171643312611273</v>
      </c>
      <c r="CI17" s="8">
        <f t="array" ref="CI17">IFERROR(INDEX(CHOOSE($BO$11,$AF$8:$AF$207,$AG$8:$AG$207,$BJ$8:$BJ$207), MATCH(CI$7&amp;$CC17, $B$8:$B$207&amp;$C$8:$C$207, 0)), "")</f>
        <v>-5.2492576573885792</v>
      </c>
      <c r="CJ17" s="8">
        <f t="array" ref="CJ17">IFERROR(INDEX(CHOOSE($BO$11,$AF$8:$AF$207,$AG$8:$AG$207,$BJ$8:$BJ$207), MATCH(CJ$7&amp;$CC17, $B$8:$B$207&amp;$C$8:$C$207, 0)), "")</f>
        <v>-4.822687653805616</v>
      </c>
      <c r="CK17" s="8">
        <f t="array" ref="CK17">IFERROR(INDEX(CHOOSE($BO$11,$AF$8:$AF$207,$AG$8:$AG$207,$BJ$8:$BJ$207), MATCH(CK$7&amp;$CC17, $B$8:$B$207&amp;$C$8:$C$207, 0)), "")</f>
        <v>-4.4353176268123704</v>
      </c>
      <c r="CL17" s="8">
        <f t="array" ref="CL17">IFERROR(INDEX(CHOOSE($BO$11,$AF$8:$AF$207,$AG$8:$AG$207,$BJ$8:$BJ$207), MATCH(CL$7&amp;$CC17, $B$8:$B$207&amp;$C$8:$C$207, 0)), "")</f>
        <v>-4.0718477865259928</v>
      </c>
      <c r="CM17" s="8">
        <f t="array" ref="CM17">IFERROR(INDEX(CHOOSE($BO$11,$AF$8:$AF$207,$AG$8:$AG$207,$BJ$8:$BJ$207), MATCH(CM$7&amp;$CC17, $B$8:$B$207&amp;$C$8:$C$207, 0)), "")</f>
        <v>-3.7243906251587391</v>
      </c>
      <c r="CN17" s="8">
        <f t="array" ref="CN17">IFERROR(INDEX(CHOOSE($BO$11,$AF$8:$AF$207,$AG$8:$AG$207,$BJ$8:$BJ$207), MATCH(CN$7&amp;$CC17, $B$8:$B$207&amp;$C$8:$C$207, 0)), "")</f>
        <v>-3.3962088952201479</v>
      </c>
      <c r="CO17" s="8">
        <f t="array" ref="CO17">IFERROR(INDEX(CHOOSE($BO$11,$AF$8:$AF$207,$AG$8:$AG$207,$BJ$8:$BJ$207), MATCH(CO$7&amp;$CC17, $B$8:$B$207&amp;$C$8:$C$207, 0)), "")</f>
        <v>-3.0847079192427542</v>
      </c>
      <c r="CP17" s="8" t="str">
        <f t="array" ref="CP17">IFERROR(INDEX(CHOOSE($BO$11,$AF$8:$AF$207,$AG$8:$AG$207,$BJ$8:$BJ$207), MATCH(CP$7&amp;$CC17, $B$8:$B$207&amp;$C$8:$C$207, 0)), "")</f>
        <v/>
      </c>
      <c r="CQ17" s="8" t="str">
        <f t="array" ref="CQ17">IFERROR(INDEX(CHOOSE($BO$11,$AF$8:$AF$207,$AG$8:$AG$207,$BJ$8:$BJ$207), MATCH(CQ$7&amp;$CC17, $B$8:$B$207&amp;$C$8:$C$207, 0)), "")</f>
        <v/>
      </c>
      <c r="CR17" s="8" t="str">
        <f t="array" ref="CR17">IFERROR(INDEX(CHOOSE($BO$11,$AF$8:$AF$207,$AG$8:$AG$207,$BJ$8:$BJ$207), MATCH(CR$7&amp;$CC17, $B$8:$B$207&amp;$C$8:$C$207, 0)), "")</f>
        <v/>
      </c>
      <c r="CS17" s="8" t="str">
        <f t="array" ref="CS17">IFERROR(INDEX(CHOOSE($BO$11,$AF$8:$AF$207,$AG$8:$AG$207,$BJ$8:$BJ$207), MATCH(CS$7&amp;$CC17, $B$8:$B$207&amp;$C$8:$C$207, 0)), "")</f>
        <v/>
      </c>
      <c r="CT17" s="8" t="str">
        <f t="array" ref="CT17">IFERROR(INDEX(CHOOSE($BO$11,$AF$8:$AF$207,$AG$8:$AG$207,$BJ$8:$BJ$207), MATCH(CT$7&amp;$CC17, $B$8:$B$207&amp;$C$8:$C$207, 0)), "")</f>
        <v/>
      </c>
      <c r="CU17" s="8" t="str">
        <f t="array" ref="CU17">IFERROR(INDEX(CHOOSE($BO$11,$AF$8:$AF$207,$AG$8:$AG$207,$BJ$8:$BJ$207), MATCH(CU$7&amp;$CC17, $B$8:$B$207&amp;$C$8:$C$207, 0)), "")</f>
        <v/>
      </c>
      <c r="CV17" s="8" t="str">
        <f t="array" ref="CV17">IFERROR(INDEX(CHOOSE($BO$11,$AF$8:$AF$207,$AG$8:$AG$207,$BJ$8:$BJ$207), MATCH(CV$7&amp;$CC17, $B$8:$B$207&amp;$C$8:$C$207, 0)), "")</f>
        <v/>
      </c>
      <c r="CW17" s="8" t="str">
        <f t="array" ref="CW17">IFERROR(INDEX(CHOOSE($BO$11,$AF$8:$AF$207,$AG$8:$AG$207,$BJ$8:$BJ$207), MATCH(CW$7&amp;$CC17, $B$8:$B$207&amp;$C$8:$C$207, 0)), "")</f>
        <v/>
      </c>
      <c r="CX17" s="8" t="str">
        <f t="array" ref="CX17">IFERROR(INDEX(CHOOSE($BO$11,$AF$8:$AF$207,$AG$8:$AG$207,$BJ$8:$BJ$207), MATCH(CX$7&amp;$CC17, $B$8:$B$207&amp;$C$8:$C$207, 0)), "")</f>
        <v/>
      </c>
      <c r="CY17" s="8" t="str">
        <f t="array" ref="CY17">IFERROR(INDEX(CHOOSE($BO$11,$AF$8:$AF$207,$AG$8:$AG$207,$BJ$8:$BJ$207), MATCH(CY$7&amp;$CC17, $B$8:$B$207&amp;$C$8:$C$207, 0)), "")</f>
        <v/>
      </c>
      <c r="CZ17" s="8" t="str">
        <f t="array" ref="CZ17">IFERROR(INDEX(CHOOSE($BO$11,$AF$8:$AF$207,$AG$8:$AG$207,$BJ$8:$BJ$207), MATCH(CZ$7&amp;$CC17, $B$8:$B$207&amp;$C$8:$C$207, 0)), "")</f>
        <v/>
      </c>
      <c r="DA17" s="8" t="str">
        <f t="array" ref="DA17">IFERROR(INDEX(CHOOSE($BO$11,$AF$8:$AF$207,$AG$8:$AG$207,$BJ$8:$BJ$207), MATCH(DA$7&amp;$CC17, $B$8:$B$207&amp;$C$8:$C$207, 0)), "")</f>
        <v/>
      </c>
      <c r="DB17" s="8" t="str">
        <f t="array" ref="DB17">IFERROR(INDEX(CHOOSE($BO$11,$AF$8:$AF$207,$AG$8:$AG$207,$BJ$8:$BJ$207), MATCH(DB$7&amp;$CC17, $B$8:$B$207&amp;$C$8:$C$207, 0)), "")</f>
        <v/>
      </c>
      <c r="DC17" s="8" t="str">
        <f t="array" ref="DC17">IFERROR(INDEX(CHOOSE($BO$11,$AF$8:$AF$207,$AG$8:$AG$207,$BJ$8:$BJ$207), MATCH(DC$7&amp;$CC17, $B$8:$B$207&amp;$C$8:$C$207, 0)), "")</f>
        <v/>
      </c>
      <c r="DD17" s="8" t="str">
        <f t="array" ref="DD17">IFERROR(INDEX(CHOOSE($BO$11,$AF$8:$AF$207,$AG$8:$AG$207,$BJ$8:$BJ$207), MATCH(DD$7&amp;$CC17, $B$8:$B$207&amp;$C$8:$C$207, 0)), "")</f>
        <v/>
      </c>
      <c r="DE17" s="8" t="str">
        <f t="array" ref="DE17">IFERROR(INDEX(CHOOSE($BO$11,$AF$8:$AF$207,$AG$8:$AG$207,$BJ$8:$BJ$207), MATCH(DE$7&amp;$CC17, $B$8:$B$207&amp;$C$8:$C$207, 0)), "")</f>
        <v/>
      </c>
      <c r="DF17" s="8" t="str">
        <f t="array" ref="DF17">IFERROR(INDEX(CHOOSE($BO$11,$AF$8:$AF$207,$AG$8:$AG$207,$BJ$8:$BJ$207), MATCH(DF$7&amp;$CC17, $B$8:$B$207&amp;$C$8:$C$207, 0)), "")</f>
        <v/>
      </c>
      <c r="DG17" s="8" t="str">
        <f t="array" ref="DG17">IFERROR(INDEX(CHOOSE($BO$11,$AF$8:$AF$207,$AG$8:$AG$207,$BJ$8:$BJ$207), MATCH(DG$7&amp;$CC17, $B$8:$B$207&amp;$C$8:$C$207, 0)), "")</f>
        <v/>
      </c>
      <c r="DH17" s="8"/>
      <c r="DI17" s="8"/>
      <c r="DJ17" s="8"/>
      <c r="DK17" s="8"/>
      <c r="DL17" s="8"/>
      <c r="DM17" s="8"/>
      <c r="DN17" s="8"/>
      <c r="DO17" s="8"/>
      <c r="DP17" s="8"/>
      <c r="DQ17" s="8"/>
      <c r="DR17" s="8"/>
      <c r="DS17" s="8"/>
      <c r="DT17" s="8"/>
      <c r="DU17" s="8"/>
      <c r="DV17" s="8"/>
      <c r="DW17" s="8"/>
      <c r="DX17" s="8"/>
      <c r="DY17" s="8"/>
      <c r="DZ17" s="8"/>
      <c r="EA17" s="8"/>
    </row>
    <row r="18" spans="2:131" x14ac:dyDescent="0.2">
      <c r="B18" s="1">
        <f>IFERROR(Calculations!M16/1000, "")</f>
        <v>5</v>
      </c>
      <c r="C18" s="1">
        <f>Calculations!N16</f>
        <v>800</v>
      </c>
      <c r="D18" s="58">
        <f>IFERROR(Calculations!$Q16,"")</f>
        <v>0.69100865124702471</v>
      </c>
      <c r="E18" s="8">
        <f>IFERROR(Calculations!$S16, "")</f>
        <v>9.1651765617395675</v>
      </c>
      <c r="F18" s="89"/>
      <c r="G18" s="89"/>
      <c r="H18" s="89"/>
      <c r="I18" s="89"/>
      <c r="J18" s="1" t="str">
        <f>IFERROR(Calculations!AC16, "")</f>
        <v/>
      </c>
      <c r="K18" s="1" t="str">
        <f>IFERROR(Calculations!AD16, "")</f>
        <v/>
      </c>
      <c r="L18" s="8">
        <f>IFERROR(Calculations!AE16,"")</f>
        <v>-76684.535803328094</v>
      </c>
      <c r="M18" s="8">
        <f>IFERROR(Calculations!AF16,"")</f>
        <v>-125657.71813567133</v>
      </c>
      <c r="N18" s="8" t="str">
        <f>IFERROR(Calculations!AG16,"")</f>
        <v/>
      </c>
      <c r="O18" s="8" t="str">
        <f>IFERROR(Calculations!AH16,"")</f>
        <v/>
      </c>
      <c r="P18" s="8" t="str">
        <f>IFERROR(Calculations!AI16,"")</f>
        <v/>
      </c>
      <c r="Q18" s="8" t="str">
        <f>IFERROR(Calculations!AJ16,"")</f>
        <v/>
      </c>
      <c r="R18" s="8" t="str">
        <f>IFERROR(Calculations!AK16,"")</f>
        <v/>
      </c>
      <c r="S18" s="89"/>
      <c r="T18" s="89"/>
      <c r="U18" s="89"/>
      <c r="V18" s="89"/>
      <c r="W18" s="1" t="str">
        <f>IFERROR(Calculations!AP16, "")</f>
        <v/>
      </c>
      <c r="X18" s="1" t="str">
        <f>IFERROR(Calculations!AQ16, "")</f>
        <v/>
      </c>
      <c r="Y18" s="8" t="str">
        <f>IFERROR(Calculations!AR16,"")</f>
        <v/>
      </c>
      <c r="Z18" s="8">
        <f>IFERROR(Calculations!AS16,"")</f>
        <v>0</v>
      </c>
      <c r="AA18" s="8">
        <f>IFERROR(Calculations!AT16,"")</f>
        <v>-153877.51409687131</v>
      </c>
      <c r="AB18" s="8" t="str">
        <f>IFERROR(Calculations!AU16,"")</f>
        <v/>
      </c>
      <c r="AC18" s="8" t="str">
        <f>IFERROR(Calculations!AV16,"")</f>
        <v/>
      </c>
      <c r="AD18" s="8" t="str">
        <f>IFERROR(Calculations!AW16,"")</f>
        <v/>
      </c>
      <c r="AE18" s="8" t="str">
        <f>IFERROR(Calculations!AX16,"")</f>
        <v/>
      </c>
      <c r="AF18" s="8">
        <f>IFERROR(IF(Calculations!AY16 &lt;&gt; 0, Calculations!AY16, ""),"")</f>
        <v>48464.739842128125</v>
      </c>
      <c r="AG18" s="42">
        <f>IFERROR(IF(Calculations!AZ16 &lt;&gt; 0, Calculations!AZ16, ""),"")</f>
        <v>-9.8763694961074115</v>
      </c>
      <c r="AH18" s="1">
        <f t="shared" si="1"/>
        <v>5</v>
      </c>
      <c r="AI18" s="1">
        <f t="shared" si="2"/>
        <v>800</v>
      </c>
      <c r="AJ18" s="89"/>
      <c r="AK18" s="89"/>
      <c r="AL18" s="89"/>
      <c r="AM18" s="89"/>
      <c r="AN18" s="8" t="str">
        <f>IFERROR(Calculations!BJ16, "")</f>
        <v/>
      </c>
      <c r="AO18" s="8" t="str">
        <f>IFERROR(Calculations!BK16, "")</f>
        <v/>
      </c>
      <c r="AP18" s="8">
        <f>IFERROR(Calculations!BL16, "")</f>
        <v>26.070990525934562</v>
      </c>
      <c r="AQ18" s="8">
        <f>IFERROR(Calculations!BM16, "")</f>
        <v>56.497018375070503</v>
      </c>
      <c r="AR18" s="8" t="str">
        <f>IFERROR(Calculations!BN16, "")</f>
        <v/>
      </c>
      <c r="AS18" s="8" t="str">
        <f>IFERROR(Calculations!BO16, "")</f>
        <v/>
      </c>
      <c r="AT18" s="8" t="str">
        <f>IFERROR(Calculations!BP16, "")</f>
        <v/>
      </c>
      <c r="AU18" s="8" t="str">
        <f>IFERROR(Calculations!BQ16, "")</f>
        <v/>
      </c>
      <c r="AV18" s="8" t="str">
        <f>IFERROR(Calculations!BR16, "")</f>
        <v/>
      </c>
      <c r="AW18" s="89"/>
      <c r="AX18" s="89"/>
      <c r="AY18" s="89"/>
      <c r="AZ18" s="89"/>
      <c r="BA18" s="8" t="str">
        <f>IFERROR(Calculations!BW16, "")</f>
        <v/>
      </c>
      <c r="BB18" s="8" t="str">
        <f>IFERROR(Calculations!BX16, "")</f>
        <v/>
      </c>
      <c r="BC18" s="8" t="str">
        <f>IFERROR(Calculations!BY16, "")</f>
        <v/>
      </c>
      <c r="BD18" s="8">
        <f>IFERROR(Calculations!BZ16, "")</f>
        <v>0</v>
      </c>
      <c r="BE18" s="8">
        <f>IFERROR(Calculations!CA16, "")</f>
        <v>-6.6405844576095081</v>
      </c>
      <c r="BF18" s="8" t="str">
        <f>IFERROR(Calculations!CB16, "")</f>
        <v/>
      </c>
      <c r="BG18" s="8" t="str">
        <f>IFERROR(Calculations!CC16, "")</f>
        <v/>
      </c>
      <c r="BH18" s="8" t="str">
        <f>IFERROR(Calculations!CD16, "")</f>
        <v/>
      </c>
      <c r="BI18" s="8" t="str">
        <f>IFERROR(Calculations!CE16, "")</f>
        <v/>
      </c>
      <c r="BJ18" s="8">
        <f>IFERROR(IF(Calculations!CF16 &lt;&gt; 0, Calculations!CF16, ""),"")</f>
        <v>-89.208593358614579</v>
      </c>
      <c r="BK18" s="1">
        <f t="shared" si="3"/>
        <v>800</v>
      </c>
      <c r="BL18" s="1">
        <f t="shared" si="4"/>
        <v>5</v>
      </c>
      <c r="CC18" s="1">
        <f t="shared" si="5"/>
        <v>800</v>
      </c>
      <c r="CD18" s="8">
        <f t="array" ref="CD18">IFERROR(INDEX(CHOOSE($BO$11,$AF$8:$AF$207,$AG$8:$AG$207,$BJ$8:$BJ$207), MATCH(CD$7&amp;$CC18, $B$8:$B$207&amp;$C$8:$C$207, 0)), "")</f>
        <v>-9.8763694961074115</v>
      </c>
      <c r="CE18" s="8">
        <f t="array" ref="CE18">IFERROR(INDEX(CHOOSE($BO$11,$AF$8:$AF$207,$AG$8:$AG$207,$BJ$8:$BJ$207), MATCH(CE$7&amp;$CC18, $B$8:$B$207&amp;$C$8:$C$207, 0)), "")</f>
        <v>-8.0845803369133655</v>
      </c>
      <c r="CF18" s="8">
        <f t="array" ref="CF18">IFERROR(INDEX(CHOOSE($BO$11,$AF$8:$AF$207,$AG$8:$AG$207,$BJ$8:$BJ$207), MATCH(CF$7&amp;$CC18, $B$8:$B$207&amp;$C$8:$C$207, 0)), "")</f>
        <v>-7.1647299030473457</v>
      </c>
      <c r="CG18" s="8">
        <f t="array" ref="CG18">IFERROR(INDEX(CHOOSE($BO$11,$AF$8:$AF$207,$AG$8:$AG$207,$BJ$8:$BJ$207), MATCH(CG$7&amp;$CC18, $B$8:$B$207&amp;$C$8:$C$207, 0)), "")</f>
        <v>-6.500659341556041</v>
      </c>
      <c r="CH18" s="8">
        <f t="array" ref="CH18">IFERROR(INDEX(CHOOSE($BO$11,$AF$8:$AF$207,$AG$8:$AG$207,$BJ$8:$BJ$207), MATCH(CH$7&amp;$CC18, $B$8:$B$207&amp;$C$8:$C$207, 0)), "")</f>
        <v>-5.9635909882074349</v>
      </c>
      <c r="CI18" s="8">
        <f t="array" ref="CI18">IFERROR(INDEX(CHOOSE($BO$11,$AF$8:$AF$207,$AG$8:$AG$207,$BJ$8:$BJ$207), MATCH(CI$7&amp;$CC18, $B$8:$B$207&amp;$C$8:$C$207, 0)), "")</f>
        <v>-5.4941295143740518</v>
      </c>
      <c r="CJ18" s="8">
        <f t="array" ref="CJ18">IFERROR(INDEX(CHOOSE($BO$11,$AF$8:$AF$207,$AG$8:$AG$207,$BJ$8:$BJ$207), MATCH(CJ$7&amp;$CC18, $B$8:$B$207&amp;$C$8:$C$207, 0)), "")</f>
        <v>-5.0809972940956882</v>
      </c>
      <c r="CK18" s="8">
        <f t="array" ref="CK18">IFERROR(INDEX(CHOOSE($BO$11,$AF$8:$AF$207,$AG$8:$AG$207,$BJ$8:$BJ$207), MATCH(CK$7&amp;$CC18, $B$8:$B$207&amp;$C$8:$C$207, 0)), "")</f>
        <v>-4.6923332008554128</v>
      </c>
      <c r="CL18" s="8">
        <f t="array" ref="CL18">IFERROR(INDEX(CHOOSE($BO$11,$AF$8:$AF$207,$AG$8:$AG$207,$BJ$8:$BJ$207), MATCH(CL$7&amp;$CC18, $B$8:$B$207&amp;$C$8:$C$207, 0)), "")</f>
        <v>-4.3338438357394287</v>
      </c>
      <c r="CM18" s="8">
        <f t="array" ref="CM18">IFERROR(INDEX(CHOOSE($BO$11,$AF$8:$AF$207,$AG$8:$AG$207,$BJ$8:$BJ$207), MATCH(CM$7&amp;$CC18, $B$8:$B$207&amp;$C$8:$C$207, 0)), "")</f>
        <v>-3.99989763727792</v>
      </c>
      <c r="CN18" s="8">
        <f t="array" ref="CN18">IFERROR(INDEX(CHOOSE($BO$11,$AF$8:$AF$207,$AG$8:$AG$207,$BJ$8:$BJ$207), MATCH(CN$7&amp;$CC18, $B$8:$B$207&amp;$C$8:$C$207, 0)), "")</f>
        <v>-3.6765537722285466</v>
      </c>
      <c r="CO18" s="8">
        <f t="array" ref="CO18">IFERROR(INDEX(CHOOSE($BO$11,$AF$8:$AF$207,$AG$8:$AG$207,$BJ$8:$BJ$207), MATCH(CO$7&amp;$CC18, $B$8:$B$207&amp;$C$8:$C$207, 0)), "")</f>
        <v>-3.3726660718919121</v>
      </c>
      <c r="CP18" s="8" t="str">
        <f t="array" ref="CP18">IFERROR(INDEX(CHOOSE($BO$11,$AF$8:$AF$207,$AG$8:$AG$207,$BJ$8:$BJ$207), MATCH(CP$7&amp;$CC18, $B$8:$B$207&amp;$C$8:$C$207, 0)), "")</f>
        <v/>
      </c>
      <c r="CQ18" s="8" t="str">
        <f t="array" ref="CQ18">IFERROR(INDEX(CHOOSE($BO$11,$AF$8:$AF$207,$AG$8:$AG$207,$BJ$8:$BJ$207), MATCH(CQ$7&amp;$CC18, $B$8:$B$207&amp;$C$8:$C$207, 0)), "")</f>
        <v/>
      </c>
      <c r="CR18" s="8" t="str">
        <f t="array" ref="CR18">IFERROR(INDEX(CHOOSE($BO$11,$AF$8:$AF$207,$AG$8:$AG$207,$BJ$8:$BJ$207), MATCH(CR$7&amp;$CC18, $B$8:$B$207&amp;$C$8:$C$207, 0)), "")</f>
        <v/>
      </c>
      <c r="CS18" s="8" t="str">
        <f t="array" ref="CS18">IFERROR(INDEX(CHOOSE($BO$11,$AF$8:$AF$207,$AG$8:$AG$207,$BJ$8:$BJ$207), MATCH(CS$7&amp;$CC18, $B$8:$B$207&amp;$C$8:$C$207, 0)), "")</f>
        <v/>
      </c>
      <c r="CT18" s="8" t="str">
        <f t="array" ref="CT18">IFERROR(INDEX(CHOOSE($BO$11,$AF$8:$AF$207,$AG$8:$AG$207,$BJ$8:$BJ$207), MATCH(CT$7&amp;$CC18, $B$8:$B$207&amp;$C$8:$C$207, 0)), "")</f>
        <v/>
      </c>
      <c r="CU18" s="8" t="str">
        <f t="array" ref="CU18">IFERROR(INDEX(CHOOSE($BO$11,$AF$8:$AF$207,$AG$8:$AG$207,$BJ$8:$BJ$207), MATCH(CU$7&amp;$CC18, $B$8:$B$207&amp;$C$8:$C$207, 0)), "")</f>
        <v/>
      </c>
      <c r="CV18" s="8" t="str">
        <f t="array" ref="CV18">IFERROR(INDEX(CHOOSE($BO$11,$AF$8:$AF$207,$AG$8:$AG$207,$BJ$8:$BJ$207), MATCH(CV$7&amp;$CC18, $B$8:$B$207&amp;$C$8:$C$207, 0)), "")</f>
        <v/>
      </c>
      <c r="CW18" s="8" t="str">
        <f t="array" ref="CW18">IFERROR(INDEX(CHOOSE($BO$11,$AF$8:$AF$207,$AG$8:$AG$207,$BJ$8:$BJ$207), MATCH(CW$7&amp;$CC18, $B$8:$B$207&amp;$C$8:$C$207, 0)), "")</f>
        <v/>
      </c>
      <c r="CX18" s="8" t="str">
        <f t="array" ref="CX18">IFERROR(INDEX(CHOOSE($BO$11,$AF$8:$AF$207,$AG$8:$AG$207,$BJ$8:$BJ$207), MATCH(CX$7&amp;$CC18, $B$8:$B$207&amp;$C$8:$C$207, 0)), "")</f>
        <v/>
      </c>
      <c r="CY18" s="8" t="str">
        <f t="array" ref="CY18">IFERROR(INDEX(CHOOSE($BO$11,$AF$8:$AF$207,$AG$8:$AG$207,$BJ$8:$BJ$207), MATCH(CY$7&amp;$CC18, $B$8:$B$207&amp;$C$8:$C$207, 0)), "")</f>
        <v/>
      </c>
      <c r="CZ18" s="8" t="str">
        <f t="array" ref="CZ18">IFERROR(INDEX(CHOOSE($BO$11,$AF$8:$AF$207,$AG$8:$AG$207,$BJ$8:$BJ$207), MATCH(CZ$7&amp;$CC18, $B$8:$B$207&amp;$C$8:$C$207, 0)), "")</f>
        <v/>
      </c>
      <c r="DA18" s="8" t="str">
        <f t="array" ref="DA18">IFERROR(INDEX(CHOOSE($BO$11,$AF$8:$AF$207,$AG$8:$AG$207,$BJ$8:$BJ$207), MATCH(DA$7&amp;$CC18, $B$8:$B$207&amp;$C$8:$C$207, 0)), "")</f>
        <v/>
      </c>
      <c r="DB18" s="8" t="str">
        <f t="array" ref="DB18">IFERROR(INDEX(CHOOSE($BO$11,$AF$8:$AF$207,$AG$8:$AG$207,$BJ$8:$BJ$207), MATCH(DB$7&amp;$CC18, $B$8:$B$207&amp;$C$8:$C$207, 0)), "")</f>
        <v/>
      </c>
      <c r="DC18" s="8" t="str">
        <f t="array" ref="DC18">IFERROR(INDEX(CHOOSE($BO$11,$AF$8:$AF$207,$AG$8:$AG$207,$BJ$8:$BJ$207), MATCH(DC$7&amp;$CC18, $B$8:$B$207&amp;$C$8:$C$207, 0)), "")</f>
        <v/>
      </c>
      <c r="DD18" s="8" t="str">
        <f t="array" ref="DD18">IFERROR(INDEX(CHOOSE($BO$11,$AF$8:$AF$207,$AG$8:$AG$207,$BJ$8:$BJ$207), MATCH(DD$7&amp;$CC18, $B$8:$B$207&amp;$C$8:$C$207, 0)), "")</f>
        <v/>
      </c>
      <c r="DE18" s="8" t="str">
        <f t="array" ref="DE18">IFERROR(INDEX(CHOOSE($BO$11,$AF$8:$AF$207,$AG$8:$AG$207,$BJ$8:$BJ$207), MATCH(DE$7&amp;$CC18, $B$8:$B$207&amp;$C$8:$C$207, 0)), "")</f>
        <v/>
      </c>
      <c r="DF18" s="8" t="str">
        <f t="array" ref="DF18">IFERROR(INDEX(CHOOSE($BO$11,$AF$8:$AF$207,$AG$8:$AG$207,$BJ$8:$BJ$207), MATCH(DF$7&amp;$CC18, $B$8:$B$207&amp;$C$8:$C$207, 0)), "")</f>
        <v/>
      </c>
      <c r="DG18" s="8" t="str">
        <f t="array" ref="DG18">IFERROR(INDEX(CHOOSE($BO$11,$AF$8:$AF$207,$AG$8:$AG$207,$BJ$8:$BJ$207), MATCH(DG$7&amp;$CC18, $B$8:$B$207&amp;$C$8:$C$207, 0)), "")</f>
        <v/>
      </c>
      <c r="DH18" s="8"/>
      <c r="DI18" s="8"/>
      <c r="DJ18" s="8"/>
      <c r="DK18" s="8"/>
      <c r="DL18" s="8"/>
      <c r="DM18" s="8"/>
      <c r="DN18" s="8"/>
      <c r="DO18" s="8"/>
      <c r="DP18" s="8"/>
      <c r="DQ18" s="8"/>
      <c r="DR18" s="8"/>
      <c r="DS18" s="8"/>
      <c r="DT18" s="8"/>
      <c r="DU18" s="8"/>
      <c r="DV18" s="8"/>
      <c r="DW18" s="8"/>
      <c r="DX18" s="8"/>
      <c r="DY18" s="8"/>
      <c r="DZ18" s="8"/>
      <c r="EA18" s="8"/>
    </row>
    <row r="19" spans="2:131" x14ac:dyDescent="0.2">
      <c r="B19" s="1">
        <f>IFERROR(Calculations!M17/1000, "")</f>
        <v>5</v>
      </c>
      <c r="C19" s="1">
        <f>Calculations!N17</f>
        <v>850</v>
      </c>
      <c r="D19" s="58">
        <f>IFERROR(Calculations!$Q17,"")</f>
        <v>0.66568154689788828</v>
      </c>
      <c r="E19" s="8">
        <f>IFERROR(Calculations!$S17, "")</f>
        <v>8.2195184290443848</v>
      </c>
      <c r="F19" s="89"/>
      <c r="G19" s="89"/>
      <c r="H19" s="89"/>
      <c r="I19" s="89"/>
      <c r="J19" s="1" t="str">
        <f>IFERROR(Calculations!AC17, "")</f>
        <v/>
      </c>
      <c r="K19" s="1" t="str">
        <f>IFERROR(Calculations!AD17, "")</f>
        <v/>
      </c>
      <c r="L19" s="8">
        <f>IFERROR(Calculations!AE17,"")</f>
        <v>-78540.856182018906</v>
      </c>
      <c r="M19" s="8">
        <f>IFERROR(Calculations!AF17,"")</f>
        <v>-128793.04105810044</v>
      </c>
      <c r="N19" s="8" t="str">
        <f>IFERROR(Calculations!AG17,"")</f>
        <v/>
      </c>
      <c r="O19" s="8" t="str">
        <f>IFERROR(Calculations!AH17,"")</f>
        <v/>
      </c>
      <c r="P19" s="8" t="str">
        <f>IFERROR(Calculations!AI17,"")</f>
        <v/>
      </c>
      <c r="Q19" s="8" t="str">
        <f>IFERROR(Calculations!AJ17,"")</f>
        <v/>
      </c>
      <c r="R19" s="8" t="str">
        <f>IFERROR(Calculations!AK17,"")</f>
        <v/>
      </c>
      <c r="S19" s="89"/>
      <c r="T19" s="89"/>
      <c r="U19" s="89"/>
      <c r="V19" s="89"/>
      <c r="W19" s="1" t="str">
        <f>IFERROR(Calculations!AP17, "")</f>
        <v/>
      </c>
      <c r="X19" s="1" t="str">
        <f>IFERROR(Calculations!AQ17, "")</f>
        <v/>
      </c>
      <c r="Y19" s="8" t="str">
        <f>IFERROR(Calculations!AR17,"")</f>
        <v/>
      </c>
      <c r="Z19" s="8">
        <f>IFERROR(Calculations!AS17,"")</f>
        <v>0</v>
      </c>
      <c r="AA19" s="8">
        <f>IFERROR(Calculations!AT17,"")</f>
        <v>-154476.74560176165</v>
      </c>
      <c r="AB19" s="8" t="str">
        <f>IFERROR(Calculations!AU17,"")</f>
        <v/>
      </c>
      <c r="AC19" s="8" t="str">
        <f>IFERROR(Calculations!AV17,"")</f>
        <v/>
      </c>
      <c r="AD19" s="8" t="str">
        <f>IFERROR(Calculations!AW17,"")</f>
        <v/>
      </c>
      <c r="AE19" s="8" t="str">
        <f>IFERROR(Calculations!AX17,"")</f>
        <v/>
      </c>
      <c r="AF19" s="8">
        <f>IFERROR(IF(Calculations!AY17 &lt;&gt; 0, Calculations!AY17, ""),"")</f>
        <v>52857.151638357696</v>
      </c>
      <c r="AG19" s="42">
        <f>IFERROR(IF(Calculations!AZ17 &lt;&gt; 0, Calculations!AZ17, ""),"")</f>
        <v>-10.291954754987106</v>
      </c>
      <c r="AH19" s="1">
        <f t="shared" si="1"/>
        <v>5</v>
      </c>
      <c r="AI19" s="1">
        <f t="shared" si="2"/>
        <v>850</v>
      </c>
      <c r="AJ19" s="89"/>
      <c r="AK19" s="89"/>
      <c r="AL19" s="89"/>
      <c r="AM19" s="89"/>
      <c r="AN19" s="8" t="str">
        <f>IFERROR(Calculations!BJ17, "")</f>
        <v/>
      </c>
      <c r="AO19" s="8" t="str">
        <f>IFERROR(Calculations!BK17, "")</f>
        <v/>
      </c>
      <c r="AP19" s="8">
        <f>IFERROR(Calculations!BL17, "")</f>
        <v>27.062910311923428</v>
      </c>
      <c r="AQ19" s="8">
        <f>IFERROR(Calculations!BM17, "")</f>
        <v>61.365831745643987</v>
      </c>
      <c r="AR19" s="8" t="str">
        <f>IFERROR(Calculations!BN17, "")</f>
        <v/>
      </c>
      <c r="AS19" s="8" t="str">
        <f>IFERROR(Calculations!BO17, "")</f>
        <v/>
      </c>
      <c r="AT19" s="8" t="str">
        <f>IFERROR(Calculations!BP17, "")</f>
        <v/>
      </c>
      <c r="AU19" s="8" t="str">
        <f>IFERROR(Calculations!BQ17, "")</f>
        <v/>
      </c>
      <c r="AV19" s="8" t="str">
        <f>IFERROR(Calculations!BR17, "")</f>
        <v/>
      </c>
      <c r="AW19" s="89"/>
      <c r="AX19" s="89"/>
      <c r="AY19" s="89"/>
      <c r="AZ19" s="89"/>
      <c r="BA19" s="8" t="str">
        <f>IFERROR(Calculations!BW17, "")</f>
        <v/>
      </c>
      <c r="BB19" s="8" t="str">
        <f>IFERROR(Calculations!BX17, "")</f>
        <v/>
      </c>
      <c r="BC19" s="8" t="str">
        <f>IFERROR(Calculations!BY17, "")</f>
        <v/>
      </c>
      <c r="BD19" s="8">
        <f>IFERROR(Calculations!BZ17, "")</f>
        <v>0</v>
      </c>
      <c r="BE19" s="8">
        <f>IFERROR(Calculations!CA17, "")</f>
        <v>-14.219211066318083</v>
      </c>
      <c r="BF19" s="8" t="str">
        <f>IFERROR(Calculations!CB17, "")</f>
        <v/>
      </c>
      <c r="BG19" s="8" t="str">
        <f>IFERROR(Calculations!CC17, "")</f>
        <v/>
      </c>
      <c r="BH19" s="8" t="str">
        <f>IFERROR(Calculations!CD17, "")</f>
        <v/>
      </c>
      <c r="BI19" s="8" t="str">
        <f>IFERROR(Calculations!CE17, "")</f>
        <v/>
      </c>
      <c r="BJ19" s="8">
        <f>IFERROR(IF(Calculations!CF17 &lt;&gt; 0, Calculations!CF17, ""),"")</f>
        <v>-102.6479531238855</v>
      </c>
      <c r="BK19" s="1">
        <f t="shared" si="3"/>
        <v>850</v>
      </c>
      <c r="BL19" s="1">
        <f t="shared" si="4"/>
        <v>5</v>
      </c>
      <c r="CC19" s="1">
        <f t="shared" si="5"/>
        <v>850</v>
      </c>
      <c r="CD19" s="8">
        <f t="array" ref="CD19">IFERROR(INDEX(CHOOSE($BO$11,$AF$8:$AF$207,$AG$8:$AG$207,$BJ$8:$BJ$207), MATCH(CD$7&amp;$CC19, $B$8:$B$207&amp;$C$8:$C$207, 0)), "")</f>
        <v>-10.291954754987106</v>
      </c>
      <c r="CE19" s="8">
        <f t="array" ref="CE19">IFERROR(INDEX(CHOOSE($BO$11,$AF$8:$AF$207,$AG$8:$AG$207,$BJ$8:$BJ$207), MATCH(CE$7&amp;$CC19, $B$8:$B$207&amp;$C$8:$C$207, 0)), "")</f>
        <v>-8.3675314275976795</v>
      </c>
      <c r="CF19" s="8">
        <f t="array" ref="CF19">IFERROR(INDEX(CHOOSE($BO$11,$AF$8:$AF$207,$AG$8:$AG$207,$BJ$8:$BJ$207), MATCH(CF$7&amp;$CC19, $B$8:$B$207&amp;$C$8:$C$207, 0)), "")</f>
        <v>-7.4166151879966806</v>
      </c>
      <c r="CG19" s="8">
        <f t="array" ref="CG19">IFERROR(INDEX(CHOOSE($BO$11,$AF$8:$AF$207,$AG$8:$AG$207,$BJ$8:$BJ$207), MATCH(CG$7&amp;$CC19, $B$8:$B$207&amp;$C$8:$C$207, 0)), "")</f>
        <v>-6.742938471700727</v>
      </c>
      <c r="CH19" s="8">
        <f t="array" ref="CH19">IFERROR(INDEX(CHOOSE($BO$11,$AF$8:$AF$207,$AG$8:$AG$207,$BJ$8:$BJ$207), MATCH(CH$7&amp;$CC19, $B$8:$B$207&amp;$C$8:$C$207, 0)), "")</f>
        <v>-6.20110752467866</v>
      </c>
      <c r="CI19" s="8">
        <f t="array" ref="CI19">IFERROR(INDEX(CHOOSE($BO$11,$AF$8:$AF$207,$AG$8:$AG$207,$BJ$8:$BJ$207), MATCH(CI$7&amp;$CC19, $B$8:$B$207&amp;$C$8:$C$207, 0)), "")</f>
        <v>-5.7374417783871241</v>
      </c>
      <c r="CJ19" s="8">
        <f t="array" ref="CJ19">IFERROR(INDEX(CHOOSE($BO$11,$AF$8:$AF$207,$AG$8:$AG$207,$BJ$8:$BJ$207), MATCH(CJ$7&amp;$CC19, $B$8:$B$207&amp;$C$8:$C$207, 0)), "")</f>
        <v>-5.3209644425524054</v>
      </c>
      <c r="CK19" s="8">
        <f t="array" ref="CK19">IFERROR(INDEX(CHOOSE($BO$11,$AF$8:$AF$207,$AG$8:$AG$207,$BJ$8:$BJ$207), MATCH(CK$7&amp;$CC19, $B$8:$B$207&amp;$C$8:$C$207, 0)), "")</f>
        <v>-4.9421126334619849</v>
      </c>
      <c r="CL19" s="8">
        <f t="array" ref="CL19">IFERROR(INDEX(CHOOSE($BO$11,$AF$8:$AF$207,$AG$8:$AG$207,$BJ$8:$BJ$207), MATCH(CL$7&amp;$CC19, $B$8:$B$207&amp;$C$8:$C$207, 0)), "")</f>
        <v>-4.5898082409073426</v>
      </c>
      <c r="CM19" s="8">
        <f t="array" ref="CM19">IFERROR(INDEX(CHOOSE($BO$11,$AF$8:$AF$207,$AG$8:$AG$207,$BJ$8:$BJ$207), MATCH(CM$7&amp;$CC19, $B$8:$B$207&amp;$C$8:$C$207, 0)), "")</f>
        <v>-4.2567883368890662</v>
      </c>
      <c r="CN19" s="8">
        <f t="array" ref="CN19">IFERROR(INDEX(CHOOSE($BO$11,$AF$8:$AF$207,$AG$8:$AG$207,$BJ$8:$BJ$207), MATCH(CN$7&amp;$CC19, $B$8:$B$207&amp;$C$8:$C$207, 0)), "")</f>
        <v>-3.9469952094095802</v>
      </c>
      <c r="CO19" s="8">
        <f t="array" ref="CO19">IFERROR(INDEX(CHOOSE($BO$11,$AF$8:$AF$207,$AG$8:$AG$207,$BJ$8:$BJ$207), MATCH(CO$7&amp;$CC19, $B$8:$B$207&amp;$C$8:$C$207, 0)), "")</f>
        <v>-3.6443731403859343</v>
      </c>
      <c r="CP19" s="8" t="str">
        <f t="array" ref="CP19">IFERROR(INDEX(CHOOSE($BO$11,$AF$8:$AF$207,$AG$8:$AG$207,$BJ$8:$BJ$207), MATCH(CP$7&amp;$CC19, $B$8:$B$207&amp;$C$8:$C$207, 0)), "")</f>
        <v/>
      </c>
      <c r="CQ19" s="8" t="str">
        <f t="array" ref="CQ19">IFERROR(INDEX(CHOOSE($BO$11,$AF$8:$AF$207,$AG$8:$AG$207,$BJ$8:$BJ$207), MATCH(CQ$7&amp;$CC19, $B$8:$B$207&amp;$C$8:$C$207, 0)), "")</f>
        <v/>
      </c>
      <c r="CR19" s="8" t="str">
        <f t="array" ref="CR19">IFERROR(INDEX(CHOOSE($BO$11,$AF$8:$AF$207,$AG$8:$AG$207,$BJ$8:$BJ$207), MATCH(CR$7&amp;$CC19, $B$8:$B$207&amp;$C$8:$C$207, 0)), "")</f>
        <v/>
      </c>
      <c r="CS19" s="8" t="str">
        <f t="array" ref="CS19">IFERROR(INDEX(CHOOSE($BO$11,$AF$8:$AF$207,$AG$8:$AG$207,$BJ$8:$BJ$207), MATCH(CS$7&amp;$CC19, $B$8:$B$207&amp;$C$8:$C$207, 0)), "")</f>
        <v/>
      </c>
      <c r="CT19" s="8" t="str">
        <f t="array" ref="CT19">IFERROR(INDEX(CHOOSE($BO$11,$AF$8:$AF$207,$AG$8:$AG$207,$BJ$8:$BJ$207), MATCH(CT$7&amp;$CC19, $B$8:$B$207&amp;$C$8:$C$207, 0)), "")</f>
        <v/>
      </c>
      <c r="CU19" s="8" t="str">
        <f t="array" ref="CU19">IFERROR(INDEX(CHOOSE($BO$11,$AF$8:$AF$207,$AG$8:$AG$207,$BJ$8:$BJ$207), MATCH(CU$7&amp;$CC19, $B$8:$B$207&amp;$C$8:$C$207, 0)), "")</f>
        <v/>
      </c>
      <c r="CV19" s="8" t="str">
        <f t="array" ref="CV19">IFERROR(INDEX(CHOOSE($BO$11,$AF$8:$AF$207,$AG$8:$AG$207,$BJ$8:$BJ$207), MATCH(CV$7&amp;$CC19, $B$8:$B$207&amp;$C$8:$C$207, 0)), "")</f>
        <v/>
      </c>
      <c r="CW19" s="8" t="str">
        <f t="array" ref="CW19">IFERROR(INDEX(CHOOSE($BO$11,$AF$8:$AF$207,$AG$8:$AG$207,$BJ$8:$BJ$207), MATCH(CW$7&amp;$CC19, $B$8:$B$207&amp;$C$8:$C$207, 0)), "")</f>
        <v/>
      </c>
      <c r="CX19" s="8" t="str">
        <f t="array" ref="CX19">IFERROR(INDEX(CHOOSE($BO$11,$AF$8:$AF$207,$AG$8:$AG$207,$BJ$8:$BJ$207), MATCH(CX$7&amp;$CC19, $B$8:$B$207&amp;$C$8:$C$207, 0)), "")</f>
        <v/>
      </c>
      <c r="CY19" s="8" t="str">
        <f t="array" ref="CY19">IFERROR(INDEX(CHOOSE($BO$11,$AF$8:$AF$207,$AG$8:$AG$207,$BJ$8:$BJ$207), MATCH(CY$7&amp;$CC19, $B$8:$B$207&amp;$C$8:$C$207, 0)), "")</f>
        <v/>
      </c>
      <c r="CZ19" s="8" t="str">
        <f t="array" ref="CZ19">IFERROR(INDEX(CHOOSE($BO$11,$AF$8:$AF$207,$AG$8:$AG$207,$BJ$8:$BJ$207), MATCH(CZ$7&amp;$CC19, $B$8:$B$207&amp;$C$8:$C$207, 0)), "")</f>
        <v/>
      </c>
      <c r="DA19" s="8" t="str">
        <f t="array" ref="DA19">IFERROR(INDEX(CHOOSE($BO$11,$AF$8:$AF$207,$AG$8:$AG$207,$BJ$8:$BJ$207), MATCH(DA$7&amp;$CC19, $B$8:$B$207&amp;$C$8:$C$207, 0)), "")</f>
        <v/>
      </c>
      <c r="DB19" s="8" t="str">
        <f t="array" ref="DB19">IFERROR(INDEX(CHOOSE($BO$11,$AF$8:$AF$207,$AG$8:$AG$207,$BJ$8:$BJ$207), MATCH(DB$7&amp;$CC19, $B$8:$B$207&amp;$C$8:$C$207, 0)), "")</f>
        <v/>
      </c>
      <c r="DC19" s="8" t="str">
        <f t="array" ref="DC19">IFERROR(INDEX(CHOOSE($BO$11,$AF$8:$AF$207,$AG$8:$AG$207,$BJ$8:$BJ$207), MATCH(DC$7&amp;$CC19, $B$8:$B$207&amp;$C$8:$C$207, 0)), "")</f>
        <v/>
      </c>
      <c r="DD19" s="8" t="str">
        <f t="array" ref="DD19">IFERROR(INDEX(CHOOSE($BO$11,$AF$8:$AF$207,$AG$8:$AG$207,$BJ$8:$BJ$207), MATCH(DD$7&amp;$CC19, $B$8:$B$207&amp;$C$8:$C$207, 0)), "")</f>
        <v/>
      </c>
      <c r="DE19" s="8" t="str">
        <f t="array" ref="DE19">IFERROR(INDEX(CHOOSE($BO$11,$AF$8:$AF$207,$AG$8:$AG$207,$BJ$8:$BJ$207), MATCH(DE$7&amp;$CC19, $B$8:$B$207&amp;$C$8:$C$207, 0)), "")</f>
        <v/>
      </c>
      <c r="DF19" s="8" t="str">
        <f t="array" ref="DF19">IFERROR(INDEX(CHOOSE($BO$11,$AF$8:$AF$207,$AG$8:$AG$207,$BJ$8:$BJ$207), MATCH(DF$7&amp;$CC19, $B$8:$B$207&amp;$C$8:$C$207, 0)), "")</f>
        <v/>
      </c>
      <c r="DG19" s="8" t="str">
        <f t="array" ref="DG19">IFERROR(INDEX(CHOOSE($BO$11,$AF$8:$AF$207,$AG$8:$AG$207,$BJ$8:$BJ$207), MATCH(DG$7&amp;$CC19, $B$8:$B$207&amp;$C$8:$C$207, 0)), "")</f>
        <v/>
      </c>
      <c r="DH19" s="8"/>
      <c r="DI19" s="8"/>
      <c r="DJ19" s="8"/>
      <c r="DK19" s="8"/>
      <c r="DL19" s="8"/>
      <c r="DM19" s="8"/>
      <c r="DN19" s="8"/>
      <c r="DO19" s="8"/>
      <c r="DP19" s="8"/>
      <c r="DQ19" s="8"/>
      <c r="DR19" s="8"/>
      <c r="DS19" s="8"/>
      <c r="DT19" s="8"/>
      <c r="DU19" s="8"/>
      <c r="DV19" s="8"/>
      <c r="DW19" s="8"/>
      <c r="DX19" s="8"/>
      <c r="DY19" s="8"/>
      <c r="DZ19" s="8"/>
      <c r="EA19" s="8"/>
    </row>
    <row r="20" spans="2:131" x14ac:dyDescent="0.2">
      <c r="B20" s="1">
        <f>IFERROR(Calculations!M18/1000, "")</f>
        <v>5</v>
      </c>
      <c r="C20" s="1">
        <f>Calculations!N18</f>
        <v>900</v>
      </c>
      <c r="D20" s="58">
        <f>IFERROR(Calculations!$Q18,"")</f>
        <v>0.64167766036987306</v>
      </c>
      <c r="E20" s="8">
        <f>IFERROR(Calculations!$S18, "")</f>
        <v>7.4069521540343946</v>
      </c>
      <c r="F20" s="89"/>
      <c r="G20" s="89"/>
      <c r="H20" s="89"/>
      <c r="I20" s="89"/>
      <c r="J20" s="1" t="str">
        <f>IFERROR(Calculations!AC18, "")</f>
        <v/>
      </c>
      <c r="K20" s="1" t="str">
        <f>IFERROR(Calculations!AD18, "")</f>
        <v/>
      </c>
      <c r="L20" s="8">
        <f>IFERROR(Calculations!AE18,"")</f>
        <v>-80416.966774105313</v>
      </c>
      <c r="M20" s="8">
        <f>IFERROR(Calculations!AF18,"")</f>
        <v>-132011.35877278692</v>
      </c>
      <c r="N20" s="8" t="str">
        <f>IFERROR(Calculations!AG18,"")</f>
        <v/>
      </c>
      <c r="O20" s="8" t="str">
        <f>IFERROR(Calculations!AH18,"")</f>
        <v/>
      </c>
      <c r="P20" s="8" t="str">
        <f>IFERROR(Calculations!AI18,"")</f>
        <v/>
      </c>
      <c r="Q20" s="8" t="str">
        <f>IFERROR(Calculations!AJ18,"")</f>
        <v/>
      </c>
      <c r="R20" s="8" t="str">
        <f>IFERROR(Calculations!AK18,"")</f>
        <v/>
      </c>
      <c r="S20" s="89"/>
      <c r="T20" s="89"/>
      <c r="U20" s="89"/>
      <c r="V20" s="89"/>
      <c r="W20" s="1" t="str">
        <f>IFERROR(Calculations!AP18, "")</f>
        <v/>
      </c>
      <c r="X20" s="1" t="str">
        <f>IFERROR(Calculations!AQ18, "")</f>
        <v/>
      </c>
      <c r="Y20" s="8" t="str">
        <f>IFERROR(Calculations!AR18,"")</f>
        <v/>
      </c>
      <c r="Z20" s="8">
        <f>IFERROR(Calculations!AS18,"")</f>
        <v>0</v>
      </c>
      <c r="AA20" s="8">
        <f>IFERROR(Calculations!AT18,"")</f>
        <v>-154994.4125993558</v>
      </c>
      <c r="AB20" s="8" t="str">
        <f>IFERROR(Calculations!AU18,"")</f>
        <v/>
      </c>
      <c r="AC20" s="8" t="str">
        <f>IFERROR(Calculations!AV18,"")</f>
        <v/>
      </c>
      <c r="AD20" s="8" t="str">
        <f>IFERROR(Calculations!AW18,"")</f>
        <v/>
      </c>
      <c r="AE20" s="8" t="str">
        <f>IFERROR(Calculations!AX18,"")</f>
        <v/>
      </c>
      <c r="AF20" s="8">
        <f>IFERROR(IF(Calculations!AY18 &lt;&gt; 0, Calculations!AY18, ""),"")</f>
        <v>57433.912947536446</v>
      </c>
      <c r="AG20" s="42">
        <f>IFERROR(IF(Calculations!AZ18 &lt;&gt; 0, Calculations!AZ18, ""),"")</f>
        <v>-10.706480595081764</v>
      </c>
      <c r="AH20" s="1">
        <f t="shared" si="1"/>
        <v>5</v>
      </c>
      <c r="AI20" s="1">
        <f t="shared" si="2"/>
        <v>900</v>
      </c>
      <c r="AJ20" s="89"/>
      <c r="AK20" s="89"/>
      <c r="AL20" s="89"/>
      <c r="AM20" s="89"/>
      <c r="AN20" s="8" t="str">
        <f>IFERROR(Calculations!BJ18, "")</f>
        <v/>
      </c>
      <c r="AO20" s="8" t="str">
        <f>IFERROR(Calculations!BK18, "")</f>
        <v/>
      </c>
      <c r="AP20" s="8">
        <f>IFERROR(Calculations!BL18, "")</f>
        <v>28.075280023954257</v>
      </c>
      <c r="AQ20" s="8">
        <f>IFERROR(Calculations!BM18, "")</f>
        <v>66.759595276949156</v>
      </c>
      <c r="AR20" s="8" t="str">
        <f>IFERROR(Calculations!BN18, "")</f>
        <v/>
      </c>
      <c r="AS20" s="8" t="str">
        <f>IFERROR(Calculations!BO18, "")</f>
        <v/>
      </c>
      <c r="AT20" s="8" t="str">
        <f>IFERROR(Calculations!BP18, "")</f>
        <v/>
      </c>
      <c r="AU20" s="8" t="str">
        <f>IFERROR(Calculations!BQ18, "")</f>
        <v/>
      </c>
      <c r="AV20" s="8" t="str">
        <f>IFERROR(Calculations!BR18, "")</f>
        <v/>
      </c>
      <c r="AW20" s="89"/>
      <c r="AX20" s="89"/>
      <c r="AY20" s="89"/>
      <c r="AZ20" s="89"/>
      <c r="BA20" s="8" t="str">
        <f>IFERROR(Calculations!BW18, "")</f>
        <v/>
      </c>
      <c r="BB20" s="8" t="str">
        <f>IFERROR(Calculations!BX18, "")</f>
        <v/>
      </c>
      <c r="BC20" s="8" t="str">
        <f>IFERROR(Calculations!BY18, "")</f>
        <v/>
      </c>
      <c r="BD20" s="8">
        <f>IFERROR(Calculations!BZ18, "")</f>
        <v>0</v>
      </c>
      <c r="BE20" s="8">
        <f>IFERROR(Calculations!CA18, "")</f>
        <v>-22.7477762786989</v>
      </c>
      <c r="BF20" s="8" t="str">
        <f>IFERROR(Calculations!CB18, "")</f>
        <v/>
      </c>
      <c r="BG20" s="8" t="str">
        <f>IFERROR(Calculations!CC18, "")</f>
        <v/>
      </c>
      <c r="BH20" s="8" t="str">
        <f>IFERROR(Calculations!CD18, "")</f>
        <v/>
      </c>
      <c r="BI20" s="8" t="str">
        <f>IFERROR(Calculations!CE18, "")</f>
        <v/>
      </c>
      <c r="BJ20" s="8">
        <f>IFERROR(IF(Calculations!CF18 &lt;&gt; 0, Calculations!CF18, ""),"")</f>
        <v>-117.5826515796023</v>
      </c>
      <c r="BK20" s="1">
        <f t="shared" si="3"/>
        <v>900</v>
      </c>
      <c r="BL20" s="1">
        <f t="shared" si="4"/>
        <v>5</v>
      </c>
      <c r="CC20" s="1">
        <f t="shared" si="5"/>
        <v>900</v>
      </c>
      <c r="CD20" s="8">
        <f t="array" ref="CD20">IFERROR(INDEX(CHOOSE($BO$11,$AF$8:$AF$207,$AG$8:$AG$207,$BJ$8:$BJ$207), MATCH(CD$7&amp;$CC20, $B$8:$B$207&amp;$C$8:$C$207, 0)), "")</f>
        <v>-10.706480595081764</v>
      </c>
      <c r="CE20" s="8">
        <f t="array" ref="CE20">IFERROR(INDEX(CHOOSE($BO$11,$AF$8:$AF$207,$AG$8:$AG$207,$BJ$8:$BJ$207), MATCH(CE$7&amp;$CC20, $B$8:$B$207&amp;$C$8:$C$207, 0)), "")</f>
        <v>-8.6458474947994084</v>
      </c>
      <c r="CF20" s="8">
        <f t="array" ref="CF20">IFERROR(INDEX(CHOOSE($BO$11,$AF$8:$AF$207,$AG$8:$AG$207,$BJ$8:$BJ$207), MATCH(CF$7&amp;$CC20, $B$8:$B$207&amp;$C$8:$C$207, 0)), "")</f>
        <v>-7.6622683482368918</v>
      </c>
      <c r="CG20" s="8">
        <f t="array" ref="CG20">IFERROR(INDEX(CHOOSE($BO$11,$AF$8:$AF$207,$AG$8:$AG$207,$BJ$8:$BJ$207), MATCH(CG$7&amp;$CC20, $B$8:$B$207&amp;$C$8:$C$207, 0)), "")</f>
        <v>-6.9822240806552207</v>
      </c>
      <c r="CH20" s="8">
        <f t="array" ref="CH20">IFERROR(INDEX(CHOOSE($BO$11,$AF$8:$AF$207,$AG$8:$AG$207,$BJ$8:$BJ$207), MATCH(CH$7&amp;$CC20, $B$8:$B$207&amp;$C$8:$C$207, 0)), "")</f>
        <v>-6.4397350297685447</v>
      </c>
      <c r="CI20" s="8">
        <f t="array" ref="CI20">IFERROR(INDEX(CHOOSE($BO$11,$AF$8:$AF$207,$AG$8:$AG$207,$BJ$8:$BJ$207), MATCH(CI$7&amp;$CC20, $B$8:$B$207&amp;$C$8:$C$207, 0)), "")</f>
        <v>-5.97334925794173</v>
      </c>
      <c r="CJ20" s="8">
        <f t="array" ref="CJ20">IFERROR(INDEX(CHOOSE($BO$11,$AF$8:$AF$207,$AG$8:$AG$207,$BJ$8:$BJ$207), MATCH(CJ$7&amp;$CC20, $B$8:$B$207&amp;$C$8:$C$207, 0)), "")</f>
        <v>-5.5582791781236836</v>
      </c>
      <c r="CK20" s="8">
        <f t="array" ref="CK20">IFERROR(INDEX(CHOOSE($BO$11,$AF$8:$AF$207,$AG$8:$AG$207,$BJ$8:$BJ$207), MATCH(CK$7&amp;$CC20, $B$8:$B$207&amp;$C$8:$C$207, 0)), "")</f>
        <v>-5.1854822500534548</v>
      </c>
      <c r="CL20" s="8">
        <f t="array" ref="CL20">IFERROR(INDEX(CHOOSE($BO$11,$AF$8:$AF$207,$AG$8:$AG$207,$BJ$8:$BJ$207), MATCH(CL$7&amp;$CC20, $B$8:$B$207&amp;$C$8:$C$207, 0)), "")</f>
        <v>-4.8423645549221845</v>
      </c>
      <c r="CM20" s="8">
        <f t="array" ref="CM20">IFERROR(INDEX(CHOOSE($BO$11,$AF$8:$AF$207,$AG$8:$AG$207,$BJ$8:$BJ$207), MATCH(CM$7&amp;$CC20, $B$8:$B$207&amp;$C$8:$C$207, 0)), "")</f>
        <v>-4.5193838711511694</v>
      </c>
      <c r="CN20" s="8">
        <f t="array" ref="CN20">IFERROR(INDEX(CHOOSE($BO$11,$AF$8:$AF$207,$AG$8:$AG$207,$BJ$8:$BJ$207), MATCH(CN$7&amp;$CC20, $B$8:$B$207&amp;$C$8:$C$207, 0)), "")</f>
        <v>-4.210736703861782</v>
      </c>
      <c r="CO20" s="8">
        <f t="array" ref="CO20">IFERROR(INDEX(CHOOSE($BO$11,$AF$8:$AF$207,$AG$8:$AG$207,$BJ$8:$BJ$207), MATCH(CO$7&amp;$CC20, $B$8:$B$207&amp;$C$8:$C$207, 0)), "")</f>
        <v>-3.9130266349389857</v>
      </c>
      <c r="CP20" s="8" t="str">
        <f t="array" ref="CP20">IFERROR(INDEX(CHOOSE($BO$11,$AF$8:$AF$207,$AG$8:$AG$207,$BJ$8:$BJ$207), MATCH(CP$7&amp;$CC20, $B$8:$B$207&amp;$C$8:$C$207, 0)), "")</f>
        <v/>
      </c>
      <c r="CQ20" s="8" t="str">
        <f t="array" ref="CQ20">IFERROR(INDEX(CHOOSE($BO$11,$AF$8:$AF$207,$AG$8:$AG$207,$BJ$8:$BJ$207), MATCH(CQ$7&amp;$CC20, $B$8:$B$207&amp;$C$8:$C$207, 0)), "")</f>
        <v/>
      </c>
      <c r="CR20" s="8" t="str">
        <f t="array" ref="CR20">IFERROR(INDEX(CHOOSE($BO$11,$AF$8:$AF$207,$AG$8:$AG$207,$BJ$8:$BJ$207), MATCH(CR$7&amp;$CC20, $B$8:$B$207&amp;$C$8:$C$207, 0)), "")</f>
        <v/>
      </c>
      <c r="CS20" s="8" t="str">
        <f t="array" ref="CS20">IFERROR(INDEX(CHOOSE($BO$11,$AF$8:$AF$207,$AG$8:$AG$207,$BJ$8:$BJ$207), MATCH(CS$7&amp;$CC20, $B$8:$B$207&amp;$C$8:$C$207, 0)), "")</f>
        <v/>
      </c>
      <c r="CT20" s="8" t="str">
        <f t="array" ref="CT20">IFERROR(INDEX(CHOOSE($BO$11,$AF$8:$AF$207,$AG$8:$AG$207,$BJ$8:$BJ$207), MATCH(CT$7&amp;$CC20, $B$8:$B$207&amp;$C$8:$C$207, 0)), "")</f>
        <v/>
      </c>
      <c r="CU20" s="8" t="str">
        <f t="array" ref="CU20">IFERROR(INDEX(CHOOSE($BO$11,$AF$8:$AF$207,$AG$8:$AG$207,$BJ$8:$BJ$207), MATCH(CU$7&amp;$CC20, $B$8:$B$207&amp;$C$8:$C$207, 0)), "")</f>
        <v/>
      </c>
      <c r="CV20" s="8" t="str">
        <f t="array" ref="CV20">IFERROR(INDEX(CHOOSE($BO$11,$AF$8:$AF$207,$AG$8:$AG$207,$BJ$8:$BJ$207), MATCH(CV$7&amp;$CC20, $B$8:$B$207&amp;$C$8:$C$207, 0)), "")</f>
        <v/>
      </c>
      <c r="CW20" s="8" t="str">
        <f t="array" ref="CW20">IFERROR(INDEX(CHOOSE($BO$11,$AF$8:$AF$207,$AG$8:$AG$207,$BJ$8:$BJ$207), MATCH(CW$7&amp;$CC20, $B$8:$B$207&amp;$C$8:$C$207, 0)), "")</f>
        <v/>
      </c>
      <c r="CX20" s="8" t="str">
        <f t="array" ref="CX20">IFERROR(INDEX(CHOOSE($BO$11,$AF$8:$AF$207,$AG$8:$AG$207,$BJ$8:$BJ$207), MATCH(CX$7&amp;$CC20, $B$8:$B$207&amp;$C$8:$C$207, 0)), "")</f>
        <v/>
      </c>
      <c r="CY20" s="8" t="str">
        <f t="array" ref="CY20">IFERROR(INDEX(CHOOSE($BO$11,$AF$8:$AF$207,$AG$8:$AG$207,$BJ$8:$BJ$207), MATCH(CY$7&amp;$CC20, $B$8:$B$207&amp;$C$8:$C$207, 0)), "")</f>
        <v/>
      </c>
      <c r="CZ20" s="8" t="str">
        <f t="array" ref="CZ20">IFERROR(INDEX(CHOOSE($BO$11,$AF$8:$AF$207,$AG$8:$AG$207,$BJ$8:$BJ$207), MATCH(CZ$7&amp;$CC20, $B$8:$B$207&amp;$C$8:$C$207, 0)), "")</f>
        <v/>
      </c>
      <c r="DA20" s="8" t="str">
        <f t="array" ref="DA20">IFERROR(INDEX(CHOOSE($BO$11,$AF$8:$AF$207,$AG$8:$AG$207,$BJ$8:$BJ$207), MATCH(DA$7&amp;$CC20, $B$8:$B$207&amp;$C$8:$C$207, 0)), "")</f>
        <v/>
      </c>
      <c r="DB20" s="8" t="str">
        <f t="array" ref="DB20">IFERROR(INDEX(CHOOSE($BO$11,$AF$8:$AF$207,$AG$8:$AG$207,$BJ$8:$BJ$207), MATCH(DB$7&amp;$CC20, $B$8:$B$207&amp;$C$8:$C$207, 0)), "")</f>
        <v/>
      </c>
      <c r="DC20" s="8" t="str">
        <f t="array" ref="DC20">IFERROR(INDEX(CHOOSE($BO$11,$AF$8:$AF$207,$AG$8:$AG$207,$BJ$8:$BJ$207), MATCH(DC$7&amp;$CC20, $B$8:$B$207&amp;$C$8:$C$207, 0)), "")</f>
        <v/>
      </c>
      <c r="DD20" s="8" t="str">
        <f t="array" ref="DD20">IFERROR(INDEX(CHOOSE($BO$11,$AF$8:$AF$207,$AG$8:$AG$207,$BJ$8:$BJ$207), MATCH(DD$7&amp;$CC20, $B$8:$B$207&amp;$C$8:$C$207, 0)), "")</f>
        <v/>
      </c>
      <c r="DE20" s="8" t="str">
        <f t="array" ref="DE20">IFERROR(INDEX(CHOOSE($BO$11,$AF$8:$AF$207,$AG$8:$AG$207,$BJ$8:$BJ$207), MATCH(DE$7&amp;$CC20, $B$8:$B$207&amp;$C$8:$C$207, 0)), "")</f>
        <v/>
      </c>
      <c r="DF20" s="8" t="str">
        <f t="array" ref="DF20">IFERROR(INDEX(CHOOSE($BO$11,$AF$8:$AF$207,$AG$8:$AG$207,$BJ$8:$BJ$207), MATCH(DF$7&amp;$CC20, $B$8:$B$207&amp;$C$8:$C$207, 0)), "")</f>
        <v/>
      </c>
      <c r="DG20" s="8" t="str">
        <f t="array" ref="DG20">IFERROR(INDEX(CHOOSE($BO$11,$AF$8:$AF$207,$AG$8:$AG$207,$BJ$8:$BJ$207), MATCH(DG$7&amp;$CC20, $B$8:$B$207&amp;$C$8:$C$207, 0)), "")</f>
        <v/>
      </c>
      <c r="DH20" s="8"/>
      <c r="DI20" s="8"/>
      <c r="DJ20" s="8"/>
      <c r="DK20" s="8"/>
      <c r="DL20" s="8"/>
      <c r="DM20" s="8"/>
      <c r="DN20" s="8"/>
      <c r="DO20" s="8"/>
      <c r="DP20" s="8"/>
      <c r="DQ20" s="8"/>
      <c r="DR20" s="8"/>
      <c r="DS20" s="8"/>
      <c r="DT20" s="8"/>
      <c r="DU20" s="8"/>
      <c r="DV20" s="8"/>
      <c r="DW20" s="8"/>
      <c r="DX20" s="8"/>
      <c r="DY20" s="8"/>
      <c r="DZ20" s="8"/>
      <c r="EA20" s="8"/>
    </row>
    <row r="21" spans="2:131" x14ac:dyDescent="0.2">
      <c r="B21" s="1">
        <f>IFERROR(Calculations!M19/1000, "")</f>
        <v>5</v>
      </c>
      <c r="C21" s="1">
        <f>Calculations!N19</f>
        <v>950</v>
      </c>
      <c r="D21" s="58">
        <f>IFERROR(Calculations!$Q19,"")</f>
        <v>0.61899818375110627</v>
      </c>
      <c r="E21" s="8">
        <f>IFERROR(Calculations!$S19, "")</f>
        <v>6.707617140399285</v>
      </c>
      <c r="F21" s="89"/>
      <c r="G21" s="89"/>
      <c r="H21" s="89"/>
      <c r="I21" s="89"/>
      <c r="J21" s="1" t="str">
        <f>IFERROR(Calculations!AC19, "")</f>
        <v/>
      </c>
      <c r="K21" s="1" t="str">
        <f>IFERROR(Calculations!AD19, "")</f>
        <v/>
      </c>
      <c r="L21" s="8">
        <f>IFERROR(Calculations!AE19,"")</f>
        <v>-82331.898265521158</v>
      </c>
      <c r="M21" s="8">
        <f>IFERROR(Calculations!AF19,"")</f>
        <v>-135306.67311824718</v>
      </c>
      <c r="N21" s="8" t="str">
        <f>IFERROR(Calculations!AG19,"")</f>
        <v/>
      </c>
      <c r="O21" s="8" t="str">
        <f>IFERROR(Calculations!AH19,"")</f>
        <v/>
      </c>
      <c r="P21" s="8" t="str">
        <f>IFERROR(Calculations!AI19,"")</f>
        <v/>
      </c>
      <c r="Q21" s="8" t="str">
        <f>IFERROR(Calculations!AJ19,"")</f>
        <v/>
      </c>
      <c r="R21" s="8" t="str">
        <f>IFERROR(Calculations!AK19,"")</f>
        <v/>
      </c>
      <c r="S21" s="89"/>
      <c r="T21" s="89"/>
      <c r="U21" s="89"/>
      <c r="V21" s="89"/>
      <c r="W21" s="1" t="str">
        <f>IFERROR(Calculations!AP19, "")</f>
        <v/>
      </c>
      <c r="X21" s="1" t="str">
        <f>IFERROR(Calculations!AQ19, "")</f>
        <v/>
      </c>
      <c r="Y21" s="8" t="str">
        <f>IFERROR(Calculations!AR19,"")</f>
        <v/>
      </c>
      <c r="Z21" s="8">
        <f>IFERROR(Calculations!AS19,"")</f>
        <v>0</v>
      </c>
      <c r="AA21" s="8">
        <f>IFERROR(Calculations!AT19,"")</f>
        <v>-155438.77253588333</v>
      </c>
      <c r="AB21" s="8" t="str">
        <f>IFERROR(Calculations!AU19,"")</f>
        <v/>
      </c>
      <c r="AC21" s="8" t="str">
        <f>IFERROR(Calculations!AV19,"")</f>
        <v/>
      </c>
      <c r="AD21" s="8" t="str">
        <f>IFERROR(Calculations!AW19,"")</f>
        <v/>
      </c>
      <c r="AE21" s="8" t="str">
        <f>IFERROR(Calculations!AX19,"")</f>
        <v/>
      </c>
      <c r="AF21" s="8">
        <f>IFERROR(IF(Calculations!AY19 &lt;&gt; 0, Calculations!AY19, ""),"")</f>
        <v>62199.798847885017</v>
      </c>
      <c r="AG21" s="42">
        <f>IFERROR(IF(Calculations!AZ19 &lt;&gt; 0, Calculations!AZ19, ""),"")</f>
        <v>-11.120930691136657</v>
      </c>
      <c r="AH21" s="1">
        <f t="shared" si="1"/>
        <v>5</v>
      </c>
      <c r="AI21" s="1">
        <f t="shared" si="2"/>
        <v>950</v>
      </c>
      <c r="AJ21" s="89"/>
      <c r="AK21" s="89"/>
      <c r="AL21" s="89"/>
      <c r="AM21" s="89"/>
      <c r="AN21" s="8" t="str">
        <f>IFERROR(Calculations!BJ19, "")</f>
        <v/>
      </c>
      <c r="AO21" s="8" t="str">
        <f>IFERROR(Calculations!BK19, "")</f>
        <v/>
      </c>
      <c r="AP21" s="8">
        <f>IFERROR(Calculations!BL19, "")</f>
        <v>29.103930306916354</v>
      </c>
      <c r="AQ21" s="8">
        <f>IFERROR(Calculations!BM19, "")</f>
        <v>72.636261693174333</v>
      </c>
      <c r="AR21" s="8" t="str">
        <f>IFERROR(Calculations!BN19, "")</f>
        <v/>
      </c>
      <c r="AS21" s="8" t="str">
        <f>IFERROR(Calculations!BO19, "")</f>
        <v/>
      </c>
      <c r="AT21" s="8" t="str">
        <f>IFERROR(Calculations!BP19, "")</f>
        <v/>
      </c>
      <c r="AU21" s="8" t="str">
        <f>IFERROR(Calculations!BQ19, "")</f>
        <v/>
      </c>
      <c r="AV21" s="8" t="str">
        <f>IFERROR(Calculations!BR19, "")</f>
        <v/>
      </c>
      <c r="AW21" s="89"/>
      <c r="AX21" s="89"/>
      <c r="AY21" s="89"/>
      <c r="AZ21" s="89"/>
      <c r="BA21" s="8" t="str">
        <f>IFERROR(Calculations!BW19, "")</f>
        <v/>
      </c>
      <c r="BB21" s="8" t="str">
        <f>IFERROR(Calculations!BX19, "")</f>
        <v/>
      </c>
      <c r="BC21" s="8" t="str">
        <f>IFERROR(Calculations!BY19, "")</f>
        <v/>
      </c>
      <c r="BD21" s="8">
        <f>IFERROR(Calculations!BZ19, "")</f>
        <v>0</v>
      </c>
      <c r="BE21" s="8">
        <f>IFERROR(Calculations!CA19, "")</f>
        <v>-32.154498581121992</v>
      </c>
      <c r="BF21" s="8" t="str">
        <f>IFERROR(Calculations!CB19, "")</f>
        <v/>
      </c>
      <c r="BG21" s="8" t="str">
        <f>IFERROR(Calculations!CC19, "")</f>
        <v/>
      </c>
      <c r="BH21" s="8" t="str">
        <f>IFERROR(Calculations!CD19, "")</f>
        <v/>
      </c>
      <c r="BI21" s="8" t="str">
        <f>IFERROR(Calculations!CE19, "")</f>
        <v/>
      </c>
      <c r="BJ21" s="8">
        <f>IFERROR(IF(Calculations!CF19 &lt;&gt; 0, Calculations!CF19, ""),"")</f>
        <v>-133.89469058121267</v>
      </c>
      <c r="BK21" s="1">
        <f t="shared" si="3"/>
        <v>950</v>
      </c>
      <c r="BL21" s="1">
        <f t="shared" si="4"/>
        <v>5</v>
      </c>
      <c r="CC21" s="1">
        <f t="shared" si="5"/>
        <v>950</v>
      </c>
      <c r="CD21" s="8">
        <f t="array" ref="CD21">IFERROR(INDEX(CHOOSE($BO$11,$AF$8:$AF$207,$AG$8:$AG$207,$BJ$8:$BJ$207), MATCH(CD$7&amp;$CC21, $B$8:$B$207&amp;$C$8:$C$207, 0)), "")</f>
        <v>-11.120930691136657</v>
      </c>
      <c r="CE21" s="8">
        <f t="array" ref="CE21">IFERROR(INDEX(CHOOSE($BO$11,$AF$8:$AF$207,$AG$8:$AG$207,$BJ$8:$BJ$207), MATCH(CE$7&amp;$CC21, $B$8:$B$207&amp;$C$8:$C$207, 0)), "")</f>
        <v>-8.9231867560765448</v>
      </c>
      <c r="CF21" s="8">
        <f t="array" ref="CF21">IFERROR(INDEX(CHOOSE($BO$11,$AF$8:$AF$207,$AG$8:$AG$207,$BJ$8:$BJ$207), MATCH(CF$7&amp;$CC21, $B$8:$B$207&amp;$C$8:$C$207, 0)), "")</f>
        <v>-7.9088029688510311</v>
      </c>
      <c r="CG21" s="8">
        <f t="array" ref="CG21">IFERROR(INDEX(CHOOSE($BO$11,$AF$8:$AF$207,$AG$8:$AG$207,$BJ$8:$BJ$207), MATCH(CG$7&amp;$CC21, $B$8:$B$207&amp;$C$8:$C$207, 0)), "")</f>
        <v>-7.2162749145888601</v>
      </c>
      <c r="CH21" s="8">
        <f t="array" ref="CH21">IFERROR(INDEX(CHOOSE($BO$11,$AF$8:$AF$207,$AG$8:$AG$207,$BJ$8:$BJ$207), MATCH(CH$7&amp;$CC21, $B$8:$B$207&amp;$C$8:$C$207, 0)), "")</f>
        <v>-6.6682961318484919</v>
      </c>
      <c r="CI21" s="8">
        <f t="array" ref="CI21">IFERROR(INDEX(CHOOSE($BO$11,$AF$8:$AF$207,$AG$8:$AG$207,$BJ$8:$BJ$207), MATCH(CI$7&amp;$CC21, $B$8:$B$207&amp;$C$8:$C$207, 0)), "")</f>
        <v>-6.2050080603282485</v>
      </c>
      <c r="CJ21" s="8">
        <f t="array" ref="CJ21">IFERROR(INDEX(CHOOSE($BO$11,$AF$8:$AF$207,$AG$8:$AG$207,$BJ$8:$BJ$207), MATCH(CJ$7&amp;$CC21, $B$8:$B$207&amp;$C$8:$C$207, 0)), "")</f>
        <v>-5.7950108525188773</v>
      </c>
      <c r="CK21" s="8">
        <f t="array" ref="CK21">IFERROR(INDEX(CHOOSE($BO$11,$AF$8:$AF$207,$AG$8:$AG$207,$BJ$8:$BJ$207), MATCH(CK$7&amp;$CC21, $B$8:$B$207&amp;$C$8:$C$207, 0)), "")</f>
        <v>-5.4246195850745487</v>
      </c>
      <c r="CL21" s="8">
        <f t="array" ref="CL21">IFERROR(INDEX(CHOOSE($BO$11,$AF$8:$AF$207,$AG$8:$AG$207,$BJ$8:$BJ$207), MATCH(CL$7&amp;$CC21, $B$8:$B$207&amp;$C$8:$C$207, 0)), "")</f>
        <v>-5.0832929842459453</v>
      </c>
      <c r="CM21" s="8">
        <f t="array" ref="CM21">IFERROR(INDEX(CHOOSE($BO$11,$AF$8:$AF$207,$AG$8:$AG$207,$BJ$8:$BJ$207), MATCH(CM$7&amp;$CC21, $B$8:$B$207&amp;$C$8:$C$207, 0)), "")</f>
        <v>-4.7601141657510313</v>
      </c>
      <c r="CN21" s="8">
        <f t="array" ref="CN21">IFERROR(INDEX(CHOOSE($BO$11,$AF$8:$AF$207,$AG$8:$AG$207,$BJ$8:$BJ$207), MATCH(CN$7&amp;$CC21, $B$8:$B$207&amp;$C$8:$C$207, 0)), "")</f>
        <v>-4.459749567546182</v>
      </c>
      <c r="CO21" s="8">
        <f t="array" ref="CO21">IFERROR(INDEX(CHOOSE($BO$11,$AF$8:$AF$207,$AG$8:$AG$207,$BJ$8:$BJ$207), MATCH(CO$7&amp;$CC21, $B$8:$B$207&amp;$C$8:$C$207, 0)), "")</f>
        <v>-4.1670016383166288</v>
      </c>
      <c r="CP21" s="8" t="str">
        <f t="array" ref="CP21">IFERROR(INDEX(CHOOSE($BO$11,$AF$8:$AF$207,$AG$8:$AG$207,$BJ$8:$BJ$207), MATCH(CP$7&amp;$CC21, $B$8:$B$207&amp;$C$8:$C$207, 0)), "")</f>
        <v/>
      </c>
      <c r="CQ21" s="8" t="str">
        <f t="array" ref="CQ21">IFERROR(INDEX(CHOOSE($BO$11,$AF$8:$AF$207,$AG$8:$AG$207,$BJ$8:$BJ$207), MATCH(CQ$7&amp;$CC21, $B$8:$B$207&amp;$C$8:$C$207, 0)), "")</f>
        <v/>
      </c>
      <c r="CR21" s="8" t="str">
        <f t="array" ref="CR21">IFERROR(INDEX(CHOOSE($BO$11,$AF$8:$AF$207,$AG$8:$AG$207,$BJ$8:$BJ$207), MATCH(CR$7&amp;$CC21, $B$8:$B$207&amp;$C$8:$C$207, 0)), "")</f>
        <v/>
      </c>
      <c r="CS21" s="8" t="str">
        <f t="array" ref="CS21">IFERROR(INDEX(CHOOSE($BO$11,$AF$8:$AF$207,$AG$8:$AG$207,$BJ$8:$BJ$207), MATCH(CS$7&amp;$CC21, $B$8:$B$207&amp;$C$8:$C$207, 0)), "")</f>
        <v/>
      </c>
      <c r="CT21" s="8" t="str">
        <f t="array" ref="CT21">IFERROR(INDEX(CHOOSE($BO$11,$AF$8:$AF$207,$AG$8:$AG$207,$BJ$8:$BJ$207), MATCH(CT$7&amp;$CC21, $B$8:$B$207&amp;$C$8:$C$207, 0)), "")</f>
        <v/>
      </c>
      <c r="CU21" s="8" t="str">
        <f t="array" ref="CU21">IFERROR(INDEX(CHOOSE($BO$11,$AF$8:$AF$207,$AG$8:$AG$207,$BJ$8:$BJ$207), MATCH(CU$7&amp;$CC21, $B$8:$B$207&amp;$C$8:$C$207, 0)), "")</f>
        <v/>
      </c>
      <c r="CV21" s="8" t="str">
        <f t="array" ref="CV21">IFERROR(INDEX(CHOOSE($BO$11,$AF$8:$AF$207,$AG$8:$AG$207,$BJ$8:$BJ$207), MATCH(CV$7&amp;$CC21, $B$8:$B$207&amp;$C$8:$C$207, 0)), "")</f>
        <v/>
      </c>
      <c r="CW21" s="8" t="str">
        <f t="array" ref="CW21">IFERROR(INDEX(CHOOSE($BO$11,$AF$8:$AF$207,$AG$8:$AG$207,$BJ$8:$BJ$207), MATCH(CW$7&amp;$CC21, $B$8:$B$207&amp;$C$8:$C$207, 0)), "")</f>
        <v/>
      </c>
      <c r="CX21" s="8" t="str">
        <f t="array" ref="CX21">IFERROR(INDEX(CHOOSE($BO$11,$AF$8:$AF$207,$AG$8:$AG$207,$BJ$8:$BJ$207), MATCH(CX$7&amp;$CC21, $B$8:$B$207&amp;$C$8:$C$207, 0)), "")</f>
        <v/>
      </c>
      <c r="CY21" s="8" t="str">
        <f t="array" ref="CY21">IFERROR(INDEX(CHOOSE($BO$11,$AF$8:$AF$207,$AG$8:$AG$207,$BJ$8:$BJ$207), MATCH(CY$7&amp;$CC21, $B$8:$B$207&amp;$C$8:$C$207, 0)), "")</f>
        <v/>
      </c>
      <c r="CZ21" s="8" t="str">
        <f t="array" ref="CZ21">IFERROR(INDEX(CHOOSE($BO$11,$AF$8:$AF$207,$AG$8:$AG$207,$BJ$8:$BJ$207), MATCH(CZ$7&amp;$CC21, $B$8:$B$207&amp;$C$8:$C$207, 0)), "")</f>
        <v/>
      </c>
      <c r="DA21" s="8" t="str">
        <f t="array" ref="DA21">IFERROR(INDEX(CHOOSE($BO$11,$AF$8:$AF$207,$AG$8:$AG$207,$BJ$8:$BJ$207), MATCH(DA$7&amp;$CC21, $B$8:$B$207&amp;$C$8:$C$207, 0)), "")</f>
        <v/>
      </c>
      <c r="DB21" s="8" t="str">
        <f t="array" ref="DB21">IFERROR(INDEX(CHOOSE($BO$11,$AF$8:$AF$207,$AG$8:$AG$207,$BJ$8:$BJ$207), MATCH(DB$7&amp;$CC21, $B$8:$B$207&amp;$C$8:$C$207, 0)), "")</f>
        <v/>
      </c>
      <c r="DC21" s="8" t="str">
        <f t="array" ref="DC21">IFERROR(INDEX(CHOOSE($BO$11,$AF$8:$AF$207,$AG$8:$AG$207,$BJ$8:$BJ$207), MATCH(DC$7&amp;$CC21, $B$8:$B$207&amp;$C$8:$C$207, 0)), "")</f>
        <v/>
      </c>
      <c r="DD21" s="8" t="str">
        <f t="array" ref="DD21">IFERROR(INDEX(CHOOSE($BO$11,$AF$8:$AF$207,$AG$8:$AG$207,$BJ$8:$BJ$207), MATCH(DD$7&amp;$CC21, $B$8:$B$207&amp;$C$8:$C$207, 0)), "")</f>
        <v/>
      </c>
      <c r="DE21" s="8" t="str">
        <f t="array" ref="DE21">IFERROR(INDEX(CHOOSE($BO$11,$AF$8:$AF$207,$AG$8:$AG$207,$BJ$8:$BJ$207), MATCH(DE$7&amp;$CC21, $B$8:$B$207&amp;$C$8:$C$207, 0)), "")</f>
        <v/>
      </c>
      <c r="DF21" s="8" t="str">
        <f t="array" ref="DF21">IFERROR(INDEX(CHOOSE($BO$11,$AF$8:$AF$207,$AG$8:$AG$207,$BJ$8:$BJ$207), MATCH(DF$7&amp;$CC21, $B$8:$B$207&amp;$C$8:$C$207, 0)), "")</f>
        <v/>
      </c>
      <c r="DG21" s="8" t="str">
        <f t="array" ref="DG21">IFERROR(INDEX(CHOOSE($BO$11,$AF$8:$AF$207,$AG$8:$AG$207,$BJ$8:$BJ$207), MATCH(DG$7&amp;$CC21, $B$8:$B$207&amp;$C$8:$C$207, 0)), "")</f>
        <v/>
      </c>
      <c r="DH21" s="8"/>
      <c r="DI21" s="8"/>
      <c r="DJ21" s="8"/>
      <c r="DK21" s="8"/>
      <c r="DL21" s="8"/>
      <c r="DM21" s="8"/>
      <c r="DN21" s="8"/>
      <c r="DO21" s="8"/>
      <c r="DP21" s="8"/>
      <c r="DQ21" s="8"/>
      <c r="DR21" s="8"/>
      <c r="DS21" s="8"/>
      <c r="DT21" s="8"/>
      <c r="DU21" s="8"/>
      <c r="DV21" s="8"/>
      <c r="DW21" s="8"/>
      <c r="DX21" s="8"/>
      <c r="DY21" s="8"/>
      <c r="DZ21" s="8"/>
      <c r="EA21" s="8"/>
    </row>
    <row r="22" spans="2:131" x14ac:dyDescent="0.2">
      <c r="B22" s="1">
        <f>IFERROR(Calculations!M20/1000, "")</f>
        <v>5</v>
      </c>
      <c r="C22" s="1">
        <f>Calculations!N20</f>
        <v>1000</v>
      </c>
      <c r="D22" s="58">
        <f>IFERROR(Calculations!$Q20,"")</f>
        <v>0.59762285154342643</v>
      </c>
      <c r="E22" s="8">
        <f>IFERROR(Calculations!$S20, "")</f>
        <v>6.1046493061137701</v>
      </c>
      <c r="F22" s="89"/>
      <c r="G22" s="89"/>
      <c r="H22" s="89"/>
      <c r="I22" s="89"/>
      <c r="J22" s="1" t="str">
        <f>IFERROR(Calculations!AC20, "")</f>
        <v/>
      </c>
      <c r="K22" s="1" t="str">
        <f>IFERROR(Calculations!AD20, "")</f>
        <v/>
      </c>
      <c r="L22" s="8">
        <f>IFERROR(Calculations!AE20,"")</f>
        <v>-84262.028821197993</v>
      </c>
      <c r="M22" s="8">
        <f>IFERROR(Calculations!AF20,"")</f>
        <v>-138671.81963938457</v>
      </c>
      <c r="N22" s="8" t="str">
        <f>IFERROR(Calculations!AG20,"")</f>
        <v/>
      </c>
      <c r="O22" s="8" t="str">
        <f>IFERROR(Calculations!AH20,"")</f>
        <v/>
      </c>
      <c r="P22" s="8" t="str">
        <f>IFERROR(Calculations!AI20,"")</f>
        <v/>
      </c>
      <c r="Q22" s="8" t="str">
        <f>IFERROR(Calculations!AJ20,"")</f>
        <v/>
      </c>
      <c r="R22" s="8" t="str">
        <f>IFERROR(Calculations!AK20,"")</f>
        <v/>
      </c>
      <c r="S22" s="89"/>
      <c r="T22" s="89"/>
      <c r="U22" s="89"/>
      <c r="V22" s="89"/>
      <c r="W22" s="1" t="str">
        <f>IFERROR(Calculations!AP20, "")</f>
        <v/>
      </c>
      <c r="X22" s="1" t="str">
        <f>IFERROR(Calculations!AQ20, "")</f>
        <v/>
      </c>
      <c r="Y22" s="8" t="str">
        <f>IFERROR(Calculations!AR20,"")</f>
        <v/>
      </c>
      <c r="Z22" s="8">
        <f>IFERROR(Calculations!AS20,"")</f>
        <v>0</v>
      </c>
      <c r="AA22" s="8">
        <f>IFERROR(Calculations!AT20,"")</f>
        <v>-155820.39587809457</v>
      </c>
      <c r="AB22" s="8" t="str">
        <f>IFERROR(Calculations!AU20,"")</f>
        <v/>
      </c>
      <c r="AC22" s="8" t="str">
        <f>IFERROR(Calculations!AV20,"")</f>
        <v/>
      </c>
      <c r="AD22" s="8" t="str">
        <f>IFERROR(Calculations!AW20,"")</f>
        <v/>
      </c>
      <c r="AE22" s="8" t="str">
        <f>IFERROR(Calculations!AX20,"")</f>
        <v/>
      </c>
      <c r="AF22" s="8">
        <f>IFERROR(IF(Calculations!AY20 &lt;&gt; 0, Calculations!AY20, ""),"")</f>
        <v>67113.452582487982</v>
      </c>
      <c r="AG22" s="42">
        <f>IFERROR(IF(Calculations!AZ20 &lt;&gt; 0, Calculations!AZ20, ""),"")</f>
        <v>-11.528210035511357</v>
      </c>
      <c r="AH22" s="1">
        <f t="shared" si="1"/>
        <v>5</v>
      </c>
      <c r="AI22" s="1">
        <f t="shared" si="2"/>
        <v>1000</v>
      </c>
      <c r="AJ22" s="89"/>
      <c r="AK22" s="89"/>
      <c r="AL22" s="89"/>
      <c r="AM22" s="89"/>
      <c r="AN22" s="8" t="str">
        <f>IFERROR(Calculations!BJ20, "")</f>
        <v/>
      </c>
      <c r="AO22" s="8" t="str">
        <f>IFERROR(Calculations!BK20, "")</f>
        <v/>
      </c>
      <c r="AP22" s="8">
        <f>IFERROR(Calculations!BL20, "")</f>
        <v>30.144898163571838</v>
      </c>
      <c r="AQ22" s="8">
        <f>IFERROR(Calculations!BM20, "")</f>
        <v>78.932204368675229</v>
      </c>
      <c r="AR22" s="8" t="str">
        <f>IFERROR(Calculations!BN20, "")</f>
        <v/>
      </c>
      <c r="AS22" s="8" t="str">
        <f>IFERROR(Calculations!BO20, "")</f>
        <v/>
      </c>
      <c r="AT22" s="8" t="str">
        <f>IFERROR(Calculations!BP20, "")</f>
        <v/>
      </c>
      <c r="AU22" s="8" t="str">
        <f>IFERROR(Calculations!BQ20, "")</f>
        <v/>
      </c>
      <c r="AV22" s="8" t="str">
        <f>IFERROR(Calculations!BR20, "")</f>
        <v/>
      </c>
      <c r="AW22" s="89"/>
      <c r="AX22" s="89"/>
      <c r="AY22" s="89"/>
      <c r="AZ22" s="89"/>
      <c r="BA22" s="8" t="str">
        <f>IFERROR(Calculations!BW20, "")</f>
        <v/>
      </c>
      <c r="BB22" s="8" t="str">
        <f>IFERROR(Calculations!BX20, "")</f>
        <v/>
      </c>
      <c r="BC22" s="8" t="str">
        <f>IFERROR(Calculations!BY20, "")</f>
        <v/>
      </c>
      <c r="BD22" s="8">
        <f>IFERROR(Calculations!BZ20, "")</f>
        <v>0</v>
      </c>
      <c r="BE22" s="8">
        <f>IFERROR(Calculations!CA20, "")</f>
        <v>-42.322287501366247</v>
      </c>
      <c r="BF22" s="8" t="str">
        <f>IFERROR(Calculations!CB20, "")</f>
        <v/>
      </c>
      <c r="BG22" s="8" t="str">
        <f>IFERROR(Calculations!CC20, "")</f>
        <v/>
      </c>
      <c r="BH22" s="8" t="str">
        <f>IFERROR(Calculations!CD20, "")</f>
        <v/>
      </c>
      <c r="BI22" s="8" t="str">
        <f>IFERROR(Calculations!CE20, "")</f>
        <v/>
      </c>
      <c r="BJ22" s="8">
        <f>IFERROR(IF(Calculations!CF20 &lt;&gt; 0, Calculations!CF20, ""),"")</f>
        <v>-151.39939003361332</v>
      </c>
      <c r="BK22" s="1">
        <f t="shared" si="3"/>
        <v>1000</v>
      </c>
      <c r="BL22" s="1">
        <f t="shared" si="4"/>
        <v>5</v>
      </c>
      <c r="CC22" s="1">
        <f t="shared" si="5"/>
        <v>1000</v>
      </c>
      <c r="CD22" s="8">
        <f t="array" ref="CD22">IFERROR(INDEX(CHOOSE($BO$11,$AF$8:$AF$207,$AG$8:$AG$207,$BJ$8:$BJ$207), MATCH(CD$7&amp;$CC22, $B$8:$B$207&amp;$C$8:$C$207, 0)), "")</f>
        <v>-11.528210035511357</v>
      </c>
      <c r="CE22" s="8">
        <f t="array" ref="CE22">IFERROR(INDEX(CHOOSE($BO$11,$AF$8:$AF$207,$AG$8:$AG$207,$BJ$8:$BJ$207), MATCH(CE$7&amp;$CC22, $B$8:$B$207&amp;$C$8:$C$207, 0)), "")</f>
        <v>-9.1952165283395288</v>
      </c>
      <c r="CF22" s="8">
        <f t="array" ref="CF22">IFERROR(INDEX(CHOOSE($BO$11,$AF$8:$AF$207,$AG$8:$AG$207,$BJ$8:$BJ$207), MATCH(CF$7&amp;$CC22, $B$8:$B$207&amp;$C$8:$C$207, 0)), "")</f>
        <v>-8.1496577478127357</v>
      </c>
      <c r="CG22" s="8">
        <f t="array" ref="CG22">IFERROR(INDEX(CHOOSE($BO$11,$AF$8:$AF$207,$AG$8:$AG$207,$BJ$8:$BJ$207), MATCH(CG$7&amp;$CC22, $B$8:$B$207&amp;$C$8:$C$207, 0)), "")</f>
        <v>-7.44354657757067</v>
      </c>
      <c r="CH22" s="8">
        <f t="array" ref="CH22">IFERROR(INDEX(CHOOSE($BO$11,$AF$8:$AF$207,$AG$8:$AG$207,$BJ$8:$BJ$207), MATCH(CH$7&amp;$CC22, $B$8:$B$207&amp;$C$8:$C$207, 0)), "")</f>
        <v>-6.8920208971295454</v>
      </c>
      <c r="CI22" s="8">
        <f t="array" ref="CI22">IFERROR(INDEX(CHOOSE($BO$11,$AF$8:$AF$207,$AG$8:$AG$207,$BJ$8:$BJ$207), MATCH(CI$7&amp;$CC22, $B$8:$B$207&amp;$C$8:$C$207, 0)), "")</f>
        <v>-6.4291188194820572</v>
      </c>
      <c r="CJ22" s="8">
        <f t="array" ref="CJ22">IFERROR(INDEX(CHOOSE($BO$11,$AF$8:$AF$207,$AG$8:$AG$207,$BJ$8:$BJ$207), MATCH(CJ$7&amp;$CC22, $B$8:$B$207&amp;$C$8:$C$207, 0)), "")</f>
        <v>-6.018340045219456</v>
      </c>
      <c r="CK22" s="8">
        <f t="array" ref="CK22">IFERROR(INDEX(CHOOSE($BO$11,$AF$8:$AF$207,$AG$8:$AG$207,$BJ$8:$BJ$207), MATCH(CK$7&amp;$CC22, $B$8:$B$207&amp;$C$8:$C$207, 0)), "")</f>
        <v>-5.6523881265314859</v>
      </c>
      <c r="CL22" s="8">
        <f t="array" ref="CL22">IFERROR(INDEX(CHOOSE($BO$11,$AF$8:$AF$207,$AG$8:$AG$207,$BJ$8:$BJ$207), MATCH(CL$7&amp;$CC22, $B$8:$B$207&amp;$C$8:$C$207, 0)), "")</f>
        <v>-5.3150355904558229</v>
      </c>
      <c r="CM22" s="8">
        <f t="array" ref="CM22">IFERROR(INDEX(CHOOSE($BO$11,$AF$8:$AF$207,$AG$8:$AG$207,$BJ$8:$BJ$207), MATCH(CM$7&amp;$CC22, $B$8:$B$207&amp;$C$8:$C$207, 0)), "")</f>
        <v>-4.9967051681877805</v>
      </c>
      <c r="CN22" s="8">
        <f t="array" ref="CN22">IFERROR(INDEX(CHOOSE($BO$11,$AF$8:$AF$207,$AG$8:$AG$207,$BJ$8:$BJ$207), MATCH(CN$7&amp;$CC22, $B$8:$B$207&amp;$C$8:$C$207, 0)), "")</f>
        <v>-4.6994436739822047</v>
      </c>
      <c r="CO22" s="8">
        <f t="array" ref="CO22">IFERROR(INDEX(CHOOSE($BO$11,$AF$8:$AF$207,$AG$8:$AG$207,$BJ$8:$BJ$207), MATCH(CO$7&amp;$CC22, $B$8:$B$207&amp;$C$8:$C$207, 0)), "")</f>
        <v>-4.4157422990027335</v>
      </c>
      <c r="CP22" s="8" t="str">
        <f t="array" ref="CP22">IFERROR(INDEX(CHOOSE($BO$11,$AF$8:$AF$207,$AG$8:$AG$207,$BJ$8:$BJ$207), MATCH(CP$7&amp;$CC22, $B$8:$B$207&amp;$C$8:$C$207, 0)), "")</f>
        <v/>
      </c>
      <c r="CQ22" s="8" t="str">
        <f t="array" ref="CQ22">IFERROR(INDEX(CHOOSE($BO$11,$AF$8:$AF$207,$AG$8:$AG$207,$BJ$8:$BJ$207), MATCH(CQ$7&amp;$CC22, $B$8:$B$207&amp;$C$8:$C$207, 0)), "")</f>
        <v/>
      </c>
      <c r="CR22" s="8" t="str">
        <f t="array" ref="CR22">IFERROR(INDEX(CHOOSE($BO$11,$AF$8:$AF$207,$AG$8:$AG$207,$BJ$8:$BJ$207), MATCH(CR$7&amp;$CC22, $B$8:$B$207&amp;$C$8:$C$207, 0)), "")</f>
        <v/>
      </c>
      <c r="CS22" s="8" t="str">
        <f t="array" ref="CS22">IFERROR(INDEX(CHOOSE($BO$11,$AF$8:$AF$207,$AG$8:$AG$207,$BJ$8:$BJ$207), MATCH(CS$7&amp;$CC22, $B$8:$B$207&amp;$C$8:$C$207, 0)), "")</f>
        <v/>
      </c>
      <c r="CT22" s="8" t="str">
        <f t="array" ref="CT22">IFERROR(INDEX(CHOOSE($BO$11,$AF$8:$AF$207,$AG$8:$AG$207,$BJ$8:$BJ$207), MATCH(CT$7&amp;$CC22, $B$8:$B$207&amp;$C$8:$C$207, 0)), "")</f>
        <v/>
      </c>
      <c r="CU22" s="8" t="str">
        <f t="array" ref="CU22">IFERROR(INDEX(CHOOSE($BO$11,$AF$8:$AF$207,$AG$8:$AG$207,$BJ$8:$BJ$207), MATCH(CU$7&amp;$CC22, $B$8:$B$207&amp;$C$8:$C$207, 0)), "")</f>
        <v/>
      </c>
      <c r="CV22" s="8" t="str">
        <f t="array" ref="CV22">IFERROR(INDEX(CHOOSE($BO$11,$AF$8:$AF$207,$AG$8:$AG$207,$BJ$8:$BJ$207), MATCH(CV$7&amp;$CC22, $B$8:$B$207&amp;$C$8:$C$207, 0)), "")</f>
        <v/>
      </c>
      <c r="CW22" s="8" t="str">
        <f t="array" ref="CW22">IFERROR(INDEX(CHOOSE($BO$11,$AF$8:$AF$207,$AG$8:$AG$207,$BJ$8:$BJ$207), MATCH(CW$7&amp;$CC22, $B$8:$B$207&amp;$C$8:$C$207, 0)), "")</f>
        <v/>
      </c>
      <c r="CX22" s="8" t="str">
        <f t="array" ref="CX22">IFERROR(INDEX(CHOOSE($BO$11,$AF$8:$AF$207,$AG$8:$AG$207,$BJ$8:$BJ$207), MATCH(CX$7&amp;$CC22, $B$8:$B$207&amp;$C$8:$C$207, 0)), "")</f>
        <v/>
      </c>
      <c r="CY22" s="8" t="str">
        <f t="array" ref="CY22">IFERROR(INDEX(CHOOSE($BO$11,$AF$8:$AF$207,$AG$8:$AG$207,$BJ$8:$BJ$207), MATCH(CY$7&amp;$CC22, $B$8:$B$207&amp;$C$8:$C$207, 0)), "")</f>
        <v/>
      </c>
      <c r="CZ22" s="8" t="str">
        <f t="array" ref="CZ22">IFERROR(INDEX(CHOOSE($BO$11,$AF$8:$AF$207,$AG$8:$AG$207,$BJ$8:$BJ$207), MATCH(CZ$7&amp;$CC22, $B$8:$B$207&amp;$C$8:$C$207, 0)), "")</f>
        <v/>
      </c>
      <c r="DA22" s="8" t="str">
        <f t="array" ref="DA22">IFERROR(INDEX(CHOOSE($BO$11,$AF$8:$AF$207,$AG$8:$AG$207,$BJ$8:$BJ$207), MATCH(DA$7&amp;$CC22, $B$8:$B$207&amp;$C$8:$C$207, 0)), "")</f>
        <v/>
      </c>
      <c r="DB22" s="8" t="str">
        <f t="array" ref="DB22">IFERROR(INDEX(CHOOSE($BO$11,$AF$8:$AF$207,$AG$8:$AG$207,$BJ$8:$BJ$207), MATCH(DB$7&amp;$CC22, $B$8:$B$207&amp;$C$8:$C$207, 0)), "")</f>
        <v/>
      </c>
      <c r="DC22" s="8" t="str">
        <f t="array" ref="DC22">IFERROR(INDEX(CHOOSE($BO$11,$AF$8:$AF$207,$AG$8:$AG$207,$BJ$8:$BJ$207), MATCH(DC$7&amp;$CC22, $B$8:$B$207&amp;$C$8:$C$207, 0)), "")</f>
        <v/>
      </c>
      <c r="DD22" s="8" t="str">
        <f t="array" ref="DD22">IFERROR(INDEX(CHOOSE($BO$11,$AF$8:$AF$207,$AG$8:$AG$207,$BJ$8:$BJ$207), MATCH(DD$7&amp;$CC22, $B$8:$B$207&amp;$C$8:$C$207, 0)), "")</f>
        <v/>
      </c>
      <c r="DE22" s="8" t="str">
        <f t="array" ref="DE22">IFERROR(INDEX(CHOOSE($BO$11,$AF$8:$AF$207,$AG$8:$AG$207,$BJ$8:$BJ$207), MATCH(DE$7&amp;$CC22, $B$8:$B$207&amp;$C$8:$C$207, 0)), "")</f>
        <v/>
      </c>
      <c r="DF22" s="8" t="str">
        <f t="array" ref="DF22">IFERROR(INDEX(CHOOSE($BO$11,$AF$8:$AF$207,$AG$8:$AG$207,$BJ$8:$BJ$207), MATCH(DF$7&amp;$CC22, $B$8:$B$207&amp;$C$8:$C$207, 0)), "")</f>
        <v/>
      </c>
      <c r="DG22" s="8" t="str">
        <f t="array" ref="DG22">IFERROR(INDEX(CHOOSE($BO$11,$AF$8:$AF$207,$AG$8:$AG$207,$BJ$8:$BJ$207), MATCH(DG$7&amp;$CC22, $B$8:$B$207&amp;$C$8:$C$207, 0)), "")</f>
        <v/>
      </c>
      <c r="DH22" s="8"/>
      <c r="DI22" s="8"/>
      <c r="DJ22" s="8"/>
      <c r="DK22" s="8"/>
      <c r="DL22" s="8"/>
      <c r="DM22" s="8"/>
      <c r="DN22" s="8"/>
      <c r="DO22" s="8"/>
      <c r="DP22" s="8"/>
      <c r="DQ22" s="8"/>
      <c r="DR22" s="8"/>
      <c r="DS22" s="8"/>
      <c r="DT22" s="8"/>
      <c r="DU22" s="8"/>
      <c r="DV22" s="8"/>
      <c r="DW22" s="8"/>
      <c r="DX22" s="8"/>
      <c r="DY22" s="8"/>
      <c r="DZ22" s="8"/>
      <c r="EA22" s="8"/>
    </row>
    <row r="23" spans="2:131" x14ac:dyDescent="0.2">
      <c r="B23" s="1">
        <f>IFERROR(Calculations!M21/1000, "")</f>
        <v>10</v>
      </c>
      <c r="C23" s="1">
        <f>Calculations!N21</f>
        <v>300</v>
      </c>
      <c r="D23" s="58">
        <f>IFERROR(Calculations!$Q21,"")</f>
        <v>1.1026655896842479</v>
      </c>
      <c r="E23" s="8">
        <f>IFERROR(Calculations!$S21, "")</f>
        <v>39.510269371393598</v>
      </c>
      <c r="F23" s="89"/>
      <c r="G23" s="89"/>
      <c r="H23" s="89"/>
      <c r="I23" s="89"/>
      <c r="J23" s="1" t="str">
        <f>IFERROR(Calculations!AC21, "")</f>
        <v/>
      </c>
      <c r="K23" s="1" t="str">
        <f>IFERROR(Calculations!AD21, "")</f>
        <v/>
      </c>
      <c r="L23" s="8">
        <f>IFERROR(Calculations!AE21,"")</f>
        <v>-58626.206579624632</v>
      </c>
      <c r="M23" s="8">
        <f>IFERROR(Calculations!AF21,"")</f>
        <v>-95384.731117360672</v>
      </c>
      <c r="N23" s="8" t="str">
        <f>IFERROR(Calculations!AG21,"")</f>
        <v/>
      </c>
      <c r="O23" s="8" t="str">
        <f>IFERROR(Calculations!AH21,"")</f>
        <v/>
      </c>
      <c r="P23" s="8" t="str">
        <f>IFERROR(Calculations!AI21,"")</f>
        <v/>
      </c>
      <c r="Q23" s="8" t="str">
        <f>IFERROR(Calculations!AJ21,"")</f>
        <v/>
      </c>
      <c r="R23" s="8" t="str">
        <f>IFERROR(Calculations!AK21,"")</f>
        <v/>
      </c>
      <c r="S23" s="89"/>
      <c r="T23" s="89"/>
      <c r="U23" s="89"/>
      <c r="V23" s="89"/>
      <c r="W23" s="1" t="str">
        <f>IFERROR(Calculations!AP21, "")</f>
        <v/>
      </c>
      <c r="X23" s="1" t="str">
        <f>IFERROR(Calculations!AQ21, "")</f>
        <v/>
      </c>
      <c r="Y23" s="8" t="str">
        <f>IFERROR(Calculations!AR21,"")</f>
        <v/>
      </c>
      <c r="Z23" s="8">
        <f>IFERROR(Calculations!AS21,"")</f>
        <v>0</v>
      </c>
      <c r="AA23" s="8">
        <f>IFERROR(Calculations!AT21,"")</f>
        <v>-140336.07111091659</v>
      </c>
      <c r="AB23" s="8" t="str">
        <f>IFERROR(Calculations!AU21,"")</f>
        <v/>
      </c>
      <c r="AC23" s="8" t="str">
        <f>IFERROR(Calculations!AV21,"")</f>
        <v/>
      </c>
      <c r="AD23" s="8" t="str">
        <f>IFERROR(Calculations!AW21,"")</f>
        <v/>
      </c>
      <c r="AE23" s="8" t="str">
        <f>IFERROR(Calculations!AX21,"")</f>
        <v/>
      </c>
      <c r="AF23" s="8">
        <f>IFERROR(IF(Calculations!AY21 &lt;&gt; 0, Calculations!AY21, ""),"")</f>
        <v>13674.866586068732</v>
      </c>
      <c r="AG23" s="42">
        <f>IFERROR(IF(Calculations!AZ21 &lt;&gt; 0, Calculations!AZ21, ""),"")</f>
        <v>-5.2177909455999387</v>
      </c>
      <c r="AH23" s="1">
        <f t="shared" si="1"/>
        <v>10</v>
      </c>
      <c r="AI23" s="1">
        <f t="shared" si="2"/>
        <v>300</v>
      </c>
      <c r="AJ23" s="89"/>
      <c r="AK23" s="89"/>
      <c r="AL23" s="89"/>
      <c r="AM23" s="89"/>
      <c r="AN23" s="8" t="str">
        <f>IFERROR(Calculations!BJ21, "")</f>
        <v/>
      </c>
      <c r="AO23" s="8" t="str">
        <f>IFERROR(Calculations!BK21, "")</f>
        <v/>
      </c>
      <c r="AP23" s="8">
        <f>IFERROR(Calculations!BL21, "")</f>
        <v>16.337936150849451</v>
      </c>
      <c r="AQ23" s="8">
        <f>IFERROR(Calculations!BM21, "")</f>
        <v>31.510467091483982</v>
      </c>
      <c r="AR23" s="8" t="str">
        <f>IFERROR(Calculations!BN21, "")</f>
        <v/>
      </c>
      <c r="AS23" s="8" t="str">
        <f>IFERROR(Calculations!BO21, "")</f>
        <v/>
      </c>
      <c r="AT23" s="8" t="str">
        <f>IFERROR(Calculations!BP21, "")</f>
        <v/>
      </c>
      <c r="AU23" s="8" t="str">
        <f>IFERROR(Calculations!BQ21, "")</f>
        <v/>
      </c>
      <c r="AV23" s="8" t="str">
        <f>IFERROR(Calculations!BR21, "")</f>
        <v/>
      </c>
      <c r="AW23" s="89"/>
      <c r="AX23" s="89"/>
      <c r="AY23" s="89"/>
      <c r="AZ23" s="89"/>
      <c r="BA23" s="8" t="str">
        <f>IFERROR(Calculations!BW21, "")</f>
        <v/>
      </c>
      <c r="BB23" s="8" t="str">
        <f>IFERROR(Calculations!BX21, "")</f>
        <v/>
      </c>
      <c r="BC23" s="8" t="str">
        <f>IFERROR(Calculations!BY21, "")</f>
        <v/>
      </c>
      <c r="BD23" s="8">
        <f>IFERROR(Calculations!BZ21, "")</f>
        <v>0</v>
      </c>
      <c r="BE23" s="8">
        <f>IFERROR(Calculations!CA21, "")</f>
        <v>29.684196181498525</v>
      </c>
      <c r="BF23" s="8" t="str">
        <f>IFERROR(Calculations!CB21, "")</f>
        <v/>
      </c>
      <c r="BG23" s="8" t="str">
        <f>IFERROR(Calculations!CC21, "")</f>
        <v/>
      </c>
      <c r="BH23" s="8" t="str">
        <f>IFERROR(Calculations!CD21, "")</f>
        <v/>
      </c>
      <c r="BI23" s="8" t="str">
        <f>IFERROR(Calculations!CE21, "")</f>
        <v/>
      </c>
      <c r="BJ23" s="8">
        <f>IFERROR(IF(Calculations!CF21 &lt;&gt; 0, Calculations!CF21, ""),"")</f>
        <v>-18.164207060834908</v>
      </c>
      <c r="BK23" s="1">
        <f t="shared" si="3"/>
        <v>300</v>
      </c>
      <c r="BL23" s="1">
        <f t="shared" si="4"/>
        <v>10</v>
      </c>
      <c r="CC23" s="1" t="str">
        <f t="shared" si="5"/>
        <v/>
      </c>
      <c r="CD23" s="8" t="str">
        <f t="array" ref="CD23">IFERROR(INDEX(CHOOSE($BO$11,$AF$8:$AF$207,$AG$8:$AG$207,$BJ$8:$BJ$207), MATCH(CD$7&amp;$CC23, $B$8:$B$207&amp;$C$8:$C$207, 0)), "")</f>
        <v/>
      </c>
      <c r="CE23" s="8" t="str">
        <f t="array" ref="CE23">IFERROR(INDEX(CHOOSE($BO$11,$AF$8:$AF$207,$AG$8:$AG$207,$BJ$8:$BJ$207), MATCH(CE$7&amp;$CC23, $B$8:$B$207&amp;$C$8:$C$207, 0)), "")</f>
        <v/>
      </c>
      <c r="CF23" s="8" t="str">
        <f t="array" ref="CF23">IFERROR(INDEX(CHOOSE($BO$11,$AF$8:$AF$207,$AG$8:$AG$207,$BJ$8:$BJ$207), MATCH(CF$7&amp;$CC23, $B$8:$B$207&amp;$C$8:$C$207, 0)), "")</f>
        <v/>
      </c>
      <c r="CG23" s="8" t="str">
        <f t="array" ref="CG23">IFERROR(INDEX(CHOOSE($BO$11,$AF$8:$AF$207,$AG$8:$AG$207,$BJ$8:$BJ$207), MATCH(CG$7&amp;$CC23, $B$8:$B$207&amp;$C$8:$C$207, 0)), "")</f>
        <v/>
      </c>
      <c r="CH23" s="8" t="str">
        <f t="array" ref="CH23">IFERROR(INDEX(CHOOSE($BO$11,$AF$8:$AF$207,$AG$8:$AG$207,$BJ$8:$BJ$207), MATCH(CH$7&amp;$CC23, $B$8:$B$207&amp;$C$8:$C$207, 0)), "")</f>
        <v/>
      </c>
      <c r="CI23" s="8" t="str">
        <f t="array" ref="CI23">IFERROR(INDEX(CHOOSE($BO$11,$AF$8:$AF$207,$AG$8:$AG$207,$BJ$8:$BJ$207), MATCH(CI$7&amp;$CC23, $B$8:$B$207&amp;$C$8:$C$207, 0)), "")</f>
        <v/>
      </c>
      <c r="CJ23" s="8" t="str">
        <f t="array" ref="CJ23">IFERROR(INDEX(CHOOSE($BO$11,$AF$8:$AF$207,$AG$8:$AG$207,$BJ$8:$BJ$207), MATCH(CJ$7&amp;$CC23, $B$8:$B$207&amp;$C$8:$C$207, 0)), "")</f>
        <v/>
      </c>
      <c r="CK23" s="8" t="str">
        <f t="array" ref="CK23">IFERROR(INDEX(CHOOSE($BO$11,$AF$8:$AF$207,$AG$8:$AG$207,$BJ$8:$BJ$207), MATCH(CK$7&amp;$CC23, $B$8:$B$207&amp;$C$8:$C$207, 0)), "")</f>
        <v/>
      </c>
      <c r="CL23" s="8" t="str">
        <f t="array" ref="CL23">IFERROR(INDEX(CHOOSE($BO$11,$AF$8:$AF$207,$AG$8:$AG$207,$BJ$8:$BJ$207), MATCH(CL$7&amp;$CC23, $B$8:$B$207&amp;$C$8:$C$207, 0)), "")</f>
        <v/>
      </c>
      <c r="CM23" s="8" t="str">
        <f t="array" ref="CM23">IFERROR(INDEX(CHOOSE($BO$11,$AF$8:$AF$207,$AG$8:$AG$207,$BJ$8:$BJ$207), MATCH(CM$7&amp;$CC23, $B$8:$B$207&amp;$C$8:$C$207, 0)), "")</f>
        <v/>
      </c>
      <c r="CN23" s="8" t="str">
        <f t="array" ref="CN23">IFERROR(INDEX(CHOOSE($BO$11,$AF$8:$AF$207,$AG$8:$AG$207,$BJ$8:$BJ$207), MATCH(CN$7&amp;$CC23, $B$8:$B$207&amp;$C$8:$C$207, 0)), "")</f>
        <v/>
      </c>
      <c r="CO23" s="8" t="str">
        <f t="array" ref="CO23">IFERROR(INDEX(CHOOSE($BO$11,$AF$8:$AF$207,$AG$8:$AG$207,$BJ$8:$BJ$207), MATCH(CO$7&amp;$CC23, $B$8:$B$207&amp;$C$8:$C$207, 0)), "")</f>
        <v/>
      </c>
      <c r="CP23" s="8" t="str">
        <f t="array" ref="CP23">IFERROR(INDEX(CHOOSE($BO$11,$AF$8:$AF$207,$AG$8:$AG$207,$BJ$8:$BJ$207), MATCH(CP$7&amp;$CC23, $B$8:$B$207&amp;$C$8:$C$207, 0)), "")</f>
        <v/>
      </c>
      <c r="CQ23" s="8" t="str">
        <f t="array" ref="CQ23">IFERROR(INDEX(CHOOSE($BO$11,$AF$8:$AF$207,$AG$8:$AG$207,$BJ$8:$BJ$207), MATCH(CQ$7&amp;$CC23, $B$8:$B$207&amp;$C$8:$C$207, 0)), "")</f>
        <v/>
      </c>
      <c r="CR23" s="8" t="str">
        <f t="array" ref="CR23">IFERROR(INDEX(CHOOSE($BO$11,$AF$8:$AF$207,$AG$8:$AG$207,$BJ$8:$BJ$207), MATCH(CR$7&amp;$CC23, $B$8:$B$207&amp;$C$8:$C$207, 0)), "")</f>
        <v/>
      </c>
      <c r="CS23" s="8" t="str">
        <f t="array" ref="CS23">IFERROR(INDEX(CHOOSE($BO$11,$AF$8:$AF$207,$AG$8:$AG$207,$BJ$8:$BJ$207), MATCH(CS$7&amp;$CC23, $B$8:$B$207&amp;$C$8:$C$207, 0)), "")</f>
        <v/>
      </c>
      <c r="CT23" s="8" t="str">
        <f t="array" ref="CT23">IFERROR(INDEX(CHOOSE($BO$11,$AF$8:$AF$207,$AG$8:$AG$207,$BJ$8:$BJ$207), MATCH(CT$7&amp;$CC23, $B$8:$B$207&amp;$C$8:$C$207, 0)), "")</f>
        <v/>
      </c>
      <c r="CU23" s="8" t="str">
        <f t="array" ref="CU23">IFERROR(INDEX(CHOOSE($BO$11,$AF$8:$AF$207,$AG$8:$AG$207,$BJ$8:$BJ$207), MATCH(CU$7&amp;$CC23, $B$8:$B$207&amp;$C$8:$C$207, 0)), "")</f>
        <v/>
      </c>
      <c r="CV23" s="8" t="str">
        <f t="array" ref="CV23">IFERROR(INDEX(CHOOSE($BO$11,$AF$8:$AF$207,$AG$8:$AG$207,$BJ$8:$BJ$207), MATCH(CV$7&amp;$CC23, $B$8:$B$207&amp;$C$8:$C$207, 0)), "")</f>
        <v/>
      </c>
      <c r="CW23" s="8" t="str">
        <f t="array" ref="CW23">IFERROR(INDEX(CHOOSE($BO$11,$AF$8:$AF$207,$AG$8:$AG$207,$BJ$8:$BJ$207), MATCH(CW$7&amp;$CC23, $B$8:$B$207&amp;$C$8:$C$207, 0)), "")</f>
        <v/>
      </c>
      <c r="CX23" s="8" t="str">
        <f t="array" ref="CX23">IFERROR(INDEX(CHOOSE($BO$11,$AF$8:$AF$207,$AG$8:$AG$207,$BJ$8:$BJ$207), MATCH(CX$7&amp;$CC23, $B$8:$B$207&amp;$C$8:$C$207, 0)), "")</f>
        <v/>
      </c>
      <c r="CY23" s="8" t="str">
        <f t="array" ref="CY23">IFERROR(INDEX(CHOOSE($BO$11,$AF$8:$AF$207,$AG$8:$AG$207,$BJ$8:$BJ$207), MATCH(CY$7&amp;$CC23, $B$8:$B$207&amp;$C$8:$C$207, 0)), "")</f>
        <v/>
      </c>
      <c r="CZ23" s="8" t="str">
        <f t="array" ref="CZ23">IFERROR(INDEX(CHOOSE($BO$11,$AF$8:$AF$207,$AG$8:$AG$207,$BJ$8:$BJ$207), MATCH(CZ$7&amp;$CC23, $B$8:$B$207&amp;$C$8:$C$207, 0)), "")</f>
        <v/>
      </c>
      <c r="DA23" s="8" t="str">
        <f t="array" ref="DA23">IFERROR(INDEX(CHOOSE($BO$11,$AF$8:$AF$207,$AG$8:$AG$207,$BJ$8:$BJ$207), MATCH(DA$7&amp;$CC23, $B$8:$B$207&amp;$C$8:$C$207, 0)), "")</f>
        <v/>
      </c>
      <c r="DB23" s="8" t="str">
        <f t="array" ref="DB23">IFERROR(INDEX(CHOOSE($BO$11,$AF$8:$AF$207,$AG$8:$AG$207,$BJ$8:$BJ$207), MATCH(DB$7&amp;$CC23, $B$8:$B$207&amp;$C$8:$C$207, 0)), "")</f>
        <v/>
      </c>
      <c r="DC23" s="8" t="str">
        <f t="array" ref="DC23">IFERROR(INDEX(CHOOSE($BO$11,$AF$8:$AF$207,$AG$8:$AG$207,$BJ$8:$BJ$207), MATCH(DC$7&amp;$CC23, $B$8:$B$207&amp;$C$8:$C$207, 0)), "")</f>
        <v/>
      </c>
      <c r="DD23" s="8" t="str">
        <f t="array" ref="DD23">IFERROR(INDEX(CHOOSE($BO$11,$AF$8:$AF$207,$AG$8:$AG$207,$BJ$8:$BJ$207), MATCH(DD$7&amp;$CC23, $B$8:$B$207&amp;$C$8:$C$207, 0)), "")</f>
        <v/>
      </c>
      <c r="DE23" s="8" t="str">
        <f t="array" ref="DE23">IFERROR(INDEX(CHOOSE($BO$11,$AF$8:$AF$207,$AG$8:$AG$207,$BJ$8:$BJ$207), MATCH(DE$7&amp;$CC23, $B$8:$B$207&amp;$C$8:$C$207, 0)), "")</f>
        <v/>
      </c>
      <c r="DF23" s="8" t="str">
        <f t="array" ref="DF23">IFERROR(INDEX(CHOOSE($BO$11,$AF$8:$AF$207,$AG$8:$AG$207,$BJ$8:$BJ$207), MATCH(DF$7&amp;$CC23, $B$8:$B$207&amp;$C$8:$C$207, 0)), "")</f>
        <v/>
      </c>
      <c r="DG23" s="8" t="str">
        <f t="array" ref="DG23">IFERROR(INDEX(CHOOSE($BO$11,$AF$8:$AF$207,$AG$8:$AG$207,$BJ$8:$BJ$207), MATCH(DG$7&amp;$CC23, $B$8:$B$207&amp;$C$8:$C$207, 0)), "")</f>
        <v/>
      </c>
      <c r="DH23" s="8"/>
      <c r="DI23" s="8"/>
      <c r="DJ23" s="8"/>
      <c r="DK23" s="8"/>
      <c r="DL23" s="8"/>
      <c r="DM23" s="8"/>
      <c r="DN23" s="8"/>
      <c r="DO23" s="8"/>
      <c r="DP23" s="8"/>
      <c r="DQ23" s="8"/>
      <c r="DR23" s="8"/>
      <c r="DS23" s="8"/>
      <c r="DT23" s="8"/>
      <c r="DU23" s="8"/>
      <c r="DV23" s="8"/>
      <c r="DW23" s="8"/>
      <c r="DX23" s="8"/>
      <c r="DY23" s="8"/>
      <c r="DZ23" s="8"/>
      <c r="EA23" s="8"/>
    </row>
    <row r="24" spans="2:131" x14ac:dyDescent="0.2">
      <c r="B24" s="1">
        <f>IFERROR(Calculations!M22/1000, "")</f>
        <v>10</v>
      </c>
      <c r="C24" s="1">
        <f>Calculations!N22</f>
        <v>350</v>
      </c>
      <c r="D24" s="58">
        <f>IFERROR(Calculations!$Q22,"")</f>
        <v>1.0787284600913523</v>
      </c>
      <c r="E24" s="8">
        <f>IFERROR(Calculations!$S22, "")</f>
        <v>34.684799872717562</v>
      </c>
      <c r="F24" s="89"/>
      <c r="G24" s="89"/>
      <c r="H24" s="89"/>
      <c r="I24" s="89"/>
      <c r="J24" s="1" t="str">
        <f>IFERROR(Calculations!AC22, "")</f>
        <v/>
      </c>
      <c r="K24" s="1" t="str">
        <f>IFERROR(Calculations!AD22, "")</f>
        <v/>
      </c>
      <c r="L24" s="8">
        <f>IFERROR(Calculations!AE22,"")</f>
        <v>-59931.231997896379</v>
      </c>
      <c r="M24" s="8">
        <f>IFERROR(Calculations!AF22,"")</f>
        <v>-97527.674933702947</v>
      </c>
      <c r="N24" s="8" t="str">
        <f>IFERROR(Calculations!AG22,"")</f>
        <v/>
      </c>
      <c r="O24" s="8" t="str">
        <f>IFERROR(Calculations!AH22,"")</f>
        <v/>
      </c>
      <c r="P24" s="8" t="str">
        <f>IFERROR(Calculations!AI22,"")</f>
        <v/>
      </c>
      <c r="Q24" s="8" t="str">
        <f>IFERROR(Calculations!AJ22,"")</f>
        <v/>
      </c>
      <c r="R24" s="8" t="str">
        <f>IFERROR(Calculations!AK22,"")</f>
        <v/>
      </c>
      <c r="S24" s="89"/>
      <c r="T24" s="89"/>
      <c r="U24" s="89"/>
      <c r="V24" s="89"/>
      <c r="W24" s="1" t="str">
        <f>IFERROR(Calculations!AP22, "")</f>
        <v/>
      </c>
      <c r="X24" s="1" t="str">
        <f>IFERROR(Calculations!AQ22, "")</f>
        <v/>
      </c>
      <c r="Y24" s="8" t="str">
        <f>IFERROR(Calculations!AR22,"")</f>
        <v/>
      </c>
      <c r="Z24" s="8">
        <f>IFERROR(Calculations!AS22,"")</f>
        <v>0</v>
      </c>
      <c r="AA24" s="8">
        <f>IFERROR(Calculations!AT22,"")</f>
        <v>-141741.13222491788</v>
      </c>
      <c r="AB24" s="8" t="str">
        <f>IFERROR(Calculations!AU22,"")</f>
        <v/>
      </c>
      <c r="AC24" s="8" t="str">
        <f>IFERROR(Calculations!AV22,"")</f>
        <v/>
      </c>
      <c r="AD24" s="8" t="str">
        <f>IFERROR(Calculations!AW22,"")</f>
        <v/>
      </c>
      <c r="AE24" s="8" t="str">
        <f>IFERROR(Calculations!AX22,"")</f>
        <v/>
      </c>
      <c r="AF24" s="8">
        <f>IFERROR(IF(Calculations!AY22 &lt;&gt; 0, Calculations!AY22, ""),"")</f>
        <v>15717.774706681434</v>
      </c>
      <c r="AG24" s="42">
        <f>IFERROR(IF(Calculations!AZ22 &lt;&gt; 0, Calculations!AZ22, ""),"")</f>
        <v>-5.5160771740739154</v>
      </c>
      <c r="AH24" s="1">
        <f t="shared" si="1"/>
        <v>10</v>
      </c>
      <c r="AI24" s="1">
        <f t="shared" si="2"/>
        <v>350</v>
      </c>
      <c r="AJ24" s="89"/>
      <c r="AK24" s="89"/>
      <c r="AL24" s="89"/>
      <c r="AM24" s="89"/>
      <c r="AN24" s="8" t="str">
        <f>IFERROR(Calculations!BJ22, "")</f>
        <v/>
      </c>
      <c r="AO24" s="8" t="str">
        <f>IFERROR(Calculations!BK22, "")</f>
        <v/>
      </c>
      <c r="AP24" s="8">
        <f>IFERROR(Calculations!BL22, "")</f>
        <v>16.700477151102859</v>
      </c>
      <c r="AQ24" s="8">
        <f>IFERROR(Calculations!BM22, "")</f>
        <v>31.802760947387839</v>
      </c>
      <c r="AR24" s="8" t="str">
        <f>IFERROR(Calculations!BN22, "")</f>
        <v/>
      </c>
      <c r="AS24" s="8" t="str">
        <f>IFERROR(Calculations!BO22, "")</f>
        <v/>
      </c>
      <c r="AT24" s="8" t="str">
        <f>IFERROR(Calculations!BP22, "")</f>
        <v/>
      </c>
      <c r="AU24" s="8" t="str">
        <f>IFERROR(Calculations!BQ22, "")</f>
        <v/>
      </c>
      <c r="AV24" s="8" t="str">
        <f>IFERROR(Calculations!BR22, "")</f>
        <v/>
      </c>
      <c r="AW24" s="89"/>
      <c r="AX24" s="89"/>
      <c r="AY24" s="89"/>
      <c r="AZ24" s="89"/>
      <c r="BA24" s="8" t="str">
        <f>IFERROR(Calculations!BW22, "")</f>
        <v/>
      </c>
      <c r="BB24" s="8" t="str">
        <f>IFERROR(Calculations!BX22, "")</f>
        <v/>
      </c>
      <c r="BC24" s="8" t="str">
        <f>IFERROR(Calculations!BY22, "")</f>
        <v/>
      </c>
      <c r="BD24" s="8">
        <f>IFERROR(Calculations!BZ22, "")</f>
        <v>0</v>
      </c>
      <c r="BE24" s="8">
        <f>IFERROR(Calculations!CA22, "")</f>
        <v>29.2297401358312</v>
      </c>
      <c r="BF24" s="8" t="str">
        <f>IFERROR(Calculations!CB22, "")</f>
        <v/>
      </c>
      <c r="BG24" s="8" t="str">
        <f>IFERROR(Calculations!CC22, "")</f>
        <v/>
      </c>
      <c r="BH24" s="8" t="str">
        <f>IFERROR(Calculations!CD22, "")</f>
        <v/>
      </c>
      <c r="BI24" s="8" t="str">
        <f>IFERROR(Calculations!CE22, "")</f>
        <v/>
      </c>
      <c r="BJ24" s="8">
        <f>IFERROR(IF(Calculations!CF22 &lt;&gt; 0, Calculations!CF22, ""),"")</f>
        <v>-19.273497962659498</v>
      </c>
      <c r="BK24" s="1">
        <f t="shared" si="3"/>
        <v>350</v>
      </c>
      <c r="BL24" s="1">
        <f t="shared" si="4"/>
        <v>10</v>
      </c>
      <c r="CC24" s="1" t="str">
        <f t="shared" si="5"/>
        <v/>
      </c>
      <c r="CD24" s="8" t="str">
        <f t="array" ref="CD24">IFERROR(INDEX(CHOOSE($BO$11,$AF$8:$AF$207,$AG$8:$AG$207,$BJ$8:$BJ$207), MATCH(CD$7&amp;$CC24, $B$8:$B$207&amp;$C$8:$C$207, 0)), "")</f>
        <v/>
      </c>
      <c r="CE24" s="8" t="str">
        <f t="array" ref="CE24">IFERROR(INDEX(CHOOSE($BO$11,$AF$8:$AF$207,$AG$8:$AG$207,$BJ$8:$BJ$207), MATCH(CE$7&amp;$CC24, $B$8:$B$207&amp;$C$8:$C$207, 0)), "")</f>
        <v/>
      </c>
      <c r="CF24" s="8" t="str">
        <f t="array" ref="CF24">IFERROR(INDEX(CHOOSE($BO$11,$AF$8:$AF$207,$AG$8:$AG$207,$BJ$8:$BJ$207), MATCH(CF$7&amp;$CC24, $B$8:$B$207&amp;$C$8:$C$207, 0)), "")</f>
        <v/>
      </c>
      <c r="CG24" s="8" t="str">
        <f t="array" ref="CG24">IFERROR(INDEX(CHOOSE($BO$11,$AF$8:$AF$207,$AG$8:$AG$207,$BJ$8:$BJ$207), MATCH(CG$7&amp;$CC24, $B$8:$B$207&amp;$C$8:$C$207, 0)), "")</f>
        <v/>
      </c>
      <c r="CH24" s="8" t="str">
        <f t="array" ref="CH24">IFERROR(INDEX(CHOOSE($BO$11,$AF$8:$AF$207,$AG$8:$AG$207,$BJ$8:$BJ$207), MATCH(CH$7&amp;$CC24, $B$8:$B$207&amp;$C$8:$C$207, 0)), "")</f>
        <v/>
      </c>
      <c r="CI24" s="8" t="str">
        <f t="array" ref="CI24">IFERROR(INDEX(CHOOSE($BO$11,$AF$8:$AF$207,$AG$8:$AG$207,$BJ$8:$BJ$207), MATCH(CI$7&amp;$CC24, $B$8:$B$207&amp;$C$8:$C$207, 0)), "")</f>
        <v/>
      </c>
      <c r="CJ24" s="8" t="str">
        <f t="array" ref="CJ24">IFERROR(INDEX(CHOOSE($BO$11,$AF$8:$AF$207,$AG$8:$AG$207,$BJ$8:$BJ$207), MATCH(CJ$7&amp;$CC24, $B$8:$B$207&amp;$C$8:$C$207, 0)), "")</f>
        <v/>
      </c>
      <c r="CK24" s="8" t="str">
        <f t="array" ref="CK24">IFERROR(INDEX(CHOOSE($BO$11,$AF$8:$AF$207,$AG$8:$AG$207,$BJ$8:$BJ$207), MATCH(CK$7&amp;$CC24, $B$8:$B$207&amp;$C$8:$C$207, 0)), "")</f>
        <v/>
      </c>
      <c r="CL24" s="8" t="str">
        <f t="array" ref="CL24">IFERROR(INDEX(CHOOSE($BO$11,$AF$8:$AF$207,$AG$8:$AG$207,$BJ$8:$BJ$207), MATCH(CL$7&amp;$CC24, $B$8:$B$207&amp;$C$8:$C$207, 0)), "")</f>
        <v/>
      </c>
      <c r="CM24" s="8" t="str">
        <f t="array" ref="CM24">IFERROR(INDEX(CHOOSE($BO$11,$AF$8:$AF$207,$AG$8:$AG$207,$BJ$8:$BJ$207), MATCH(CM$7&amp;$CC24, $B$8:$B$207&amp;$C$8:$C$207, 0)), "")</f>
        <v/>
      </c>
      <c r="CN24" s="8" t="str">
        <f t="array" ref="CN24">IFERROR(INDEX(CHOOSE($BO$11,$AF$8:$AF$207,$AG$8:$AG$207,$BJ$8:$BJ$207), MATCH(CN$7&amp;$CC24, $B$8:$B$207&amp;$C$8:$C$207, 0)), "")</f>
        <v/>
      </c>
      <c r="CO24" s="8" t="str">
        <f t="array" ref="CO24">IFERROR(INDEX(CHOOSE($BO$11,$AF$8:$AF$207,$AG$8:$AG$207,$BJ$8:$BJ$207), MATCH(CO$7&amp;$CC24, $B$8:$B$207&amp;$C$8:$C$207, 0)), "")</f>
        <v/>
      </c>
      <c r="CP24" s="8" t="str">
        <f t="array" ref="CP24">IFERROR(INDEX(CHOOSE($BO$11,$AF$8:$AF$207,$AG$8:$AG$207,$BJ$8:$BJ$207), MATCH(CP$7&amp;$CC24, $B$8:$B$207&amp;$C$8:$C$207, 0)), "")</f>
        <v/>
      </c>
      <c r="CQ24" s="8" t="str">
        <f t="array" ref="CQ24">IFERROR(INDEX(CHOOSE($BO$11,$AF$8:$AF$207,$AG$8:$AG$207,$BJ$8:$BJ$207), MATCH(CQ$7&amp;$CC24, $B$8:$B$207&amp;$C$8:$C$207, 0)), "")</f>
        <v/>
      </c>
      <c r="CR24" s="8" t="str">
        <f t="array" ref="CR24">IFERROR(INDEX(CHOOSE($BO$11,$AF$8:$AF$207,$AG$8:$AG$207,$BJ$8:$BJ$207), MATCH(CR$7&amp;$CC24, $B$8:$B$207&amp;$C$8:$C$207, 0)), "")</f>
        <v/>
      </c>
      <c r="CS24" s="8" t="str">
        <f t="array" ref="CS24">IFERROR(INDEX(CHOOSE($BO$11,$AF$8:$AF$207,$AG$8:$AG$207,$BJ$8:$BJ$207), MATCH(CS$7&amp;$CC24, $B$8:$B$207&amp;$C$8:$C$207, 0)), "")</f>
        <v/>
      </c>
      <c r="CT24" s="8" t="str">
        <f t="array" ref="CT24">IFERROR(INDEX(CHOOSE($BO$11,$AF$8:$AF$207,$AG$8:$AG$207,$BJ$8:$BJ$207), MATCH(CT$7&amp;$CC24, $B$8:$B$207&amp;$C$8:$C$207, 0)), "")</f>
        <v/>
      </c>
      <c r="CU24" s="8" t="str">
        <f t="array" ref="CU24">IFERROR(INDEX(CHOOSE($BO$11,$AF$8:$AF$207,$AG$8:$AG$207,$BJ$8:$BJ$207), MATCH(CU$7&amp;$CC24, $B$8:$B$207&amp;$C$8:$C$207, 0)), "")</f>
        <v/>
      </c>
      <c r="CV24" s="8" t="str">
        <f t="array" ref="CV24">IFERROR(INDEX(CHOOSE($BO$11,$AF$8:$AF$207,$AG$8:$AG$207,$BJ$8:$BJ$207), MATCH(CV$7&amp;$CC24, $B$8:$B$207&amp;$C$8:$C$207, 0)), "")</f>
        <v/>
      </c>
      <c r="CW24" s="8" t="str">
        <f t="array" ref="CW24">IFERROR(INDEX(CHOOSE($BO$11,$AF$8:$AF$207,$AG$8:$AG$207,$BJ$8:$BJ$207), MATCH(CW$7&amp;$CC24, $B$8:$B$207&amp;$C$8:$C$207, 0)), "")</f>
        <v/>
      </c>
      <c r="CX24" s="8" t="str">
        <f t="array" ref="CX24">IFERROR(INDEX(CHOOSE($BO$11,$AF$8:$AF$207,$AG$8:$AG$207,$BJ$8:$BJ$207), MATCH(CX$7&amp;$CC24, $B$8:$B$207&amp;$C$8:$C$207, 0)), "")</f>
        <v/>
      </c>
      <c r="CY24" s="8" t="str">
        <f t="array" ref="CY24">IFERROR(INDEX(CHOOSE($BO$11,$AF$8:$AF$207,$AG$8:$AG$207,$BJ$8:$BJ$207), MATCH(CY$7&amp;$CC24, $B$8:$B$207&amp;$C$8:$C$207, 0)), "")</f>
        <v/>
      </c>
      <c r="CZ24" s="8" t="str">
        <f t="array" ref="CZ24">IFERROR(INDEX(CHOOSE($BO$11,$AF$8:$AF$207,$AG$8:$AG$207,$BJ$8:$BJ$207), MATCH(CZ$7&amp;$CC24, $B$8:$B$207&amp;$C$8:$C$207, 0)), "")</f>
        <v/>
      </c>
      <c r="DA24" s="8" t="str">
        <f t="array" ref="DA24">IFERROR(INDEX(CHOOSE($BO$11,$AF$8:$AF$207,$AG$8:$AG$207,$BJ$8:$BJ$207), MATCH(DA$7&amp;$CC24, $B$8:$B$207&amp;$C$8:$C$207, 0)), "")</f>
        <v/>
      </c>
      <c r="DB24" s="8" t="str">
        <f t="array" ref="DB24">IFERROR(INDEX(CHOOSE($BO$11,$AF$8:$AF$207,$AG$8:$AG$207,$BJ$8:$BJ$207), MATCH(DB$7&amp;$CC24, $B$8:$B$207&amp;$C$8:$C$207, 0)), "")</f>
        <v/>
      </c>
      <c r="DC24" s="8" t="str">
        <f t="array" ref="DC24">IFERROR(INDEX(CHOOSE($BO$11,$AF$8:$AF$207,$AG$8:$AG$207,$BJ$8:$BJ$207), MATCH(DC$7&amp;$CC24, $B$8:$B$207&amp;$C$8:$C$207, 0)), "")</f>
        <v/>
      </c>
      <c r="DD24" s="8" t="str">
        <f t="array" ref="DD24">IFERROR(INDEX(CHOOSE($BO$11,$AF$8:$AF$207,$AG$8:$AG$207,$BJ$8:$BJ$207), MATCH(DD$7&amp;$CC24, $B$8:$B$207&amp;$C$8:$C$207, 0)), "")</f>
        <v/>
      </c>
      <c r="DE24" s="8" t="str">
        <f t="array" ref="DE24">IFERROR(INDEX(CHOOSE($BO$11,$AF$8:$AF$207,$AG$8:$AG$207,$BJ$8:$BJ$207), MATCH(DE$7&amp;$CC24, $B$8:$B$207&amp;$C$8:$C$207, 0)), "")</f>
        <v/>
      </c>
      <c r="DF24" s="8" t="str">
        <f t="array" ref="DF24">IFERROR(INDEX(CHOOSE($BO$11,$AF$8:$AF$207,$AG$8:$AG$207,$BJ$8:$BJ$207), MATCH(DF$7&amp;$CC24, $B$8:$B$207&amp;$C$8:$C$207, 0)), "")</f>
        <v/>
      </c>
      <c r="DG24" s="8" t="str">
        <f t="array" ref="DG24">IFERROR(INDEX(CHOOSE($BO$11,$AF$8:$AF$207,$AG$8:$AG$207,$BJ$8:$BJ$207), MATCH(DG$7&amp;$CC24, $B$8:$B$207&amp;$C$8:$C$207, 0)), "")</f>
        <v/>
      </c>
      <c r="DH24" s="8"/>
      <c r="DI24" s="8"/>
      <c r="DJ24" s="8"/>
      <c r="DK24" s="8"/>
      <c r="DL24" s="8"/>
      <c r="DM24" s="8"/>
      <c r="DN24" s="8"/>
      <c r="DO24" s="8"/>
      <c r="DP24" s="8"/>
      <c r="DQ24" s="8"/>
      <c r="DR24" s="8"/>
      <c r="DS24" s="8"/>
      <c r="DT24" s="8"/>
      <c r="DU24" s="8"/>
      <c r="DV24" s="8"/>
      <c r="DW24" s="8"/>
      <c r="DX24" s="8"/>
      <c r="DY24" s="8"/>
      <c r="DZ24" s="8"/>
      <c r="EA24" s="8"/>
    </row>
    <row r="25" spans="2:131" x14ac:dyDescent="0.2">
      <c r="B25" s="1">
        <f>IFERROR(Calculations!M23/1000, "")</f>
        <v>10</v>
      </c>
      <c r="C25" s="1">
        <f>Calculations!N23</f>
        <v>400</v>
      </c>
      <c r="D25" s="58">
        <f>IFERROR(Calculations!$Q23,"")</f>
        <v>1.0547266597175597</v>
      </c>
      <c r="E25" s="8">
        <f>IFERROR(Calculations!$S23, "")</f>
        <v>30.593252620892979</v>
      </c>
      <c r="F25" s="89"/>
      <c r="G25" s="89"/>
      <c r="H25" s="89"/>
      <c r="I25" s="89"/>
      <c r="J25" s="1" t="str">
        <f>IFERROR(Calculations!AC23, "")</f>
        <v/>
      </c>
      <c r="K25" s="1" t="str">
        <f>IFERROR(Calculations!AD23, "")</f>
        <v/>
      </c>
      <c r="L25" s="8">
        <f>IFERROR(Calculations!AE23,"")</f>
        <v>-61302.14480512376</v>
      </c>
      <c r="M25" s="8">
        <f>IFERROR(Calculations!AF23,"")</f>
        <v>-99733.816022236482</v>
      </c>
      <c r="N25" s="8" t="str">
        <f>IFERROR(Calculations!AG23,"")</f>
        <v/>
      </c>
      <c r="O25" s="8" t="str">
        <f>IFERROR(Calculations!AH23,"")</f>
        <v/>
      </c>
      <c r="P25" s="8" t="str">
        <f>IFERROR(Calculations!AI23,"")</f>
        <v/>
      </c>
      <c r="Q25" s="8" t="str">
        <f>IFERROR(Calculations!AJ23,"")</f>
        <v/>
      </c>
      <c r="R25" s="8" t="str">
        <f>IFERROR(Calculations!AK23,"")</f>
        <v/>
      </c>
      <c r="S25" s="89"/>
      <c r="T25" s="89"/>
      <c r="U25" s="89"/>
      <c r="V25" s="89"/>
      <c r="W25" s="1" t="str">
        <f>IFERROR(Calculations!AP23, "")</f>
        <v/>
      </c>
      <c r="X25" s="1" t="str">
        <f>IFERROR(Calculations!AQ23, "")</f>
        <v/>
      </c>
      <c r="Y25" s="8" t="str">
        <f>IFERROR(Calculations!AR23,"")</f>
        <v/>
      </c>
      <c r="Z25" s="8">
        <f>IFERROR(Calculations!AS23,"")</f>
        <v>0</v>
      </c>
      <c r="AA25" s="8">
        <f>IFERROR(Calculations!AT23,"")</f>
        <v>-143149.93877967689</v>
      </c>
      <c r="AB25" s="8" t="str">
        <f>IFERROR(Calculations!AU23,"")</f>
        <v/>
      </c>
      <c r="AC25" s="8" t="str">
        <f>IFERROR(Calculations!AV23,"")</f>
        <v/>
      </c>
      <c r="AD25" s="8" t="str">
        <f>IFERROR(Calculations!AW23,"")</f>
        <v/>
      </c>
      <c r="AE25" s="8" t="str">
        <f>IFERROR(Calculations!AX23,"")</f>
        <v/>
      </c>
      <c r="AF25" s="8">
        <f>IFERROR(IF(Calculations!AY23 &lt;&gt; 0, Calculations!AY23, ""),"")</f>
        <v>17886.022047683364</v>
      </c>
      <c r="AG25" s="42">
        <f>IFERROR(IF(Calculations!AZ23 &lt;&gt; 0, Calculations!AZ23, ""),"")</f>
        <v>-5.8107713315153937</v>
      </c>
      <c r="AH25" s="1">
        <f t="shared" si="1"/>
        <v>10</v>
      </c>
      <c r="AI25" s="1">
        <f t="shared" si="2"/>
        <v>400</v>
      </c>
      <c r="AJ25" s="89"/>
      <c r="AK25" s="89"/>
      <c r="AL25" s="89"/>
      <c r="AM25" s="89"/>
      <c r="AN25" s="8" t="str">
        <f>IFERROR(Calculations!BJ23, "")</f>
        <v/>
      </c>
      <c r="AO25" s="8" t="str">
        <f>IFERROR(Calculations!BK23, "")</f>
        <v/>
      </c>
      <c r="AP25" s="8">
        <f>IFERROR(Calculations!BL23, "")</f>
        <v>17.080520184086584</v>
      </c>
      <c r="AQ25" s="8">
        <f>IFERROR(Calculations!BM23, "")</f>
        <v>32.1379251029825</v>
      </c>
      <c r="AR25" s="8" t="str">
        <f>IFERROR(Calculations!BN23, "")</f>
        <v/>
      </c>
      <c r="AS25" s="8" t="str">
        <f>IFERROR(Calculations!BO23, "")</f>
        <v/>
      </c>
      <c r="AT25" s="8" t="str">
        <f>IFERROR(Calculations!BP23, "")</f>
        <v/>
      </c>
      <c r="AU25" s="8" t="str">
        <f>IFERROR(Calculations!BQ23, "")</f>
        <v/>
      </c>
      <c r="AV25" s="8" t="str">
        <f>IFERROR(Calculations!BR23, "")</f>
        <v/>
      </c>
      <c r="AW25" s="89"/>
      <c r="AX25" s="89"/>
      <c r="AY25" s="89"/>
      <c r="AZ25" s="89"/>
      <c r="BA25" s="8" t="str">
        <f>IFERROR(Calculations!BW23, "")</f>
        <v/>
      </c>
      <c r="BB25" s="8" t="str">
        <f>IFERROR(Calculations!BX23, "")</f>
        <v/>
      </c>
      <c r="BC25" s="8" t="str">
        <f>IFERROR(Calculations!BY23, "")</f>
        <v/>
      </c>
      <c r="BD25" s="8">
        <f>IFERROR(Calculations!BZ23, "")</f>
        <v>0</v>
      </c>
      <c r="BE25" s="8">
        <f>IFERROR(Calculations!CA23, "")</f>
        <v>28.704632102246617</v>
      </c>
      <c r="BF25" s="8" t="str">
        <f>IFERROR(Calculations!CB23, "")</f>
        <v/>
      </c>
      <c r="BG25" s="8" t="str">
        <f>IFERROR(Calculations!CC23, "")</f>
        <v/>
      </c>
      <c r="BH25" s="8" t="str">
        <f>IFERROR(Calculations!CD23, "")</f>
        <v/>
      </c>
      <c r="BI25" s="8" t="str">
        <f>IFERROR(Calculations!CE23, "")</f>
        <v/>
      </c>
      <c r="BJ25" s="8">
        <f>IFERROR(IF(Calculations!CF23 &lt;&gt; 0, Calculations!CF23, ""),"")</f>
        <v>-20.513813184822471</v>
      </c>
      <c r="BK25" s="1">
        <f t="shared" si="3"/>
        <v>400</v>
      </c>
      <c r="BL25" s="1">
        <f t="shared" si="4"/>
        <v>10</v>
      </c>
      <c r="CC25" s="1" t="str">
        <f t="shared" si="5"/>
        <v/>
      </c>
      <c r="CD25" s="8" t="str">
        <f t="array" ref="CD25">IFERROR(INDEX(CHOOSE($BO$11,$AF$8:$AF$207,$AG$8:$AG$207,$BJ$8:$BJ$207), MATCH(CD$7&amp;$CC25, $B$8:$B$207&amp;$C$8:$C$207, 0)), "")</f>
        <v/>
      </c>
      <c r="CE25" s="8" t="str">
        <f t="array" ref="CE25">IFERROR(INDEX(CHOOSE($BO$11,$AF$8:$AF$207,$AG$8:$AG$207,$BJ$8:$BJ$207), MATCH(CE$7&amp;$CC25, $B$8:$B$207&amp;$C$8:$C$207, 0)), "")</f>
        <v/>
      </c>
      <c r="CF25" s="8" t="str">
        <f t="array" ref="CF25">IFERROR(INDEX(CHOOSE($BO$11,$AF$8:$AF$207,$AG$8:$AG$207,$BJ$8:$BJ$207), MATCH(CF$7&amp;$CC25, $B$8:$B$207&amp;$C$8:$C$207, 0)), "")</f>
        <v/>
      </c>
      <c r="CG25" s="8" t="str">
        <f t="array" ref="CG25">IFERROR(INDEX(CHOOSE($BO$11,$AF$8:$AF$207,$AG$8:$AG$207,$BJ$8:$BJ$207), MATCH(CG$7&amp;$CC25, $B$8:$B$207&amp;$C$8:$C$207, 0)), "")</f>
        <v/>
      </c>
      <c r="CH25" s="8" t="str">
        <f t="array" ref="CH25">IFERROR(INDEX(CHOOSE($BO$11,$AF$8:$AF$207,$AG$8:$AG$207,$BJ$8:$BJ$207), MATCH(CH$7&amp;$CC25, $B$8:$B$207&amp;$C$8:$C$207, 0)), "")</f>
        <v/>
      </c>
      <c r="CI25" s="8" t="str">
        <f t="array" ref="CI25">IFERROR(INDEX(CHOOSE($BO$11,$AF$8:$AF$207,$AG$8:$AG$207,$BJ$8:$BJ$207), MATCH(CI$7&amp;$CC25, $B$8:$B$207&amp;$C$8:$C$207, 0)), "")</f>
        <v/>
      </c>
      <c r="CJ25" s="8" t="str">
        <f t="array" ref="CJ25">IFERROR(INDEX(CHOOSE($BO$11,$AF$8:$AF$207,$AG$8:$AG$207,$BJ$8:$BJ$207), MATCH(CJ$7&amp;$CC25, $B$8:$B$207&amp;$C$8:$C$207, 0)), "")</f>
        <v/>
      </c>
      <c r="CK25" s="8" t="str">
        <f t="array" ref="CK25">IFERROR(INDEX(CHOOSE($BO$11,$AF$8:$AF$207,$AG$8:$AG$207,$BJ$8:$BJ$207), MATCH(CK$7&amp;$CC25, $B$8:$B$207&amp;$C$8:$C$207, 0)), "")</f>
        <v/>
      </c>
      <c r="CL25" s="8" t="str">
        <f t="array" ref="CL25">IFERROR(INDEX(CHOOSE($BO$11,$AF$8:$AF$207,$AG$8:$AG$207,$BJ$8:$BJ$207), MATCH(CL$7&amp;$CC25, $B$8:$B$207&amp;$C$8:$C$207, 0)), "")</f>
        <v/>
      </c>
      <c r="CM25" s="8" t="str">
        <f t="array" ref="CM25">IFERROR(INDEX(CHOOSE($BO$11,$AF$8:$AF$207,$AG$8:$AG$207,$BJ$8:$BJ$207), MATCH(CM$7&amp;$CC25, $B$8:$B$207&amp;$C$8:$C$207, 0)), "")</f>
        <v/>
      </c>
      <c r="CN25" s="8" t="str">
        <f t="array" ref="CN25">IFERROR(INDEX(CHOOSE($BO$11,$AF$8:$AF$207,$AG$8:$AG$207,$BJ$8:$BJ$207), MATCH(CN$7&amp;$CC25, $B$8:$B$207&amp;$C$8:$C$207, 0)), "")</f>
        <v/>
      </c>
      <c r="CO25" s="8" t="str">
        <f t="array" ref="CO25">IFERROR(INDEX(CHOOSE($BO$11,$AF$8:$AF$207,$AG$8:$AG$207,$BJ$8:$BJ$207), MATCH(CO$7&amp;$CC25, $B$8:$B$207&amp;$C$8:$C$207, 0)), "")</f>
        <v/>
      </c>
      <c r="CP25" s="8" t="str">
        <f t="array" ref="CP25">IFERROR(INDEX(CHOOSE($BO$11,$AF$8:$AF$207,$AG$8:$AG$207,$BJ$8:$BJ$207), MATCH(CP$7&amp;$CC25, $B$8:$B$207&amp;$C$8:$C$207, 0)), "")</f>
        <v/>
      </c>
      <c r="CQ25" s="8" t="str">
        <f t="array" ref="CQ25">IFERROR(INDEX(CHOOSE($BO$11,$AF$8:$AF$207,$AG$8:$AG$207,$BJ$8:$BJ$207), MATCH(CQ$7&amp;$CC25, $B$8:$B$207&amp;$C$8:$C$207, 0)), "")</f>
        <v/>
      </c>
      <c r="CR25" s="8" t="str">
        <f t="array" ref="CR25">IFERROR(INDEX(CHOOSE($BO$11,$AF$8:$AF$207,$AG$8:$AG$207,$BJ$8:$BJ$207), MATCH(CR$7&amp;$CC25, $B$8:$B$207&amp;$C$8:$C$207, 0)), "")</f>
        <v/>
      </c>
      <c r="CS25" s="8" t="str">
        <f t="array" ref="CS25">IFERROR(INDEX(CHOOSE($BO$11,$AF$8:$AF$207,$AG$8:$AG$207,$BJ$8:$BJ$207), MATCH(CS$7&amp;$CC25, $B$8:$B$207&amp;$C$8:$C$207, 0)), "")</f>
        <v/>
      </c>
      <c r="CT25" s="8" t="str">
        <f t="array" ref="CT25">IFERROR(INDEX(CHOOSE($BO$11,$AF$8:$AF$207,$AG$8:$AG$207,$BJ$8:$BJ$207), MATCH(CT$7&amp;$CC25, $B$8:$B$207&amp;$C$8:$C$207, 0)), "")</f>
        <v/>
      </c>
      <c r="CU25" s="8" t="str">
        <f t="array" ref="CU25">IFERROR(INDEX(CHOOSE($BO$11,$AF$8:$AF$207,$AG$8:$AG$207,$BJ$8:$BJ$207), MATCH(CU$7&amp;$CC25, $B$8:$B$207&amp;$C$8:$C$207, 0)), "")</f>
        <v/>
      </c>
      <c r="CV25" s="8" t="str">
        <f t="array" ref="CV25">IFERROR(INDEX(CHOOSE($BO$11,$AF$8:$AF$207,$AG$8:$AG$207,$BJ$8:$BJ$207), MATCH(CV$7&amp;$CC25, $B$8:$B$207&amp;$C$8:$C$207, 0)), "")</f>
        <v/>
      </c>
      <c r="CW25" s="8" t="str">
        <f t="array" ref="CW25">IFERROR(INDEX(CHOOSE($BO$11,$AF$8:$AF$207,$AG$8:$AG$207,$BJ$8:$BJ$207), MATCH(CW$7&amp;$CC25, $B$8:$B$207&amp;$C$8:$C$207, 0)), "")</f>
        <v/>
      </c>
      <c r="CX25" s="8" t="str">
        <f t="array" ref="CX25">IFERROR(INDEX(CHOOSE($BO$11,$AF$8:$AF$207,$AG$8:$AG$207,$BJ$8:$BJ$207), MATCH(CX$7&amp;$CC25, $B$8:$B$207&amp;$C$8:$C$207, 0)), "")</f>
        <v/>
      </c>
      <c r="CY25" s="8" t="str">
        <f t="array" ref="CY25">IFERROR(INDEX(CHOOSE($BO$11,$AF$8:$AF$207,$AG$8:$AG$207,$BJ$8:$BJ$207), MATCH(CY$7&amp;$CC25, $B$8:$B$207&amp;$C$8:$C$207, 0)), "")</f>
        <v/>
      </c>
      <c r="CZ25" s="8" t="str">
        <f t="array" ref="CZ25">IFERROR(INDEX(CHOOSE($BO$11,$AF$8:$AF$207,$AG$8:$AG$207,$BJ$8:$BJ$207), MATCH(CZ$7&amp;$CC25, $B$8:$B$207&amp;$C$8:$C$207, 0)), "")</f>
        <v/>
      </c>
      <c r="DA25" s="8" t="str">
        <f t="array" ref="DA25">IFERROR(INDEX(CHOOSE($BO$11,$AF$8:$AF$207,$AG$8:$AG$207,$BJ$8:$BJ$207), MATCH(DA$7&amp;$CC25, $B$8:$B$207&amp;$C$8:$C$207, 0)), "")</f>
        <v/>
      </c>
      <c r="DB25" s="8" t="str">
        <f t="array" ref="DB25">IFERROR(INDEX(CHOOSE($BO$11,$AF$8:$AF$207,$AG$8:$AG$207,$BJ$8:$BJ$207), MATCH(DB$7&amp;$CC25, $B$8:$B$207&amp;$C$8:$C$207, 0)), "")</f>
        <v/>
      </c>
      <c r="DC25" s="8" t="str">
        <f t="array" ref="DC25">IFERROR(INDEX(CHOOSE($BO$11,$AF$8:$AF$207,$AG$8:$AG$207,$BJ$8:$BJ$207), MATCH(DC$7&amp;$CC25, $B$8:$B$207&amp;$C$8:$C$207, 0)), "")</f>
        <v/>
      </c>
      <c r="DD25" s="8" t="str">
        <f t="array" ref="DD25">IFERROR(INDEX(CHOOSE($BO$11,$AF$8:$AF$207,$AG$8:$AG$207,$BJ$8:$BJ$207), MATCH(DD$7&amp;$CC25, $B$8:$B$207&amp;$C$8:$C$207, 0)), "")</f>
        <v/>
      </c>
      <c r="DE25" s="8" t="str">
        <f t="array" ref="DE25">IFERROR(INDEX(CHOOSE($BO$11,$AF$8:$AF$207,$AG$8:$AG$207,$BJ$8:$BJ$207), MATCH(DE$7&amp;$CC25, $B$8:$B$207&amp;$C$8:$C$207, 0)), "")</f>
        <v/>
      </c>
      <c r="DF25" s="8" t="str">
        <f t="array" ref="DF25">IFERROR(INDEX(CHOOSE($BO$11,$AF$8:$AF$207,$AG$8:$AG$207,$BJ$8:$BJ$207), MATCH(DF$7&amp;$CC25, $B$8:$B$207&amp;$C$8:$C$207, 0)), "")</f>
        <v/>
      </c>
      <c r="DG25" s="8" t="str">
        <f t="array" ref="DG25">IFERROR(INDEX(CHOOSE($BO$11,$AF$8:$AF$207,$AG$8:$AG$207,$BJ$8:$BJ$207), MATCH(DG$7&amp;$CC25, $B$8:$B$207&amp;$C$8:$C$207, 0)), "")</f>
        <v/>
      </c>
      <c r="DH25" s="8"/>
      <c r="DI25" s="8"/>
      <c r="DJ25" s="8"/>
      <c r="DK25" s="8"/>
      <c r="DL25" s="8"/>
      <c r="DM25" s="8"/>
      <c r="DN25" s="8"/>
      <c r="DO25" s="8"/>
      <c r="DP25" s="8"/>
      <c r="DQ25" s="8"/>
      <c r="DR25" s="8"/>
      <c r="DS25" s="8"/>
      <c r="DT25" s="8"/>
      <c r="DU25" s="8"/>
      <c r="DV25" s="8"/>
      <c r="DW25" s="8"/>
      <c r="DX25" s="8"/>
      <c r="DY25" s="8"/>
      <c r="DZ25" s="8"/>
      <c r="EA25" s="8"/>
    </row>
    <row r="26" spans="2:131" x14ac:dyDescent="0.2">
      <c r="B26" s="1">
        <f>IFERROR(Calculations!M24/1000, "")</f>
        <v>10</v>
      </c>
      <c r="C26" s="1">
        <f>Calculations!N24</f>
        <v>450</v>
      </c>
      <c r="D26" s="58">
        <f>IFERROR(Calculations!$Q24,"")</f>
        <v>1.030797278697491</v>
      </c>
      <c r="E26" s="8">
        <f>IFERROR(Calculations!$S24, "")</f>
        <v>27.096612620129811</v>
      </c>
      <c r="F26" s="89"/>
      <c r="G26" s="89"/>
      <c r="H26" s="89"/>
      <c r="I26" s="89"/>
      <c r="J26" s="1" t="str">
        <f>IFERROR(Calculations!AC24, "")</f>
        <v/>
      </c>
      <c r="K26" s="1" t="str">
        <f>IFERROR(Calculations!AD24, "")</f>
        <v/>
      </c>
      <c r="L26" s="8">
        <f>IFERROR(Calculations!AE24,"")</f>
        <v>-62730.849947091207</v>
      </c>
      <c r="M26" s="8">
        <f>IFERROR(Calculations!AF24,"")</f>
        <v>-102002.30795268684</v>
      </c>
      <c r="N26" s="8" t="str">
        <f>IFERROR(Calculations!AG24,"")</f>
        <v/>
      </c>
      <c r="O26" s="8" t="str">
        <f>IFERROR(Calculations!AH24,"")</f>
        <v/>
      </c>
      <c r="P26" s="8" t="str">
        <f>IFERROR(Calculations!AI24,"")</f>
        <v/>
      </c>
      <c r="Q26" s="8" t="str">
        <f>IFERROR(Calculations!AJ24,"")</f>
        <v/>
      </c>
      <c r="R26" s="8" t="str">
        <f>IFERROR(Calculations!AK24,"")</f>
        <v/>
      </c>
      <c r="S26" s="89"/>
      <c r="T26" s="89"/>
      <c r="U26" s="89"/>
      <c r="V26" s="89"/>
      <c r="W26" s="1" t="str">
        <f>IFERROR(Calculations!AP24, "")</f>
        <v/>
      </c>
      <c r="X26" s="1" t="str">
        <f>IFERROR(Calculations!AQ24, "")</f>
        <v/>
      </c>
      <c r="Y26" s="8" t="str">
        <f>IFERROR(Calculations!AR24,"")</f>
        <v/>
      </c>
      <c r="Z26" s="8">
        <f>IFERROR(Calculations!AS24,"")</f>
        <v>0</v>
      </c>
      <c r="AA26" s="8">
        <f>IFERROR(Calculations!AT24,"")</f>
        <v>-144555.01196076334</v>
      </c>
      <c r="AB26" s="8" t="str">
        <f>IFERROR(Calculations!AU24,"")</f>
        <v/>
      </c>
      <c r="AC26" s="8" t="str">
        <f>IFERROR(Calculations!AV24,"")</f>
        <v/>
      </c>
      <c r="AD26" s="8" t="str">
        <f>IFERROR(Calculations!AW24,"")</f>
        <v/>
      </c>
      <c r="AE26" s="8" t="str">
        <f>IFERROR(Calculations!AX24,"")</f>
        <v/>
      </c>
      <c r="AF26" s="8">
        <f>IFERROR(IF(Calculations!AY24 &lt;&gt; 0, Calculations!AY24, ""),"")</f>
        <v>20178.145939014707</v>
      </c>
      <c r="AG26" s="42">
        <f>IFERROR(IF(Calculations!AZ24 &lt;&gt; 0, Calculations!AZ24, ""),"")</f>
        <v>-6.1021761727711858</v>
      </c>
      <c r="AH26" s="1">
        <f t="shared" si="1"/>
        <v>10</v>
      </c>
      <c r="AI26" s="1">
        <f t="shared" si="2"/>
        <v>450</v>
      </c>
      <c r="AJ26" s="89"/>
      <c r="AK26" s="89"/>
      <c r="AL26" s="89"/>
      <c r="AM26" s="89"/>
      <c r="AN26" s="8" t="str">
        <f>IFERROR(Calculations!BJ24, "")</f>
        <v/>
      </c>
      <c r="AO26" s="8" t="str">
        <f>IFERROR(Calculations!BK24, "")</f>
        <v/>
      </c>
      <c r="AP26" s="8">
        <f>IFERROR(Calculations!BL24, "")</f>
        <v>17.477034885815758</v>
      </c>
      <c r="AQ26" s="8">
        <f>IFERROR(Calculations!BM24, "")</f>
        <v>32.519181477885162</v>
      </c>
      <c r="AR26" s="8" t="str">
        <f>IFERROR(Calculations!BN24, "")</f>
        <v/>
      </c>
      <c r="AS26" s="8" t="str">
        <f>IFERROR(Calculations!BO24, "")</f>
        <v/>
      </c>
      <c r="AT26" s="8" t="str">
        <f>IFERROR(Calculations!BP24, "")</f>
        <v/>
      </c>
      <c r="AU26" s="8" t="str">
        <f>IFERROR(Calculations!BQ24, "")</f>
        <v/>
      </c>
      <c r="AV26" s="8" t="str">
        <f>IFERROR(Calculations!BR24, "")</f>
        <v/>
      </c>
      <c r="AW26" s="89"/>
      <c r="AX26" s="89"/>
      <c r="AY26" s="89"/>
      <c r="AZ26" s="89"/>
      <c r="BA26" s="8" t="str">
        <f>IFERROR(Calculations!BW24, "")</f>
        <v/>
      </c>
      <c r="BB26" s="8" t="str">
        <f>IFERROR(Calculations!BX24, "")</f>
        <v/>
      </c>
      <c r="BC26" s="8" t="str">
        <f>IFERROR(Calculations!BY24, "")</f>
        <v/>
      </c>
      <c r="BD26" s="8">
        <f>IFERROR(Calculations!BZ24, "")</f>
        <v>0</v>
      </c>
      <c r="BE26" s="8">
        <f>IFERROR(Calculations!CA24, "")</f>
        <v>28.104476663994905</v>
      </c>
      <c r="BF26" s="8" t="str">
        <f>IFERROR(Calculations!CB24, "")</f>
        <v/>
      </c>
      <c r="BG26" s="8" t="str">
        <f>IFERROR(Calculations!CC24, "")</f>
        <v/>
      </c>
      <c r="BH26" s="8" t="str">
        <f>IFERROR(Calculations!CD24, "")</f>
        <v/>
      </c>
      <c r="BI26" s="8" t="str">
        <f>IFERROR(Calculations!CE24, "")</f>
        <v/>
      </c>
      <c r="BJ26" s="8">
        <f>IFERROR(IF(Calculations!CF24 &lt;&gt; 0, Calculations!CF24, ""),"")</f>
        <v>-21.891739699706019</v>
      </c>
      <c r="BK26" s="1">
        <f t="shared" si="3"/>
        <v>450</v>
      </c>
      <c r="BL26" s="1">
        <f t="shared" si="4"/>
        <v>10</v>
      </c>
      <c r="CC26" s="1" t="str">
        <f t="shared" si="5"/>
        <v/>
      </c>
      <c r="CD26" s="8" t="str">
        <f t="array" ref="CD26">IFERROR(INDEX(CHOOSE($BO$11,$AF$8:$AF$207,$AG$8:$AG$207,$BJ$8:$BJ$207), MATCH(CD$7&amp;$CC26, $B$8:$B$207&amp;$C$8:$C$207, 0)), "")</f>
        <v/>
      </c>
      <c r="CE26" s="8" t="str">
        <f t="array" ref="CE26">IFERROR(INDEX(CHOOSE($BO$11,$AF$8:$AF$207,$AG$8:$AG$207,$BJ$8:$BJ$207), MATCH(CE$7&amp;$CC26, $B$8:$B$207&amp;$C$8:$C$207, 0)), "")</f>
        <v/>
      </c>
      <c r="CF26" s="8" t="str">
        <f t="array" ref="CF26">IFERROR(INDEX(CHOOSE($BO$11,$AF$8:$AF$207,$AG$8:$AG$207,$BJ$8:$BJ$207), MATCH(CF$7&amp;$CC26, $B$8:$B$207&amp;$C$8:$C$207, 0)), "")</f>
        <v/>
      </c>
      <c r="CG26" s="8" t="str">
        <f t="array" ref="CG26">IFERROR(INDEX(CHOOSE($BO$11,$AF$8:$AF$207,$AG$8:$AG$207,$BJ$8:$BJ$207), MATCH(CG$7&amp;$CC26, $B$8:$B$207&amp;$C$8:$C$207, 0)), "")</f>
        <v/>
      </c>
      <c r="CH26" s="8" t="str">
        <f t="array" ref="CH26">IFERROR(INDEX(CHOOSE($BO$11,$AF$8:$AF$207,$AG$8:$AG$207,$BJ$8:$BJ$207), MATCH(CH$7&amp;$CC26, $B$8:$B$207&amp;$C$8:$C$207, 0)), "")</f>
        <v/>
      </c>
      <c r="CI26" s="8" t="str">
        <f t="array" ref="CI26">IFERROR(INDEX(CHOOSE($BO$11,$AF$8:$AF$207,$AG$8:$AG$207,$BJ$8:$BJ$207), MATCH(CI$7&amp;$CC26, $B$8:$B$207&amp;$C$8:$C$207, 0)), "")</f>
        <v/>
      </c>
      <c r="CJ26" s="8" t="str">
        <f t="array" ref="CJ26">IFERROR(INDEX(CHOOSE($BO$11,$AF$8:$AF$207,$AG$8:$AG$207,$BJ$8:$BJ$207), MATCH(CJ$7&amp;$CC26, $B$8:$B$207&amp;$C$8:$C$207, 0)), "")</f>
        <v/>
      </c>
      <c r="CK26" s="8" t="str">
        <f t="array" ref="CK26">IFERROR(INDEX(CHOOSE($BO$11,$AF$8:$AF$207,$AG$8:$AG$207,$BJ$8:$BJ$207), MATCH(CK$7&amp;$CC26, $B$8:$B$207&amp;$C$8:$C$207, 0)), "")</f>
        <v/>
      </c>
      <c r="CL26" s="8" t="str">
        <f t="array" ref="CL26">IFERROR(INDEX(CHOOSE($BO$11,$AF$8:$AF$207,$AG$8:$AG$207,$BJ$8:$BJ$207), MATCH(CL$7&amp;$CC26, $B$8:$B$207&amp;$C$8:$C$207, 0)), "")</f>
        <v/>
      </c>
      <c r="CM26" s="8" t="str">
        <f t="array" ref="CM26">IFERROR(INDEX(CHOOSE($BO$11,$AF$8:$AF$207,$AG$8:$AG$207,$BJ$8:$BJ$207), MATCH(CM$7&amp;$CC26, $B$8:$B$207&amp;$C$8:$C$207, 0)), "")</f>
        <v/>
      </c>
      <c r="CN26" s="8" t="str">
        <f t="array" ref="CN26">IFERROR(INDEX(CHOOSE($BO$11,$AF$8:$AF$207,$AG$8:$AG$207,$BJ$8:$BJ$207), MATCH(CN$7&amp;$CC26, $B$8:$B$207&amp;$C$8:$C$207, 0)), "")</f>
        <v/>
      </c>
      <c r="CO26" s="8" t="str">
        <f t="array" ref="CO26">IFERROR(INDEX(CHOOSE($BO$11,$AF$8:$AF$207,$AG$8:$AG$207,$BJ$8:$BJ$207), MATCH(CO$7&amp;$CC26, $B$8:$B$207&amp;$C$8:$C$207, 0)), "")</f>
        <v/>
      </c>
      <c r="CP26" s="8" t="str">
        <f t="array" ref="CP26">IFERROR(INDEX(CHOOSE($BO$11,$AF$8:$AF$207,$AG$8:$AG$207,$BJ$8:$BJ$207), MATCH(CP$7&amp;$CC26, $B$8:$B$207&amp;$C$8:$C$207, 0)), "")</f>
        <v/>
      </c>
      <c r="CQ26" s="8" t="str">
        <f t="array" ref="CQ26">IFERROR(INDEX(CHOOSE($BO$11,$AF$8:$AF$207,$AG$8:$AG$207,$BJ$8:$BJ$207), MATCH(CQ$7&amp;$CC26, $B$8:$B$207&amp;$C$8:$C$207, 0)), "")</f>
        <v/>
      </c>
      <c r="CR26" s="8" t="str">
        <f t="array" ref="CR26">IFERROR(INDEX(CHOOSE($BO$11,$AF$8:$AF$207,$AG$8:$AG$207,$BJ$8:$BJ$207), MATCH(CR$7&amp;$CC26, $B$8:$B$207&amp;$C$8:$C$207, 0)), "")</f>
        <v/>
      </c>
      <c r="CS26" s="8" t="str">
        <f t="array" ref="CS26">IFERROR(INDEX(CHOOSE($BO$11,$AF$8:$AF$207,$AG$8:$AG$207,$BJ$8:$BJ$207), MATCH(CS$7&amp;$CC26, $B$8:$B$207&amp;$C$8:$C$207, 0)), "")</f>
        <v/>
      </c>
      <c r="CT26" s="8" t="str">
        <f t="array" ref="CT26">IFERROR(INDEX(CHOOSE($BO$11,$AF$8:$AF$207,$AG$8:$AG$207,$BJ$8:$BJ$207), MATCH(CT$7&amp;$CC26, $B$8:$B$207&amp;$C$8:$C$207, 0)), "")</f>
        <v/>
      </c>
      <c r="CU26" s="8" t="str">
        <f t="array" ref="CU26">IFERROR(INDEX(CHOOSE($BO$11,$AF$8:$AF$207,$AG$8:$AG$207,$BJ$8:$BJ$207), MATCH(CU$7&amp;$CC26, $B$8:$B$207&amp;$C$8:$C$207, 0)), "")</f>
        <v/>
      </c>
      <c r="CV26" s="8" t="str">
        <f t="array" ref="CV26">IFERROR(INDEX(CHOOSE($BO$11,$AF$8:$AF$207,$AG$8:$AG$207,$BJ$8:$BJ$207), MATCH(CV$7&amp;$CC26, $B$8:$B$207&amp;$C$8:$C$207, 0)), "")</f>
        <v/>
      </c>
      <c r="CW26" s="8" t="str">
        <f t="array" ref="CW26">IFERROR(INDEX(CHOOSE($BO$11,$AF$8:$AF$207,$AG$8:$AG$207,$BJ$8:$BJ$207), MATCH(CW$7&amp;$CC26, $B$8:$B$207&amp;$C$8:$C$207, 0)), "")</f>
        <v/>
      </c>
      <c r="CX26" s="8" t="str">
        <f t="array" ref="CX26">IFERROR(INDEX(CHOOSE($BO$11,$AF$8:$AF$207,$AG$8:$AG$207,$BJ$8:$BJ$207), MATCH(CX$7&amp;$CC26, $B$8:$B$207&amp;$C$8:$C$207, 0)), "")</f>
        <v/>
      </c>
      <c r="CY26" s="8" t="str">
        <f t="array" ref="CY26">IFERROR(INDEX(CHOOSE($BO$11,$AF$8:$AF$207,$AG$8:$AG$207,$BJ$8:$BJ$207), MATCH(CY$7&amp;$CC26, $B$8:$B$207&amp;$C$8:$C$207, 0)), "")</f>
        <v/>
      </c>
      <c r="CZ26" s="8" t="str">
        <f t="array" ref="CZ26">IFERROR(INDEX(CHOOSE($BO$11,$AF$8:$AF$207,$AG$8:$AG$207,$BJ$8:$BJ$207), MATCH(CZ$7&amp;$CC26, $B$8:$B$207&amp;$C$8:$C$207, 0)), "")</f>
        <v/>
      </c>
      <c r="DA26" s="8" t="str">
        <f t="array" ref="DA26">IFERROR(INDEX(CHOOSE($BO$11,$AF$8:$AF$207,$AG$8:$AG$207,$BJ$8:$BJ$207), MATCH(DA$7&amp;$CC26, $B$8:$B$207&amp;$C$8:$C$207, 0)), "")</f>
        <v/>
      </c>
      <c r="DB26" s="8" t="str">
        <f t="array" ref="DB26">IFERROR(INDEX(CHOOSE($BO$11,$AF$8:$AF$207,$AG$8:$AG$207,$BJ$8:$BJ$207), MATCH(DB$7&amp;$CC26, $B$8:$B$207&amp;$C$8:$C$207, 0)), "")</f>
        <v/>
      </c>
      <c r="DC26" s="8" t="str">
        <f t="array" ref="DC26">IFERROR(INDEX(CHOOSE($BO$11,$AF$8:$AF$207,$AG$8:$AG$207,$BJ$8:$BJ$207), MATCH(DC$7&amp;$CC26, $B$8:$B$207&amp;$C$8:$C$207, 0)), "")</f>
        <v/>
      </c>
      <c r="DD26" s="8" t="str">
        <f t="array" ref="DD26">IFERROR(INDEX(CHOOSE($BO$11,$AF$8:$AF$207,$AG$8:$AG$207,$BJ$8:$BJ$207), MATCH(DD$7&amp;$CC26, $B$8:$B$207&amp;$C$8:$C$207, 0)), "")</f>
        <v/>
      </c>
      <c r="DE26" s="8" t="str">
        <f t="array" ref="DE26">IFERROR(INDEX(CHOOSE($BO$11,$AF$8:$AF$207,$AG$8:$AG$207,$BJ$8:$BJ$207), MATCH(DE$7&amp;$CC26, $B$8:$B$207&amp;$C$8:$C$207, 0)), "")</f>
        <v/>
      </c>
      <c r="DF26" s="8" t="str">
        <f t="array" ref="DF26">IFERROR(INDEX(CHOOSE($BO$11,$AF$8:$AF$207,$AG$8:$AG$207,$BJ$8:$BJ$207), MATCH(DF$7&amp;$CC26, $B$8:$B$207&amp;$C$8:$C$207, 0)), "")</f>
        <v/>
      </c>
      <c r="DG26" s="8" t="str">
        <f t="array" ref="DG26">IFERROR(INDEX(CHOOSE($BO$11,$AF$8:$AF$207,$AG$8:$AG$207,$BJ$8:$BJ$207), MATCH(DG$7&amp;$CC26, $B$8:$B$207&amp;$C$8:$C$207, 0)), "")</f>
        <v/>
      </c>
      <c r="DH26" s="8"/>
      <c r="DI26" s="8"/>
      <c r="DJ26" s="8"/>
      <c r="DK26" s="8"/>
      <c r="DL26" s="8"/>
      <c r="DM26" s="8"/>
      <c r="DN26" s="8"/>
      <c r="DO26" s="8"/>
      <c r="DP26" s="8"/>
      <c r="DQ26" s="8"/>
      <c r="DR26" s="8"/>
      <c r="DS26" s="8"/>
      <c r="DT26" s="8"/>
      <c r="DU26" s="8"/>
      <c r="DV26" s="8"/>
      <c r="DW26" s="8"/>
      <c r="DX26" s="8"/>
      <c r="DY26" s="8"/>
      <c r="DZ26" s="8"/>
      <c r="EA26" s="8"/>
    </row>
    <row r="27" spans="2:131" x14ac:dyDescent="0.2">
      <c r="B27" s="1">
        <f>IFERROR(Calculations!M25/1000, "")</f>
        <v>10</v>
      </c>
      <c r="C27" s="1">
        <f>Calculations!N25</f>
        <v>500</v>
      </c>
      <c r="D27" s="58">
        <f>IFERROR(Calculations!$Q25,"")</f>
        <v>1.007071744747162</v>
      </c>
      <c r="E27" s="8">
        <f>IFERROR(Calculations!$S25, "")</f>
        <v>24.091171495390629</v>
      </c>
      <c r="F27" s="89"/>
      <c r="G27" s="89"/>
      <c r="H27" s="89"/>
      <c r="I27" s="89"/>
      <c r="J27" s="1" t="str">
        <f>IFERROR(Calculations!AC25, "")</f>
        <v/>
      </c>
      <c r="K27" s="1" t="str">
        <f>IFERROR(Calculations!AD25, "")</f>
        <v/>
      </c>
      <c r="L27" s="8">
        <f>IFERROR(Calculations!AE25,"")</f>
        <v>-64210.031753341362</v>
      </c>
      <c r="M27" s="8">
        <f>IFERROR(Calculations!AF25,"")</f>
        <v>-104332.53223478999</v>
      </c>
      <c r="N27" s="8" t="str">
        <f>IFERROR(Calculations!AG25,"")</f>
        <v/>
      </c>
      <c r="O27" s="8" t="str">
        <f>IFERROR(Calculations!AH25,"")</f>
        <v/>
      </c>
      <c r="P27" s="8" t="str">
        <f>IFERROR(Calculations!AI25,"")</f>
        <v/>
      </c>
      <c r="Q27" s="8" t="str">
        <f>IFERROR(Calculations!AJ25,"")</f>
        <v/>
      </c>
      <c r="R27" s="8" t="str">
        <f>IFERROR(Calculations!AK25,"")</f>
        <v/>
      </c>
      <c r="S27" s="89"/>
      <c r="T27" s="89"/>
      <c r="U27" s="89"/>
      <c r="V27" s="89"/>
      <c r="W27" s="1" t="str">
        <f>IFERROR(Calculations!AP25, "")</f>
        <v/>
      </c>
      <c r="X27" s="1" t="str">
        <f>IFERROR(Calculations!AQ25, "")</f>
        <v/>
      </c>
      <c r="Y27" s="8" t="str">
        <f>IFERROR(Calculations!AR25,"")</f>
        <v/>
      </c>
      <c r="Z27" s="8">
        <f>IFERROR(Calculations!AS25,"")</f>
        <v>0</v>
      </c>
      <c r="AA27" s="8">
        <f>IFERROR(Calculations!AT25,"")</f>
        <v>-145950.0603127295</v>
      </c>
      <c r="AB27" s="8" t="str">
        <f>IFERROR(Calculations!AU25,"")</f>
        <v/>
      </c>
      <c r="AC27" s="8" t="str">
        <f>IFERROR(Calculations!AV25,"")</f>
        <v/>
      </c>
      <c r="AD27" s="8" t="str">
        <f>IFERROR(Calculations!AW25,"")</f>
        <v/>
      </c>
      <c r="AE27" s="8" t="str">
        <f>IFERROR(Calculations!AX25,"")</f>
        <v/>
      </c>
      <c r="AF27" s="8">
        <f>IFERROR(IF(Calculations!AY25 &lt;&gt; 0, Calculations!AY25, ""),"")</f>
        <v>22592.503675401851</v>
      </c>
      <c r="AG27" s="42">
        <f>IFERROR(IF(Calculations!AZ25 &lt;&gt; 0, Calculations!AZ25, ""),"")</f>
        <v>-6.3904652110951243</v>
      </c>
      <c r="AH27" s="1">
        <f t="shared" si="1"/>
        <v>10</v>
      </c>
      <c r="AI27" s="1">
        <f t="shared" si="2"/>
        <v>500</v>
      </c>
      <c r="AJ27" s="89"/>
      <c r="AK27" s="89"/>
      <c r="AL27" s="89"/>
      <c r="AM27" s="89"/>
      <c r="AN27" s="8" t="str">
        <f>IFERROR(Calculations!BJ25, "")</f>
        <v/>
      </c>
      <c r="AO27" s="8" t="str">
        <f>IFERROR(Calculations!BK25, "")</f>
        <v/>
      </c>
      <c r="AP27" s="8">
        <f>IFERROR(Calculations!BL25, "")</f>
        <v>17.888775148311765</v>
      </c>
      <c r="AQ27" s="8">
        <f>IFERROR(Calculations!BM25, "")</f>
        <v>32.949842478067758</v>
      </c>
      <c r="AR27" s="8" t="str">
        <f>IFERROR(Calculations!BN25, "")</f>
        <v/>
      </c>
      <c r="AS27" s="8" t="str">
        <f>IFERROR(Calculations!BO25, "")</f>
        <v/>
      </c>
      <c r="AT27" s="8" t="str">
        <f>IFERROR(Calculations!BP25, "")</f>
        <v/>
      </c>
      <c r="AU27" s="8" t="str">
        <f>IFERROR(Calculations!BQ25, "")</f>
        <v/>
      </c>
      <c r="AV27" s="8" t="str">
        <f>IFERROR(Calculations!BR25, "")</f>
        <v/>
      </c>
      <c r="AW27" s="89"/>
      <c r="AX27" s="89"/>
      <c r="AY27" s="89"/>
      <c r="AZ27" s="89"/>
      <c r="BA27" s="8" t="str">
        <f>IFERROR(Calculations!BW25, "")</f>
        <v/>
      </c>
      <c r="BB27" s="8" t="str">
        <f>IFERROR(Calculations!BX25, "")</f>
        <v/>
      </c>
      <c r="BC27" s="8" t="str">
        <f>IFERROR(Calculations!BY25, "")</f>
        <v/>
      </c>
      <c r="BD27" s="8">
        <f>IFERROR(Calculations!BZ25, "")</f>
        <v>0</v>
      </c>
      <c r="BE27" s="8">
        <f>IFERROR(Calculations!CA25, "")</f>
        <v>27.424465587848342</v>
      </c>
      <c r="BF27" s="8" t="str">
        <f>IFERROR(Calculations!CB25, "")</f>
        <v/>
      </c>
      <c r="BG27" s="8" t="str">
        <f>IFERROR(Calculations!CC25, "")</f>
        <v/>
      </c>
      <c r="BH27" s="8" t="str">
        <f>IFERROR(Calculations!CD25, "")</f>
        <v/>
      </c>
      <c r="BI27" s="8" t="str">
        <f>IFERROR(Calculations!CE25, "")</f>
        <v/>
      </c>
      <c r="BJ27" s="8">
        <f>IFERROR(IF(Calculations!CF25 &lt;&gt; 0, Calculations!CF25, ""),"")</f>
        <v>-23.414152038531181</v>
      </c>
      <c r="BK27" s="1">
        <f t="shared" si="3"/>
        <v>500</v>
      </c>
      <c r="BL27" s="1">
        <f t="shared" si="4"/>
        <v>10</v>
      </c>
      <c r="CC27" s="1" t="str">
        <f t="shared" si="5"/>
        <v/>
      </c>
      <c r="CD27" s="8" t="str">
        <f t="array" ref="CD27">IFERROR(INDEX(CHOOSE($BO$11,$AF$8:$AF$207,$AG$8:$AG$207,$BJ$8:$BJ$207), MATCH(CD$7&amp;$CC27, $B$8:$B$207&amp;$C$8:$C$207, 0)), "")</f>
        <v/>
      </c>
      <c r="CE27" s="8" t="str">
        <f t="array" ref="CE27">IFERROR(INDEX(CHOOSE($BO$11,$AF$8:$AF$207,$AG$8:$AG$207,$BJ$8:$BJ$207), MATCH(CE$7&amp;$CC27, $B$8:$B$207&amp;$C$8:$C$207, 0)), "")</f>
        <v/>
      </c>
      <c r="CF27" s="8" t="str">
        <f t="array" ref="CF27">IFERROR(INDEX(CHOOSE($BO$11,$AF$8:$AF$207,$AG$8:$AG$207,$BJ$8:$BJ$207), MATCH(CF$7&amp;$CC27, $B$8:$B$207&amp;$C$8:$C$207, 0)), "")</f>
        <v/>
      </c>
      <c r="CG27" s="8" t="str">
        <f t="array" ref="CG27">IFERROR(INDEX(CHOOSE($BO$11,$AF$8:$AF$207,$AG$8:$AG$207,$BJ$8:$BJ$207), MATCH(CG$7&amp;$CC27, $B$8:$B$207&amp;$C$8:$C$207, 0)), "")</f>
        <v/>
      </c>
      <c r="CH27" s="8" t="str">
        <f t="array" ref="CH27">IFERROR(INDEX(CHOOSE($BO$11,$AF$8:$AF$207,$AG$8:$AG$207,$BJ$8:$BJ$207), MATCH(CH$7&amp;$CC27, $B$8:$B$207&amp;$C$8:$C$207, 0)), "")</f>
        <v/>
      </c>
      <c r="CI27" s="8" t="str">
        <f t="array" ref="CI27">IFERROR(INDEX(CHOOSE($BO$11,$AF$8:$AF$207,$AG$8:$AG$207,$BJ$8:$BJ$207), MATCH(CI$7&amp;$CC27, $B$8:$B$207&amp;$C$8:$C$207, 0)), "")</f>
        <v/>
      </c>
      <c r="CJ27" s="8" t="str">
        <f t="array" ref="CJ27">IFERROR(INDEX(CHOOSE($BO$11,$AF$8:$AF$207,$AG$8:$AG$207,$BJ$8:$BJ$207), MATCH(CJ$7&amp;$CC27, $B$8:$B$207&amp;$C$8:$C$207, 0)), "")</f>
        <v/>
      </c>
      <c r="CK27" s="8" t="str">
        <f t="array" ref="CK27">IFERROR(INDEX(CHOOSE($BO$11,$AF$8:$AF$207,$AG$8:$AG$207,$BJ$8:$BJ$207), MATCH(CK$7&amp;$CC27, $B$8:$B$207&amp;$C$8:$C$207, 0)), "")</f>
        <v/>
      </c>
      <c r="CL27" s="8" t="str">
        <f t="array" ref="CL27">IFERROR(INDEX(CHOOSE($BO$11,$AF$8:$AF$207,$AG$8:$AG$207,$BJ$8:$BJ$207), MATCH(CL$7&amp;$CC27, $B$8:$B$207&amp;$C$8:$C$207, 0)), "")</f>
        <v/>
      </c>
      <c r="CM27" s="8" t="str">
        <f t="array" ref="CM27">IFERROR(INDEX(CHOOSE($BO$11,$AF$8:$AF$207,$AG$8:$AG$207,$BJ$8:$BJ$207), MATCH(CM$7&amp;$CC27, $B$8:$B$207&amp;$C$8:$C$207, 0)), "")</f>
        <v/>
      </c>
      <c r="CN27" s="8" t="str">
        <f t="array" ref="CN27">IFERROR(INDEX(CHOOSE($BO$11,$AF$8:$AF$207,$AG$8:$AG$207,$BJ$8:$BJ$207), MATCH(CN$7&amp;$CC27, $B$8:$B$207&amp;$C$8:$C$207, 0)), "")</f>
        <v/>
      </c>
      <c r="CO27" s="8" t="str">
        <f t="array" ref="CO27">IFERROR(INDEX(CHOOSE($BO$11,$AF$8:$AF$207,$AG$8:$AG$207,$BJ$8:$BJ$207), MATCH(CO$7&amp;$CC27, $B$8:$B$207&amp;$C$8:$C$207, 0)), "")</f>
        <v/>
      </c>
      <c r="CP27" s="8" t="str">
        <f t="array" ref="CP27">IFERROR(INDEX(CHOOSE($BO$11,$AF$8:$AF$207,$AG$8:$AG$207,$BJ$8:$BJ$207), MATCH(CP$7&amp;$CC27, $B$8:$B$207&amp;$C$8:$C$207, 0)), "")</f>
        <v/>
      </c>
      <c r="CQ27" s="8" t="str">
        <f t="array" ref="CQ27">IFERROR(INDEX(CHOOSE($BO$11,$AF$8:$AF$207,$AG$8:$AG$207,$BJ$8:$BJ$207), MATCH(CQ$7&amp;$CC27, $B$8:$B$207&amp;$C$8:$C$207, 0)), "")</f>
        <v/>
      </c>
      <c r="CR27" s="8" t="str">
        <f t="array" ref="CR27">IFERROR(INDEX(CHOOSE($BO$11,$AF$8:$AF$207,$AG$8:$AG$207,$BJ$8:$BJ$207), MATCH(CR$7&amp;$CC27, $B$8:$B$207&amp;$C$8:$C$207, 0)), "")</f>
        <v/>
      </c>
      <c r="CS27" s="8" t="str">
        <f t="array" ref="CS27">IFERROR(INDEX(CHOOSE($BO$11,$AF$8:$AF$207,$AG$8:$AG$207,$BJ$8:$BJ$207), MATCH(CS$7&amp;$CC27, $B$8:$B$207&amp;$C$8:$C$207, 0)), "")</f>
        <v/>
      </c>
      <c r="CT27" s="8" t="str">
        <f t="array" ref="CT27">IFERROR(INDEX(CHOOSE($BO$11,$AF$8:$AF$207,$AG$8:$AG$207,$BJ$8:$BJ$207), MATCH(CT$7&amp;$CC27, $B$8:$B$207&amp;$C$8:$C$207, 0)), "")</f>
        <v/>
      </c>
      <c r="CU27" s="8" t="str">
        <f t="array" ref="CU27">IFERROR(INDEX(CHOOSE($BO$11,$AF$8:$AF$207,$AG$8:$AG$207,$BJ$8:$BJ$207), MATCH(CU$7&amp;$CC27, $B$8:$B$207&amp;$C$8:$C$207, 0)), "")</f>
        <v/>
      </c>
      <c r="CV27" s="8" t="str">
        <f t="array" ref="CV27">IFERROR(INDEX(CHOOSE($BO$11,$AF$8:$AF$207,$AG$8:$AG$207,$BJ$8:$BJ$207), MATCH(CV$7&amp;$CC27, $B$8:$B$207&amp;$C$8:$C$207, 0)), "")</f>
        <v/>
      </c>
      <c r="CW27" s="8" t="str">
        <f t="array" ref="CW27">IFERROR(INDEX(CHOOSE($BO$11,$AF$8:$AF$207,$AG$8:$AG$207,$BJ$8:$BJ$207), MATCH(CW$7&amp;$CC27, $B$8:$B$207&amp;$C$8:$C$207, 0)), "")</f>
        <v/>
      </c>
      <c r="CX27" s="8" t="str">
        <f t="array" ref="CX27">IFERROR(INDEX(CHOOSE($BO$11,$AF$8:$AF$207,$AG$8:$AG$207,$BJ$8:$BJ$207), MATCH(CX$7&amp;$CC27, $B$8:$B$207&amp;$C$8:$C$207, 0)), "")</f>
        <v/>
      </c>
      <c r="CY27" s="8" t="str">
        <f t="array" ref="CY27">IFERROR(INDEX(CHOOSE($BO$11,$AF$8:$AF$207,$AG$8:$AG$207,$BJ$8:$BJ$207), MATCH(CY$7&amp;$CC27, $B$8:$B$207&amp;$C$8:$C$207, 0)), "")</f>
        <v/>
      </c>
      <c r="CZ27" s="8" t="str">
        <f t="array" ref="CZ27">IFERROR(INDEX(CHOOSE($BO$11,$AF$8:$AF$207,$AG$8:$AG$207,$BJ$8:$BJ$207), MATCH(CZ$7&amp;$CC27, $B$8:$B$207&amp;$C$8:$C$207, 0)), "")</f>
        <v/>
      </c>
      <c r="DA27" s="8" t="str">
        <f t="array" ref="DA27">IFERROR(INDEX(CHOOSE($BO$11,$AF$8:$AF$207,$AG$8:$AG$207,$BJ$8:$BJ$207), MATCH(DA$7&amp;$CC27, $B$8:$B$207&amp;$C$8:$C$207, 0)), "")</f>
        <v/>
      </c>
      <c r="DB27" s="8" t="str">
        <f t="array" ref="DB27">IFERROR(INDEX(CHOOSE($BO$11,$AF$8:$AF$207,$AG$8:$AG$207,$BJ$8:$BJ$207), MATCH(DB$7&amp;$CC27, $B$8:$B$207&amp;$C$8:$C$207, 0)), "")</f>
        <v/>
      </c>
      <c r="DC27" s="8" t="str">
        <f t="array" ref="DC27">IFERROR(INDEX(CHOOSE($BO$11,$AF$8:$AF$207,$AG$8:$AG$207,$BJ$8:$BJ$207), MATCH(DC$7&amp;$CC27, $B$8:$B$207&amp;$C$8:$C$207, 0)), "")</f>
        <v/>
      </c>
      <c r="DD27" s="8" t="str">
        <f t="array" ref="DD27">IFERROR(INDEX(CHOOSE($BO$11,$AF$8:$AF$207,$AG$8:$AG$207,$BJ$8:$BJ$207), MATCH(DD$7&amp;$CC27, $B$8:$B$207&amp;$C$8:$C$207, 0)), "")</f>
        <v/>
      </c>
      <c r="DE27" s="8" t="str">
        <f t="array" ref="DE27">IFERROR(INDEX(CHOOSE($BO$11,$AF$8:$AF$207,$AG$8:$AG$207,$BJ$8:$BJ$207), MATCH(DE$7&amp;$CC27, $B$8:$B$207&amp;$C$8:$C$207, 0)), "")</f>
        <v/>
      </c>
      <c r="DF27" s="8" t="str">
        <f t="array" ref="DF27">IFERROR(INDEX(CHOOSE($BO$11,$AF$8:$AF$207,$AG$8:$AG$207,$BJ$8:$BJ$207), MATCH(DF$7&amp;$CC27, $B$8:$B$207&amp;$C$8:$C$207, 0)), "")</f>
        <v/>
      </c>
      <c r="DG27" s="8" t="str">
        <f t="array" ref="DG27">IFERROR(INDEX(CHOOSE($BO$11,$AF$8:$AF$207,$AG$8:$AG$207,$BJ$8:$BJ$207), MATCH(DG$7&amp;$CC27, $B$8:$B$207&amp;$C$8:$C$207, 0)), "")</f>
        <v/>
      </c>
      <c r="DH27" s="8"/>
      <c r="DI27" s="8"/>
      <c r="DJ27" s="8"/>
      <c r="DK27" s="8"/>
      <c r="DL27" s="8"/>
      <c r="DM27" s="8"/>
      <c r="DN27" s="8"/>
      <c r="DO27" s="8"/>
      <c r="DP27" s="8"/>
      <c r="DQ27" s="8"/>
      <c r="DR27" s="8"/>
      <c r="DS27" s="8"/>
      <c r="DT27" s="8"/>
      <c r="DU27" s="8"/>
      <c r="DV27" s="8"/>
      <c r="DW27" s="8"/>
      <c r="DX27" s="8"/>
      <c r="DY27" s="8"/>
      <c r="DZ27" s="8"/>
      <c r="EA27" s="8"/>
    </row>
    <row r="28" spans="2:131" x14ac:dyDescent="0.2">
      <c r="B28" s="1">
        <f>IFERROR(Calculations!M26/1000, "")</f>
        <v>10</v>
      </c>
      <c r="C28" s="1">
        <f>Calculations!N26</f>
        <v>550</v>
      </c>
      <c r="D28" s="58">
        <f>IFERROR(Calculations!$Q26,"")</f>
        <v>0.98366628645896914</v>
      </c>
      <c r="E28" s="8">
        <f>IFERROR(Calculations!$S26, "")</f>
        <v>21.496448956016682</v>
      </c>
      <c r="F28" s="89"/>
      <c r="G28" s="89"/>
      <c r="H28" s="89"/>
      <c r="I28" s="89"/>
      <c r="J28" s="1" t="str">
        <f>IFERROR(Calculations!AC26, "")</f>
        <v/>
      </c>
      <c r="K28" s="1" t="str">
        <f>IFERROR(Calculations!AD26, "")</f>
        <v/>
      </c>
      <c r="L28" s="8">
        <f>IFERROR(Calculations!AE26,"")</f>
        <v>-65732.885032717299</v>
      </c>
      <c r="M28" s="8">
        <f>IFERROR(Calculations!AF26,"")</f>
        <v>-106723.98032500803</v>
      </c>
      <c r="N28" s="8" t="str">
        <f>IFERROR(Calculations!AG26,"")</f>
        <v/>
      </c>
      <c r="O28" s="8" t="str">
        <f>IFERROR(Calculations!AH26,"")</f>
        <v/>
      </c>
      <c r="P28" s="8" t="str">
        <f>IFERROR(Calculations!AI26,"")</f>
        <v/>
      </c>
      <c r="Q28" s="8" t="str">
        <f>IFERROR(Calculations!AJ26,"")</f>
        <v/>
      </c>
      <c r="R28" s="8" t="str">
        <f>IFERROR(Calculations!AK26,"")</f>
        <v/>
      </c>
      <c r="S28" s="89"/>
      <c r="T28" s="89"/>
      <c r="U28" s="89"/>
      <c r="V28" s="89"/>
      <c r="W28" s="1" t="str">
        <f>IFERROR(Calculations!AP26, "")</f>
        <v/>
      </c>
      <c r="X28" s="1" t="str">
        <f>IFERROR(Calculations!AQ26, "")</f>
        <v/>
      </c>
      <c r="Y28" s="8" t="str">
        <f>IFERROR(Calculations!AR26,"")</f>
        <v/>
      </c>
      <c r="Z28" s="8">
        <f>IFERROR(Calculations!AS26,"")</f>
        <v>0</v>
      </c>
      <c r="AA28" s="8">
        <f>IFERROR(Calculations!AT26,"")</f>
        <v>-147329.74610759955</v>
      </c>
      <c r="AB28" s="8" t="str">
        <f>IFERROR(Calculations!AU26,"")</f>
        <v/>
      </c>
      <c r="AC28" s="8" t="str">
        <f>IFERROR(Calculations!AV26,"")</f>
        <v/>
      </c>
      <c r="AD28" s="8" t="str">
        <f>IFERROR(Calculations!AW26,"")</f>
        <v/>
      </c>
      <c r="AE28" s="8" t="str">
        <f>IFERROR(Calculations!AX26,"")</f>
        <v/>
      </c>
      <c r="AF28" s="8">
        <f>IFERROR(IF(Calculations!AY26 &lt;&gt; 0, Calculations!AY26, ""),"")</f>
        <v>25127.119250125776</v>
      </c>
      <c r="AG28" s="42">
        <f>IFERROR(IF(Calculations!AZ26 &lt;&gt; 0, Calculations!AZ26, ""),"")</f>
        <v>-6.6756812510745664</v>
      </c>
      <c r="AH28" s="1">
        <f t="shared" si="1"/>
        <v>10</v>
      </c>
      <c r="AI28" s="1">
        <f t="shared" si="2"/>
        <v>550</v>
      </c>
      <c r="AJ28" s="89"/>
      <c r="AK28" s="89"/>
      <c r="AL28" s="89"/>
      <c r="AM28" s="89"/>
      <c r="AN28" s="8" t="str">
        <f>IFERROR(Calculations!BJ26, "")</f>
        <v/>
      </c>
      <c r="AO28" s="8" t="str">
        <f>IFERROR(Calculations!BK26, "")</f>
        <v/>
      </c>
      <c r="AP28" s="8">
        <f>IFERROR(Calculations!BL26, "")</f>
        <v>18.314422531295584</v>
      </c>
      <c r="AQ28" s="8">
        <f>IFERROR(Calculations!BM26, "")</f>
        <v>33.433120618780009</v>
      </c>
      <c r="AR28" s="8" t="str">
        <f>IFERROR(Calculations!BN26, "")</f>
        <v/>
      </c>
      <c r="AS28" s="8" t="str">
        <f>IFERROR(Calculations!BO26, "")</f>
        <v/>
      </c>
      <c r="AT28" s="8" t="str">
        <f>IFERROR(Calculations!BP26, "")</f>
        <v/>
      </c>
      <c r="AU28" s="8" t="str">
        <f>IFERROR(Calculations!BQ26, "")</f>
        <v/>
      </c>
      <c r="AV28" s="8" t="str">
        <f>IFERROR(Calculations!BR26, "")</f>
        <v/>
      </c>
      <c r="AW28" s="89"/>
      <c r="AX28" s="89"/>
      <c r="AY28" s="89"/>
      <c r="AZ28" s="89"/>
      <c r="BA28" s="8" t="str">
        <f>IFERROR(Calculations!BW26, "")</f>
        <v/>
      </c>
      <c r="BB28" s="8" t="str">
        <f>IFERROR(Calculations!BX26, "")</f>
        <v/>
      </c>
      <c r="BC28" s="8" t="str">
        <f>IFERROR(Calculations!BY26, "")</f>
        <v/>
      </c>
      <c r="BD28" s="8">
        <f>IFERROR(Calculations!BZ26, "")</f>
        <v>0</v>
      </c>
      <c r="BE28" s="8">
        <f>IFERROR(Calculations!CA26, "")</f>
        <v>26.659793744103403</v>
      </c>
      <c r="BF28" s="8" t="str">
        <f>IFERROR(Calculations!CB26, "")</f>
        <v/>
      </c>
      <c r="BG28" s="8" t="str">
        <f>IFERROR(Calculations!CC26, "")</f>
        <v/>
      </c>
      <c r="BH28" s="8" t="str">
        <f>IFERROR(Calculations!CD26, "")</f>
        <v/>
      </c>
      <c r="BI28" s="8" t="str">
        <f>IFERROR(Calculations!CE26, "")</f>
        <v/>
      </c>
      <c r="BJ28" s="8">
        <f>IFERROR(IF(Calculations!CF26 &lt;&gt; 0, Calculations!CF26, ""),"")</f>
        <v>-25.08774940597219</v>
      </c>
      <c r="BK28" s="1">
        <f t="shared" si="3"/>
        <v>550</v>
      </c>
      <c r="BL28" s="1">
        <f t="shared" si="4"/>
        <v>10</v>
      </c>
      <c r="CC28" s="1" t="str">
        <f t="shared" si="5"/>
        <v/>
      </c>
      <c r="CD28" s="8" t="str">
        <f t="array" ref="CD28">IFERROR(INDEX(CHOOSE($BO$11,$AF$8:$AF$207,$AG$8:$AG$207,$BJ$8:$BJ$207), MATCH(CD$7&amp;$CC28, $B$8:$B$207&amp;$C$8:$C$207, 0)), "")</f>
        <v/>
      </c>
      <c r="CE28" s="8" t="str">
        <f t="array" ref="CE28">IFERROR(INDEX(CHOOSE($BO$11,$AF$8:$AF$207,$AG$8:$AG$207,$BJ$8:$BJ$207), MATCH(CE$7&amp;$CC28, $B$8:$B$207&amp;$C$8:$C$207, 0)), "")</f>
        <v/>
      </c>
      <c r="CF28" s="8" t="str">
        <f t="array" ref="CF28">IFERROR(INDEX(CHOOSE($BO$11,$AF$8:$AF$207,$AG$8:$AG$207,$BJ$8:$BJ$207), MATCH(CF$7&amp;$CC28, $B$8:$B$207&amp;$C$8:$C$207, 0)), "")</f>
        <v/>
      </c>
      <c r="CG28" s="8" t="str">
        <f t="array" ref="CG28">IFERROR(INDEX(CHOOSE($BO$11,$AF$8:$AF$207,$AG$8:$AG$207,$BJ$8:$BJ$207), MATCH(CG$7&amp;$CC28, $B$8:$B$207&amp;$C$8:$C$207, 0)), "")</f>
        <v/>
      </c>
      <c r="CH28" s="8" t="str">
        <f t="array" ref="CH28">IFERROR(INDEX(CHOOSE($BO$11,$AF$8:$AF$207,$AG$8:$AG$207,$BJ$8:$BJ$207), MATCH(CH$7&amp;$CC28, $B$8:$B$207&amp;$C$8:$C$207, 0)), "")</f>
        <v/>
      </c>
      <c r="CI28" s="8" t="str">
        <f t="array" ref="CI28">IFERROR(INDEX(CHOOSE($BO$11,$AF$8:$AF$207,$AG$8:$AG$207,$BJ$8:$BJ$207), MATCH(CI$7&amp;$CC28, $B$8:$B$207&amp;$C$8:$C$207, 0)), "")</f>
        <v/>
      </c>
      <c r="CJ28" s="8" t="str">
        <f t="array" ref="CJ28">IFERROR(INDEX(CHOOSE($BO$11,$AF$8:$AF$207,$AG$8:$AG$207,$BJ$8:$BJ$207), MATCH(CJ$7&amp;$CC28, $B$8:$B$207&amp;$C$8:$C$207, 0)), "")</f>
        <v/>
      </c>
      <c r="CK28" s="8" t="str">
        <f t="array" ref="CK28">IFERROR(INDEX(CHOOSE($BO$11,$AF$8:$AF$207,$AG$8:$AG$207,$BJ$8:$BJ$207), MATCH(CK$7&amp;$CC28, $B$8:$B$207&amp;$C$8:$C$207, 0)), "")</f>
        <v/>
      </c>
      <c r="CL28" s="8" t="str">
        <f t="array" ref="CL28">IFERROR(INDEX(CHOOSE($BO$11,$AF$8:$AF$207,$AG$8:$AG$207,$BJ$8:$BJ$207), MATCH(CL$7&amp;$CC28, $B$8:$B$207&amp;$C$8:$C$207, 0)), "")</f>
        <v/>
      </c>
      <c r="CM28" s="8" t="str">
        <f t="array" ref="CM28">IFERROR(INDEX(CHOOSE($BO$11,$AF$8:$AF$207,$AG$8:$AG$207,$BJ$8:$BJ$207), MATCH(CM$7&amp;$CC28, $B$8:$B$207&amp;$C$8:$C$207, 0)), "")</f>
        <v/>
      </c>
      <c r="CN28" s="8" t="str">
        <f t="array" ref="CN28">IFERROR(INDEX(CHOOSE($BO$11,$AF$8:$AF$207,$AG$8:$AG$207,$BJ$8:$BJ$207), MATCH(CN$7&amp;$CC28, $B$8:$B$207&amp;$C$8:$C$207, 0)), "")</f>
        <v/>
      </c>
      <c r="CO28" s="8" t="str">
        <f t="array" ref="CO28">IFERROR(INDEX(CHOOSE($BO$11,$AF$8:$AF$207,$AG$8:$AG$207,$BJ$8:$BJ$207), MATCH(CO$7&amp;$CC28, $B$8:$B$207&amp;$C$8:$C$207, 0)), "")</f>
        <v/>
      </c>
      <c r="CP28" s="8" t="str">
        <f t="array" ref="CP28">IFERROR(INDEX(CHOOSE($BO$11,$AF$8:$AF$207,$AG$8:$AG$207,$BJ$8:$BJ$207), MATCH(CP$7&amp;$CC28, $B$8:$B$207&amp;$C$8:$C$207, 0)), "")</f>
        <v/>
      </c>
      <c r="CQ28" s="8" t="str">
        <f t="array" ref="CQ28">IFERROR(INDEX(CHOOSE($BO$11,$AF$8:$AF$207,$AG$8:$AG$207,$BJ$8:$BJ$207), MATCH(CQ$7&amp;$CC28, $B$8:$B$207&amp;$C$8:$C$207, 0)), "")</f>
        <v/>
      </c>
      <c r="CR28" s="8" t="str">
        <f t="array" ref="CR28">IFERROR(INDEX(CHOOSE($BO$11,$AF$8:$AF$207,$AG$8:$AG$207,$BJ$8:$BJ$207), MATCH(CR$7&amp;$CC28, $B$8:$B$207&amp;$C$8:$C$207, 0)), "")</f>
        <v/>
      </c>
      <c r="CS28" s="8" t="str">
        <f t="array" ref="CS28">IFERROR(INDEX(CHOOSE($BO$11,$AF$8:$AF$207,$AG$8:$AG$207,$BJ$8:$BJ$207), MATCH(CS$7&amp;$CC28, $B$8:$B$207&amp;$C$8:$C$207, 0)), "")</f>
        <v/>
      </c>
      <c r="CT28" s="8" t="str">
        <f t="array" ref="CT28">IFERROR(INDEX(CHOOSE($BO$11,$AF$8:$AF$207,$AG$8:$AG$207,$BJ$8:$BJ$207), MATCH(CT$7&amp;$CC28, $B$8:$B$207&amp;$C$8:$C$207, 0)), "")</f>
        <v/>
      </c>
      <c r="CU28" s="8" t="str">
        <f t="array" ref="CU28">IFERROR(INDEX(CHOOSE($BO$11,$AF$8:$AF$207,$AG$8:$AG$207,$BJ$8:$BJ$207), MATCH(CU$7&amp;$CC28, $B$8:$B$207&amp;$C$8:$C$207, 0)), "")</f>
        <v/>
      </c>
      <c r="CV28" s="8" t="str">
        <f t="array" ref="CV28">IFERROR(INDEX(CHOOSE($BO$11,$AF$8:$AF$207,$AG$8:$AG$207,$BJ$8:$BJ$207), MATCH(CV$7&amp;$CC28, $B$8:$B$207&amp;$C$8:$C$207, 0)), "")</f>
        <v/>
      </c>
      <c r="CW28" s="8" t="str">
        <f t="array" ref="CW28">IFERROR(INDEX(CHOOSE($BO$11,$AF$8:$AF$207,$AG$8:$AG$207,$BJ$8:$BJ$207), MATCH(CW$7&amp;$CC28, $B$8:$B$207&amp;$C$8:$C$207, 0)), "")</f>
        <v/>
      </c>
      <c r="CX28" s="8" t="str">
        <f t="array" ref="CX28">IFERROR(INDEX(CHOOSE($BO$11,$AF$8:$AF$207,$AG$8:$AG$207,$BJ$8:$BJ$207), MATCH(CX$7&amp;$CC28, $B$8:$B$207&amp;$C$8:$C$207, 0)), "")</f>
        <v/>
      </c>
      <c r="CY28" s="8" t="str">
        <f t="array" ref="CY28">IFERROR(INDEX(CHOOSE($BO$11,$AF$8:$AF$207,$AG$8:$AG$207,$BJ$8:$BJ$207), MATCH(CY$7&amp;$CC28, $B$8:$B$207&amp;$C$8:$C$207, 0)), "")</f>
        <v/>
      </c>
      <c r="CZ28" s="8" t="str">
        <f t="array" ref="CZ28">IFERROR(INDEX(CHOOSE($BO$11,$AF$8:$AF$207,$AG$8:$AG$207,$BJ$8:$BJ$207), MATCH(CZ$7&amp;$CC28, $B$8:$B$207&amp;$C$8:$C$207, 0)), "")</f>
        <v/>
      </c>
      <c r="DA28" s="8" t="str">
        <f t="array" ref="DA28">IFERROR(INDEX(CHOOSE($BO$11,$AF$8:$AF$207,$AG$8:$AG$207,$BJ$8:$BJ$207), MATCH(DA$7&amp;$CC28, $B$8:$B$207&amp;$C$8:$C$207, 0)), "")</f>
        <v/>
      </c>
      <c r="DB28" s="8" t="str">
        <f t="array" ref="DB28">IFERROR(INDEX(CHOOSE($BO$11,$AF$8:$AF$207,$AG$8:$AG$207,$BJ$8:$BJ$207), MATCH(DB$7&amp;$CC28, $B$8:$B$207&amp;$C$8:$C$207, 0)), "")</f>
        <v/>
      </c>
      <c r="DC28" s="8" t="str">
        <f t="array" ref="DC28">IFERROR(INDEX(CHOOSE($BO$11,$AF$8:$AF$207,$AG$8:$AG$207,$BJ$8:$BJ$207), MATCH(DC$7&amp;$CC28, $B$8:$B$207&amp;$C$8:$C$207, 0)), "")</f>
        <v/>
      </c>
      <c r="DD28" s="8" t="str">
        <f t="array" ref="DD28">IFERROR(INDEX(CHOOSE($BO$11,$AF$8:$AF$207,$AG$8:$AG$207,$BJ$8:$BJ$207), MATCH(DD$7&amp;$CC28, $B$8:$B$207&amp;$C$8:$C$207, 0)), "")</f>
        <v/>
      </c>
      <c r="DE28" s="8" t="str">
        <f t="array" ref="DE28">IFERROR(INDEX(CHOOSE($BO$11,$AF$8:$AF$207,$AG$8:$AG$207,$BJ$8:$BJ$207), MATCH(DE$7&amp;$CC28, $B$8:$B$207&amp;$C$8:$C$207, 0)), "")</f>
        <v/>
      </c>
      <c r="DF28" s="8" t="str">
        <f t="array" ref="DF28">IFERROR(INDEX(CHOOSE($BO$11,$AF$8:$AF$207,$AG$8:$AG$207,$BJ$8:$BJ$207), MATCH(DF$7&amp;$CC28, $B$8:$B$207&amp;$C$8:$C$207, 0)), "")</f>
        <v/>
      </c>
      <c r="DG28" s="8" t="str">
        <f t="array" ref="DG28">IFERROR(INDEX(CHOOSE($BO$11,$AF$8:$AF$207,$AG$8:$AG$207,$BJ$8:$BJ$207), MATCH(DG$7&amp;$CC28, $B$8:$B$207&amp;$C$8:$C$207, 0)), "")</f>
        <v/>
      </c>
      <c r="DH28" s="8"/>
      <c r="DI28" s="8"/>
      <c r="DJ28" s="8"/>
      <c r="DK28" s="8"/>
      <c r="DL28" s="8"/>
      <c r="DM28" s="8"/>
      <c r="DN28" s="8"/>
      <c r="DO28" s="8"/>
      <c r="DP28" s="8"/>
      <c r="DQ28" s="8"/>
      <c r="DR28" s="8"/>
      <c r="DS28" s="8"/>
      <c r="DT28" s="8"/>
      <c r="DU28" s="8"/>
      <c r="DV28" s="8"/>
      <c r="DW28" s="8"/>
      <c r="DX28" s="8"/>
      <c r="DY28" s="8"/>
      <c r="DZ28" s="8"/>
      <c r="EA28" s="8"/>
    </row>
    <row r="29" spans="2:131" x14ac:dyDescent="0.2">
      <c r="B29" s="1">
        <f>IFERROR(Calculations!M27/1000, "")</f>
        <v>10</v>
      </c>
      <c r="C29" s="1">
        <f>Calculations!N27</f>
        <v>600</v>
      </c>
      <c r="D29" s="58">
        <f>IFERROR(Calculations!$Q27,"")</f>
        <v>0.96067984714746479</v>
      </c>
      <c r="E29" s="8">
        <f>IFERROR(Calculations!$S27, "")</f>
        <v>19.248241926725267</v>
      </c>
      <c r="F29" s="89"/>
      <c r="G29" s="89"/>
      <c r="H29" s="89"/>
      <c r="I29" s="89"/>
      <c r="J29" s="1" t="str">
        <f>IFERROR(Calculations!AC27, "")</f>
        <v/>
      </c>
      <c r="K29" s="1" t="str">
        <f>IFERROR(Calculations!AD27, "")</f>
        <v/>
      </c>
      <c r="L29" s="8">
        <f>IFERROR(Calculations!AE27,"")</f>
        <v>-67287.608607038332</v>
      </c>
      <c r="M29" s="8">
        <f>IFERROR(Calculations!AF27,"")</f>
        <v>-109176.15587752072</v>
      </c>
      <c r="N29" s="8" t="str">
        <f>IFERROR(Calculations!AG27,"")</f>
        <v/>
      </c>
      <c r="O29" s="8" t="str">
        <f>IFERROR(Calculations!AH27,"")</f>
        <v/>
      </c>
      <c r="P29" s="8" t="str">
        <f>IFERROR(Calculations!AI27,"")</f>
        <v/>
      </c>
      <c r="Q29" s="8" t="str">
        <f>IFERROR(Calculations!AJ27,"")</f>
        <v/>
      </c>
      <c r="R29" s="8" t="str">
        <f>IFERROR(Calculations!AK27,"")</f>
        <v/>
      </c>
      <c r="S29" s="89"/>
      <c r="T29" s="89"/>
      <c r="U29" s="89"/>
      <c r="V29" s="89"/>
      <c r="W29" s="1" t="str">
        <f>IFERROR(Calculations!AP27, "")</f>
        <v/>
      </c>
      <c r="X29" s="1" t="str">
        <f>IFERROR(Calculations!AQ27, "")</f>
        <v/>
      </c>
      <c r="Y29" s="8" t="str">
        <f>IFERROR(Calculations!AR27,"")</f>
        <v/>
      </c>
      <c r="Z29" s="8">
        <f>IFERROR(Calculations!AS27,"")</f>
        <v>0</v>
      </c>
      <c r="AA29" s="8">
        <f>IFERROR(Calculations!AT27,"")</f>
        <v>-148689.57205300726</v>
      </c>
      <c r="AB29" s="8" t="str">
        <f>IFERROR(Calculations!AU27,"")</f>
        <v/>
      </c>
      <c r="AC29" s="8" t="str">
        <f>IFERROR(Calculations!AV27,"")</f>
        <v/>
      </c>
      <c r="AD29" s="8" t="str">
        <f>IFERROR(Calculations!AW27,"")</f>
        <v/>
      </c>
      <c r="AE29" s="8" t="str">
        <f>IFERROR(Calculations!AX27,"")</f>
        <v/>
      </c>
      <c r="AF29" s="8">
        <f>IFERROR(IF(Calculations!AY27 &lt;&gt; 0, Calculations!AY27, ""),"")</f>
        <v>27774.192431551812</v>
      </c>
      <c r="AG29" s="42">
        <f>IFERROR(IF(Calculations!AZ27 &lt;&gt; 0, Calculations!AZ27, ""),"")</f>
        <v>-6.9563985417072596</v>
      </c>
      <c r="AH29" s="1">
        <f t="shared" si="1"/>
        <v>10</v>
      </c>
      <c r="AI29" s="1">
        <f t="shared" si="2"/>
        <v>600</v>
      </c>
      <c r="AJ29" s="89"/>
      <c r="AK29" s="89"/>
      <c r="AL29" s="89"/>
      <c r="AM29" s="89"/>
      <c r="AN29" s="8" t="str">
        <f>IFERROR(Calculations!BJ27, "")</f>
        <v/>
      </c>
      <c r="AO29" s="8" t="str">
        <f>IFERROR(Calculations!BK27, "")</f>
        <v/>
      </c>
      <c r="AP29" s="8">
        <f>IFERROR(Calculations!BL27, "")</f>
        <v>18.752636534941953</v>
      </c>
      <c r="AQ29" s="8">
        <f>IFERROR(Calculations!BM27, "")</f>
        <v>33.971923912383637</v>
      </c>
      <c r="AR29" s="8" t="str">
        <f>IFERROR(Calculations!BN27, "")</f>
        <v/>
      </c>
      <c r="AS29" s="8" t="str">
        <f>IFERROR(Calculations!BO27, "")</f>
        <v/>
      </c>
      <c r="AT29" s="8" t="str">
        <f>IFERROR(Calculations!BP27, "")</f>
        <v/>
      </c>
      <c r="AU29" s="8" t="str">
        <f>IFERROR(Calculations!BQ27, "")</f>
        <v/>
      </c>
      <c r="AV29" s="8" t="str">
        <f>IFERROR(Calculations!BR27, "")</f>
        <v/>
      </c>
      <c r="AW29" s="89"/>
      <c r="AX29" s="89"/>
      <c r="AY29" s="89"/>
      <c r="AZ29" s="89"/>
      <c r="BA29" s="8" t="str">
        <f>IFERROR(Calculations!BW27, "")</f>
        <v/>
      </c>
      <c r="BB29" s="8" t="str">
        <f>IFERROR(Calculations!BX27, "")</f>
        <v/>
      </c>
      <c r="BC29" s="8" t="str">
        <f>IFERROR(Calculations!BY27, "")</f>
        <v/>
      </c>
      <c r="BD29" s="8">
        <f>IFERROR(Calculations!BZ27, "")</f>
        <v>0</v>
      </c>
      <c r="BE29" s="8">
        <f>IFERROR(Calculations!CA27, "")</f>
        <v>25.806045178931722</v>
      </c>
      <c r="BF29" s="8" t="str">
        <f>IFERROR(Calculations!CB27, "")</f>
        <v/>
      </c>
      <c r="BG29" s="8" t="str">
        <f>IFERROR(Calculations!CC27, "")</f>
        <v/>
      </c>
      <c r="BH29" s="8" t="str">
        <f>IFERROR(Calculations!CD27, "")</f>
        <v/>
      </c>
      <c r="BI29" s="8" t="str">
        <f>IFERROR(Calculations!CE27, "")</f>
        <v/>
      </c>
      <c r="BJ29" s="8">
        <f>IFERROR(IF(Calculations!CF27 &lt;&gt; 0, Calculations!CF27, ""),"")</f>
        <v>-26.918515268393865</v>
      </c>
      <c r="BK29" s="1">
        <f t="shared" si="3"/>
        <v>600</v>
      </c>
      <c r="BL29" s="1">
        <f t="shared" si="4"/>
        <v>10</v>
      </c>
      <c r="CC29" s="1" t="str">
        <f t="shared" si="5"/>
        <v/>
      </c>
      <c r="CD29" s="8" t="str">
        <f t="array" ref="CD29">IFERROR(INDEX(CHOOSE($BO$11,$AF$8:$AF$207,$AG$8:$AG$207,$BJ$8:$BJ$207), MATCH(CD$7&amp;$CC29, $B$8:$B$207&amp;$C$8:$C$207, 0)), "")</f>
        <v/>
      </c>
      <c r="CE29" s="8" t="str">
        <f t="array" ref="CE29">IFERROR(INDEX(CHOOSE($BO$11,$AF$8:$AF$207,$AG$8:$AG$207,$BJ$8:$BJ$207), MATCH(CE$7&amp;$CC29, $B$8:$B$207&amp;$C$8:$C$207, 0)), "")</f>
        <v/>
      </c>
      <c r="CF29" s="8" t="str">
        <f t="array" ref="CF29">IFERROR(INDEX(CHOOSE($BO$11,$AF$8:$AF$207,$AG$8:$AG$207,$BJ$8:$BJ$207), MATCH(CF$7&amp;$CC29, $B$8:$B$207&amp;$C$8:$C$207, 0)), "")</f>
        <v/>
      </c>
      <c r="CG29" s="8" t="str">
        <f t="array" ref="CG29">IFERROR(INDEX(CHOOSE($BO$11,$AF$8:$AF$207,$AG$8:$AG$207,$BJ$8:$BJ$207), MATCH(CG$7&amp;$CC29, $B$8:$B$207&amp;$C$8:$C$207, 0)), "")</f>
        <v/>
      </c>
      <c r="CH29" s="8" t="str">
        <f t="array" ref="CH29">IFERROR(INDEX(CHOOSE($BO$11,$AF$8:$AF$207,$AG$8:$AG$207,$BJ$8:$BJ$207), MATCH(CH$7&amp;$CC29, $B$8:$B$207&amp;$C$8:$C$207, 0)), "")</f>
        <v/>
      </c>
      <c r="CI29" s="8" t="str">
        <f t="array" ref="CI29">IFERROR(INDEX(CHOOSE($BO$11,$AF$8:$AF$207,$AG$8:$AG$207,$BJ$8:$BJ$207), MATCH(CI$7&amp;$CC29, $B$8:$B$207&amp;$C$8:$C$207, 0)), "")</f>
        <v/>
      </c>
      <c r="CJ29" s="8" t="str">
        <f t="array" ref="CJ29">IFERROR(INDEX(CHOOSE($BO$11,$AF$8:$AF$207,$AG$8:$AG$207,$BJ$8:$BJ$207), MATCH(CJ$7&amp;$CC29, $B$8:$B$207&amp;$C$8:$C$207, 0)), "")</f>
        <v/>
      </c>
      <c r="CK29" s="8" t="str">
        <f t="array" ref="CK29">IFERROR(INDEX(CHOOSE($BO$11,$AF$8:$AF$207,$AG$8:$AG$207,$BJ$8:$BJ$207), MATCH(CK$7&amp;$CC29, $B$8:$B$207&amp;$C$8:$C$207, 0)), "")</f>
        <v/>
      </c>
      <c r="CL29" s="8" t="str">
        <f t="array" ref="CL29">IFERROR(INDEX(CHOOSE($BO$11,$AF$8:$AF$207,$AG$8:$AG$207,$BJ$8:$BJ$207), MATCH(CL$7&amp;$CC29, $B$8:$B$207&amp;$C$8:$C$207, 0)), "")</f>
        <v/>
      </c>
      <c r="CM29" s="8" t="str">
        <f t="array" ref="CM29">IFERROR(INDEX(CHOOSE($BO$11,$AF$8:$AF$207,$AG$8:$AG$207,$BJ$8:$BJ$207), MATCH(CM$7&amp;$CC29, $B$8:$B$207&amp;$C$8:$C$207, 0)), "")</f>
        <v/>
      </c>
      <c r="CN29" s="8" t="str">
        <f t="array" ref="CN29">IFERROR(INDEX(CHOOSE($BO$11,$AF$8:$AF$207,$AG$8:$AG$207,$BJ$8:$BJ$207), MATCH(CN$7&amp;$CC29, $B$8:$B$207&amp;$C$8:$C$207, 0)), "")</f>
        <v/>
      </c>
      <c r="CO29" s="8" t="str">
        <f t="array" ref="CO29">IFERROR(INDEX(CHOOSE($BO$11,$AF$8:$AF$207,$AG$8:$AG$207,$BJ$8:$BJ$207), MATCH(CO$7&amp;$CC29, $B$8:$B$207&amp;$C$8:$C$207, 0)), "")</f>
        <v/>
      </c>
      <c r="CP29" s="8" t="str">
        <f t="array" ref="CP29">IFERROR(INDEX(CHOOSE($BO$11,$AF$8:$AF$207,$AG$8:$AG$207,$BJ$8:$BJ$207), MATCH(CP$7&amp;$CC29, $B$8:$B$207&amp;$C$8:$C$207, 0)), "")</f>
        <v/>
      </c>
      <c r="CQ29" s="8" t="str">
        <f t="array" ref="CQ29">IFERROR(INDEX(CHOOSE($BO$11,$AF$8:$AF$207,$AG$8:$AG$207,$BJ$8:$BJ$207), MATCH(CQ$7&amp;$CC29, $B$8:$B$207&amp;$C$8:$C$207, 0)), "")</f>
        <v/>
      </c>
      <c r="CR29" s="8" t="str">
        <f t="array" ref="CR29">IFERROR(INDEX(CHOOSE($BO$11,$AF$8:$AF$207,$AG$8:$AG$207,$BJ$8:$BJ$207), MATCH(CR$7&amp;$CC29, $B$8:$B$207&amp;$C$8:$C$207, 0)), "")</f>
        <v/>
      </c>
      <c r="CS29" s="8" t="str">
        <f t="array" ref="CS29">IFERROR(INDEX(CHOOSE($BO$11,$AF$8:$AF$207,$AG$8:$AG$207,$BJ$8:$BJ$207), MATCH(CS$7&amp;$CC29, $B$8:$B$207&amp;$C$8:$C$207, 0)), "")</f>
        <v/>
      </c>
      <c r="CT29" s="8" t="str">
        <f t="array" ref="CT29">IFERROR(INDEX(CHOOSE($BO$11,$AF$8:$AF$207,$AG$8:$AG$207,$BJ$8:$BJ$207), MATCH(CT$7&amp;$CC29, $B$8:$B$207&amp;$C$8:$C$207, 0)), "")</f>
        <v/>
      </c>
      <c r="CU29" s="8" t="str">
        <f t="array" ref="CU29">IFERROR(INDEX(CHOOSE($BO$11,$AF$8:$AF$207,$AG$8:$AG$207,$BJ$8:$BJ$207), MATCH(CU$7&amp;$CC29, $B$8:$B$207&amp;$C$8:$C$207, 0)), "")</f>
        <v/>
      </c>
      <c r="CV29" s="8" t="str">
        <f t="array" ref="CV29">IFERROR(INDEX(CHOOSE($BO$11,$AF$8:$AF$207,$AG$8:$AG$207,$BJ$8:$BJ$207), MATCH(CV$7&amp;$CC29, $B$8:$B$207&amp;$C$8:$C$207, 0)), "")</f>
        <v/>
      </c>
      <c r="CW29" s="8" t="str">
        <f t="array" ref="CW29">IFERROR(INDEX(CHOOSE($BO$11,$AF$8:$AF$207,$AG$8:$AG$207,$BJ$8:$BJ$207), MATCH(CW$7&amp;$CC29, $B$8:$B$207&amp;$C$8:$C$207, 0)), "")</f>
        <v/>
      </c>
      <c r="CX29" s="8" t="str">
        <f t="array" ref="CX29">IFERROR(INDEX(CHOOSE($BO$11,$AF$8:$AF$207,$AG$8:$AG$207,$BJ$8:$BJ$207), MATCH(CX$7&amp;$CC29, $B$8:$B$207&amp;$C$8:$C$207, 0)), "")</f>
        <v/>
      </c>
      <c r="CY29" s="8" t="str">
        <f t="array" ref="CY29">IFERROR(INDEX(CHOOSE($BO$11,$AF$8:$AF$207,$AG$8:$AG$207,$BJ$8:$BJ$207), MATCH(CY$7&amp;$CC29, $B$8:$B$207&amp;$C$8:$C$207, 0)), "")</f>
        <v/>
      </c>
      <c r="CZ29" s="8" t="str">
        <f t="array" ref="CZ29">IFERROR(INDEX(CHOOSE($BO$11,$AF$8:$AF$207,$AG$8:$AG$207,$BJ$8:$BJ$207), MATCH(CZ$7&amp;$CC29, $B$8:$B$207&amp;$C$8:$C$207, 0)), "")</f>
        <v/>
      </c>
      <c r="DA29" s="8" t="str">
        <f t="array" ref="DA29">IFERROR(INDEX(CHOOSE($BO$11,$AF$8:$AF$207,$AG$8:$AG$207,$BJ$8:$BJ$207), MATCH(DA$7&amp;$CC29, $B$8:$B$207&amp;$C$8:$C$207, 0)), "")</f>
        <v/>
      </c>
      <c r="DB29" s="8" t="str">
        <f t="array" ref="DB29">IFERROR(INDEX(CHOOSE($BO$11,$AF$8:$AF$207,$AG$8:$AG$207,$BJ$8:$BJ$207), MATCH(DB$7&amp;$CC29, $B$8:$B$207&amp;$C$8:$C$207, 0)), "")</f>
        <v/>
      </c>
      <c r="DC29" s="8" t="str">
        <f t="array" ref="DC29">IFERROR(INDEX(CHOOSE($BO$11,$AF$8:$AF$207,$AG$8:$AG$207,$BJ$8:$BJ$207), MATCH(DC$7&amp;$CC29, $B$8:$B$207&amp;$C$8:$C$207, 0)), "")</f>
        <v/>
      </c>
      <c r="DD29" s="8" t="str">
        <f t="array" ref="DD29">IFERROR(INDEX(CHOOSE($BO$11,$AF$8:$AF$207,$AG$8:$AG$207,$BJ$8:$BJ$207), MATCH(DD$7&amp;$CC29, $B$8:$B$207&amp;$C$8:$C$207, 0)), "")</f>
        <v/>
      </c>
      <c r="DE29" s="8" t="str">
        <f t="array" ref="DE29">IFERROR(INDEX(CHOOSE($BO$11,$AF$8:$AF$207,$AG$8:$AG$207,$BJ$8:$BJ$207), MATCH(DE$7&amp;$CC29, $B$8:$B$207&amp;$C$8:$C$207, 0)), "")</f>
        <v/>
      </c>
      <c r="DF29" s="8" t="str">
        <f t="array" ref="DF29">IFERROR(INDEX(CHOOSE($BO$11,$AF$8:$AF$207,$AG$8:$AG$207,$BJ$8:$BJ$207), MATCH(DF$7&amp;$CC29, $B$8:$B$207&amp;$C$8:$C$207, 0)), "")</f>
        <v/>
      </c>
      <c r="DG29" s="8" t="str">
        <f t="array" ref="DG29">IFERROR(INDEX(CHOOSE($BO$11,$AF$8:$AF$207,$AG$8:$AG$207,$BJ$8:$BJ$207), MATCH(DG$7&amp;$CC29, $B$8:$B$207&amp;$C$8:$C$207, 0)), "")</f>
        <v/>
      </c>
      <c r="DH29" s="8"/>
      <c r="DI29" s="8"/>
      <c r="DJ29" s="8"/>
      <c r="DK29" s="8"/>
      <c r="DL29" s="8"/>
      <c r="DM29" s="8"/>
      <c r="DN29" s="8"/>
      <c r="DO29" s="8"/>
      <c r="DP29" s="8"/>
      <c r="DQ29" s="8"/>
      <c r="DR29" s="8"/>
      <c r="DS29" s="8"/>
      <c r="DT29" s="8"/>
      <c r="DU29" s="8"/>
      <c r="DV29" s="8"/>
      <c r="DW29" s="8"/>
      <c r="DX29" s="8"/>
      <c r="DY29" s="8"/>
      <c r="DZ29" s="8"/>
      <c r="EA29" s="8"/>
    </row>
    <row r="30" spans="2:131" x14ac:dyDescent="0.2">
      <c r="B30" s="1">
        <f>IFERROR(Calculations!M28/1000, "")</f>
        <v>10</v>
      </c>
      <c r="C30" s="1">
        <f>Calculations!N28</f>
        <v>650</v>
      </c>
      <c r="D30" s="58">
        <f>IFERROR(Calculations!$Q28,"")</f>
        <v>0.93819348880529407</v>
      </c>
      <c r="E30" s="8">
        <f>IFERROR(Calculations!$S28, "")</f>
        <v>17.294287760748759</v>
      </c>
      <c r="F30" s="89"/>
      <c r="G30" s="89"/>
      <c r="H30" s="89"/>
      <c r="I30" s="89"/>
      <c r="J30" s="1" t="str">
        <f>IFERROR(Calculations!AC28, "")</f>
        <v/>
      </c>
      <c r="K30" s="1" t="str">
        <f>IFERROR(Calculations!AD28, "")</f>
        <v/>
      </c>
      <c r="L30" s="8">
        <f>IFERROR(Calculations!AE28,"")</f>
        <v>-68887.084178311779</v>
      </c>
      <c r="M30" s="8">
        <f>IFERROR(Calculations!AF28,"")</f>
        <v>-111688.49990044355</v>
      </c>
      <c r="N30" s="8" t="str">
        <f>IFERROR(Calculations!AG28,"")</f>
        <v/>
      </c>
      <c r="O30" s="8" t="str">
        <f>IFERROR(Calculations!AH28,"")</f>
        <v/>
      </c>
      <c r="P30" s="8" t="str">
        <f>IFERROR(Calculations!AI28,"")</f>
        <v/>
      </c>
      <c r="Q30" s="8" t="str">
        <f>IFERROR(Calculations!AJ28,"")</f>
        <v/>
      </c>
      <c r="R30" s="8" t="str">
        <f>IFERROR(Calculations!AK28,"")</f>
        <v/>
      </c>
      <c r="S30" s="89"/>
      <c r="T30" s="89"/>
      <c r="U30" s="89"/>
      <c r="V30" s="89"/>
      <c r="W30" s="1" t="str">
        <f>IFERROR(Calculations!AP28, "")</f>
        <v/>
      </c>
      <c r="X30" s="1" t="str">
        <f>IFERROR(Calculations!AQ28, "")</f>
        <v/>
      </c>
      <c r="Y30" s="8" t="str">
        <f>IFERROR(Calculations!AR28,"")</f>
        <v/>
      </c>
      <c r="Z30" s="8">
        <f>IFERROR(Calculations!AS28,"")</f>
        <v>0</v>
      </c>
      <c r="AA30" s="8">
        <f>IFERROR(Calculations!AT28,"")</f>
        <v>-150025.81746658677</v>
      </c>
      <c r="AB30" s="8" t="str">
        <f>IFERROR(Calculations!AU28,"")</f>
        <v/>
      </c>
      <c r="AC30" s="8" t="str">
        <f>IFERROR(Calculations!AV28,"")</f>
        <v/>
      </c>
      <c r="AD30" s="8" t="str">
        <f>IFERROR(Calculations!AW28,"")</f>
        <v/>
      </c>
      <c r="AE30" s="8" t="str">
        <f>IFERROR(Calculations!AX28,"")</f>
        <v/>
      </c>
      <c r="AF30" s="8">
        <f>IFERROR(IF(Calculations!AY28 &lt;&gt; 0, Calculations!AY28, ""),"")</f>
        <v>30549.766612168576</v>
      </c>
      <c r="AG30" s="42">
        <f>IFERROR(IF(Calculations!AZ28 &lt;&gt; 0, Calculations!AZ28, ""),"")</f>
        <v>-7.2371487037799653</v>
      </c>
      <c r="AH30" s="1">
        <f t="shared" si="1"/>
        <v>10</v>
      </c>
      <c r="AI30" s="1">
        <f t="shared" si="2"/>
        <v>650</v>
      </c>
      <c r="AJ30" s="89"/>
      <c r="AK30" s="89"/>
      <c r="AL30" s="89"/>
      <c r="AM30" s="89"/>
      <c r="AN30" s="8" t="str">
        <f>IFERROR(Calculations!BJ28, "")</f>
        <v/>
      </c>
      <c r="AO30" s="8" t="str">
        <f>IFERROR(Calculations!BK28, "")</f>
        <v/>
      </c>
      <c r="AP30" s="8">
        <f>IFERROR(Calculations!BL28, "")</f>
        <v>19.202094466612486</v>
      </c>
      <c r="AQ30" s="8">
        <f>IFERROR(Calculations!BM28, "")</f>
        <v>34.568672810682926</v>
      </c>
      <c r="AR30" s="8" t="str">
        <f>IFERROR(Calculations!BN28, "")</f>
        <v/>
      </c>
      <c r="AS30" s="8" t="str">
        <f>IFERROR(Calculations!BO28, "")</f>
        <v/>
      </c>
      <c r="AT30" s="8" t="str">
        <f>IFERROR(Calculations!BP28, "")</f>
        <v/>
      </c>
      <c r="AU30" s="8" t="str">
        <f>IFERROR(Calculations!BQ28, "")</f>
        <v/>
      </c>
      <c r="AV30" s="8" t="str">
        <f>IFERROR(Calculations!BR28, "")</f>
        <v/>
      </c>
      <c r="AW30" s="89"/>
      <c r="AX30" s="89"/>
      <c r="AY30" s="89"/>
      <c r="AZ30" s="89"/>
      <c r="BA30" s="8" t="str">
        <f>IFERROR(Calculations!BW28, "")</f>
        <v/>
      </c>
      <c r="BB30" s="8" t="str">
        <f>IFERROR(Calculations!BX28, "")</f>
        <v/>
      </c>
      <c r="BC30" s="8" t="str">
        <f>IFERROR(Calculations!BY28, "")</f>
        <v/>
      </c>
      <c r="BD30" s="8">
        <f>IFERROR(Calculations!BZ28, "")</f>
        <v>0</v>
      </c>
      <c r="BE30" s="8">
        <f>IFERROR(Calculations!CA28, "")</f>
        <v>24.859518810928652</v>
      </c>
      <c r="BF30" s="8" t="str">
        <f>IFERROR(Calculations!CB28, "")</f>
        <v/>
      </c>
      <c r="BG30" s="8" t="str">
        <f>IFERROR(Calculations!CC28, "")</f>
        <v/>
      </c>
      <c r="BH30" s="8" t="str">
        <f>IFERROR(Calculations!CD28, "")</f>
        <v/>
      </c>
      <c r="BI30" s="8" t="str">
        <f>IFERROR(Calculations!CE28, "")</f>
        <v/>
      </c>
      <c r="BJ30" s="8">
        <f>IFERROR(IF(Calculations!CF28 &lt;&gt; 0, Calculations!CF28, ""),"")</f>
        <v>-28.911248466366761</v>
      </c>
      <c r="BK30" s="1">
        <f t="shared" si="3"/>
        <v>650</v>
      </c>
      <c r="BL30" s="1">
        <f t="shared" si="4"/>
        <v>10</v>
      </c>
      <c r="CC30" s="1" t="str">
        <f t="shared" si="5"/>
        <v/>
      </c>
      <c r="CD30" s="8" t="str">
        <f t="array" ref="CD30">IFERROR(INDEX(CHOOSE($BO$11,$AF$8:$AF$207,$AG$8:$AG$207,$BJ$8:$BJ$207), MATCH(CD$7&amp;$CC30, $B$8:$B$207&amp;$C$8:$C$207, 0)), "")</f>
        <v/>
      </c>
      <c r="CE30" s="8" t="str">
        <f t="array" ref="CE30">IFERROR(INDEX(CHOOSE($BO$11,$AF$8:$AF$207,$AG$8:$AG$207,$BJ$8:$BJ$207), MATCH(CE$7&amp;$CC30, $B$8:$B$207&amp;$C$8:$C$207, 0)), "")</f>
        <v/>
      </c>
      <c r="CF30" s="8" t="str">
        <f t="array" ref="CF30">IFERROR(INDEX(CHOOSE($BO$11,$AF$8:$AF$207,$AG$8:$AG$207,$BJ$8:$BJ$207), MATCH(CF$7&amp;$CC30, $B$8:$B$207&amp;$C$8:$C$207, 0)), "")</f>
        <v/>
      </c>
      <c r="CG30" s="8" t="str">
        <f t="array" ref="CG30">IFERROR(INDEX(CHOOSE($BO$11,$AF$8:$AF$207,$AG$8:$AG$207,$BJ$8:$BJ$207), MATCH(CG$7&amp;$CC30, $B$8:$B$207&amp;$C$8:$C$207, 0)), "")</f>
        <v/>
      </c>
      <c r="CH30" s="8" t="str">
        <f t="array" ref="CH30">IFERROR(INDEX(CHOOSE($BO$11,$AF$8:$AF$207,$AG$8:$AG$207,$BJ$8:$BJ$207), MATCH(CH$7&amp;$CC30, $B$8:$B$207&amp;$C$8:$C$207, 0)), "")</f>
        <v/>
      </c>
      <c r="CI30" s="8" t="str">
        <f t="array" ref="CI30">IFERROR(INDEX(CHOOSE($BO$11,$AF$8:$AF$207,$AG$8:$AG$207,$BJ$8:$BJ$207), MATCH(CI$7&amp;$CC30, $B$8:$B$207&amp;$C$8:$C$207, 0)), "")</f>
        <v/>
      </c>
      <c r="CJ30" s="8" t="str">
        <f t="array" ref="CJ30">IFERROR(INDEX(CHOOSE($BO$11,$AF$8:$AF$207,$AG$8:$AG$207,$BJ$8:$BJ$207), MATCH(CJ$7&amp;$CC30, $B$8:$B$207&amp;$C$8:$C$207, 0)), "")</f>
        <v/>
      </c>
      <c r="CK30" s="8" t="str">
        <f t="array" ref="CK30">IFERROR(INDEX(CHOOSE($BO$11,$AF$8:$AF$207,$AG$8:$AG$207,$BJ$8:$BJ$207), MATCH(CK$7&amp;$CC30, $B$8:$B$207&amp;$C$8:$C$207, 0)), "")</f>
        <v/>
      </c>
      <c r="CL30" s="8" t="str">
        <f t="array" ref="CL30">IFERROR(INDEX(CHOOSE($BO$11,$AF$8:$AF$207,$AG$8:$AG$207,$BJ$8:$BJ$207), MATCH(CL$7&amp;$CC30, $B$8:$B$207&amp;$C$8:$C$207, 0)), "")</f>
        <v/>
      </c>
      <c r="CM30" s="8" t="str">
        <f t="array" ref="CM30">IFERROR(INDEX(CHOOSE($BO$11,$AF$8:$AF$207,$AG$8:$AG$207,$BJ$8:$BJ$207), MATCH(CM$7&amp;$CC30, $B$8:$B$207&amp;$C$8:$C$207, 0)), "")</f>
        <v/>
      </c>
      <c r="CN30" s="8" t="str">
        <f t="array" ref="CN30">IFERROR(INDEX(CHOOSE($BO$11,$AF$8:$AF$207,$AG$8:$AG$207,$BJ$8:$BJ$207), MATCH(CN$7&amp;$CC30, $B$8:$B$207&amp;$C$8:$C$207, 0)), "")</f>
        <v/>
      </c>
      <c r="CO30" s="8" t="str">
        <f t="array" ref="CO30">IFERROR(INDEX(CHOOSE($BO$11,$AF$8:$AF$207,$AG$8:$AG$207,$BJ$8:$BJ$207), MATCH(CO$7&amp;$CC30, $B$8:$B$207&amp;$C$8:$C$207, 0)), "")</f>
        <v/>
      </c>
      <c r="CP30" s="8" t="str">
        <f t="array" ref="CP30">IFERROR(INDEX(CHOOSE($BO$11,$AF$8:$AF$207,$AG$8:$AG$207,$BJ$8:$BJ$207), MATCH(CP$7&amp;$CC30, $B$8:$B$207&amp;$C$8:$C$207, 0)), "")</f>
        <v/>
      </c>
      <c r="CQ30" s="8" t="str">
        <f t="array" ref="CQ30">IFERROR(INDEX(CHOOSE($BO$11,$AF$8:$AF$207,$AG$8:$AG$207,$BJ$8:$BJ$207), MATCH(CQ$7&amp;$CC30, $B$8:$B$207&amp;$C$8:$C$207, 0)), "")</f>
        <v/>
      </c>
      <c r="CR30" s="8" t="str">
        <f t="array" ref="CR30">IFERROR(INDEX(CHOOSE($BO$11,$AF$8:$AF$207,$AG$8:$AG$207,$BJ$8:$BJ$207), MATCH(CR$7&amp;$CC30, $B$8:$B$207&amp;$C$8:$C$207, 0)), "")</f>
        <v/>
      </c>
      <c r="CS30" s="8" t="str">
        <f t="array" ref="CS30">IFERROR(INDEX(CHOOSE($BO$11,$AF$8:$AF$207,$AG$8:$AG$207,$BJ$8:$BJ$207), MATCH(CS$7&amp;$CC30, $B$8:$B$207&amp;$C$8:$C$207, 0)), "")</f>
        <v/>
      </c>
      <c r="CT30" s="8" t="str">
        <f t="array" ref="CT30">IFERROR(INDEX(CHOOSE($BO$11,$AF$8:$AF$207,$AG$8:$AG$207,$BJ$8:$BJ$207), MATCH(CT$7&amp;$CC30, $B$8:$B$207&amp;$C$8:$C$207, 0)), "")</f>
        <v/>
      </c>
      <c r="CU30" s="8" t="str">
        <f t="array" ref="CU30">IFERROR(INDEX(CHOOSE($BO$11,$AF$8:$AF$207,$AG$8:$AG$207,$BJ$8:$BJ$207), MATCH(CU$7&amp;$CC30, $B$8:$B$207&amp;$C$8:$C$207, 0)), "")</f>
        <v/>
      </c>
      <c r="CV30" s="8" t="str">
        <f t="array" ref="CV30">IFERROR(INDEX(CHOOSE($BO$11,$AF$8:$AF$207,$AG$8:$AG$207,$BJ$8:$BJ$207), MATCH(CV$7&amp;$CC30, $B$8:$B$207&amp;$C$8:$C$207, 0)), "")</f>
        <v/>
      </c>
      <c r="CW30" s="8" t="str">
        <f t="array" ref="CW30">IFERROR(INDEX(CHOOSE($BO$11,$AF$8:$AF$207,$AG$8:$AG$207,$BJ$8:$BJ$207), MATCH(CW$7&amp;$CC30, $B$8:$B$207&amp;$C$8:$C$207, 0)), "")</f>
        <v/>
      </c>
      <c r="CX30" s="8" t="str">
        <f t="array" ref="CX30">IFERROR(INDEX(CHOOSE($BO$11,$AF$8:$AF$207,$AG$8:$AG$207,$BJ$8:$BJ$207), MATCH(CX$7&amp;$CC30, $B$8:$B$207&amp;$C$8:$C$207, 0)), "")</f>
        <v/>
      </c>
      <c r="CY30" s="8" t="str">
        <f t="array" ref="CY30">IFERROR(INDEX(CHOOSE($BO$11,$AF$8:$AF$207,$AG$8:$AG$207,$BJ$8:$BJ$207), MATCH(CY$7&amp;$CC30, $B$8:$B$207&amp;$C$8:$C$207, 0)), "")</f>
        <v/>
      </c>
      <c r="CZ30" s="8" t="str">
        <f t="array" ref="CZ30">IFERROR(INDEX(CHOOSE($BO$11,$AF$8:$AF$207,$AG$8:$AG$207,$BJ$8:$BJ$207), MATCH(CZ$7&amp;$CC30, $B$8:$B$207&amp;$C$8:$C$207, 0)), "")</f>
        <v/>
      </c>
      <c r="DA30" s="8" t="str">
        <f t="array" ref="DA30">IFERROR(INDEX(CHOOSE($BO$11,$AF$8:$AF$207,$AG$8:$AG$207,$BJ$8:$BJ$207), MATCH(DA$7&amp;$CC30, $B$8:$B$207&amp;$C$8:$C$207, 0)), "")</f>
        <v/>
      </c>
      <c r="DB30" s="8" t="str">
        <f t="array" ref="DB30">IFERROR(INDEX(CHOOSE($BO$11,$AF$8:$AF$207,$AG$8:$AG$207,$BJ$8:$BJ$207), MATCH(DB$7&amp;$CC30, $B$8:$B$207&amp;$C$8:$C$207, 0)), "")</f>
        <v/>
      </c>
      <c r="DC30" s="8" t="str">
        <f t="array" ref="DC30">IFERROR(INDEX(CHOOSE($BO$11,$AF$8:$AF$207,$AG$8:$AG$207,$BJ$8:$BJ$207), MATCH(DC$7&amp;$CC30, $B$8:$B$207&amp;$C$8:$C$207, 0)), "")</f>
        <v/>
      </c>
      <c r="DD30" s="8" t="str">
        <f t="array" ref="DD30">IFERROR(INDEX(CHOOSE($BO$11,$AF$8:$AF$207,$AG$8:$AG$207,$BJ$8:$BJ$207), MATCH(DD$7&amp;$CC30, $B$8:$B$207&amp;$C$8:$C$207, 0)), "")</f>
        <v/>
      </c>
      <c r="DE30" s="8" t="str">
        <f t="array" ref="DE30">IFERROR(INDEX(CHOOSE($BO$11,$AF$8:$AF$207,$AG$8:$AG$207,$BJ$8:$BJ$207), MATCH(DE$7&amp;$CC30, $B$8:$B$207&amp;$C$8:$C$207, 0)), "")</f>
        <v/>
      </c>
      <c r="DF30" s="8" t="str">
        <f t="array" ref="DF30">IFERROR(INDEX(CHOOSE($BO$11,$AF$8:$AF$207,$AG$8:$AG$207,$BJ$8:$BJ$207), MATCH(DF$7&amp;$CC30, $B$8:$B$207&amp;$C$8:$C$207, 0)), "")</f>
        <v/>
      </c>
      <c r="DG30" s="8" t="str">
        <f t="array" ref="DG30">IFERROR(INDEX(CHOOSE($BO$11,$AF$8:$AF$207,$AG$8:$AG$207,$BJ$8:$BJ$207), MATCH(DG$7&amp;$CC30, $B$8:$B$207&amp;$C$8:$C$207, 0)), "")</f>
        <v/>
      </c>
      <c r="DH30" s="8"/>
      <c r="DI30" s="8"/>
      <c r="DJ30" s="8"/>
      <c r="DK30" s="8"/>
      <c r="DL30" s="8"/>
      <c r="DM30" s="8"/>
      <c r="DN30" s="8"/>
      <c r="DO30" s="8"/>
      <c r="DP30" s="8"/>
      <c r="DQ30" s="8"/>
      <c r="DR30" s="8"/>
      <c r="DS30" s="8"/>
      <c r="DT30" s="8"/>
      <c r="DU30" s="8"/>
      <c r="DV30" s="8"/>
      <c r="DW30" s="8"/>
      <c r="DX30" s="8"/>
      <c r="DY30" s="8"/>
      <c r="DZ30" s="8"/>
      <c r="EA30" s="8"/>
    </row>
    <row r="31" spans="2:131" x14ac:dyDescent="0.2">
      <c r="B31" s="1">
        <f>IFERROR(Calculations!M29/1000, "")</f>
        <v>10</v>
      </c>
      <c r="C31" s="1">
        <f>Calculations!N29</f>
        <v>700</v>
      </c>
      <c r="D31" s="58">
        <f>IFERROR(Calculations!$Q29,"")</f>
        <v>0.91626979605913172</v>
      </c>
      <c r="E31" s="8">
        <f>IFERROR(Calculations!$S29, "")</f>
        <v>15.591391268345303</v>
      </c>
      <c r="F31" s="89"/>
      <c r="G31" s="89"/>
      <c r="H31" s="89"/>
      <c r="I31" s="89"/>
      <c r="J31" s="1" t="str">
        <f>IFERROR(Calculations!AC29, "")</f>
        <v/>
      </c>
      <c r="K31" s="1" t="str">
        <f>IFERROR(Calculations!AD29, "")</f>
        <v/>
      </c>
      <c r="L31" s="8">
        <f>IFERROR(Calculations!AE29,"")</f>
        <v>-70541.960104792641</v>
      </c>
      <c r="M31" s="8">
        <f>IFERROR(Calculations!AF29,"")</f>
        <v>-114260.34132937693</v>
      </c>
      <c r="N31" s="8" t="str">
        <f>IFERROR(Calculations!AG29,"")</f>
        <v/>
      </c>
      <c r="O31" s="8" t="str">
        <f>IFERROR(Calculations!AH29,"")</f>
        <v/>
      </c>
      <c r="P31" s="8" t="str">
        <f>IFERROR(Calculations!AI29,"")</f>
        <v/>
      </c>
      <c r="Q31" s="8" t="str">
        <f>IFERROR(Calculations!AJ29,"")</f>
        <v/>
      </c>
      <c r="R31" s="8" t="str">
        <f>IFERROR(Calculations!AK29,"")</f>
        <v/>
      </c>
      <c r="S31" s="89"/>
      <c r="T31" s="89"/>
      <c r="U31" s="89"/>
      <c r="V31" s="89"/>
      <c r="W31" s="1" t="str">
        <f>IFERROR(Calculations!AP29, "")</f>
        <v/>
      </c>
      <c r="X31" s="1" t="str">
        <f>IFERROR(Calculations!AQ29, "")</f>
        <v/>
      </c>
      <c r="Y31" s="8" t="str">
        <f>IFERROR(Calculations!AR29,"")</f>
        <v/>
      </c>
      <c r="Z31" s="8">
        <f>IFERROR(Calculations!AS29,"")</f>
        <v>0</v>
      </c>
      <c r="AA31" s="8">
        <f>IFERROR(Calculations!AT29,"")</f>
        <v>-151335.48626900706</v>
      </c>
      <c r="AB31" s="8" t="str">
        <f>IFERROR(Calculations!AU29,"")</f>
        <v/>
      </c>
      <c r="AC31" s="8" t="str">
        <f>IFERROR(Calculations!AV29,"")</f>
        <v/>
      </c>
      <c r="AD31" s="8" t="str">
        <f>IFERROR(Calculations!AW29,"")</f>
        <v/>
      </c>
      <c r="AE31" s="8" t="str">
        <f>IFERROR(Calculations!AX29,"")</f>
        <v/>
      </c>
      <c r="AF31" s="8">
        <f>IFERROR(IF(Calculations!AY29 &lt;&gt; 0, Calculations!AY29, ""),"")</f>
        <v>33466.815165162523</v>
      </c>
      <c r="AG31" s="42">
        <f>IFERROR(IF(Calculations!AZ29 &lt;&gt; 0, Calculations!AZ29, ""),"")</f>
        <v>-7.5208421165057651</v>
      </c>
      <c r="AH31" s="1">
        <f t="shared" si="1"/>
        <v>10</v>
      </c>
      <c r="AI31" s="1">
        <f t="shared" si="2"/>
        <v>700</v>
      </c>
      <c r="AJ31" s="89"/>
      <c r="AK31" s="89"/>
      <c r="AL31" s="89"/>
      <c r="AM31" s="89"/>
      <c r="AN31" s="8" t="str">
        <f>IFERROR(Calculations!BJ29, "")</f>
        <v/>
      </c>
      <c r="AO31" s="8" t="str">
        <f>IFERROR(Calculations!BK29, "")</f>
        <v/>
      </c>
      <c r="AP31" s="8">
        <f>IFERROR(Calculations!BL29, "")</f>
        <v>19.661545188418913</v>
      </c>
      <c r="AQ31" s="8">
        <f>IFERROR(Calculations!BM29, "")</f>
        <v>35.225171920067503</v>
      </c>
      <c r="AR31" s="8" t="str">
        <f>IFERROR(Calculations!BN29, "")</f>
        <v/>
      </c>
      <c r="AS31" s="8" t="str">
        <f>IFERROR(Calculations!BO29, "")</f>
        <v/>
      </c>
      <c r="AT31" s="8" t="str">
        <f>IFERROR(Calculations!BP29, "")</f>
        <v/>
      </c>
      <c r="AU31" s="8" t="str">
        <f>IFERROR(Calculations!BQ29, "")</f>
        <v/>
      </c>
      <c r="AV31" s="8" t="str">
        <f>IFERROR(Calculations!BR29, "")</f>
        <v/>
      </c>
      <c r="AW31" s="89"/>
      <c r="AX31" s="89"/>
      <c r="AY31" s="89"/>
      <c r="AZ31" s="89"/>
      <c r="BA31" s="8" t="str">
        <f>IFERROR(Calculations!BW29, "")</f>
        <v/>
      </c>
      <c r="BB31" s="8" t="str">
        <f>IFERROR(Calculations!BX29, "")</f>
        <v/>
      </c>
      <c r="BC31" s="8" t="str">
        <f>IFERROR(Calculations!BY29, "")</f>
        <v/>
      </c>
      <c r="BD31" s="8">
        <f>IFERROR(Calculations!BZ29, "")</f>
        <v>0</v>
      </c>
      <c r="BE31" s="8">
        <f>IFERROR(Calculations!CA29, "")</f>
        <v>23.817453125533032</v>
      </c>
      <c r="BF31" s="8" t="str">
        <f>IFERROR(Calculations!CB29, "")</f>
        <v/>
      </c>
      <c r="BG31" s="8" t="str">
        <f>IFERROR(Calculations!CC29, "")</f>
        <v/>
      </c>
      <c r="BH31" s="8" t="str">
        <f>IFERROR(Calculations!CD29, "")</f>
        <v/>
      </c>
      <c r="BI31" s="8" t="str">
        <f>IFERROR(Calculations!CE29, "")</f>
        <v/>
      </c>
      <c r="BJ31" s="8">
        <f>IFERROR(IF(Calculations!CF29 &lt;&gt; 0, Calculations!CF29, ""),"")</f>
        <v>-31.069263982953384</v>
      </c>
      <c r="BK31" s="1">
        <f t="shared" si="3"/>
        <v>700</v>
      </c>
      <c r="BL31" s="1">
        <f t="shared" si="4"/>
        <v>10</v>
      </c>
      <c r="CC31" s="1" t="str">
        <f t="shared" si="5"/>
        <v/>
      </c>
      <c r="CD31" s="8" t="str">
        <f t="array" ref="CD31">IFERROR(INDEX(CHOOSE($BO$11,$AF$8:$AF$207,$AG$8:$AG$207,$BJ$8:$BJ$207), MATCH(CD$7&amp;$CC31, $B$8:$B$207&amp;$C$8:$C$207, 0)), "")</f>
        <v/>
      </c>
      <c r="CE31" s="8" t="str">
        <f t="array" ref="CE31">IFERROR(INDEX(CHOOSE($BO$11,$AF$8:$AF$207,$AG$8:$AG$207,$BJ$8:$BJ$207), MATCH(CE$7&amp;$CC31, $B$8:$B$207&amp;$C$8:$C$207, 0)), "")</f>
        <v/>
      </c>
      <c r="CF31" s="8" t="str">
        <f t="array" ref="CF31">IFERROR(INDEX(CHOOSE($BO$11,$AF$8:$AF$207,$AG$8:$AG$207,$BJ$8:$BJ$207), MATCH(CF$7&amp;$CC31, $B$8:$B$207&amp;$C$8:$C$207, 0)), "")</f>
        <v/>
      </c>
      <c r="CG31" s="8" t="str">
        <f t="array" ref="CG31">IFERROR(INDEX(CHOOSE($BO$11,$AF$8:$AF$207,$AG$8:$AG$207,$BJ$8:$BJ$207), MATCH(CG$7&amp;$CC31, $B$8:$B$207&amp;$C$8:$C$207, 0)), "")</f>
        <v/>
      </c>
      <c r="CH31" s="8" t="str">
        <f t="array" ref="CH31">IFERROR(INDEX(CHOOSE($BO$11,$AF$8:$AF$207,$AG$8:$AG$207,$BJ$8:$BJ$207), MATCH(CH$7&amp;$CC31, $B$8:$B$207&amp;$C$8:$C$207, 0)), "")</f>
        <v/>
      </c>
      <c r="CI31" s="8" t="str">
        <f t="array" ref="CI31">IFERROR(INDEX(CHOOSE($BO$11,$AF$8:$AF$207,$AG$8:$AG$207,$BJ$8:$BJ$207), MATCH(CI$7&amp;$CC31, $B$8:$B$207&amp;$C$8:$C$207, 0)), "")</f>
        <v/>
      </c>
      <c r="CJ31" s="8" t="str">
        <f t="array" ref="CJ31">IFERROR(INDEX(CHOOSE($BO$11,$AF$8:$AF$207,$AG$8:$AG$207,$BJ$8:$BJ$207), MATCH(CJ$7&amp;$CC31, $B$8:$B$207&amp;$C$8:$C$207, 0)), "")</f>
        <v/>
      </c>
      <c r="CK31" s="8" t="str">
        <f t="array" ref="CK31">IFERROR(INDEX(CHOOSE($BO$11,$AF$8:$AF$207,$AG$8:$AG$207,$BJ$8:$BJ$207), MATCH(CK$7&amp;$CC31, $B$8:$B$207&amp;$C$8:$C$207, 0)), "")</f>
        <v/>
      </c>
      <c r="CL31" s="8" t="str">
        <f t="array" ref="CL31">IFERROR(INDEX(CHOOSE($BO$11,$AF$8:$AF$207,$AG$8:$AG$207,$BJ$8:$BJ$207), MATCH(CL$7&amp;$CC31, $B$8:$B$207&amp;$C$8:$C$207, 0)), "")</f>
        <v/>
      </c>
      <c r="CM31" s="8" t="str">
        <f t="array" ref="CM31">IFERROR(INDEX(CHOOSE($BO$11,$AF$8:$AF$207,$AG$8:$AG$207,$BJ$8:$BJ$207), MATCH(CM$7&amp;$CC31, $B$8:$B$207&amp;$C$8:$C$207, 0)), "")</f>
        <v/>
      </c>
      <c r="CN31" s="8" t="str">
        <f t="array" ref="CN31">IFERROR(INDEX(CHOOSE($BO$11,$AF$8:$AF$207,$AG$8:$AG$207,$BJ$8:$BJ$207), MATCH(CN$7&amp;$CC31, $B$8:$B$207&amp;$C$8:$C$207, 0)), "")</f>
        <v/>
      </c>
      <c r="CO31" s="8" t="str">
        <f t="array" ref="CO31">IFERROR(INDEX(CHOOSE($BO$11,$AF$8:$AF$207,$AG$8:$AG$207,$BJ$8:$BJ$207), MATCH(CO$7&amp;$CC31, $B$8:$B$207&amp;$C$8:$C$207, 0)), "")</f>
        <v/>
      </c>
      <c r="CP31" s="8" t="str">
        <f t="array" ref="CP31">IFERROR(INDEX(CHOOSE($BO$11,$AF$8:$AF$207,$AG$8:$AG$207,$BJ$8:$BJ$207), MATCH(CP$7&amp;$CC31, $B$8:$B$207&amp;$C$8:$C$207, 0)), "")</f>
        <v/>
      </c>
      <c r="CQ31" s="8" t="str">
        <f t="array" ref="CQ31">IFERROR(INDEX(CHOOSE($BO$11,$AF$8:$AF$207,$AG$8:$AG$207,$BJ$8:$BJ$207), MATCH(CQ$7&amp;$CC31, $B$8:$B$207&amp;$C$8:$C$207, 0)), "")</f>
        <v/>
      </c>
      <c r="CR31" s="8" t="str">
        <f t="array" ref="CR31">IFERROR(INDEX(CHOOSE($BO$11,$AF$8:$AF$207,$AG$8:$AG$207,$BJ$8:$BJ$207), MATCH(CR$7&amp;$CC31, $B$8:$B$207&amp;$C$8:$C$207, 0)), "")</f>
        <v/>
      </c>
      <c r="CS31" s="8" t="str">
        <f t="array" ref="CS31">IFERROR(INDEX(CHOOSE($BO$11,$AF$8:$AF$207,$AG$8:$AG$207,$BJ$8:$BJ$207), MATCH(CS$7&amp;$CC31, $B$8:$B$207&amp;$C$8:$C$207, 0)), "")</f>
        <v/>
      </c>
      <c r="CT31" s="8" t="str">
        <f t="array" ref="CT31">IFERROR(INDEX(CHOOSE($BO$11,$AF$8:$AF$207,$AG$8:$AG$207,$BJ$8:$BJ$207), MATCH(CT$7&amp;$CC31, $B$8:$B$207&amp;$C$8:$C$207, 0)), "")</f>
        <v/>
      </c>
      <c r="CU31" s="8" t="str">
        <f t="array" ref="CU31">IFERROR(INDEX(CHOOSE($BO$11,$AF$8:$AF$207,$AG$8:$AG$207,$BJ$8:$BJ$207), MATCH(CU$7&amp;$CC31, $B$8:$B$207&amp;$C$8:$C$207, 0)), "")</f>
        <v/>
      </c>
      <c r="CV31" s="8" t="str">
        <f t="array" ref="CV31">IFERROR(INDEX(CHOOSE($BO$11,$AF$8:$AF$207,$AG$8:$AG$207,$BJ$8:$BJ$207), MATCH(CV$7&amp;$CC31, $B$8:$B$207&amp;$C$8:$C$207, 0)), "")</f>
        <v/>
      </c>
      <c r="CW31" s="8" t="str">
        <f t="array" ref="CW31">IFERROR(INDEX(CHOOSE($BO$11,$AF$8:$AF$207,$AG$8:$AG$207,$BJ$8:$BJ$207), MATCH(CW$7&amp;$CC31, $B$8:$B$207&amp;$C$8:$C$207, 0)), "")</f>
        <v/>
      </c>
      <c r="CX31" s="8" t="str">
        <f t="array" ref="CX31">IFERROR(INDEX(CHOOSE($BO$11,$AF$8:$AF$207,$AG$8:$AG$207,$BJ$8:$BJ$207), MATCH(CX$7&amp;$CC31, $B$8:$B$207&amp;$C$8:$C$207, 0)), "")</f>
        <v/>
      </c>
      <c r="CY31" s="8" t="str">
        <f t="array" ref="CY31">IFERROR(INDEX(CHOOSE($BO$11,$AF$8:$AF$207,$AG$8:$AG$207,$BJ$8:$BJ$207), MATCH(CY$7&amp;$CC31, $B$8:$B$207&amp;$C$8:$C$207, 0)), "")</f>
        <v/>
      </c>
      <c r="CZ31" s="8" t="str">
        <f t="array" ref="CZ31">IFERROR(INDEX(CHOOSE($BO$11,$AF$8:$AF$207,$AG$8:$AG$207,$BJ$8:$BJ$207), MATCH(CZ$7&amp;$CC31, $B$8:$B$207&amp;$C$8:$C$207, 0)), "")</f>
        <v/>
      </c>
      <c r="DA31" s="8" t="str">
        <f t="array" ref="DA31">IFERROR(INDEX(CHOOSE($BO$11,$AF$8:$AF$207,$AG$8:$AG$207,$BJ$8:$BJ$207), MATCH(DA$7&amp;$CC31, $B$8:$B$207&amp;$C$8:$C$207, 0)), "")</f>
        <v/>
      </c>
      <c r="DB31" s="8" t="str">
        <f t="array" ref="DB31">IFERROR(INDEX(CHOOSE($BO$11,$AF$8:$AF$207,$AG$8:$AG$207,$BJ$8:$BJ$207), MATCH(DB$7&amp;$CC31, $B$8:$B$207&amp;$C$8:$C$207, 0)), "")</f>
        <v/>
      </c>
      <c r="DC31" s="8" t="str">
        <f t="array" ref="DC31">IFERROR(INDEX(CHOOSE($BO$11,$AF$8:$AF$207,$AG$8:$AG$207,$BJ$8:$BJ$207), MATCH(DC$7&amp;$CC31, $B$8:$B$207&amp;$C$8:$C$207, 0)), "")</f>
        <v/>
      </c>
      <c r="DD31" s="8" t="str">
        <f t="array" ref="DD31">IFERROR(INDEX(CHOOSE($BO$11,$AF$8:$AF$207,$AG$8:$AG$207,$BJ$8:$BJ$207), MATCH(DD$7&amp;$CC31, $B$8:$B$207&amp;$C$8:$C$207, 0)), "")</f>
        <v/>
      </c>
      <c r="DE31" s="8" t="str">
        <f t="array" ref="DE31">IFERROR(INDEX(CHOOSE($BO$11,$AF$8:$AF$207,$AG$8:$AG$207,$BJ$8:$BJ$207), MATCH(DE$7&amp;$CC31, $B$8:$B$207&amp;$C$8:$C$207, 0)), "")</f>
        <v/>
      </c>
      <c r="DF31" s="8" t="str">
        <f t="array" ref="DF31">IFERROR(INDEX(CHOOSE($BO$11,$AF$8:$AF$207,$AG$8:$AG$207,$BJ$8:$BJ$207), MATCH(DF$7&amp;$CC31, $B$8:$B$207&amp;$C$8:$C$207, 0)), "")</f>
        <v/>
      </c>
      <c r="DG31" s="8" t="str">
        <f t="array" ref="DG31">IFERROR(INDEX(CHOOSE($BO$11,$AF$8:$AF$207,$AG$8:$AG$207,$BJ$8:$BJ$207), MATCH(DG$7&amp;$CC31, $B$8:$B$207&amp;$C$8:$C$207, 0)), "")</f>
        <v/>
      </c>
      <c r="DH31" s="8"/>
      <c r="DI31" s="8"/>
      <c r="DJ31" s="8"/>
      <c r="DK31" s="8"/>
      <c r="DL31" s="8"/>
      <c r="DM31" s="8"/>
      <c r="DN31" s="8"/>
      <c r="DO31" s="8"/>
      <c r="DP31" s="8"/>
      <c r="DQ31" s="8"/>
      <c r="DR31" s="8"/>
      <c r="DS31" s="8"/>
      <c r="DT31" s="8"/>
      <c r="DU31" s="8"/>
      <c r="DV31" s="8"/>
      <c r="DW31" s="8"/>
      <c r="DX31" s="8"/>
      <c r="DY31" s="8"/>
      <c r="DZ31" s="8"/>
      <c r="EA31" s="8"/>
    </row>
    <row r="32" spans="2:131" x14ac:dyDescent="0.2">
      <c r="B32" s="1">
        <f>IFERROR(Calculations!M30/1000, "")</f>
        <v>10</v>
      </c>
      <c r="C32" s="1">
        <f>Calculations!N30</f>
        <v>750</v>
      </c>
      <c r="D32" s="58">
        <f>IFERROR(Calculations!$Q30,"")</f>
        <v>0.8949570484781264</v>
      </c>
      <c r="E32" s="8">
        <f>IFERROR(Calculations!$S30, "")</f>
        <v>14.103545592148011</v>
      </c>
      <c r="F32" s="89"/>
      <c r="G32" s="89"/>
      <c r="H32" s="89"/>
      <c r="I32" s="89"/>
      <c r="J32" s="1" t="str">
        <f>IFERROR(Calculations!AC30, "")</f>
        <v/>
      </c>
      <c r="K32" s="1" t="str">
        <f>IFERROR(Calculations!AD30, "")</f>
        <v/>
      </c>
      <c r="L32" s="8">
        <f>IFERROR(Calculations!AE30,"")</f>
        <v>-72225.813683039218</v>
      </c>
      <c r="M32" s="8">
        <f>IFERROR(Calculations!AF30,"")</f>
        <v>-116890.83008846134</v>
      </c>
      <c r="N32" s="8" t="str">
        <f>IFERROR(Calculations!AG30,"")</f>
        <v/>
      </c>
      <c r="O32" s="8" t="str">
        <f>IFERROR(Calculations!AH30,"")</f>
        <v/>
      </c>
      <c r="P32" s="8" t="str">
        <f>IFERROR(Calculations!AI30,"")</f>
        <v/>
      </c>
      <c r="Q32" s="8" t="str">
        <f>IFERROR(Calculations!AJ30,"")</f>
        <v/>
      </c>
      <c r="R32" s="8" t="str">
        <f>IFERROR(Calculations!AK30,"")</f>
        <v/>
      </c>
      <c r="S32" s="89"/>
      <c r="T32" s="89"/>
      <c r="U32" s="89"/>
      <c r="V32" s="89"/>
      <c r="W32" s="1" t="str">
        <f>IFERROR(Calculations!AP30, "")</f>
        <v/>
      </c>
      <c r="X32" s="1" t="str">
        <f>IFERROR(Calculations!AQ30, "")</f>
        <v/>
      </c>
      <c r="Y32" s="8" t="str">
        <f>IFERROR(Calculations!AR30,"")</f>
        <v/>
      </c>
      <c r="Z32" s="8">
        <f>IFERROR(Calculations!AS30,"")</f>
        <v>0</v>
      </c>
      <c r="AA32" s="8">
        <f>IFERROR(Calculations!AT30,"")</f>
        <v>-152616.31664828229</v>
      </c>
      <c r="AB32" s="8" t="str">
        <f>IFERROR(Calculations!AU30,"")</f>
        <v/>
      </c>
      <c r="AC32" s="8" t="str">
        <f>IFERROR(Calculations!AV30,"")</f>
        <v/>
      </c>
      <c r="AD32" s="8" t="str">
        <f>IFERROR(Calculations!AW30,"")</f>
        <v/>
      </c>
      <c r="AE32" s="8" t="str">
        <f>IFERROR(Calculations!AX30,"")</f>
        <v/>
      </c>
      <c r="AF32" s="8">
        <f>IFERROR(IF(Calculations!AY30 &lt;&gt; 0, Calculations!AY30, ""),"")</f>
        <v>36500.327123218274</v>
      </c>
      <c r="AG32" s="42">
        <f>IFERROR(IF(Calculations!AZ30 &lt;&gt; 0, Calculations!AZ30, ""),"")</f>
        <v>-7.8017013541106346</v>
      </c>
      <c r="AH32" s="1">
        <f t="shared" si="1"/>
        <v>10</v>
      </c>
      <c r="AI32" s="1">
        <f t="shared" si="2"/>
        <v>750</v>
      </c>
      <c r="AJ32" s="89"/>
      <c r="AK32" s="89"/>
      <c r="AL32" s="89"/>
      <c r="AM32" s="89"/>
      <c r="AN32" s="8" t="str">
        <f>IFERROR(Calculations!BJ30, "")</f>
        <v/>
      </c>
      <c r="AO32" s="8" t="str">
        <f>IFERROR(Calculations!BK30, "")</f>
        <v/>
      </c>
      <c r="AP32" s="8">
        <f>IFERROR(Calculations!BL30, "")</f>
        <v>20.129770507573483</v>
      </c>
      <c r="AQ32" s="8">
        <f>IFERROR(Calculations!BM30, "")</f>
        <v>35.94237220514438</v>
      </c>
      <c r="AR32" s="8" t="str">
        <f>IFERROR(Calculations!BN30, "")</f>
        <v/>
      </c>
      <c r="AS32" s="8" t="str">
        <f>IFERROR(Calculations!BO30, "")</f>
        <v/>
      </c>
      <c r="AT32" s="8" t="str">
        <f>IFERROR(Calculations!BP30, "")</f>
        <v/>
      </c>
      <c r="AU32" s="8" t="str">
        <f>IFERROR(Calculations!BQ30, "")</f>
        <v/>
      </c>
      <c r="AV32" s="8" t="str">
        <f>IFERROR(Calculations!BR30, "")</f>
        <v/>
      </c>
      <c r="AW32" s="89"/>
      <c r="AX32" s="89"/>
      <c r="AY32" s="89"/>
      <c r="AZ32" s="89"/>
      <c r="BA32" s="8" t="str">
        <f>IFERROR(Calculations!BW30, "")</f>
        <v/>
      </c>
      <c r="BB32" s="8" t="str">
        <f>IFERROR(Calculations!BX30, "")</f>
        <v/>
      </c>
      <c r="BC32" s="8" t="str">
        <f>IFERROR(Calculations!BY30, "")</f>
        <v/>
      </c>
      <c r="BD32" s="8">
        <f>IFERROR(Calculations!BZ30, "")</f>
        <v>0</v>
      </c>
      <c r="BE32" s="8">
        <f>IFERROR(Calculations!CA30, "")</f>
        <v>22.678417431397676</v>
      </c>
      <c r="BF32" s="8" t="str">
        <f>IFERROR(Calculations!CB30, "")</f>
        <v/>
      </c>
      <c r="BG32" s="8" t="str">
        <f>IFERROR(Calculations!CC30, "")</f>
        <v/>
      </c>
      <c r="BH32" s="8" t="str">
        <f>IFERROR(Calculations!CD30, "")</f>
        <v/>
      </c>
      <c r="BI32" s="8" t="str">
        <f>IFERROR(Calculations!CE30, "")</f>
        <v/>
      </c>
      <c r="BJ32" s="8">
        <f>IFERROR(IF(Calculations!CF30 &lt;&gt; 0, Calculations!CF30, ""),"")</f>
        <v>-33.393725281320187</v>
      </c>
      <c r="BK32" s="1">
        <f t="shared" si="3"/>
        <v>750</v>
      </c>
      <c r="BL32" s="1">
        <f t="shared" si="4"/>
        <v>10</v>
      </c>
      <c r="CC32" s="1" t="str">
        <f t="shared" si="5"/>
        <v/>
      </c>
      <c r="CD32" s="8" t="str">
        <f t="array" ref="CD32">IFERROR(INDEX(CHOOSE($BO$11,$AF$8:$AF$207,$AG$8:$AG$207,$BJ$8:$BJ$207), MATCH(CD$7&amp;$CC32, $B$8:$B$207&amp;$C$8:$C$207, 0)), "")</f>
        <v/>
      </c>
      <c r="CE32" s="8" t="str">
        <f t="array" ref="CE32">IFERROR(INDEX(CHOOSE($BO$11,$AF$8:$AF$207,$AG$8:$AG$207,$BJ$8:$BJ$207), MATCH(CE$7&amp;$CC32, $B$8:$B$207&amp;$C$8:$C$207, 0)), "")</f>
        <v/>
      </c>
      <c r="CF32" s="8" t="str">
        <f t="array" ref="CF32">IFERROR(INDEX(CHOOSE($BO$11,$AF$8:$AF$207,$AG$8:$AG$207,$BJ$8:$BJ$207), MATCH(CF$7&amp;$CC32, $B$8:$B$207&amp;$C$8:$C$207, 0)), "")</f>
        <v/>
      </c>
      <c r="CG32" s="8" t="str">
        <f t="array" ref="CG32">IFERROR(INDEX(CHOOSE($BO$11,$AF$8:$AF$207,$AG$8:$AG$207,$BJ$8:$BJ$207), MATCH(CG$7&amp;$CC32, $B$8:$B$207&amp;$C$8:$C$207, 0)), "")</f>
        <v/>
      </c>
      <c r="CH32" s="8" t="str">
        <f t="array" ref="CH32">IFERROR(INDEX(CHOOSE($BO$11,$AF$8:$AF$207,$AG$8:$AG$207,$BJ$8:$BJ$207), MATCH(CH$7&amp;$CC32, $B$8:$B$207&amp;$C$8:$C$207, 0)), "")</f>
        <v/>
      </c>
      <c r="CI32" s="8" t="str">
        <f t="array" ref="CI32">IFERROR(INDEX(CHOOSE($BO$11,$AF$8:$AF$207,$AG$8:$AG$207,$BJ$8:$BJ$207), MATCH(CI$7&amp;$CC32, $B$8:$B$207&amp;$C$8:$C$207, 0)), "")</f>
        <v/>
      </c>
      <c r="CJ32" s="8" t="str">
        <f t="array" ref="CJ32">IFERROR(INDEX(CHOOSE($BO$11,$AF$8:$AF$207,$AG$8:$AG$207,$BJ$8:$BJ$207), MATCH(CJ$7&amp;$CC32, $B$8:$B$207&amp;$C$8:$C$207, 0)), "")</f>
        <v/>
      </c>
      <c r="CK32" s="8" t="str">
        <f t="array" ref="CK32">IFERROR(INDEX(CHOOSE($BO$11,$AF$8:$AF$207,$AG$8:$AG$207,$BJ$8:$BJ$207), MATCH(CK$7&amp;$CC32, $B$8:$B$207&amp;$C$8:$C$207, 0)), "")</f>
        <v/>
      </c>
      <c r="CL32" s="8" t="str">
        <f t="array" ref="CL32">IFERROR(INDEX(CHOOSE($BO$11,$AF$8:$AF$207,$AG$8:$AG$207,$BJ$8:$BJ$207), MATCH(CL$7&amp;$CC32, $B$8:$B$207&amp;$C$8:$C$207, 0)), "")</f>
        <v/>
      </c>
      <c r="CM32" s="8" t="str">
        <f t="array" ref="CM32">IFERROR(INDEX(CHOOSE($BO$11,$AF$8:$AF$207,$AG$8:$AG$207,$BJ$8:$BJ$207), MATCH(CM$7&amp;$CC32, $B$8:$B$207&amp;$C$8:$C$207, 0)), "")</f>
        <v/>
      </c>
      <c r="CN32" s="8" t="str">
        <f t="array" ref="CN32">IFERROR(INDEX(CHOOSE($BO$11,$AF$8:$AF$207,$AG$8:$AG$207,$BJ$8:$BJ$207), MATCH(CN$7&amp;$CC32, $B$8:$B$207&amp;$C$8:$C$207, 0)), "")</f>
        <v/>
      </c>
      <c r="CO32" s="8" t="str">
        <f t="array" ref="CO32">IFERROR(INDEX(CHOOSE($BO$11,$AF$8:$AF$207,$AG$8:$AG$207,$BJ$8:$BJ$207), MATCH(CO$7&amp;$CC32, $B$8:$B$207&amp;$C$8:$C$207, 0)), "")</f>
        <v/>
      </c>
      <c r="CP32" s="8" t="str">
        <f t="array" ref="CP32">IFERROR(INDEX(CHOOSE($BO$11,$AF$8:$AF$207,$AG$8:$AG$207,$BJ$8:$BJ$207), MATCH(CP$7&amp;$CC32, $B$8:$B$207&amp;$C$8:$C$207, 0)), "")</f>
        <v/>
      </c>
      <c r="CQ32" s="8" t="str">
        <f t="array" ref="CQ32">IFERROR(INDEX(CHOOSE($BO$11,$AF$8:$AF$207,$AG$8:$AG$207,$BJ$8:$BJ$207), MATCH(CQ$7&amp;$CC32, $B$8:$B$207&amp;$C$8:$C$207, 0)), "")</f>
        <v/>
      </c>
      <c r="CR32" s="8" t="str">
        <f t="array" ref="CR32">IFERROR(INDEX(CHOOSE($BO$11,$AF$8:$AF$207,$AG$8:$AG$207,$BJ$8:$BJ$207), MATCH(CR$7&amp;$CC32, $B$8:$B$207&amp;$C$8:$C$207, 0)), "")</f>
        <v/>
      </c>
      <c r="CS32" s="8" t="str">
        <f t="array" ref="CS32">IFERROR(INDEX(CHOOSE($BO$11,$AF$8:$AF$207,$AG$8:$AG$207,$BJ$8:$BJ$207), MATCH(CS$7&amp;$CC32, $B$8:$B$207&amp;$C$8:$C$207, 0)), "")</f>
        <v/>
      </c>
      <c r="CT32" s="8" t="str">
        <f t="array" ref="CT32">IFERROR(INDEX(CHOOSE($BO$11,$AF$8:$AF$207,$AG$8:$AG$207,$BJ$8:$BJ$207), MATCH(CT$7&amp;$CC32, $B$8:$B$207&amp;$C$8:$C$207, 0)), "")</f>
        <v/>
      </c>
      <c r="CU32" s="8" t="str">
        <f t="array" ref="CU32">IFERROR(INDEX(CHOOSE($BO$11,$AF$8:$AF$207,$AG$8:$AG$207,$BJ$8:$BJ$207), MATCH(CU$7&amp;$CC32, $B$8:$B$207&amp;$C$8:$C$207, 0)), "")</f>
        <v/>
      </c>
      <c r="CV32" s="8" t="str">
        <f t="array" ref="CV32">IFERROR(INDEX(CHOOSE($BO$11,$AF$8:$AF$207,$AG$8:$AG$207,$BJ$8:$BJ$207), MATCH(CV$7&amp;$CC32, $B$8:$B$207&amp;$C$8:$C$207, 0)), "")</f>
        <v/>
      </c>
      <c r="CW32" s="8" t="str">
        <f t="array" ref="CW32">IFERROR(INDEX(CHOOSE($BO$11,$AF$8:$AF$207,$AG$8:$AG$207,$BJ$8:$BJ$207), MATCH(CW$7&amp;$CC32, $B$8:$B$207&amp;$C$8:$C$207, 0)), "")</f>
        <v/>
      </c>
      <c r="CX32" s="8" t="str">
        <f t="array" ref="CX32">IFERROR(INDEX(CHOOSE($BO$11,$AF$8:$AF$207,$AG$8:$AG$207,$BJ$8:$BJ$207), MATCH(CX$7&amp;$CC32, $B$8:$B$207&amp;$C$8:$C$207, 0)), "")</f>
        <v/>
      </c>
      <c r="CY32" s="8" t="str">
        <f t="array" ref="CY32">IFERROR(INDEX(CHOOSE($BO$11,$AF$8:$AF$207,$AG$8:$AG$207,$BJ$8:$BJ$207), MATCH(CY$7&amp;$CC32, $B$8:$B$207&amp;$C$8:$C$207, 0)), "")</f>
        <v/>
      </c>
      <c r="CZ32" s="8" t="str">
        <f t="array" ref="CZ32">IFERROR(INDEX(CHOOSE($BO$11,$AF$8:$AF$207,$AG$8:$AG$207,$BJ$8:$BJ$207), MATCH(CZ$7&amp;$CC32, $B$8:$B$207&amp;$C$8:$C$207, 0)), "")</f>
        <v/>
      </c>
      <c r="DA32" s="8" t="str">
        <f t="array" ref="DA32">IFERROR(INDEX(CHOOSE($BO$11,$AF$8:$AF$207,$AG$8:$AG$207,$BJ$8:$BJ$207), MATCH(DA$7&amp;$CC32, $B$8:$B$207&amp;$C$8:$C$207, 0)), "")</f>
        <v/>
      </c>
      <c r="DB32" s="8" t="str">
        <f t="array" ref="DB32">IFERROR(INDEX(CHOOSE($BO$11,$AF$8:$AF$207,$AG$8:$AG$207,$BJ$8:$BJ$207), MATCH(DB$7&amp;$CC32, $B$8:$B$207&amp;$C$8:$C$207, 0)), "")</f>
        <v/>
      </c>
      <c r="DC32" s="8" t="str">
        <f t="array" ref="DC32">IFERROR(INDEX(CHOOSE($BO$11,$AF$8:$AF$207,$AG$8:$AG$207,$BJ$8:$BJ$207), MATCH(DC$7&amp;$CC32, $B$8:$B$207&amp;$C$8:$C$207, 0)), "")</f>
        <v/>
      </c>
      <c r="DD32" s="8" t="str">
        <f t="array" ref="DD32">IFERROR(INDEX(CHOOSE($BO$11,$AF$8:$AF$207,$AG$8:$AG$207,$BJ$8:$BJ$207), MATCH(DD$7&amp;$CC32, $B$8:$B$207&amp;$C$8:$C$207, 0)), "")</f>
        <v/>
      </c>
      <c r="DE32" s="8" t="str">
        <f t="array" ref="DE32">IFERROR(INDEX(CHOOSE($BO$11,$AF$8:$AF$207,$AG$8:$AG$207,$BJ$8:$BJ$207), MATCH(DE$7&amp;$CC32, $B$8:$B$207&amp;$C$8:$C$207, 0)), "")</f>
        <v/>
      </c>
      <c r="DF32" s="8" t="str">
        <f t="array" ref="DF32">IFERROR(INDEX(CHOOSE($BO$11,$AF$8:$AF$207,$AG$8:$AG$207,$BJ$8:$BJ$207), MATCH(DF$7&amp;$CC32, $B$8:$B$207&amp;$C$8:$C$207, 0)), "")</f>
        <v/>
      </c>
      <c r="DG32" s="8" t="str">
        <f t="array" ref="DG32">IFERROR(INDEX(CHOOSE($BO$11,$AF$8:$AF$207,$AG$8:$AG$207,$BJ$8:$BJ$207), MATCH(DG$7&amp;$CC32, $B$8:$B$207&amp;$C$8:$C$207, 0)), "")</f>
        <v/>
      </c>
      <c r="DH32" s="8"/>
      <c r="DI32" s="8"/>
      <c r="DJ32" s="8"/>
      <c r="DK32" s="8"/>
      <c r="DL32" s="8"/>
      <c r="DM32" s="8"/>
      <c r="DN32" s="8"/>
      <c r="DO32" s="8"/>
      <c r="DP32" s="8"/>
      <c r="DQ32" s="8"/>
      <c r="DR32" s="8"/>
      <c r="DS32" s="8"/>
      <c r="DT32" s="8"/>
      <c r="DU32" s="8"/>
      <c r="DV32" s="8"/>
      <c r="DW32" s="8"/>
      <c r="DX32" s="8"/>
      <c r="DY32" s="8"/>
      <c r="DZ32" s="8"/>
      <c r="EA32" s="8"/>
    </row>
    <row r="33" spans="2:131" x14ac:dyDescent="0.2">
      <c r="B33" s="1">
        <f>IFERROR(Calculations!M31/1000, "")</f>
        <v>10</v>
      </c>
      <c r="C33" s="1">
        <f>Calculations!N31</f>
        <v>800</v>
      </c>
      <c r="D33" s="58">
        <f>IFERROR(Calculations!$Q31,"")</f>
        <v>0.87428802848577503</v>
      </c>
      <c r="E33" s="8">
        <f>IFERROR(Calculations!$S31, "")</f>
        <v>12.800447983821453</v>
      </c>
      <c r="F33" s="89"/>
      <c r="G33" s="89"/>
      <c r="H33" s="89"/>
      <c r="I33" s="89"/>
      <c r="J33" s="1" t="str">
        <f>IFERROR(Calculations!AC31, "")</f>
        <v/>
      </c>
      <c r="K33" s="1" t="str">
        <f>IFERROR(Calculations!AD31, "")</f>
        <v/>
      </c>
      <c r="L33" s="8">
        <f>IFERROR(Calculations!AE31,"")</f>
        <v>-73959.985727486361</v>
      </c>
      <c r="M33" s="8">
        <f>IFERROR(Calculations!AF31,"")</f>
        <v>-119578.92231325661</v>
      </c>
      <c r="N33" s="8" t="str">
        <f>IFERROR(Calculations!AG31,"")</f>
        <v/>
      </c>
      <c r="O33" s="8" t="str">
        <f>IFERROR(Calculations!AH31,"")</f>
        <v/>
      </c>
      <c r="P33" s="8" t="str">
        <f>IFERROR(Calculations!AI31,"")</f>
        <v/>
      </c>
      <c r="Q33" s="8" t="str">
        <f>IFERROR(Calculations!AJ31,"")</f>
        <v/>
      </c>
      <c r="R33" s="8" t="str">
        <f>IFERROR(Calculations!AK31,"")</f>
        <v/>
      </c>
      <c r="S33" s="89"/>
      <c r="T33" s="89"/>
      <c r="U33" s="89"/>
      <c r="V33" s="89"/>
      <c r="W33" s="1" t="str">
        <f>IFERROR(Calculations!AP31, "")</f>
        <v/>
      </c>
      <c r="X33" s="1" t="str">
        <f>IFERROR(Calculations!AQ31, "")</f>
        <v/>
      </c>
      <c r="Y33" s="8" t="str">
        <f>IFERROR(Calculations!AR31,"")</f>
        <v/>
      </c>
      <c r="Z33" s="8">
        <f>IFERROR(Calculations!AS31,"")</f>
        <v>0</v>
      </c>
      <c r="AA33" s="8">
        <f>IFERROR(Calculations!AT31,"")</f>
        <v>-153866.73063631129</v>
      </c>
      <c r="AB33" s="8" t="str">
        <f>IFERROR(Calculations!AU31,"")</f>
        <v/>
      </c>
      <c r="AC33" s="8" t="str">
        <f>IFERROR(Calculations!AV31,"")</f>
        <v/>
      </c>
      <c r="AD33" s="8" t="str">
        <f>IFERROR(Calculations!AW31,"")</f>
        <v/>
      </c>
      <c r="AE33" s="8" t="str">
        <f>IFERROR(Calculations!AX31,"")</f>
        <v/>
      </c>
      <c r="AF33" s="8">
        <f>IFERROR(IF(Calculations!AY31 &lt;&gt; 0, Calculations!AY31, ""),"")</f>
        <v>39672.177404431684</v>
      </c>
      <c r="AG33" s="42">
        <f>IFERROR(IF(Calculations!AZ31 &lt;&gt; 0, Calculations!AZ31, ""),"")</f>
        <v>-8.0845803369133655</v>
      </c>
      <c r="AH33" s="1">
        <f t="shared" si="1"/>
        <v>10</v>
      </c>
      <c r="AI33" s="1">
        <f t="shared" si="2"/>
        <v>800</v>
      </c>
      <c r="AJ33" s="89"/>
      <c r="AK33" s="89"/>
      <c r="AL33" s="89"/>
      <c r="AM33" s="89"/>
      <c r="AN33" s="8" t="str">
        <f>IFERROR(Calculations!BJ31, "")</f>
        <v/>
      </c>
      <c r="AO33" s="8" t="str">
        <f>IFERROR(Calculations!BK31, "")</f>
        <v/>
      </c>
      <c r="AP33" s="8">
        <f>IFERROR(Calculations!BL31, "")</f>
        <v>20.605657875930891</v>
      </c>
      <c r="AQ33" s="8">
        <f>IFERROR(Calculations!BM31, "")</f>
        <v>36.720323679379575</v>
      </c>
      <c r="AR33" s="8" t="str">
        <f>IFERROR(Calculations!BN31, "")</f>
        <v/>
      </c>
      <c r="AS33" s="8" t="str">
        <f>IFERROR(Calculations!BO31, "")</f>
        <v/>
      </c>
      <c r="AT33" s="8" t="str">
        <f>IFERROR(Calculations!BP31, "")</f>
        <v/>
      </c>
      <c r="AU33" s="8" t="str">
        <f>IFERROR(Calculations!BQ31, "")</f>
        <v/>
      </c>
      <c r="AV33" s="8" t="str">
        <f>IFERROR(Calculations!BR31, "")</f>
        <v/>
      </c>
      <c r="AW33" s="89"/>
      <c r="AX33" s="89"/>
      <c r="AY33" s="89"/>
      <c r="AZ33" s="89"/>
      <c r="BA33" s="8" t="str">
        <f>IFERROR(Calculations!BW31, "")</f>
        <v/>
      </c>
      <c r="BB33" s="8" t="str">
        <f>IFERROR(Calculations!BX31, "")</f>
        <v/>
      </c>
      <c r="BC33" s="8" t="str">
        <f>IFERROR(Calculations!BY31, "")</f>
        <v/>
      </c>
      <c r="BD33" s="8">
        <f>IFERROR(Calculations!BZ31, "")</f>
        <v>0</v>
      </c>
      <c r="BE33" s="8">
        <f>IFERROR(Calculations!CA31, "")</f>
        <v>21.442395398627777</v>
      </c>
      <c r="BF33" s="8" t="str">
        <f>IFERROR(Calculations!CB31, "")</f>
        <v/>
      </c>
      <c r="BG33" s="8" t="str">
        <f>IFERROR(Calculations!CC31, "")</f>
        <v/>
      </c>
      <c r="BH33" s="8" t="str">
        <f>IFERROR(Calculations!CD31, "")</f>
        <v/>
      </c>
      <c r="BI33" s="8" t="str">
        <f>IFERROR(Calculations!CE31, "")</f>
        <v/>
      </c>
      <c r="BJ33" s="8">
        <f>IFERROR(IF(Calculations!CF31 &lt;&gt; 0, Calculations!CF31, ""),"")</f>
        <v>-35.883586156682682</v>
      </c>
      <c r="BK33" s="1">
        <f t="shared" si="3"/>
        <v>800</v>
      </c>
      <c r="BL33" s="1">
        <f t="shared" si="4"/>
        <v>10</v>
      </c>
      <c r="CC33" s="1" t="str">
        <f t="shared" si="5"/>
        <v/>
      </c>
      <c r="CD33" s="8" t="str">
        <f t="array" ref="CD33">IFERROR(INDEX(CHOOSE($BO$11,$AF$8:$AF$207,$AG$8:$AG$207,$BJ$8:$BJ$207), MATCH(CD$7&amp;$CC33, $B$8:$B$207&amp;$C$8:$C$207, 0)), "")</f>
        <v/>
      </c>
      <c r="CE33" s="8" t="str">
        <f t="array" ref="CE33">IFERROR(INDEX(CHOOSE($BO$11,$AF$8:$AF$207,$AG$8:$AG$207,$BJ$8:$BJ$207), MATCH(CE$7&amp;$CC33, $B$8:$B$207&amp;$C$8:$C$207, 0)), "")</f>
        <v/>
      </c>
      <c r="CF33" s="8" t="str">
        <f t="array" ref="CF33">IFERROR(INDEX(CHOOSE($BO$11,$AF$8:$AF$207,$AG$8:$AG$207,$BJ$8:$BJ$207), MATCH(CF$7&amp;$CC33, $B$8:$B$207&amp;$C$8:$C$207, 0)), "")</f>
        <v/>
      </c>
      <c r="CG33" s="8" t="str">
        <f t="array" ref="CG33">IFERROR(INDEX(CHOOSE($BO$11,$AF$8:$AF$207,$AG$8:$AG$207,$BJ$8:$BJ$207), MATCH(CG$7&amp;$CC33, $B$8:$B$207&amp;$C$8:$C$207, 0)), "")</f>
        <v/>
      </c>
      <c r="CH33" s="8" t="str">
        <f t="array" ref="CH33">IFERROR(INDEX(CHOOSE($BO$11,$AF$8:$AF$207,$AG$8:$AG$207,$BJ$8:$BJ$207), MATCH(CH$7&amp;$CC33, $B$8:$B$207&amp;$C$8:$C$207, 0)), "")</f>
        <v/>
      </c>
      <c r="CI33" s="8" t="str">
        <f t="array" ref="CI33">IFERROR(INDEX(CHOOSE($BO$11,$AF$8:$AF$207,$AG$8:$AG$207,$BJ$8:$BJ$207), MATCH(CI$7&amp;$CC33, $B$8:$B$207&amp;$C$8:$C$207, 0)), "")</f>
        <v/>
      </c>
      <c r="CJ33" s="8" t="str">
        <f t="array" ref="CJ33">IFERROR(INDEX(CHOOSE($BO$11,$AF$8:$AF$207,$AG$8:$AG$207,$BJ$8:$BJ$207), MATCH(CJ$7&amp;$CC33, $B$8:$B$207&amp;$C$8:$C$207, 0)), "")</f>
        <v/>
      </c>
      <c r="CK33" s="8" t="str">
        <f t="array" ref="CK33">IFERROR(INDEX(CHOOSE($BO$11,$AF$8:$AF$207,$AG$8:$AG$207,$BJ$8:$BJ$207), MATCH(CK$7&amp;$CC33, $B$8:$B$207&amp;$C$8:$C$207, 0)), "")</f>
        <v/>
      </c>
      <c r="CL33" s="8" t="str">
        <f t="array" ref="CL33">IFERROR(INDEX(CHOOSE($BO$11,$AF$8:$AF$207,$AG$8:$AG$207,$BJ$8:$BJ$207), MATCH(CL$7&amp;$CC33, $B$8:$B$207&amp;$C$8:$C$207, 0)), "")</f>
        <v/>
      </c>
      <c r="CM33" s="8" t="str">
        <f t="array" ref="CM33">IFERROR(INDEX(CHOOSE($BO$11,$AF$8:$AF$207,$AG$8:$AG$207,$BJ$8:$BJ$207), MATCH(CM$7&amp;$CC33, $B$8:$B$207&amp;$C$8:$C$207, 0)), "")</f>
        <v/>
      </c>
      <c r="CN33" s="8" t="str">
        <f t="array" ref="CN33">IFERROR(INDEX(CHOOSE($BO$11,$AF$8:$AF$207,$AG$8:$AG$207,$BJ$8:$BJ$207), MATCH(CN$7&amp;$CC33, $B$8:$B$207&amp;$C$8:$C$207, 0)), "")</f>
        <v/>
      </c>
      <c r="CO33" s="8" t="str">
        <f t="array" ref="CO33">IFERROR(INDEX(CHOOSE($BO$11,$AF$8:$AF$207,$AG$8:$AG$207,$BJ$8:$BJ$207), MATCH(CO$7&amp;$CC33, $B$8:$B$207&amp;$C$8:$C$207, 0)), "")</f>
        <v/>
      </c>
      <c r="CP33" s="8" t="str">
        <f t="array" ref="CP33">IFERROR(INDEX(CHOOSE($BO$11,$AF$8:$AF$207,$AG$8:$AG$207,$BJ$8:$BJ$207), MATCH(CP$7&amp;$CC33, $B$8:$B$207&amp;$C$8:$C$207, 0)), "")</f>
        <v/>
      </c>
      <c r="CQ33" s="8" t="str">
        <f t="array" ref="CQ33">IFERROR(INDEX(CHOOSE($BO$11,$AF$8:$AF$207,$AG$8:$AG$207,$BJ$8:$BJ$207), MATCH(CQ$7&amp;$CC33, $B$8:$B$207&amp;$C$8:$C$207, 0)), "")</f>
        <v/>
      </c>
      <c r="CR33" s="8" t="str">
        <f t="array" ref="CR33">IFERROR(INDEX(CHOOSE($BO$11,$AF$8:$AF$207,$AG$8:$AG$207,$BJ$8:$BJ$207), MATCH(CR$7&amp;$CC33, $B$8:$B$207&amp;$C$8:$C$207, 0)), "")</f>
        <v/>
      </c>
      <c r="CS33" s="8" t="str">
        <f t="array" ref="CS33">IFERROR(INDEX(CHOOSE($BO$11,$AF$8:$AF$207,$AG$8:$AG$207,$BJ$8:$BJ$207), MATCH(CS$7&amp;$CC33, $B$8:$B$207&amp;$C$8:$C$207, 0)), "")</f>
        <v/>
      </c>
      <c r="CT33" s="8" t="str">
        <f t="array" ref="CT33">IFERROR(INDEX(CHOOSE($BO$11,$AF$8:$AF$207,$AG$8:$AG$207,$BJ$8:$BJ$207), MATCH(CT$7&amp;$CC33, $B$8:$B$207&amp;$C$8:$C$207, 0)), "")</f>
        <v/>
      </c>
      <c r="CU33" s="8" t="str">
        <f t="array" ref="CU33">IFERROR(INDEX(CHOOSE($BO$11,$AF$8:$AF$207,$AG$8:$AG$207,$BJ$8:$BJ$207), MATCH(CU$7&amp;$CC33, $B$8:$B$207&amp;$C$8:$C$207, 0)), "")</f>
        <v/>
      </c>
      <c r="CV33" s="8" t="str">
        <f t="array" ref="CV33">IFERROR(INDEX(CHOOSE($BO$11,$AF$8:$AF$207,$AG$8:$AG$207,$BJ$8:$BJ$207), MATCH(CV$7&amp;$CC33, $B$8:$B$207&amp;$C$8:$C$207, 0)), "")</f>
        <v/>
      </c>
      <c r="CW33" s="8" t="str">
        <f t="array" ref="CW33">IFERROR(INDEX(CHOOSE($BO$11,$AF$8:$AF$207,$AG$8:$AG$207,$BJ$8:$BJ$207), MATCH(CW$7&amp;$CC33, $B$8:$B$207&amp;$C$8:$C$207, 0)), "")</f>
        <v/>
      </c>
      <c r="CX33" s="8" t="str">
        <f t="array" ref="CX33">IFERROR(INDEX(CHOOSE($BO$11,$AF$8:$AF$207,$AG$8:$AG$207,$BJ$8:$BJ$207), MATCH(CX$7&amp;$CC33, $B$8:$B$207&amp;$C$8:$C$207, 0)), "")</f>
        <v/>
      </c>
      <c r="CY33" s="8" t="str">
        <f t="array" ref="CY33">IFERROR(INDEX(CHOOSE($BO$11,$AF$8:$AF$207,$AG$8:$AG$207,$BJ$8:$BJ$207), MATCH(CY$7&amp;$CC33, $B$8:$B$207&amp;$C$8:$C$207, 0)), "")</f>
        <v/>
      </c>
      <c r="CZ33" s="8" t="str">
        <f t="array" ref="CZ33">IFERROR(INDEX(CHOOSE($BO$11,$AF$8:$AF$207,$AG$8:$AG$207,$BJ$8:$BJ$207), MATCH(CZ$7&amp;$CC33, $B$8:$B$207&amp;$C$8:$C$207, 0)), "")</f>
        <v/>
      </c>
      <c r="DA33" s="8" t="str">
        <f t="array" ref="DA33">IFERROR(INDEX(CHOOSE($BO$11,$AF$8:$AF$207,$AG$8:$AG$207,$BJ$8:$BJ$207), MATCH(DA$7&amp;$CC33, $B$8:$B$207&amp;$C$8:$C$207, 0)), "")</f>
        <v/>
      </c>
      <c r="DB33" s="8" t="str">
        <f t="array" ref="DB33">IFERROR(INDEX(CHOOSE($BO$11,$AF$8:$AF$207,$AG$8:$AG$207,$BJ$8:$BJ$207), MATCH(DB$7&amp;$CC33, $B$8:$B$207&amp;$C$8:$C$207, 0)), "")</f>
        <v/>
      </c>
      <c r="DC33" s="8" t="str">
        <f t="array" ref="DC33">IFERROR(INDEX(CHOOSE($BO$11,$AF$8:$AF$207,$AG$8:$AG$207,$BJ$8:$BJ$207), MATCH(DC$7&amp;$CC33, $B$8:$B$207&amp;$C$8:$C$207, 0)), "")</f>
        <v/>
      </c>
      <c r="DD33" s="8" t="str">
        <f t="array" ref="DD33">IFERROR(INDEX(CHOOSE($BO$11,$AF$8:$AF$207,$AG$8:$AG$207,$BJ$8:$BJ$207), MATCH(DD$7&amp;$CC33, $B$8:$B$207&amp;$C$8:$C$207, 0)), "")</f>
        <v/>
      </c>
      <c r="DE33" s="8" t="str">
        <f t="array" ref="DE33">IFERROR(INDEX(CHOOSE($BO$11,$AF$8:$AF$207,$AG$8:$AG$207,$BJ$8:$BJ$207), MATCH(DE$7&amp;$CC33, $B$8:$B$207&amp;$C$8:$C$207, 0)), "")</f>
        <v/>
      </c>
      <c r="DF33" s="8" t="str">
        <f t="array" ref="DF33">IFERROR(INDEX(CHOOSE($BO$11,$AF$8:$AF$207,$AG$8:$AG$207,$BJ$8:$BJ$207), MATCH(DF$7&amp;$CC33, $B$8:$B$207&amp;$C$8:$C$207, 0)), "")</f>
        <v/>
      </c>
      <c r="DG33" s="8" t="str">
        <f t="array" ref="DG33">IFERROR(INDEX(CHOOSE($BO$11,$AF$8:$AF$207,$AG$8:$AG$207,$BJ$8:$BJ$207), MATCH(DG$7&amp;$CC33, $B$8:$B$207&amp;$C$8:$C$207, 0)), "")</f>
        <v/>
      </c>
      <c r="DH33" s="8"/>
      <c r="DI33" s="8"/>
      <c r="DJ33" s="8"/>
      <c r="DK33" s="8"/>
      <c r="DL33" s="8"/>
      <c r="DM33" s="8"/>
      <c r="DN33" s="8"/>
      <c r="DO33" s="8"/>
      <c r="DP33" s="8"/>
      <c r="DQ33" s="8"/>
      <c r="DR33" s="8"/>
      <c r="DS33" s="8"/>
      <c r="DT33" s="8"/>
      <c r="DU33" s="8"/>
      <c r="DV33" s="8"/>
      <c r="DW33" s="8"/>
      <c r="DX33" s="8"/>
      <c r="DY33" s="8"/>
      <c r="DZ33" s="8"/>
      <c r="EA33" s="8"/>
    </row>
    <row r="34" spans="2:131" x14ac:dyDescent="0.2">
      <c r="B34" s="1">
        <f>IFERROR(Calculations!M32/1000, "")</f>
        <v>10</v>
      </c>
      <c r="C34" s="1">
        <f>Calculations!N32</f>
        <v>850</v>
      </c>
      <c r="D34" s="58">
        <f>IFERROR(Calculations!$Q32,"")</f>
        <v>0.8542841936683655</v>
      </c>
      <c r="E34" s="8">
        <f>IFERROR(Calculations!$S32, "")</f>
        <v>11.656505114177619</v>
      </c>
      <c r="F34" s="89"/>
      <c r="G34" s="89"/>
      <c r="H34" s="89"/>
      <c r="I34" s="89"/>
      <c r="J34" s="1" t="str">
        <f>IFERROR(Calculations!AC32, "")</f>
        <v/>
      </c>
      <c r="K34" s="1" t="str">
        <f>IFERROR(Calculations!AD32, "")</f>
        <v/>
      </c>
      <c r="L34" s="8">
        <f>IFERROR(Calculations!AE32,"")</f>
        <v>-75736.265904656597</v>
      </c>
      <c r="M34" s="8">
        <f>IFERROR(Calculations!AF32,"")</f>
        <v>-122323.33358851643</v>
      </c>
      <c r="N34" s="8" t="str">
        <f>IFERROR(Calculations!AG32,"")</f>
        <v/>
      </c>
      <c r="O34" s="8" t="str">
        <f>IFERROR(Calculations!AH32,"")</f>
        <v/>
      </c>
      <c r="P34" s="8" t="str">
        <f>IFERROR(Calculations!AI32,"")</f>
        <v/>
      </c>
      <c r="Q34" s="8" t="str">
        <f>IFERROR(Calculations!AJ32,"")</f>
        <v/>
      </c>
      <c r="R34" s="8" t="str">
        <f>IFERROR(Calculations!AK32,"")</f>
        <v/>
      </c>
      <c r="S34" s="89"/>
      <c r="T34" s="89"/>
      <c r="U34" s="89"/>
      <c r="V34" s="89"/>
      <c r="W34" s="1" t="str">
        <f>IFERROR(Calculations!AP32, "")</f>
        <v/>
      </c>
      <c r="X34" s="1" t="str">
        <f>IFERROR(Calculations!AQ32, "")</f>
        <v/>
      </c>
      <c r="Y34" s="8" t="str">
        <f>IFERROR(Calculations!AR32,"")</f>
        <v/>
      </c>
      <c r="Z34" s="8">
        <f>IFERROR(Calculations!AS32,"")</f>
        <v>0</v>
      </c>
      <c r="AA34" s="8">
        <f>IFERROR(Calculations!AT32,"")</f>
        <v>-155085.85077037188</v>
      </c>
      <c r="AB34" s="8" t="str">
        <f>IFERROR(Calculations!AU32,"")</f>
        <v/>
      </c>
      <c r="AC34" s="8" t="str">
        <f>IFERROR(Calculations!AV32,"")</f>
        <v/>
      </c>
      <c r="AD34" s="8" t="str">
        <f>IFERROR(Calculations!AW32,"")</f>
        <v/>
      </c>
      <c r="AE34" s="8" t="str">
        <f>IFERROR(Calculations!AX32,"")</f>
        <v/>
      </c>
      <c r="AF34" s="8">
        <f>IFERROR(IF(Calculations!AY32 &lt;&gt; 0, Calculations!AY32, ""),"")</f>
        <v>42973.74872280113</v>
      </c>
      <c r="AG34" s="42">
        <f>IFERROR(IF(Calculations!AZ32 &lt;&gt; 0, Calculations!AZ32, ""),"")</f>
        <v>-8.3675314275976795</v>
      </c>
      <c r="AH34" s="1">
        <f t="shared" si="1"/>
        <v>10</v>
      </c>
      <c r="AI34" s="1">
        <f t="shared" si="2"/>
        <v>850</v>
      </c>
      <c r="AJ34" s="89"/>
      <c r="AK34" s="89"/>
      <c r="AL34" s="89"/>
      <c r="AM34" s="89"/>
      <c r="AN34" s="8" t="str">
        <f>IFERROR(Calculations!BJ32, "")</f>
        <v/>
      </c>
      <c r="AO34" s="8" t="str">
        <f>IFERROR(Calculations!BK32, "")</f>
        <v/>
      </c>
      <c r="AP34" s="8">
        <f>IFERROR(Calculations!BL32, "")</f>
        <v>21.08815793798189</v>
      </c>
      <c r="AQ34" s="8">
        <f>IFERROR(Calculations!BM32, "")</f>
        <v>37.557975219435598</v>
      </c>
      <c r="AR34" s="8" t="str">
        <f>IFERROR(Calculations!BN32, "")</f>
        <v/>
      </c>
      <c r="AS34" s="8" t="str">
        <f>IFERROR(Calculations!BO32, "")</f>
        <v/>
      </c>
      <c r="AT34" s="8" t="str">
        <f>IFERROR(Calculations!BP32, "")</f>
        <v/>
      </c>
      <c r="AU34" s="8" t="str">
        <f>IFERROR(Calculations!BQ32, "")</f>
        <v/>
      </c>
      <c r="AV34" s="8" t="str">
        <f>IFERROR(Calculations!BR32, "")</f>
        <v/>
      </c>
      <c r="AW34" s="89"/>
      <c r="AX34" s="89"/>
      <c r="AY34" s="89"/>
      <c r="AZ34" s="89"/>
      <c r="BA34" s="8" t="str">
        <f>IFERROR(Calculations!BW32, "")</f>
        <v/>
      </c>
      <c r="BB34" s="8" t="str">
        <f>IFERROR(Calculations!BX32, "")</f>
        <v/>
      </c>
      <c r="BC34" s="8" t="str">
        <f>IFERROR(Calculations!BY32, "")</f>
        <v/>
      </c>
      <c r="BD34" s="8">
        <f>IFERROR(Calculations!BZ32, "")</f>
        <v>0</v>
      </c>
      <c r="BE34" s="8">
        <f>IFERROR(Calculations!CA32, "")</f>
        <v>20.111109157392125</v>
      </c>
      <c r="BF34" s="8" t="str">
        <f>IFERROR(Calculations!CB32, "")</f>
        <v/>
      </c>
      <c r="BG34" s="8" t="str">
        <f>IFERROR(Calculations!CC32, "")</f>
        <v/>
      </c>
      <c r="BH34" s="8" t="str">
        <f>IFERROR(Calculations!CD32, "")</f>
        <v/>
      </c>
      <c r="BI34" s="8" t="str">
        <f>IFERROR(Calculations!CE32, "")</f>
        <v/>
      </c>
      <c r="BJ34" s="8">
        <f>IFERROR(IF(Calculations!CF32 &lt;&gt; 0, Calculations!CF32, ""),"")</f>
        <v>-38.535024000025359</v>
      </c>
      <c r="BK34" s="1">
        <f t="shared" si="3"/>
        <v>850</v>
      </c>
      <c r="BL34" s="1">
        <f t="shared" si="4"/>
        <v>10</v>
      </c>
      <c r="CC34" s="1" t="str">
        <f t="shared" si="5"/>
        <v/>
      </c>
      <c r="CD34" s="8" t="str">
        <f t="array" ref="CD34">IFERROR(INDEX(CHOOSE($BO$11,$AF$8:$AF$207,$AG$8:$AG$207,$BJ$8:$BJ$207), MATCH(CD$7&amp;$CC34, $B$8:$B$207&amp;$C$8:$C$207, 0)), "")</f>
        <v/>
      </c>
      <c r="CE34" s="8" t="str">
        <f t="array" ref="CE34">IFERROR(INDEX(CHOOSE($BO$11,$AF$8:$AF$207,$AG$8:$AG$207,$BJ$8:$BJ$207), MATCH(CE$7&amp;$CC34, $B$8:$B$207&amp;$C$8:$C$207, 0)), "")</f>
        <v/>
      </c>
      <c r="CF34" s="8" t="str">
        <f t="array" ref="CF34">IFERROR(INDEX(CHOOSE($BO$11,$AF$8:$AF$207,$AG$8:$AG$207,$BJ$8:$BJ$207), MATCH(CF$7&amp;$CC34, $B$8:$B$207&amp;$C$8:$C$207, 0)), "")</f>
        <v/>
      </c>
      <c r="CG34" s="8" t="str">
        <f t="array" ref="CG34">IFERROR(INDEX(CHOOSE($BO$11,$AF$8:$AF$207,$AG$8:$AG$207,$BJ$8:$BJ$207), MATCH(CG$7&amp;$CC34, $B$8:$B$207&amp;$C$8:$C$207, 0)), "")</f>
        <v/>
      </c>
      <c r="CH34" s="8" t="str">
        <f t="array" ref="CH34">IFERROR(INDEX(CHOOSE($BO$11,$AF$8:$AF$207,$AG$8:$AG$207,$BJ$8:$BJ$207), MATCH(CH$7&amp;$CC34, $B$8:$B$207&amp;$C$8:$C$207, 0)), "")</f>
        <v/>
      </c>
      <c r="CI34" s="8" t="str">
        <f t="array" ref="CI34">IFERROR(INDEX(CHOOSE($BO$11,$AF$8:$AF$207,$AG$8:$AG$207,$BJ$8:$BJ$207), MATCH(CI$7&amp;$CC34, $B$8:$B$207&amp;$C$8:$C$207, 0)), "")</f>
        <v/>
      </c>
      <c r="CJ34" s="8" t="str">
        <f t="array" ref="CJ34">IFERROR(INDEX(CHOOSE($BO$11,$AF$8:$AF$207,$AG$8:$AG$207,$BJ$8:$BJ$207), MATCH(CJ$7&amp;$CC34, $B$8:$B$207&amp;$C$8:$C$207, 0)), "")</f>
        <v/>
      </c>
      <c r="CK34" s="8" t="str">
        <f t="array" ref="CK34">IFERROR(INDEX(CHOOSE($BO$11,$AF$8:$AF$207,$AG$8:$AG$207,$BJ$8:$BJ$207), MATCH(CK$7&amp;$CC34, $B$8:$B$207&amp;$C$8:$C$207, 0)), "")</f>
        <v/>
      </c>
      <c r="CL34" s="8" t="str">
        <f t="array" ref="CL34">IFERROR(INDEX(CHOOSE($BO$11,$AF$8:$AF$207,$AG$8:$AG$207,$BJ$8:$BJ$207), MATCH(CL$7&amp;$CC34, $B$8:$B$207&amp;$C$8:$C$207, 0)), "")</f>
        <v/>
      </c>
      <c r="CM34" s="8" t="str">
        <f t="array" ref="CM34">IFERROR(INDEX(CHOOSE($BO$11,$AF$8:$AF$207,$AG$8:$AG$207,$BJ$8:$BJ$207), MATCH(CM$7&amp;$CC34, $B$8:$B$207&amp;$C$8:$C$207, 0)), "")</f>
        <v/>
      </c>
      <c r="CN34" s="8" t="str">
        <f t="array" ref="CN34">IFERROR(INDEX(CHOOSE($BO$11,$AF$8:$AF$207,$AG$8:$AG$207,$BJ$8:$BJ$207), MATCH(CN$7&amp;$CC34, $B$8:$B$207&amp;$C$8:$C$207, 0)), "")</f>
        <v/>
      </c>
      <c r="CO34" s="8" t="str">
        <f t="array" ref="CO34">IFERROR(INDEX(CHOOSE($BO$11,$AF$8:$AF$207,$AG$8:$AG$207,$BJ$8:$BJ$207), MATCH(CO$7&amp;$CC34, $B$8:$B$207&amp;$C$8:$C$207, 0)), "")</f>
        <v/>
      </c>
      <c r="CP34" s="8" t="str">
        <f t="array" ref="CP34">IFERROR(INDEX(CHOOSE($BO$11,$AF$8:$AF$207,$AG$8:$AG$207,$BJ$8:$BJ$207), MATCH(CP$7&amp;$CC34, $B$8:$B$207&amp;$C$8:$C$207, 0)), "")</f>
        <v/>
      </c>
      <c r="CQ34" s="8" t="str">
        <f t="array" ref="CQ34">IFERROR(INDEX(CHOOSE($BO$11,$AF$8:$AF$207,$AG$8:$AG$207,$BJ$8:$BJ$207), MATCH(CQ$7&amp;$CC34, $B$8:$B$207&amp;$C$8:$C$207, 0)), "")</f>
        <v/>
      </c>
      <c r="CR34" s="8" t="str">
        <f t="array" ref="CR34">IFERROR(INDEX(CHOOSE($BO$11,$AF$8:$AF$207,$AG$8:$AG$207,$BJ$8:$BJ$207), MATCH(CR$7&amp;$CC34, $B$8:$B$207&amp;$C$8:$C$207, 0)), "")</f>
        <v/>
      </c>
      <c r="CS34" s="8" t="str">
        <f t="array" ref="CS34">IFERROR(INDEX(CHOOSE($BO$11,$AF$8:$AF$207,$AG$8:$AG$207,$BJ$8:$BJ$207), MATCH(CS$7&amp;$CC34, $B$8:$B$207&amp;$C$8:$C$207, 0)), "")</f>
        <v/>
      </c>
      <c r="CT34" s="8" t="str">
        <f t="array" ref="CT34">IFERROR(INDEX(CHOOSE($BO$11,$AF$8:$AF$207,$AG$8:$AG$207,$BJ$8:$BJ$207), MATCH(CT$7&amp;$CC34, $B$8:$B$207&amp;$C$8:$C$207, 0)), "")</f>
        <v/>
      </c>
      <c r="CU34" s="8" t="str">
        <f t="array" ref="CU34">IFERROR(INDEX(CHOOSE($BO$11,$AF$8:$AF$207,$AG$8:$AG$207,$BJ$8:$BJ$207), MATCH(CU$7&amp;$CC34, $B$8:$B$207&amp;$C$8:$C$207, 0)), "")</f>
        <v/>
      </c>
      <c r="CV34" s="8" t="str">
        <f t="array" ref="CV34">IFERROR(INDEX(CHOOSE($BO$11,$AF$8:$AF$207,$AG$8:$AG$207,$BJ$8:$BJ$207), MATCH(CV$7&amp;$CC34, $B$8:$B$207&amp;$C$8:$C$207, 0)), "")</f>
        <v/>
      </c>
      <c r="CW34" s="8" t="str">
        <f t="array" ref="CW34">IFERROR(INDEX(CHOOSE($BO$11,$AF$8:$AF$207,$AG$8:$AG$207,$BJ$8:$BJ$207), MATCH(CW$7&amp;$CC34, $B$8:$B$207&amp;$C$8:$C$207, 0)), "")</f>
        <v/>
      </c>
      <c r="CX34" s="8" t="str">
        <f t="array" ref="CX34">IFERROR(INDEX(CHOOSE($BO$11,$AF$8:$AF$207,$AG$8:$AG$207,$BJ$8:$BJ$207), MATCH(CX$7&amp;$CC34, $B$8:$B$207&amp;$C$8:$C$207, 0)), "")</f>
        <v/>
      </c>
      <c r="CY34" s="8" t="str">
        <f t="array" ref="CY34">IFERROR(INDEX(CHOOSE($BO$11,$AF$8:$AF$207,$AG$8:$AG$207,$BJ$8:$BJ$207), MATCH(CY$7&amp;$CC34, $B$8:$B$207&amp;$C$8:$C$207, 0)), "")</f>
        <v/>
      </c>
      <c r="CZ34" s="8" t="str">
        <f t="array" ref="CZ34">IFERROR(INDEX(CHOOSE($BO$11,$AF$8:$AF$207,$AG$8:$AG$207,$BJ$8:$BJ$207), MATCH(CZ$7&amp;$CC34, $B$8:$B$207&amp;$C$8:$C$207, 0)), "")</f>
        <v/>
      </c>
      <c r="DA34" s="8" t="str">
        <f t="array" ref="DA34">IFERROR(INDEX(CHOOSE($BO$11,$AF$8:$AF$207,$AG$8:$AG$207,$BJ$8:$BJ$207), MATCH(DA$7&amp;$CC34, $B$8:$B$207&amp;$C$8:$C$207, 0)), "")</f>
        <v/>
      </c>
      <c r="DB34" s="8" t="str">
        <f t="array" ref="DB34">IFERROR(INDEX(CHOOSE($BO$11,$AF$8:$AF$207,$AG$8:$AG$207,$BJ$8:$BJ$207), MATCH(DB$7&amp;$CC34, $B$8:$B$207&amp;$C$8:$C$207, 0)), "")</f>
        <v/>
      </c>
      <c r="DC34" s="8" t="str">
        <f t="array" ref="DC34">IFERROR(INDEX(CHOOSE($BO$11,$AF$8:$AF$207,$AG$8:$AG$207,$BJ$8:$BJ$207), MATCH(DC$7&amp;$CC34, $B$8:$B$207&amp;$C$8:$C$207, 0)), "")</f>
        <v/>
      </c>
      <c r="DD34" s="8" t="str">
        <f t="array" ref="DD34">IFERROR(INDEX(CHOOSE($BO$11,$AF$8:$AF$207,$AG$8:$AG$207,$BJ$8:$BJ$207), MATCH(DD$7&amp;$CC34, $B$8:$B$207&amp;$C$8:$C$207, 0)), "")</f>
        <v/>
      </c>
      <c r="DE34" s="8" t="str">
        <f t="array" ref="DE34">IFERROR(INDEX(CHOOSE($BO$11,$AF$8:$AF$207,$AG$8:$AG$207,$BJ$8:$BJ$207), MATCH(DE$7&amp;$CC34, $B$8:$B$207&amp;$C$8:$C$207, 0)), "")</f>
        <v/>
      </c>
      <c r="DF34" s="8" t="str">
        <f t="array" ref="DF34">IFERROR(INDEX(CHOOSE($BO$11,$AF$8:$AF$207,$AG$8:$AG$207,$BJ$8:$BJ$207), MATCH(DF$7&amp;$CC34, $B$8:$B$207&amp;$C$8:$C$207, 0)), "")</f>
        <v/>
      </c>
      <c r="DG34" s="8" t="str">
        <f t="array" ref="DG34">IFERROR(INDEX(CHOOSE($BO$11,$AF$8:$AF$207,$AG$8:$AG$207,$BJ$8:$BJ$207), MATCH(DG$7&amp;$CC34, $B$8:$B$207&amp;$C$8:$C$207, 0)), "")</f>
        <v/>
      </c>
      <c r="DH34" s="8"/>
      <c r="DI34" s="8"/>
      <c r="DJ34" s="8"/>
      <c r="DK34" s="8"/>
      <c r="DL34" s="8"/>
      <c r="DM34" s="8"/>
      <c r="DN34" s="8"/>
      <c r="DO34" s="8"/>
      <c r="DP34" s="8"/>
      <c r="DQ34" s="8"/>
      <c r="DR34" s="8"/>
      <c r="DS34" s="8"/>
      <c r="DT34" s="8"/>
      <c r="DU34" s="8"/>
      <c r="DV34" s="8"/>
      <c r="DW34" s="8"/>
      <c r="DX34" s="8"/>
      <c r="DY34" s="8"/>
      <c r="DZ34" s="8"/>
      <c r="EA34" s="8"/>
    </row>
    <row r="35" spans="2:131" x14ac:dyDescent="0.2">
      <c r="B35" s="1">
        <f>IFERROR(Calculations!M33/1000, "")</f>
        <v>10</v>
      </c>
      <c r="C35" s="1">
        <f>Calculations!N33</f>
        <v>900</v>
      </c>
      <c r="D35" s="58">
        <f>IFERROR(Calculations!$Q33,"")</f>
        <v>0.83495627281904206</v>
      </c>
      <c r="E35" s="8">
        <f>IFERROR(Calculations!$S33, "")</f>
        <v>10.649990929225497</v>
      </c>
      <c r="F35" s="89"/>
      <c r="G35" s="89"/>
      <c r="H35" s="89"/>
      <c r="I35" s="89"/>
      <c r="J35" s="1" t="str">
        <f>IFERROR(Calculations!AC33, "")</f>
        <v/>
      </c>
      <c r="K35" s="1" t="str">
        <f>IFERROR(Calculations!AD33, "")</f>
        <v/>
      </c>
      <c r="L35" s="8">
        <f>IFERROR(Calculations!AE33,"")</f>
        <v>-77530.778579653474</v>
      </c>
      <c r="M35" s="8">
        <f>IFERROR(Calculations!AF33,"")</f>
        <v>-125122.52974306274</v>
      </c>
      <c r="N35" s="8" t="str">
        <f>IFERROR(Calculations!AG33,"")</f>
        <v/>
      </c>
      <c r="O35" s="8" t="str">
        <f>IFERROR(Calculations!AH33,"")</f>
        <v/>
      </c>
      <c r="P35" s="8" t="str">
        <f>IFERROR(Calculations!AI33,"")</f>
        <v/>
      </c>
      <c r="Q35" s="8" t="str">
        <f>IFERROR(Calculations!AJ33,"")</f>
        <v/>
      </c>
      <c r="R35" s="8" t="str">
        <f>IFERROR(Calculations!AK33,"")</f>
        <v/>
      </c>
      <c r="S35" s="89"/>
      <c r="T35" s="89"/>
      <c r="U35" s="89"/>
      <c r="V35" s="89"/>
      <c r="W35" s="1" t="str">
        <f>IFERROR(Calculations!AP33, "")</f>
        <v/>
      </c>
      <c r="X35" s="1" t="str">
        <f>IFERROR(Calculations!AQ33, "")</f>
        <v/>
      </c>
      <c r="Y35" s="8" t="str">
        <f>IFERROR(Calculations!AR33,"")</f>
        <v/>
      </c>
      <c r="Z35" s="8">
        <f>IFERROR(Calculations!AS33,"")</f>
        <v>0</v>
      </c>
      <c r="AA35" s="8">
        <f>IFERROR(Calculations!AT33,"")</f>
        <v>-156273.46875133622</v>
      </c>
      <c r="AB35" s="8" t="str">
        <f>IFERROR(Calculations!AU33,"")</f>
        <v/>
      </c>
      <c r="AC35" s="8" t="str">
        <f>IFERROR(Calculations!AV33,"")</f>
        <v/>
      </c>
      <c r="AD35" s="8" t="str">
        <f>IFERROR(Calculations!AW33,"")</f>
        <v/>
      </c>
      <c r="AE35" s="8" t="str">
        <f>IFERROR(Calculations!AX33,"")</f>
        <v/>
      </c>
      <c r="AF35" s="8">
        <f>IFERROR(IF(Calculations!AY33 &lt;&gt; 0, Calculations!AY33, ""),"")</f>
        <v>46379.839571379998</v>
      </c>
      <c r="AG35" s="42">
        <f>IFERROR(IF(Calculations!AZ33 &lt;&gt; 0, Calculations!AZ33, ""),"")</f>
        <v>-8.6458474947994084</v>
      </c>
      <c r="AH35" s="1">
        <f t="shared" si="1"/>
        <v>10</v>
      </c>
      <c r="AI35" s="1">
        <f t="shared" si="2"/>
        <v>900</v>
      </c>
      <c r="AJ35" s="89"/>
      <c r="AK35" s="89"/>
      <c r="AL35" s="89"/>
      <c r="AM35" s="89"/>
      <c r="AN35" s="8" t="str">
        <f>IFERROR(Calculations!BJ33, "")</f>
        <v/>
      </c>
      <c r="AO35" s="8" t="str">
        <f>IFERROR(Calculations!BK33, "")</f>
        <v/>
      </c>
      <c r="AP35" s="8">
        <f>IFERROR(Calculations!BL33, "")</f>
        <v>21.576315534675199</v>
      </c>
      <c r="AQ35" s="8">
        <f>IFERROR(Calculations!BM33, "")</f>
        <v>38.453123642589951</v>
      </c>
      <c r="AR35" s="8" t="str">
        <f>IFERROR(Calculations!BN33, "")</f>
        <v/>
      </c>
      <c r="AS35" s="8" t="str">
        <f>IFERROR(Calculations!BO33, "")</f>
        <v/>
      </c>
      <c r="AT35" s="8" t="str">
        <f>IFERROR(Calculations!BP33, "")</f>
        <v/>
      </c>
      <c r="AU35" s="8" t="str">
        <f>IFERROR(Calculations!BQ33, "")</f>
        <v/>
      </c>
      <c r="AV35" s="8" t="str">
        <f>IFERROR(Calculations!BR33, "")</f>
        <v/>
      </c>
      <c r="AW35" s="89"/>
      <c r="AX35" s="89"/>
      <c r="AY35" s="89"/>
      <c r="AZ35" s="89"/>
      <c r="BA35" s="8" t="str">
        <f>IFERROR(Calculations!BW33, "")</f>
        <v/>
      </c>
      <c r="BB35" s="8" t="str">
        <f>IFERROR(Calculations!BX33, "")</f>
        <v/>
      </c>
      <c r="BC35" s="8" t="str">
        <f>IFERROR(Calculations!BY33, "")</f>
        <v/>
      </c>
      <c r="BD35" s="8">
        <f>IFERROR(Calculations!BZ33, "")</f>
        <v>0</v>
      </c>
      <c r="BE35" s="8">
        <f>IFERROR(Calculations!CA33, "")</f>
        <v>18.68810408687796</v>
      </c>
      <c r="BF35" s="8" t="str">
        <f>IFERROR(Calculations!CB33, "")</f>
        <v/>
      </c>
      <c r="BG35" s="8" t="str">
        <f>IFERROR(Calculations!CC33, "")</f>
        <v/>
      </c>
      <c r="BH35" s="8" t="str">
        <f>IFERROR(Calculations!CD33, "")</f>
        <v/>
      </c>
      <c r="BI35" s="8" t="str">
        <f>IFERROR(Calculations!CE33, "")</f>
        <v/>
      </c>
      <c r="BJ35" s="8">
        <f>IFERROR(IF(Calculations!CF33 &lt;&gt; 0, Calculations!CF33, ""),"")</f>
        <v>-41.34133509038719</v>
      </c>
      <c r="BK35" s="1">
        <f t="shared" si="3"/>
        <v>900</v>
      </c>
      <c r="BL35" s="1">
        <f t="shared" si="4"/>
        <v>10</v>
      </c>
      <c r="CC35" s="1" t="str">
        <f t="shared" si="5"/>
        <v/>
      </c>
      <c r="CD35" s="8" t="str">
        <f t="array" ref="CD35">IFERROR(INDEX(CHOOSE($BO$11,$AF$8:$AF$207,$AG$8:$AG$207,$BJ$8:$BJ$207), MATCH(CD$7&amp;$CC35, $B$8:$B$207&amp;$C$8:$C$207, 0)), "")</f>
        <v/>
      </c>
      <c r="CE35" s="8" t="str">
        <f t="array" ref="CE35">IFERROR(INDEX(CHOOSE($BO$11,$AF$8:$AF$207,$AG$8:$AG$207,$BJ$8:$BJ$207), MATCH(CE$7&amp;$CC35, $B$8:$B$207&amp;$C$8:$C$207, 0)), "")</f>
        <v/>
      </c>
      <c r="CF35" s="8" t="str">
        <f t="array" ref="CF35">IFERROR(INDEX(CHOOSE($BO$11,$AF$8:$AF$207,$AG$8:$AG$207,$BJ$8:$BJ$207), MATCH(CF$7&amp;$CC35, $B$8:$B$207&amp;$C$8:$C$207, 0)), "")</f>
        <v/>
      </c>
      <c r="CG35" s="8" t="str">
        <f t="array" ref="CG35">IFERROR(INDEX(CHOOSE($BO$11,$AF$8:$AF$207,$AG$8:$AG$207,$BJ$8:$BJ$207), MATCH(CG$7&amp;$CC35, $B$8:$B$207&amp;$C$8:$C$207, 0)), "")</f>
        <v/>
      </c>
      <c r="CH35" s="8" t="str">
        <f t="array" ref="CH35">IFERROR(INDEX(CHOOSE($BO$11,$AF$8:$AF$207,$AG$8:$AG$207,$BJ$8:$BJ$207), MATCH(CH$7&amp;$CC35, $B$8:$B$207&amp;$C$8:$C$207, 0)), "")</f>
        <v/>
      </c>
      <c r="CI35" s="8" t="str">
        <f t="array" ref="CI35">IFERROR(INDEX(CHOOSE($BO$11,$AF$8:$AF$207,$AG$8:$AG$207,$BJ$8:$BJ$207), MATCH(CI$7&amp;$CC35, $B$8:$B$207&amp;$C$8:$C$207, 0)), "")</f>
        <v/>
      </c>
      <c r="CJ35" s="8" t="str">
        <f t="array" ref="CJ35">IFERROR(INDEX(CHOOSE($BO$11,$AF$8:$AF$207,$AG$8:$AG$207,$BJ$8:$BJ$207), MATCH(CJ$7&amp;$CC35, $B$8:$B$207&amp;$C$8:$C$207, 0)), "")</f>
        <v/>
      </c>
      <c r="CK35" s="8" t="str">
        <f t="array" ref="CK35">IFERROR(INDEX(CHOOSE($BO$11,$AF$8:$AF$207,$AG$8:$AG$207,$BJ$8:$BJ$207), MATCH(CK$7&amp;$CC35, $B$8:$B$207&amp;$C$8:$C$207, 0)), "")</f>
        <v/>
      </c>
      <c r="CL35" s="8" t="str">
        <f t="array" ref="CL35">IFERROR(INDEX(CHOOSE($BO$11,$AF$8:$AF$207,$AG$8:$AG$207,$BJ$8:$BJ$207), MATCH(CL$7&amp;$CC35, $B$8:$B$207&amp;$C$8:$C$207, 0)), "")</f>
        <v/>
      </c>
      <c r="CM35" s="8" t="str">
        <f t="array" ref="CM35">IFERROR(INDEX(CHOOSE($BO$11,$AF$8:$AF$207,$AG$8:$AG$207,$BJ$8:$BJ$207), MATCH(CM$7&amp;$CC35, $B$8:$B$207&amp;$C$8:$C$207, 0)), "")</f>
        <v/>
      </c>
      <c r="CN35" s="8" t="str">
        <f t="array" ref="CN35">IFERROR(INDEX(CHOOSE($BO$11,$AF$8:$AF$207,$AG$8:$AG$207,$BJ$8:$BJ$207), MATCH(CN$7&amp;$CC35, $B$8:$B$207&amp;$C$8:$C$207, 0)), "")</f>
        <v/>
      </c>
      <c r="CO35" s="8" t="str">
        <f t="array" ref="CO35">IFERROR(INDEX(CHOOSE($BO$11,$AF$8:$AF$207,$AG$8:$AG$207,$BJ$8:$BJ$207), MATCH(CO$7&amp;$CC35, $B$8:$B$207&amp;$C$8:$C$207, 0)), "")</f>
        <v/>
      </c>
      <c r="CP35" s="8" t="str">
        <f t="array" ref="CP35">IFERROR(INDEX(CHOOSE($BO$11,$AF$8:$AF$207,$AG$8:$AG$207,$BJ$8:$BJ$207), MATCH(CP$7&amp;$CC35, $B$8:$B$207&amp;$C$8:$C$207, 0)), "")</f>
        <v/>
      </c>
      <c r="CQ35" s="8" t="str">
        <f t="array" ref="CQ35">IFERROR(INDEX(CHOOSE($BO$11,$AF$8:$AF$207,$AG$8:$AG$207,$BJ$8:$BJ$207), MATCH(CQ$7&amp;$CC35, $B$8:$B$207&amp;$C$8:$C$207, 0)), "")</f>
        <v/>
      </c>
      <c r="CR35" s="8" t="str">
        <f t="array" ref="CR35">IFERROR(INDEX(CHOOSE($BO$11,$AF$8:$AF$207,$AG$8:$AG$207,$BJ$8:$BJ$207), MATCH(CR$7&amp;$CC35, $B$8:$B$207&amp;$C$8:$C$207, 0)), "")</f>
        <v/>
      </c>
      <c r="CS35" s="8" t="str">
        <f t="array" ref="CS35">IFERROR(INDEX(CHOOSE($BO$11,$AF$8:$AF$207,$AG$8:$AG$207,$BJ$8:$BJ$207), MATCH(CS$7&amp;$CC35, $B$8:$B$207&amp;$C$8:$C$207, 0)), "")</f>
        <v/>
      </c>
      <c r="CT35" s="8" t="str">
        <f t="array" ref="CT35">IFERROR(INDEX(CHOOSE($BO$11,$AF$8:$AF$207,$AG$8:$AG$207,$BJ$8:$BJ$207), MATCH(CT$7&amp;$CC35, $B$8:$B$207&amp;$C$8:$C$207, 0)), "")</f>
        <v/>
      </c>
      <c r="CU35" s="8" t="str">
        <f t="array" ref="CU35">IFERROR(INDEX(CHOOSE($BO$11,$AF$8:$AF$207,$AG$8:$AG$207,$BJ$8:$BJ$207), MATCH(CU$7&amp;$CC35, $B$8:$B$207&amp;$C$8:$C$207, 0)), "")</f>
        <v/>
      </c>
      <c r="CV35" s="8" t="str">
        <f t="array" ref="CV35">IFERROR(INDEX(CHOOSE($BO$11,$AF$8:$AF$207,$AG$8:$AG$207,$BJ$8:$BJ$207), MATCH(CV$7&amp;$CC35, $B$8:$B$207&amp;$C$8:$C$207, 0)), "")</f>
        <v/>
      </c>
      <c r="CW35" s="8" t="str">
        <f t="array" ref="CW35">IFERROR(INDEX(CHOOSE($BO$11,$AF$8:$AF$207,$AG$8:$AG$207,$BJ$8:$BJ$207), MATCH(CW$7&amp;$CC35, $B$8:$B$207&amp;$C$8:$C$207, 0)), "")</f>
        <v/>
      </c>
      <c r="CX35" s="8" t="str">
        <f t="array" ref="CX35">IFERROR(INDEX(CHOOSE($BO$11,$AF$8:$AF$207,$AG$8:$AG$207,$BJ$8:$BJ$207), MATCH(CX$7&amp;$CC35, $B$8:$B$207&amp;$C$8:$C$207, 0)), "")</f>
        <v/>
      </c>
      <c r="CY35" s="8" t="str">
        <f t="array" ref="CY35">IFERROR(INDEX(CHOOSE($BO$11,$AF$8:$AF$207,$AG$8:$AG$207,$BJ$8:$BJ$207), MATCH(CY$7&amp;$CC35, $B$8:$B$207&amp;$C$8:$C$207, 0)), "")</f>
        <v/>
      </c>
      <c r="CZ35" s="8" t="str">
        <f t="array" ref="CZ35">IFERROR(INDEX(CHOOSE($BO$11,$AF$8:$AF$207,$AG$8:$AG$207,$BJ$8:$BJ$207), MATCH(CZ$7&amp;$CC35, $B$8:$B$207&amp;$C$8:$C$207, 0)), "")</f>
        <v/>
      </c>
      <c r="DA35" s="8" t="str">
        <f t="array" ref="DA35">IFERROR(INDEX(CHOOSE($BO$11,$AF$8:$AF$207,$AG$8:$AG$207,$BJ$8:$BJ$207), MATCH(DA$7&amp;$CC35, $B$8:$B$207&amp;$C$8:$C$207, 0)), "")</f>
        <v/>
      </c>
      <c r="DB35" s="8" t="str">
        <f t="array" ref="DB35">IFERROR(INDEX(CHOOSE($BO$11,$AF$8:$AF$207,$AG$8:$AG$207,$BJ$8:$BJ$207), MATCH(DB$7&amp;$CC35, $B$8:$B$207&amp;$C$8:$C$207, 0)), "")</f>
        <v/>
      </c>
      <c r="DC35" s="8" t="str">
        <f t="array" ref="DC35">IFERROR(INDEX(CHOOSE($BO$11,$AF$8:$AF$207,$AG$8:$AG$207,$BJ$8:$BJ$207), MATCH(DC$7&amp;$CC35, $B$8:$B$207&amp;$C$8:$C$207, 0)), "")</f>
        <v/>
      </c>
      <c r="DD35" s="8" t="str">
        <f t="array" ref="DD35">IFERROR(INDEX(CHOOSE($BO$11,$AF$8:$AF$207,$AG$8:$AG$207,$BJ$8:$BJ$207), MATCH(DD$7&amp;$CC35, $B$8:$B$207&amp;$C$8:$C$207, 0)), "")</f>
        <v/>
      </c>
      <c r="DE35" s="8" t="str">
        <f t="array" ref="DE35">IFERROR(INDEX(CHOOSE($BO$11,$AF$8:$AF$207,$AG$8:$AG$207,$BJ$8:$BJ$207), MATCH(DE$7&amp;$CC35, $B$8:$B$207&amp;$C$8:$C$207, 0)), "")</f>
        <v/>
      </c>
      <c r="DF35" s="8" t="str">
        <f t="array" ref="DF35">IFERROR(INDEX(CHOOSE($BO$11,$AF$8:$AF$207,$AG$8:$AG$207,$BJ$8:$BJ$207), MATCH(DF$7&amp;$CC35, $B$8:$B$207&amp;$C$8:$C$207, 0)), "")</f>
        <v/>
      </c>
      <c r="DG35" s="8" t="str">
        <f t="array" ref="DG35">IFERROR(INDEX(CHOOSE($BO$11,$AF$8:$AF$207,$AG$8:$AG$207,$BJ$8:$BJ$207), MATCH(DG$7&amp;$CC35, $B$8:$B$207&amp;$C$8:$C$207, 0)), "")</f>
        <v/>
      </c>
      <c r="DH35" s="8"/>
      <c r="DI35" s="8"/>
      <c r="DJ35" s="8"/>
      <c r="DK35" s="8"/>
      <c r="DL35" s="8"/>
      <c r="DM35" s="8"/>
      <c r="DN35" s="8"/>
      <c r="DO35" s="8"/>
      <c r="DP35" s="8"/>
      <c r="DQ35" s="8"/>
      <c r="DR35" s="8"/>
      <c r="DS35" s="8"/>
      <c r="DT35" s="8"/>
      <c r="DU35" s="8"/>
      <c r="DV35" s="8"/>
      <c r="DW35" s="8"/>
      <c r="DX35" s="8"/>
      <c r="DY35" s="8"/>
      <c r="DZ35" s="8"/>
      <c r="EA35" s="8"/>
    </row>
    <row r="36" spans="2:131" x14ac:dyDescent="0.2">
      <c r="B36" s="1">
        <f>IFERROR(Calculations!M34/1000, "")</f>
        <v>10</v>
      </c>
      <c r="C36" s="1">
        <f>Calculations!N34</f>
        <v>950</v>
      </c>
      <c r="D36" s="58">
        <f>IFERROR(Calculations!$Q34,"")</f>
        <v>0.81630665011405945</v>
      </c>
      <c r="E36" s="8">
        <f>IFERROR(Calculations!$S34, "")</f>
        <v>9.7624166742697032</v>
      </c>
      <c r="F36" s="89"/>
      <c r="G36" s="89"/>
      <c r="H36" s="89"/>
      <c r="I36" s="89"/>
      <c r="J36" s="1" t="str">
        <f>IFERROR(Calculations!AC34, "")</f>
        <v/>
      </c>
      <c r="K36" s="1" t="str">
        <f>IFERROR(Calculations!AD34, "")</f>
        <v/>
      </c>
      <c r="L36" s="8">
        <f>IFERROR(Calculations!AE34,"")</f>
        <v>-79363.062662456505</v>
      </c>
      <c r="M36" s="8">
        <f>IFERROR(Calculations!AF34,"")</f>
        <v>-127974.70758852227</v>
      </c>
      <c r="N36" s="8" t="str">
        <f>IFERROR(Calculations!AG34,"")</f>
        <v/>
      </c>
      <c r="O36" s="8" t="str">
        <f>IFERROR(Calculations!AH34,"")</f>
        <v/>
      </c>
      <c r="P36" s="8" t="str">
        <f>IFERROR(Calculations!AI34,"")</f>
        <v/>
      </c>
      <c r="Q36" s="8" t="str">
        <f>IFERROR(Calculations!AJ34,"")</f>
        <v/>
      </c>
      <c r="R36" s="8" t="str">
        <f>IFERROR(Calculations!AK34,"")</f>
        <v/>
      </c>
      <c r="S36" s="89"/>
      <c r="T36" s="89"/>
      <c r="U36" s="89"/>
      <c r="V36" s="89"/>
      <c r="W36" s="1" t="str">
        <f>IFERROR(Calculations!AP34, "")</f>
        <v/>
      </c>
      <c r="X36" s="1" t="str">
        <f>IFERROR(Calculations!AQ34, "")</f>
        <v/>
      </c>
      <c r="Y36" s="8" t="str">
        <f>IFERROR(Calculations!AR34,"")</f>
        <v/>
      </c>
      <c r="Z36" s="8">
        <f>IFERROR(Calculations!AS34,"")</f>
        <v>0</v>
      </c>
      <c r="AA36" s="8">
        <f>IFERROR(Calculations!AT34,"")</f>
        <v>-157430.03889964303</v>
      </c>
      <c r="AB36" s="8" t="str">
        <f>IFERROR(Calculations!AU34,"")</f>
        <v/>
      </c>
      <c r="AC36" s="8" t="str">
        <f>IFERROR(Calculations!AV34,"")</f>
        <v/>
      </c>
      <c r="AD36" s="8" t="str">
        <f>IFERROR(Calculations!AW34,"")</f>
        <v/>
      </c>
      <c r="AE36" s="8" t="str">
        <f>IFERROR(Calculations!AX34,"")</f>
        <v/>
      </c>
      <c r="AF36" s="8">
        <f>IFERROR(IF(Calculations!AY34 &lt;&gt; 0, Calculations!AY34, ""),"")</f>
        <v>49907.731351335737</v>
      </c>
      <c r="AG36" s="42">
        <f>IFERROR(IF(Calculations!AZ34 &lt;&gt; 0, Calculations!AZ34, ""),"")</f>
        <v>-8.9231867560765448</v>
      </c>
      <c r="AH36" s="1">
        <f t="shared" si="1"/>
        <v>10</v>
      </c>
      <c r="AI36" s="1">
        <f t="shared" si="2"/>
        <v>950</v>
      </c>
      <c r="AJ36" s="89"/>
      <c r="AK36" s="89"/>
      <c r="AL36" s="89"/>
      <c r="AM36" s="89"/>
      <c r="AN36" s="8" t="str">
        <f>IFERROR(Calculations!BJ34, "")</f>
        <v/>
      </c>
      <c r="AO36" s="8" t="str">
        <f>IFERROR(Calculations!BK34, "")</f>
        <v/>
      </c>
      <c r="AP36" s="8">
        <f>IFERROR(Calculations!BL34, "")</f>
        <v>22.069255466046727</v>
      </c>
      <c r="AQ36" s="8">
        <f>IFERROR(Calculations!BM34, "")</f>
        <v>39.402313287609516</v>
      </c>
      <c r="AR36" s="8" t="str">
        <f>IFERROR(Calculations!BN34, "")</f>
        <v/>
      </c>
      <c r="AS36" s="8" t="str">
        <f>IFERROR(Calculations!BO34, "")</f>
        <v/>
      </c>
      <c r="AT36" s="8" t="str">
        <f>IFERROR(Calculations!BP34, "")</f>
        <v/>
      </c>
      <c r="AU36" s="8" t="str">
        <f>IFERROR(Calculations!BQ34, "")</f>
        <v/>
      </c>
      <c r="AV36" s="8" t="str">
        <f>IFERROR(Calculations!BR34, "")</f>
        <v/>
      </c>
      <c r="AW36" s="89"/>
      <c r="AX36" s="89"/>
      <c r="AY36" s="89"/>
      <c r="AZ36" s="89"/>
      <c r="BA36" s="8" t="str">
        <f>IFERROR(Calculations!BW34, "")</f>
        <v/>
      </c>
      <c r="BB36" s="8" t="str">
        <f>IFERROR(Calculations!BX34, "")</f>
        <v/>
      </c>
      <c r="BC36" s="8" t="str">
        <f>IFERROR(Calculations!BY34, "")</f>
        <v/>
      </c>
      <c r="BD36" s="8">
        <f>IFERROR(Calculations!BZ34, "")</f>
        <v>0</v>
      </c>
      <c r="BE36" s="8">
        <f>IFERROR(Calculations!CA34, "")</f>
        <v>17.178911256925186</v>
      </c>
      <c r="BF36" s="8" t="str">
        <f>IFERROR(Calculations!CB34, "")</f>
        <v/>
      </c>
      <c r="BG36" s="8" t="str">
        <f>IFERROR(Calculations!CC34, "")</f>
        <v/>
      </c>
      <c r="BH36" s="8" t="str">
        <f>IFERROR(Calculations!CD34, "")</f>
        <v/>
      </c>
      <c r="BI36" s="8" t="str">
        <f>IFERROR(Calculations!CE34, "")</f>
        <v/>
      </c>
      <c r="BJ36" s="8">
        <f>IFERROR(IF(Calculations!CF34 &lt;&gt; 0, Calculations!CF34, ""),"")</f>
        <v>-44.292657496731053</v>
      </c>
      <c r="BK36" s="1">
        <f t="shared" si="3"/>
        <v>950</v>
      </c>
      <c r="BL36" s="1">
        <f t="shared" si="4"/>
        <v>10</v>
      </c>
      <c r="CC36" s="1" t="str">
        <f t="shared" si="5"/>
        <v/>
      </c>
      <c r="CD36" s="8" t="str">
        <f t="array" ref="CD36">IFERROR(INDEX(CHOOSE($BO$11,$AF$8:$AF$207,$AG$8:$AG$207,$BJ$8:$BJ$207), MATCH(CD$7&amp;$CC36, $B$8:$B$207&amp;$C$8:$C$207, 0)), "")</f>
        <v/>
      </c>
      <c r="CE36" s="8" t="str">
        <f t="array" ref="CE36">IFERROR(INDEX(CHOOSE($BO$11,$AF$8:$AF$207,$AG$8:$AG$207,$BJ$8:$BJ$207), MATCH(CE$7&amp;$CC36, $B$8:$B$207&amp;$C$8:$C$207, 0)), "")</f>
        <v/>
      </c>
      <c r="CF36" s="8" t="str">
        <f t="array" ref="CF36">IFERROR(INDEX(CHOOSE($BO$11,$AF$8:$AF$207,$AG$8:$AG$207,$BJ$8:$BJ$207), MATCH(CF$7&amp;$CC36, $B$8:$B$207&amp;$C$8:$C$207, 0)), "")</f>
        <v/>
      </c>
      <c r="CG36" s="8" t="str">
        <f t="array" ref="CG36">IFERROR(INDEX(CHOOSE($BO$11,$AF$8:$AF$207,$AG$8:$AG$207,$BJ$8:$BJ$207), MATCH(CG$7&amp;$CC36, $B$8:$B$207&amp;$C$8:$C$207, 0)), "")</f>
        <v/>
      </c>
      <c r="CH36" s="8" t="str">
        <f t="array" ref="CH36">IFERROR(INDEX(CHOOSE($BO$11,$AF$8:$AF$207,$AG$8:$AG$207,$BJ$8:$BJ$207), MATCH(CH$7&amp;$CC36, $B$8:$B$207&amp;$C$8:$C$207, 0)), "")</f>
        <v/>
      </c>
      <c r="CI36" s="8" t="str">
        <f t="array" ref="CI36">IFERROR(INDEX(CHOOSE($BO$11,$AF$8:$AF$207,$AG$8:$AG$207,$BJ$8:$BJ$207), MATCH(CI$7&amp;$CC36, $B$8:$B$207&amp;$C$8:$C$207, 0)), "")</f>
        <v/>
      </c>
      <c r="CJ36" s="8" t="str">
        <f t="array" ref="CJ36">IFERROR(INDEX(CHOOSE($BO$11,$AF$8:$AF$207,$AG$8:$AG$207,$BJ$8:$BJ$207), MATCH(CJ$7&amp;$CC36, $B$8:$B$207&amp;$C$8:$C$207, 0)), "")</f>
        <v/>
      </c>
      <c r="CK36" s="8" t="str">
        <f t="array" ref="CK36">IFERROR(INDEX(CHOOSE($BO$11,$AF$8:$AF$207,$AG$8:$AG$207,$BJ$8:$BJ$207), MATCH(CK$7&amp;$CC36, $B$8:$B$207&amp;$C$8:$C$207, 0)), "")</f>
        <v/>
      </c>
      <c r="CL36" s="8" t="str">
        <f t="array" ref="CL36">IFERROR(INDEX(CHOOSE($BO$11,$AF$8:$AF$207,$AG$8:$AG$207,$BJ$8:$BJ$207), MATCH(CL$7&amp;$CC36, $B$8:$B$207&amp;$C$8:$C$207, 0)), "")</f>
        <v/>
      </c>
      <c r="CM36" s="8" t="str">
        <f t="array" ref="CM36">IFERROR(INDEX(CHOOSE($BO$11,$AF$8:$AF$207,$AG$8:$AG$207,$BJ$8:$BJ$207), MATCH(CM$7&amp;$CC36, $B$8:$B$207&amp;$C$8:$C$207, 0)), "")</f>
        <v/>
      </c>
      <c r="CN36" s="8" t="str">
        <f t="array" ref="CN36">IFERROR(INDEX(CHOOSE($BO$11,$AF$8:$AF$207,$AG$8:$AG$207,$BJ$8:$BJ$207), MATCH(CN$7&amp;$CC36, $B$8:$B$207&amp;$C$8:$C$207, 0)), "")</f>
        <v/>
      </c>
      <c r="CO36" s="8" t="str">
        <f t="array" ref="CO36">IFERROR(INDEX(CHOOSE($BO$11,$AF$8:$AF$207,$AG$8:$AG$207,$BJ$8:$BJ$207), MATCH(CO$7&amp;$CC36, $B$8:$B$207&amp;$C$8:$C$207, 0)), "")</f>
        <v/>
      </c>
      <c r="CP36" s="8" t="str">
        <f t="array" ref="CP36">IFERROR(INDEX(CHOOSE($BO$11,$AF$8:$AF$207,$AG$8:$AG$207,$BJ$8:$BJ$207), MATCH(CP$7&amp;$CC36, $B$8:$B$207&amp;$C$8:$C$207, 0)), "")</f>
        <v/>
      </c>
      <c r="CQ36" s="8" t="str">
        <f t="array" ref="CQ36">IFERROR(INDEX(CHOOSE($BO$11,$AF$8:$AF$207,$AG$8:$AG$207,$BJ$8:$BJ$207), MATCH(CQ$7&amp;$CC36, $B$8:$B$207&amp;$C$8:$C$207, 0)), "")</f>
        <v/>
      </c>
      <c r="CR36" s="8" t="str">
        <f t="array" ref="CR36">IFERROR(INDEX(CHOOSE($BO$11,$AF$8:$AF$207,$AG$8:$AG$207,$BJ$8:$BJ$207), MATCH(CR$7&amp;$CC36, $B$8:$B$207&amp;$C$8:$C$207, 0)), "")</f>
        <v/>
      </c>
      <c r="CS36" s="8" t="str">
        <f t="array" ref="CS36">IFERROR(INDEX(CHOOSE($BO$11,$AF$8:$AF$207,$AG$8:$AG$207,$BJ$8:$BJ$207), MATCH(CS$7&amp;$CC36, $B$8:$B$207&amp;$C$8:$C$207, 0)), "")</f>
        <v/>
      </c>
      <c r="CT36" s="8" t="str">
        <f t="array" ref="CT36">IFERROR(INDEX(CHOOSE($BO$11,$AF$8:$AF$207,$AG$8:$AG$207,$BJ$8:$BJ$207), MATCH(CT$7&amp;$CC36, $B$8:$B$207&amp;$C$8:$C$207, 0)), "")</f>
        <v/>
      </c>
      <c r="CU36" s="8" t="str">
        <f t="array" ref="CU36">IFERROR(INDEX(CHOOSE($BO$11,$AF$8:$AF$207,$AG$8:$AG$207,$BJ$8:$BJ$207), MATCH(CU$7&amp;$CC36, $B$8:$B$207&amp;$C$8:$C$207, 0)), "")</f>
        <v/>
      </c>
      <c r="CV36" s="8" t="str">
        <f t="array" ref="CV36">IFERROR(INDEX(CHOOSE($BO$11,$AF$8:$AF$207,$AG$8:$AG$207,$BJ$8:$BJ$207), MATCH(CV$7&amp;$CC36, $B$8:$B$207&amp;$C$8:$C$207, 0)), "")</f>
        <v/>
      </c>
      <c r="CW36" s="8" t="str">
        <f t="array" ref="CW36">IFERROR(INDEX(CHOOSE($BO$11,$AF$8:$AF$207,$AG$8:$AG$207,$BJ$8:$BJ$207), MATCH(CW$7&amp;$CC36, $B$8:$B$207&amp;$C$8:$C$207, 0)), "")</f>
        <v/>
      </c>
      <c r="CX36" s="8" t="str">
        <f t="array" ref="CX36">IFERROR(INDEX(CHOOSE($BO$11,$AF$8:$AF$207,$AG$8:$AG$207,$BJ$8:$BJ$207), MATCH(CX$7&amp;$CC36, $B$8:$B$207&amp;$C$8:$C$207, 0)), "")</f>
        <v/>
      </c>
      <c r="CY36" s="8" t="str">
        <f t="array" ref="CY36">IFERROR(INDEX(CHOOSE($BO$11,$AF$8:$AF$207,$AG$8:$AG$207,$BJ$8:$BJ$207), MATCH(CY$7&amp;$CC36, $B$8:$B$207&amp;$C$8:$C$207, 0)), "")</f>
        <v/>
      </c>
      <c r="CZ36" s="8" t="str">
        <f t="array" ref="CZ36">IFERROR(INDEX(CHOOSE($BO$11,$AF$8:$AF$207,$AG$8:$AG$207,$BJ$8:$BJ$207), MATCH(CZ$7&amp;$CC36, $B$8:$B$207&amp;$C$8:$C$207, 0)), "")</f>
        <v/>
      </c>
      <c r="DA36" s="8" t="str">
        <f t="array" ref="DA36">IFERROR(INDEX(CHOOSE($BO$11,$AF$8:$AF$207,$AG$8:$AG$207,$BJ$8:$BJ$207), MATCH(DA$7&amp;$CC36, $B$8:$B$207&amp;$C$8:$C$207, 0)), "")</f>
        <v/>
      </c>
      <c r="DB36" s="8" t="str">
        <f t="array" ref="DB36">IFERROR(INDEX(CHOOSE($BO$11,$AF$8:$AF$207,$AG$8:$AG$207,$BJ$8:$BJ$207), MATCH(DB$7&amp;$CC36, $B$8:$B$207&amp;$C$8:$C$207, 0)), "")</f>
        <v/>
      </c>
      <c r="DC36" s="8" t="str">
        <f t="array" ref="DC36">IFERROR(INDEX(CHOOSE($BO$11,$AF$8:$AF$207,$AG$8:$AG$207,$BJ$8:$BJ$207), MATCH(DC$7&amp;$CC36, $B$8:$B$207&amp;$C$8:$C$207, 0)), "")</f>
        <v/>
      </c>
      <c r="DD36" s="8" t="str">
        <f t="array" ref="DD36">IFERROR(INDEX(CHOOSE($BO$11,$AF$8:$AF$207,$AG$8:$AG$207,$BJ$8:$BJ$207), MATCH(DD$7&amp;$CC36, $B$8:$B$207&amp;$C$8:$C$207, 0)), "")</f>
        <v/>
      </c>
      <c r="DE36" s="8" t="str">
        <f t="array" ref="DE36">IFERROR(INDEX(CHOOSE($BO$11,$AF$8:$AF$207,$AG$8:$AG$207,$BJ$8:$BJ$207), MATCH(DE$7&amp;$CC36, $B$8:$B$207&amp;$C$8:$C$207, 0)), "")</f>
        <v/>
      </c>
      <c r="DF36" s="8" t="str">
        <f t="array" ref="DF36">IFERROR(INDEX(CHOOSE($BO$11,$AF$8:$AF$207,$AG$8:$AG$207,$BJ$8:$BJ$207), MATCH(DF$7&amp;$CC36, $B$8:$B$207&amp;$C$8:$C$207, 0)), "")</f>
        <v/>
      </c>
      <c r="DG36" s="8" t="str">
        <f t="array" ref="DG36">IFERROR(INDEX(CHOOSE($BO$11,$AF$8:$AF$207,$AG$8:$AG$207,$BJ$8:$BJ$207), MATCH(DG$7&amp;$CC36, $B$8:$B$207&amp;$C$8:$C$207, 0)), "")</f>
        <v/>
      </c>
      <c r="DH36" s="8"/>
      <c r="DI36" s="8"/>
      <c r="DJ36" s="8"/>
      <c r="DK36" s="8"/>
      <c r="DL36" s="8"/>
      <c r="DM36" s="8"/>
      <c r="DN36" s="8"/>
      <c r="DO36" s="8"/>
      <c r="DP36" s="8"/>
      <c r="DQ36" s="8"/>
      <c r="DR36" s="8"/>
      <c r="DS36" s="8"/>
      <c r="DT36" s="8"/>
      <c r="DU36" s="8"/>
      <c r="DV36" s="8"/>
      <c r="DW36" s="8"/>
      <c r="DX36" s="8"/>
      <c r="DY36" s="8"/>
      <c r="DZ36" s="8"/>
      <c r="EA36" s="8"/>
    </row>
    <row r="37" spans="2:131" x14ac:dyDescent="0.2">
      <c r="B37" s="1">
        <f>IFERROR(Calculations!M35/1000, "")</f>
        <v>10</v>
      </c>
      <c r="C37" s="1">
        <f>Calculations!N35</f>
        <v>1000</v>
      </c>
      <c r="D37" s="58">
        <f>IFERROR(Calculations!$Q35,"")</f>
        <v>0.79833055720090862</v>
      </c>
      <c r="E37" s="8">
        <f>IFERROR(Calculations!$S35, "")</f>
        <v>8.9780035149127375</v>
      </c>
      <c r="F37" s="89"/>
      <c r="G37" s="89"/>
      <c r="H37" s="89"/>
      <c r="I37" s="89"/>
      <c r="J37" s="1" t="str">
        <f>IFERROR(Calculations!AC35, "")</f>
        <v/>
      </c>
      <c r="K37" s="1" t="str">
        <f>IFERROR(Calculations!AD35, "")</f>
        <v/>
      </c>
      <c r="L37" s="8">
        <f>IFERROR(Calculations!AE35,"")</f>
        <v>-81210.387662171488</v>
      </c>
      <c r="M37" s="8">
        <f>IFERROR(Calculations!AF35,"")</f>
        <v>-130877.79325877731</v>
      </c>
      <c r="N37" s="8" t="str">
        <f>IFERROR(Calculations!AG35,"")</f>
        <v/>
      </c>
      <c r="O37" s="8" t="str">
        <f>IFERROR(Calculations!AH35,"")</f>
        <v/>
      </c>
      <c r="P37" s="8" t="str">
        <f>IFERROR(Calculations!AI35,"")</f>
        <v/>
      </c>
      <c r="Q37" s="8" t="str">
        <f>IFERROR(Calculations!AJ35,"")</f>
        <v/>
      </c>
      <c r="R37" s="8" t="str">
        <f>IFERROR(Calculations!AK35,"")</f>
        <v/>
      </c>
      <c r="S37" s="89"/>
      <c r="T37" s="89"/>
      <c r="U37" s="89"/>
      <c r="V37" s="89"/>
      <c r="W37" s="1" t="str">
        <f>IFERROR(Calculations!AP35, "")</f>
        <v/>
      </c>
      <c r="X37" s="1" t="str">
        <f>IFERROR(Calculations!AQ35, "")</f>
        <v/>
      </c>
      <c r="Y37" s="8" t="str">
        <f>IFERROR(Calculations!AR35,"")</f>
        <v/>
      </c>
      <c r="Z37" s="8">
        <f>IFERROR(Calculations!AS35,"")</f>
        <v>0</v>
      </c>
      <c r="AA37" s="8">
        <f>IFERROR(Calculations!AT35,"")</f>
        <v>-158556.65030522898</v>
      </c>
      <c r="AB37" s="8" t="str">
        <f>IFERROR(Calculations!AU35,"")</f>
        <v/>
      </c>
      <c r="AC37" s="8" t="str">
        <f>IFERROR(Calculations!AV35,"")</f>
        <v/>
      </c>
      <c r="AD37" s="8" t="str">
        <f>IFERROR(Calculations!AW35,"")</f>
        <v/>
      </c>
      <c r="AE37" s="8" t="str">
        <f>IFERROR(Calculations!AX35,"")</f>
        <v/>
      </c>
      <c r="AF37" s="8">
        <f>IFERROR(IF(Calculations!AY35 &lt;&gt; 0, Calculations!AY35, ""),"")</f>
        <v>53531.530615719821</v>
      </c>
      <c r="AG37" s="42">
        <f>IFERROR(IF(Calculations!AZ35 &lt;&gt; 0, Calculations!AZ35, ""),"")</f>
        <v>-9.1952165283395288</v>
      </c>
      <c r="AH37" s="1">
        <f t="shared" si="1"/>
        <v>10</v>
      </c>
      <c r="AI37" s="1">
        <f t="shared" si="2"/>
        <v>1000</v>
      </c>
      <c r="AJ37" s="89"/>
      <c r="AK37" s="89"/>
      <c r="AL37" s="89"/>
      <c r="AM37" s="89"/>
      <c r="AN37" s="8" t="str">
        <f>IFERROR(Calculations!BJ35, "")</f>
        <v/>
      </c>
      <c r="AO37" s="8" t="str">
        <f>IFERROR(Calculations!BK35, "")</f>
        <v/>
      </c>
      <c r="AP37" s="8">
        <f>IFERROR(Calculations!BL35, "")</f>
        <v>22.56619120676632</v>
      </c>
      <c r="AQ37" s="8">
        <f>IFERROR(Calculations!BM35, "")</f>
        <v>40.400813694686114</v>
      </c>
      <c r="AR37" s="8" t="str">
        <f>IFERROR(Calculations!BN35, "")</f>
        <v/>
      </c>
      <c r="AS37" s="8" t="str">
        <f>IFERROR(Calculations!BO35, "")</f>
        <v/>
      </c>
      <c r="AT37" s="8" t="str">
        <f>IFERROR(Calculations!BP35, "")</f>
        <v/>
      </c>
      <c r="AU37" s="8" t="str">
        <f>IFERROR(Calculations!BQ35, "")</f>
        <v/>
      </c>
      <c r="AV37" s="8" t="str">
        <f>IFERROR(Calculations!BR35, "")</f>
        <v/>
      </c>
      <c r="AW37" s="89"/>
      <c r="AX37" s="89"/>
      <c r="AY37" s="89"/>
      <c r="AZ37" s="89"/>
      <c r="BA37" s="8" t="str">
        <f>IFERROR(Calculations!BW35, "")</f>
        <v/>
      </c>
      <c r="BB37" s="8" t="str">
        <f>IFERROR(Calculations!BX35, "")</f>
        <v/>
      </c>
      <c r="BC37" s="8" t="str">
        <f>IFERROR(Calculations!BY35, "")</f>
        <v/>
      </c>
      <c r="BD37" s="8">
        <f>IFERROR(Calculations!BZ35, "")</f>
        <v>0</v>
      </c>
      <c r="BE37" s="8">
        <f>IFERROR(Calculations!CA35, "")</f>
        <v>15.59108481548118</v>
      </c>
      <c r="BF37" s="8" t="str">
        <f>IFERROR(Calculations!CB35, "")</f>
        <v/>
      </c>
      <c r="BG37" s="8" t="str">
        <f>IFERROR(Calculations!CC35, "")</f>
        <v/>
      </c>
      <c r="BH37" s="8" t="str">
        <f>IFERROR(Calculations!CD35, "")</f>
        <v/>
      </c>
      <c r="BI37" s="8" t="str">
        <f>IFERROR(Calculations!CE35, "")</f>
        <v/>
      </c>
      <c r="BJ37" s="8">
        <f>IFERROR(IF(Calculations!CF35 &lt;&gt; 0, Calculations!CF35, ""),"")</f>
        <v>-47.375920085971252</v>
      </c>
      <c r="BK37" s="1">
        <f t="shared" si="3"/>
        <v>1000</v>
      </c>
      <c r="BL37" s="1">
        <f t="shared" si="4"/>
        <v>10</v>
      </c>
      <c r="CC37" s="1" t="str">
        <f t="shared" si="5"/>
        <v/>
      </c>
      <c r="CD37" s="8" t="str">
        <f t="array" ref="CD37">IFERROR(INDEX(CHOOSE($BO$11,$AF$8:$AF$207,$AG$8:$AG$207,$BJ$8:$BJ$207), MATCH(CD$7&amp;$CC37, $B$8:$B$207&amp;$C$8:$C$207, 0)), "")</f>
        <v/>
      </c>
      <c r="CE37" s="8" t="str">
        <f t="array" ref="CE37">IFERROR(INDEX(CHOOSE($BO$11,$AF$8:$AF$207,$AG$8:$AG$207,$BJ$8:$BJ$207), MATCH(CE$7&amp;$CC37, $B$8:$B$207&amp;$C$8:$C$207, 0)), "")</f>
        <v/>
      </c>
      <c r="CF37" s="8" t="str">
        <f t="array" ref="CF37">IFERROR(INDEX(CHOOSE($BO$11,$AF$8:$AF$207,$AG$8:$AG$207,$BJ$8:$BJ$207), MATCH(CF$7&amp;$CC37, $B$8:$B$207&amp;$C$8:$C$207, 0)), "")</f>
        <v/>
      </c>
      <c r="CG37" s="8" t="str">
        <f t="array" ref="CG37">IFERROR(INDEX(CHOOSE($BO$11,$AF$8:$AF$207,$AG$8:$AG$207,$BJ$8:$BJ$207), MATCH(CG$7&amp;$CC37, $B$8:$B$207&amp;$C$8:$C$207, 0)), "")</f>
        <v/>
      </c>
      <c r="CH37" s="8" t="str">
        <f t="array" ref="CH37">IFERROR(INDEX(CHOOSE($BO$11,$AF$8:$AF$207,$AG$8:$AG$207,$BJ$8:$BJ$207), MATCH(CH$7&amp;$CC37, $B$8:$B$207&amp;$C$8:$C$207, 0)), "")</f>
        <v/>
      </c>
      <c r="CI37" s="8" t="str">
        <f t="array" ref="CI37">IFERROR(INDEX(CHOOSE($BO$11,$AF$8:$AF$207,$AG$8:$AG$207,$BJ$8:$BJ$207), MATCH(CI$7&amp;$CC37, $B$8:$B$207&amp;$C$8:$C$207, 0)), "")</f>
        <v/>
      </c>
      <c r="CJ37" s="8" t="str">
        <f t="array" ref="CJ37">IFERROR(INDEX(CHOOSE($BO$11,$AF$8:$AF$207,$AG$8:$AG$207,$BJ$8:$BJ$207), MATCH(CJ$7&amp;$CC37, $B$8:$B$207&amp;$C$8:$C$207, 0)), "")</f>
        <v/>
      </c>
      <c r="CK37" s="8" t="str">
        <f t="array" ref="CK37">IFERROR(INDEX(CHOOSE($BO$11,$AF$8:$AF$207,$AG$8:$AG$207,$BJ$8:$BJ$207), MATCH(CK$7&amp;$CC37, $B$8:$B$207&amp;$C$8:$C$207, 0)), "")</f>
        <v/>
      </c>
      <c r="CL37" s="8" t="str">
        <f t="array" ref="CL37">IFERROR(INDEX(CHOOSE($BO$11,$AF$8:$AF$207,$AG$8:$AG$207,$BJ$8:$BJ$207), MATCH(CL$7&amp;$CC37, $B$8:$B$207&amp;$C$8:$C$207, 0)), "")</f>
        <v/>
      </c>
      <c r="CM37" s="8" t="str">
        <f t="array" ref="CM37">IFERROR(INDEX(CHOOSE($BO$11,$AF$8:$AF$207,$AG$8:$AG$207,$BJ$8:$BJ$207), MATCH(CM$7&amp;$CC37, $B$8:$B$207&amp;$C$8:$C$207, 0)), "")</f>
        <v/>
      </c>
      <c r="CN37" s="8" t="str">
        <f t="array" ref="CN37">IFERROR(INDEX(CHOOSE($BO$11,$AF$8:$AF$207,$AG$8:$AG$207,$BJ$8:$BJ$207), MATCH(CN$7&amp;$CC37, $B$8:$B$207&amp;$C$8:$C$207, 0)), "")</f>
        <v/>
      </c>
      <c r="CO37" s="8" t="str">
        <f t="array" ref="CO37">IFERROR(INDEX(CHOOSE($BO$11,$AF$8:$AF$207,$AG$8:$AG$207,$BJ$8:$BJ$207), MATCH(CO$7&amp;$CC37, $B$8:$B$207&amp;$C$8:$C$207, 0)), "")</f>
        <v/>
      </c>
      <c r="CP37" s="8" t="str">
        <f t="array" ref="CP37">IFERROR(INDEX(CHOOSE($BO$11,$AF$8:$AF$207,$AG$8:$AG$207,$BJ$8:$BJ$207), MATCH(CP$7&amp;$CC37, $B$8:$B$207&amp;$C$8:$C$207, 0)), "")</f>
        <v/>
      </c>
      <c r="CQ37" s="8" t="str">
        <f t="array" ref="CQ37">IFERROR(INDEX(CHOOSE($BO$11,$AF$8:$AF$207,$AG$8:$AG$207,$BJ$8:$BJ$207), MATCH(CQ$7&amp;$CC37, $B$8:$B$207&amp;$C$8:$C$207, 0)), "")</f>
        <v/>
      </c>
      <c r="CR37" s="8" t="str">
        <f t="array" ref="CR37">IFERROR(INDEX(CHOOSE($BO$11,$AF$8:$AF$207,$AG$8:$AG$207,$BJ$8:$BJ$207), MATCH(CR$7&amp;$CC37, $B$8:$B$207&amp;$C$8:$C$207, 0)), "")</f>
        <v/>
      </c>
      <c r="CS37" s="8" t="str">
        <f t="array" ref="CS37">IFERROR(INDEX(CHOOSE($BO$11,$AF$8:$AF$207,$AG$8:$AG$207,$BJ$8:$BJ$207), MATCH(CS$7&amp;$CC37, $B$8:$B$207&amp;$C$8:$C$207, 0)), "")</f>
        <v/>
      </c>
      <c r="CT37" s="8" t="str">
        <f t="array" ref="CT37">IFERROR(INDEX(CHOOSE($BO$11,$AF$8:$AF$207,$AG$8:$AG$207,$BJ$8:$BJ$207), MATCH(CT$7&amp;$CC37, $B$8:$B$207&amp;$C$8:$C$207, 0)), "")</f>
        <v/>
      </c>
      <c r="CU37" s="8" t="str">
        <f t="array" ref="CU37">IFERROR(INDEX(CHOOSE($BO$11,$AF$8:$AF$207,$AG$8:$AG$207,$BJ$8:$BJ$207), MATCH(CU$7&amp;$CC37, $B$8:$B$207&amp;$C$8:$C$207, 0)), "")</f>
        <v/>
      </c>
      <c r="CV37" s="8" t="str">
        <f t="array" ref="CV37">IFERROR(INDEX(CHOOSE($BO$11,$AF$8:$AF$207,$AG$8:$AG$207,$BJ$8:$BJ$207), MATCH(CV$7&amp;$CC37, $B$8:$B$207&amp;$C$8:$C$207, 0)), "")</f>
        <v/>
      </c>
      <c r="CW37" s="8" t="str">
        <f t="array" ref="CW37">IFERROR(INDEX(CHOOSE($BO$11,$AF$8:$AF$207,$AG$8:$AG$207,$BJ$8:$BJ$207), MATCH(CW$7&amp;$CC37, $B$8:$B$207&amp;$C$8:$C$207, 0)), "")</f>
        <v/>
      </c>
      <c r="CX37" s="8" t="str">
        <f t="array" ref="CX37">IFERROR(INDEX(CHOOSE($BO$11,$AF$8:$AF$207,$AG$8:$AG$207,$BJ$8:$BJ$207), MATCH(CX$7&amp;$CC37, $B$8:$B$207&amp;$C$8:$C$207, 0)), "")</f>
        <v/>
      </c>
      <c r="CY37" s="8" t="str">
        <f t="array" ref="CY37">IFERROR(INDEX(CHOOSE($BO$11,$AF$8:$AF$207,$AG$8:$AG$207,$BJ$8:$BJ$207), MATCH(CY$7&amp;$CC37, $B$8:$B$207&amp;$C$8:$C$207, 0)), "")</f>
        <v/>
      </c>
      <c r="CZ37" s="8" t="str">
        <f t="array" ref="CZ37">IFERROR(INDEX(CHOOSE($BO$11,$AF$8:$AF$207,$AG$8:$AG$207,$BJ$8:$BJ$207), MATCH(CZ$7&amp;$CC37, $B$8:$B$207&amp;$C$8:$C$207, 0)), "")</f>
        <v/>
      </c>
      <c r="DA37" s="8" t="str">
        <f t="array" ref="DA37">IFERROR(INDEX(CHOOSE($BO$11,$AF$8:$AF$207,$AG$8:$AG$207,$BJ$8:$BJ$207), MATCH(DA$7&amp;$CC37, $B$8:$B$207&amp;$C$8:$C$207, 0)), "")</f>
        <v/>
      </c>
      <c r="DB37" s="8" t="str">
        <f t="array" ref="DB37">IFERROR(INDEX(CHOOSE($BO$11,$AF$8:$AF$207,$AG$8:$AG$207,$BJ$8:$BJ$207), MATCH(DB$7&amp;$CC37, $B$8:$B$207&amp;$C$8:$C$207, 0)), "")</f>
        <v/>
      </c>
      <c r="DC37" s="8" t="str">
        <f t="array" ref="DC37">IFERROR(INDEX(CHOOSE($BO$11,$AF$8:$AF$207,$AG$8:$AG$207,$BJ$8:$BJ$207), MATCH(DC$7&amp;$CC37, $B$8:$B$207&amp;$C$8:$C$207, 0)), "")</f>
        <v/>
      </c>
      <c r="DD37" s="8" t="str">
        <f t="array" ref="DD37">IFERROR(INDEX(CHOOSE($BO$11,$AF$8:$AF$207,$AG$8:$AG$207,$BJ$8:$BJ$207), MATCH(DD$7&amp;$CC37, $B$8:$B$207&amp;$C$8:$C$207, 0)), "")</f>
        <v/>
      </c>
      <c r="DE37" s="8" t="str">
        <f t="array" ref="DE37">IFERROR(INDEX(CHOOSE($BO$11,$AF$8:$AF$207,$AG$8:$AG$207,$BJ$8:$BJ$207), MATCH(DE$7&amp;$CC37, $B$8:$B$207&amp;$C$8:$C$207, 0)), "")</f>
        <v/>
      </c>
      <c r="DF37" s="8" t="str">
        <f t="array" ref="DF37">IFERROR(INDEX(CHOOSE($BO$11,$AF$8:$AF$207,$AG$8:$AG$207,$BJ$8:$BJ$207), MATCH(DF$7&amp;$CC37, $B$8:$B$207&amp;$C$8:$C$207, 0)), "")</f>
        <v/>
      </c>
      <c r="DG37" s="8" t="str">
        <f t="array" ref="DG37">IFERROR(INDEX(CHOOSE($BO$11,$AF$8:$AF$207,$AG$8:$AG$207,$BJ$8:$BJ$207), MATCH(DG$7&amp;$CC37, $B$8:$B$207&amp;$C$8:$C$207, 0)), "")</f>
        <v/>
      </c>
      <c r="DH37" s="8"/>
      <c r="DI37" s="8"/>
      <c r="DJ37" s="8"/>
      <c r="DK37" s="8"/>
      <c r="DL37" s="8"/>
      <c r="DM37" s="8"/>
      <c r="DN37" s="8"/>
      <c r="DO37" s="8"/>
      <c r="DP37" s="8"/>
      <c r="DQ37" s="8"/>
      <c r="DR37" s="8"/>
      <c r="DS37" s="8"/>
      <c r="DT37" s="8"/>
      <c r="DU37" s="8"/>
      <c r="DV37" s="8"/>
      <c r="DW37" s="8"/>
      <c r="DX37" s="8"/>
      <c r="DY37" s="8"/>
      <c r="DZ37" s="8"/>
      <c r="EA37" s="8"/>
    </row>
    <row r="38" spans="2:131" x14ac:dyDescent="0.2">
      <c r="B38" s="1">
        <f>IFERROR(Calculations!M36/1000, "")</f>
        <v>15</v>
      </c>
      <c r="C38" s="1">
        <f>Calculations!N36</f>
        <v>300</v>
      </c>
      <c r="D38" s="58">
        <f>IFERROR(Calculations!$Q36,"")</f>
        <v>1.178953567402363</v>
      </c>
      <c r="E38" s="8">
        <f>IFERROR(Calculations!$S36, "")</f>
        <v>43.568429104415138</v>
      </c>
      <c r="F38" s="89"/>
      <c r="G38" s="89"/>
      <c r="H38" s="89"/>
      <c r="I38" s="89"/>
      <c r="J38" s="1" t="str">
        <f>IFERROR(Calculations!AC36, "")</f>
        <v/>
      </c>
      <c r="K38" s="1" t="str">
        <f>IFERROR(Calculations!AD36, "")</f>
        <v/>
      </c>
      <c r="L38" s="8">
        <f>IFERROR(Calculations!AE36,"")</f>
        <v>-56737.764297722839</v>
      </c>
      <c r="M38" s="8">
        <f>IFERROR(Calculations!AF36,"")</f>
        <v>-91622.491685380184</v>
      </c>
      <c r="N38" s="8" t="str">
        <f>IFERROR(Calculations!AG36,"")</f>
        <v/>
      </c>
      <c r="O38" s="8" t="str">
        <f>IFERROR(Calculations!AH36,"")</f>
        <v/>
      </c>
      <c r="P38" s="8" t="str">
        <f>IFERROR(Calculations!AI36,"")</f>
        <v/>
      </c>
      <c r="Q38" s="8" t="str">
        <f>IFERROR(Calculations!AJ36,"")</f>
        <v/>
      </c>
      <c r="R38" s="8" t="str">
        <f>IFERROR(Calculations!AK36,"")</f>
        <v/>
      </c>
      <c r="S38" s="89"/>
      <c r="T38" s="89"/>
      <c r="U38" s="89"/>
      <c r="V38" s="89"/>
      <c r="W38" s="1" t="str">
        <f>IFERROR(Calculations!AP36, "")</f>
        <v/>
      </c>
      <c r="X38" s="1" t="str">
        <f>IFERROR(Calculations!AQ36, "")</f>
        <v/>
      </c>
      <c r="Y38" s="8" t="str">
        <f>IFERROR(Calculations!AR36,"")</f>
        <v/>
      </c>
      <c r="Z38" s="8">
        <f>IFERROR(Calculations!AS36,"")</f>
        <v>0</v>
      </c>
      <c r="AA38" s="8">
        <f>IFERROR(Calculations!AT36,"")</f>
        <v>-136799.11555681188</v>
      </c>
      <c r="AB38" s="8" t="str">
        <f>IFERROR(Calculations!AU36,"")</f>
        <v/>
      </c>
      <c r="AC38" s="8" t="str">
        <f>IFERROR(Calculations!AV36,"")</f>
        <v/>
      </c>
      <c r="AD38" s="8" t="str">
        <f>IFERROR(Calculations!AW36,"")</f>
        <v/>
      </c>
      <c r="AE38" s="8" t="str">
        <f>IFERROR(Calculations!AX36,"")</f>
        <v/>
      </c>
      <c r="AF38" s="8">
        <f>IFERROR(IF(Calculations!AY36 &lt;&gt; 0, Calculations!AY36, ""),"")</f>
        <v>11561.140426291124</v>
      </c>
      <c r="AG38" s="42">
        <f>IFERROR(IF(Calculations!AZ36 &lt;&gt; 0, Calculations!AZ36, ""),"")</f>
        <v>-4.4112762239717869</v>
      </c>
      <c r="AH38" s="1">
        <f t="shared" si="1"/>
        <v>15</v>
      </c>
      <c r="AI38" s="1">
        <f t="shared" si="2"/>
        <v>300</v>
      </c>
      <c r="AJ38" s="89"/>
      <c r="AK38" s="89"/>
      <c r="AL38" s="89"/>
      <c r="AM38" s="89"/>
      <c r="AN38" s="8" t="str">
        <f>IFERROR(Calculations!BJ36, "")</f>
        <v/>
      </c>
      <c r="AO38" s="8" t="str">
        <f>IFERROR(Calculations!BK36, "")</f>
        <v/>
      </c>
      <c r="AP38" s="8">
        <f>IFERROR(Calculations!BL36, "")</f>
        <v>15.280737510039357</v>
      </c>
      <c r="AQ38" s="8">
        <f>IFERROR(Calculations!BM36, "")</f>
        <v>30.830810881709482</v>
      </c>
      <c r="AR38" s="8" t="str">
        <f>IFERROR(Calculations!BN36, "")</f>
        <v/>
      </c>
      <c r="AS38" s="8" t="str">
        <f>IFERROR(Calculations!BO36, "")</f>
        <v/>
      </c>
      <c r="AT38" s="8" t="str">
        <f>IFERROR(Calculations!BP36, "")</f>
        <v/>
      </c>
      <c r="AU38" s="8" t="str">
        <f>IFERROR(Calculations!BQ36, "")</f>
        <v/>
      </c>
      <c r="AV38" s="8" t="str">
        <f>IFERROR(Calculations!BR36, "")</f>
        <v/>
      </c>
      <c r="AW38" s="89"/>
      <c r="AX38" s="89"/>
      <c r="AY38" s="89"/>
      <c r="AZ38" s="89"/>
      <c r="BA38" s="8" t="str">
        <f>IFERROR(Calculations!BW36, "")</f>
        <v/>
      </c>
      <c r="BB38" s="8" t="str">
        <f>IFERROR(Calculations!BX36, "")</f>
        <v/>
      </c>
      <c r="BC38" s="8" t="str">
        <f>IFERROR(Calculations!BY36, "")</f>
        <v/>
      </c>
      <c r="BD38" s="8">
        <f>IFERROR(Calculations!BZ36, "")</f>
        <v>0</v>
      </c>
      <c r="BE38" s="8">
        <f>IFERROR(Calculations!CA36, "")</f>
        <v>30.529059819132353</v>
      </c>
      <c r="BF38" s="8" t="str">
        <f>IFERROR(Calculations!CB36, "")</f>
        <v/>
      </c>
      <c r="BG38" s="8" t="str">
        <f>IFERROR(Calculations!CC36, "")</f>
        <v/>
      </c>
      <c r="BH38" s="8" t="str">
        <f>IFERROR(Calculations!CD36, "")</f>
        <v/>
      </c>
      <c r="BI38" s="8" t="str">
        <f>IFERROR(Calculations!CE36, "")</f>
        <v/>
      </c>
      <c r="BJ38" s="8">
        <f>IFERROR(IF(Calculations!CF36 &lt;&gt; 0, Calculations!CF36, ""),"")</f>
        <v>-15.582488572616487</v>
      </c>
      <c r="BK38" s="1">
        <f t="shared" si="3"/>
        <v>300</v>
      </c>
      <c r="BL38" s="1">
        <f t="shared" si="4"/>
        <v>15</v>
      </c>
      <c r="CC38" s="1" t="str">
        <f t="shared" si="5"/>
        <v/>
      </c>
      <c r="CD38" s="8" t="str">
        <f t="array" ref="CD38">IFERROR(INDEX(CHOOSE($BO$11,$AF$8:$AF$207,$AG$8:$AG$207,$BJ$8:$BJ$207), MATCH(CD$7&amp;$CC38, $B$8:$B$207&amp;$C$8:$C$207, 0)), "")</f>
        <v/>
      </c>
      <c r="CE38" s="8" t="str">
        <f t="array" ref="CE38">IFERROR(INDEX(CHOOSE($BO$11,$AF$8:$AF$207,$AG$8:$AG$207,$BJ$8:$BJ$207), MATCH(CE$7&amp;$CC38, $B$8:$B$207&amp;$C$8:$C$207, 0)), "")</f>
        <v/>
      </c>
      <c r="CF38" s="8" t="str">
        <f t="array" ref="CF38">IFERROR(INDEX(CHOOSE($BO$11,$AF$8:$AF$207,$AG$8:$AG$207,$BJ$8:$BJ$207), MATCH(CF$7&amp;$CC38, $B$8:$B$207&amp;$C$8:$C$207, 0)), "")</f>
        <v/>
      </c>
      <c r="CG38" s="8" t="str">
        <f t="array" ref="CG38">IFERROR(INDEX(CHOOSE($BO$11,$AF$8:$AF$207,$AG$8:$AG$207,$BJ$8:$BJ$207), MATCH(CG$7&amp;$CC38, $B$8:$B$207&amp;$C$8:$C$207, 0)), "")</f>
        <v/>
      </c>
      <c r="CH38" s="8" t="str">
        <f t="array" ref="CH38">IFERROR(INDEX(CHOOSE($BO$11,$AF$8:$AF$207,$AG$8:$AG$207,$BJ$8:$BJ$207), MATCH(CH$7&amp;$CC38, $B$8:$B$207&amp;$C$8:$C$207, 0)), "")</f>
        <v/>
      </c>
      <c r="CI38" s="8" t="str">
        <f t="array" ref="CI38">IFERROR(INDEX(CHOOSE($BO$11,$AF$8:$AF$207,$AG$8:$AG$207,$BJ$8:$BJ$207), MATCH(CI$7&amp;$CC38, $B$8:$B$207&amp;$C$8:$C$207, 0)), "")</f>
        <v/>
      </c>
      <c r="CJ38" s="8" t="str">
        <f t="array" ref="CJ38">IFERROR(INDEX(CHOOSE($BO$11,$AF$8:$AF$207,$AG$8:$AG$207,$BJ$8:$BJ$207), MATCH(CJ$7&amp;$CC38, $B$8:$B$207&amp;$C$8:$C$207, 0)), "")</f>
        <v/>
      </c>
      <c r="CK38" s="8" t="str">
        <f t="array" ref="CK38">IFERROR(INDEX(CHOOSE($BO$11,$AF$8:$AF$207,$AG$8:$AG$207,$BJ$8:$BJ$207), MATCH(CK$7&amp;$CC38, $B$8:$B$207&amp;$C$8:$C$207, 0)), "")</f>
        <v/>
      </c>
      <c r="CL38" s="8" t="str">
        <f t="array" ref="CL38">IFERROR(INDEX(CHOOSE($BO$11,$AF$8:$AF$207,$AG$8:$AG$207,$BJ$8:$BJ$207), MATCH(CL$7&amp;$CC38, $B$8:$B$207&amp;$C$8:$C$207, 0)), "")</f>
        <v/>
      </c>
      <c r="CM38" s="8" t="str">
        <f t="array" ref="CM38">IFERROR(INDEX(CHOOSE($BO$11,$AF$8:$AF$207,$AG$8:$AG$207,$BJ$8:$BJ$207), MATCH(CM$7&amp;$CC38, $B$8:$B$207&amp;$C$8:$C$207, 0)), "")</f>
        <v/>
      </c>
      <c r="CN38" s="8" t="str">
        <f t="array" ref="CN38">IFERROR(INDEX(CHOOSE($BO$11,$AF$8:$AF$207,$AG$8:$AG$207,$BJ$8:$BJ$207), MATCH(CN$7&amp;$CC38, $B$8:$B$207&amp;$C$8:$C$207, 0)), "")</f>
        <v/>
      </c>
      <c r="CO38" s="8" t="str">
        <f t="array" ref="CO38">IFERROR(INDEX(CHOOSE($BO$11,$AF$8:$AF$207,$AG$8:$AG$207,$BJ$8:$BJ$207), MATCH(CO$7&amp;$CC38, $B$8:$B$207&amp;$C$8:$C$207, 0)), "")</f>
        <v/>
      </c>
      <c r="CP38" s="8" t="str">
        <f t="array" ref="CP38">IFERROR(INDEX(CHOOSE($BO$11,$AF$8:$AF$207,$AG$8:$AG$207,$BJ$8:$BJ$207), MATCH(CP$7&amp;$CC38, $B$8:$B$207&amp;$C$8:$C$207, 0)), "")</f>
        <v/>
      </c>
      <c r="CQ38" s="8" t="str">
        <f t="array" ref="CQ38">IFERROR(INDEX(CHOOSE($BO$11,$AF$8:$AF$207,$AG$8:$AG$207,$BJ$8:$BJ$207), MATCH(CQ$7&amp;$CC38, $B$8:$B$207&amp;$C$8:$C$207, 0)), "")</f>
        <v/>
      </c>
      <c r="CR38" s="8" t="str">
        <f t="array" ref="CR38">IFERROR(INDEX(CHOOSE($BO$11,$AF$8:$AF$207,$AG$8:$AG$207,$BJ$8:$BJ$207), MATCH(CR$7&amp;$CC38, $B$8:$B$207&amp;$C$8:$C$207, 0)), "")</f>
        <v/>
      </c>
      <c r="CS38" s="8" t="str">
        <f t="array" ref="CS38">IFERROR(INDEX(CHOOSE($BO$11,$AF$8:$AF$207,$AG$8:$AG$207,$BJ$8:$BJ$207), MATCH(CS$7&amp;$CC38, $B$8:$B$207&amp;$C$8:$C$207, 0)), "")</f>
        <v/>
      </c>
      <c r="CT38" s="8" t="str">
        <f t="array" ref="CT38">IFERROR(INDEX(CHOOSE($BO$11,$AF$8:$AF$207,$AG$8:$AG$207,$BJ$8:$BJ$207), MATCH(CT$7&amp;$CC38, $B$8:$B$207&amp;$C$8:$C$207, 0)), "")</f>
        <v/>
      </c>
      <c r="CU38" s="8" t="str">
        <f t="array" ref="CU38">IFERROR(INDEX(CHOOSE($BO$11,$AF$8:$AF$207,$AG$8:$AG$207,$BJ$8:$BJ$207), MATCH(CU$7&amp;$CC38, $B$8:$B$207&amp;$C$8:$C$207, 0)), "")</f>
        <v/>
      </c>
      <c r="CV38" s="8" t="str">
        <f t="array" ref="CV38">IFERROR(INDEX(CHOOSE($BO$11,$AF$8:$AF$207,$AG$8:$AG$207,$BJ$8:$BJ$207), MATCH(CV$7&amp;$CC38, $B$8:$B$207&amp;$C$8:$C$207, 0)), "")</f>
        <v/>
      </c>
      <c r="CW38" s="8" t="str">
        <f t="array" ref="CW38">IFERROR(INDEX(CHOOSE($BO$11,$AF$8:$AF$207,$AG$8:$AG$207,$BJ$8:$BJ$207), MATCH(CW$7&amp;$CC38, $B$8:$B$207&amp;$C$8:$C$207, 0)), "")</f>
        <v/>
      </c>
      <c r="CX38" s="8" t="str">
        <f t="array" ref="CX38">IFERROR(INDEX(CHOOSE($BO$11,$AF$8:$AF$207,$AG$8:$AG$207,$BJ$8:$BJ$207), MATCH(CX$7&amp;$CC38, $B$8:$B$207&amp;$C$8:$C$207, 0)), "")</f>
        <v/>
      </c>
      <c r="CY38" s="8" t="str">
        <f t="array" ref="CY38">IFERROR(INDEX(CHOOSE($BO$11,$AF$8:$AF$207,$AG$8:$AG$207,$BJ$8:$BJ$207), MATCH(CY$7&amp;$CC38, $B$8:$B$207&amp;$C$8:$C$207, 0)), "")</f>
        <v/>
      </c>
      <c r="CZ38" s="8" t="str">
        <f t="array" ref="CZ38">IFERROR(INDEX(CHOOSE($BO$11,$AF$8:$AF$207,$AG$8:$AG$207,$BJ$8:$BJ$207), MATCH(CZ$7&amp;$CC38, $B$8:$B$207&amp;$C$8:$C$207, 0)), "")</f>
        <v/>
      </c>
      <c r="DA38" s="8" t="str">
        <f t="array" ref="DA38">IFERROR(INDEX(CHOOSE($BO$11,$AF$8:$AF$207,$AG$8:$AG$207,$BJ$8:$BJ$207), MATCH(DA$7&amp;$CC38, $B$8:$B$207&amp;$C$8:$C$207, 0)), "")</f>
        <v/>
      </c>
      <c r="DB38" s="8" t="str">
        <f t="array" ref="DB38">IFERROR(INDEX(CHOOSE($BO$11,$AF$8:$AF$207,$AG$8:$AG$207,$BJ$8:$BJ$207), MATCH(DB$7&amp;$CC38, $B$8:$B$207&amp;$C$8:$C$207, 0)), "")</f>
        <v/>
      </c>
      <c r="DC38" s="8" t="str">
        <f t="array" ref="DC38">IFERROR(INDEX(CHOOSE($BO$11,$AF$8:$AF$207,$AG$8:$AG$207,$BJ$8:$BJ$207), MATCH(DC$7&amp;$CC38, $B$8:$B$207&amp;$C$8:$C$207, 0)), "")</f>
        <v/>
      </c>
      <c r="DD38" s="8" t="str">
        <f t="array" ref="DD38">IFERROR(INDEX(CHOOSE($BO$11,$AF$8:$AF$207,$AG$8:$AG$207,$BJ$8:$BJ$207), MATCH(DD$7&amp;$CC38, $B$8:$B$207&amp;$C$8:$C$207, 0)), "")</f>
        <v/>
      </c>
      <c r="DE38" s="8" t="str">
        <f t="array" ref="DE38">IFERROR(INDEX(CHOOSE($BO$11,$AF$8:$AF$207,$AG$8:$AG$207,$BJ$8:$BJ$207), MATCH(DE$7&amp;$CC38, $B$8:$B$207&amp;$C$8:$C$207, 0)), "")</f>
        <v/>
      </c>
      <c r="DF38" s="8" t="str">
        <f t="array" ref="DF38">IFERROR(INDEX(CHOOSE($BO$11,$AF$8:$AF$207,$AG$8:$AG$207,$BJ$8:$BJ$207), MATCH(DF$7&amp;$CC38, $B$8:$B$207&amp;$C$8:$C$207, 0)), "")</f>
        <v/>
      </c>
      <c r="DG38" s="8" t="str">
        <f t="array" ref="DG38">IFERROR(INDEX(CHOOSE($BO$11,$AF$8:$AF$207,$AG$8:$AG$207,$BJ$8:$BJ$207), MATCH(DG$7&amp;$CC38, $B$8:$B$207&amp;$C$8:$C$207, 0)), "")</f>
        <v/>
      </c>
      <c r="DH38" s="8"/>
      <c r="DI38" s="8"/>
      <c r="DJ38" s="8"/>
      <c r="DK38" s="8"/>
      <c r="DL38" s="8"/>
      <c r="DM38" s="8"/>
      <c r="DN38" s="8"/>
      <c r="DO38" s="8"/>
      <c r="DP38" s="8"/>
      <c r="DQ38" s="8"/>
      <c r="DR38" s="8"/>
      <c r="DS38" s="8"/>
      <c r="DT38" s="8"/>
      <c r="DU38" s="8"/>
      <c r="DV38" s="8"/>
      <c r="DW38" s="8"/>
      <c r="DX38" s="8"/>
      <c r="DY38" s="8"/>
      <c r="DZ38" s="8"/>
      <c r="EA38" s="8"/>
    </row>
    <row r="39" spans="2:131" x14ac:dyDescent="0.2">
      <c r="B39" s="1">
        <f>IFERROR(Calculations!M37/1000, "")</f>
        <v>15</v>
      </c>
      <c r="C39" s="1">
        <f>Calculations!N37</f>
        <v>350</v>
      </c>
      <c r="D39" s="58">
        <f>IFERROR(Calculations!$Q37,"")</f>
        <v>1.1583495162129402</v>
      </c>
      <c r="E39" s="8">
        <f>IFERROR(Calculations!$S37, "")</f>
        <v>38.532417248478417</v>
      </c>
      <c r="F39" s="89"/>
      <c r="G39" s="89"/>
      <c r="H39" s="89"/>
      <c r="I39" s="89"/>
      <c r="J39" s="1" t="str">
        <f>IFERROR(Calculations!AC37, "")</f>
        <v/>
      </c>
      <c r="K39" s="1" t="str">
        <f>IFERROR(Calculations!AD37, "")</f>
        <v/>
      </c>
      <c r="L39" s="8">
        <f>IFERROR(Calculations!AE37,"")</f>
        <v>-58005.769705315928</v>
      </c>
      <c r="M39" s="8">
        <f>IFERROR(Calculations!AF37,"")</f>
        <v>-93725.460123141558</v>
      </c>
      <c r="N39" s="8" t="str">
        <f>IFERROR(Calculations!AG37,"")</f>
        <v/>
      </c>
      <c r="O39" s="8" t="str">
        <f>IFERROR(Calculations!AH37,"")</f>
        <v/>
      </c>
      <c r="P39" s="8" t="str">
        <f>IFERROR(Calculations!AI37,"")</f>
        <v/>
      </c>
      <c r="Q39" s="8" t="str">
        <f>IFERROR(Calculations!AJ37,"")</f>
        <v/>
      </c>
      <c r="R39" s="8" t="str">
        <f>IFERROR(Calculations!AK37,"")</f>
        <v/>
      </c>
      <c r="S39" s="89"/>
      <c r="T39" s="89"/>
      <c r="U39" s="89"/>
      <c r="V39" s="89"/>
      <c r="W39" s="1" t="str">
        <f>IFERROR(Calculations!AP37, "")</f>
        <v/>
      </c>
      <c r="X39" s="1" t="str">
        <f>IFERROR(Calculations!AQ37, "")</f>
        <v/>
      </c>
      <c r="Y39" s="8" t="str">
        <f>IFERROR(Calculations!AR37,"")</f>
        <v/>
      </c>
      <c r="Z39" s="8">
        <f>IFERROR(Calculations!AS37,"")</f>
        <v>0</v>
      </c>
      <c r="AA39" s="8">
        <f>IFERROR(Calculations!AT37,"")</f>
        <v>-138268.21422345052</v>
      </c>
      <c r="AB39" s="8" t="str">
        <f>IFERROR(Calculations!AU37,"")</f>
        <v/>
      </c>
      <c r="AC39" s="8" t="str">
        <f>IFERROR(Calculations!AV37,"")</f>
        <v/>
      </c>
      <c r="AD39" s="8" t="str">
        <f>IFERROR(Calculations!AW37,"")</f>
        <v/>
      </c>
      <c r="AE39" s="8" t="str">
        <f>IFERROR(Calculations!AX37,"")</f>
        <v/>
      </c>
      <c r="AF39" s="8">
        <f>IFERROR(IF(Calculations!AY37 &lt;&gt; 0, Calculations!AY37, ""),"")</f>
        <v>13463.015605006978</v>
      </c>
      <c r="AG39" s="42">
        <f>IFERROR(IF(Calculations!AZ37 &lt;&gt; 0, Calculations!AZ37, ""),"")</f>
        <v>-4.7247803495625629</v>
      </c>
      <c r="AH39" s="1">
        <f t="shared" si="1"/>
        <v>15</v>
      </c>
      <c r="AI39" s="1">
        <f t="shared" si="2"/>
        <v>350</v>
      </c>
      <c r="AJ39" s="89"/>
      <c r="AK39" s="89"/>
      <c r="AL39" s="89"/>
      <c r="AM39" s="89"/>
      <c r="AN39" s="8" t="str">
        <f>IFERROR(Calculations!BJ37, "")</f>
        <v/>
      </c>
      <c r="AO39" s="8" t="str">
        <f>IFERROR(Calculations!BK37, "")</f>
        <v/>
      </c>
      <c r="AP39" s="8">
        <f>IFERROR(Calculations!BL37, "")</f>
        <v>15.552542430283399</v>
      </c>
      <c r="AQ39" s="8">
        <f>IFERROR(Calculations!BM37, "")</f>
        <v>30.977014906369181</v>
      </c>
      <c r="AR39" s="8" t="str">
        <f>IFERROR(Calculations!BN37, "")</f>
        <v/>
      </c>
      <c r="AS39" s="8" t="str">
        <f>IFERROR(Calculations!BO37, "")</f>
        <v/>
      </c>
      <c r="AT39" s="8" t="str">
        <f>IFERROR(Calculations!BP37, "")</f>
        <v/>
      </c>
      <c r="AU39" s="8" t="str">
        <f>IFERROR(Calculations!BQ37, "")</f>
        <v/>
      </c>
      <c r="AV39" s="8" t="str">
        <f>IFERROR(Calculations!BR37, "")</f>
        <v/>
      </c>
      <c r="AW39" s="89"/>
      <c r="AX39" s="89"/>
      <c r="AY39" s="89"/>
      <c r="AZ39" s="89"/>
      <c r="BA39" s="8" t="str">
        <f>IFERROR(Calculations!BW37, "")</f>
        <v/>
      </c>
      <c r="BB39" s="8" t="str">
        <f>IFERROR(Calculations!BX37, "")</f>
        <v/>
      </c>
      <c r="BC39" s="8" t="str">
        <f>IFERROR(Calculations!BY37, "")</f>
        <v/>
      </c>
      <c r="BD39" s="8">
        <f>IFERROR(Calculations!BZ37, "")</f>
        <v>0</v>
      </c>
      <c r="BE39" s="8">
        <f>IFERROR(Calculations!CA37, "")</f>
        <v>30.281540261033637</v>
      </c>
      <c r="BF39" s="8" t="str">
        <f>IFERROR(Calculations!CB37, "")</f>
        <v/>
      </c>
      <c r="BG39" s="8" t="str">
        <f>IFERROR(Calculations!CC37, "")</f>
        <v/>
      </c>
      <c r="BH39" s="8" t="str">
        <f>IFERROR(Calculations!CD37, "")</f>
        <v/>
      </c>
      <c r="BI39" s="8" t="str">
        <f>IFERROR(Calculations!CE37, "")</f>
        <v/>
      </c>
      <c r="BJ39" s="8">
        <f>IFERROR(IF(Calculations!CF37 &lt;&gt; 0, Calculations!CF37, ""),"")</f>
        <v>-16.248017075618943</v>
      </c>
      <c r="BK39" s="1">
        <f t="shared" si="3"/>
        <v>350</v>
      </c>
      <c r="BL39" s="1">
        <f t="shared" si="4"/>
        <v>15</v>
      </c>
      <c r="CC39" s="1" t="str">
        <f t="shared" si="5"/>
        <v/>
      </c>
      <c r="CD39" s="8" t="str">
        <f t="array" ref="CD39">IFERROR(INDEX(CHOOSE($BO$11,$AF$8:$AF$207,$AG$8:$AG$207,$BJ$8:$BJ$207), MATCH(CD$7&amp;$CC39, $B$8:$B$207&amp;$C$8:$C$207, 0)), "")</f>
        <v/>
      </c>
      <c r="CE39" s="8" t="str">
        <f t="array" ref="CE39">IFERROR(INDEX(CHOOSE($BO$11,$AF$8:$AF$207,$AG$8:$AG$207,$BJ$8:$BJ$207), MATCH(CE$7&amp;$CC39, $B$8:$B$207&amp;$C$8:$C$207, 0)), "")</f>
        <v/>
      </c>
      <c r="CF39" s="8" t="str">
        <f t="array" ref="CF39">IFERROR(INDEX(CHOOSE($BO$11,$AF$8:$AF$207,$AG$8:$AG$207,$BJ$8:$BJ$207), MATCH(CF$7&amp;$CC39, $B$8:$B$207&amp;$C$8:$C$207, 0)), "")</f>
        <v/>
      </c>
      <c r="CG39" s="8" t="str">
        <f t="array" ref="CG39">IFERROR(INDEX(CHOOSE($BO$11,$AF$8:$AF$207,$AG$8:$AG$207,$BJ$8:$BJ$207), MATCH(CG$7&amp;$CC39, $B$8:$B$207&amp;$C$8:$C$207, 0)), "")</f>
        <v/>
      </c>
      <c r="CH39" s="8" t="str">
        <f t="array" ref="CH39">IFERROR(INDEX(CHOOSE($BO$11,$AF$8:$AF$207,$AG$8:$AG$207,$BJ$8:$BJ$207), MATCH(CH$7&amp;$CC39, $B$8:$B$207&amp;$C$8:$C$207, 0)), "")</f>
        <v/>
      </c>
      <c r="CI39" s="8" t="str">
        <f t="array" ref="CI39">IFERROR(INDEX(CHOOSE($BO$11,$AF$8:$AF$207,$AG$8:$AG$207,$BJ$8:$BJ$207), MATCH(CI$7&amp;$CC39, $B$8:$B$207&amp;$C$8:$C$207, 0)), "")</f>
        <v/>
      </c>
      <c r="CJ39" s="8" t="str">
        <f t="array" ref="CJ39">IFERROR(INDEX(CHOOSE($BO$11,$AF$8:$AF$207,$AG$8:$AG$207,$BJ$8:$BJ$207), MATCH(CJ$7&amp;$CC39, $B$8:$B$207&amp;$C$8:$C$207, 0)), "")</f>
        <v/>
      </c>
      <c r="CK39" s="8" t="str">
        <f t="array" ref="CK39">IFERROR(INDEX(CHOOSE($BO$11,$AF$8:$AF$207,$AG$8:$AG$207,$BJ$8:$BJ$207), MATCH(CK$7&amp;$CC39, $B$8:$B$207&amp;$C$8:$C$207, 0)), "")</f>
        <v/>
      </c>
      <c r="CL39" s="8" t="str">
        <f t="array" ref="CL39">IFERROR(INDEX(CHOOSE($BO$11,$AF$8:$AF$207,$AG$8:$AG$207,$BJ$8:$BJ$207), MATCH(CL$7&amp;$CC39, $B$8:$B$207&amp;$C$8:$C$207, 0)), "")</f>
        <v/>
      </c>
      <c r="CM39" s="8" t="str">
        <f t="array" ref="CM39">IFERROR(INDEX(CHOOSE($BO$11,$AF$8:$AF$207,$AG$8:$AG$207,$BJ$8:$BJ$207), MATCH(CM$7&amp;$CC39, $B$8:$B$207&amp;$C$8:$C$207, 0)), "")</f>
        <v/>
      </c>
      <c r="CN39" s="8" t="str">
        <f t="array" ref="CN39">IFERROR(INDEX(CHOOSE($BO$11,$AF$8:$AF$207,$AG$8:$AG$207,$BJ$8:$BJ$207), MATCH(CN$7&amp;$CC39, $B$8:$B$207&amp;$C$8:$C$207, 0)), "")</f>
        <v/>
      </c>
      <c r="CO39" s="8" t="str">
        <f t="array" ref="CO39">IFERROR(INDEX(CHOOSE($BO$11,$AF$8:$AF$207,$AG$8:$AG$207,$BJ$8:$BJ$207), MATCH(CO$7&amp;$CC39, $B$8:$B$207&amp;$C$8:$C$207, 0)), "")</f>
        <v/>
      </c>
      <c r="CP39" s="8" t="str">
        <f t="array" ref="CP39">IFERROR(INDEX(CHOOSE($BO$11,$AF$8:$AF$207,$AG$8:$AG$207,$BJ$8:$BJ$207), MATCH(CP$7&amp;$CC39, $B$8:$B$207&amp;$C$8:$C$207, 0)), "")</f>
        <v/>
      </c>
      <c r="CQ39" s="8" t="str">
        <f t="array" ref="CQ39">IFERROR(INDEX(CHOOSE($BO$11,$AF$8:$AF$207,$AG$8:$AG$207,$BJ$8:$BJ$207), MATCH(CQ$7&amp;$CC39, $B$8:$B$207&amp;$C$8:$C$207, 0)), "")</f>
        <v/>
      </c>
      <c r="CR39" s="8" t="str">
        <f t="array" ref="CR39">IFERROR(INDEX(CHOOSE($BO$11,$AF$8:$AF$207,$AG$8:$AG$207,$BJ$8:$BJ$207), MATCH(CR$7&amp;$CC39, $B$8:$B$207&amp;$C$8:$C$207, 0)), "")</f>
        <v/>
      </c>
      <c r="CS39" s="8" t="str">
        <f t="array" ref="CS39">IFERROR(INDEX(CHOOSE($BO$11,$AF$8:$AF$207,$AG$8:$AG$207,$BJ$8:$BJ$207), MATCH(CS$7&amp;$CC39, $B$8:$B$207&amp;$C$8:$C$207, 0)), "")</f>
        <v/>
      </c>
      <c r="CT39" s="8" t="str">
        <f t="array" ref="CT39">IFERROR(INDEX(CHOOSE($BO$11,$AF$8:$AF$207,$AG$8:$AG$207,$BJ$8:$BJ$207), MATCH(CT$7&amp;$CC39, $B$8:$B$207&amp;$C$8:$C$207, 0)), "")</f>
        <v/>
      </c>
      <c r="CU39" s="8" t="str">
        <f t="array" ref="CU39">IFERROR(INDEX(CHOOSE($BO$11,$AF$8:$AF$207,$AG$8:$AG$207,$BJ$8:$BJ$207), MATCH(CU$7&amp;$CC39, $B$8:$B$207&amp;$C$8:$C$207, 0)), "")</f>
        <v/>
      </c>
      <c r="CV39" s="8" t="str">
        <f t="array" ref="CV39">IFERROR(INDEX(CHOOSE($BO$11,$AF$8:$AF$207,$AG$8:$AG$207,$BJ$8:$BJ$207), MATCH(CV$7&amp;$CC39, $B$8:$B$207&amp;$C$8:$C$207, 0)), "")</f>
        <v/>
      </c>
      <c r="CW39" s="8" t="str">
        <f t="array" ref="CW39">IFERROR(INDEX(CHOOSE($BO$11,$AF$8:$AF$207,$AG$8:$AG$207,$BJ$8:$BJ$207), MATCH(CW$7&amp;$CC39, $B$8:$B$207&amp;$C$8:$C$207, 0)), "")</f>
        <v/>
      </c>
      <c r="CX39" s="8" t="str">
        <f t="array" ref="CX39">IFERROR(INDEX(CHOOSE($BO$11,$AF$8:$AF$207,$AG$8:$AG$207,$BJ$8:$BJ$207), MATCH(CX$7&amp;$CC39, $B$8:$B$207&amp;$C$8:$C$207, 0)), "")</f>
        <v/>
      </c>
      <c r="CY39" s="8" t="str">
        <f t="array" ref="CY39">IFERROR(INDEX(CHOOSE($BO$11,$AF$8:$AF$207,$AG$8:$AG$207,$BJ$8:$BJ$207), MATCH(CY$7&amp;$CC39, $B$8:$B$207&amp;$C$8:$C$207, 0)), "")</f>
        <v/>
      </c>
      <c r="CZ39" s="8" t="str">
        <f t="array" ref="CZ39">IFERROR(INDEX(CHOOSE($BO$11,$AF$8:$AF$207,$AG$8:$AG$207,$BJ$8:$BJ$207), MATCH(CZ$7&amp;$CC39, $B$8:$B$207&amp;$C$8:$C$207, 0)), "")</f>
        <v/>
      </c>
      <c r="DA39" s="8" t="str">
        <f t="array" ref="DA39">IFERROR(INDEX(CHOOSE($BO$11,$AF$8:$AF$207,$AG$8:$AG$207,$BJ$8:$BJ$207), MATCH(DA$7&amp;$CC39, $B$8:$B$207&amp;$C$8:$C$207, 0)), "")</f>
        <v/>
      </c>
      <c r="DB39" s="8" t="str">
        <f t="array" ref="DB39">IFERROR(INDEX(CHOOSE($BO$11,$AF$8:$AF$207,$AG$8:$AG$207,$BJ$8:$BJ$207), MATCH(DB$7&amp;$CC39, $B$8:$B$207&amp;$C$8:$C$207, 0)), "")</f>
        <v/>
      </c>
      <c r="DC39" s="8" t="str">
        <f t="array" ref="DC39">IFERROR(INDEX(CHOOSE($BO$11,$AF$8:$AF$207,$AG$8:$AG$207,$BJ$8:$BJ$207), MATCH(DC$7&amp;$CC39, $B$8:$B$207&amp;$C$8:$C$207, 0)), "")</f>
        <v/>
      </c>
      <c r="DD39" s="8" t="str">
        <f t="array" ref="DD39">IFERROR(INDEX(CHOOSE($BO$11,$AF$8:$AF$207,$AG$8:$AG$207,$BJ$8:$BJ$207), MATCH(DD$7&amp;$CC39, $B$8:$B$207&amp;$C$8:$C$207, 0)), "")</f>
        <v/>
      </c>
      <c r="DE39" s="8" t="str">
        <f t="array" ref="DE39">IFERROR(INDEX(CHOOSE($BO$11,$AF$8:$AF$207,$AG$8:$AG$207,$BJ$8:$BJ$207), MATCH(DE$7&amp;$CC39, $B$8:$B$207&amp;$C$8:$C$207, 0)), "")</f>
        <v/>
      </c>
      <c r="DF39" s="8" t="str">
        <f t="array" ref="DF39">IFERROR(INDEX(CHOOSE($BO$11,$AF$8:$AF$207,$AG$8:$AG$207,$BJ$8:$BJ$207), MATCH(DF$7&amp;$CC39, $B$8:$B$207&amp;$C$8:$C$207, 0)), "")</f>
        <v/>
      </c>
      <c r="DG39" s="8" t="str">
        <f t="array" ref="DG39">IFERROR(INDEX(CHOOSE($BO$11,$AF$8:$AF$207,$AG$8:$AG$207,$BJ$8:$BJ$207), MATCH(DG$7&amp;$CC39, $B$8:$B$207&amp;$C$8:$C$207, 0)), "")</f>
        <v/>
      </c>
      <c r="DH39" s="8"/>
      <c r="DI39" s="8"/>
      <c r="DJ39" s="8"/>
      <c r="DK39" s="8"/>
      <c r="DL39" s="8"/>
      <c r="DM39" s="8"/>
      <c r="DN39" s="8"/>
      <c r="DO39" s="8"/>
      <c r="DP39" s="8"/>
      <c r="DQ39" s="8"/>
      <c r="DR39" s="8"/>
      <c r="DS39" s="8"/>
      <c r="DT39" s="8"/>
      <c r="DU39" s="8"/>
      <c r="DV39" s="8"/>
      <c r="DW39" s="8"/>
      <c r="DX39" s="8"/>
      <c r="DY39" s="8"/>
      <c r="DZ39" s="8"/>
      <c r="EA39" s="8"/>
    </row>
    <row r="40" spans="2:131" x14ac:dyDescent="0.2">
      <c r="B40" s="1">
        <f>IFERROR(Calculations!M38/1000, "")</f>
        <v>15</v>
      </c>
      <c r="C40" s="1">
        <f>Calculations!N38</f>
        <v>400</v>
      </c>
      <c r="D40" s="58">
        <f>IFERROR(Calculations!$Q38,"")</f>
        <v>1.1377946386587618</v>
      </c>
      <c r="E40" s="8">
        <f>IFERROR(Calculations!$S38, "")</f>
        <v>34.242324739749172</v>
      </c>
      <c r="F40" s="89"/>
      <c r="G40" s="89"/>
      <c r="H40" s="89"/>
      <c r="I40" s="89"/>
      <c r="J40" s="1" t="str">
        <f>IFERROR(Calculations!AC38, "")</f>
        <v/>
      </c>
      <c r="K40" s="1" t="str">
        <f>IFERROR(Calculations!AD38, "")</f>
        <v/>
      </c>
      <c r="L40" s="8">
        <f>IFERROR(Calculations!AE38,"")</f>
        <v>-59337.562864876854</v>
      </c>
      <c r="M40" s="8">
        <f>IFERROR(Calculations!AF38,"")</f>
        <v>-95884.595357229759</v>
      </c>
      <c r="N40" s="8" t="str">
        <f>IFERROR(Calculations!AG38,"")</f>
        <v/>
      </c>
      <c r="O40" s="8" t="str">
        <f>IFERROR(Calculations!AH38,"")</f>
        <v/>
      </c>
      <c r="P40" s="8" t="str">
        <f>IFERROR(Calculations!AI38,"")</f>
        <v/>
      </c>
      <c r="Q40" s="8" t="str">
        <f>IFERROR(Calculations!AJ38,"")</f>
        <v/>
      </c>
      <c r="R40" s="8" t="str">
        <f>IFERROR(Calculations!AK38,"")</f>
        <v/>
      </c>
      <c r="S40" s="89"/>
      <c r="T40" s="89"/>
      <c r="U40" s="89"/>
      <c r="V40" s="89"/>
      <c r="W40" s="1" t="str">
        <f>IFERROR(Calculations!AP38, "")</f>
        <v/>
      </c>
      <c r="X40" s="1" t="str">
        <f>IFERROR(Calculations!AQ38, "")</f>
        <v/>
      </c>
      <c r="Y40" s="8" t="str">
        <f>IFERROR(Calculations!AR38,"")</f>
        <v/>
      </c>
      <c r="Z40" s="8">
        <f>IFERROR(Calculations!AS38,"")</f>
        <v>0</v>
      </c>
      <c r="AA40" s="8">
        <f>IFERROR(Calculations!AT38,"")</f>
        <v>-139752.15571717187</v>
      </c>
      <c r="AB40" s="8" t="str">
        <f>IFERROR(Calculations!AU38,"")</f>
        <v/>
      </c>
      <c r="AC40" s="8" t="str">
        <f>IFERROR(Calculations!AV38,"")</f>
        <v/>
      </c>
      <c r="AD40" s="8" t="str">
        <f>IFERROR(Calculations!AW38,"")</f>
        <v/>
      </c>
      <c r="AE40" s="8" t="str">
        <f>IFERROR(Calculations!AX38,"")</f>
        <v/>
      </c>
      <c r="AF40" s="8">
        <f>IFERROR(IF(Calculations!AY38 &lt;&gt; 0, Calculations!AY38, ""),"")</f>
        <v>15470.002504934731</v>
      </c>
      <c r="AG40" s="42">
        <f>IFERROR(IF(Calculations!AZ38 &lt;&gt; 0, Calculations!AZ38, ""),"")</f>
        <v>-5.0258602396047669</v>
      </c>
      <c r="AH40" s="1">
        <f t="shared" si="1"/>
        <v>15</v>
      </c>
      <c r="AI40" s="1">
        <f t="shared" si="2"/>
        <v>400</v>
      </c>
      <c r="AJ40" s="89"/>
      <c r="AK40" s="89"/>
      <c r="AL40" s="89"/>
      <c r="AM40" s="89"/>
      <c r="AN40" s="8" t="str">
        <f>IFERROR(Calculations!BJ38, "")</f>
        <v/>
      </c>
      <c r="AO40" s="8" t="str">
        <f>IFERROR(Calculations!BK38, "")</f>
        <v/>
      </c>
      <c r="AP40" s="8">
        <f>IFERROR(Calculations!BL38, "")</f>
        <v>15.833507548635055</v>
      </c>
      <c r="AQ40" s="8">
        <f>IFERROR(Calculations!BM38, "")</f>
        <v>31.143232958234378</v>
      </c>
      <c r="AR40" s="8" t="str">
        <f>IFERROR(Calculations!BN38, "")</f>
        <v/>
      </c>
      <c r="AS40" s="8" t="str">
        <f>IFERROR(Calculations!BO38, "")</f>
        <v/>
      </c>
      <c r="AT40" s="8" t="str">
        <f>IFERROR(Calculations!BP38, "")</f>
        <v/>
      </c>
      <c r="AU40" s="8" t="str">
        <f>IFERROR(Calculations!BQ38, "")</f>
        <v/>
      </c>
      <c r="AV40" s="8" t="str">
        <f>IFERROR(Calculations!BR38, "")</f>
        <v/>
      </c>
      <c r="AW40" s="89"/>
      <c r="AX40" s="89"/>
      <c r="AY40" s="89"/>
      <c r="AZ40" s="89"/>
      <c r="BA40" s="8" t="str">
        <f>IFERROR(Calculations!BW38, "")</f>
        <v/>
      </c>
      <c r="BB40" s="8" t="str">
        <f>IFERROR(Calculations!BX38, "")</f>
        <v/>
      </c>
      <c r="BC40" s="8" t="str">
        <f>IFERROR(Calculations!BY38, "")</f>
        <v/>
      </c>
      <c r="BD40" s="8">
        <f>IFERROR(Calculations!BZ38, "")</f>
        <v>0</v>
      </c>
      <c r="BE40" s="8">
        <f>IFERROR(Calculations!CA38, "")</f>
        <v>30.005494547523018</v>
      </c>
      <c r="BF40" s="8" t="str">
        <f>IFERROR(Calculations!CB38, "")</f>
        <v/>
      </c>
      <c r="BG40" s="8" t="str">
        <f>IFERROR(Calculations!CC38, "")</f>
        <v/>
      </c>
      <c r="BH40" s="8" t="str">
        <f>IFERROR(Calculations!CD38, "")</f>
        <v/>
      </c>
      <c r="BI40" s="8" t="str">
        <f>IFERROR(Calculations!CE38, "")</f>
        <v/>
      </c>
      <c r="BJ40" s="8">
        <f>IFERROR(IF(Calculations!CF38 &lt;&gt; 0, Calculations!CF38, ""),"")</f>
        <v>-16.971245959346415</v>
      </c>
      <c r="BK40" s="1">
        <f t="shared" si="3"/>
        <v>400</v>
      </c>
      <c r="BL40" s="1">
        <f t="shared" si="4"/>
        <v>15</v>
      </c>
      <c r="CC40" s="1" t="str">
        <f t="shared" si="5"/>
        <v/>
      </c>
      <c r="CD40" s="8" t="str">
        <f t="array" ref="CD40">IFERROR(INDEX(CHOOSE($BO$11,$AF$8:$AF$207,$AG$8:$AG$207,$BJ$8:$BJ$207), MATCH(CD$7&amp;$CC40, $B$8:$B$207&amp;$C$8:$C$207, 0)), "")</f>
        <v/>
      </c>
      <c r="CE40" s="8" t="str">
        <f t="array" ref="CE40">IFERROR(INDEX(CHOOSE($BO$11,$AF$8:$AF$207,$AG$8:$AG$207,$BJ$8:$BJ$207), MATCH(CE$7&amp;$CC40, $B$8:$B$207&amp;$C$8:$C$207, 0)), "")</f>
        <v/>
      </c>
      <c r="CF40" s="8" t="str">
        <f t="array" ref="CF40">IFERROR(INDEX(CHOOSE($BO$11,$AF$8:$AF$207,$AG$8:$AG$207,$BJ$8:$BJ$207), MATCH(CF$7&amp;$CC40, $B$8:$B$207&amp;$C$8:$C$207, 0)), "")</f>
        <v/>
      </c>
      <c r="CG40" s="8" t="str">
        <f t="array" ref="CG40">IFERROR(INDEX(CHOOSE($BO$11,$AF$8:$AF$207,$AG$8:$AG$207,$BJ$8:$BJ$207), MATCH(CG$7&amp;$CC40, $B$8:$B$207&amp;$C$8:$C$207, 0)), "")</f>
        <v/>
      </c>
      <c r="CH40" s="8" t="str">
        <f t="array" ref="CH40">IFERROR(INDEX(CHOOSE($BO$11,$AF$8:$AF$207,$AG$8:$AG$207,$BJ$8:$BJ$207), MATCH(CH$7&amp;$CC40, $B$8:$B$207&amp;$C$8:$C$207, 0)), "")</f>
        <v/>
      </c>
      <c r="CI40" s="8" t="str">
        <f t="array" ref="CI40">IFERROR(INDEX(CHOOSE($BO$11,$AF$8:$AF$207,$AG$8:$AG$207,$BJ$8:$BJ$207), MATCH(CI$7&amp;$CC40, $B$8:$B$207&amp;$C$8:$C$207, 0)), "")</f>
        <v/>
      </c>
      <c r="CJ40" s="8" t="str">
        <f t="array" ref="CJ40">IFERROR(INDEX(CHOOSE($BO$11,$AF$8:$AF$207,$AG$8:$AG$207,$BJ$8:$BJ$207), MATCH(CJ$7&amp;$CC40, $B$8:$B$207&amp;$C$8:$C$207, 0)), "")</f>
        <v/>
      </c>
      <c r="CK40" s="8" t="str">
        <f t="array" ref="CK40">IFERROR(INDEX(CHOOSE($BO$11,$AF$8:$AF$207,$AG$8:$AG$207,$BJ$8:$BJ$207), MATCH(CK$7&amp;$CC40, $B$8:$B$207&amp;$C$8:$C$207, 0)), "")</f>
        <v/>
      </c>
      <c r="CL40" s="8" t="str">
        <f t="array" ref="CL40">IFERROR(INDEX(CHOOSE($BO$11,$AF$8:$AF$207,$AG$8:$AG$207,$BJ$8:$BJ$207), MATCH(CL$7&amp;$CC40, $B$8:$B$207&amp;$C$8:$C$207, 0)), "")</f>
        <v/>
      </c>
      <c r="CM40" s="8" t="str">
        <f t="array" ref="CM40">IFERROR(INDEX(CHOOSE($BO$11,$AF$8:$AF$207,$AG$8:$AG$207,$BJ$8:$BJ$207), MATCH(CM$7&amp;$CC40, $B$8:$B$207&amp;$C$8:$C$207, 0)), "")</f>
        <v/>
      </c>
      <c r="CN40" s="8" t="str">
        <f t="array" ref="CN40">IFERROR(INDEX(CHOOSE($BO$11,$AF$8:$AF$207,$AG$8:$AG$207,$BJ$8:$BJ$207), MATCH(CN$7&amp;$CC40, $B$8:$B$207&amp;$C$8:$C$207, 0)), "")</f>
        <v/>
      </c>
      <c r="CO40" s="8" t="str">
        <f t="array" ref="CO40">IFERROR(INDEX(CHOOSE($BO$11,$AF$8:$AF$207,$AG$8:$AG$207,$BJ$8:$BJ$207), MATCH(CO$7&amp;$CC40, $B$8:$B$207&amp;$C$8:$C$207, 0)), "")</f>
        <v/>
      </c>
      <c r="CP40" s="8" t="str">
        <f t="array" ref="CP40">IFERROR(INDEX(CHOOSE($BO$11,$AF$8:$AF$207,$AG$8:$AG$207,$BJ$8:$BJ$207), MATCH(CP$7&amp;$CC40, $B$8:$B$207&amp;$C$8:$C$207, 0)), "")</f>
        <v/>
      </c>
      <c r="CQ40" s="8" t="str">
        <f t="array" ref="CQ40">IFERROR(INDEX(CHOOSE($BO$11,$AF$8:$AF$207,$AG$8:$AG$207,$BJ$8:$BJ$207), MATCH(CQ$7&amp;$CC40, $B$8:$B$207&amp;$C$8:$C$207, 0)), "")</f>
        <v/>
      </c>
      <c r="CR40" s="8" t="str">
        <f t="array" ref="CR40">IFERROR(INDEX(CHOOSE($BO$11,$AF$8:$AF$207,$AG$8:$AG$207,$BJ$8:$BJ$207), MATCH(CR$7&amp;$CC40, $B$8:$B$207&amp;$C$8:$C$207, 0)), "")</f>
        <v/>
      </c>
      <c r="CS40" s="8" t="str">
        <f t="array" ref="CS40">IFERROR(INDEX(CHOOSE($BO$11,$AF$8:$AF$207,$AG$8:$AG$207,$BJ$8:$BJ$207), MATCH(CS$7&amp;$CC40, $B$8:$B$207&amp;$C$8:$C$207, 0)), "")</f>
        <v/>
      </c>
      <c r="CT40" s="8" t="str">
        <f t="array" ref="CT40">IFERROR(INDEX(CHOOSE($BO$11,$AF$8:$AF$207,$AG$8:$AG$207,$BJ$8:$BJ$207), MATCH(CT$7&amp;$CC40, $B$8:$B$207&amp;$C$8:$C$207, 0)), "")</f>
        <v/>
      </c>
      <c r="CU40" s="8" t="str">
        <f t="array" ref="CU40">IFERROR(INDEX(CHOOSE($BO$11,$AF$8:$AF$207,$AG$8:$AG$207,$BJ$8:$BJ$207), MATCH(CU$7&amp;$CC40, $B$8:$B$207&amp;$C$8:$C$207, 0)), "")</f>
        <v/>
      </c>
      <c r="CV40" s="8" t="str">
        <f t="array" ref="CV40">IFERROR(INDEX(CHOOSE($BO$11,$AF$8:$AF$207,$AG$8:$AG$207,$BJ$8:$BJ$207), MATCH(CV$7&amp;$CC40, $B$8:$B$207&amp;$C$8:$C$207, 0)), "")</f>
        <v/>
      </c>
      <c r="CW40" s="8" t="str">
        <f t="array" ref="CW40">IFERROR(INDEX(CHOOSE($BO$11,$AF$8:$AF$207,$AG$8:$AG$207,$BJ$8:$BJ$207), MATCH(CW$7&amp;$CC40, $B$8:$B$207&amp;$C$8:$C$207, 0)), "")</f>
        <v/>
      </c>
      <c r="CX40" s="8" t="str">
        <f t="array" ref="CX40">IFERROR(INDEX(CHOOSE($BO$11,$AF$8:$AF$207,$AG$8:$AG$207,$BJ$8:$BJ$207), MATCH(CX$7&amp;$CC40, $B$8:$B$207&amp;$C$8:$C$207, 0)), "")</f>
        <v/>
      </c>
      <c r="CY40" s="8" t="str">
        <f t="array" ref="CY40">IFERROR(INDEX(CHOOSE($BO$11,$AF$8:$AF$207,$AG$8:$AG$207,$BJ$8:$BJ$207), MATCH(CY$7&amp;$CC40, $B$8:$B$207&amp;$C$8:$C$207, 0)), "")</f>
        <v/>
      </c>
      <c r="CZ40" s="8" t="str">
        <f t="array" ref="CZ40">IFERROR(INDEX(CHOOSE($BO$11,$AF$8:$AF$207,$AG$8:$AG$207,$BJ$8:$BJ$207), MATCH(CZ$7&amp;$CC40, $B$8:$B$207&amp;$C$8:$C$207, 0)), "")</f>
        <v/>
      </c>
      <c r="DA40" s="8" t="str">
        <f t="array" ref="DA40">IFERROR(INDEX(CHOOSE($BO$11,$AF$8:$AF$207,$AG$8:$AG$207,$BJ$8:$BJ$207), MATCH(DA$7&amp;$CC40, $B$8:$B$207&amp;$C$8:$C$207, 0)), "")</f>
        <v/>
      </c>
      <c r="DB40" s="8" t="str">
        <f t="array" ref="DB40">IFERROR(INDEX(CHOOSE($BO$11,$AF$8:$AF$207,$AG$8:$AG$207,$BJ$8:$BJ$207), MATCH(DB$7&amp;$CC40, $B$8:$B$207&amp;$C$8:$C$207, 0)), "")</f>
        <v/>
      </c>
      <c r="DC40" s="8" t="str">
        <f t="array" ref="DC40">IFERROR(INDEX(CHOOSE($BO$11,$AF$8:$AF$207,$AG$8:$AG$207,$BJ$8:$BJ$207), MATCH(DC$7&amp;$CC40, $B$8:$B$207&amp;$C$8:$C$207, 0)), "")</f>
        <v/>
      </c>
      <c r="DD40" s="8" t="str">
        <f t="array" ref="DD40">IFERROR(INDEX(CHOOSE($BO$11,$AF$8:$AF$207,$AG$8:$AG$207,$BJ$8:$BJ$207), MATCH(DD$7&amp;$CC40, $B$8:$B$207&amp;$C$8:$C$207, 0)), "")</f>
        <v/>
      </c>
      <c r="DE40" s="8" t="str">
        <f t="array" ref="DE40">IFERROR(INDEX(CHOOSE($BO$11,$AF$8:$AF$207,$AG$8:$AG$207,$BJ$8:$BJ$207), MATCH(DE$7&amp;$CC40, $B$8:$B$207&amp;$C$8:$C$207, 0)), "")</f>
        <v/>
      </c>
      <c r="DF40" s="8" t="str">
        <f t="array" ref="DF40">IFERROR(INDEX(CHOOSE($BO$11,$AF$8:$AF$207,$AG$8:$AG$207,$BJ$8:$BJ$207), MATCH(DF$7&amp;$CC40, $B$8:$B$207&amp;$C$8:$C$207, 0)), "")</f>
        <v/>
      </c>
      <c r="DG40" s="8" t="str">
        <f t="array" ref="DG40">IFERROR(INDEX(CHOOSE($BO$11,$AF$8:$AF$207,$AG$8:$AG$207,$BJ$8:$BJ$207), MATCH(DG$7&amp;$CC40, $B$8:$B$207&amp;$C$8:$C$207, 0)), "")</f>
        <v/>
      </c>
      <c r="DH40" s="8"/>
      <c r="DI40" s="8"/>
      <c r="DJ40" s="8"/>
      <c r="DK40" s="8"/>
      <c r="DL40" s="8"/>
      <c r="DM40" s="8"/>
      <c r="DN40" s="8"/>
      <c r="DO40" s="8"/>
      <c r="DP40" s="8"/>
      <c r="DQ40" s="8"/>
      <c r="DR40" s="8"/>
      <c r="DS40" s="8"/>
      <c r="DT40" s="8"/>
      <c r="DU40" s="8"/>
      <c r="DV40" s="8"/>
      <c r="DW40" s="8"/>
      <c r="DX40" s="8"/>
      <c r="DY40" s="8"/>
      <c r="DZ40" s="8"/>
      <c r="EA40" s="8"/>
    </row>
    <row r="41" spans="2:131" x14ac:dyDescent="0.2">
      <c r="B41" s="1">
        <f>IFERROR(Calculations!M39/1000, "")</f>
        <v>15</v>
      </c>
      <c r="C41" s="1">
        <f>Calculations!N39</f>
        <v>450</v>
      </c>
      <c r="D41" s="58">
        <f>IFERROR(Calculations!$Q39,"")</f>
        <v>1.117350923322439</v>
      </c>
      <c r="E41" s="8">
        <f>IFERROR(Calculations!$S39, "")</f>
        <v>30.555953963648076</v>
      </c>
      <c r="F41" s="89"/>
      <c r="G41" s="89"/>
      <c r="H41" s="89"/>
      <c r="I41" s="89"/>
      <c r="J41" s="1" t="str">
        <f>IFERROR(Calculations!AC39, "")</f>
        <v/>
      </c>
      <c r="K41" s="1" t="str">
        <f>IFERROR(Calculations!AD39, "")</f>
        <v/>
      </c>
      <c r="L41" s="8">
        <f>IFERROR(Calculations!AE39,"")</f>
        <v>-60725.339176980335</v>
      </c>
      <c r="M41" s="8">
        <f>IFERROR(Calculations!AF39,"")</f>
        <v>-98098.577837236095</v>
      </c>
      <c r="N41" s="8" t="str">
        <f>IFERROR(Calculations!AG39,"")</f>
        <v/>
      </c>
      <c r="O41" s="8" t="str">
        <f>IFERROR(Calculations!AH39,"")</f>
        <v/>
      </c>
      <c r="P41" s="8" t="str">
        <f>IFERROR(Calculations!AI39,"")</f>
        <v/>
      </c>
      <c r="Q41" s="8" t="str">
        <f>IFERROR(Calculations!AJ39,"")</f>
        <v/>
      </c>
      <c r="R41" s="8" t="str">
        <f>IFERROR(Calculations!AK39,"")</f>
        <v/>
      </c>
      <c r="S41" s="89"/>
      <c r="T41" s="89"/>
      <c r="U41" s="89"/>
      <c r="V41" s="89"/>
      <c r="W41" s="1" t="str">
        <f>IFERROR(Calculations!AP39, "")</f>
        <v/>
      </c>
      <c r="X41" s="1" t="str">
        <f>IFERROR(Calculations!AQ39, "")</f>
        <v/>
      </c>
      <c r="Y41" s="8" t="str">
        <f>IFERROR(Calculations!AR39,"")</f>
        <v/>
      </c>
      <c r="Z41" s="8">
        <f>IFERROR(Calculations!AS39,"")</f>
        <v>0</v>
      </c>
      <c r="AA41" s="8">
        <f>IFERROR(Calculations!AT39,"")</f>
        <v>-141244.24227362251</v>
      </c>
      <c r="AB41" s="8" t="str">
        <f>IFERROR(Calculations!AU39,"")</f>
        <v/>
      </c>
      <c r="AC41" s="8" t="str">
        <f>IFERROR(Calculations!AV39,"")</f>
        <v/>
      </c>
      <c r="AD41" s="8" t="str">
        <f>IFERROR(Calculations!AW39,"")</f>
        <v/>
      </c>
      <c r="AE41" s="8" t="str">
        <f>IFERROR(Calculations!AX39,"")</f>
        <v/>
      </c>
      <c r="AF41" s="8">
        <f>IFERROR(IF(Calculations!AY39 &lt;&gt; 0, Calculations!AY39, ""),"")</f>
        <v>17579.67474059391</v>
      </c>
      <c r="AG41" s="42">
        <f>IFERROR(IF(Calculations!AZ39 &lt;&gt; 0, Calculations!AZ39, ""),"")</f>
        <v>-5.3163592260329251</v>
      </c>
      <c r="AH41" s="1">
        <f t="shared" si="1"/>
        <v>15</v>
      </c>
      <c r="AI41" s="1">
        <f t="shared" si="2"/>
        <v>450</v>
      </c>
      <c r="AJ41" s="89"/>
      <c r="AK41" s="89"/>
      <c r="AL41" s="89"/>
      <c r="AM41" s="89"/>
      <c r="AN41" s="8" t="str">
        <f>IFERROR(Calculations!BJ39, "")</f>
        <v/>
      </c>
      <c r="AO41" s="8" t="str">
        <f>IFERROR(Calculations!BK39, "")</f>
        <v/>
      </c>
      <c r="AP41" s="8">
        <f>IFERROR(Calculations!BL39, "")</f>
        <v>16.123206795615857</v>
      </c>
      <c r="AQ41" s="8">
        <f>IFERROR(Calculations!BM39, "")</f>
        <v>31.328937793462622</v>
      </c>
      <c r="AR41" s="8" t="str">
        <f>IFERROR(Calculations!BN39, "")</f>
        <v/>
      </c>
      <c r="AS41" s="8" t="str">
        <f>IFERROR(Calculations!BO39, "")</f>
        <v/>
      </c>
      <c r="AT41" s="8" t="str">
        <f>IFERROR(Calculations!BP39, "")</f>
        <v/>
      </c>
      <c r="AU41" s="8" t="str">
        <f>IFERROR(Calculations!BQ39, "")</f>
        <v/>
      </c>
      <c r="AV41" s="8" t="str">
        <f>IFERROR(Calculations!BR39, "")</f>
        <v/>
      </c>
      <c r="AW41" s="89"/>
      <c r="AX41" s="89"/>
      <c r="AY41" s="89"/>
      <c r="AZ41" s="89"/>
      <c r="BA41" s="8" t="str">
        <f>IFERROR(Calculations!BW39, "")</f>
        <v/>
      </c>
      <c r="BB41" s="8" t="str">
        <f>IFERROR(Calculations!BX39, "")</f>
        <v/>
      </c>
      <c r="BC41" s="8" t="str">
        <f>IFERROR(Calculations!BY39, "")</f>
        <v/>
      </c>
      <c r="BD41" s="8">
        <f>IFERROR(Calculations!BZ39, "")</f>
        <v>0</v>
      </c>
      <c r="BE41" s="8">
        <f>IFERROR(Calculations!CA39, "")</f>
        <v>29.700753470579258</v>
      </c>
      <c r="BF41" s="8" t="str">
        <f>IFERROR(Calculations!CB39, "")</f>
        <v/>
      </c>
      <c r="BG41" s="8" t="str">
        <f>IFERROR(Calculations!CC39, "")</f>
        <v/>
      </c>
      <c r="BH41" s="8" t="str">
        <f>IFERROR(Calculations!CD39, "")</f>
        <v/>
      </c>
      <c r="BI41" s="8" t="str">
        <f>IFERROR(Calculations!CE39, "")</f>
        <v/>
      </c>
      <c r="BJ41" s="8">
        <f>IFERROR(IF(Calculations!CF39 &lt;&gt; 0, Calculations!CF39, ""),"")</f>
        <v>-17.751391118499221</v>
      </c>
      <c r="BK41" s="1">
        <f t="shared" si="3"/>
        <v>450</v>
      </c>
      <c r="BL41" s="1">
        <f t="shared" si="4"/>
        <v>15</v>
      </c>
      <c r="CC41" s="1" t="str">
        <f t="shared" si="5"/>
        <v/>
      </c>
      <c r="CD41" s="8" t="str">
        <f t="array" ref="CD41">IFERROR(INDEX(CHOOSE($BO$11,$AF$8:$AF$207,$AG$8:$AG$207,$BJ$8:$BJ$207), MATCH(CD$7&amp;$CC41, $B$8:$B$207&amp;$C$8:$C$207, 0)), "")</f>
        <v/>
      </c>
      <c r="CE41" s="8" t="str">
        <f t="array" ref="CE41">IFERROR(INDEX(CHOOSE($BO$11,$AF$8:$AF$207,$AG$8:$AG$207,$BJ$8:$BJ$207), MATCH(CE$7&amp;$CC41, $B$8:$B$207&amp;$C$8:$C$207, 0)), "")</f>
        <v/>
      </c>
      <c r="CF41" s="8" t="str">
        <f t="array" ref="CF41">IFERROR(INDEX(CHOOSE($BO$11,$AF$8:$AF$207,$AG$8:$AG$207,$BJ$8:$BJ$207), MATCH(CF$7&amp;$CC41, $B$8:$B$207&amp;$C$8:$C$207, 0)), "")</f>
        <v/>
      </c>
      <c r="CG41" s="8" t="str">
        <f t="array" ref="CG41">IFERROR(INDEX(CHOOSE($BO$11,$AF$8:$AF$207,$AG$8:$AG$207,$BJ$8:$BJ$207), MATCH(CG$7&amp;$CC41, $B$8:$B$207&amp;$C$8:$C$207, 0)), "")</f>
        <v/>
      </c>
      <c r="CH41" s="8" t="str">
        <f t="array" ref="CH41">IFERROR(INDEX(CHOOSE($BO$11,$AF$8:$AF$207,$AG$8:$AG$207,$BJ$8:$BJ$207), MATCH(CH$7&amp;$CC41, $B$8:$B$207&amp;$C$8:$C$207, 0)), "")</f>
        <v/>
      </c>
      <c r="CI41" s="8" t="str">
        <f t="array" ref="CI41">IFERROR(INDEX(CHOOSE($BO$11,$AF$8:$AF$207,$AG$8:$AG$207,$BJ$8:$BJ$207), MATCH(CI$7&amp;$CC41, $B$8:$B$207&amp;$C$8:$C$207, 0)), "")</f>
        <v/>
      </c>
      <c r="CJ41" s="8" t="str">
        <f t="array" ref="CJ41">IFERROR(INDEX(CHOOSE($BO$11,$AF$8:$AF$207,$AG$8:$AG$207,$BJ$8:$BJ$207), MATCH(CJ$7&amp;$CC41, $B$8:$B$207&amp;$C$8:$C$207, 0)), "")</f>
        <v/>
      </c>
      <c r="CK41" s="8" t="str">
        <f t="array" ref="CK41">IFERROR(INDEX(CHOOSE($BO$11,$AF$8:$AF$207,$AG$8:$AG$207,$BJ$8:$BJ$207), MATCH(CK$7&amp;$CC41, $B$8:$B$207&amp;$C$8:$C$207, 0)), "")</f>
        <v/>
      </c>
      <c r="CL41" s="8" t="str">
        <f t="array" ref="CL41">IFERROR(INDEX(CHOOSE($BO$11,$AF$8:$AF$207,$AG$8:$AG$207,$BJ$8:$BJ$207), MATCH(CL$7&amp;$CC41, $B$8:$B$207&amp;$C$8:$C$207, 0)), "")</f>
        <v/>
      </c>
      <c r="CM41" s="8" t="str">
        <f t="array" ref="CM41">IFERROR(INDEX(CHOOSE($BO$11,$AF$8:$AF$207,$AG$8:$AG$207,$BJ$8:$BJ$207), MATCH(CM$7&amp;$CC41, $B$8:$B$207&amp;$C$8:$C$207, 0)), "")</f>
        <v/>
      </c>
      <c r="CN41" s="8" t="str">
        <f t="array" ref="CN41">IFERROR(INDEX(CHOOSE($BO$11,$AF$8:$AF$207,$AG$8:$AG$207,$BJ$8:$BJ$207), MATCH(CN$7&amp;$CC41, $B$8:$B$207&amp;$C$8:$C$207, 0)), "")</f>
        <v/>
      </c>
      <c r="CO41" s="8" t="str">
        <f t="array" ref="CO41">IFERROR(INDEX(CHOOSE($BO$11,$AF$8:$AF$207,$AG$8:$AG$207,$BJ$8:$BJ$207), MATCH(CO$7&amp;$CC41, $B$8:$B$207&amp;$C$8:$C$207, 0)), "")</f>
        <v/>
      </c>
      <c r="CP41" s="8" t="str">
        <f t="array" ref="CP41">IFERROR(INDEX(CHOOSE($BO$11,$AF$8:$AF$207,$AG$8:$AG$207,$BJ$8:$BJ$207), MATCH(CP$7&amp;$CC41, $B$8:$B$207&amp;$C$8:$C$207, 0)), "")</f>
        <v/>
      </c>
      <c r="CQ41" s="8" t="str">
        <f t="array" ref="CQ41">IFERROR(INDEX(CHOOSE($BO$11,$AF$8:$AF$207,$AG$8:$AG$207,$BJ$8:$BJ$207), MATCH(CQ$7&amp;$CC41, $B$8:$B$207&amp;$C$8:$C$207, 0)), "")</f>
        <v/>
      </c>
      <c r="CR41" s="8" t="str">
        <f t="array" ref="CR41">IFERROR(INDEX(CHOOSE($BO$11,$AF$8:$AF$207,$AG$8:$AG$207,$BJ$8:$BJ$207), MATCH(CR$7&amp;$CC41, $B$8:$B$207&amp;$C$8:$C$207, 0)), "")</f>
        <v/>
      </c>
      <c r="CS41" s="8" t="str">
        <f t="array" ref="CS41">IFERROR(INDEX(CHOOSE($BO$11,$AF$8:$AF$207,$AG$8:$AG$207,$BJ$8:$BJ$207), MATCH(CS$7&amp;$CC41, $B$8:$B$207&amp;$C$8:$C$207, 0)), "")</f>
        <v/>
      </c>
      <c r="CT41" s="8" t="str">
        <f t="array" ref="CT41">IFERROR(INDEX(CHOOSE($BO$11,$AF$8:$AF$207,$AG$8:$AG$207,$BJ$8:$BJ$207), MATCH(CT$7&amp;$CC41, $B$8:$B$207&amp;$C$8:$C$207, 0)), "")</f>
        <v/>
      </c>
      <c r="CU41" s="8" t="str">
        <f t="array" ref="CU41">IFERROR(INDEX(CHOOSE($BO$11,$AF$8:$AF$207,$AG$8:$AG$207,$BJ$8:$BJ$207), MATCH(CU$7&amp;$CC41, $B$8:$B$207&amp;$C$8:$C$207, 0)), "")</f>
        <v/>
      </c>
      <c r="CV41" s="8" t="str">
        <f t="array" ref="CV41">IFERROR(INDEX(CHOOSE($BO$11,$AF$8:$AF$207,$AG$8:$AG$207,$BJ$8:$BJ$207), MATCH(CV$7&amp;$CC41, $B$8:$B$207&amp;$C$8:$C$207, 0)), "")</f>
        <v/>
      </c>
      <c r="CW41" s="8" t="str">
        <f t="array" ref="CW41">IFERROR(INDEX(CHOOSE($BO$11,$AF$8:$AF$207,$AG$8:$AG$207,$BJ$8:$BJ$207), MATCH(CW$7&amp;$CC41, $B$8:$B$207&amp;$C$8:$C$207, 0)), "")</f>
        <v/>
      </c>
      <c r="CX41" s="8" t="str">
        <f t="array" ref="CX41">IFERROR(INDEX(CHOOSE($BO$11,$AF$8:$AF$207,$AG$8:$AG$207,$BJ$8:$BJ$207), MATCH(CX$7&amp;$CC41, $B$8:$B$207&amp;$C$8:$C$207, 0)), "")</f>
        <v/>
      </c>
      <c r="CY41" s="8" t="str">
        <f t="array" ref="CY41">IFERROR(INDEX(CHOOSE($BO$11,$AF$8:$AF$207,$AG$8:$AG$207,$BJ$8:$BJ$207), MATCH(CY$7&amp;$CC41, $B$8:$B$207&amp;$C$8:$C$207, 0)), "")</f>
        <v/>
      </c>
      <c r="CZ41" s="8" t="str">
        <f t="array" ref="CZ41">IFERROR(INDEX(CHOOSE($BO$11,$AF$8:$AF$207,$AG$8:$AG$207,$BJ$8:$BJ$207), MATCH(CZ$7&amp;$CC41, $B$8:$B$207&amp;$C$8:$C$207, 0)), "")</f>
        <v/>
      </c>
      <c r="DA41" s="8" t="str">
        <f t="array" ref="DA41">IFERROR(INDEX(CHOOSE($BO$11,$AF$8:$AF$207,$AG$8:$AG$207,$BJ$8:$BJ$207), MATCH(DA$7&amp;$CC41, $B$8:$B$207&amp;$C$8:$C$207, 0)), "")</f>
        <v/>
      </c>
      <c r="DB41" s="8" t="str">
        <f t="array" ref="DB41">IFERROR(INDEX(CHOOSE($BO$11,$AF$8:$AF$207,$AG$8:$AG$207,$BJ$8:$BJ$207), MATCH(DB$7&amp;$CC41, $B$8:$B$207&amp;$C$8:$C$207, 0)), "")</f>
        <v/>
      </c>
      <c r="DC41" s="8" t="str">
        <f t="array" ref="DC41">IFERROR(INDEX(CHOOSE($BO$11,$AF$8:$AF$207,$AG$8:$AG$207,$BJ$8:$BJ$207), MATCH(DC$7&amp;$CC41, $B$8:$B$207&amp;$C$8:$C$207, 0)), "")</f>
        <v/>
      </c>
      <c r="DD41" s="8" t="str">
        <f t="array" ref="DD41">IFERROR(INDEX(CHOOSE($BO$11,$AF$8:$AF$207,$AG$8:$AG$207,$BJ$8:$BJ$207), MATCH(DD$7&amp;$CC41, $B$8:$B$207&amp;$C$8:$C$207, 0)), "")</f>
        <v/>
      </c>
      <c r="DE41" s="8" t="str">
        <f t="array" ref="DE41">IFERROR(INDEX(CHOOSE($BO$11,$AF$8:$AF$207,$AG$8:$AG$207,$BJ$8:$BJ$207), MATCH(DE$7&amp;$CC41, $B$8:$B$207&amp;$C$8:$C$207, 0)), "")</f>
        <v/>
      </c>
      <c r="DF41" s="8" t="str">
        <f t="array" ref="DF41">IFERROR(INDEX(CHOOSE($BO$11,$AF$8:$AF$207,$AG$8:$AG$207,$BJ$8:$BJ$207), MATCH(DF$7&amp;$CC41, $B$8:$B$207&amp;$C$8:$C$207, 0)), "")</f>
        <v/>
      </c>
      <c r="DG41" s="8" t="str">
        <f t="array" ref="DG41">IFERROR(INDEX(CHOOSE($BO$11,$AF$8:$AF$207,$AG$8:$AG$207,$BJ$8:$BJ$207), MATCH(DG$7&amp;$CC41, $B$8:$B$207&amp;$C$8:$C$207, 0)), "")</f>
        <v/>
      </c>
      <c r="DH41" s="8"/>
      <c r="DI41" s="8"/>
      <c r="DJ41" s="8"/>
      <c r="DK41" s="8"/>
      <c r="DL41" s="8"/>
      <c r="DM41" s="8"/>
      <c r="DN41" s="8"/>
      <c r="DO41" s="8"/>
      <c r="DP41" s="8"/>
      <c r="DQ41" s="8"/>
      <c r="DR41" s="8"/>
      <c r="DS41" s="8"/>
      <c r="DT41" s="8"/>
      <c r="DU41" s="8"/>
      <c r="DV41" s="8"/>
      <c r="DW41" s="8"/>
      <c r="DX41" s="8"/>
      <c r="DY41" s="8"/>
      <c r="DZ41" s="8"/>
      <c r="EA41" s="8"/>
    </row>
    <row r="42" spans="2:131" x14ac:dyDescent="0.2">
      <c r="B42" s="1">
        <f>IFERROR(Calculations!M40/1000, "")</f>
        <v>15</v>
      </c>
      <c r="C42" s="1">
        <f>Calculations!N40</f>
        <v>500</v>
      </c>
      <c r="D42" s="58">
        <f>IFERROR(Calculations!$Q40,"")</f>
        <v>1.0970922796678544</v>
      </c>
      <c r="E42" s="8">
        <f>IFERROR(Calculations!$S40, "")</f>
        <v>27.367941239925617</v>
      </c>
      <c r="F42" s="89"/>
      <c r="G42" s="89"/>
      <c r="H42" s="89"/>
      <c r="I42" s="89"/>
      <c r="J42" s="1" t="str">
        <f>IFERROR(Calculations!AC40, "")</f>
        <v/>
      </c>
      <c r="K42" s="1" t="str">
        <f>IFERROR(Calculations!AD40, "")</f>
        <v/>
      </c>
      <c r="L42" s="8">
        <f>IFERROR(Calculations!AE40,"")</f>
        <v>-62163.831704785494</v>
      </c>
      <c r="M42" s="8">
        <f>IFERROR(Calculations!AF40,"")</f>
        <v>-100366.34100640289</v>
      </c>
      <c r="N42" s="8" t="str">
        <f>IFERROR(Calculations!AG40,"")</f>
        <v/>
      </c>
      <c r="O42" s="8" t="str">
        <f>IFERROR(Calculations!AH40,"")</f>
        <v/>
      </c>
      <c r="P42" s="8" t="str">
        <f>IFERROR(Calculations!AI40,"")</f>
        <v/>
      </c>
      <c r="Q42" s="8" t="str">
        <f>IFERROR(Calculations!AJ40,"")</f>
        <v/>
      </c>
      <c r="R42" s="8" t="str">
        <f>IFERROR(Calculations!AK40,"")</f>
        <v/>
      </c>
      <c r="S42" s="89"/>
      <c r="T42" s="89"/>
      <c r="U42" s="89"/>
      <c r="V42" s="89"/>
      <c r="W42" s="1" t="str">
        <f>IFERROR(Calculations!AP40, "")</f>
        <v/>
      </c>
      <c r="X42" s="1" t="str">
        <f>IFERROR(Calculations!AQ40, "")</f>
        <v/>
      </c>
      <c r="Y42" s="8" t="str">
        <f>IFERROR(Calculations!AR40,"")</f>
        <v/>
      </c>
      <c r="Z42" s="8">
        <f>IFERROR(Calculations!AS40,"")</f>
        <v>0</v>
      </c>
      <c r="AA42" s="8">
        <f>IFERROR(Calculations!AT40,"")</f>
        <v>-142738.91333160206</v>
      </c>
      <c r="AB42" s="8" t="str">
        <f>IFERROR(Calculations!AU40,"")</f>
        <v/>
      </c>
      <c r="AC42" s="8" t="str">
        <f>IFERROR(Calculations!AV40,"")</f>
        <v/>
      </c>
      <c r="AD42" s="8" t="str">
        <f>IFERROR(Calculations!AW40,"")</f>
        <v/>
      </c>
      <c r="AE42" s="8" t="str">
        <f>IFERROR(Calculations!AX40,"")</f>
        <v/>
      </c>
      <c r="AF42" s="8">
        <f>IFERROR(IF(Calculations!AY40 &lt;&gt; 0, Calculations!AY40, ""),"")</f>
        <v>19791.259379586321</v>
      </c>
      <c r="AG42" s="42">
        <f>IFERROR(IF(Calculations!AZ40 &lt;&gt; 0, Calculations!AZ40, ""),"")</f>
        <v>-5.5981114960140355</v>
      </c>
      <c r="AH42" s="1">
        <f t="shared" si="1"/>
        <v>15</v>
      </c>
      <c r="AI42" s="1">
        <f t="shared" si="2"/>
        <v>500</v>
      </c>
      <c r="AJ42" s="89"/>
      <c r="AK42" s="89"/>
      <c r="AL42" s="89"/>
      <c r="AM42" s="89"/>
      <c r="AN42" s="8" t="str">
        <f>IFERROR(Calculations!BJ40, "")</f>
        <v/>
      </c>
      <c r="AO42" s="8" t="str">
        <f>IFERROR(Calculations!BK40, "")</f>
        <v/>
      </c>
      <c r="AP42" s="8">
        <f>IFERROR(Calculations!BL40, "")</f>
        <v>16.420934076260334</v>
      </c>
      <c r="AQ42" s="8">
        <f>IFERROR(Calculations!BM40, "")</f>
        <v>31.533971060670055</v>
      </c>
      <c r="AR42" s="8" t="str">
        <f>IFERROR(Calculations!BN40, "")</f>
        <v/>
      </c>
      <c r="AS42" s="8" t="str">
        <f>IFERROR(Calculations!BO40, "")</f>
        <v/>
      </c>
      <c r="AT42" s="8" t="str">
        <f>IFERROR(Calculations!BP40, "")</f>
        <v/>
      </c>
      <c r="AU42" s="8" t="str">
        <f>IFERROR(Calculations!BQ40, "")</f>
        <v/>
      </c>
      <c r="AV42" s="8" t="str">
        <f>IFERROR(Calculations!BR40, "")</f>
        <v/>
      </c>
      <c r="AW42" s="89"/>
      <c r="AX42" s="89"/>
      <c r="AY42" s="89"/>
      <c r="AZ42" s="89"/>
      <c r="BA42" s="8" t="str">
        <f>IFERROR(Calculations!BW40, "")</f>
        <v/>
      </c>
      <c r="BB42" s="8" t="str">
        <f>IFERROR(Calculations!BX40, "")</f>
        <v/>
      </c>
      <c r="BC42" s="8" t="str">
        <f>IFERROR(Calculations!BY40, "")</f>
        <v/>
      </c>
      <c r="BD42" s="8">
        <f>IFERROR(Calculations!BZ40, "")</f>
        <v>0</v>
      </c>
      <c r="BE42" s="8">
        <f>IFERROR(Calculations!CA40, "")</f>
        <v>29.366930630526067</v>
      </c>
      <c r="BF42" s="8" t="str">
        <f>IFERROR(Calculations!CB40, "")</f>
        <v/>
      </c>
      <c r="BG42" s="8" t="str">
        <f>IFERROR(Calculations!CC40, "")</f>
        <v/>
      </c>
      <c r="BH42" s="8" t="str">
        <f>IFERROR(Calculations!CD40, "")</f>
        <v/>
      </c>
      <c r="BI42" s="8" t="str">
        <f>IFERROR(Calculations!CE40, "")</f>
        <v/>
      </c>
      <c r="BJ42" s="8">
        <f>IFERROR(IF(Calculations!CF40 &lt;&gt; 0, Calculations!CF40, ""),"")</f>
        <v>-18.587974506404326</v>
      </c>
      <c r="BK42" s="1">
        <f t="shared" si="3"/>
        <v>500</v>
      </c>
      <c r="BL42" s="1">
        <f t="shared" si="4"/>
        <v>15</v>
      </c>
      <c r="CC42" s="1" t="str">
        <f t="shared" si="5"/>
        <v/>
      </c>
      <c r="CD42" s="8" t="str">
        <f t="array" ref="CD42">IFERROR(INDEX(CHOOSE($BO$11,$AF$8:$AF$207,$AG$8:$AG$207,$BJ$8:$BJ$207), MATCH(CD$7&amp;$CC42, $B$8:$B$207&amp;$C$8:$C$207, 0)), "")</f>
        <v/>
      </c>
      <c r="CE42" s="8" t="str">
        <f t="array" ref="CE42">IFERROR(INDEX(CHOOSE($BO$11,$AF$8:$AF$207,$AG$8:$AG$207,$BJ$8:$BJ$207), MATCH(CE$7&amp;$CC42, $B$8:$B$207&amp;$C$8:$C$207, 0)), "")</f>
        <v/>
      </c>
      <c r="CF42" s="8" t="str">
        <f t="array" ref="CF42">IFERROR(INDEX(CHOOSE($BO$11,$AF$8:$AF$207,$AG$8:$AG$207,$BJ$8:$BJ$207), MATCH(CF$7&amp;$CC42, $B$8:$B$207&amp;$C$8:$C$207, 0)), "")</f>
        <v/>
      </c>
      <c r="CG42" s="8" t="str">
        <f t="array" ref="CG42">IFERROR(INDEX(CHOOSE($BO$11,$AF$8:$AF$207,$AG$8:$AG$207,$BJ$8:$BJ$207), MATCH(CG$7&amp;$CC42, $B$8:$B$207&amp;$C$8:$C$207, 0)), "")</f>
        <v/>
      </c>
      <c r="CH42" s="8" t="str">
        <f t="array" ref="CH42">IFERROR(INDEX(CHOOSE($BO$11,$AF$8:$AF$207,$AG$8:$AG$207,$BJ$8:$BJ$207), MATCH(CH$7&amp;$CC42, $B$8:$B$207&amp;$C$8:$C$207, 0)), "")</f>
        <v/>
      </c>
      <c r="CI42" s="8" t="str">
        <f t="array" ref="CI42">IFERROR(INDEX(CHOOSE($BO$11,$AF$8:$AF$207,$AG$8:$AG$207,$BJ$8:$BJ$207), MATCH(CI$7&amp;$CC42, $B$8:$B$207&amp;$C$8:$C$207, 0)), "")</f>
        <v/>
      </c>
      <c r="CJ42" s="8" t="str">
        <f t="array" ref="CJ42">IFERROR(INDEX(CHOOSE($BO$11,$AF$8:$AF$207,$AG$8:$AG$207,$BJ$8:$BJ$207), MATCH(CJ$7&amp;$CC42, $B$8:$B$207&amp;$C$8:$C$207, 0)), "")</f>
        <v/>
      </c>
      <c r="CK42" s="8" t="str">
        <f t="array" ref="CK42">IFERROR(INDEX(CHOOSE($BO$11,$AF$8:$AF$207,$AG$8:$AG$207,$BJ$8:$BJ$207), MATCH(CK$7&amp;$CC42, $B$8:$B$207&amp;$C$8:$C$207, 0)), "")</f>
        <v/>
      </c>
      <c r="CL42" s="8" t="str">
        <f t="array" ref="CL42">IFERROR(INDEX(CHOOSE($BO$11,$AF$8:$AF$207,$AG$8:$AG$207,$BJ$8:$BJ$207), MATCH(CL$7&amp;$CC42, $B$8:$B$207&amp;$C$8:$C$207, 0)), "")</f>
        <v/>
      </c>
      <c r="CM42" s="8" t="str">
        <f t="array" ref="CM42">IFERROR(INDEX(CHOOSE($BO$11,$AF$8:$AF$207,$AG$8:$AG$207,$BJ$8:$BJ$207), MATCH(CM$7&amp;$CC42, $B$8:$B$207&amp;$C$8:$C$207, 0)), "")</f>
        <v/>
      </c>
      <c r="CN42" s="8" t="str">
        <f t="array" ref="CN42">IFERROR(INDEX(CHOOSE($BO$11,$AF$8:$AF$207,$AG$8:$AG$207,$BJ$8:$BJ$207), MATCH(CN$7&amp;$CC42, $B$8:$B$207&amp;$C$8:$C$207, 0)), "")</f>
        <v/>
      </c>
      <c r="CO42" s="8" t="str">
        <f t="array" ref="CO42">IFERROR(INDEX(CHOOSE($BO$11,$AF$8:$AF$207,$AG$8:$AG$207,$BJ$8:$BJ$207), MATCH(CO$7&amp;$CC42, $B$8:$B$207&amp;$C$8:$C$207, 0)), "")</f>
        <v/>
      </c>
      <c r="CP42" s="8" t="str">
        <f t="array" ref="CP42">IFERROR(INDEX(CHOOSE($BO$11,$AF$8:$AF$207,$AG$8:$AG$207,$BJ$8:$BJ$207), MATCH(CP$7&amp;$CC42, $B$8:$B$207&amp;$C$8:$C$207, 0)), "")</f>
        <v/>
      </c>
      <c r="CQ42" s="8" t="str">
        <f t="array" ref="CQ42">IFERROR(INDEX(CHOOSE($BO$11,$AF$8:$AF$207,$AG$8:$AG$207,$BJ$8:$BJ$207), MATCH(CQ$7&amp;$CC42, $B$8:$B$207&amp;$C$8:$C$207, 0)), "")</f>
        <v/>
      </c>
      <c r="CR42" s="8" t="str">
        <f t="array" ref="CR42">IFERROR(INDEX(CHOOSE($BO$11,$AF$8:$AF$207,$AG$8:$AG$207,$BJ$8:$BJ$207), MATCH(CR$7&amp;$CC42, $B$8:$B$207&amp;$C$8:$C$207, 0)), "")</f>
        <v/>
      </c>
      <c r="CS42" s="8" t="str">
        <f t="array" ref="CS42">IFERROR(INDEX(CHOOSE($BO$11,$AF$8:$AF$207,$AG$8:$AG$207,$BJ$8:$BJ$207), MATCH(CS$7&amp;$CC42, $B$8:$B$207&amp;$C$8:$C$207, 0)), "")</f>
        <v/>
      </c>
      <c r="CT42" s="8" t="str">
        <f t="array" ref="CT42">IFERROR(INDEX(CHOOSE($BO$11,$AF$8:$AF$207,$AG$8:$AG$207,$BJ$8:$BJ$207), MATCH(CT$7&amp;$CC42, $B$8:$B$207&amp;$C$8:$C$207, 0)), "")</f>
        <v/>
      </c>
      <c r="CU42" s="8" t="str">
        <f t="array" ref="CU42">IFERROR(INDEX(CHOOSE($BO$11,$AF$8:$AF$207,$AG$8:$AG$207,$BJ$8:$BJ$207), MATCH(CU$7&amp;$CC42, $B$8:$B$207&amp;$C$8:$C$207, 0)), "")</f>
        <v/>
      </c>
      <c r="CV42" s="8" t="str">
        <f t="array" ref="CV42">IFERROR(INDEX(CHOOSE($BO$11,$AF$8:$AF$207,$AG$8:$AG$207,$BJ$8:$BJ$207), MATCH(CV$7&amp;$CC42, $B$8:$B$207&amp;$C$8:$C$207, 0)), "")</f>
        <v/>
      </c>
      <c r="CW42" s="8" t="str">
        <f t="array" ref="CW42">IFERROR(INDEX(CHOOSE($BO$11,$AF$8:$AF$207,$AG$8:$AG$207,$BJ$8:$BJ$207), MATCH(CW$7&amp;$CC42, $B$8:$B$207&amp;$C$8:$C$207, 0)), "")</f>
        <v/>
      </c>
      <c r="CX42" s="8" t="str">
        <f t="array" ref="CX42">IFERROR(INDEX(CHOOSE($BO$11,$AF$8:$AF$207,$AG$8:$AG$207,$BJ$8:$BJ$207), MATCH(CX$7&amp;$CC42, $B$8:$B$207&amp;$C$8:$C$207, 0)), "")</f>
        <v/>
      </c>
      <c r="CY42" s="8" t="str">
        <f t="array" ref="CY42">IFERROR(INDEX(CHOOSE($BO$11,$AF$8:$AF$207,$AG$8:$AG$207,$BJ$8:$BJ$207), MATCH(CY$7&amp;$CC42, $B$8:$B$207&amp;$C$8:$C$207, 0)), "")</f>
        <v/>
      </c>
      <c r="CZ42" s="8" t="str">
        <f t="array" ref="CZ42">IFERROR(INDEX(CHOOSE($BO$11,$AF$8:$AF$207,$AG$8:$AG$207,$BJ$8:$BJ$207), MATCH(CZ$7&amp;$CC42, $B$8:$B$207&amp;$C$8:$C$207, 0)), "")</f>
        <v/>
      </c>
      <c r="DA42" s="8" t="str">
        <f t="array" ref="DA42">IFERROR(INDEX(CHOOSE($BO$11,$AF$8:$AF$207,$AG$8:$AG$207,$BJ$8:$BJ$207), MATCH(DA$7&amp;$CC42, $B$8:$B$207&amp;$C$8:$C$207, 0)), "")</f>
        <v/>
      </c>
      <c r="DB42" s="8" t="str">
        <f t="array" ref="DB42">IFERROR(INDEX(CHOOSE($BO$11,$AF$8:$AF$207,$AG$8:$AG$207,$BJ$8:$BJ$207), MATCH(DB$7&amp;$CC42, $B$8:$B$207&amp;$C$8:$C$207, 0)), "")</f>
        <v/>
      </c>
      <c r="DC42" s="8" t="str">
        <f t="array" ref="DC42">IFERROR(INDEX(CHOOSE($BO$11,$AF$8:$AF$207,$AG$8:$AG$207,$BJ$8:$BJ$207), MATCH(DC$7&amp;$CC42, $B$8:$B$207&amp;$C$8:$C$207, 0)), "")</f>
        <v/>
      </c>
      <c r="DD42" s="8" t="str">
        <f t="array" ref="DD42">IFERROR(INDEX(CHOOSE($BO$11,$AF$8:$AF$207,$AG$8:$AG$207,$BJ$8:$BJ$207), MATCH(DD$7&amp;$CC42, $B$8:$B$207&amp;$C$8:$C$207, 0)), "")</f>
        <v/>
      </c>
      <c r="DE42" s="8" t="str">
        <f t="array" ref="DE42">IFERROR(INDEX(CHOOSE($BO$11,$AF$8:$AF$207,$AG$8:$AG$207,$BJ$8:$BJ$207), MATCH(DE$7&amp;$CC42, $B$8:$B$207&amp;$C$8:$C$207, 0)), "")</f>
        <v/>
      </c>
      <c r="DF42" s="8" t="str">
        <f t="array" ref="DF42">IFERROR(INDEX(CHOOSE($BO$11,$AF$8:$AF$207,$AG$8:$AG$207,$BJ$8:$BJ$207), MATCH(DF$7&amp;$CC42, $B$8:$B$207&amp;$C$8:$C$207, 0)), "")</f>
        <v/>
      </c>
      <c r="DG42" s="8" t="str">
        <f t="array" ref="DG42">IFERROR(INDEX(CHOOSE($BO$11,$AF$8:$AF$207,$AG$8:$AG$207,$BJ$8:$BJ$207), MATCH(DG$7&amp;$CC42, $B$8:$B$207&amp;$C$8:$C$207, 0)), "")</f>
        <v/>
      </c>
      <c r="DH42" s="8"/>
      <c r="DI42" s="8"/>
      <c r="DJ42" s="8"/>
      <c r="DK42" s="8"/>
      <c r="DL42" s="8"/>
      <c r="DM42" s="8"/>
      <c r="DN42" s="8"/>
      <c r="DO42" s="8"/>
      <c r="DP42" s="8"/>
      <c r="DQ42" s="8"/>
      <c r="DR42" s="8"/>
      <c r="DS42" s="8"/>
      <c r="DT42" s="8"/>
      <c r="DU42" s="8"/>
      <c r="DV42" s="8"/>
      <c r="DW42" s="8"/>
      <c r="DX42" s="8"/>
      <c r="DY42" s="8"/>
      <c r="DZ42" s="8"/>
      <c r="EA42" s="8"/>
    </row>
    <row r="43" spans="2:131" x14ac:dyDescent="0.2">
      <c r="B43" s="1">
        <f>IFERROR(Calculations!M41/1000, "")</f>
        <v>15</v>
      </c>
      <c r="C43" s="1">
        <f>Calculations!N41</f>
        <v>550</v>
      </c>
      <c r="D43" s="58">
        <f>IFERROR(Calculations!$Q41,"")</f>
        <v>1.0770902329826355</v>
      </c>
      <c r="E43" s="8">
        <f>IFERROR(Calculations!$S41, "")</f>
        <v>24.597047801860942</v>
      </c>
      <c r="F43" s="89"/>
      <c r="G43" s="89"/>
      <c r="H43" s="89"/>
      <c r="I43" s="89"/>
      <c r="J43" s="1" t="str">
        <f>IFERROR(Calculations!AC41, "")</f>
        <v/>
      </c>
      <c r="K43" s="1" t="str">
        <f>IFERROR(Calculations!AD41, "")</f>
        <v/>
      </c>
      <c r="L43" s="8">
        <f>IFERROR(Calculations!AE41,"")</f>
        <v>-63642.556633726868</v>
      </c>
      <c r="M43" s="8">
        <f>IFERROR(Calculations!AF41,"")</f>
        <v>-102686.98820595445</v>
      </c>
      <c r="N43" s="8" t="str">
        <f>IFERROR(Calculations!AG41,"")</f>
        <v/>
      </c>
      <c r="O43" s="8" t="str">
        <f>IFERROR(Calculations!AH41,"")</f>
        <v/>
      </c>
      <c r="P43" s="8" t="str">
        <f>IFERROR(Calculations!AI41,"")</f>
        <v/>
      </c>
      <c r="Q43" s="8" t="str">
        <f>IFERROR(Calculations!AJ41,"")</f>
        <v/>
      </c>
      <c r="R43" s="8" t="str">
        <f>IFERROR(Calculations!AK41,"")</f>
        <v/>
      </c>
      <c r="S43" s="89"/>
      <c r="T43" s="89"/>
      <c r="U43" s="89"/>
      <c r="V43" s="89"/>
      <c r="W43" s="1" t="str">
        <f>IFERROR(Calculations!AP41, "")</f>
        <v/>
      </c>
      <c r="X43" s="1" t="str">
        <f>IFERROR(Calculations!AQ41, "")</f>
        <v/>
      </c>
      <c r="Y43" s="8" t="str">
        <f>IFERROR(Calculations!AR41,"")</f>
        <v/>
      </c>
      <c r="Z43" s="8">
        <f>IFERROR(Calculations!AS41,"")</f>
        <v>0</v>
      </c>
      <c r="AA43" s="8">
        <f>IFERROR(Calculations!AT41,"")</f>
        <v>-144231.46067580298</v>
      </c>
      <c r="AB43" s="8" t="str">
        <f>IFERROR(Calculations!AU41,"")</f>
        <v/>
      </c>
      <c r="AC43" s="8" t="str">
        <f>IFERROR(Calculations!AV41,"")</f>
        <v/>
      </c>
      <c r="AD43" s="8" t="str">
        <f>IFERROR(Calculations!AW41,"")</f>
        <v/>
      </c>
      <c r="AE43" s="8" t="str">
        <f>IFERROR(Calculations!AX41,"")</f>
        <v/>
      </c>
      <c r="AF43" s="8">
        <f>IFERROR(IF(Calculations!AY41 &lt;&gt; 0, Calculations!AY41, ""),"")</f>
        <v>22098.084163878317</v>
      </c>
      <c r="AG43" s="42">
        <f>IFERROR(IF(Calculations!AZ41 &lt;&gt; 0, Calculations!AZ41, ""),"")</f>
        <v>-5.8709382746584389</v>
      </c>
      <c r="AH43" s="1">
        <f t="shared" si="1"/>
        <v>15</v>
      </c>
      <c r="AI43" s="1">
        <f t="shared" si="2"/>
        <v>550</v>
      </c>
      <c r="AJ43" s="89"/>
      <c r="AK43" s="89"/>
      <c r="AL43" s="89"/>
      <c r="AM43" s="89"/>
      <c r="AN43" s="8" t="str">
        <f>IFERROR(Calculations!BJ41, "")</f>
        <v/>
      </c>
      <c r="AO43" s="8" t="str">
        <f>IFERROR(Calculations!BK41, "")</f>
        <v/>
      </c>
      <c r="AP43" s="8">
        <f>IFERROR(Calculations!BL41, "")</f>
        <v>16.725878156106571</v>
      </c>
      <c r="AQ43" s="8">
        <f>IFERROR(Calculations!BM41, "")</f>
        <v>31.758326921791166</v>
      </c>
      <c r="AR43" s="8" t="str">
        <f>IFERROR(Calculations!BN41, "")</f>
        <v/>
      </c>
      <c r="AS43" s="8" t="str">
        <f>IFERROR(Calculations!BO41, "")</f>
        <v/>
      </c>
      <c r="AT43" s="8" t="str">
        <f>IFERROR(Calculations!BP41, "")</f>
        <v/>
      </c>
      <c r="AU43" s="8" t="str">
        <f>IFERROR(Calculations!BQ41, "")</f>
        <v/>
      </c>
      <c r="AV43" s="8" t="str">
        <f>IFERROR(Calculations!BR41, "")</f>
        <v/>
      </c>
      <c r="AW43" s="89"/>
      <c r="AX43" s="89"/>
      <c r="AY43" s="89"/>
      <c r="AZ43" s="89"/>
      <c r="BA43" s="8" t="str">
        <f>IFERROR(Calculations!BW41, "")</f>
        <v/>
      </c>
      <c r="BB43" s="8" t="str">
        <f>IFERROR(Calculations!BX41, "")</f>
        <v/>
      </c>
      <c r="BC43" s="8" t="str">
        <f>IFERROR(Calculations!BY41, "")</f>
        <v/>
      </c>
      <c r="BD43" s="8">
        <f>IFERROR(Calculations!BZ41, "")</f>
        <v>0</v>
      </c>
      <c r="BE43" s="8">
        <f>IFERROR(Calculations!CA41, "")</f>
        <v>29.003611429824044</v>
      </c>
      <c r="BF43" s="8" t="str">
        <f>IFERROR(Calculations!CB41, "")</f>
        <v/>
      </c>
      <c r="BG43" s="8" t="str">
        <f>IFERROR(Calculations!CC41, "")</f>
        <v/>
      </c>
      <c r="BH43" s="8" t="str">
        <f>IFERROR(Calculations!CD41, "")</f>
        <v/>
      </c>
      <c r="BI43" s="8" t="str">
        <f>IFERROR(Calculations!CE41, "")</f>
        <v/>
      </c>
      <c r="BJ43" s="8">
        <f>IFERROR(IF(Calculations!CF41 &lt;&gt; 0, Calculations!CF41, ""),"")</f>
        <v>-19.480593648073697</v>
      </c>
      <c r="BK43" s="1">
        <f t="shared" si="3"/>
        <v>550</v>
      </c>
      <c r="BL43" s="1">
        <f t="shared" si="4"/>
        <v>15</v>
      </c>
      <c r="CC43" s="1" t="str">
        <f t="shared" si="5"/>
        <v/>
      </c>
      <c r="CD43" s="8" t="str">
        <f t="array" ref="CD43">IFERROR(INDEX(CHOOSE($BO$11,$AF$8:$AF$207,$AG$8:$AG$207,$BJ$8:$BJ$207), MATCH(CD$7&amp;$CC43, $B$8:$B$207&amp;$C$8:$C$207, 0)), "")</f>
        <v/>
      </c>
      <c r="CE43" s="8" t="str">
        <f t="array" ref="CE43">IFERROR(INDEX(CHOOSE($BO$11,$AF$8:$AF$207,$AG$8:$AG$207,$BJ$8:$BJ$207), MATCH(CE$7&amp;$CC43, $B$8:$B$207&amp;$C$8:$C$207, 0)), "")</f>
        <v/>
      </c>
      <c r="CF43" s="8" t="str">
        <f t="array" ref="CF43">IFERROR(INDEX(CHOOSE($BO$11,$AF$8:$AF$207,$AG$8:$AG$207,$BJ$8:$BJ$207), MATCH(CF$7&amp;$CC43, $B$8:$B$207&amp;$C$8:$C$207, 0)), "")</f>
        <v/>
      </c>
      <c r="CG43" s="8" t="str">
        <f t="array" ref="CG43">IFERROR(INDEX(CHOOSE($BO$11,$AF$8:$AF$207,$AG$8:$AG$207,$BJ$8:$BJ$207), MATCH(CG$7&amp;$CC43, $B$8:$B$207&amp;$C$8:$C$207, 0)), "")</f>
        <v/>
      </c>
      <c r="CH43" s="8" t="str">
        <f t="array" ref="CH43">IFERROR(INDEX(CHOOSE($BO$11,$AF$8:$AF$207,$AG$8:$AG$207,$BJ$8:$BJ$207), MATCH(CH$7&amp;$CC43, $B$8:$B$207&amp;$C$8:$C$207, 0)), "")</f>
        <v/>
      </c>
      <c r="CI43" s="8" t="str">
        <f t="array" ref="CI43">IFERROR(INDEX(CHOOSE($BO$11,$AF$8:$AF$207,$AG$8:$AG$207,$BJ$8:$BJ$207), MATCH(CI$7&amp;$CC43, $B$8:$B$207&amp;$C$8:$C$207, 0)), "")</f>
        <v/>
      </c>
      <c r="CJ43" s="8" t="str">
        <f t="array" ref="CJ43">IFERROR(INDEX(CHOOSE($BO$11,$AF$8:$AF$207,$AG$8:$AG$207,$BJ$8:$BJ$207), MATCH(CJ$7&amp;$CC43, $B$8:$B$207&amp;$C$8:$C$207, 0)), "")</f>
        <v/>
      </c>
      <c r="CK43" s="8" t="str">
        <f t="array" ref="CK43">IFERROR(INDEX(CHOOSE($BO$11,$AF$8:$AF$207,$AG$8:$AG$207,$BJ$8:$BJ$207), MATCH(CK$7&amp;$CC43, $B$8:$B$207&amp;$C$8:$C$207, 0)), "")</f>
        <v/>
      </c>
      <c r="CL43" s="8" t="str">
        <f t="array" ref="CL43">IFERROR(INDEX(CHOOSE($BO$11,$AF$8:$AF$207,$AG$8:$AG$207,$BJ$8:$BJ$207), MATCH(CL$7&amp;$CC43, $B$8:$B$207&amp;$C$8:$C$207, 0)), "")</f>
        <v/>
      </c>
      <c r="CM43" s="8" t="str">
        <f t="array" ref="CM43">IFERROR(INDEX(CHOOSE($BO$11,$AF$8:$AF$207,$AG$8:$AG$207,$BJ$8:$BJ$207), MATCH(CM$7&amp;$CC43, $B$8:$B$207&amp;$C$8:$C$207, 0)), "")</f>
        <v/>
      </c>
      <c r="CN43" s="8" t="str">
        <f t="array" ref="CN43">IFERROR(INDEX(CHOOSE($BO$11,$AF$8:$AF$207,$AG$8:$AG$207,$BJ$8:$BJ$207), MATCH(CN$7&amp;$CC43, $B$8:$B$207&amp;$C$8:$C$207, 0)), "")</f>
        <v/>
      </c>
      <c r="CO43" s="8" t="str">
        <f t="array" ref="CO43">IFERROR(INDEX(CHOOSE($BO$11,$AF$8:$AF$207,$AG$8:$AG$207,$BJ$8:$BJ$207), MATCH(CO$7&amp;$CC43, $B$8:$B$207&amp;$C$8:$C$207, 0)), "")</f>
        <v/>
      </c>
      <c r="CP43" s="8" t="str">
        <f t="array" ref="CP43">IFERROR(INDEX(CHOOSE($BO$11,$AF$8:$AF$207,$AG$8:$AG$207,$BJ$8:$BJ$207), MATCH(CP$7&amp;$CC43, $B$8:$B$207&amp;$C$8:$C$207, 0)), "")</f>
        <v/>
      </c>
      <c r="CQ43" s="8" t="str">
        <f t="array" ref="CQ43">IFERROR(INDEX(CHOOSE($BO$11,$AF$8:$AF$207,$AG$8:$AG$207,$BJ$8:$BJ$207), MATCH(CQ$7&amp;$CC43, $B$8:$B$207&amp;$C$8:$C$207, 0)), "")</f>
        <v/>
      </c>
      <c r="CR43" s="8" t="str">
        <f t="array" ref="CR43">IFERROR(INDEX(CHOOSE($BO$11,$AF$8:$AF$207,$AG$8:$AG$207,$BJ$8:$BJ$207), MATCH(CR$7&amp;$CC43, $B$8:$B$207&amp;$C$8:$C$207, 0)), "")</f>
        <v/>
      </c>
      <c r="CS43" s="8" t="str">
        <f t="array" ref="CS43">IFERROR(INDEX(CHOOSE($BO$11,$AF$8:$AF$207,$AG$8:$AG$207,$BJ$8:$BJ$207), MATCH(CS$7&amp;$CC43, $B$8:$B$207&amp;$C$8:$C$207, 0)), "")</f>
        <v/>
      </c>
      <c r="CT43" s="8" t="str">
        <f t="array" ref="CT43">IFERROR(INDEX(CHOOSE($BO$11,$AF$8:$AF$207,$AG$8:$AG$207,$BJ$8:$BJ$207), MATCH(CT$7&amp;$CC43, $B$8:$B$207&amp;$C$8:$C$207, 0)), "")</f>
        <v/>
      </c>
      <c r="CU43" s="8" t="str">
        <f t="array" ref="CU43">IFERROR(INDEX(CHOOSE($BO$11,$AF$8:$AF$207,$AG$8:$AG$207,$BJ$8:$BJ$207), MATCH(CU$7&amp;$CC43, $B$8:$B$207&amp;$C$8:$C$207, 0)), "")</f>
        <v/>
      </c>
      <c r="CV43" s="8" t="str">
        <f t="array" ref="CV43">IFERROR(INDEX(CHOOSE($BO$11,$AF$8:$AF$207,$AG$8:$AG$207,$BJ$8:$BJ$207), MATCH(CV$7&amp;$CC43, $B$8:$B$207&amp;$C$8:$C$207, 0)), "")</f>
        <v/>
      </c>
      <c r="CW43" s="8" t="str">
        <f t="array" ref="CW43">IFERROR(INDEX(CHOOSE($BO$11,$AF$8:$AF$207,$AG$8:$AG$207,$BJ$8:$BJ$207), MATCH(CW$7&amp;$CC43, $B$8:$B$207&amp;$C$8:$C$207, 0)), "")</f>
        <v/>
      </c>
      <c r="CX43" s="8" t="str">
        <f t="array" ref="CX43">IFERROR(INDEX(CHOOSE($BO$11,$AF$8:$AF$207,$AG$8:$AG$207,$BJ$8:$BJ$207), MATCH(CX$7&amp;$CC43, $B$8:$B$207&amp;$C$8:$C$207, 0)), "")</f>
        <v/>
      </c>
      <c r="CY43" s="8" t="str">
        <f t="array" ref="CY43">IFERROR(INDEX(CHOOSE($BO$11,$AF$8:$AF$207,$AG$8:$AG$207,$BJ$8:$BJ$207), MATCH(CY$7&amp;$CC43, $B$8:$B$207&amp;$C$8:$C$207, 0)), "")</f>
        <v/>
      </c>
      <c r="CZ43" s="8" t="str">
        <f t="array" ref="CZ43">IFERROR(INDEX(CHOOSE($BO$11,$AF$8:$AF$207,$AG$8:$AG$207,$BJ$8:$BJ$207), MATCH(CZ$7&amp;$CC43, $B$8:$B$207&amp;$C$8:$C$207, 0)), "")</f>
        <v/>
      </c>
      <c r="DA43" s="8" t="str">
        <f t="array" ref="DA43">IFERROR(INDEX(CHOOSE($BO$11,$AF$8:$AF$207,$AG$8:$AG$207,$BJ$8:$BJ$207), MATCH(DA$7&amp;$CC43, $B$8:$B$207&amp;$C$8:$C$207, 0)), "")</f>
        <v/>
      </c>
      <c r="DB43" s="8" t="str">
        <f t="array" ref="DB43">IFERROR(INDEX(CHOOSE($BO$11,$AF$8:$AF$207,$AG$8:$AG$207,$BJ$8:$BJ$207), MATCH(DB$7&amp;$CC43, $B$8:$B$207&amp;$C$8:$C$207, 0)), "")</f>
        <v/>
      </c>
      <c r="DC43" s="8" t="str">
        <f t="array" ref="DC43">IFERROR(INDEX(CHOOSE($BO$11,$AF$8:$AF$207,$AG$8:$AG$207,$BJ$8:$BJ$207), MATCH(DC$7&amp;$CC43, $B$8:$B$207&amp;$C$8:$C$207, 0)), "")</f>
        <v/>
      </c>
      <c r="DD43" s="8" t="str">
        <f t="array" ref="DD43">IFERROR(INDEX(CHOOSE($BO$11,$AF$8:$AF$207,$AG$8:$AG$207,$BJ$8:$BJ$207), MATCH(DD$7&amp;$CC43, $B$8:$B$207&amp;$C$8:$C$207, 0)), "")</f>
        <v/>
      </c>
      <c r="DE43" s="8" t="str">
        <f t="array" ref="DE43">IFERROR(INDEX(CHOOSE($BO$11,$AF$8:$AF$207,$AG$8:$AG$207,$BJ$8:$BJ$207), MATCH(DE$7&amp;$CC43, $B$8:$B$207&amp;$C$8:$C$207, 0)), "")</f>
        <v/>
      </c>
      <c r="DF43" s="8" t="str">
        <f t="array" ref="DF43">IFERROR(INDEX(CHOOSE($BO$11,$AF$8:$AF$207,$AG$8:$AG$207,$BJ$8:$BJ$207), MATCH(DF$7&amp;$CC43, $B$8:$B$207&amp;$C$8:$C$207, 0)), "")</f>
        <v/>
      </c>
      <c r="DG43" s="8" t="str">
        <f t="array" ref="DG43">IFERROR(INDEX(CHOOSE($BO$11,$AF$8:$AF$207,$AG$8:$AG$207,$BJ$8:$BJ$207), MATCH(DG$7&amp;$CC43, $B$8:$B$207&amp;$C$8:$C$207, 0)), "")</f>
        <v/>
      </c>
      <c r="DH43" s="8"/>
      <c r="DI43" s="8"/>
      <c r="DJ43" s="8"/>
      <c r="DK43" s="8"/>
      <c r="DL43" s="8"/>
      <c r="DM43" s="8"/>
      <c r="DN43" s="8"/>
      <c r="DO43" s="8"/>
      <c r="DP43" s="8"/>
      <c r="DQ43" s="8"/>
      <c r="DR43" s="8"/>
      <c r="DS43" s="8"/>
      <c r="DT43" s="8"/>
      <c r="DU43" s="8"/>
      <c r="DV43" s="8"/>
      <c r="DW43" s="8"/>
      <c r="DX43" s="8"/>
      <c r="DY43" s="8"/>
      <c r="DZ43" s="8"/>
      <c r="EA43" s="8"/>
    </row>
    <row r="44" spans="2:131" x14ac:dyDescent="0.2">
      <c r="B44" s="1">
        <f>IFERROR(Calculations!M42/1000, "")</f>
        <v>15</v>
      </c>
      <c r="C44" s="1">
        <f>Calculations!N42</f>
        <v>600</v>
      </c>
      <c r="D44" s="58">
        <f>IFERROR(Calculations!$Q42,"")</f>
        <v>1.0574097520697117</v>
      </c>
      <c r="E44" s="8">
        <f>IFERROR(Calculations!$S42, "")</f>
        <v>22.17884830877702</v>
      </c>
      <c r="F44" s="89"/>
      <c r="G44" s="89"/>
      <c r="H44" s="89"/>
      <c r="I44" s="89"/>
      <c r="J44" s="1" t="str">
        <f>IFERROR(Calculations!AC42, "")</f>
        <v/>
      </c>
      <c r="K44" s="1" t="str">
        <f>IFERROR(Calculations!AD42, "")</f>
        <v/>
      </c>
      <c r="L44" s="8">
        <f>IFERROR(Calculations!AE42,"")</f>
        <v>-65157.469367709404</v>
      </c>
      <c r="M44" s="8">
        <f>IFERROR(Calculations!AF42,"")</f>
        <v>-105059.71992107971</v>
      </c>
      <c r="N44" s="8" t="str">
        <f>IFERROR(Calculations!AG42,"")</f>
        <v/>
      </c>
      <c r="O44" s="8" t="str">
        <f>IFERROR(Calculations!AH42,"")</f>
        <v/>
      </c>
      <c r="P44" s="8" t="str">
        <f>IFERROR(Calculations!AI42,"")</f>
        <v/>
      </c>
      <c r="Q44" s="8" t="str">
        <f>IFERROR(Calculations!AJ42,"")</f>
        <v/>
      </c>
      <c r="R44" s="8" t="str">
        <f>IFERROR(Calculations!AK42,"")</f>
        <v/>
      </c>
      <c r="S44" s="89"/>
      <c r="T44" s="89"/>
      <c r="U44" s="89"/>
      <c r="V44" s="89"/>
      <c r="W44" s="1" t="str">
        <f>IFERROR(Calculations!AP42, "")</f>
        <v/>
      </c>
      <c r="X44" s="1" t="str">
        <f>IFERROR(Calculations!AQ42, "")</f>
        <v/>
      </c>
      <c r="Y44" s="8" t="str">
        <f>IFERROR(Calculations!AR42,"")</f>
        <v/>
      </c>
      <c r="Z44" s="8">
        <f>IFERROR(Calculations!AS42,"")</f>
        <v>0</v>
      </c>
      <c r="AA44" s="8">
        <f>IFERROR(Calculations!AT42,"")</f>
        <v>-145717.8776724796</v>
      </c>
      <c r="AB44" s="8" t="str">
        <f>IFERROR(Calculations!AU42,"")</f>
        <v/>
      </c>
      <c r="AC44" s="8" t="str">
        <f>IFERROR(Calculations!AV42,"")</f>
        <v/>
      </c>
      <c r="AD44" s="8" t="str">
        <f>IFERROR(Calculations!AW42,"")</f>
        <v/>
      </c>
      <c r="AE44" s="8" t="str">
        <f>IFERROR(Calculations!AX42,"")</f>
        <v/>
      </c>
      <c r="AF44" s="8">
        <f>IFERROR(IF(Calculations!AY42 &lt;&gt; 0, Calculations!AY42, ""),"")</f>
        <v>24499.311616309511</v>
      </c>
      <c r="AG44" s="42">
        <f>IFERROR(IF(Calculations!AZ42 &lt;&gt; 0, Calculations!AZ42, ""),"")</f>
        <v>-6.1361631313146718</v>
      </c>
      <c r="AH44" s="1">
        <f t="shared" si="1"/>
        <v>15</v>
      </c>
      <c r="AI44" s="1">
        <f t="shared" si="2"/>
        <v>600</v>
      </c>
      <c r="AJ44" s="89"/>
      <c r="AK44" s="89"/>
      <c r="AL44" s="89"/>
      <c r="AM44" s="89"/>
      <c r="AN44" s="8" t="str">
        <f>IFERROR(Calculations!BJ42, "")</f>
        <v/>
      </c>
      <c r="AO44" s="8" t="str">
        <f>IFERROR(Calculations!BK42, "")</f>
        <v/>
      </c>
      <c r="AP44" s="8">
        <f>IFERROR(Calculations!BL42, "")</f>
        <v>17.037179735422292</v>
      </c>
      <c r="AQ44" s="8">
        <f>IFERROR(Calculations!BM42, "")</f>
        <v>32.001994930273042</v>
      </c>
      <c r="AR44" s="8" t="str">
        <f>IFERROR(Calculations!BN42, "")</f>
        <v/>
      </c>
      <c r="AS44" s="8" t="str">
        <f>IFERROR(Calculations!BO42, "")</f>
        <v/>
      </c>
      <c r="AT44" s="8" t="str">
        <f>IFERROR(Calculations!BP42, "")</f>
        <v/>
      </c>
      <c r="AU44" s="8" t="str">
        <f>IFERROR(Calculations!BQ42, "")</f>
        <v/>
      </c>
      <c r="AV44" s="8" t="str">
        <f>IFERROR(Calculations!BR42, "")</f>
        <v/>
      </c>
      <c r="AW44" s="89"/>
      <c r="AX44" s="89"/>
      <c r="AY44" s="89"/>
      <c r="AZ44" s="89"/>
      <c r="BA44" s="8" t="str">
        <f>IFERROR(Calculations!BW42, "")</f>
        <v/>
      </c>
      <c r="BB44" s="8" t="str">
        <f>IFERROR(Calculations!BX42, "")</f>
        <v/>
      </c>
      <c r="BC44" s="8" t="str">
        <f>IFERROR(Calculations!BY42, "")</f>
        <v/>
      </c>
      <c r="BD44" s="8">
        <f>IFERROR(Calculations!BZ42, "")</f>
        <v>0</v>
      </c>
      <c r="BE44" s="8">
        <f>IFERROR(Calculations!CA42, "")</f>
        <v>28.610520013977883</v>
      </c>
      <c r="BF44" s="8" t="str">
        <f>IFERROR(Calculations!CB42, "")</f>
        <v/>
      </c>
      <c r="BG44" s="8" t="str">
        <f>IFERROR(Calculations!CC42, "")</f>
        <v/>
      </c>
      <c r="BH44" s="8" t="str">
        <f>IFERROR(Calculations!CD42, "")</f>
        <v/>
      </c>
      <c r="BI44" s="8" t="str">
        <f>IFERROR(Calculations!CE42, "")</f>
        <v/>
      </c>
      <c r="BJ44" s="8">
        <f>IFERROR(IF(Calculations!CF42 &lt;&gt; 0, Calculations!CF42, ""),"")</f>
        <v>-20.428654651717451</v>
      </c>
      <c r="BK44" s="1">
        <f t="shared" si="3"/>
        <v>600</v>
      </c>
      <c r="BL44" s="1">
        <f t="shared" si="4"/>
        <v>15</v>
      </c>
      <c r="CC44" s="1" t="str">
        <f t="shared" si="5"/>
        <v/>
      </c>
      <c r="CD44" s="8" t="str">
        <f t="array" ref="CD44">IFERROR(INDEX(CHOOSE($BO$11,$AF$8:$AF$207,$AG$8:$AG$207,$BJ$8:$BJ$207), MATCH(CD$7&amp;$CC44, $B$8:$B$207&amp;$C$8:$C$207, 0)), "")</f>
        <v/>
      </c>
      <c r="CE44" s="8" t="str">
        <f t="array" ref="CE44">IFERROR(INDEX(CHOOSE($BO$11,$AF$8:$AF$207,$AG$8:$AG$207,$BJ$8:$BJ$207), MATCH(CE$7&amp;$CC44, $B$8:$B$207&amp;$C$8:$C$207, 0)), "")</f>
        <v/>
      </c>
      <c r="CF44" s="8" t="str">
        <f t="array" ref="CF44">IFERROR(INDEX(CHOOSE($BO$11,$AF$8:$AF$207,$AG$8:$AG$207,$BJ$8:$BJ$207), MATCH(CF$7&amp;$CC44, $B$8:$B$207&amp;$C$8:$C$207, 0)), "")</f>
        <v/>
      </c>
      <c r="CG44" s="8" t="str">
        <f t="array" ref="CG44">IFERROR(INDEX(CHOOSE($BO$11,$AF$8:$AF$207,$AG$8:$AG$207,$BJ$8:$BJ$207), MATCH(CG$7&amp;$CC44, $B$8:$B$207&amp;$C$8:$C$207, 0)), "")</f>
        <v/>
      </c>
      <c r="CH44" s="8" t="str">
        <f t="array" ref="CH44">IFERROR(INDEX(CHOOSE($BO$11,$AF$8:$AF$207,$AG$8:$AG$207,$BJ$8:$BJ$207), MATCH(CH$7&amp;$CC44, $B$8:$B$207&amp;$C$8:$C$207, 0)), "")</f>
        <v/>
      </c>
      <c r="CI44" s="8" t="str">
        <f t="array" ref="CI44">IFERROR(INDEX(CHOOSE($BO$11,$AF$8:$AF$207,$AG$8:$AG$207,$BJ$8:$BJ$207), MATCH(CI$7&amp;$CC44, $B$8:$B$207&amp;$C$8:$C$207, 0)), "")</f>
        <v/>
      </c>
      <c r="CJ44" s="8" t="str">
        <f t="array" ref="CJ44">IFERROR(INDEX(CHOOSE($BO$11,$AF$8:$AF$207,$AG$8:$AG$207,$BJ$8:$BJ$207), MATCH(CJ$7&amp;$CC44, $B$8:$B$207&amp;$C$8:$C$207, 0)), "")</f>
        <v/>
      </c>
      <c r="CK44" s="8" t="str">
        <f t="array" ref="CK44">IFERROR(INDEX(CHOOSE($BO$11,$AF$8:$AF$207,$AG$8:$AG$207,$BJ$8:$BJ$207), MATCH(CK$7&amp;$CC44, $B$8:$B$207&amp;$C$8:$C$207, 0)), "")</f>
        <v/>
      </c>
      <c r="CL44" s="8" t="str">
        <f t="array" ref="CL44">IFERROR(INDEX(CHOOSE($BO$11,$AF$8:$AF$207,$AG$8:$AG$207,$BJ$8:$BJ$207), MATCH(CL$7&amp;$CC44, $B$8:$B$207&amp;$C$8:$C$207, 0)), "")</f>
        <v/>
      </c>
      <c r="CM44" s="8" t="str">
        <f t="array" ref="CM44">IFERROR(INDEX(CHOOSE($BO$11,$AF$8:$AF$207,$AG$8:$AG$207,$BJ$8:$BJ$207), MATCH(CM$7&amp;$CC44, $B$8:$B$207&amp;$C$8:$C$207, 0)), "")</f>
        <v/>
      </c>
      <c r="CN44" s="8" t="str">
        <f t="array" ref="CN44">IFERROR(INDEX(CHOOSE($BO$11,$AF$8:$AF$207,$AG$8:$AG$207,$BJ$8:$BJ$207), MATCH(CN$7&amp;$CC44, $B$8:$B$207&amp;$C$8:$C$207, 0)), "")</f>
        <v/>
      </c>
      <c r="CO44" s="8" t="str">
        <f t="array" ref="CO44">IFERROR(INDEX(CHOOSE($BO$11,$AF$8:$AF$207,$AG$8:$AG$207,$BJ$8:$BJ$207), MATCH(CO$7&amp;$CC44, $B$8:$B$207&amp;$C$8:$C$207, 0)), "")</f>
        <v/>
      </c>
      <c r="CP44" s="8" t="str">
        <f t="array" ref="CP44">IFERROR(INDEX(CHOOSE($BO$11,$AF$8:$AF$207,$AG$8:$AG$207,$BJ$8:$BJ$207), MATCH(CP$7&amp;$CC44, $B$8:$B$207&amp;$C$8:$C$207, 0)), "")</f>
        <v/>
      </c>
      <c r="CQ44" s="8" t="str">
        <f t="array" ref="CQ44">IFERROR(INDEX(CHOOSE($BO$11,$AF$8:$AF$207,$AG$8:$AG$207,$BJ$8:$BJ$207), MATCH(CQ$7&amp;$CC44, $B$8:$B$207&amp;$C$8:$C$207, 0)), "")</f>
        <v/>
      </c>
      <c r="CR44" s="8" t="str">
        <f t="array" ref="CR44">IFERROR(INDEX(CHOOSE($BO$11,$AF$8:$AF$207,$AG$8:$AG$207,$BJ$8:$BJ$207), MATCH(CR$7&amp;$CC44, $B$8:$B$207&amp;$C$8:$C$207, 0)), "")</f>
        <v/>
      </c>
      <c r="CS44" s="8" t="str">
        <f t="array" ref="CS44">IFERROR(INDEX(CHOOSE($BO$11,$AF$8:$AF$207,$AG$8:$AG$207,$BJ$8:$BJ$207), MATCH(CS$7&amp;$CC44, $B$8:$B$207&amp;$C$8:$C$207, 0)), "")</f>
        <v/>
      </c>
      <c r="CT44" s="8" t="str">
        <f t="array" ref="CT44">IFERROR(INDEX(CHOOSE($BO$11,$AF$8:$AF$207,$AG$8:$AG$207,$BJ$8:$BJ$207), MATCH(CT$7&amp;$CC44, $B$8:$B$207&amp;$C$8:$C$207, 0)), "")</f>
        <v/>
      </c>
      <c r="CU44" s="8" t="str">
        <f t="array" ref="CU44">IFERROR(INDEX(CHOOSE($BO$11,$AF$8:$AF$207,$AG$8:$AG$207,$BJ$8:$BJ$207), MATCH(CU$7&amp;$CC44, $B$8:$B$207&amp;$C$8:$C$207, 0)), "")</f>
        <v/>
      </c>
      <c r="CV44" s="8" t="str">
        <f t="array" ref="CV44">IFERROR(INDEX(CHOOSE($BO$11,$AF$8:$AF$207,$AG$8:$AG$207,$BJ$8:$BJ$207), MATCH(CV$7&amp;$CC44, $B$8:$B$207&amp;$C$8:$C$207, 0)), "")</f>
        <v/>
      </c>
      <c r="CW44" s="8" t="str">
        <f t="array" ref="CW44">IFERROR(INDEX(CHOOSE($BO$11,$AF$8:$AF$207,$AG$8:$AG$207,$BJ$8:$BJ$207), MATCH(CW$7&amp;$CC44, $B$8:$B$207&amp;$C$8:$C$207, 0)), "")</f>
        <v/>
      </c>
      <c r="CX44" s="8" t="str">
        <f t="array" ref="CX44">IFERROR(INDEX(CHOOSE($BO$11,$AF$8:$AF$207,$AG$8:$AG$207,$BJ$8:$BJ$207), MATCH(CX$7&amp;$CC44, $B$8:$B$207&amp;$C$8:$C$207, 0)), "")</f>
        <v/>
      </c>
      <c r="CY44" s="8" t="str">
        <f t="array" ref="CY44">IFERROR(INDEX(CHOOSE($BO$11,$AF$8:$AF$207,$AG$8:$AG$207,$BJ$8:$BJ$207), MATCH(CY$7&amp;$CC44, $B$8:$B$207&amp;$C$8:$C$207, 0)), "")</f>
        <v/>
      </c>
      <c r="CZ44" s="8" t="str">
        <f t="array" ref="CZ44">IFERROR(INDEX(CHOOSE($BO$11,$AF$8:$AF$207,$AG$8:$AG$207,$BJ$8:$BJ$207), MATCH(CZ$7&amp;$CC44, $B$8:$B$207&amp;$C$8:$C$207, 0)), "")</f>
        <v/>
      </c>
      <c r="DA44" s="8" t="str">
        <f t="array" ref="DA44">IFERROR(INDEX(CHOOSE($BO$11,$AF$8:$AF$207,$AG$8:$AG$207,$BJ$8:$BJ$207), MATCH(DA$7&amp;$CC44, $B$8:$B$207&amp;$C$8:$C$207, 0)), "")</f>
        <v/>
      </c>
      <c r="DB44" s="8" t="str">
        <f t="array" ref="DB44">IFERROR(INDEX(CHOOSE($BO$11,$AF$8:$AF$207,$AG$8:$AG$207,$BJ$8:$BJ$207), MATCH(DB$7&amp;$CC44, $B$8:$B$207&amp;$C$8:$C$207, 0)), "")</f>
        <v/>
      </c>
      <c r="DC44" s="8" t="str">
        <f t="array" ref="DC44">IFERROR(INDEX(CHOOSE($BO$11,$AF$8:$AF$207,$AG$8:$AG$207,$BJ$8:$BJ$207), MATCH(DC$7&amp;$CC44, $B$8:$B$207&amp;$C$8:$C$207, 0)), "")</f>
        <v/>
      </c>
      <c r="DD44" s="8" t="str">
        <f t="array" ref="DD44">IFERROR(INDEX(CHOOSE($BO$11,$AF$8:$AF$207,$AG$8:$AG$207,$BJ$8:$BJ$207), MATCH(DD$7&amp;$CC44, $B$8:$B$207&amp;$C$8:$C$207, 0)), "")</f>
        <v/>
      </c>
      <c r="DE44" s="8" t="str">
        <f t="array" ref="DE44">IFERROR(INDEX(CHOOSE($BO$11,$AF$8:$AF$207,$AG$8:$AG$207,$BJ$8:$BJ$207), MATCH(DE$7&amp;$CC44, $B$8:$B$207&amp;$C$8:$C$207, 0)), "")</f>
        <v/>
      </c>
      <c r="DF44" s="8" t="str">
        <f t="array" ref="DF44">IFERROR(INDEX(CHOOSE($BO$11,$AF$8:$AF$207,$AG$8:$AG$207,$BJ$8:$BJ$207), MATCH(DF$7&amp;$CC44, $B$8:$B$207&amp;$C$8:$C$207, 0)), "")</f>
        <v/>
      </c>
      <c r="DG44" s="8" t="str">
        <f t="array" ref="DG44">IFERROR(INDEX(CHOOSE($BO$11,$AF$8:$AF$207,$AG$8:$AG$207,$BJ$8:$BJ$207), MATCH(DG$7&amp;$CC44, $B$8:$B$207&amp;$C$8:$C$207, 0)), "")</f>
        <v/>
      </c>
      <c r="DH44" s="8"/>
      <c r="DI44" s="8"/>
      <c r="DJ44" s="8"/>
      <c r="DK44" s="8"/>
      <c r="DL44" s="8"/>
      <c r="DM44" s="8"/>
      <c r="DN44" s="8"/>
      <c r="DO44" s="8"/>
      <c r="DP44" s="8"/>
      <c r="DQ44" s="8"/>
      <c r="DR44" s="8"/>
      <c r="DS44" s="8"/>
      <c r="DT44" s="8"/>
      <c r="DU44" s="8"/>
      <c r="DV44" s="8"/>
      <c r="DW44" s="8"/>
      <c r="DX44" s="8"/>
      <c r="DY44" s="8"/>
      <c r="DZ44" s="8"/>
      <c r="EA44" s="8"/>
    </row>
    <row r="45" spans="2:131" x14ac:dyDescent="0.2">
      <c r="B45" s="1">
        <f>IFERROR(Calculations!M43/1000, "")</f>
        <v>15</v>
      </c>
      <c r="C45" s="1">
        <f>Calculations!N43</f>
        <v>650</v>
      </c>
      <c r="D45" s="58">
        <f>IFERROR(Calculations!$Q43,"")</f>
        <v>1.0381041828727724</v>
      </c>
      <c r="E45" s="8">
        <f>IFERROR(Calculations!$S43, "")</f>
        <v>20.061069008368271</v>
      </c>
      <c r="F45" s="89"/>
      <c r="G45" s="89"/>
      <c r="H45" s="89"/>
      <c r="I45" s="89"/>
      <c r="J45" s="1" t="str">
        <f>IFERROR(Calculations!AC43, "")</f>
        <v/>
      </c>
      <c r="K45" s="1" t="str">
        <f>IFERROR(Calculations!AD43, "")</f>
        <v/>
      </c>
      <c r="L45" s="8">
        <f>IFERROR(Calculations!AE43,"")</f>
        <v>-66705.884743704592</v>
      </c>
      <c r="M45" s="8">
        <f>IFERROR(Calculations!AF43,"")</f>
        <v>-107483.79459485228</v>
      </c>
      <c r="N45" s="8" t="str">
        <f>IFERROR(Calculations!AG43,"")</f>
        <v/>
      </c>
      <c r="O45" s="8" t="str">
        <f>IFERROR(Calculations!AH43,"")</f>
        <v/>
      </c>
      <c r="P45" s="8" t="str">
        <f>IFERROR(Calculations!AI43,"")</f>
        <v/>
      </c>
      <c r="Q45" s="8" t="str">
        <f>IFERROR(Calculations!AJ43,"")</f>
        <v/>
      </c>
      <c r="R45" s="8" t="str">
        <f>IFERROR(Calculations!AK43,"")</f>
        <v/>
      </c>
      <c r="S45" s="89"/>
      <c r="T45" s="89"/>
      <c r="U45" s="89"/>
      <c r="V45" s="89"/>
      <c r="W45" s="1" t="str">
        <f>IFERROR(Calculations!AP43, "")</f>
        <v/>
      </c>
      <c r="X45" s="1" t="str">
        <f>IFERROR(Calculations!AQ43, "")</f>
        <v/>
      </c>
      <c r="Y45" s="8" t="str">
        <f>IFERROR(Calculations!AR43,"")</f>
        <v/>
      </c>
      <c r="Z45" s="8">
        <f>IFERROR(Calculations!AS43,"")</f>
        <v>0</v>
      </c>
      <c r="AA45" s="8">
        <f>IFERROR(Calculations!AT43,"")</f>
        <v>-147194.74000334664</v>
      </c>
      <c r="AB45" s="8" t="str">
        <f>IFERROR(Calculations!AU43,"")</f>
        <v/>
      </c>
      <c r="AC45" s="8" t="str">
        <f>IFERROR(Calculations!AV43,"")</f>
        <v/>
      </c>
      <c r="AD45" s="8" t="str">
        <f>IFERROR(Calculations!AW43,"")</f>
        <v/>
      </c>
      <c r="AE45" s="8" t="str">
        <f>IFERROR(Calculations!AX43,"")</f>
        <v/>
      </c>
      <c r="AF45" s="8">
        <f>IFERROR(IF(Calculations!AY43 &lt;&gt; 0, Calculations!AY43, ""),"")</f>
        <v>26994.939335210249</v>
      </c>
      <c r="AG45" s="42">
        <f>IFERROR(IF(Calculations!AZ43 &lt;&gt; 0, Calculations!AZ43, ""),"")</f>
        <v>-6.3950207115696047</v>
      </c>
      <c r="AH45" s="1">
        <f t="shared" si="1"/>
        <v>15</v>
      </c>
      <c r="AI45" s="1">
        <f t="shared" si="2"/>
        <v>650</v>
      </c>
      <c r="AJ45" s="89"/>
      <c r="AK45" s="89"/>
      <c r="AL45" s="89"/>
      <c r="AM45" s="89"/>
      <c r="AN45" s="8" t="str">
        <f>IFERROR(Calculations!BJ43, "")</f>
        <v/>
      </c>
      <c r="AO45" s="8" t="str">
        <f>IFERROR(Calculations!BK43, "")</f>
        <v/>
      </c>
      <c r="AP45" s="8">
        <f>IFERROR(Calculations!BL43, "")</f>
        <v>17.354019275932259</v>
      </c>
      <c r="AQ45" s="8">
        <f>IFERROR(Calculations!BM43, "")</f>
        <v>32.264896942693703</v>
      </c>
      <c r="AR45" s="8" t="str">
        <f>IFERROR(Calculations!BN43, "")</f>
        <v/>
      </c>
      <c r="AS45" s="8" t="str">
        <f>IFERROR(Calculations!BO43, "")</f>
        <v/>
      </c>
      <c r="AT45" s="8" t="str">
        <f>IFERROR(Calculations!BP43, "")</f>
        <v/>
      </c>
      <c r="AU45" s="8" t="str">
        <f>IFERROR(Calculations!BQ43, "")</f>
        <v/>
      </c>
      <c r="AV45" s="8" t="str">
        <f>IFERROR(Calculations!BR43, "")</f>
        <v/>
      </c>
      <c r="AW45" s="89"/>
      <c r="AX45" s="89"/>
      <c r="AY45" s="89"/>
      <c r="AZ45" s="89"/>
      <c r="BA45" s="8" t="str">
        <f>IFERROR(Calculations!BW43, "")</f>
        <v/>
      </c>
      <c r="BB45" s="8" t="str">
        <f>IFERROR(Calculations!BX43, "")</f>
        <v/>
      </c>
      <c r="BC45" s="8" t="str">
        <f>IFERROR(Calculations!BY43, "")</f>
        <v/>
      </c>
      <c r="BD45" s="8">
        <f>IFERROR(Calculations!BZ43, "")</f>
        <v>0</v>
      </c>
      <c r="BE45" s="8">
        <f>IFERROR(Calculations!CA43, "")</f>
        <v>28.187572425695027</v>
      </c>
      <c r="BF45" s="8" t="str">
        <f>IFERROR(Calculations!CB43, "")</f>
        <v/>
      </c>
      <c r="BG45" s="8" t="str">
        <f>IFERROR(Calculations!CC43, "")</f>
        <v/>
      </c>
      <c r="BH45" s="8" t="str">
        <f>IFERROR(Calculations!CD43, "")</f>
        <v/>
      </c>
      <c r="BI45" s="8" t="str">
        <f>IFERROR(Calculations!CE43, "")</f>
        <v/>
      </c>
      <c r="BJ45" s="8">
        <f>IFERROR(IF(Calculations!CF43 &lt;&gt; 0, Calculations!CF43, ""),"")</f>
        <v>-21.431343792930935</v>
      </c>
      <c r="BK45" s="1">
        <f t="shared" si="3"/>
        <v>650</v>
      </c>
      <c r="BL45" s="1">
        <f t="shared" si="4"/>
        <v>15</v>
      </c>
      <c r="CC45" s="1" t="str">
        <f t="shared" si="5"/>
        <v/>
      </c>
      <c r="CD45" s="8" t="str">
        <f t="array" ref="CD45">IFERROR(INDEX(CHOOSE($BO$11,$AF$8:$AF$207,$AG$8:$AG$207,$BJ$8:$BJ$207), MATCH(CD$7&amp;$CC45, $B$8:$B$207&amp;$C$8:$C$207, 0)), "")</f>
        <v/>
      </c>
      <c r="CE45" s="8" t="str">
        <f t="array" ref="CE45">IFERROR(INDEX(CHOOSE($BO$11,$AF$8:$AF$207,$AG$8:$AG$207,$BJ$8:$BJ$207), MATCH(CE$7&amp;$CC45, $B$8:$B$207&amp;$C$8:$C$207, 0)), "")</f>
        <v/>
      </c>
      <c r="CF45" s="8" t="str">
        <f t="array" ref="CF45">IFERROR(INDEX(CHOOSE($BO$11,$AF$8:$AF$207,$AG$8:$AG$207,$BJ$8:$BJ$207), MATCH(CF$7&amp;$CC45, $B$8:$B$207&amp;$C$8:$C$207, 0)), "")</f>
        <v/>
      </c>
      <c r="CG45" s="8" t="str">
        <f t="array" ref="CG45">IFERROR(INDEX(CHOOSE($BO$11,$AF$8:$AF$207,$AG$8:$AG$207,$BJ$8:$BJ$207), MATCH(CG$7&amp;$CC45, $B$8:$B$207&amp;$C$8:$C$207, 0)), "")</f>
        <v/>
      </c>
      <c r="CH45" s="8" t="str">
        <f t="array" ref="CH45">IFERROR(INDEX(CHOOSE($BO$11,$AF$8:$AF$207,$AG$8:$AG$207,$BJ$8:$BJ$207), MATCH(CH$7&amp;$CC45, $B$8:$B$207&amp;$C$8:$C$207, 0)), "")</f>
        <v/>
      </c>
      <c r="CI45" s="8" t="str">
        <f t="array" ref="CI45">IFERROR(INDEX(CHOOSE($BO$11,$AF$8:$AF$207,$AG$8:$AG$207,$BJ$8:$BJ$207), MATCH(CI$7&amp;$CC45, $B$8:$B$207&amp;$C$8:$C$207, 0)), "")</f>
        <v/>
      </c>
      <c r="CJ45" s="8" t="str">
        <f t="array" ref="CJ45">IFERROR(INDEX(CHOOSE($BO$11,$AF$8:$AF$207,$AG$8:$AG$207,$BJ$8:$BJ$207), MATCH(CJ$7&amp;$CC45, $B$8:$B$207&amp;$C$8:$C$207, 0)), "")</f>
        <v/>
      </c>
      <c r="CK45" s="8" t="str">
        <f t="array" ref="CK45">IFERROR(INDEX(CHOOSE($BO$11,$AF$8:$AF$207,$AG$8:$AG$207,$BJ$8:$BJ$207), MATCH(CK$7&amp;$CC45, $B$8:$B$207&amp;$C$8:$C$207, 0)), "")</f>
        <v/>
      </c>
      <c r="CL45" s="8" t="str">
        <f t="array" ref="CL45">IFERROR(INDEX(CHOOSE($BO$11,$AF$8:$AF$207,$AG$8:$AG$207,$BJ$8:$BJ$207), MATCH(CL$7&amp;$CC45, $B$8:$B$207&amp;$C$8:$C$207, 0)), "")</f>
        <v/>
      </c>
      <c r="CM45" s="8" t="str">
        <f t="array" ref="CM45">IFERROR(INDEX(CHOOSE($BO$11,$AF$8:$AF$207,$AG$8:$AG$207,$BJ$8:$BJ$207), MATCH(CM$7&amp;$CC45, $B$8:$B$207&amp;$C$8:$C$207, 0)), "")</f>
        <v/>
      </c>
      <c r="CN45" s="8" t="str">
        <f t="array" ref="CN45">IFERROR(INDEX(CHOOSE($BO$11,$AF$8:$AF$207,$AG$8:$AG$207,$BJ$8:$BJ$207), MATCH(CN$7&amp;$CC45, $B$8:$B$207&amp;$C$8:$C$207, 0)), "")</f>
        <v/>
      </c>
      <c r="CO45" s="8" t="str">
        <f t="array" ref="CO45">IFERROR(INDEX(CHOOSE($BO$11,$AF$8:$AF$207,$AG$8:$AG$207,$BJ$8:$BJ$207), MATCH(CO$7&amp;$CC45, $B$8:$B$207&amp;$C$8:$C$207, 0)), "")</f>
        <v/>
      </c>
      <c r="CP45" s="8" t="str">
        <f t="array" ref="CP45">IFERROR(INDEX(CHOOSE($BO$11,$AF$8:$AF$207,$AG$8:$AG$207,$BJ$8:$BJ$207), MATCH(CP$7&amp;$CC45, $B$8:$B$207&amp;$C$8:$C$207, 0)), "")</f>
        <v/>
      </c>
      <c r="CQ45" s="8" t="str">
        <f t="array" ref="CQ45">IFERROR(INDEX(CHOOSE($BO$11,$AF$8:$AF$207,$AG$8:$AG$207,$BJ$8:$BJ$207), MATCH(CQ$7&amp;$CC45, $B$8:$B$207&amp;$C$8:$C$207, 0)), "")</f>
        <v/>
      </c>
      <c r="CR45" s="8" t="str">
        <f t="array" ref="CR45">IFERROR(INDEX(CHOOSE($BO$11,$AF$8:$AF$207,$AG$8:$AG$207,$BJ$8:$BJ$207), MATCH(CR$7&amp;$CC45, $B$8:$B$207&amp;$C$8:$C$207, 0)), "")</f>
        <v/>
      </c>
      <c r="CS45" s="8" t="str">
        <f t="array" ref="CS45">IFERROR(INDEX(CHOOSE($BO$11,$AF$8:$AF$207,$AG$8:$AG$207,$BJ$8:$BJ$207), MATCH(CS$7&amp;$CC45, $B$8:$B$207&amp;$C$8:$C$207, 0)), "")</f>
        <v/>
      </c>
      <c r="CT45" s="8" t="str">
        <f t="array" ref="CT45">IFERROR(INDEX(CHOOSE($BO$11,$AF$8:$AF$207,$AG$8:$AG$207,$BJ$8:$BJ$207), MATCH(CT$7&amp;$CC45, $B$8:$B$207&amp;$C$8:$C$207, 0)), "")</f>
        <v/>
      </c>
      <c r="CU45" s="8" t="str">
        <f t="array" ref="CU45">IFERROR(INDEX(CHOOSE($BO$11,$AF$8:$AF$207,$AG$8:$AG$207,$BJ$8:$BJ$207), MATCH(CU$7&amp;$CC45, $B$8:$B$207&amp;$C$8:$C$207, 0)), "")</f>
        <v/>
      </c>
      <c r="CV45" s="8" t="str">
        <f t="array" ref="CV45">IFERROR(INDEX(CHOOSE($BO$11,$AF$8:$AF$207,$AG$8:$AG$207,$BJ$8:$BJ$207), MATCH(CV$7&amp;$CC45, $B$8:$B$207&amp;$C$8:$C$207, 0)), "")</f>
        <v/>
      </c>
      <c r="CW45" s="8" t="str">
        <f t="array" ref="CW45">IFERROR(INDEX(CHOOSE($BO$11,$AF$8:$AF$207,$AG$8:$AG$207,$BJ$8:$BJ$207), MATCH(CW$7&amp;$CC45, $B$8:$B$207&amp;$C$8:$C$207, 0)), "")</f>
        <v/>
      </c>
      <c r="CX45" s="8" t="str">
        <f t="array" ref="CX45">IFERROR(INDEX(CHOOSE($BO$11,$AF$8:$AF$207,$AG$8:$AG$207,$BJ$8:$BJ$207), MATCH(CX$7&amp;$CC45, $B$8:$B$207&amp;$C$8:$C$207, 0)), "")</f>
        <v/>
      </c>
      <c r="CY45" s="8" t="str">
        <f t="array" ref="CY45">IFERROR(INDEX(CHOOSE($BO$11,$AF$8:$AF$207,$AG$8:$AG$207,$BJ$8:$BJ$207), MATCH(CY$7&amp;$CC45, $B$8:$B$207&amp;$C$8:$C$207, 0)), "")</f>
        <v/>
      </c>
      <c r="CZ45" s="8" t="str">
        <f t="array" ref="CZ45">IFERROR(INDEX(CHOOSE($BO$11,$AF$8:$AF$207,$AG$8:$AG$207,$BJ$8:$BJ$207), MATCH(CZ$7&amp;$CC45, $B$8:$B$207&amp;$C$8:$C$207, 0)), "")</f>
        <v/>
      </c>
      <c r="DA45" s="8" t="str">
        <f t="array" ref="DA45">IFERROR(INDEX(CHOOSE($BO$11,$AF$8:$AF$207,$AG$8:$AG$207,$BJ$8:$BJ$207), MATCH(DA$7&amp;$CC45, $B$8:$B$207&amp;$C$8:$C$207, 0)), "")</f>
        <v/>
      </c>
      <c r="DB45" s="8" t="str">
        <f t="array" ref="DB45">IFERROR(INDEX(CHOOSE($BO$11,$AF$8:$AF$207,$AG$8:$AG$207,$BJ$8:$BJ$207), MATCH(DB$7&amp;$CC45, $B$8:$B$207&amp;$C$8:$C$207, 0)), "")</f>
        <v/>
      </c>
      <c r="DC45" s="8" t="str">
        <f t="array" ref="DC45">IFERROR(INDEX(CHOOSE($BO$11,$AF$8:$AF$207,$AG$8:$AG$207,$BJ$8:$BJ$207), MATCH(DC$7&amp;$CC45, $B$8:$B$207&amp;$C$8:$C$207, 0)), "")</f>
        <v/>
      </c>
      <c r="DD45" s="8" t="str">
        <f t="array" ref="DD45">IFERROR(INDEX(CHOOSE($BO$11,$AF$8:$AF$207,$AG$8:$AG$207,$BJ$8:$BJ$207), MATCH(DD$7&amp;$CC45, $B$8:$B$207&amp;$C$8:$C$207, 0)), "")</f>
        <v/>
      </c>
      <c r="DE45" s="8" t="str">
        <f t="array" ref="DE45">IFERROR(INDEX(CHOOSE($BO$11,$AF$8:$AF$207,$AG$8:$AG$207,$BJ$8:$BJ$207), MATCH(DE$7&amp;$CC45, $B$8:$B$207&amp;$C$8:$C$207, 0)), "")</f>
        <v/>
      </c>
      <c r="DF45" s="8" t="str">
        <f t="array" ref="DF45">IFERROR(INDEX(CHOOSE($BO$11,$AF$8:$AF$207,$AG$8:$AG$207,$BJ$8:$BJ$207), MATCH(DF$7&amp;$CC45, $B$8:$B$207&amp;$C$8:$C$207, 0)), "")</f>
        <v/>
      </c>
      <c r="DG45" s="8" t="str">
        <f t="array" ref="DG45">IFERROR(INDEX(CHOOSE($BO$11,$AF$8:$AF$207,$AG$8:$AG$207,$BJ$8:$BJ$207), MATCH(DG$7&amp;$CC45, $B$8:$B$207&amp;$C$8:$C$207, 0)), "")</f>
        <v/>
      </c>
      <c r="DH45" s="8"/>
      <c r="DI45" s="8"/>
      <c r="DJ45" s="8"/>
      <c r="DK45" s="8"/>
      <c r="DL45" s="8"/>
      <c r="DM45" s="8"/>
      <c r="DN45" s="8"/>
      <c r="DO45" s="8"/>
      <c r="DP45" s="8"/>
      <c r="DQ45" s="8"/>
      <c r="DR45" s="8"/>
      <c r="DS45" s="8"/>
      <c r="DT45" s="8"/>
      <c r="DU45" s="8"/>
      <c r="DV45" s="8"/>
      <c r="DW45" s="8"/>
      <c r="DX45" s="8"/>
      <c r="DY45" s="8"/>
      <c r="DZ45" s="8"/>
      <c r="EA45" s="8"/>
    </row>
    <row r="46" spans="2:131" x14ac:dyDescent="0.2">
      <c r="B46" s="1">
        <f>IFERROR(Calculations!M44/1000, "")</f>
        <v>15</v>
      </c>
      <c r="C46" s="1">
        <f>Calculations!N44</f>
        <v>700</v>
      </c>
      <c r="D46" s="58">
        <f>IFERROR(Calculations!$Q44,"")</f>
        <v>1.0192158445203305</v>
      </c>
      <c r="E46" s="8">
        <f>IFERROR(Calculations!$S44, "")</f>
        <v>18.20065229891885</v>
      </c>
      <c r="F46" s="89"/>
      <c r="G46" s="89"/>
      <c r="H46" s="89"/>
      <c r="I46" s="89"/>
      <c r="J46" s="1" t="str">
        <f>IFERROR(Calculations!AC44, "")</f>
        <v/>
      </c>
      <c r="K46" s="1" t="str">
        <f>IFERROR(Calculations!AD44, "")</f>
        <v/>
      </c>
      <c r="L46" s="8">
        <f>IFERROR(Calculations!AE44,"")</f>
        <v>-68318.329610200017</v>
      </c>
      <c r="M46" s="8">
        <f>IFERROR(Calculations!AF44,"")</f>
        <v>-109958.48543234002</v>
      </c>
      <c r="N46" s="8" t="str">
        <f>IFERROR(Calculations!AG44,"")</f>
        <v/>
      </c>
      <c r="O46" s="8" t="str">
        <f>IFERROR(Calculations!AH44,"")</f>
        <v/>
      </c>
      <c r="P46" s="8" t="str">
        <f>IFERROR(Calculations!AI44,"")</f>
        <v/>
      </c>
      <c r="Q46" s="8" t="str">
        <f>IFERROR(Calculations!AJ44,"")</f>
        <v/>
      </c>
      <c r="R46" s="8" t="str">
        <f>IFERROR(Calculations!AK44,"")</f>
        <v/>
      </c>
      <c r="S46" s="89"/>
      <c r="T46" s="89"/>
      <c r="U46" s="89"/>
      <c r="V46" s="89"/>
      <c r="W46" s="1" t="str">
        <f>IFERROR(Calculations!AP44, "")</f>
        <v/>
      </c>
      <c r="X46" s="1" t="str">
        <f>IFERROR(Calculations!AQ44, "")</f>
        <v/>
      </c>
      <c r="Y46" s="8" t="str">
        <f>IFERROR(Calculations!AR44,"")</f>
        <v/>
      </c>
      <c r="Z46" s="8">
        <f>IFERROR(Calculations!AS44,"")</f>
        <v>0</v>
      </c>
      <c r="AA46" s="8">
        <f>IFERROR(Calculations!AT44,"")</f>
        <v>-148659.14452639807</v>
      </c>
      <c r="AB46" s="8" t="str">
        <f>IFERROR(Calculations!AU44,"")</f>
        <v/>
      </c>
      <c r="AC46" s="8" t="str">
        <f>IFERROR(Calculations!AV44,"")</f>
        <v/>
      </c>
      <c r="AD46" s="8" t="str">
        <f>IFERROR(Calculations!AW44,"")</f>
        <v/>
      </c>
      <c r="AE46" s="8" t="str">
        <f>IFERROR(Calculations!AX44,"")</f>
        <v/>
      </c>
      <c r="AF46" s="8">
        <f>IFERROR(IF(Calculations!AY44 &lt;&gt; 0, Calculations!AY44, ""),"")</f>
        <v>29617.670516141952</v>
      </c>
      <c r="AG46" s="42">
        <f>IFERROR(IF(Calculations!AZ44 &lt;&gt; 0, Calculations!AZ44, ""),"")</f>
        <v>-6.6558416960590909</v>
      </c>
      <c r="AH46" s="1">
        <f t="shared" si="1"/>
        <v>15</v>
      </c>
      <c r="AI46" s="1">
        <f t="shared" si="2"/>
        <v>700</v>
      </c>
      <c r="AJ46" s="89"/>
      <c r="AK46" s="89"/>
      <c r="AL46" s="89"/>
      <c r="AM46" s="89"/>
      <c r="AN46" s="8" t="str">
        <f>IFERROR(Calculations!BJ44, "")</f>
        <v/>
      </c>
      <c r="AO46" s="8" t="str">
        <f>IFERROR(Calculations!BK44, "")</f>
        <v/>
      </c>
      <c r="AP46" s="8">
        <f>IFERROR(Calculations!BL44, "")</f>
        <v>17.675627882804804</v>
      </c>
      <c r="AQ46" s="8">
        <f>IFERROR(Calculations!BM44, "")</f>
        <v>32.546814870753238</v>
      </c>
      <c r="AR46" s="8" t="str">
        <f>IFERROR(Calculations!BN44, "")</f>
        <v/>
      </c>
      <c r="AS46" s="8" t="str">
        <f>IFERROR(Calculations!BO44, "")</f>
        <v/>
      </c>
      <c r="AT46" s="8" t="str">
        <f>IFERROR(Calculations!BP44, "")</f>
        <v/>
      </c>
      <c r="AU46" s="8" t="str">
        <f>IFERROR(Calculations!BQ44, "")</f>
        <v/>
      </c>
      <c r="AV46" s="8" t="str">
        <f>IFERROR(Calculations!BR44, "")</f>
        <v/>
      </c>
      <c r="AW46" s="89"/>
      <c r="AX46" s="89"/>
      <c r="AY46" s="89"/>
      <c r="AZ46" s="89"/>
      <c r="BA46" s="8" t="str">
        <f>IFERROR(Calculations!BW44, "")</f>
        <v/>
      </c>
      <c r="BB46" s="8" t="str">
        <f>IFERROR(Calculations!BX44, "")</f>
        <v/>
      </c>
      <c r="BC46" s="8" t="str">
        <f>IFERROR(Calculations!BY44, "")</f>
        <v/>
      </c>
      <c r="BD46" s="8">
        <f>IFERROR(Calculations!BZ44, "")</f>
        <v>0</v>
      </c>
      <c r="BE46" s="8">
        <f>IFERROR(Calculations!CA44, "")</f>
        <v>27.734963364329552</v>
      </c>
      <c r="BF46" s="8" t="str">
        <f>IFERROR(Calculations!CB44, "")</f>
        <v/>
      </c>
      <c r="BG46" s="8" t="str">
        <f>IFERROR(Calculations!CC44, "")</f>
        <v/>
      </c>
      <c r="BH46" s="8" t="str">
        <f>IFERROR(Calculations!CD44, "")</f>
        <v/>
      </c>
      <c r="BI46" s="8" t="str">
        <f>IFERROR(Calculations!CE44, "")</f>
        <v/>
      </c>
      <c r="BJ46" s="8">
        <f>IFERROR(IF(Calculations!CF44 &lt;&gt; 0, Calculations!CF44, ""),"")</f>
        <v>-22.48747938922849</v>
      </c>
      <c r="BK46" s="1">
        <f t="shared" si="3"/>
        <v>700</v>
      </c>
      <c r="BL46" s="1">
        <f t="shared" si="4"/>
        <v>15</v>
      </c>
      <c r="CC46" s="1" t="str">
        <f t="shared" si="5"/>
        <v/>
      </c>
      <c r="CD46" s="8" t="str">
        <f t="array" ref="CD46">IFERROR(INDEX(CHOOSE($BO$11,$AF$8:$AF$207,$AG$8:$AG$207,$BJ$8:$BJ$207), MATCH(CD$7&amp;$CC46, $B$8:$B$207&amp;$C$8:$C$207, 0)), "")</f>
        <v/>
      </c>
      <c r="CE46" s="8" t="str">
        <f t="array" ref="CE46">IFERROR(INDEX(CHOOSE($BO$11,$AF$8:$AF$207,$AG$8:$AG$207,$BJ$8:$BJ$207), MATCH(CE$7&amp;$CC46, $B$8:$B$207&amp;$C$8:$C$207, 0)), "")</f>
        <v/>
      </c>
      <c r="CF46" s="8" t="str">
        <f t="array" ref="CF46">IFERROR(INDEX(CHOOSE($BO$11,$AF$8:$AF$207,$AG$8:$AG$207,$BJ$8:$BJ$207), MATCH(CF$7&amp;$CC46, $B$8:$B$207&amp;$C$8:$C$207, 0)), "")</f>
        <v/>
      </c>
      <c r="CG46" s="8" t="str">
        <f t="array" ref="CG46">IFERROR(INDEX(CHOOSE($BO$11,$AF$8:$AF$207,$AG$8:$AG$207,$BJ$8:$BJ$207), MATCH(CG$7&amp;$CC46, $B$8:$B$207&amp;$C$8:$C$207, 0)), "")</f>
        <v/>
      </c>
      <c r="CH46" s="8" t="str">
        <f t="array" ref="CH46">IFERROR(INDEX(CHOOSE($BO$11,$AF$8:$AF$207,$AG$8:$AG$207,$BJ$8:$BJ$207), MATCH(CH$7&amp;$CC46, $B$8:$B$207&amp;$C$8:$C$207, 0)), "")</f>
        <v/>
      </c>
      <c r="CI46" s="8" t="str">
        <f t="array" ref="CI46">IFERROR(INDEX(CHOOSE($BO$11,$AF$8:$AF$207,$AG$8:$AG$207,$BJ$8:$BJ$207), MATCH(CI$7&amp;$CC46, $B$8:$B$207&amp;$C$8:$C$207, 0)), "")</f>
        <v/>
      </c>
      <c r="CJ46" s="8" t="str">
        <f t="array" ref="CJ46">IFERROR(INDEX(CHOOSE($BO$11,$AF$8:$AF$207,$AG$8:$AG$207,$BJ$8:$BJ$207), MATCH(CJ$7&amp;$CC46, $B$8:$B$207&amp;$C$8:$C$207, 0)), "")</f>
        <v/>
      </c>
      <c r="CK46" s="8" t="str">
        <f t="array" ref="CK46">IFERROR(INDEX(CHOOSE($BO$11,$AF$8:$AF$207,$AG$8:$AG$207,$BJ$8:$BJ$207), MATCH(CK$7&amp;$CC46, $B$8:$B$207&amp;$C$8:$C$207, 0)), "")</f>
        <v/>
      </c>
      <c r="CL46" s="8" t="str">
        <f t="array" ref="CL46">IFERROR(INDEX(CHOOSE($BO$11,$AF$8:$AF$207,$AG$8:$AG$207,$BJ$8:$BJ$207), MATCH(CL$7&amp;$CC46, $B$8:$B$207&amp;$C$8:$C$207, 0)), "")</f>
        <v/>
      </c>
      <c r="CM46" s="8" t="str">
        <f t="array" ref="CM46">IFERROR(INDEX(CHOOSE($BO$11,$AF$8:$AF$207,$AG$8:$AG$207,$BJ$8:$BJ$207), MATCH(CM$7&amp;$CC46, $B$8:$B$207&amp;$C$8:$C$207, 0)), "")</f>
        <v/>
      </c>
      <c r="CN46" s="8" t="str">
        <f t="array" ref="CN46">IFERROR(INDEX(CHOOSE($BO$11,$AF$8:$AF$207,$AG$8:$AG$207,$BJ$8:$BJ$207), MATCH(CN$7&amp;$CC46, $B$8:$B$207&amp;$C$8:$C$207, 0)), "")</f>
        <v/>
      </c>
      <c r="CO46" s="8" t="str">
        <f t="array" ref="CO46">IFERROR(INDEX(CHOOSE($BO$11,$AF$8:$AF$207,$AG$8:$AG$207,$BJ$8:$BJ$207), MATCH(CO$7&amp;$CC46, $B$8:$B$207&amp;$C$8:$C$207, 0)), "")</f>
        <v/>
      </c>
      <c r="CP46" s="8" t="str">
        <f t="array" ref="CP46">IFERROR(INDEX(CHOOSE($BO$11,$AF$8:$AF$207,$AG$8:$AG$207,$BJ$8:$BJ$207), MATCH(CP$7&amp;$CC46, $B$8:$B$207&amp;$C$8:$C$207, 0)), "")</f>
        <v/>
      </c>
      <c r="CQ46" s="8" t="str">
        <f t="array" ref="CQ46">IFERROR(INDEX(CHOOSE($BO$11,$AF$8:$AF$207,$AG$8:$AG$207,$BJ$8:$BJ$207), MATCH(CQ$7&amp;$CC46, $B$8:$B$207&amp;$C$8:$C$207, 0)), "")</f>
        <v/>
      </c>
      <c r="CR46" s="8" t="str">
        <f t="array" ref="CR46">IFERROR(INDEX(CHOOSE($BO$11,$AF$8:$AF$207,$AG$8:$AG$207,$BJ$8:$BJ$207), MATCH(CR$7&amp;$CC46, $B$8:$B$207&amp;$C$8:$C$207, 0)), "")</f>
        <v/>
      </c>
      <c r="CS46" s="8" t="str">
        <f t="array" ref="CS46">IFERROR(INDEX(CHOOSE($BO$11,$AF$8:$AF$207,$AG$8:$AG$207,$BJ$8:$BJ$207), MATCH(CS$7&amp;$CC46, $B$8:$B$207&amp;$C$8:$C$207, 0)), "")</f>
        <v/>
      </c>
      <c r="CT46" s="8" t="str">
        <f t="array" ref="CT46">IFERROR(INDEX(CHOOSE($BO$11,$AF$8:$AF$207,$AG$8:$AG$207,$BJ$8:$BJ$207), MATCH(CT$7&amp;$CC46, $B$8:$B$207&amp;$C$8:$C$207, 0)), "")</f>
        <v/>
      </c>
      <c r="CU46" s="8" t="str">
        <f t="array" ref="CU46">IFERROR(INDEX(CHOOSE($BO$11,$AF$8:$AF$207,$AG$8:$AG$207,$BJ$8:$BJ$207), MATCH(CU$7&amp;$CC46, $B$8:$B$207&amp;$C$8:$C$207, 0)), "")</f>
        <v/>
      </c>
      <c r="CV46" s="8" t="str">
        <f t="array" ref="CV46">IFERROR(INDEX(CHOOSE($BO$11,$AF$8:$AF$207,$AG$8:$AG$207,$BJ$8:$BJ$207), MATCH(CV$7&amp;$CC46, $B$8:$B$207&amp;$C$8:$C$207, 0)), "")</f>
        <v/>
      </c>
      <c r="CW46" s="8" t="str">
        <f t="array" ref="CW46">IFERROR(INDEX(CHOOSE($BO$11,$AF$8:$AF$207,$AG$8:$AG$207,$BJ$8:$BJ$207), MATCH(CW$7&amp;$CC46, $B$8:$B$207&amp;$C$8:$C$207, 0)), "")</f>
        <v/>
      </c>
      <c r="CX46" s="8" t="str">
        <f t="array" ref="CX46">IFERROR(INDEX(CHOOSE($BO$11,$AF$8:$AF$207,$AG$8:$AG$207,$BJ$8:$BJ$207), MATCH(CX$7&amp;$CC46, $B$8:$B$207&amp;$C$8:$C$207, 0)), "")</f>
        <v/>
      </c>
      <c r="CY46" s="8" t="str">
        <f t="array" ref="CY46">IFERROR(INDEX(CHOOSE($BO$11,$AF$8:$AF$207,$AG$8:$AG$207,$BJ$8:$BJ$207), MATCH(CY$7&amp;$CC46, $B$8:$B$207&amp;$C$8:$C$207, 0)), "")</f>
        <v/>
      </c>
      <c r="CZ46" s="8" t="str">
        <f t="array" ref="CZ46">IFERROR(INDEX(CHOOSE($BO$11,$AF$8:$AF$207,$AG$8:$AG$207,$BJ$8:$BJ$207), MATCH(CZ$7&amp;$CC46, $B$8:$B$207&amp;$C$8:$C$207, 0)), "")</f>
        <v/>
      </c>
      <c r="DA46" s="8" t="str">
        <f t="array" ref="DA46">IFERROR(INDEX(CHOOSE($BO$11,$AF$8:$AF$207,$AG$8:$AG$207,$BJ$8:$BJ$207), MATCH(DA$7&amp;$CC46, $B$8:$B$207&amp;$C$8:$C$207, 0)), "")</f>
        <v/>
      </c>
      <c r="DB46" s="8" t="str">
        <f t="array" ref="DB46">IFERROR(INDEX(CHOOSE($BO$11,$AF$8:$AF$207,$AG$8:$AG$207,$BJ$8:$BJ$207), MATCH(DB$7&amp;$CC46, $B$8:$B$207&amp;$C$8:$C$207, 0)), "")</f>
        <v/>
      </c>
      <c r="DC46" s="8" t="str">
        <f t="array" ref="DC46">IFERROR(INDEX(CHOOSE($BO$11,$AF$8:$AF$207,$AG$8:$AG$207,$BJ$8:$BJ$207), MATCH(DC$7&amp;$CC46, $B$8:$B$207&amp;$C$8:$C$207, 0)), "")</f>
        <v/>
      </c>
      <c r="DD46" s="8" t="str">
        <f t="array" ref="DD46">IFERROR(INDEX(CHOOSE($BO$11,$AF$8:$AF$207,$AG$8:$AG$207,$BJ$8:$BJ$207), MATCH(DD$7&amp;$CC46, $B$8:$B$207&amp;$C$8:$C$207, 0)), "")</f>
        <v/>
      </c>
      <c r="DE46" s="8" t="str">
        <f t="array" ref="DE46">IFERROR(INDEX(CHOOSE($BO$11,$AF$8:$AF$207,$AG$8:$AG$207,$BJ$8:$BJ$207), MATCH(DE$7&amp;$CC46, $B$8:$B$207&amp;$C$8:$C$207, 0)), "")</f>
        <v/>
      </c>
      <c r="DF46" s="8" t="str">
        <f t="array" ref="DF46">IFERROR(INDEX(CHOOSE($BO$11,$AF$8:$AF$207,$AG$8:$AG$207,$BJ$8:$BJ$207), MATCH(DF$7&amp;$CC46, $B$8:$B$207&amp;$C$8:$C$207, 0)), "")</f>
        <v/>
      </c>
      <c r="DG46" s="8" t="str">
        <f t="array" ref="DG46">IFERROR(INDEX(CHOOSE($BO$11,$AF$8:$AF$207,$AG$8:$AG$207,$BJ$8:$BJ$207), MATCH(DG$7&amp;$CC46, $B$8:$B$207&amp;$C$8:$C$207, 0)), "")</f>
        <v/>
      </c>
      <c r="DH46" s="8"/>
      <c r="DI46" s="8"/>
      <c r="DJ46" s="8"/>
      <c r="DK46" s="8"/>
      <c r="DL46" s="8"/>
      <c r="DM46" s="8"/>
      <c r="DN46" s="8"/>
      <c r="DO46" s="8"/>
      <c r="DP46" s="8"/>
      <c r="DQ46" s="8"/>
      <c r="DR46" s="8"/>
      <c r="DS46" s="8"/>
      <c r="DT46" s="8"/>
      <c r="DU46" s="8"/>
      <c r="DV46" s="8"/>
      <c r="DW46" s="8"/>
      <c r="DX46" s="8"/>
      <c r="DY46" s="8"/>
      <c r="DZ46" s="8"/>
      <c r="EA46" s="8"/>
    </row>
    <row r="47" spans="2:131" x14ac:dyDescent="0.2">
      <c r="B47" s="1">
        <f>IFERROR(Calculations!M45/1000, "")</f>
        <v>15</v>
      </c>
      <c r="C47" s="1">
        <f>Calculations!N45</f>
        <v>750</v>
      </c>
      <c r="D47" s="58">
        <f>IFERROR(Calculations!$Q45,"")</f>
        <v>1.0007769233918191</v>
      </c>
      <c r="E47" s="8">
        <f>IFERROR(Calculations!$S45, "")</f>
        <v>16.561726058678548</v>
      </c>
      <c r="F47" s="89"/>
      <c r="G47" s="89"/>
      <c r="H47" s="89"/>
      <c r="I47" s="89"/>
      <c r="J47" s="1" t="str">
        <f>IFERROR(Calculations!AC45, "")</f>
        <v/>
      </c>
      <c r="K47" s="1" t="str">
        <f>IFERROR(Calculations!AD45, "")</f>
        <v/>
      </c>
      <c r="L47" s="8">
        <f>IFERROR(Calculations!AE45,"")</f>
        <v>-69955.123143381235</v>
      </c>
      <c r="M47" s="8">
        <f>IFERROR(Calculations!AF45,"")</f>
        <v>-112483.04605063974</v>
      </c>
      <c r="N47" s="8" t="str">
        <f>IFERROR(Calculations!AG45,"")</f>
        <v/>
      </c>
      <c r="O47" s="8" t="str">
        <f>IFERROR(Calculations!AH45,"")</f>
        <v/>
      </c>
      <c r="P47" s="8" t="str">
        <f>IFERROR(Calculations!AI45,"")</f>
        <v/>
      </c>
      <c r="Q47" s="8" t="str">
        <f>IFERROR(Calculations!AJ45,"")</f>
        <v/>
      </c>
      <c r="R47" s="8" t="str">
        <f>IFERROR(Calculations!AK45,"")</f>
        <v/>
      </c>
      <c r="S47" s="89"/>
      <c r="T47" s="89"/>
      <c r="U47" s="89"/>
      <c r="V47" s="89"/>
      <c r="W47" s="1" t="str">
        <f>IFERROR(Calculations!AP45, "")</f>
        <v/>
      </c>
      <c r="X47" s="1" t="str">
        <f>IFERROR(Calculations!AQ45, "")</f>
        <v/>
      </c>
      <c r="Y47" s="8" t="str">
        <f>IFERROR(Calculations!AR45,"")</f>
        <v/>
      </c>
      <c r="Z47" s="8">
        <f>IFERROR(Calculations!AS45,"")</f>
        <v>0</v>
      </c>
      <c r="AA47" s="8">
        <f>IFERROR(Calculations!AT45,"")</f>
        <v>-150108.66755930008</v>
      </c>
      <c r="AB47" s="8" t="str">
        <f>IFERROR(Calculations!AU45,"")</f>
        <v/>
      </c>
      <c r="AC47" s="8" t="str">
        <f>IFERROR(Calculations!AV45,"")</f>
        <v/>
      </c>
      <c r="AD47" s="8" t="str">
        <f>IFERROR(Calculations!AW45,"")</f>
        <v/>
      </c>
      <c r="AE47" s="8" t="str">
        <f>IFERROR(Calculations!AX45,"")</f>
        <v/>
      </c>
      <c r="AF47" s="8">
        <f>IFERROR(IF(Calculations!AY45 &lt;&gt; 0, Calculations!AY45, ""),"")</f>
        <v>32329.501634720888</v>
      </c>
      <c r="AG47" s="42">
        <f>IFERROR(IF(Calculations!AZ45 &lt;&gt; 0, Calculations!AZ45, ""),"")</f>
        <v>-6.9102152380678428</v>
      </c>
      <c r="AH47" s="1">
        <f t="shared" si="1"/>
        <v>15</v>
      </c>
      <c r="AI47" s="1">
        <f t="shared" si="2"/>
        <v>750</v>
      </c>
      <c r="AJ47" s="89"/>
      <c r="AK47" s="89"/>
      <c r="AL47" s="89"/>
      <c r="AM47" s="89"/>
      <c r="AN47" s="8" t="str">
        <f>IFERROR(Calculations!BJ45, "")</f>
        <v/>
      </c>
      <c r="AO47" s="8" t="str">
        <f>IFERROR(Calculations!BK45, "")</f>
        <v/>
      </c>
      <c r="AP47" s="8">
        <f>IFERROR(Calculations!BL45, "")</f>
        <v>18.001294373318348</v>
      </c>
      <c r="AQ47" s="8">
        <f>IFERROR(Calculations!BM45, "")</f>
        <v>32.847337660569941</v>
      </c>
      <c r="AR47" s="8" t="str">
        <f>IFERROR(Calculations!BN45, "")</f>
        <v/>
      </c>
      <c r="AS47" s="8" t="str">
        <f>IFERROR(Calculations!BO45, "")</f>
        <v/>
      </c>
      <c r="AT47" s="8" t="str">
        <f>IFERROR(Calculations!BP45, "")</f>
        <v/>
      </c>
      <c r="AU47" s="8" t="str">
        <f>IFERROR(Calculations!BQ45, "")</f>
        <v/>
      </c>
      <c r="AV47" s="8" t="str">
        <f>IFERROR(Calculations!BR45, "")</f>
        <v/>
      </c>
      <c r="AW47" s="89"/>
      <c r="AX47" s="89"/>
      <c r="AY47" s="89"/>
      <c r="AZ47" s="89"/>
      <c r="BA47" s="8" t="str">
        <f>IFERROR(Calculations!BW45, "")</f>
        <v/>
      </c>
      <c r="BB47" s="8" t="str">
        <f>IFERROR(Calculations!BX45, "")</f>
        <v/>
      </c>
      <c r="BC47" s="8" t="str">
        <f>IFERROR(Calculations!BY45, "")</f>
        <v/>
      </c>
      <c r="BD47" s="8">
        <f>IFERROR(Calculations!BZ45, "")</f>
        <v>0</v>
      </c>
      <c r="BE47" s="8">
        <f>IFERROR(Calculations!CA45, "")</f>
        <v>27.253232994352327</v>
      </c>
      <c r="BF47" s="8" t="str">
        <f>IFERROR(Calculations!CB45, "")</f>
        <v/>
      </c>
      <c r="BG47" s="8" t="str">
        <f>IFERROR(Calculations!CC45, "")</f>
        <v/>
      </c>
      <c r="BH47" s="8" t="str">
        <f>IFERROR(Calculations!CD45, "")</f>
        <v/>
      </c>
      <c r="BI47" s="8" t="str">
        <f>IFERROR(Calculations!CE45, "")</f>
        <v/>
      </c>
      <c r="BJ47" s="8">
        <f>IFERROR(IF(Calculations!CF45 &lt;&gt; 0, Calculations!CF45, ""),"")</f>
        <v>-23.595399039535966</v>
      </c>
      <c r="BK47" s="1">
        <f t="shared" si="3"/>
        <v>750</v>
      </c>
      <c r="BL47" s="1">
        <f t="shared" si="4"/>
        <v>15</v>
      </c>
      <c r="CC47" s="1" t="str">
        <f t="shared" si="5"/>
        <v/>
      </c>
      <c r="CD47" s="8" t="str">
        <f t="array" ref="CD47">IFERROR(INDEX(CHOOSE($BO$11,$AF$8:$AF$207,$AG$8:$AG$207,$BJ$8:$BJ$207), MATCH(CD$7&amp;$CC47, $B$8:$B$207&amp;$C$8:$C$207, 0)), "")</f>
        <v/>
      </c>
      <c r="CE47" s="8" t="str">
        <f t="array" ref="CE47">IFERROR(INDEX(CHOOSE($BO$11,$AF$8:$AF$207,$AG$8:$AG$207,$BJ$8:$BJ$207), MATCH(CE$7&amp;$CC47, $B$8:$B$207&amp;$C$8:$C$207, 0)), "")</f>
        <v/>
      </c>
      <c r="CF47" s="8" t="str">
        <f t="array" ref="CF47">IFERROR(INDEX(CHOOSE($BO$11,$AF$8:$AF$207,$AG$8:$AG$207,$BJ$8:$BJ$207), MATCH(CF$7&amp;$CC47, $B$8:$B$207&amp;$C$8:$C$207, 0)), "")</f>
        <v/>
      </c>
      <c r="CG47" s="8" t="str">
        <f t="array" ref="CG47">IFERROR(INDEX(CHOOSE($BO$11,$AF$8:$AF$207,$AG$8:$AG$207,$BJ$8:$BJ$207), MATCH(CG$7&amp;$CC47, $B$8:$B$207&amp;$C$8:$C$207, 0)), "")</f>
        <v/>
      </c>
      <c r="CH47" s="8" t="str">
        <f t="array" ref="CH47">IFERROR(INDEX(CHOOSE($BO$11,$AF$8:$AF$207,$AG$8:$AG$207,$BJ$8:$BJ$207), MATCH(CH$7&amp;$CC47, $B$8:$B$207&amp;$C$8:$C$207, 0)), "")</f>
        <v/>
      </c>
      <c r="CI47" s="8" t="str">
        <f t="array" ref="CI47">IFERROR(INDEX(CHOOSE($BO$11,$AF$8:$AF$207,$AG$8:$AG$207,$BJ$8:$BJ$207), MATCH(CI$7&amp;$CC47, $B$8:$B$207&amp;$C$8:$C$207, 0)), "")</f>
        <v/>
      </c>
      <c r="CJ47" s="8" t="str">
        <f t="array" ref="CJ47">IFERROR(INDEX(CHOOSE($BO$11,$AF$8:$AF$207,$AG$8:$AG$207,$BJ$8:$BJ$207), MATCH(CJ$7&amp;$CC47, $B$8:$B$207&amp;$C$8:$C$207, 0)), "")</f>
        <v/>
      </c>
      <c r="CK47" s="8" t="str">
        <f t="array" ref="CK47">IFERROR(INDEX(CHOOSE($BO$11,$AF$8:$AF$207,$AG$8:$AG$207,$BJ$8:$BJ$207), MATCH(CK$7&amp;$CC47, $B$8:$B$207&amp;$C$8:$C$207, 0)), "")</f>
        <v/>
      </c>
      <c r="CL47" s="8" t="str">
        <f t="array" ref="CL47">IFERROR(INDEX(CHOOSE($BO$11,$AF$8:$AF$207,$AG$8:$AG$207,$BJ$8:$BJ$207), MATCH(CL$7&amp;$CC47, $B$8:$B$207&amp;$C$8:$C$207, 0)), "")</f>
        <v/>
      </c>
      <c r="CM47" s="8" t="str">
        <f t="array" ref="CM47">IFERROR(INDEX(CHOOSE($BO$11,$AF$8:$AF$207,$AG$8:$AG$207,$BJ$8:$BJ$207), MATCH(CM$7&amp;$CC47, $B$8:$B$207&amp;$C$8:$C$207, 0)), "")</f>
        <v/>
      </c>
      <c r="CN47" s="8" t="str">
        <f t="array" ref="CN47">IFERROR(INDEX(CHOOSE($BO$11,$AF$8:$AF$207,$AG$8:$AG$207,$BJ$8:$BJ$207), MATCH(CN$7&amp;$CC47, $B$8:$B$207&amp;$C$8:$C$207, 0)), "")</f>
        <v/>
      </c>
      <c r="CO47" s="8" t="str">
        <f t="array" ref="CO47">IFERROR(INDEX(CHOOSE($BO$11,$AF$8:$AF$207,$AG$8:$AG$207,$BJ$8:$BJ$207), MATCH(CO$7&amp;$CC47, $B$8:$B$207&amp;$C$8:$C$207, 0)), "")</f>
        <v/>
      </c>
      <c r="CP47" s="8" t="str">
        <f t="array" ref="CP47">IFERROR(INDEX(CHOOSE($BO$11,$AF$8:$AF$207,$AG$8:$AG$207,$BJ$8:$BJ$207), MATCH(CP$7&amp;$CC47, $B$8:$B$207&amp;$C$8:$C$207, 0)), "")</f>
        <v/>
      </c>
      <c r="CQ47" s="8" t="str">
        <f t="array" ref="CQ47">IFERROR(INDEX(CHOOSE($BO$11,$AF$8:$AF$207,$AG$8:$AG$207,$BJ$8:$BJ$207), MATCH(CQ$7&amp;$CC47, $B$8:$B$207&amp;$C$8:$C$207, 0)), "")</f>
        <v/>
      </c>
      <c r="CR47" s="8" t="str">
        <f t="array" ref="CR47">IFERROR(INDEX(CHOOSE($BO$11,$AF$8:$AF$207,$AG$8:$AG$207,$BJ$8:$BJ$207), MATCH(CR$7&amp;$CC47, $B$8:$B$207&amp;$C$8:$C$207, 0)), "")</f>
        <v/>
      </c>
      <c r="CS47" s="8" t="str">
        <f t="array" ref="CS47">IFERROR(INDEX(CHOOSE($BO$11,$AF$8:$AF$207,$AG$8:$AG$207,$BJ$8:$BJ$207), MATCH(CS$7&amp;$CC47, $B$8:$B$207&amp;$C$8:$C$207, 0)), "")</f>
        <v/>
      </c>
      <c r="CT47" s="8" t="str">
        <f t="array" ref="CT47">IFERROR(INDEX(CHOOSE($BO$11,$AF$8:$AF$207,$AG$8:$AG$207,$BJ$8:$BJ$207), MATCH(CT$7&amp;$CC47, $B$8:$B$207&amp;$C$8:$C$207, 0)), "")</f>
        <v/>
      </c>
      <c r="CU47" s="8" t="str">
        <f t="array" ref="CU47">IFERROR(INDEX(CHOOSE($BO$11,$AF$8:$AF$207,$AG$8:$AG$207,$BJ$8:$BJ$207), MATCH(CU$7&amp;$CC47, $B$8:$B$207&amp;$C$8:$C$207, 0)), "")</f>
        <v/>
      </c>
      <c r="CV47" s="8" t="str">
        <f t="array" ref="CV47">IFERROR(INDEX(CHOOSE($BO$11,$AF$8:$AF$207,$AG$8:$AG$207,$BJ$8:$BJ$207), MATCH(CV$7&amp;$CC47, $B$8:$B$207&amp;$C$8:$C$207, 0)), "")</f>
        <v/>
      </c>
      <c r="CW47" s="8" t="str">
        <f t="array" ref="CW47">IFERROR(INDEX(CHOOSE($BO$11,$AF$8:$AF$207,$AG$8:$AG$207,$BJ$8:$BJ$207), MATCH(CW$7&amp;$CC47, $B$8:$B$207&amp;$C$8:$C$207, 0)), "")</f>
        <v/>
      </c>
      <c r="CX47" s="8" t="str">
        <f t="array" ref="CX47">IFERROR(INDEX(CHOOSE($BO$11,$AF$8:$AF$207,$AG$8:$AG$207,$BJ$8:$BJ$207), MATCH(CX$7&amp;$CC47, $B$8:$B$207&amp;$C$8:$C$207, 0)), "")</f>
        <v/>
      </c>
      <c r="CY47" s="8" t="str">
        <f t="array" ref="CY47">IFERROR(INDEX(CHOOSE($BO$11,$AF$8:$AF$207,$AG$8:$AG$207,$BJ$8:$BJ$207), MATCH(CY$7&amp;$CC47, $B$8:$B$207&amp;$C$8:$C$207, 0)), "")</f>
        <v/>
      </c>
      <c r="CZ47" s="8" t="str">
        <f t="array" ref="CZ47">IFERROR(INDEX(CHOOSE($BO$11,$AF$8:$AF$207,$AG$8:$AG$207,$BJ$8:$BJ$207), MATCH(CZ$7&amp;$CC47, $B$8:$B$207&amp;$C$8:$C$207, 0)), "")</f>
        <v/>
      </c>
      <c r="DA47" s="8" t="str">
        <f t="array" ref="DA47">IFERROR(INDEX(CHOOSE($BO$11,$AF$8:$AF$207,$AG$8:$AG$207,$BJ$8:$BJ$207), MATCH(DA$7&amp;$CC47, $B$8:$B$207&amp;$C$8:$C$207, 0)), "")</f>
        <v/>
      </c>
      <c r="DB47" s="8" t="str">
        <f t="array" ref="DB47">IFERROR(INDEX(CHOOSE($BO$11,$AF$8:$AF$207,$AG$8:$AG$207,$BJ$8:$BJ$207), MATCH(DB$7&amp;$CC47, $B$8:$B$207&amp;$C$8:$C$207, 0)), "")</f>
        <v/>
      </c>
      <c r="DC47" s="8" t="str">
        <f t="array" ref="DC47">IFERROR(INDEX(CHOOSE($BO$11,$AF$8:$AF$207,$AG$8:$AG$207,$BJ$8:$BJ$207), MATCH(DC$7&amp;$CC47, $B$8:$B$207&amp;$C$8:$C$207, 0)), "")</f>
        <v/>
      </c>
      <c r="DD47" s="8" t="str">
        <f t="array" ref="DD47">IFERROR(INDEX(CHOOSE($BO$11,$AF$8:$AF$207,$AG$8:$AG$207,$BJ$8:$BJ$207), MATCH(DD$7&amp;$CC47, $B$8:$B$207&amp;$C$8:$C$207, 0)), "")</f>
        <v/>
      </c>
      <c r="DE47" s="8" t="str">
        <f t="array" ref="DE47">IFERROR(INDEX(CHOOSE($BO$11,$AF$8:$AF$207,$AG$8:$AG$207,$BJ$8:$BJ$207), MATCH(DE$7&amp;$CC47, $B$8:$B$207&amp;$C$8:$C$207, 0)), "")</f>
        <v/>
      </c>
      <c r="DF47" s="8" t="str">
        <f t="array" ref="DF47">IFERROR(INDEX(CHOOSE($BO$11,$AF$8:$AF$207,$AG$8:$AG$207,$BJ$8:$BJ$207), MATCH(DF$7&amp;$CC47, $B$8:$B$207&amp;$C$8:$C$207, 0)), "")</f>
        <v/>
      </c>
      <c r="DG47" s="8" t="str">
        <f t="array" ref="DG47">IFERROR(INDEX(CHOOSE($BO$11,$AF$8:$AF$207,$AG$8:$AG$207,$BJ$8:$BJ$207), MATCH(DG$7&amp;$CC47, $B$8:$B$207&amp;$C$8:$C$207, 0)), "")</f>
        <v/>
      </c>
      <c r="DH47" s="8"/>
      <c r="DI47" s="8"/>
      <c r="DJ47" s="8"/>
      <c r="DK47" s="8"/>
      <c r="DL47" s="8"/>
      <c r="DM47" s="8"/>
      <c r="DN47" s="8"/>
      <c r="DO47" s="8"/>
      <c r="DP47" s="8"/>
      <c r="DQ47" s="8"/>
      <c r="DR47" s="8"/>
      <c r="DS47" s="8"/>
      <c r="DT47" s="8"/>
      <c r="DU47" s="8"/>
      <c r="DV47" s="8"/>
      <c r="DW47" s="8"/>
      <c r="DX47" s="8"/>
      <c r="DY47" s="8"/>
      <c r="DZ47" s="8"/>
      <c r="EA47" s="8"/>
    </row>
    <row r="48" spans="2:131" x14ac:dyDescent="0.2">
      <c r="B48" s="1">
        <f>IFERROR(Calculations!M46/1000, "")</f>
        <v>15</v>
      </c>
      <c r="C48" s="1">
        <f>Calculations!N46</f>
        <v>800</v>
      </c>
      <c r="D48" s="58">
        <f>IFERROR(Calculations!$Q46,"")</f>
        <v>0.98281006916165348</v>
      </c>
      <c r="E48" s="8">
        <f>IFERROR(Calculations!$S46, "")</f>
        <v>15.114134468118241</v>
      </c>
      <c r="F48" s="89"/>
      <c r="G48" s="89"/>
      <c r="H48" s="89"/>
      <c r="I48" s="89"/>
      <c r="J48" s="1" t="str">
        <f>IFERROR(Calculations!AC46, "")</f>
        <v/>
      </c>
      <c r="K48" s="1" t="str">
        <f>IFERROR(Calculations!AD46, "")</f>
        <v/>
      </c>
      <c r="L48" s="8">
        <f>IFERROR(Calculations!AE46,"")</f>
        <v>-71642.984159468047</v>
      </c>
      <c r="M48" s="8">
        <f>IFERROR(Calculations!AF46,"")</f>
        <v>-115056.68657061129</v>
      </c>
      <c r="N48" s="8" t="str">
        <f>IFERROR(Calculations!AG46,"")</f>
        <v/>
      </c>
      <c r="O48" s="8" t="str">
        <f>IFERROR(Calculations!AH46,"")</f>
        <v/>
      </c>
      <c r="P48" s="8" t="str">
        <f>IFERROR(Calculations!AI46,"")</f>
        <v/>
      </c>
      <c r="Q48" s="8" t="str">
        <f>IFERROR(Calculations!AJ46,"")</f>
        <v/>
      </c>
      <c r="R48" s="8" t="str">
        <f>IFERROR(Calculations!AK46,"")</f>
        <v/>
      </c>
      <c r="S48" s="89"/>
      <c r="T48" s="89"/>
      <c r="U48" s="89"/>
      <c r="V48" s="89"/>
      <c r="W48" s="1" t="str">
        <f>IFERROR(Calculations!AP46, "")</f>
        <v/>
      </c>
      <c r="X48" s="1" t="str">
        <f>IFERROR(Calculations!AQ46, "")</f>
        <v/>
      </c>
      <c r="Y48" s="8" t="str">
        <f>IFERROR(Calculations!AR46,"")</f>
        <v/>
      </c>
      <c r="Z48" s="8">
        <f>IFERROR(Calculations!AS46,"")</f>
        <v>0</v>
      </c>
      <c r="AA48" s="8">
        <f>IFERROR(Calculations!AT46,"")</f>
        <v>-151541.32930440037</v>
      </c>
      <c r="AB48" s="8" t="str">
        <f>IFERROR(Calculations!AU46,"")</f>
        <v/>
      </c>
      <c r="AC48" s="8" t="str">
        <f>IFERROR(Calculations!AV46,"")</f>
        <v/>
      </c>
      <c r="AD48" s="8" t="str">
        <f>IFERROR(Calculations!AW46,"")</f>
        <v/>
      </c>
      <c r="AE48" s="8" t="str">
        <f>IFERROR(Calculations!AX46,"")</f>
        <v/>
      </c>
      <c r="AF48" s="8">
        <f>IFERROR(IF(Calculations!AY46 &lt;&gt; 0, Calculations!AY46, ""),"")</f>
        <v>35158.341425678984</v>
      </c>
      <c r="AG48" s="42">
        <f>IFERROR(IF(Calculations!AZ46 &lt;&gt; 0, Calculations!AZ46, ""),"")</f>
        <v>-7.1647299030473457</v>
      </c>
      <c r="AH48" s="1">
        <f t="shared" si="1"/>
        <v>15</v>
      </c>
      <c r="AI48" s="1">
        <f t="shared" si="2"/>
        <v>800</v>
      </c>
      <c r="AJ48" s="89"/>
      <c r="AK48" s="89"/>
      <c r="AL48" s="89"/>
      <c r="AM48" s="89"/>
      <c r="AN48" s="8" t="str">
        <f>IFERROR(Calculations!BJ46, "")</f>
        <v/>
      </c>
      <c r="AO48" s="8" t="str">
        <f>IFERROR(Calculations!BK46, "")</f>
        <v/>
      </c>
      <c r="AP48" s="8">
        <f>IFERROR(Calculations!BL46, "")</f>
        <v>18.330377928837471</v>
      </c>
      <c r="AQ48" s="8">
        <f>IFERROR(Calculations!BM46, "")</f>
        <v>33.165831481787741</v>
      </c>
      <c r="AR48" s="8" t="str">
        <f>IFERROR(Calculations!BN46, "")</f>
        <v/>
      </c>
      <c r="AS48" s="8" t="str">
        <f>IFERROR(Calculations!BO46, "")</f>
        <v/>
      </c>
      <c r="AT48" s="8" t="str">
        <f>IFERROR(Calculations!BP46, "")</f>
        <v/>
      </c>
      <c r="AU48" s="8" t="str">
        <f>IFERROR(Calculations!BQ46, "")</f>
        <v/>
      </c>
      <c r="AV48" s="8" t="str">
        <f>IFERROR(Calculations!BR46, "")</f>
        <v/>
      </c>
      <c r="AW48" s="89"/>
      <c r="AX48" s="89"/>
      <c r="AY48" s="89"/>
      <c r="AZ48" s="89"/>
      <c r="BA48" s="8" t="str">
        <f>IFERROR(Calculations!BW46, "")</f>
        <v/>
      </c>
      <c r="BB48" s="8" t="str">
        <f>IFERROR(Calculations!BX46, "")</f>
        <v/>
      </c>
      <c r="BC48" s="8" t="str">
        <f>IFERROR(Calculations!BY46, "")</f>
        <v/>
      </c>
      <c r="BD48" s="8">
        <f>IFERROR(Calculations!BZ46, "")</f>
        <v>0</v>
      </c>
      <c r="BE48" s="8">
        <f>IFERROR(Calculations!CA46, "")</f>
        <v>26.743303053033515</v>
      </c>
      <c r="BF48" s="8" t="str">
        <f>IFERROR(Calculations!CB46, "")</f>
        <v/>
      </c>
      <c r="BG48" s="8" t="str">
        <f>IFERROR(Calculations!CC46, "")</f>
        <v/>
      </c>
      <c r="BH48" s="8" t="str">
        <f>IFERROR(Calculations!CD46, "")</f>
        <v/>
      </c>
      <c r="BI48" s="8" t="str">
        <f>IFERROR(Calculations!CE46, "")</f>
        <v/>
      </c>
      <c r="BJ48" s="8">
        <f>IFERROR(IF(Calculations!CF46 &lt;&gt; 0, Calculations!CF46, ""),"")</f>
        <v>-24.752906357591698</v>
      </c>
      <c r="BK48" s="1">
        <f t="shared" si="3"/>
        <v>800</v>
      </c>
      <c r="BL48" s="1">
        <f t="shared" si="4"/>
        <v>15</v>
      </c>
      <c r="CC48" s="1" t="str">
        <f t="shared" si="5"/>
        <v/>
      </c>
      <c r="CD48" s="8" t="str">
        <f t="array" ref="CD48">IFERROR(INDEX(CHOOSE($BO$11,$AF$8:$AF$207,$AG$8:$AG$207,$BJ$8:$BJ$207), MATCH(CD$7&amp;$CC48, $B$8:$B$207&amp;$C$8:$C$207, 0)), "")</f>
        <v/>
      </c>
      <c r="CE48" s="8" t="str">
        <f t="array" ref="CE48">IFERROR(INDEX(CHOOSE($BO$11,$AF$8:$AF$207,$AG$8:$AG$207,$BJ$8:$BJ$207), MATCH(CE$7&amp;$CC48, $B$8:$B$207&amp;$C$8:$C$207, 0)), "")</f>
        <v/>
      </c>
      <c r="CF48" s="8" t="str">
        <f t="array" ref="CF48">IFERROR(INDEX(CHOOSE($BO$11,$AF$8:$AF$207,$AG$8:$AG$207,$BJ$8:$BJ$207), MATCH(CF$7&amp;$CC48, $B$8:$B$207&amp;$C$8:$C$207, 0)), "")</f>
        <v/>
      </c>
      <c r="CG48" s="8" t="str">
        <f t="array" ref="CG48">IFERROR(INDEX(CHOOSE($BO$11,$AF$8:$AF$207,$AG$8:$AG$207,$BJ$8:$BJ$207), MATCH(CG$7&amp;$CC48, $B$8:$B$207&amp;$C$8:$C$207, 0)), "")</f>
        <v/>
      </c>
      <c r="CH48" s="8" t="str">
        <f t="array" ref="CH48">IFERROR(INDEX(CHOOSE($BO$11,$AF$8:$AF$207,$AG$8:$AG$207,$BJ$8:$BJ$207), MATCH(CH$7&amp;$CC48, $B$8:$B$207&amp;$C$8:$C$207, 0)), "")</f>
        <v/>
      </c>
      <c r="CI48" s="8" t="str">
        <f t="array" ref="CI48">IFERROR(INDEX(CHOOSE($BO$11,$AF$8:$AF$207,$AG$8:$AG$207,$BJ$8:$BJ$207), MATCH(CI$7&amp;$CC48, $B$8:$B$207&amp;$C$8:$C$207, 0)), "")</f>
        <v/>
      </c>
      <c r="CJ48" s="8" t="str">
        <f t="array" ref="CJ48">IFERROR(INDEX(CHOOSE($BO$11,$AF$8:$AF$207,$AG$8:$AG$207,$BJ$8:$BJ$207), MATCH(CJ$7&amp;$CC48, $B$8:$B$207&amp;$C$8:$C$207, 0)), "")</f>
        <v/>
      </c>
      <c r="CK48" s="8" t="str">
        <f t="array" ref="CK48">IFERROR(INDEX(CHOOSE($BO$11,$AF$8:$AF$207,$AG$8:$AG$207,$BJ$8:$BJ$207), MATCH(CK$7&amp;$CC48, $B$8:$B$207&amp;$C$8:$C$207, 0)), "")</f>
        <v/>
      </c>
      <c r="CL48" s="8" t="str">
        <f t="array" ref="CL48">IFERROR(INDEX(CHOOSE($BO$11,$AF$8:$AF$207,$AG$8:$AG$207,$BJ$8:$BJ$207), MATCH(CL$7&amp;$CC48, $B$8:$B$207&amp;$C$8:$C$207, 0)), "")</f>
        <v/>
      </c>
      <c r="CM48" s="8" t="str">
        <f t="array" ref="CM48">IFERROR(INDEX(CHOOSE($BO$11,$AF$8:$AF$207,$AG$8:$AG$207,$BJ$8:$BJ$207), MATCH(CM$7&amp;$CC48, $B$8:$B$207&amp;$C$8:$C$207, 0)), "")</f>
        <v/>
      </c>
      <c r="CN48" s="8" t="str">
        <f t="array" ref="CN48">IFERROR(INDEX(CHOOSE($BO$11,$AF$8:$AF$207,$AG$8:$AG$207,$BJ$8:$BJ$207), MATCH(CN$7&amp;$CC48, $B$8:$B$207&amp;$C$8:$C$207, 0)), "")</f>
        <v/>
      </c>
      <c r="CO48" s="8" t="str">
        <f t="array" ref="CO48">IFERROR(INDEX(CHOOSE($BO$11,$AF$8:$AF$207,$AG$8:$AG$207,$BJ$8:$BJ$207), MATCH(CO$7&amp;$CC48, $B$8:$B$207&amp;$C$8:$C$207, 0)), "")</f>
        <v/>
      </c>
      <c r="CP48" s="8" t="str">
        <f t="array" ref="CP48">IFERROR(INDEX(CHOOSE($BO$11,$AF$8:$AF$207,$AG$8:$AG$207,$BJ$8:$BJ$207), MATCH(CP$7&amp;$CC48, $B$8:$B$207&amp;$C$8:$C$207, 0)), "")</f>
        <v/>
      </c>
      <c r="CQ48" s="8" t="str">
        <f t="array" ref="CQ48">IFERROR(INDEX(CHOOSE($BO$11,$AF$8:$AF$207,$AG$8:$AG$207,$BJ$8:$BJ$207), MATCH(CQ$7&amp;$CC48, $B$8:$B$207&amp;$C$8:$C$207, 0)), "")</f>
        <v/>
      </c>
      <c r="CR48" s="8" t="str">
        <f t="array" ref="CR48">IFERROR(INDEX(CHOOSE($BO$11,$AF$8:$AF$207,$AG$8:$AG$207,$BJ$8:$BJ$207), MATCH(CR$7&amp;$CC48, $B$8:$B$207&amp;$C$8:$C$207, 0)), "")</f>
        <v/>
      </c>
      <c r="CS48" s="8" t="str">
        <f t="array" ref="CS48">IFERROR(INDEX(CHOOSE($BO$11,$AF$8:$AF$207,$AG$8:$AG$207,$BJ$8:$BJ$207), MATCH(CS$7&amp;$CC48, $B$8:$B$207&amp;$C$8:$C$207, 0)), "")</f>
        <v/>
      </c>
      <c r="CT48" s="8" t="str">
        <f t="array" ref="CT48">IFERROR(INDEX(CHOOSE($BO$11,$AF$8:$AF$207,$AG$8:$AG$207,$BJ$8:$BJ$207), MATCH(CT$7&amp;$CC48, $B$8:$B$207&amp;$C$8:$C$207, 0)), "")</f>
        <v/>
      </c>
      <c r="CU48" s="8" t="str">
        <f t="array" ref="CU48">IFERROR(INDEX(CHOOSE($BO$11,$AF$8:$AF$207,$AG$8:$AG$207,$BJ$8:$BJ$207), MATCH(CU$7&amp;$CC48, $B$8:$B$207&amp;$C$8:$C$207, 0)), "")</f>
        <v/>
      </c>
      <c r="CV48" s="8" t="str">
        <f t="array" ref="CV48">IFERROR(INDEX(CHOOSE($BO$11,$AF$8:$AF$207,$AG$8:$AG$207,$BJ$8:$BJ$207), MATCH(CV$7&amp;$CC48, $B$8:$B$207&amp;$C$8:$C$207, 0)), "")</f>
        <v/>
      </c>
      <c r="CW48" s="8" t="str">
        <f t="array" ref="CW48">IFERROR(INDEX(CHOOSE($BO$11,$AF$8:$AF$207,$AG$8:$AG$207,$BJ$8:$BJ$207), MATCH(CW$7&amp;$CC48, $B$8:$B$207&amp;$C$8:$C$207, 0)), "")</f>
        <v/>
      </c>
      <c r="CX48" s="8" t="str">
        <f t="array" ref="CX48">IFERROR(INDEX(CHOOSE($BO$11,$AF$8:$AF$207,$AG$8:$AG$207,$BJ$8:$BJ$207), MATCH(CX$7&amp;$CC48, $B$8:$B$207&amp;$C$8:$C$207, 0)), "")</f>
        <v/>
      </c>
      <c r="CY48" s="8" t="str">
        <f t="array" ref="CY48">IFERROR(INDEX(CHOOSE($BO$11,$AF$8:$AF$207,$AG$8:$AG$207,$BJ$8:$BJ$207), MATCH(CY$7&amp;$CC48, $B$8:$B$207&amp;$C$8:$C$207, 0)), "")</f>
        <v/>
      </c>
      <c r="CZ48" s="8" t="str">
        <f t="array" ref="CZ48">IFERROR(INDEX(CHOOSE($BO$11,$AF$8:$AF$207,$AG$8:$AG$207,$BJ$8:$BJ$207), MATCH(CZ$7&amp;$CC48, $B$8:$B$207&amp;$C$8:$C$207, 0)), "")</f>
        <v/>
      </c>
      <c r="DA48" s="8" t="str">
        <f t="array" ref="DA48">IFERROR(INDEX(CHOOSE($BO$11,$AF$8:$AF$207,$AG$8:$AG$207,$BJ$8:$BJ$207), MATCH(DA$7&amp;$CC48, $B$8:$B$207&amp;$C$8:$C$207, 0)), "")</f>
        <v/>
      </c>
      <c r="DB48" s="8" t="str">
        <f t="array" ref="DB48">IFERROR(INDEX(CHOOSE($BO$11,$AF$8:$AF$207,$AG$8:$AG$207,$BJ$8:$BJ$207), MATCH(DB$7&amp;$CC48, $B$8:$B$207&amp;$C$8:$C$207, 0)), "")</f>
        <v/>
      </c>
      <c r="DC48" s="8" t="str">
        <f t="array" ref="DC48">IFERROR(INDEX(CHOOSE($BO$11,$AF$8:$AF$207,$AG$8:$AG$207,$BJ$8:$BJ$207), MATCH(DC$7&amp;$CC48, $B$8:$B$207&amp;$C$8:$C$207, 0)), "")</f>
        <v/>
      </c>
      <c r="DD48" s="8" t="str">
        <f t="array" ref="DD48">IFERROR(INDEX(CHOOSE($BO$11,$AF$8:$AF$207,$AG$8:$AG$207,$BJ$8:$BJ$207), MATCH(DD$7&amp;$CC48, $B$8:$B$207&amp;$C$8:$C$207, 0)), "")</f>
        <v/>
      </c>
      <c r="DE48" s="8" t="str">
        <f t="array" ref="DE48">IFERROR(INDEX(CHOOSE($BO$11,$AF$8:$AF$207,$AG$8:$AG$207,$BJ$8:$BJ$207), MATCH(DE$7&amp;$CC48, $B$8:$B$207&amp;$C$8:$C$207, 0)), "")</f>
        <v/>
      </c>
      <c r="DF48" s="8" t="str">
        <f t="array" ref="DF48">IFERROR(INDEX(CHOOSE($BO$11,$AF$8:$AF$207,$AG$8:$AG$207,$BJ$8:$BJ$207), MATCH(DF$7&amp;$CC48, $B$8:$B$207&amp;$C$8:$C$207, 0)), "")</f>
        <v/>
      </c>
      <c r="DG48" s="8" t="str">
        <f t="array" ref="DG48">IFERROR(INDEX(CHOOSE($BO$11,$AF$8:$AF$207,$AG$8:$AG$207,$BJ$8:$BJ$207), MATCH(DG$7&amp;$CC48, $B$8:$B$207&amp;$C$8:$C$207, 0)), "")</f>
        <v/>
      </c>
      <c r="DH48" s="8"/>
      <c r="DI48" s="8"/>
      <c r="DJ48" s="8"/>
      <c r="DK48" s="8"/>
      <c r="DL48" s="8"/>
      <c r="DM48" s="8"/>
      <c r="DN48" s="8"/>
      <c r="DO48" s="8"/>
      <c r="DP48" s="8"/>
      <c r="DQ48" s="8"/>
      <c r="DR48" s="8"/>
      <c r="DS48" s="8"/>
      <c r="DT48" s="8"/>
      <c r="DU48" s="8"/>
      <c r="DV48" s="8"/>
      <c r="DW48" s="8"/>
      <c r="DX48" s="8"/>
      <c r="DY48" s="8"/>
      <c r="DZ48" s="8"/>
      <c r="EA48" s="8"/>
    </row>
    <row r="49" spans="2:131" x14ac:dyDescent="0.2">
      <c r="B49" s="1">
        <f>IFERROR(Calculations!M47/1000, "")</f>
        <v>15</v>
      </c>
      <c r="C49" s="1">
        <f>Calculations!N47</f>
        <v>850</v>
      </c>
      <c r="D49" s="58">
        <f>IFERROR(Calculations!$Q47,"")</f>
        <v>0.96532988490939142</v>
      </c>
      <c r="E49" s="8">
        <f>IFERROR(Calculations!$S47, "")</f>
        <v>13.832365739643329</v>
      </c>
      <c r="F49" s="89"/>
      <c r="G49" s="89"/>
      <c r="H49" s="89"/>
      <c r="I49" s="89"/>
      <c r="J49" s="1" t="str">
        <f>IFERROR(Calculations!AC47, "")</f>
        <v/>
      </c>
      <c r="K49" s="1" t="str">
        <f>IFERROR(Calculations!AD47, "")</f>
        <v/>
      </c>
      <c r="L49" s="8">
        <f>IFERROR(Calculations!AE47,"")</f>
        <v>-73367.08090061431</v>
      </c>
      <c r="M49" s="8">
        <f>IFERROR(Calculations!AF47,"")</f>
        <v>-117678.55038146095</v>
      </c>
      <c r="N49" s="8" t="str">
        <f>IFERROR(Calculations!AG47,"")</f>
        <v/>
      </c>
      <c r="O49" s="8" t="str">
        <f>IFERROR(Calculations!AH47,"")</f>
        <v/>
      </c>
      <c r="P49" s="8" t="str">
        <f>IFERROR(Calculations!AI47,"")</f>
        <v/>
      </c>
      <c r="Q49" s="8" t="str">
        <f>IFERROR(Calculations!AJ47,"")</f>
        <v/>
      </c>
      <c r="R49" s="8" t="str">
        <f>IFERROR(Calculations!AK47,"")</f>
        <v/>
      </c>
      <c r="S49" s="89"/>
      <c r="T49" s="89"/>
      <c r="U49" s="89"/>
      <c r="V49" s="89"/>
      <c r="W49" s="1" t="str">
        <f>IFERROR(Calculations!AP47, "")</f>
        <v/>
      </c>
      <c r="X49" s="1" t="str">
        <f>IFERROR(Calculations!AQ47, "")</f>
        <v/>
      </c>
      <c r="Y49" s="8" t="str">
        <f>IFERROR(Calculations!AR47,"")</f>
        <v/>
      </c>
      <c r="Z49" s="8">
        <f>IFERROR(Calculations!AS47,"")</f>
        <v>0</v>
      </c>
      <c r="AA49" s="8">
        <f>IFERROR(Calculations!AT47,"")</f>
        <v>-152955.57327386955</v>
      </c>
      <c r="AB49" s="8" t="str">
        <f>IFERROR(Calculations!AU47,"")</f>
        <v/>
      </c>
      <c r="AC49" s="8" t="str">
        <f>IFERROR(Calculations!AV47,"")</f>
        <v/>
      </c>
      <c r="AD49" s="8" t="str">
        <f>IFERROR(Calculations!AW47,"")</f>
        <v/>
      </c>
      <c r="AE49" s="8" t="str">
        <f>IFERROR(Calculations!AX47,"")</f>
        <v/>
      </c>
      <c r="AF49" s="8">
        <f>IFERROR(IF(Calculations!AY47 &lt;&gt; 0, Calculations!AY47, ""),"")</f>
        <v>38090.058008205699</v>
      </c>
      <c r="AG49" s="42">
        <f>IFERROR(IF(Calculations!AZ47 &lt;&gt; 0, Calculations!AZ47, ""),"")</f>
        <v>-7.4166151879966806</v>
      </c>
      <c r="AH49" s="1">
        <f t="shared" si="1"/>
        <v>15</v>
      </c>
      <c r="AI49" s="1">
        <f t="shared" si="2"/>
        <v>850</v>
      </c>
      <c r="AJ49" s="89"/>
      <c r="AK49" s="89"/>
      <c r="AL49" s="89"/>
      <c r="AM49" s="89"/>
      <c r="AN49" s="8" t="str">
        <f>IFERROR(Calculations!BJ47, "")</f>
        <v/>
      </c>
      <c r="AO49" s="8" t="str">
        <f>IFERROR(Calculations!BK47, "")</f>
        <v/>
      </c>
      <c r="AP49" s="8">
        <f>IFERROR(Calculations!BL47, "")</f>
        <v>18.662304235707946</v>
      </c>
      <c r="AQ49" s="8">
        <f>IFERROR(Calculations!BM47, "")</f>
        <v>33.501407883969144</v>
      </c>
      <c r="AR49" s="8" t="str">
        <f>IFERROR(Calculations!BN47, "")</f>
        <v/>
      </c>
      <c r="AS49" s="8" t="str">
        <f>IFERROR(Calculations!BO47, "")</f>
        <v/>
      </c>
      <c r="AT49" s="8" t="str">
        <f>IFERROR(Calculations!BP47, "")</f>
        <v/>
      </c>
      <c r="AU49" s="8" t="str">
        <f>IFERROR(Calculations!BQ47, "")</f>
        <v/>
      </c>
      <c r="AV49" s="8" t="str">
        <f>IFERROR(Calculations!BR47, "")</f>
        <v/>
      </c>
      <c r="AW49" s="89"/>
      <c r="AX49" s="89"/>
      <c r="AY49" s="89"/>
      <c r="AZ49" s="89"/>
      <c r="BA49" s="8" t="str">
        <f>IFERROR(Calculations!BW47, "")</f>
        <v/>
      </c>
      <c r="BB49" s="8" t="str">
        <f>IFERROR(Calculations!BX47, "")</f>
        <v/>
      </c>
      <c r="BC49" s="8" t="str">
        <f>IFERROR(Calculations!BY47, "")</f>
        <v/>
      </c>
      <c r="BD49" s="8">
        <f>IFERROR(Calculations!BZ47, "")</f>
        <v>0</v>
      </c>
      <c r="BE49" s="8">
        <f>IFERROR(Calculations!CA47, "")</f>
        <v>26.206519993951112</v>
      </c>
      <c r="BF49" s="8" t="str">
        <f>IFERROR(Calculations!CB47, "")</f>
        <v/>
      </c>
      <c r="BG49" s="8" t="str">
        <f>IFERROR(Calculations!CC47, "")</f>
        <v/>
      </c>
      <c r="BH49" s="8" t="str">
        <f>IFERROR(Calculations!CD47, "")</f>
        <v/>
      </c>
      <c r="BI49" s="8" t="str">
        <f>IFERROR(Calculations!CE47, "")</f>
        <v/>
      </c>
      <c r="BJ49" s="8">
        <f>IFERROR(IF(Calculations!CF47 &lt;&gt; 0, Calculations!CF47, ""),"")</f>
        <v>-25.957192125725975</v>
      </c>
      <c r="BK49" s="1">
        <f t="shared" si="3"/>
        <v>850</v>
      </c>
      <c r="BL49" s="1">
        <f t="shared" si="4"/>
        <v>15</v>
      </c>
      <c r="CC49" s="1" t="str">
        <f t="shared" si="5"/>
        <v/>
      </c>
      <c r="CD49" s="8" t="str">
        <f t="array" ref="CD49">IFERROR(INDEX(CHOOSE($BO$11,$AF$8:$AF$207,$AG$8:$AG$207,$BJ$8:$BJ$207), MATCH(CD$7&amp;$CC49, $B$8:$B$207&amp;$C$8:$C$207, 0)), "")</f>
        <v/>
      </c>
      <c r="CE49" s="8" t="str">
        <f t="array" ref="CE49">IFERROR(INDEX(CHOOSE($BO$11,$AF$8:$AF$207,$AG$8:$AG$207,$BJ$8:$BJ$207), MATCH(CE$7&amp;$CC49, $B$8:$B$207&amp;$C$8:$C$207, 0)), "")</f>
        <v/>
      </c>
      <c r="CF49" s="8" t="str">
        <f t="array" ref="CF49">IFERROR(INDEX(CHOOSE($BO$11,$AF$8:$AF$207,$AG$8:$AG$207,$BJ$8:$BJ$207), MATCH(CF$7&amp;$CC49, $B$8:$B$207&amp;$C$8:$C$207, 0)), "")</f>
        <v/>
      </c>
      <c r="CG49" s="8" t="str">
        <f t="array" ref="CG49">IFERROR(INDEX(CHOOSE($BO$11,$AF$8:$AF$207,$AG$8:$AG$207,$BJ$8:$BJ$207), MATCH(CG$7&amp;$CC49, $B$8:$B$207&amp;$C$8:$C$207, 0)), "")</f>
        <v/>
      </c>
      <c r="CH49" s="8" t="str">
        <f t="array" ref="CH49">IFERROR(INDEX(CHOOSE($BO$11,$AF$8:$AF$207,$AG$8:$AG$207,$BJ$8:$BJ$207), MATCH(CH$7&amp;$CC49, $B$8:$B$207&amp;$C$8:$C$207, 0)), "")</f>
        <v/>
      </c>
      <c r="CI49" s="8" t="str">
        <f t="array" ref="CI49">IFERROR(INDEX(CHOOSE($BO$11,$AF$8:$AF$207,$AG$8:$AG$207,$BJ$8:$BJ$207), MATCH(CI$7&amp;$CC49, $B$8:$B$207&amp;$C$8:$C$207, 0)), "")</f>
        <v/>
      </c>
      <c r="CJ49" s="8" t="str">
        <f t="array" ref="CJ49">IFERROR(INDEX(CHOOSE($BO$11,$AF$8:$AF$207,$AG$8:$AG$207,$BJ$8:$BJ$207), MATCH(CJ$7&amp;$CC49, $B$8:$B$207&amp;$C$8:$C$207, 0)), "")</f>
        <v/>
      </c>
      <c r="CK49" s="8" t="str">
        <f t="array" ref="CK49">IFERROR(INDEX(CHOOSE($BO$11,$AF$8:$AF$207,$AG$8:$AG$207,$BJ$8:$BJ$207), MATCH(CK$7&amp;$CC49, $B$8:$B$207&amp;$C$8:$C$207, 0)), "")</f>
        <v/>
      </c>
      <c r="CL49" s="8" t="str">
        <f t="array" ref="CL49">IFERROR(INDEX(CHOOSE($BO$11,$AF$8:$AF$207,$AG$8:$AG$207,$BJ$8:$BJ$207), MATCH(CL$7&amp;$CC49, $B$8:$B$207&amp;$C$8:$C$207, 0)), "")</f>
        <v/>
      </c>
      <c r="CM49" s="8" t="str">
        <f t="array" ref="CM49">IFERROR(INDEX(CHOOSE($BO$11,$AF$8:$AF$207,$AG$8:$AG$207,$BJ$8:$BJ$207), MATCH(CM$7&amp;$CC49, $B$8:$B$207&amp;$C$8:$C$207, 0)), "")</f>
        <v/>
      </c>
      <c r="CN49" s="8" t="str">
        <f t="array" ref="CN49">IFERROR(INDEX(CHOOSE($BO$11,$AF$8:$AF$207,$AG$8:$AG$207,$BJ$8:$BJ$207), MATCH(CN$7&amp;$CC49, $B$8:$B$207&amp;$C$8:$C$207, 0)), "")</f>
        <v/>
      </c>
      <c r="CO49" s="8" t="str">
        <f t="array" ref="CO49">IFERROR(INDEX(CHOOSE($BO$11,$AF$8:$AF$207,$AG$8:$AG$207,$BJ$8:$BJ$207), MATCH(CO$7&amp;$CC49, $B$8:$B$207&amp;$C$8:$C$207, 0)), "")</f>
        <v/>
      </c>
      <c r="CP49" s="8" t="str">
        <f t="array" ref="CP49">IFERROR(INDEX(CHOOSE($BO$11,$AF$8:$AF$207,$AG$8:$AG$207,$BJ$8:$BJ$207), MATCH(CP$7&amp;$CC49, $B$8:$B$207&amp;$C$8:$C$207, 0)), "")</f>
        <v/>
      </c>
      <c r="CQ49" s="8" t="str">
        <f t="array" ref="CQ49">IFERROR(INDEX(CHOOSE($BO$11,$AF$8:$AF$207,$AG$8:$AG$207,$BJ$8:$BJ$207), MATCH(CQ$7&amp;$CC49, $B$8:$B$207&amp;$C$8:$C$207, 0)), "")</f>
        <v/>
      </c>
      <c r="CR49" s="8" t="str">
        <f t="array" ref="CR49">IFERROR(INDEX(CHOOSE($BO$11,$AF$8:$AF$207,$AG$8:$AG$207,$BJ$8:$BJ$207), MATCH(CR$7&amp;$CC49, $B$8:$B$207&amp;$C$8:$C$207, 0)), "")</f>
        <v/>
      </c>
      <c r="CS49" s="8" t="str">
        <f t="array" ref="CS49">IFERROR(INDEX(CHOOSE($BO$11,$AF$8:$AF$207,$AG$8:$AG$207,$BJ$8:$BJ$207), MATCH(CS$7&amp;$CC49, $B$8:$B$207&amp;$C$8:$C$207, 0)), "")</f>
        <v/>
      </c>
      <c r="CT49" s="8" t="str">
        <f t="array" ref="CT49">IFERROR(INDEX(CHOOSE($BO$11,$AF$8:$AF$207,$AG$8:$AG$207,$BJ$8:$BJ$207), MATCH(CT$7&amp;$CC49, $B$8:$B$207&amp;$C$8:$C$207, 0)), "")</f>
        <v/>
      </c>
      <c r="CU49" s="8" t="str">
        <f t="array" ref="CU49">IFERROR(INDEX(CHOOSE($BO$11,$AF$8:$AF$207,$AG$8:$AG$207,$BJ$8:$BJ$207), MATCH(CU$7&amp;$CC49, $B$8:$B$207&amp;$C$8:$C$207, 0)), "")</f>
        <v/>
      </c>
      <c r="CV49" s="8" t="str">
        <f t="array" ref="CV49">IFERROR(INDEX(CHOOSE($BO$11,$AF$8:$AF$207,$AG$8:$AG$207,$BJ$8:$BJ$207), MATCH(CV$7&amp;$CC49, $B$8:$B$207&amp;$C$8:$C$207, 0)), "")</f>
        <v/>
      </c>
      <c r="CW49" s="8" t="str">
        <f t="array" ref="CW49">IFERROR(INDEX(CHOOSE($BO$11,$AF$8:$AF$207,$AG$8:$AG$207,$BJ$8:$BJ$207), MATCH(CW$7&amp;$CC49, $B$8:$B$207&amp;$C$8:$C$207, 0)), "")</f>
        <v/>
      </c>
      <c r="CX49" s="8" t="str">
        <f t="array" ref="CX49">IFERROR(INDEX(CHOOSE($BO$11,$AF$8:$AF$207,$AG$8:$AG$207,$BJ$8:$BJ$207), MATCH(CX$7&amp;$CC49, $B$8:$B$207&amp;$C$8:$C$207, 0)), "")</f>
        <v/>
      </c>
      <c r="CY49" s="8" t="str">
        <f t="array" ref="CY49">IFERROR(INDEX(CHOOSE($BO$11,$AF$8:$AF$207,$AG$8:$AG$207,$BJ$8:$BJ$207), MATCH(CY$7&amp;$CC49, $B$8:$B$207&amp;$C$8:$C$207, 0)), "")</f>
        <v/>
      </c>
      <c r="CZ49" s="8" t="str">
        <f t="array" ref="CZ49">IFERROR(INDEX(CHOOSE($BO$11,$AF$8:$AF$207,$AG$8:$AG$207,$BJ$8:$BJ$207), MATCH(CZ$7&amp;$CC49, $B$8:$B$207&amp;$C$8:$C$207, 0)), "")</f>
        <v/>
      </c>
      <c r="DA49" s="8" t="str">
        <f t="array" ref="DA49">IFERROR(INDEX(CHOOSE($BO$11,$AF$8:$AF$207,$AG$8:$AG$207,$BJ$8:$BJ$207), MATCH(DA$7&amp;$CC49, $B$8:$B$207&amp;$C$8:$C$207, 0)), "")</f>
        <v/>
      </c>
      <c r="DB49" s="8" t="str">
        <f t="array" ref="DB49">IFERROR(INDEX(CHOOSE($BO$11,$AF$8:$AF$207,$AG$8:$AG$207,$BJ$8:$BJ$207), MATCH(DB$7&amp;$CC49, $B$8:$B$207&amp;$C$8:$C$207, 0)), "")</f>
        <v/>
      </c>
      <c r="DC49" s="8" t="str">
        <f t="array" ref="DC49">IFERROR(INDEX(CHOOSE($BO$11,$AF$8:$AF$207,$AG$8:$AG$207,$BJ$8:$BJ$207), MATCH(DC$7&amp;$CC49, $B$8:$B$207&amp;$C$8:$C$207, 0)), "")</f>
        <v/>
      </c>
      <c r="DD49" s="8" t="str">
        <f t="array" ref="DD49">IFERROR(INDEX(CHOOSE($BO$11,$AF$8:$AF$207,$AG$8:$AG$207,$BJ$8:$BJ$207), MATCH(DD$7&amp;$CC49, $B$8:$B$207&amp;$C$8:$C$207, 0)), "")</f>
        <v/>
      </c>
      <c r="DE49" s="8" t="str">
        <f t="array" ref="DE49">IFERROR(INDEX(CHOOSE($BO$11,$AF$8:$AF$207,$AG$8:$AG$207,$BJ$8:$BJ$207), MATCH(DE$7&amp;$CC49, $B$8:$B$207&amp;$C$8:$C$207, 0)), "")</f>
        <v/>
      </c>
      <c r="DF49" s="8" t="str">
        <f t="array" ref="DF49">IFERROR(INDEX(CHOOSE($BO$11,$AF$8:$AF$207,$AG$8:$AG$207,$BJ$8:$BJ$207), MATCH(DF$7&amp;$CC49, $B$8:$B$207&amp;$C$8:$C$207, 0)), "")</f>
        <v/>
      </c>
      <c r="DG49" s="8" t="str">
        <f t="array" ref="DG49">IFERROR(INDEX(CHOOSE($BO$11,$AF$8:$AF$207,$AG$8:$AG$207,$BJ$8:$BJ$207), MATCH(DG$7&amp;$CC49, $B$8:$B$207&amp;$C$8:$C$207, 0)), "")</f>
        <v/>
      </c>
      <c r="DH49" s="8"/>
      <c r="DI49" s="8"/>
      <c r="DJ49" s="8"/>
      <c r="DK49" s="8"/>
      <c r="DL49" s="8"/>
      <c r="DM49" s="8"/>
      <c r="DN49" s="8"/>
      <c r="DO49" s="8"/>
      <c r="DP49" s="8"/>
      <c r="DQ49" s="8"/>
      <c r="DR49" s="8"/>
      <c r="DS49" s="8"/>
      <c r="DT49" s="8"/>
      <c r="DU49" s="8"/>
      <c r="DV49" s="8"/>
      <c r="DW49" s="8"/>
      <c r="DX49" s="8"/>
      <c r="DY49" s="8"/>
      <c r="DZ49" s="8"/>
      <c r="EA49" s="8"/>
    </row>
    <row r="50" spans="2:131" x14ac:dyDescent="0.2">
      <c r="B50" s="1">
        <f>IFERROR(Calculations!M48/1000, "")</f>
        <v>15</v>
      </c>
      <c r="C50" s="1">
        <f>Calculations!N48</f>
        <v>900</v>
      </c>
      <c r="D50" s="58">
        <f>IFERROR(Calculations!$Q48,"")</f>
        <v>0.94834411920785899</v>
      </c>
      <c r="E50" s="8">
        <f>IFERROR(Calculations!$S48, "")</f>
        <v>12.694725378190917</v>
      </c>
      <c r="F50" s="89"/>
      <c r="G50" s="89"/>
      <c r="H50" s="89"/>
      <c r="I50" s="89"/>
      <c r="J50" s="1" t="str">
        <f>IFERROR(Calculations!AC48, "")</f>
        <v/>
      </c>
      <c r="K50" s="1" t="str">
        <f>IFERROR(Calculations!AD48, "")</f>
        <v/>
      </c>
      <c r="L50" s="8">
        <f>IFERROR(Calculations!AE48,"")</f>
        <v>-75106.072810328085</v>
      </c>
      <c r="M50" s="8">
        <f>IFERROR(Calculations!AF48,"")</f>
        <v>-120347.69669939947</v>
      </c>
      <c r="N50" s="8" t="str">
        <f>IFERROR(Calculations!AG48,"")</f>
        <v/>
      </c>
      <c r="O50" s="8" t="str">
        <f>IFERROR(Calculations!AH48,"")</f>
        <v/>
      </c>
      <c r="P50" s="8" t="str">
        <f>IFERROR(Calculations!AI48,"")</f>
        <v/>
      </c>
      <c r="Q50" s="8" t="str">
        <f>IFERROR(Calculations!AJ48,"")</f>
        <v/>
      </c>
      <c r="R50" s="8" t="str">
        <f>IFERROR(Calculations!AK48,"")</f>
        <v/>
      </c>
      <c r="S50" s="89"/>
      <c r="T50" s="89"/>
      <c r="U50" s="89"/>
      <c r="V50" s="89"/>
      <c r="W50" s="1" t="str">
        <f>IFERROR(Calculations!AP48, "")</f>
        <v/>
      </c>
      <c r="X50" s="1" t="str">
        <f>IFERROR(Calculations!AQ48, "")</f>
        <v/>
      </c>
      <c r="Y50" s="8" t="str">
        <f>IFERROR(Calculations!AR48,"")</f>
        <v/>
      </c>
      <c r="Z50" s="8">
        <f>IFERROR(Calculations!AS48,"")</f>
        <v>0</v>
      </c>
      <c r="AA50" s="8">
        <f>IFERROR(Calculations!AT48,"")</f>
        <v>-154350.24819989037</v>
      </c>
      <c r="AB50" s="8" t="str">
        <f>IFERROR(Calculations!AU48,"")</f>
        <v/>
      </c>
      <c r="AC50" s="8" t="str">
        <f>IFERROR(Calculations!AV48,"")</f>
        <v/>
      </c>
      <c r="AD50" s="8" t="str">
        <f>IFERROR(Calculations!AW48,"")</f>
        <v/>
      </c>
      <c r="AE50" s="8" t="str">
        <f>IFERROR(Calculations!AX48,"")</f>
        <v/>
      </c>
      <c r="AF50" s="8">
        <f>IFERROR(IF(Calculations!AY48 &lt;&gt; 0, Calculations!AY48, ""),"")</f>
        <v>41103.521309837175</v>
      </c>
      <c r="AG50" s="42">
        <f>IFERROR(IF(Calculations!AZ48 &lt;&gt; 0, Calculations!AZ48, ""),"")</f>
        <v>-7.6622683482368918</v>
      </c>
      <c r="AH50" s="1">
        <f t="shared" si="1"/>
        <v>15</v>
      </c>
      <c r="AI50" s="1">
        <f t="shared" si="2"/>
        <v>900</v>
      </c>
      <c r="AJ50" s="89"/>
      <c r="AK50" s="89"/>
      <c r="AL50" s="89"/>
      <c r="AM50" s="89"/>
      <c r="AN50" s="8" t="str">
        <f>IFERROR(Calculations!BJ48, "")</f>
        <v/>
      </c>
      <c r="AO50" s="8" t="str">
        <f>IFERROR(Calculations!BK48, "")</f>
        <v/>
      </c>
      <c r="AP50" s="8">
        <f>IFERROR(Calculations!BL48, "")</f>
        <v>18.996564258813518</v>
      </c>
      <c r="AQ50" s="8">
        <f>IFERROR(Calculations!BM48, "")</f>
        <v>33.852903694242208</v>
      </c>
      <c r="AR50" s="8" t="str">
        <f>IFERROR(Calculations!BN48, "")</f>
        <v/>
      </c>
      <c r="AS50" s="8" t="str">
        <f>IFERROR(Calculations!BO48, "")</f>
        <v/>
      </c>
      <c r="AT50" s="8" t="str">
        <f>IFERROR(Calculations!BP48, "")</f>
        <v/>
      </c>
      <c r="AU50" s="8" t="str">
        <f>IFERROR(Calculations!BQ48, "")</f>
        <v/>
      </c>
      <c r="AV50" s="8" t="str">
        <f>IFERROR(Calculations!BR48, "")</f>
        <v/>
      </c>
      <c r="AW50" s="89"/>
      <c r="AX50" s="89"/>
      <c r="AY50" s="89"/>
      <c r="AZ50" s="89"/>
      <c r="BA50" s="8" t="str">
        <f>IFERROR(Calculations!BW48, "")</f>
        <v/>
      </c>
      <c r="BB50" s="8" t="str">
        <f>IFERROR(Calculations!BX48, "")</f>
        <v/>
      </c>
      <c r="BC50" s="8" t="str">
        <f>IFERROR(Calculations!BY48, "")</f>
        <v/>
      </c>
      <c r="BD50" s="8">
        <f>IFERROR(Calculations!BZ48, "")</f>
        <v>0</v>
      </c>
      <c r="BE50" s="8">
        <f>IFERROR(Calculations!CA48, "")</f>
        <v>25.644681835961315</v>
      </c>
      <c r="BF50" s="8" t="str">
        <f>IFERROR(Calculations!CB48, "")</f>
        <v/>
      </c>
      <c r="BG50" s="8" t="str">
        <f>IFERROR(Calculations!CC48, "")</f>
        <v/>
      </c>
      <c r="BH50" s="8" t="str">
        <f>IFERROR(Calculations!CD48, "")</f>
        <v/>
      </c>
      <c r="BI50" s="8" t="str">
        <f>IFERROR(Calculations!CE48, "")</f>
        <v/>
      </c>
      <c r="BJ50" s="8">
        <f>IFERROR(IF(Calculations!CF48 &lt;&gt; 0, Calculations!CF48, ""),"")</f>
        <v>-27.204786117094407</v>
      </c>
      <c r="BK50" s="1">
        <f t="shared" si="3"/>
        <v>900</v>
      </c>
      <c r="BL50" s="1">
        <f t="shared" si="4"/>
        <v>15</v>
      </c>
      <c r="CC50" s="1" t="str">
        <f t="shared" si="5"/>
        <v/>
      </c>
      <c r="CD50" s="8" t="str">
        <f t="array" ref="CD50">IFERROR(INDEX(CHOOSE($BO$11,$AF$8:$AF$207,$AG$8:$AG$207,$BJ$8:$BJ$207), MATCH(CD$7&amp;$CC50, $B$8:$B$207&amp;$C$8:$C$207, 0)), "")</f>
        <v/>
      </c>
      <c r="CE50" s="8" t="str">
        <f t="array" ref="CE50">IFERROR(INDEX(CHOOSE($BO$11,$AF$8:$AF$207,$AG$8:$AG$207,$BJ$8:$BJ$207), MATCH(CE$7&amp;$CC50, $B$8:$B$207&amp;$C$8:$C$207, 0)), "")</f>
        <v/>
      </c>
      <c r="CF50" s="8" t="str">
        <f t="array" ref="CF50">IFERROR(INDEX(CHOOSE($BO$11,$AF$8:$AF$207,$AG$8:$AG$207,$BJ$8:$BJ$207), MATCH(CF$7&amp;$CC50, $B$8:$B$207&amp;$C$8:$C$207, 0)), "")</f>
        <v/>
      </c>
      <c r="CG50" s="8" t="str">
        <f t="array" ref="CG50">IFERROR(INDEX(CHOOSE($BO$11,$AF$8:$AF$207,$AG$8:$AG$207,$BJ$8:$BJ$207), MATCH(CG$7&amp;$CC50, $B$8:$B$207&amp;$C$8:$C$207, 0)), "")</f>
        <v/>
      </c>
      <c r="CH50" s="8" t="str">
        <f t="array" ref="CH50">IFERROR(INDEX(CHOOSE($BO$11,$AF$8:$AF$207,$AG$8:$AG$207,$BJ$8:$BJ$207), MATCH(CH$7&amp;$CC50, $B$8:$B$207&amp;$C$8:$C$207, 0)), "")</f>
        <v/>
      </c>
      <c r="CI50" s="8" t="str">
        <f t="array" ref="CI50">IFERROR(INDEX(CHOOSE($BO$11,$AF$8:$AF$207,$AG$8:$AG$207,$BJ$8:$BJ$207), MATCH(CI$7&amp;$CC50, $B$8:$B$207&amp;$C$8:$C$207, 0)), "")</f>
        <v/>
      </c>
      <c r="CJ50" s="8" t="str">
        <f t="array" ref="CJ50">IFERROR(INDEX(CHOOSE($BO$11,$AF$8:$AF$207,$AG$8:$AG$207,$BJ$8:$BJ$207), MATCH(CJ$7&amp;$CC50, $B$8:$B$207&amp;$C$8:$C$207, 0)), "")</f>
        <v/>
      </c>
      <c r="CK50" s="8" t="str">
        <f t="array" ref="CK50">IFERROR(INDEX(CHOOSE($BO$11,$AF$8:$AF$207,$AG$8:$AG$207,$BJ$8:$BJ$207), MATCH(CK$7&amp;$CC50, $B$8:$B$207&amp;$C$8:$C$207, 0)), "")</f>
        <v/>
      </c>
      <c r="CL50" s="8" t="str">
        <f t="array" ref="CL50">IFERROR(INDEX(CHOOSE($BO$11,$AF$8:$AF$207,$AG$8:$AG$207,$BJ$8:$BJ$207), MATCH(CL$7&amp;$CC50, $B$8:$B$207&amp;$C$8:$C$207, 0)), "")</f>
        <v/>
      </c>
      <c r="CM50" s="8" t="str">
        <f t="array" ref="CM50">IFERROR(INDEX(CHOOSE($BO$11,$AF$8:$AF$207,$AG$8:$AG$207,$BJ$8:$BJ$207), MATCH(CM$7&amp;$CC50, $B$8:$B$207&amp;$C$8:$C$207, 0)), "")</f>
        <v/>
      </c>
      <c r="CN50" s="8" t="str">
        <f t="array" ref="CN50">IFERROR(INDEX(CHOOSE($BO$11,$AF$8:$AF$207,$AG$8:$AG$207,$BJ$8:$BJ$207), MATCH(CN$7&amp;$CC50, $B$8:$B$207&amp;$C$8:$C$207, 0)), "")</f>
        <v/>
      </c>
      <c r="CO50" s="8" t="str">
        <f t="array" ref="CO50">IFERROR(INDEX(CHOOSE($BO$11,$AF$8:$AF$207,$AG$8:$AG$207,$BJ$8:$BJ$207), MATCH(CO$7&amp;$CC50, $B$8:$B$207&amp;$C$8:$C$207, 0)), "")</f>
        <v/>
      </c>
      <c r="CP50" s="8" t="str">
        <f t="array" ref="CP50">IFERROR(INDEX(CHOOSE($BO$11,$AF$8:$AF$207,$AG$8:$AG$207,$BJ$8:$BJ$207), MATCH(CP$7&amp;$CC50, $B$8:$B$207&amp;$C$8:$C$207, 0)), "")</f>
        <v/>
      </c>
      <c r="CQ50" s="8" t="str">
        <f t="array" ref="CQ50">IFERROR(INDEX(CHOOSE($BO$11,$AF$8:$AF$207,$AG$8:$AG$207,$BJ$8:$BJ$207), MATCH(CQ$7&amp;$CC50, $B$8:$B$207&amp;$C$8:$C$207, 0)), "")</f>
        <v/>
      </c>
      <c r="CR50" s="8" t="str">
        <f t="array" ref="CR50">IFERROR(INDEX(CHOOSE($BO$11,$AF$8:$AF$207,$AG$8:$AG$207,$BJ$8:$BJ$207), MATCH(CR$7&amp;$CC50, $B$8:$B$207&amp;$C$8:$C$207, 0)), "")</f>
        <v/>
      </c>
      <c r="CS50" s="8" t="str">
        <f t="array" ref="CS50">IFERROR(INDEX(CHOOSE($BO$11,$AF$8:$AF$207,$AG$8:$AG$207,$BJ$8:$BJ$207), MATCH(CS$7&amp;$CC50, $B$8:$B$207&amp;$C$8:$C$207, 0)), "")</f>
        <v/>
      </c>
      <c r="CT50" s="8" t="str">
        <f t="array" ref="CT50">IFERROR(INDEX(CHOOSE($BO$11,$AF$8:$AF$207,$AG$8:$AG$207,$BJ$8:$BJ$207), MATCH(CT$7&amp;$CC50, $B$8:$B$207&amp;$C$8:$C$207, 0)), "")</f>
        <v/>
      </c>
      <c r="CU50" s="8" t="str">
        <f t="array" ref="CU50">IFERROR(INDEX(CHOOSE($BO$11,$AF$8:$AF$207,$AG$8:$AG$207,$BJ$8:$BJ$207), MATCH(CU$7&amp;$CC50, $B$8:$B$207&amp;$C$8:$C$207, 0)), "")</f>
        <v/>
      </c>
      <c r="CV50" s="8" t="str">
        <f t="array" ref="CV50">IFERROR(INDEX(CHOOSE($BO$11,$AF$8:$AF$207,$AG$8:$AG$207,$BJ$8:$BJ$207), MATCH(CV$7&amp;$CC50, $B$8:$B$207&amp;$C$8:$C$207, 0)), "")</f>
        <v/>
      </c>
      <c r="CW50" s="8" t="str">
        <f t="array" ref="CW50">IFERROR(INDEX(CHOOSE($BO$11,$AF$8:$AF$207,$AG$8:$AG$207,$BJ$8:$BJ$207), MATCH(CW$7&amp;$CC50, $B$8:$B$207&amp;$C$8:$C$207, 0)), "")</f>
        <v/>
      </c>
      <c r="CX50" s="8" t="str">
        <f t="array" ref="CX50">IFERROR(INDEX(CHOOSE($BO$11,$AF$8:$AF$207,$AG$8:$AG$207,$BJ$8:$BJ$207), MATCH(CX$7&amp;$CC50, $B$8:$B$207&amp;$C$8:$C$207, 0)), "")</f>
        <v/>
      </c>
      <c r="CY50" s="8" t="str">
        <f t="array" ref="CY50">IFERROR(INDEX(CHOOSE($BO$11,$AF$8:$AF$207,$AG$8:$AG$207,$BJ$8:$BJ$207), MATCH(CY$7&amp;$CC50, $B$8:$B$207&amp;$C$8:$C$207, 0)), "")</f>
        <v/>
      </c>
      <c r="CZ50" s="8" t="str">
        <f t="array" ref="CZ50">IFERROR(INDEX(CHOOSE($BO$11,$AF$8:$AF$207,$AG$8:$AG$207,$BJ$8:$BJ$207), MATCH(CZ$7&amp;$CC50, $B$8:$B$207&amp;$C$8:$C$207, 0)), "")</f>
        <v/>
      </c>
      <c r="DA50" s="8" t="str">
        <f t="array" ref="DA50">IFERROR(INDEX(CHOOSE($BO$11,$AF$8:$AF$207,$AG$8:$AG$207,$BJ$8:$BJ$207), MATCH(DA$7&amp;$CC50, $B$8:$B$207&amp;$C$8:$C$207, 0)), "")</f>
        <v/>
      </c>
      <c r="DB50" s="8" t="str">
        <f t="array" ref="DB50">IFERROR(INDEX(CHOOSE($BO$11,$AF$8:$AF$207,$AG$8:$AG$207,$BJ$8:$BJ$207), MATCH(DB$7&amp;$CC50, $B$8:$B$207&amp;$C$8:$C$207, 0)), "")</f>
        <v/>
      </c>
      <c r="DC50" s="8" t="str">
        <f t="array" ref="DC50">IFERROR(INDEX(CHOOSE($BO$11,$AF$8:$AF$207,$AG$8:$AG$207,$BJ$8:$BJ$207), MATCH(DC$7&amp;$CC50, $B$8:$B$207&amp;$C$8:$C$207, 0)), "")</f>
        <v/>
      </c>
      <c r="DD50" s="8" t="str">
        <f t="array" ref="DD50">IFERROR(INDEX(CHOOSE($BO$11,$AF$8:$AF$207,$AG$8:$AG$207,$BJ$8:$BJ$207), MATCH(DD$7&amp;$CC50, $B$8:$B$207&amp;$C$8:$C$207, 0)), "")</f>
        <v/>
      </c>
      <c r="DE50" s="8" t="str">
        <f t="array" ref="DE50">IFERROR(INDEX(CHOOSE($BO$11,$AF$8:$AF$207,$AG$8:$AG$207,$BJ$8:$BJ$207), MATCH(DE$7&amp;$CC50, $B$8:$B$207&amp;$C$8:$C$207, 0)), "")</f>
        <v/>
      </c>
      <c r="DF50" s="8" t="str">
        <f t="array" ref="DF50">IFERROR(INDEX(CHOOSE($BO$11,$AF$8:$AF$207,$AG$8:$AG$207,$BJ$8:$BJ$207), MATCH(DF$7&amp;$CC50, $B$8:$B$207&amp;$C$8:$C$207, 0)), "")</f>
        <v/>
      </c>
      <c r="DG50" s="8" t="str">
        <f t="array" ref="DG50">IFERROR(INDEX(CHOOSE($BO$11,$AF$8:$AF$207,$AG$8:$AG$207,$BJ$8:$BJ$207), MATCH(DG$7&amp;$CC50, $B$8:$B$207&amp;$C$8:$C$207, 0)), "")</f>
        <v/>
      </c>
      <c r="DH50" s="8"/>
      <c r="DI50" s="8"/>
      <c r="DJ50" s="8"/>
      <c r="DK50" s="8"/>
      <c r="DL50" s="8"/>
      <c r="DM50" s="8"/>
      <c r="DN50" s="8"/>
      <c r="DO50" s="8"/>
      <c r="DP50" s="8"/>
      <c r="DQ50" s="8"/>
      <c r="DR50" s="8"/>
      <c r="DS50" s="8"/>
      <c r="DT50" s="8"/>
      <c r="DU50" s="8"/>
      <c r="DV50" s="8"/>
      <c r="DW50" s="8"/>
      <c r="DX50" s="8"/>
      <c r="DY50" s="8"/>
      <c r="DZ50" s="8"/>
      <c r="EA50" s="8"/>
    </row>
    <row r="51" spans="2:131" x14ac:dyDescent="0.2">
      <c r="B51" s="1">
        <f>IFERROR(Calculations!M49/1000, "")</f>
        <v>15</v>
      </c>
      <c r="C51" s="1">
        <f>Calculations!N49</f>
        <v>950</v>
      </c>
      <c r="D51" s="58">
        <f>IFERROR(Calculations!$Q49,"")</f>
        <v>0.93185485821127878</v>
      </c>
      <c r="E51" s="8">
        <f>IFERROR(Calculations!$S49, "")</f>
        <v>11.682689750806061</v>
      </c>
      <c r="F51" s="89"/>
      <c r="G51" s="89"/>
      <c r="H51" s="89"/>
      <c r="I51" s="89"/>
      <c r="J51" s="1" t="str">
        <f>IFERROR(Calculations!AC49, "")</f>
        <v/>
      </c>
      <c r="K51" s="1" t="str">
        <f>IFERROR(Calculations!AD49, "")</f>
        <v/>
      </c>
      <c r="L51" s="8">
        <f>IFERROR(Calculations!AE49,"")</f>
        <v>-76895.751107335673</v>
      </c>
      <c r="M51" s="8">
        <f>IFERROR(Calculations!AF49,"")</f>
        <v>-123063.08611635391</v>
      </c>
      <c r="N51" s="8" t="str">
        <f>IFERROR(Calculations!AG49,"")</f>
        <v/>
      </c>
      <c r="O51" s="8" t="str">
        <f>IFERROR(Calculations!AH49,"")</f>
        <v/>
      </c>
      <c r="P51" s="8" t="str">
        <f>IFERROR(Calculations!AI49,"")</f>
        <v/>
      </c>
      <c r="Q51" s="8" t="str">
        <f>IFERROR(Calculations!AJ49,"")</f>
        <v/>
      </c>
      <c r="R51" s="8" t="str">
        <f>IFERROR(Calculations!AK49,"")</f>
        <v/>
      </c>
      <c r="S51" s="89"/>
      <c r="T51" s="89"/>
      <c r="U51" s="89"/>
      <c r="V51" s="89"/>
      <c r="W51" s="1" t="str">
        <f>IFERROR(Calculations!AP49, "")</f>
        <v/>
      </c>
      <c r="X51" s="1" t="str">
        <f>IFERROR(Calculations!AQ49, "")</f>
        <v/>
      </c>
      <c r="Y51" s="8" t="str">
        <f>IFERROR(Calculations!AR49,"")</f>
        <v/>
      </c>
      <c r="Z51" s="8">
        <f>IFERROR(Calculations!AS49,"")</f>
        <v>0</v>
      </c>
      <c r="AA51" s="8">
        <f>IFERROR(Calculations!AT49,"")</f>
        <v>-155724.59393484748</v>
      </c>
      <c r="AB51" s="8" t="str">
        <f>IFERROR(Calculations!AU49,"")</f>
        <v/>
      </c>
      <c r="AC51" s="8" t="str">
        <f>IFERROR(Calculations!AV49,"")</f>
        <v/>
      </c>
      <c r="AD51" s="8" t="str">
        <f>IFERROR(Calculations!AW49,"")</f>
        <v/>
      </c>
      <c r="AE51" s="8" t="str">
        <f>IFERROR(Calculations!AX49,"")</f>
        <v/>
      </c>
      <c r="AF51" s="8">
        <f>IFERROR(IF(Calculations!AY49 &lt;&gt; 0, Calculations!AY49, ""),"")</f>
        <v>44234.243288842117</v>
      </c>
      <c r="AG51" s="42">
        <f>IFERROR(IF(Calculations!AZ49 &lt;&gt; 0, Calculations!AZ49, ""),"")</f>
        <v>-7.9088029688510311</v>
      </c>
      <c r="AH51" s="1">
        <f t="shared" si="1"/>
        <v>15</v>
      </c>
      <c r="AI51" s="1">
        <f t="shared" si="2"/>
        <v>950</v>
      </c>
      <c r="AJ51" s="89"/>
      <c r="AK51" s="89"/>
      <c r="AL51" s="89"/>
      <c r="AM51" s="89"/>
      <c r="AN51" s="8" t="str">
        <f>IFERROR(Calculations!BJ49, "")</f>
        <v/>
      </c>
      <c r="AO51" s="8" t="str">
        <f>IFERROR(Calculations!BK49, "")</f>
        <v/>
      </c>
      <c r="AP51" s="8">
        <f>IFERROR(Calculations!BL49, "")</f>
        <v>19.332710283424213</v>
      </c>
      <c r="AQ51" s="8">
        <f>IFERROR(Calculations!BM49, "")</f>
        <v>34.218865901146906</v>
      </c>
      <c r="AR51" s="8" t="str">
        <f>IFERROR(Calculations!BN49, "")</f>
        <v/>
      </c>
      <c r="AS51" s="8" t="str">
        <f>IFERROR(Calculations!BO49, "")</f>
        <v/>
      </c>
      <c r="AT51" s="8" t="str">
        <f>IFERROR(Calculations!BP49, "")</f>
        <v/>
      </c>
      <c r="AU51" s="8" t="str">
        <f>IFERROR(Calculations!BQ49, "")</f>
        <v/>
      </c>
      <c r="AV51" s="8" t="str">
        <f>IFERROR(Calculations!BR49, "")</f>
        <v/>
      </c>
      <c r="AW51" s="89"/>
      <c r="AX51" s="89"/>
      <c r="AY51" s="89"/>
      <c r="AZ51" s="89"/>
      <c r="BA51" s="8" t="str">
        <f>IFERROR(Calculations!BW49, "")</f>
        <v/>
      </c>
      <c r="BB51" s="8" t="str">
        <f>IFERROR(Calculations!BX49, "")</f>
        <v/>
      </c>
      <c r="BC51" s="8" t="str">
        <f>IFERROR(Calculations!BY49, "")</f>
        <v/>
      </c>
      <c r="BD51" s="8">
        <f>IFERROR(Calculations!BZ49, "")</f>
        <v>0</v>
      </c>
      <c r="BE51" s="8">
        <f>IFERROR(Calculations!CA49, "")</f>
        <v>25.060058627465043</v>
      </c>
      <c r="BF51" s="8" t="str">
        <f>IFERROR(Calculations!CB49, "")</f>
        <v/>
      </c>
      <c r="BG51" s="8" t="str">
        <f>IFERROR(Calculations!CC49, "")</f>
        <v/>
      </c>
      <c r="BH51" s="8" t="str">
        <f>IFERROR(Calculations!CD49, "")</f>
        <v/>
      </c>
      <c r="BI51" s="8" t="str">
        <f>IFERROR(Calculations!CE49, "")</f>
        <v/>
      </c>
      <c r="BJ51" s="8">
        <f>IFERROR(IF(Calculations!CF49 &lt;&gt; 0, Calculations!CF49, ""),"")</f>
        <v>-28.491517557106075</v>
      </c>
      <c r="BK51" s="1">
        <f t="shared" si="3"/>
        <v>950</v>
      </c>
      <c r="BL51" s="1">
        <f t="shared" si="4"/>
        <v>15</v>
      </c>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row>
    <row r="52" spans="2:131" x14ac:dyDescent="0.2">
      <c r="B52" s="1">
        <f>IFERROR(Calculations!M50/1000, "")</f>
        <v>15</v>
      </c>
      <c r="C52" s="1">
        <f>Calculations!N50</f>
        <v>1000</v>
      </c>
      <c r="D52" s="58">
        <f>IFERROR(Calculations!$Q50,"")</f>
        <v>0.91585912169933326</v>
      </c>
      <c r="E52" s="8">
        <f>IFERROR(Calculations!$S50, "")</f>
        <v>10.780381720529748</v>
      </c>
      <c r="F52" s="89"/>
      <c r="G52" s="89"/>
      <c r="H52" s="89"/>
      <c r="I52" s="89"/>
      <c r="J52" s="1" t="str">
        <f>IFERROR(Calculations!AC50, "")</f>
        <v/>
      </c>
      <c r="K52" s="1" t="str">
        <f>IFERROR(Calculations!AD50, "")</f>
        <v/>
      </c>
      <c r="L52" s="8">
        <f>IFERROR(Calculations!AE50,"")</f>
        <v>-78699.277503697231</v>
      </c>
      <c r="M52" s="8">
        <f>IFERROR(Calculations!AF50,"")</f>
        <v>-125823.5743171573</v>
      </c>
      <c r="N52" s="8" t="str">
        <f>IFERROR(Calculations!AG50,"")</f>
        <v/>
      </c>
      <c r="O52" s="8" t="str">
        <f>IFERROR(Calculations!AH50,"")</f>
        <v/>
      </c>
      <c r="P52" s="8" t="str">
        <f>IFERROR(Calculations!AI50,"")</f>
        <v/>
      </c>
      <c r="Q52" s="8" t="str">
        <f>IFERROR(Calculations!AJ50,"")</f>
        <v/>
      </c>
      <c r="R52" s="8" t="str">
        <f>IFERROR(Calculations!AK50,"")</f>
        <v/>
      </c>
      <c r="S52" s="89"/>
      <c r="T52" s="89"/>
      <c r="U52" s="89"/>
      <c r="V52" s="89"/>
      <c r="W52" s="1" t="str">
        <f>IFERROR(Calculations!AP50, "")</f>
        <v/>
      </c>
      <c r="X52" s="1" t="str">
        <f>IFERROR(Calculations!AQ50, "")</f>
        <v/>
      </c>
      <c r="Y52" s="8" t="str">
        <f>IFERROR(Calculations!AR50,"")</f>
        <v/>
      </c>
      <c r="Z52" s="8">
        <f>IFERROR(Calculations!AS50,"")</f>
        <v>0</v>
      </c>
      <c r="AA52" s="8">
        <f>IFERROR(Calculations!AT50,"")</f>
        <v>-157078.22102938624</v>
      </c>
      <c r="AB52" s="8" t="str">
        <f>IFERROR(Calculations!AU50,"")</f>
        <v/>
      </c>
      <c r="AC52" s="8" t="str">
        <f>IFERROR(Calculations!AV50,"")</f>
        <v/>
      </c>
      <c r="AD52" s="8" t="str">
        <f>IFERROR(Calculations!AW50,"")</f>
        <v/>
      </c>
      <c r="AE52" s="8" t="str">
        <f>IFERROR(Calculations!AX50,"")</f>
        <v/>
      </c>
      <c r="AF52" s="8">
        <f>IFERROR(IF(Calculations!AY50 &lt;&gt; 0, Calculations!AY50, ""),"")</f>
        <v>47444.630791468284</v>
      </c>
      <c r="AG52" s="42">
        <f>IFERROR(IF(Calculations!AZ50 &lt;&gt; 0, Calculations!AZ50, ""),"")</f>
        <v>-8.1496577478127357</v>
      </c>
      <c r="AH52" s="1">
        <f t="shared" si="1"/>
        <v>15</v>
      </c>
      <c r="AI52" s="1">
        <f t="shared" si="2"/>
        <v>1000</v>
      </c>
      <c r="AJ52" s="89"/>
      <c r="AK52" s="89"/>
      <c r="AL52" s="89"/>
      <c r="AM52" s="89"/>
      <c r="AN52" s="8" t="str">
        <f>IFERROR(Calculations!BJ50, "")</f>
        <v/>
      </c>
      <c r="AO52" s="8" t="str">
        <f>IFERROR(Calculations!BK50, "")</f>
        <v/>
      </c>
      <c r="AP52" s="8">
        <f>IFERROR(Calculations!BL50, "")</f>
        <v>19.670361492467862</v>
      </c>
      <c r="AQ52" s="8">
        <f>IFERROR(Calculations!BM50, "")</f>
        <v>34.597556405696039</v>
      </c>
      <c r="AR52" s="8" t="str">
        <f>IFERROR(Calculations!BN50, "")</f>
        <v/>
      </c>
      <c r="AS52" s="8" t="str">
        <f>IFERROR(Calculations!BO50, "")</f>
        <v/>
      </c>
      <c r="AT52" s="8" t="str">
        <f>IFERROR(Calculations!BP50, "")</f>
        <v/>
      </c>
      <c r="AU52" s="8" t="str">
        <f>IFERROR(Calculations!BQ50, "")</f>
        <v/>
      </c>
      <c r="AV52" s="8" t="str">
        <f>IFERROR(Calculations!BR50, "")</f>
        <v/>
      </c>
      <c r="AW52" s="89"/>
      <c r="AX52" s="89"/>
      <c r="AY52" s="89"/>
      <c r="AZ52" s="89"/>
      <c r="BA52" s="8" t="str">
        <f>IFERROR(Calculations!BW50, "")</f>
        <v/>
      </c>
      <c r="BB52" s="8" t="str">
        <f>IFERROR(Calculations!BX50, "")</f>
        <v/>
      </c>
      <c r="BC52" s="8" t="str">
        <f>IFERROR(Calculations!BY50, "")</f>
        <v/>
      </c>
      <c r="BD52" s="8">
        <f>IFERROR(Calculations!BZ50, "")</f>
        <v>0</v>
      </c>
      <c r="BE52" s="8">
        <f>IFERROR(Calculations!CA50, "")</f>
        <v>24.455382321423063</v>
      </c>
      <c r="BF52" s="8" t="str">
        <f>IFERROR(Calculations!CB50, "")</f>
        <v/>
      </c>
      <c r="BG52" s="8" t="str">
        <f>IFERROR(Calculations!CC50, "")</f>
        <v/>
      </c>
      <c r="BH52" s="8" t="str">
        <f>IFERROR(Calculations!CD50, "")</f>
        <v/>
      </c>
      <c r="BI52" s="8" t="str">
        <f>IFERROR(Calculations!CE50, "")</f>
        <v/>
      </c>
      <c r="BJ52" s="8">
        <f>IFERROR(IF(Calculations!CF50 &lt;&gt; 0, Calculations!CF50, ""),"")</f>
        <v>-29.812535576740839</v>
      </c>
      <c r="BK52" s="1">
        <f t="shared" si="3"/>
        <v>1000</v>
      </c>
      <c r="BL52" s="1">
        <f t="shared" si="4"/>
        <v>15</v>
      </c>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row>
    <row r="53" spans="2:131" x14ac:dyDescent="0.2">
      <c r="B53" s="1">
        <f>IFERROR(Calculations!M51/1000, "")</f>
        <v>20</v>
      </c>
      <c r="C53" s="1">
        <f>Calculations!N51</f>
        <v>300</v>
      </c>
      <c r="D53" s="58">
        <f>IFERROR(Calculations!$Q51,"")</f>
        <v>1.2393530965399742</v>
      </c>
      <c r="E53" s="8">
        <f>IFERROR(Calculations!$S51, "")</f>
        <v>46.868913958327788</v>
      </c>
      <c r="F53" s="89"/>
      <c r="G53" s="89"/>
      <c r="H53" s="89"/>
      <c r="I53" s="89"/>
      <c r="J53" s="1" t="str">
        <f>IFERROR(Calculations!AC51, "")</f>
        <v/>
      </c>
      <c r="K53" s="1" t="str">
        <f>IFERROR(Calculations!AD51, "")</f>
        <v/>
      </c>
      <c r="L53" s="8">
        <f>IFERROR(Calculations!AE51,"")</f>
        <v>-54954.090830470072</v>
      </c>
      <c r="M53" s="8">
        <f>IFERROR(Calculations!AF51,"")</f>
        <v>-87932.279084554772</v>
      </c>
      <c r="N53" s="8" t="str">
        <f>IFERROR(Calculations!AG51,"")</f>
        <v/>
      </c>
      <c r="O53" s="8" t="str">
        <f>IFERROR(Calculations!AH51,"")</f>
        <v/>
      </c>
      <c r="P53" s="8" t="str">
        <f>IFERROR(Calculations!AI51,"")</f>
        <v/>
      </c>
      <c r="Q53" s="8" t="str">
        <f>IFERROR(Calculations!AJ51,"")</f>
        <v/>
      </c>
      <c r="R53" s="8" t="str">
        <f>IFERROR(Calculations!AK51,"")</f>
        <v/>
      </c>
      <c r="S53" s="89"/>
      <c r="T53" s="89"/>
      <c r="U53" s="89"/>
      <c r="V53" s="89"/>
      <c r="W53" s="1" t="str">
        <f>IFERROR(Calculations!AP51, "")</f>
        <v/>
      </c>
      <c r="X53" s="1" t="str">
        <f>IFERROR(Calculations!AQ51, "")</f>
        <v/>
      </c>
      <c r="Y53" s="8" t="str">
        <f>IFERROR(Calculations!AR51,"")</f>
        <v/>
      </c>
      <c r="Z53" s="8">
        <f>IFERROR(Calculations!AS51,"")</f>
        <v>0</v>
      </c>
      <c r="AA53" s="8">
        <f>IFERROR(Calculations!AT51,"")</f>
        <v>-133168.65205577915</v>
      </c>
      <c r="AB53" s="8" t="str">
        <f>IFERROR(Calculations!AU51,"")</f>
        <v/>
      </c>
      <c r="AC53" s="8" t="str">
        <f>IFERROR(Calculations!AV51,"")</f>
        <v/>
      </c>
      <c r="AD53" s="8" t="str">
        <f>IFERROR(Calculations!AW51,"")</f>
        <v/>
      </c>
      <c r="AE53" s="8" t="str">
        <f>IFERROR(Calculations!AX51,"")</f>
        <v/>
      </c>
      <c r="AF53" s="8">
        <f>IFERROR(IF(Calculations!AY51 &lt;&gt; 0, Calculations!AY51, ""),"")</f>
        <v>9717.7178592456912</v>
      </c>
      <c r="AG53" s="42">
        <f>IFERROR(IF(Calculations!AZ51 &lt;&gt; 0, Calculations!AZ51, ""),"")</f>
        <v>-3.707898716139777</v>
      </c>
      <c r="AH53" s="1">
        <f t="shared" si="1"/>
        <v>20</v>
      </c>
      <c r="AI53" s="1">
        <f t="shared" si="2"/>
        <v>300</v>
      </c>
      <c r="AJ53" s="89"/>
      <c r="AK53" s="89"/>
      <c r="AL53" s="89"/>
      <c r="AM53" s="89"/>
      <c r="AN53" s="8" t="str">
        <f>IFERROR(Calculations!BJ51, "")</f>
        <v/>
      </c>
      <c r="AO53" s="8" t="str">
        <f>IFERROR(Calculations!BK51, "")</f>
        <v/>
      </c>
      <c r="AP53" s="8">
        <f>IFERROR(Calculations!BL51, "")</f>
        <v>14.536035009147158</v>
      </c>
      <c r="AQ53" s="8">
        <f>IFERROR(Calculations!BM51, "")</f>
        <v>30.483289158691857</v>
      </c>
      <c r="AR53" s="8" t="str">
        <f>IFERROR(Calculations!BN51, "")</f>
        <v/>
      </c>
      <c r="AS53" s="8" t="str">
        <f>IFERROR(Calculations!BO51, "")</f>
        <v/>
      </c>
      <c r="AT53" s="8" t="str">
        <f>IFERROR(Calculations!BP51, "")</f>
        <v/>
      </c>
      <c r="AU53" s="8" t="str">
        <f>IFERROR(Calculations!BQ51, "")</f>
        <v/>
      </c>
      <c r="AV53" s="8" t="str">
        <f>IFERROR(Calculations!BR51, "")</f>
        <v/>
      </c>
      <c r="AW53" s="89"/>
      <c r="AX53" s="89"/>
      <c r="AY53" s="89"/>
      <c r="AZ53" s="89"/>
      <c r="BA53" s="8" t="str">
        <f>IFERROR(Calculations!BW51, "")</f>
        <v/>
      </c>
      <c r="BB53" s="8" t="str">
        <f>IFERROR(Calculations!BX51, "")</f>
        <v/>
      </c>
      <c r="BC53" s="8" t="str">
        <f>IFERROR(Calculations!BY51, "")</f>
        <v/>
      </c>
      <c r="BD53" s="8">
        <f>IFERROR(Calculations!BZ51, "")</f>
        <v>0</v>
      </c>
      <c r="BE53" s="8">
        <f>IFERROR(Calculations!CA51, "")</f>
        <v>30.950110336692617</v>
      </c>
      <c r="BF53" s="8" t="str">
        <f>IFERROR(Calculations!CB51, "")</f>
        <v/>
      </c>
      <c r="BG53" s="8" t="str">
        <f>IFERROR(Calculations!CC51, "")</f>
        <v/>
      </c>
      <c r="BH53" s="8" t="str">
        <f>IFERROR(Calculations!CD51, "")</f>
        <v/>
      </c>
      <c r="BI53" s="8" t="str">
        <f>IFERROR(Calculations!CE51, "")</f>
        <v/>
      </c>
      <c r="BJ53" s="8">
        <f>IFERROR(IF(Calculations!CF51 &lt;&gt; 0, Calculations!CF51, ""),"")</f>
        <v>-14.069213831146399</v>
      </c>
      <c r="BK53" s="1">
        <f t="shared" si="3"/>
        <v>300</v>
      </c>
      <c r="BL53" s="1">
        <f t="shared" si="4"/>
        <v>20</v>
      </c>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row>
    <row r="54" spans="2:131" x14ac:dyDescent="0.2">
      <c r="B54" s="1">
        <f>IFERROR(Calculations!M52/1000, "")</f>
        <v>20</v>
      </c>
      <c r="C54" s="1">
        <f>Calculations!N52</f>
        <v>350</v>
      </c>
      <c r="D54" s="58">
        <f>IFERROR(Calculations!$Q52,"")</f>
        <v>1.2206754597640037</v>
      </c>
      <c r="E54" s="8">
        <f>IFERROR(Calculations!$S52, "")</f>
        <v>41.634075256403847</v>
      </c>
      <c r="F54" s="89"/>
      <c r="G54" s="89"/>
      <c r="H54" s="89"/>
      <c r="I54" s="89"/>
      <c r="J54" s="1" t="str">
        <f>IFERROR(Calculations!AC52, "")</f>
        <v/>
      </c>
      <c r="K54" s="1" t="str">
        <f>IFERROR(Calculations!AD52, "")</f>
        <v/>
      </c>
      <c r="L54" s="8">
        <f>IFERROR(Calculations!AE52,"")</f>
        <v>-56192.753966515877</v>
      </c>
      <c r="M54" s="8">
        <f>IFERROR(Calculations!AF52,"")</f>
        <v>-90012.506011808655</v>
      </c>
      <c r="N54" s="8" t="str">
        <f>IFERROR(Calculations!AG52,"")</f>
        <v/>
      </c>
      <c r="O54" s="8" t="str">
        <f>IFERROR(Calculations!AH52,"")</f>
        <v/>
      </c>
      <c r="P54" s="8" t="str">
        <f>IFERROR(Calculations!AI52,"")</f>
        <v/>
      </c>
      <c r="Q54" s="8" t="str">
        <f>IFERROR(Calculations!AJ52,"")</f>
        <v/>
      </c>
      <c r="R54" s="8" t="str">
        <f>IFERROR(Calculations!AK52,"")</f>
        <v/>
      </c>
      <c r="S54" s="89"/>
      <c r="T54" s="89"/>
      <c r="U54" s="89"/>
      <c r="V54" s="89"/>
      <c r="W54" s="1" t="str">
        <f>IFERROR(Calculations!AP52, "")</f>
        <v/>
      </c>
      <c r="X54" s="1" t="str">
        <f>IFERROR(Calculations!AQ52, "")</f>
        <v/>
      </c>
      <c r="Y54" s="8" t="str">
        <f>IFERROR(Calculations!AR52,"")</f>
        <v/>
      </c>
      <c r="Z54" s="8">
        <f>IFERROR(Calculations!AS52,"")</f>
        <v>0</v>
      </c>
      <c r="AA54" s="8">
        <f>IFERROR(Calculations!AT52,"")</f>
        <v>-134676.64057553629</v>
      </c>
      <c r="AB54" s="8" t="str">
        <f>IFERROR(Calculations!AU52,"")</f>
        <v/>
      </c>
      <c r="AC54" s="8" t="str">
        <f>IFERROR(Calculations!AV52,"")</f>
        <v/>
      </c>
      <c r="AD54" s="8" t="str">
        <f>IFERROR(Calculations!AW52,"")</f>
        <v/>
      </c>
      <c r="AE54" s="8" t="str">
        <f>IFERROR(Calculations!AX52,"")</f>
        <v/>
      </c>
      <c r="AF54" s="8">
        <f>IFERROR(IF(Calculations!AY52 &lt;&gt; 0, Calculations!AY52, ""),"")</f>
        <v>11528.61940278823</v>
      </c>
      <c r="AG54" s="42">
        <f>IFERROR(IF(Calculations!AZ52 &lt;&gt; 0, Calculations!AZ52, ""),"")</f>
        <v>-4.0459133384367254</v>
      </c>
      <c r="AH54" s="1">
        <f t="shared" si="1"/>
        <v>20</v>
      </c>
      <c r="AI54" s="1">
        <f t="shared" si="2"/>
        <v>350</v>
      </c>
      <c r="AJ54" s="89"/>
      <c r="AK54" s="89"/>
      <c r="AL54" s="89"/>
      <c r="AM54" s="89"/>
      <c r="AN54" s="8" t="str">
        <f>IFERROR(Calculations!BJ52, "")</f>
        <v/>
      </c>
      <c r="AO54" s="8" t="str">
        <f>IFERROR(Calculations!BK52, "")</f>
        <v/>
      </c>
      <c r="AP54" s="8">
        <f>IFERROR(Calculations!BL52, "")</f>
        <v>14.758451852126969</v>
      </c>
      <c r="AQ54" s="8">
        <f>IFERROR(Calculations!BM52, "")</f>
        <v>30.566351482479771</v>
      </c>
      <c r="AR54" s="8" t="str">
        <f>IFERROR(Calculations!BN52, "")</f>
        <v/>
      </c>
      <c r="AS54" s="8" t="str">
        <f>IFERROR(Calculations!BO52, "")</f>
        <v/>
      </c>
      <c r="AT54" s="8" t="str">
        <f>IFERROR(Calculations!BP52, "")</f>
        <v/>
      </c>
      <c r="AU54" s="8" t="str">
        <f>IFERROR(Calculations!BQ52, "")</f>
        <v/>
      </c>
      <c r="AV54" s="8" t="str">
        <f>IFERROR(Calculations!BR52, "")</f>
        <v/>
      </c>
      <c r="AW54" s="89"/>
      <c r="AX54" s="89"/>
      <c r="AY54" s="89"/>
      <c r="AZ54" s="89"/>
      <c r="BA54" s="8" t="str">
        <f>IFERROR(Calculations!BW52, "")</f>
        <v/>
      </c>
      <c r="BB54" s="8" t="str">
        <f>IFERROR(Calculations!BX52, "")</f>
        <v/>
      </c>
      <c r="BC54" s="8" t="str">
        <f>IFERROR(Calculations!BY52, "")</f>
        <v/>
      </c>
      <c r="BD54" s="8">
        <f>IFERROR(Calculations!BZ52, "")</f>
        <v>0</v>
      </c>
      <c r="BE54" s="8">
        <f>IFERROR(Calculations!CA52, "")</f>
        <v>30.788825187134407</v>
      </c>
      <c r="BF54" s="8" t="str">
        <f>IFERROR(Calculations!CB52, "")</f>
        <v/>
      </c>
      <c r="BG54" s="8" t="str">
        <f>IFERROR(Calculations!CC52, "")</f>
        <v/>
      </c>
      <c r="BH54" s="8" t="str">
        <f>IFERROR(Calculations!CD52, "")</f>
        <v/>
      </c>
      <c r="BI54" s="8" t="str">
        <f>IFERROR(Calculations!CE52, "")</f>
        <v/>
      </c>
      <c r="BJ54" s="8">
        <f>IFERROR(IF(Calculations!CF52 &lt;&gt; 0, Calculations!CF52, ""),"")</f>
        <v>-14.535978147472335</v>
      </c>
      <c r="BK54" s="1">
        <f t="shared" si="3"/>
        <v>350</v>
      </c>
      <c r="BL54" s="1">
        <f t="shared" si="4"/>
        <v>20</v>
      </c>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row>
    <row r="55" spans="2:131" x14ac:dyDescent="0.2">
      <c r="B55" s="1">
        <f>IFERROR(Calculations!M53/1000, "")</f>
        <v>20</v>
      </c>
      <c r="C55" s="1">
        <f>Calculations!N53</f>
        <v>400</v>
      </c>
      <c r="D55" s="58">
        <f>IFERROR(Calculations!$Q53,"")</f>
        <v>1.2021319329023359</v>
      </c>
      <c r="E55" s="8">
        <f>IFERROR(Calculations!$S53, "")</f>
        <v>37.159538638876825</v>
      </c>
      <c r="F55" s="89"/>
      <c r="G55" s="89"/>
      <c r="H55" s="89"/>
      <c r="I55" s="89"/>
      <c r="J55" s="1" t="str">
        <f>IFERROR(Calculations!AC53, "")</f>
        <v/>
      </c>
      <c r="K55" s="1" t="str">
        <f>IFERROR(Calculations!AD53, "")</f>
        <v/>
      </c>
      <c r="L55" s="8">
        <f>IFERROR(Calculations!AE53,"")</f>
        <v>-57494.781327660457</v>
      </c>
      <c r="M55" s="8">
        <f>IFERROR(Calculations!AF53,"")</f>
        <v>-92144.937346556515</v>
      </c>
      <c r="N55" s="8" t="str">
        <f>IFERROR(Calculations!AG53,"")</f>
        <v/>
      </c>
      <c r="O55" s="8" t="str">
        <f>IFERROR(Calculations!AH53,"")</f>
        <v/>
      </c>
      <c r="P55" s="8" t="str">
        <f>IFERROR(Calculations!AI53,"")</f>
        <v/>
      </c>
      <c r="Q55" s="8" t="str">
        <f>IFERROR(Calculations!AJ53,"")</f>
        <v/>
      </c>
      <c r="R55" s="8" t="str">
        <f>IFERROR(Calculations!AK53,"")</f>
        <v/>
      </c>
      <c r="S55" s="89"/>
      <c r="T55" s="89"/>
      <c r="U55" s="89"/>
      <c r="V55" s="89"/>
      <c r="W55" s="1" t="str">
        <f>IFERROR(Calculations!AP53, "")</f>
        <v/>
      </c>
      <c r="X55" s="1" t="str">
        <f>IFERROR(Calculations!AQ53, "")</f>
        <v/>
      </c>
      <c r="Y55" s="8" t="str">
        <f>IFERROR(Calculations!AR53,"")</f>
        <v/>
      </c>
      <c r="Z55" s="8">
        <f>IFERROR(Calculations!AS53,"")</f>
        <v>0</v>
      </c>
      <c r="AA55" s="8">
        <f>IFERROR(Calculations!AT53,"")</f>
        <v>-136205.17339350036</v>
      </c>
      <c r="AB55" s="8" t="str">
        <f>IFERROR(Calculations!AU53,"")</f>
        <v/>
      </c>
      <c r="AC55" s="8" t="str">
        <f>IFERROR(Calculations!AV53,"")</f>
        <v/>
      </c>
      <c r="AD55" s="8" t="str">
        <f>IFERROR(Calculations!AW53,"")</f>
        <v/>
      </c>
      <c r="AE55" s="8" t="str">
        <f>IFERROR(Calculations!AX53,"")</f>
        <v/>
      </c>
      <c r="AF55" s="8">
        <f>IFERROR(IF(Calculations!AY53 &lt;&gt; 0, Calculations!AY53, ""),"")</f>
        <v>13434.545280716615</v>
      </c>
      <c r="AG55" s="42">
        <f>IFERROR(IF(Calculations!AZ53 &lt;&gt; 0, Calculations!AZ53, ""),"")</f>
        <v>-4.3645853930524865</v>
      </c>
      <c r="AH55" s="1">
        <f t="shared" si="1"/>
        <v>20</v>
      </c>
      <c r="AI55" s="1">
        <f t="shared" si="2"/>
        <v>400</v>
      </c>
      <c r="AJ55" s="89"/>
      <c r="AK55" s="89"/>
      <c r="AL55" s="89"/>
      <c r="AM55" s="89"/>
      <c r="AN55" s="8" t="str">
        <f>IFERROR(Calculations!BJ53, "")</f>
        <v/>
      </c>
      <c r="AO55" s="8" t="str">
        <f>IFERROR(Calculations!BK53, "")</f>
        <v/>
      </c>
      <c r="AP55" s="8">
        <f>IFERROR(Calculations!BL53, "")</f>
        <v>14.986108851218418</v>
      </c>
      <c r="AQ55" s="8">
        <f>IFERROR(Calculations!BM53, "")</f>
        <v>30.662817887480578</v>
      </c>
      <c r="AR55" s="8" t="str">
        <f>IFERROR(Calculations!BN53, "")</f>
        <v/>
      </c>
      <c r="AS55" s="8" t="str">
        <f>IFERROR(Calculations!BO53, "")</f>
        <v/>
      </c>
      <c r="AT55" s="8" t="str">
        <f>IFERROR(Calculations!BP53, "")</f>
        <v/>
      </c>
      <c r="AU55" s="8" t="str">
        <f>IFERROR(Calculations!BQ53, "")</f>
        <v/>
      </c>
      <c r="AV55" s="8" t="str">
        <f>IFERROR(Calculations!BR53, "")</f>
        <v/>
      </c>
      <c r="AW55" s="89"/>
      <c r="AX55" s="89"/>
      <c r="AY55" s="89"/>
      <c r="AZ55" s="89"/>
      <c r="BA55" s="8" t="str">
        <f>IFERROR(Calculations!BW53, "")</f>
        <v/>
      </c>
      <c r="BB55" s="8" t="str">
        <f>IFERROR(Calculations!BX53, "")</f>
        <v/>
      </c>
      <c r="BC55" s="8" t="str">
        <f>IFERROR(Calculations!BY53, "")</f>
        <v/>
      </c>
      <c r="BD55" s="8">
        <f>IFERROR(Calculations!BZ53, "")</f>
        <v>0</v>
      </c>
      <c r="BE55" s="8">
        <f>IFERROR(Calculations!CA53, "")</f>
        <v>30.612738638535216</v>
      </c>
      <c r="BF55" s="8" t="str">
        <f>IFERROR(Calculations!CB53, "")</f>
        <v/>
      </c>
      <c r="BG55" s="8" t="str">
        <f>IFERROR(Calculations!CC53, "")</f>
        <v/>
      </c>
      <c r="BH55" s="8" t="str">
        <f>IFERROR(Calculations!CD53, "")</f>
        <v/>
      </c>
      <c r="BI55" s="8" t="str">
        <f>IFERROR(Calculations!CE53, "")</f>
        <v/>
      </c>
      <c r="BJ55" s="8">
        <f>IFERROR(IF(Calculations!CF53 &lt;&gt; 0, Calculations!CF53, ""),"")</f>
        <v>-15.03618810016378</v>
      </c>
      <c r="BK55" s="1">
        <f t="shared" si="3"/>
        <v>400</v>
      </c>
      <c r="BL55" s="1">
        <f t="shared" si="4"/>
        <v>20</v>
      </c>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row>
    <row r="56" spans="2:131" x14ac:dyDescent="0.2">
      <c r="B56" s="1">
        <f>IFERROR(Calculations!M54/1000, "")</f>
        <v>20</v>
      </c>
      <c r="C56" s="1">
        <f>Calculations!N54</f>
        <v>450</v>
      </c>
      <c r="D56" s="58">
        <f>IFERROR(Calculations!$Q54,"")</f>
        <v>1.1837277313405279</v>
      </c>
      <c r="E56" s="8">
        <f>IFERROR(Calculations!$S54, "")</f>
        <v>33.299923208802177</v>
      </c>
      <c r="F56" s="89"/>
      <c r="G56" s="89"/>
      <c r="H56" s="89"/>
      <c r="I56" s="89"/>
      <c r="J56" s="1" t="str">
        <f>IFERROR(Calculations!AC54, "")</f>
        <v/>
      </c>
      <c r="K56" s="1" t="str">
        <f>IFERROR(Calculations!AD54, "")</f>
        <v/>
      </c>
      <c r="L56" s="8">
        <f>IFERROR(Calculations!AE54,"")</f>
        <v>-58851.708434799155</v>
      </c>
      <c r="M56" s="8">
        <f>IFERROR(Calculations!AF54,"")</f>
        <v>-94328.215518726734</v>
      </c>
      <c r="N56" s="8" t="str">
        <f>IFERROR(Calculations!AG54,"")</f>
        <v/>
      </c>
      <c r="O56" s="8" t="str">
        <f>IFERROR(Calculations!AH54,"")</f>
        <v/>
      </c>
      <c r="P56" s="8" t="str">
        <f>IFERROR(Calculations!AI54,"")</f>
        <v/>
      </c>
      <c r="Q56" s="8" t="str">
        <f>IFERROR(Calculations!AJ54,"")</f>
        <v/>
      </c>
      <c r="R56" s="8" t="str">
        <f>IFERROR(Calculations!AK54,"")</f>
        <v/>
      </c>
      <c r="S56" s="89"/>
      <c r="T56" s="89"/>
      <c r="U56" s="89"/>
      <c r="V56" s="89"/>
      <c r="W56" s="1" t="str">
        <f>IFERROR(Calculations!AP54, "")</f>
        <v/>
      </c>
      <c r="X56" s="1" t="str">
        <f>IFERROR(Calculations!AQ54, "")</f>
        <v/>
      </c>
      <c r="Y56" s="8" t="str">
        <f>IFERROR(Calculations!AR54,"")</f>
        <v/>
      </c>
      <c r="Z56" s="8">
        <f>IFERROR(Calculations!AS54,"")</f>
        <v>0</v>
      </c>
      <c r="AA56" s="8">
        <f>IFERROR(Calculations!AT54,"")</f>
        <v>-137747.79658644702</v>
      </c>
      <c r="AB56" s="8" t="str">
        <f>IFERROR(Calculations!AU54,"")</f>
        <v/>
      </c>
      <c r="AC56" s="8" t="str">
        <f>IFERROR(Calculations!AV54,"")</f>
        <v/>
      </c>
      <c r="AD56" s="8" t="str">
        <f>IFERROR(Calculations!AW54,"")</f>
        <v/>
      </c>
      <c r="AE56" s="8" t="str">
        <f>IFERROR(Calculations!AX54,"")</f>
        <v/>
      </c>
      <c r="AF56" s="8">
        <f>IFERROR(IF(Calculations!AY54 &lt;&gt; 0, Calculations!AY54, ""),"")</f>
        <v>15432.12736707888</v>
      </c>
      <c r="AG56" s="42">
        <f>IFERROR(IF(Calculations!AZ54 &lt;&gt; 0, Calculations!AZ54, ""),"")</f>
        <v>-4.6669084562660839</v>
      </c>
      <c r="AH56" s="1">
        <f t="shared" si="1"/>
        <v>20</v>
      </c>
      <c r="AI56" s="1">
        <f t="shared" si="2"/>
        <v>450</v>
      </c>
      <c r="AJ56" s="89"/>
      <c r="AK56" s="89"/>
      <c r="AL56" s="89"/>
      <c r="AM56" s="89"/>
      <c r="AN56" s="8" t="str">
        <f>IFERROR(Calculations!BJ54, "")</f>
        <v/>
      </c>
      <c r="AO56" s="8" t="str">
        <f>IFERROR(Calculations!BK54, "")</f>
        <v/>
      </c>
      <c r="AP56" s="8">
        <f>IFERROR(Calculations!BL54, "")</f>
        <v>15.219107842982069</v>
      </c>
      <c r="AQ56" s="8">
        <f>IFERROR(Calculations!BM54, "")</f>
        <v>30.771194201916984</v>
      </c>
      <c r="AR56" s="8" t="str">
        <f>IFERROR(Calculations!BN54, "")</f>
        <v/>
      </c>
      <c r="AS56" s="8" t="str">
        <f>IFERROR(Calculations!BO54, "")</f>
        <v/>
      </c>
      <c r="AT56" s="8" t="str">
        <f>IFERROR(Calculations!BP54, "")</f>
        <v/>
      </c>
      <c r="AU56" s="8" t="str">
        <f>IFERROR(Calculations!BQ54, "")</f>
        <v/>
      </c>
      <c r="AV56" s="8" t="str">
        <f>IFERROR(Calculations!BR54, "")</f>
        <v/>
      </c>
      <c r="AW56" s="89"/>
      <c r="AX56" s="89"/>
      <c r="AY56" s="89"/>
      <c r="AZ56" s="89"/>
      <c r="BA56" s="8" t="str">
        <f>IFERROR(Calculations!BW54, "")</f>
        <v/>
      </c>
      <c r="BB56" s="8" t="str">
        <f>IFERROR(Calculations!BX54, "")</f>
        <v/>
      </c>
      <c r="BC56" s="8" t="str">
        <f>IFERROR(Calculations!BY54, "")</f>
        <v/>
      </c>
      <c r="BD56" s="8">
        <f>IFERROR(Calculations!BZ54, "")</f>
        <v>0</v>
      </c>
      <c r="BE56" s="8">
        <f>IFERROR(Calculations!CA54, "")</f>
        <v>30.422249793667923</v>
      </c>
      <c r="BF56" s="8" t="str">
        <f>IFERROR(Calculations!CB54, "")</f>
        <v/>
      </c>
      <c r="BG56" s="8" t="str">
        <f>IFERROR(Calculations!CC54, "")</f>
        <v/>
      </c>
      <c r="BH56" s="8" t="str">
        <f>IFERROR(Calculations!CD54, "")</f>
        <v/>
      </c>
      <c r="BI56" s="8" t="str">
        <f>IFERROR(Calculations!CE54, "")</f>
        <v/>
      </c>
      <c r="BJ56" s="8">
        <f>IFERROR(IF(Calculations!CF54 &lt;&gt; 0, Calculations!CF54, ""),"")</f>
        <v>-15.56805225123113</v>
      </c>
      <c r="BK56" s="1">
        <f t="shared" si="3"/>
        <v>450</v>
      </c>
      <c r="BL56" s="1">
        <f t="shared" si="4"/>
        <v>20</v>
      </c>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row>
    <row r="57" spans="2:131" x14ac:dyDescent="0.2">
      <c r="B57" s="1">
        <f>IFERROR(Calculations!M55/1000, "")</f>
        <v>20</v>
      </c>
      <c r="C57" s="1">
        <f>Calculations!N55</f>
        <v>500</v>
      </c>
      <c r="D57" s="58">
        <f>IFERROR(Calculations!$Q55,"")</f>
        <v>1.1654981706893441</v>
      </c>
      <c r="E57" s="8">
        <f>IFERROR(Calculations!$S55, "")</f>
        <v>29.948103416877274</v>
      </c>
      <c r="F57" s="89"/>
      <c r="G57" s="89"/>
      <c r="H57" s="89"/>
      <c r="I57" s="89"/>
      <c r="J57" s="1" t="str">
        <f>IFERROR(Calculations!AC55, "")</f>
        <v/>
      </c>
      <c r="K57" s="1" t="str">
        <f>IFERROR(Calculations!AD55, "")</f>
        <v/>
      </c>
      <c r="L57" s="8">
        <f>IFERROR(Calculations!AE55,"")</f>
        <v>-60255.436234742883</v>
      </c>
      <c r="M57" s="8">
        <f>IFERROR(Calculations!AF55,"")</f>
        <v>-96561.204629656349</v>
      </c>
      <c r="N57" s="8" t="str">
        <f>IFERROR(Calculations!AG55,"")</f>
        <v/>
      </c>
      <c r="O57" s="8" t="str">
        <f>IFERROR(Calculations!AH55,"")</f>
        <v/>
      </c>
      <c r="P57" s="8" t="str">
        <f>IFERROR(Calculations!AI55,"")</f>
        <v/>
      </c>
      <c r="Q57" s="8" t="str">
        <f>IFERROR(Calculations!AJ55,"")</f>
        <v/>
      </c>
      <c r="R57" s="8" t="str">
        <f>IFERROR(Calculations!AK55,"")</f>
        <v/>
      </c>
      <c r="S57" s="89"/>
      <c r="T57" s="89"/>
      <c r="U57" s="89"/>
      <c r="V57" s="89"/>
      <c r="W57" s="1" t="str">
        <f>IFERROR(Calculations!AP55, "")</f>
        <v/>
      </c>
      <c r="X57" s="1" t="str">
        <f>IFERROR(Calculations!AQ55, "")</f>
        <v/>
      </c>
      <c r="Y57" s="8" t="str">
        <f>IFERROR(Calculations!AR55,"")</f>
        <v/>
      </c>
      <c r="Z57" s="8">
        <f>IFERROR(Calculations!AS55,"")</f>
        <v>0</v>
      </c>
      <c r="AA57" s="8">
        <f>IFERROR(Calculations!AT55,"")</f>
        <v>-139299.17602971941</v>
      </c>
      <c r="AB57" s="8" t="str">
        <f>IFERROR(Calculations!AU55,"")</f>
        <v/>
      </c>
      <c r="AC57" s="8" t="str">
        <f>IFERROR(Calculations!AV55,"")</f>
        <v/>
      </c>
      <c r="AD57" s="8" t="str">
        <f>IFERROR(Calculations!AW55,"")</f>
        <v/>
      </c>
      <c r="AE57" s="8" t="str">
        <f>IFERROR(Calculations!AX55,"")</f>
        <v/>
      </c>
      <c r="AF57" s="8">
        <f>IFERROR(IF(Calculations!AY55 &lt;&gt; 0, Calculations!AY55, ""),"")</f>
        <v>17517.46483467982</v>
      </c>
      <c r="AG57" s="42">
        <f>IFERROR(IF(Calculations!AZ55 &lt;&gt; 0, Calculations!AZ55, ""),"")</f>
        <v>-4.9549510413264297</v>
      </c>
      <c r="AH57" s="1">
        <f t="shared" si="1"/>
        <v>20</v>
      </c>
      <c r="AI57" s="1">
        <f t="shared" si="2"/>
        <v>500</v>
      </c>
      <c r="AJ57" s="89"/>
      <c r="AK57" s="89"/>
      <c r="AL57" s="89"/>
      <c r="AM57" s="89"/>
      <c r="AN57" s="8" t="str">
        <f>IFERROR(Calculations!BJ55, "")</f>
        <v/>
      </c>
      <c r="AO57" s="8" t="str">
        <f>IFERROR(Calculations!BK55, "")</f>
        <v/>
      </c>
      <c r="AP57" s="8">
        <f>IFERROR(Calculations!BL55, "")</f>
        <v>15.457149957897149</v>
      </c>
      <c r="AQ57" s="8">
        <f>IFERROR(Calculations!BM55, "")</f>
        <v>30.890545910845571</v>
      </c>
      <c r="AR57" s="8" t="str">
        <f>IFERROR(Calculations!BN55, "")</f>
        <v/>
      </c>
      <c r="AS57" s="8" t="str">
        <f>IFERROR(Calculations!BO55, "")</f>
        <v/>
      </c>
      <c r="AT57" s="8" t="str">
        <f>IFERROR(Calculations!BP55, "")</f>
        <v/>
      </c>
      <c r="AU57" s="8" t="str">
        <f>IFERROR(Calculations!BQ55, "")</f>
        <v/>
      </c>
      <c r="AV57" s="8" t="str">
        <f>IFERROR(Calculations!BR55, "")</f>
        <v/>
      </c>
      <c r="AW57" s="89"/>
      <c r="AX57" s="89"/>
      <c r="AY57" s="89"/>
      <c r="AZ57" s="89"/>
      <c r="BA57" s="8" t="str">
        <f>IFERROR(Calculations!BW55, "")</f>
        <v/>
      </c>
      <c r="BB57" s="8" t="str">
        <f>IFERROR(Calculations!BX55, "")</f>
        <v/>
      </c>
      <c r="BC57" s="8" t="str">
        <f>IFERROR(Calculations!BY55, "")</f>
        <v/>
      </c>
      <c r="BD57" s="8">
        <f>IFERROR(Calculations!BZ55, "")</f>
        <v>0</v>
      </c>
      <c r="BE57" s="8">
        <f>IFERROR(Calculations!CA55, "")</f>
        <v>30.21759305162087</v>
      </c>
      <c r="BF57" s="8" t="str">
        <f>IFERROR(Calculations!CB55, "")</f>
        <v/>
      </c>
      <c r="BG57" s="8" t="str">
        <f>IFERROR(Calculations!CC55, "")</f>
        <v/>
      </c>
      <c r="BH57" s="8" t="str">
        <f>IFERROR(Calculations!CD55, "")</f>
        <v/>
      </c>
      <c r="BI57" s="8" t="str">
        <f>IFERROR(Calculations!CE55, "")</f>
        <v/>
      </c>
      <c r="BJ57" s="8">
        <f>IFERROR(IF(Calculations!CF55 &lt;&gt; 0, Calculations!CF55, ""),"")</f>
        <v>-16.130102817121848</v>
      </c>
      <c r="BK57" s="1">
        <f t="shared" si="3"/>
        <v>500</v>
      </c>
      <c r="BL57" s="1">
        <f t="shared" si="4"/>
        <v>20</v>
      </c>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row>
    <row r="58" spans="2:131" x14ac:dyDescent="0.2">
      <c r="B58" s="1">
        <f>IFERROR(Calculations!M56/1000, "")</f>
        <v>20</v>
      </c>
      <c r="C58" s="1">
        <f>Calculations!N56</f>
        <v>550</v>
      </c>
      <c r="D58" s="58">
        <f>IFERROR(Calculations!$Q56,"")</f>
        <v>1.1474888483196497</v>
      </c>
      <c r="E58" s="8">
        <f>IFERROR(Calculations!$S56, "")</f>
        <v>27.021890418131527</v>
      </c>
      <c r="F58" s="89"/>
      <c r="G58" s="89"/>
      <c r="H58" s="89"/>
      <c r="I58" s="89"/>
      <c r="J58" s="1" t="str">
        <f>IFERROR(Calculations!AC56, "")</f>
        <v/>
      </c>
      <c r="K58" s="1" t="str">
        <f>IFERROR(Calculations!AD56, "")</f>
        <v/>
      </c>
      <c r="L58" s="8">
        <f>IFERROR(Calculations!AE56,"")</f>
        <v>-61701.39910146116</v>
      </c>
      <c r="M58" s="8">
        <f>IFERROR(Calculations!AF56,"")</f>
        <v>-98842.935908249885</v>
      </c>
      <c r="N58" s="8" t="str">
        <f>IFERROR(Calculations!AG56,"")</f>
        <v/>
      </c>
      <c r="O58" s="8" t="str">
        <f>IFERROR(Calculations!AH56,"")</f>
        <v/>
      </c>
      <c r="P58" s="8" t="str">
        <f>IFERROR(Calculations!AI56,"")</f>
        <v/>
      </c>
      <c r="Q58" s="8" t="str">
        <f>IFERROR(Calculations!AJ56,"")</f>
        <v/>
      </c>
      <c r="R58" s="8" t="str">
        <f>IFERROR(Calculations!AK56,"")</f>
        <v/>
      </c>
      <c r="S58" s="89"/>
      <c r="T58" s="89"/>
      <c r="U58" s="89"/>
      <c r="V58" s="89"/>
      <c r="W58" s="1" t="str">
        <f>IFERROR(Calculations!AP56, "")</f>
        <v/>
      </c>
      <c r="X58" s="1" t="str">
        <f>IFERROR(Calculations!AQ56, "")</f>
        <v/>
      </c>
      <c r="Y58" s="8" t="str">
        <f>IFERROR(Calculations!AR56,"")</f>
        <v/>
      </c>
      <c r="Z58" s="8">
        <f>IFERROR(Calculations!AS56,"")</f>
        <v>0</v>
      </c>
      <c r="AA58" s="8">
        <f>IFERROR(Calculations!AT56,"")</f>
        <v>-140854.79534864318</v>
      </c>
      <c r="AB58" s="8" t="str">
        <f>IFERROR(Calculations!AU56,"")</f>
        <v/>
      </c>
      <c r="AC58" s="8" t="str">
        <f>IFERROR(Calculations!AV56,"")</f>
        <v/>
      </c>
      <c r="AD58" s="8" t="str">
        <f>IFERROR(Calculations!AW56,"")</f>
        <v/>
      </c>
      <c r="AE58" s="8" t="str">
        <f>IFERROR(Calculations!AX56,"")</f>
        <v/>
      </c>
      <c r="AF58" s="8">
        <f>IFERROR(IF(Calculations!AY56 &lt;&gt; 0, Calculations!AY56, ""),"")</f>
        <v>19689.539661067858</v>
      </c>
      <c r="AG58" s="42">
        <f>IFERROR(IF(Calculations!AZ56 &lt;&gt; 0, Calculations!AZ56, ""),"")</f>
        <v>-5.2310449697500383</v>
      </c>
      <c r="AH58" s="1">
        <f t="shared" si="1"/>
        <v>20</v>
      </c>
      <c r="AI58" s="1">
        <f t="shared" si="2"/>
        <v>550</v>
      </c>
      <c r="AJ58" s="89"/>
      <c r="AK58" s="89"/>
      <c r="AL58" s="89"/>
      <c r="AM58" s="89"/>
      <c r="AN58" s="8" t="str">
        <f>IFERROR(Calculations!BJ56, "")</f>
        <v/>
      </c>
      <c r="AO58" s="8" t="str">
        <f>IFERROR(Calculations!BK56, "")</f>
        <v/>
      </c>
      <c r="AP58" s="8">
        <f>IFERROR(Calculations!BL56, "")</f>
        <v>15.69974298781297</v>
      </c>
      <c r="AQ58" s="8">
        <f>IFERROR(Calculations!BM56, "")</f>
        <v>31.020226841261625</v>
      </c>
      <c r="AR58" s="8" t="str">
        <f>IFERROR(Calculations!BN56, "")</f>
        <v/>
      </c>
      <c r="AS58" s="8" t="str">
        <f>IFERROR(Calculations!BO56, "")</f>
        <v/>
      </c>
      <c r="AT58" s="8" t="str">
        <f>IFERROR(Calculations!BP56, "")</f>
        <v/>
      </c>
      <c r="AU58" s="8" t="str">
        <f>IFERROR(Calculations!BQ56, "")</f>
        <v/>
      </c>
      <c r="AV58" s="8" t="str">
        <f>IFERROR(Calculations!BR56, "")</f>
        <v/>
      </c>
      <c r="AW58" s="89"/>
      <c r="AX58" s="89"/>
      <c r="AY58" s="89"/>
      <c r="AZ58" s="89"/>
      <c r="BA58" s="8" t="str">
        <f>IFERROR(Calculations!BW56, "")</f>
        <v/>
      </c>
      <c r="BB58" s="8" t="str">
        <f>IFERROR(Calculations!BX56, "")</f>
        <v/>
      </c>
      <c r="BC58" s="8" t="str">
        <f>IFERROR(Calculations!BY56, "")</f>
        <v/>
      </c>
      <c r="BD58" s="8">
        <f>IFERROR(Calculations!BZ56, "")</f>
        <v>0</v>
      </c>
      <c r="BE58" s="8">
        <f>IFERROR(Calculations!CA56, "")</f>
        <v>29.998964948977406</v>
      </c>
      <c r="BF58" s="8" t="str">
        <f>IFERROR(Calculations!CB56, "")</f>
        <v/>
      </c>
      <c r="BG58" s="8" t="str">
        <f>IFERROR(Calculations!CC56, "")</f>
        <v/>
      </c>
      <c r="BH58" s="8" t="str">
        <f>IFERROR(Calculations!CD56, "")</f>
        <v/>
      </c>
      <c r="BI58" s="8" t="str">
        <f>IFERROR(Calculations!CE56, "")</f>
        <v/>
      </c>
      <c r="BJ58" s="8">
        <f>IFERROR(IF(Calculations!CF56 &lt;&gt; 0, Calculations!CF56, ""),"")</f>
        <v>-16.721004880097187</v>
      </c>
      <c r="BK58" s="1">
        <f t="shared" si="3"/>
        <v>550</v>
      </c>
      <c r="BL58" s="1">
        <f t="shared" si="4"/>
        <v>20</v>
      </c>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row>
    <row r="59" spans="2:131" x14ac:dyDescent="0.2">
      <c r="B59" s="1">
        <f>IFERROR(Calculations!M57/1000, "")</f>
        <v>20</v>
      </c>
      <c r="C59" s="1">
        <f>Calculations!N57</f>
        <v>600</v>
      </c>
      <c r="D59" s="58">
        <f>IFERROR(Calculations!$Q57,"")</f>
        <v>1.1297447655582431</v>
      </c>
      <c r="E59" s="8">
        <f>IFERROR(Calculations!$S57, "")</f>
        <v>24.456255711105221</v>
      </c>
      <c r="F59" s="89"/>
      <c r="G59" s="89"/>
      <c r="H59" s="89"/>
      <c r="I59" s="89"/>
      <c r="J59" s="1" t="str">
        <f>IFERROR(Calculations!AC57, "")</f>
        <v/>
      </c>
      <c r="K59" s="1" t="str">
        <f>IFERROR(Calculations!AD57, "")</f>
        <v/>
      </c>
      <c r="L59" s="8">
        <f>IFERROR(Calculations!AE57,"")</f>
        <v>-63182.175733709533</v>
      </c>
      <c r="M59" s="8">
        <f>IFERROR(Calculations!AF57,"")</f>
        <v>-101172.56685097798</v>
      </c>
      <c r="N59" s="8" t="str">
        <f>IFERROR(Calculations!AG57,"")</f>
        <v/>
      </c>
      <c r="O59" s="8" t="str">
        <f>IFERROR(Calculations!AH57,"")</f>
        <v/>
      </c>
      <c r="P59" s="8" t="str">
        <f>IFERROR(Calculations!AI57,"")</f>
        <v/>
      </c>
      <c r="Q59" s="8" t="str">
        <f>IFERROR(Calculations!AJ57,"")</f>
        <v/>
      </c>
      <c r="R59" s="8" t="str">
        <f>IFERROR(Calculations!AK57,"")</f>
        <v/>
      </c>
      <c r="S59" s="89"/>
      <c r="T59" s="89"/>
      <c r="U59" s="89"/>
      <c r="V59" s="89"/>
      <c r="W59" s="1" t="str">
        <f>IFERROR(Calculations!AP57, "")</f>
        <v/>
      </c>
      <c r="X59" s="1" t="str">
        <f>IFERROR(Calculations!AQ57, "")</f>
        <v/>
      </c>
      <c r="Y59" s="8" t="str">
        <f>IFERROR(Calculations!AR57,"")</f>
        <v/>
      </c>
      <c r="Z59" s="8">
        <f>IFERROR(Calculations!AS57,"")</f>
        <v>0</v>
      </c>
      <c r="AA59" s="8">
        <f>IFERROR(Calculations!AT57,"")</f>
        <v>-142410.76950572839</v>
      </c>
      <c r="AB59" s="8" t="str">
        <f>IFERROR(Calculations!AU57,"")</f>
        <v/>
      </c>
      <c r="AC59" s="8" t="str">
        <f>IFERROR(Calculations!AV57,"")</f>
        <v/>
      </c>
      <c r="AD59" s="8" t="str">
        <f>IFERROR(Calculations!AW57,"")</f>
        <v/>
      </c>
      <c r="AE59" s="8" t="str">
        <f>IFERROR(Calculations!AX57,"")</f>
        <v/>
      </c>
      <c r="AF59" s="8">
        <f>IFERROR(IF(Calculations!AY57 &lt;&gt; 0, Calculations!AY57, ""),"")</f>
        <v>21943.973078959127</v>
      </c>
      <c r="AG59" s="42">
        <f>IFERROR(IF(Calculations!AZ57 &lt;&gt; 0, Calculations!AZ57, ""),"")</f>
        <v>-5.4961462048603531</v>
      </c>
      <c r="AH59" s="1">
        <f t="shared" si="1"/>
        <v>20</v>
      </c>
      <c r="AI59" s="1">
        <f t="shared" si="2"/>
        <v>600</v>
      </c>
      <c r="AJ59" s="89"/>
      <c r="AK59" s="89"/>
      <c r="AL59" s="89"/>
      <c r="AM59" s="89"/>
      <c r="AN59" s="8" t="str">
        <f>IFERROR(Calculations!BJ57, "")</f>
        <v/>
      </c>
      <c r="AO59" s="8" t="str">
        <f>IFERROR(Calculations!BK57, "")</f>
        <v/>
      </c>
      <c r="AP59" s="8">
        <f>IFERROR(Calculations!BL57, "")</f>
        <v>15.946327479639239</v>
      </c>
      <c r="AQ59" s="8">
        <f>IFERROR(Calculations!BM57, "")</f>
        <v>31.159735608808319</v>
      </c>
      <c r="AR59" s="8" t="str">
        <f>IFERROR(Calculations!BN57, "")</f>
        <v/>
      </c>
      <c r="AS59" s="8" t="str">
        <f>IFERROR(Calculations!BO57, "")</f>
        <v/>
      </c>
      <c r="AT59" s="8" t="str">
        <f>IFERROR(Calculations!BP57, "")</f>
        <v/>
      </c>
      <c r="AU59" s="8" t="str">
        <f>IFERROR(Calculations!BQ57, "")</f>
        <v/>
      </c>
      <c r="AV59" s="8" t="str">
        <f>IFERROR(Calculations!BR57, "")</f>
        <v/>
      </c>
      <c r="AW59" s="89"/>
      <c r="AX59" s="89"/>
      <c r="AY59" s="89"/>
      <c r="AZ59" s="89"/>
      <c r="BA59" s="8" t="str">
        <f>IFERROR(Calculations!BW57, "")</f>
        <v/>
      </c>
      <c r="BB59" s="8" t="str">
        <f>IFERROR(Calculations!BX57, "")</f>
        <v/>
      </c>
      <c r="BC59" s="8" t="str">
        <f>IFERROR(Calculations!BY57, "")</f>
        <v/>
      </c>
      <c r="BD59" s="8">
        <f>IFERROR(Calculations!BZ57, "")</f>
        <v>0</v>
      </c>
      <c r="BE59" s="8">
        <f>IFERROR(Calculations!CA57, "")</f>
        <v>29.766589475445297</v>
      </c>
      <c r="BF59" s="8" t="str">
        <f>IFERROR(Calculations!CB57, "")</f>
        <v/>
      </c>
      <c r="BG59" s="8" t="str">
        <f>IFERROR(Calculations!CC57, "")</f>
        <v/>
      </c>
      <c r="BH59" s="8" t="str">
        <f>IFERROR(Calculations!CD57, "")</f>
        <v/>
      </c>
      <c r="BI59" s="8" t="str">
        <f>IFERROR(Calculations!CE57, "")</f>
        <v/>
      </c>
      <c r="BJ59" s="8">
        <f>IFERROR(IF(Calculations!CF57 &lt;&gt; 0, Calculations!CF57, ""),"")</f>
        <v>-17.339473613002259</v>
      </c>
      <c r="BK59" s="1">
        <f t="shared" si="3"/>
        <v>600</v>
      </c>
      <c r="BL59" s="1">
        <f t="shared" si="4"/>
        <v>20</v>
      </c>
      <c r="CD59" s="8"/>
      <c r="CE59" s="8"/>
      <c r="CF59" s="8"/>
      <c r="CG59" s="8"/>
      <c r="CH59" s="8"/>
      <c r="CI59" s="8"/>
      <c r="CJ59" s="8"/>
      <c r="CK59" s="8"/>
      <c r="CL59" s="8"/>
      <c r="CM59" s="8"/>
      <c r="CN59" s="8"/>
      <c r="CO59" s="8"/>
      <c r="CP59" s="8"/>
      <c r="CQ59" s="8"/>
      <c r="CR59" s="8"/>
      <c r="CS59" s="8"/>
      <c r="CT59" s="8"/>
      <c r="CU59" s="8"/>
      <c r="CV59" s="8"/>
      <c r="CW59" s="8"/>
      <c r="CX59" s="8"/>
      <c r="CY59" s="8"/>
      <c r="CZ59" s="8"/>
      <c r="DA59" s="8"/>
      <c r="DB59" s="8"/>
      <c r="DC59" s="8"/>
      <c r="DD59" s="8"/>
      <c r="DE59" s="8"/>
      <c r="DF59" s="8"/>
      <c r="DG59" s="8"/>
      <c r="DH59" s="8"/>
      <c r="DI59" s="8"/>
      <c r="DJ59" s="8"/>
      <c r="DK59" s="8"/>
      <c r="DL59" s="8"/>
      <c r="DM59" s="8"/>
      <c r="DN59" s="8"/>
      <c r="DO59" s="8"/>
      <c r="DP59" s="8"/>
      <c r="DQ59" s="8"/>
      <c r="DR59" s="8"/>
      <c r="DS59" s="8"/>
      <c r="DT59" s="8"/>
      <c r="DU59" s="8"/>
      <c r="DV59" s="8"/>
      <c r="DW59" s="8"/>
      <c r="DX59" s="8"/>
      <c r="DY59" s="8"/>
      <c r="DZ59" s="8"/>
      <c r="EA59" s="8"/>
    </row>
    <row r="60" spans="2:131" x14ac:dyDescent="0.2">
      <c r="B60" s="1">
        <f>IFERROR(Calculations!M58/1000, "")</f>
        <v>20</v>
      </c>
      <c r="C60" s="1">
        <f>Calculations!N58</f>
        <v>650</v>
      </c>
      <c r="D60" s="58">
        <f>IFERROR(Calculations!$Q58,"")</f>
        <v>1.1123060063683989</v>
      </c>
      <c r="E60" s="8">
        <f>IFERROR(Calculations!$S58, "")</f>
        <v>22.198582349068452</v>
      </c>
      <c r="F60" s="89"/>
      <c r="G60" s="89"/>
      <c r="H60" s="89"/>
      <c r="I60" s="89"/>
      <c r="J60" s="1" t="str">
        <f>IFERROR(Calculations!AC58, "")</f>
        <v/>
      </c>
      <c r="K60" s="1" t="str">
        <f>IFERROR(Calculations!AD58, "")</f>
        <v/>
      </c>
      <c r="L60" s="8">
        <f>IFERROR(Calculations!AE58,"")</f>
        <v>-64697.831424326076</v>
      </c>
      <c r="M60" s="8">
        <f>IFERROR(Calculations!AF58,"")</f>
        <v>-103549.34401672619</v>
      </c>
      <c r="N60" s="8" t="str">
        <f>IFERROR(Calculations!AG58,"")</f>
        <v/>
      </c>
      <c r="O60" s="8" t="str">
        <f>IFERROR(Calculations!AH58,"")</f>
        <v/>
      </c>
      <c r="P60" s="8" t="str">
        <f>IFERROR(Calculations!AI58,"")</f>
        <v/>
      </c>
      <c r="Q60" s="8" t="str">
        <f>IFERROR(Calculations!AJ58,"")</f>
        <v/>
      </c>
      <c r="R60" s="8" t="str">
        <f>IFERROR(Calculations!AK58,"")</f>
        <v/>
      </c>
      <c r="S60" s="89"/>
      <c r="T60" s="89"/>
      <c r="U60" s="89"/>
      <c r="V60" s="89"/>
      <c r="W60" s="1" t="str">
        <f>IFERROR(Calculations!AP58, "")</f>
        <v/>
      </c>
      <c r="X60" s="1" t="str">
        <f>IFERROR(Calculations!AQ58, "")</f>
        <v/>
      </c>
      <c r="Y60" s="8" t="str">
        <f>IFERROR(Calculations!AR58,"")</f>
        <v/>
      </c>
      <c r="Z60" s="8">
        <f>IFERROR(Calculations!AS58,"")</f>
        <v>0</v>
      </c>
      <c r="AA60" s="8">
        <f>IFERROR(Calculations!AT58,"")</f>
        <v>-143963.73097353196</v>
      </c>
      <c r="AB60" s="8" t="str">
        <f>IFERROR(Calculations!AU58,"")</f>
        <v/>
      </c>
      <c r="AC60" s="8" t="str">
        <f>IFERROR(Calculations!AV58,"")</f>
        <v/>
      </c>
      <c r="AD60" s="8" t="str">
        <f>IFERROR(Calculations!AW58,"")</f>
        <v/>
      </c>
      <c r="AE60" s="8" t="str">
        <f>IFERROR(Calculations!AX58,"")</f>
        <v/>
      </c>
      <c r="AF60" s="8">
        <f>IFERROR(IF(Calculations!AY58 &lt;&gt; 0, Calculations!AY58, ""),"")</f>
        <v>24283.444467520312</v>
      </c>
      <c r="AG60" s="42">
        <f>IFERROR(IF(Calculations!AZ58 &lt;&gt; 0, Calculations!AZ58, ""),"")</f>
        <v>-5.7526756548583755</v>
      </c>
      <c r="AH60" s="1">
        <f t="shared" si="1"/>
        <v>20</v>
      </c>
      <c r="AI60" s="1">
        <f t="shared" si="2"/>
        <v>650</v>
      </c>
      <c r="AJ60" s="89"/>
      <c r="AK60" s="89"/>
      <c r="AL60" s="89"/>
      <c r="AM60" s="89"/>
      <c r="AN60" s="8" t="str">
        <f>IFERROR(Calculations!BJ58, "")</f>
        <v/>
      </c>
      <c r="AO60" s="8" t="str">
        <f>IFERROR(Calculations!BK58, "")</f>
        <v/>
      </c>
      <c r="AP60" s="8">
        <f>IFERROR(Calculations!BL58, "")</f>
        <v>16.196334369189128</v>
      </c>
      <c r="AQ60" s="8">
        <f>IFERROR(Calculations!BM58, "")</f>
        <v>31.308624952347252</v>
      </c>
      <c r="AR60" s="8" t="str">
        <f>IFERROR(Calculations!BN58, "")</f>
        <v/>
      </c>
      <c r="AS60" s="8" t="str">
        <f>IFERROR(Calculations!BO58, "")</f>
        <v/>
      </c>
      <c r="AT60" s="8" t="str">
        <f>IFERROR(Calculations!BP58, "")</f>
        <v/>
      </c>
      <c r="AU60" s="8" t="str">
        <f>IFERROR(Calculations!BQ58, "")</f>
        <v/>
      </c>
      <c r="AV60" s="8" t="str">
        <f>IFERROR(Calculations!BR58, "")</f>
        <v/>
      </c>
      <c r="AW60" s="89"/>
      <c r="AX60" s="89"/>
      <c r="AY60" s="89"/>
      <c r="AZ60" s="89"/>
      <c r="BA60" s="8" t="str">
        <f>IFERROR(Calculations!BW58, "")</f>
        <v/>
      </c>
      <c r="BB60" s="8" t="str">
        <f>IFERROR(Calculations!BX58, "")</f>
        <v/>
      </c>
      <c r="BC60" s="8" t="str">
        <f>IFERROR(Calculations!BY58, "")</f>
        <v/>
      </c>
      <c r="BD60" s="8">
        <f>IFERROR(Calculations!BZ58, "")</f>
        <v>0</v>
      </c>
      <c r="BE60" s="8">
        <f>IFERROR(Calculations!CA58, "")</f>
        <v>29.520769628607329</v>
      </c>
      <c r="BF60" s="8" t="str">
        <f>IFERROR(Calculations!CB58, "")</f>
        <v/>
      </c>
      <c r="BG60" s="8" t="str">
        <f>IFERROR(Calculations!CC58, "")</f>
        <v/>
      </c>
      <c r="BH60" s="8" t="str">
        <f>IFERROR(Calculations!CD58, "")</f>
        <v/>
      </c>
      <c r="BI60" s="8" t="str">
        <f>IFERROR(Calculations!CE58, "")</f>
        <v/>
      </c>
      <c r="BJ60" s="8">
        <f>IFERROR(IF(Calculations!CF58 &lt;&gt; 0, Calculations!CF58, ""),"")</f>
        <v>-17.984189692929046</v>
      </c>
      <c r="BK60" s="1">
        <f t="shared" si="3"/>
        <v>650</v>
      </c>
      <c r="BL60" s="1">
        <f t="shared" si="4"/>
        <v>20</v>
      </c>
      <c r="CD60" s="8"/>
      <c r="CE60" s="8"/>
      <c r="CF60" s="8"/>
      <c r="CG60" s="8"/>
      <c r="CH60" s="8"/>
      <c r="CI60" s="8"/>
      <c r="CJ60" s="8"/>
      <c r="CK60" s="8"/>
      <c r="CL60" s="8"/>
      <c r="CM60" s="8"/>
      <c r="CN60" s="8"/>
      <c r="CO60" s="8"/>
      <c r="CP60" s="8"/>
      <c r="CQ60" s="8"/>
      <c r="CR60" s="8"/>
      <c r="CS60" s="8"/>
      <c r="CT60" s="8"/>
      <c r="CU60" s="8"/>
      <c r="CV60" s="8"/>
      <c r="CW60" s="8"/>
      <c r="CX60" s="8"/>
      <c r="CY60" s="8"/>
      <c r="CZ60" s="8"/>
      <c r="DA60" s="8"/>
      <c r="DB60" s="8"/>
      <c r="DC60" s="8"/>
      <c r="DD60" s="8"/>
      <c r="DE60" s="8"/>
      <c r="DF60" s="8"/>
      <c r="DG60" s="8"/>
      <c r="DH60" s="8"/>
      <c r="DI60" s="8"/>
      <c r="DJ60" s="8"/>
      <c r="DK60" s="8"/>
      <c r="DL60" s="8"/>
      <c r="DM60" s="8"/>
      <c r="DN60" s="8"/>
      <c r="DO60" s="8"/>
      <c r="DP60" s="8"/>
      <c r="DQ60" s="8"/>
      <c r="DR60" s="8"/>
      <c r="DS60" s="8"/>
      <c r="DT60" s="8"/>
      <c r="DU60" s="8"/>
      <c r="DV60" s="8"/>
      <c r="DW60" s="8"/>
      <c r="DX60" s="8"/>
      <c r="DY60" s="8"/>
      <c r="DZ60" s="8"/>
      <c r="EA60" s="8"/>
    </row>
    <row r="61" spans="2:131" x14ac:dyDescent="0.2">
      <c r="B61" s="1">
        <f>IFERROR(Calculations!M59/1000, "")</f>
        <v>20</v>
      </c>
      <c r="C61" s="1">
        <f>Calculations!N59</f>
        <v>700</v>
      </c>
      <c r="D61" s="58">
        <f>IFERROR(Calculations!$Q59,"")</f>
        <v>1.0952060982286933</v>
      </c>
      <c r="E61" s="8">
        <f>IFERROR(Calculations!$S59, "")</f>
        <v>20.205579923264295</v>
      </c>
      <c r="F61" s="89"/>
      <c r="G61" s="89"/>
      <c r="H61" s="89"/>
      <c r="I61" s="89"/>
      <c r="J61" s="1" t="str">
        <f>IFERROR(Calculations!AC59, "")</f>
        <v/>
      </c>
      <c r="K61" s="1" t="str">
        <f>IFERROR(Calculations!AD59, "")</f>
        <v/>
      </c>
      <c r="L61" s="8">
        <f>IFERROR(Calculations!AE59,"")</f>
        <v>-66275.755488950963</v>
      </c>
      <c r="M61" s="8">
        <f>IFERROR(Calculations!AF59,"")</f>
        <v>-105972.5713316937</v>
      </c>
      <c r="N61" s="8" t="str">
        <f>IFERROR(Calculations!AG59,"")</f>
        <v/>
      </c>
      <c r="O61" s="8" t="str">
        <f>IFERROR(Calculations!AH59,"")</f>
        <v/>
      </c>
      <c r="P61" s="8" t="str">
        <f>IFERROR(Calculations!AI59,"")</f>
        <v/>
      </c>
      <c r="Q61" s="8" t="str">
        <f>IFERROR(Calculations!AJ59,"")</f>
        <v/>
      </c>
      <c r="R61" s="8" t="str">
        <f>IFERROR(Calculations!AK59,"")</f>
        <v/>
      </c>
      <c r="S61" s="89"/>
      <c r="T61" s="89"/>
      <c r="U61" s="89"/>
      <c r="V61" s="89"/>
      <c r="W61" s="1" t="str">
        <f>IFERROR(Calculations!AP59, "")</f>
        <v/>
      </c>
      <c r="X61" s="1" t="str">
        <f>IFERROR(Calculations!AQ59, "")</f>
        <v/>
      </c>
      <c r="Y61" s="8" t="str">
        <f>IFERROR(Calculations!AR59,"")</f>
        <v/>
      </c>
      <c r="Z61" s="8">
        <f>IFERROR(Calculations!AS59,"")</f>
        <v>0</v>
      </c>
      <c r="AA61" s="8">
        <f>IFERROR(Calculations!AT59,"")</f>
        <v>-145510.75542327974</v>
      </c>
      <c r="AB61" s="8" t="str">
        <f>IFERROR(Calculations!AU59,"")</f>
        <v/>
      </c>
      <c r="AC61" s="8" t="str">
        <f>IFERROR(Calculations!AV59,"")</f>
        <v/>
      </c>
      <c r="AD61" s="8" t="str">
        <f>IFERROR(Calculations!AW59,"")</f>
        <v/>
      </c>
      <c r="AE61" s="8" t="str">
        <f>IFERROR(Calculations!AX59,"")</f>
        <v/>
      </c>
      <c r="AF61" s="8">
        <f>IFERROR(IF(Calculations!AY59 &lt;&gt; 0, Calculations!AY59, ""),"")</f>
        <v>26737.571397364925</v>
      </c>
      <c r="AG61" s="42">
        <f>IFERROR(IF(Calculations!AZ59 &lt;&gt; 0, Calculations!AZ59, ""),"")</f>
        <v>-6.0086103821348038</v>
      </c>
      <c r="AH61" s="1">
        <f t="shared" si="1"/>
        <v>20</v>
      </c>
      <c r="AI61" s="1">
        <f t="shared" si="2"/>
        <v>700</v>
      </c>
      <c r="AJ61" s="89"/>
      <c r="AK61" s="89"/>
      <c r="AL61" s="89"/>
      <c r="AM61" s="89"/>
      <c r="AN61" s="8" t="str">
        <f>IFERROR(Calculations!BJ59, "")</f>
        <v/>
      </c>
      <c r="AO61" s="8" t="str">
        <f>IFERROR(Calculations!BK59, "")</f>
        <v/>
      </c>
      <c r="AP61" s="8">
        <f>IFERROR(Calculations!BL59, "")</f>
        <v>16.449214471263996</v>
      </c>
      <c r="AQ61" s="8">
        <f>IFERROR(Calculations!BM59, "")</f>
        <v>31.466442658984572</v>
      </c>
      <c r="AR61" s="8" t="str">
        <f>IFERROR(Calculations!BN59, "")</f>
        <v/>
      </c>
      <c r="AS61" s="8" t="str">
        <f>IFERROR(Calculations!BO59, "")</f>
        <v/>
      </c>
      <c r="AT61" s="8" t="str">
        <f>IFERROR(Calculations!BP59, "")</f>
        <v/>
      </c>
      <c r="AU61" s="8" t="str">
        <f>IFERROR(Calculations!BQ59, "")</f>
        <v/>
      </c>
      <c r="AV61" s="8" t="str">
        <f>IFERROR(Calculations!BR59, "")</f>
        <v/>
      </c>
      <c r="AW61" s="89"/>
      <c r="AX61" s="89"/>
      <c r="AY61" s="89"/>
      <c r="AZ61" s="89"/>
      <c r="BA61" s="8" t="str">
        <f>IFERROR(Calculations!BW59, "")</f>
        <v/>
      </c>
      <c r="BB61" s="8" t="str">
        <f>IFERROR(Calculations!BX59, "")</f>
        <v/>
      </c>
      <c r="BC61" s="8" t="str">
        <f>IFERROR(Calculations!BY59, "")</f>
        <v/>
      </c>
      <c r="BD61" s="8">
        <f>IFERROR(Calculations!BZ59, "")</f>
        <v>0</v>
      </c>
      <c r="BE61" s="8">
        <f>IFERROR(Calculations!CA59, "")</f>
        <v>29.261926030234942</v>
      </c>
      <c r="BF61" s="8" t="str">
        <f>IFERROR(Calculations!CB59, "")</f>
        <v/>
      </c>
      <c r="BG61" s="8" t="str">
        <f>IFERROR(Calculations!CC59, "")</f>
        <v/>
      </c>
      <c r="BH61" s="8" t="str">
        <f>IFERROR(Calculations!CD59, "")</f>
        <v/>
      </c>
      <c r="BI61" s="8" t="str">
        <f>IFERROR(Calculations!CE59, "")</f>
        <v/>
      </c>
      <c r="BJ61" s="8">
        <f>IFERROR(IF(Calculations!CF59 &lt;&gt; 0, Calculations!CF59, ""),"")</f>
        <v>-18.653731100013626</v>
      </c>
      <c r="BK61" s="1">
        <f t="shared" si="3"/>
        <v>700</v>
      </c>
      <c r="BL61" s="1">
        <f t="shared" si="4"/>
        <v>20</v>
      </c>
      <c r="CD61" s="8"/>
      <c r="CE61" s="8"/>
      <c r="CF61" s="8"/>
      <c r="CG61" s="8"/>
      <c r="CH61" s="8"/>
      <c r="CI61" s="8"/>
      <c r="CJ61" s="8"/>
      <c r="CK61" s="8"/>
      <c r="CL61" s="8"/>
      <c r="CM61" s="8"/>
      <c r="CN61" s="8"/>
      <c r="CO61" s="8"/>
      <c r="CP61" s="8"/>
      <c r="CQ61" s="8"/>
      <c r="CR61" s="8"/>
      <c r="CS61" s="8"/>
      <c r="CT61" s="8"/>
      <c r="CU61" s="8"/>
      <c r="CV61" s="8"/>
      <c r="CW61" s="8"/>
      <c r="CX61" s="8"/>
      <c r="CY61" s="8"/>
      <c r="CZ61" s="8"/>
      <c r="DA61" s="8"/>
      <c r="DB61" s="8"/>
      <c r="DC61" s="8"/>
      <c r="DD61" s="8"/>
      <c r="DE61" s="8"/>
      <c r="DF61" s="8"/>
      <c r="DG61" s="8"/>
      <c r="DH61" s="8"/>
      <c r="DI61" s="8"/>
      <c r="DJ61" s="8"/>
      <c r="DK61" s="8"/>
      <c r="DL61" s="8"/>
      <c r="DM61" s="8"/>
      <c r="DN61" s="8"/>
      <c r="DO61" s="8"/>
      <c r="DP61" s="8"/>
      <c r="DQ61" s="8"/>
      <c r="DR61" s="8"/>
      <c r="DS61" s="8"/>
      <c r="DT61" s="8"/>
      <c r="DU61" s="8"/>
      <c r="DV61" s="8"/>
      <c r="DW61" s="8"/>
      <c r="DX61" s="8"/>
      <c r="DY61" s="8"/>
      <c r="DZ61" s="8"/>
      <c r="EA61" s="8"/>
    </row>
    <row r="62" spans="2:131" x14ac:dyDescent="0.2">
      <c r="B62" s="1">
        <f>IFERROR(Calculations!M60/1000, "")</f>
        <v>20</v>
      </c>
      <c r="C62" s="1">
        <f>Calculations!N60</f>
        <v>750</v>
      </c>
      <c r="D62" s="58">
        <f>IFERROR(Calculations!$Q60,"")</f>
        <v>1.0784709690558909</v>
      </c>
      <c r="E62" s="8">
        <f>IFERROR(Calculations!$S60, "")</f>
        <v>18.441164044232551</v>
      </c>
      <c r="F62" s="89"/>
      <c r="G62" s="89"/>
      <c r="H62" s="89"/>
      <c r="I62" s="89"/>
      <c r="J62" s="1" t="str">
        <f>IFERROR(Calculations!AC60, "")</f>
        <v/>
      </c>
      <c r="K62" s="1" t="str">
        <f>IFERROR(Calculations!AD60, "")</f>
        <v/>
      </c>
      <c r="L62" s="8">
        <f>IFERROR(Calculations!AE60,"")</f>
        <v>-67868.223900074532</v>
      </c>
      <c r="M62" s="8">
        <f>IFERROR(Calculations!AF60,"")</f>
        <v>-108441.58741599409</v>
      </c>
      <c r="N62" s="8" t="str">
        <f>IFERROR(Calculations!AG60,"")</f>
        <v/>
      </c>
      <c r="O62" s="8" t="str">
        <f>IFERROR(Calculations!AH60,"")</f>
        <v/>
      </c>
      <c r="P62" s="8" t="str">
        <f>IFERROR(Calculations!AI60,"")</f>
        <v/>
      </c>
      <c r="Q62" s="8" t="str">
        <f>IFERROR(Calculations!AJ60,"")</f>
        <v/>
      </c>
      <c r="R62" s="8" t="str">
        <f>IFERROR(Calculations!AK60,"")</f>
        <v/>
      </c>
      <c r="S62" s="89"/>
      <c r="T62" s="89"/>
      <c r="U62" s="89"/>
      <c r="V62" s="89"/>
      <c r="W62" s="1" t="str">
        <f>IFERROR(Calculations!AP60, "")</f>
        <v/>
      </c>
      <c r="X62" s="1" t="str">
        <f>IFERROR(Calculations!AQ60, "")</f>
        <v/>
      </c>
      <c r="Y62" s="8" t="str">
        <f>IFERROR(Calculations!AR60,"")</f>
        <v/>
      </c>
      <c r="Z62" s="8">
        <f>IFERROR(Calculations!AS60,"")</f>
        <v>0</v>
      </c>
      <c r="AA62" s="8">
        <f>IFERROR(Calculations!AT60,"")</f>
        <v>-147049.30461977219</v>
      </c>
      <c r="AB62" s="8" t="str">
        <f>IFERROR(Calculations!AU60,"")</f>
        <v/>
      </c>
      <c r="AC62" s="8" t="str">
        <f>IFERROR(Calculations!AV60,"")</f>
        <v/>
      </c>
      <c r="AD62" s="8" t="str">
        <f>IFERROR(Calculations!AW60,"")</f>
        <v/>
      </c>
      <c r="AE62" s="8" t="str">
        <f>IFERROR(Calculations!AX60,"")</f>
        <v/>
      </c>
      <c r="AF62" s="8">
        <f>IFERROR(IF(Calculations!AY60 &lt;&gt; 0, Calculations!AY60, ""),"")</f>
        <v>29260.506696296448</v>
      </c>
      <c r="AG62" s="42">
        <f>IFERROR(IF(Calculations!AZ60 &lt;&gt; 0, Calculations!AZ60, ""),"")</f>
        <v>-6.2542380495337166</v>
      </c>
      <c r="AH62" s="1">
        <f t="shared" si="1"/>
        <v>20</v>
      </c>
      <c r="AI62" s="1">
        <f t="shared" si="2"/>
        <v>750</v>
      </c>
      <c r="AJ62" s="89"/>
      <c r="AK62" s="89"/>
      <c r="AL62" s="89"/>
      <c r="AM62" s="89"/>
      <c r="AN62" s="8" t="str">
        <f>IFERROR(Calculations!BJ60, "")</f>
        <v/>
      </c>
      <c r="AO62" s="8" t="str">
        <f>IFERROR(Calculations!BK60, "")</f>
        <v/>
      </c>
      <c r="AP62" s="8">
        <f>IFERROR(Calculations!BL60, "")</f>
        <v>16.7044644843531</v>
      </c>
      <c r="AQ62" s="8">
        <f>IFERROR(Calculations!BM60, "")</f>
        <v>31.632699345768998</v>
      </c>
      <c r="AR62" s="8" t="str">
        <f>IFERROR(Calculations!BN60, "")</f>
        <v/>
      </c>
      <c r="AS62" s="8" t="str">
        <f>IFERROR(Calculations!BO60, "")</f>
        <v/>
      </c>
      <c r="AT62" s="8" t="str">
        <f>IFERROR(Calculations!BP60, "")</f>
        <v/>
      </c>
      <c r="AU62" s="8" t="str">
        <f>IFERROR(Calculations!BQ60, "")</f>
        <v/>
      </c>
      <c r="AV62" s="8" t="str">
        <f>IFERROR(Calculations!BR60, "")</f>
        <v/>
      </c>
      <c r="AW62" s="89"/>
      <c r="AX62" s="89"/>
      <c r="AY62" s="89"/>
      <c r="AZ62" s="89"/>
      <c r="BA62" s="8" t="str">
        <f>IFERROR(Calculations!BW60, "")</f>
        <v/>
      </c>
      <c r="BB62" s="8" t="str">
        <f>IFERROR(Calculations!BX60, "")</f>
        <v/>
      </c>
      <c r="BC62" s="8" t="str">
        <f>IFERROR(Calculations!BY60, "")</f>
        <v/>
      </c>
      <c r="BD62" s="8">
        <f>IFERROR(Calculations!BZ60, "")</f>
        <v>0</v>
      </c>
      <c r="BE62" s="8">
        <f>IFERROR(Calculations!CA60, "")</f>
        <v>28.990613701922761</v>
      </c>
      <c r="BF62" s="8" t="str">
        <f>IFERROR(Calculations!CB60, "")</f>
        <v/>
      </c>
      <c r="BG62" s="8" t="str">
        <f>IFERROR(Calculations!CC60, "")</f>
        <v/>
      </c>
      <c r="BH62" s="8" t="str">
        <f>IFERROR(Calculations!CD60, "")</f>
        <v/>
      </c>
      <c r="BI62" s="8" t="str">
        <f>IFERROR(Calculations!CE60, "")</f>
        <v/>
      </c>
      <c r="BJ62" s="8">
        <f>IFERROR(IF(Calculations!CF60 &lt;&gt; 0, Calculations!CF60, ""),"")</f>
        <v>-19.346550128199333</v>
      </c>
      <c r="BK62" s="1">
        <f t="shared" si="3"/>
        <v>750</v>
      </c>
      <c r="BL62" s="1">
        <f t="shared" si="4"/>
        <v>20</v>
      </c>
      <c r="CD62" s="8"/>
      <c r="CE62" s="8"/>
      <c r="CF62" s="8"/>
      <c r="CG62" s="8"/>
      <c r="CH62" s="8"/>
      <c r="CI62" s="8"/>
      <c r="CJ62" s="8"/>
      <c r="CK62" s="8"/>
      <c r="CL62" s="8"/>
      <c r="CM62" s="8"/>
      <c r="CN62" s="8"/>
      <c r="CO62" s="8"/>
      <c r="CP62" s="8"/>
      <c r="CQ62" s="8"/>
      <c r="CR62" s="8"/>
      <c r="CS62" s="8"/>
      <c r="CT62" s="8"/>
      <c r="CU62" s="8"/>
      <c r="CV62" s="8"/>
      <c r="CW62" s="8"/>
      <c r="CX62" s="8"/>
      <c r="CY62" s="8"/>
      <c r="CZ62" s="8"/>
      <c r="DA62" s="8"/>
      <c r="DB62" s="8"/>
      <c r="DC62" s="8"/>
      <c r="DD62" s="8"/>
      <c r="DE62" s="8"/>
      <c r="DF62" s="8"/>
      <c r="DG62" s="8"/>
      <c r="DH62" s="8"/>
      <c r="DI62" s="8"/>
      <c r="DJ62" s="8"/>
      <c r="DK62" s="8"/>
      <c r="DL62" s="8"/>
      <c r="DM62" s="8"/>
      <c r="DN62" s="8"/>
      <c r="DO62" s="8"/>
      <c r="DP62" s="8"/>
      <c r="DQ62" s="8"/>
      <c r="DR62" s="8"/>
      <c r="DS62" s="8"/>
      <c r="DT62" s="8"/>
      <c r="DU62" s="8"/>
      <c r="DV62" s="8"/>
      <c r="DW62" s="8"/>
      <c r="DX62" s="8"/>
      <c r="DY62" s="8"/>
      <c r="DZ62" s="8"/>
      <c r="EA62" s="8"/>
    </row>
    <row r="63" spans="2:131" x14ac:dyDescent="0.2">
      <c r="B63" s="1">
        <f>IFERROR(Calculations!M61/1000, "")</f>
        <v>20</v>
      </c>
      <c r="C63" s="1">
        <f>Calculations!N61</f>
        <v>800</v>
      </c>
      <c r="D63" s="58">
        <f>IFERROR(Calculations!$Q61,"")</f>
        <v>1.0621198412710431</v>
      </c>
      <c r="E63" s="8">
        <f>IFERROR(Calculations!$S61, "")</f>
        <v>16.874982528575156</v>
      </c>
      <c r="F63" s="89"/>
      <c r="G63" s="89"/>
      <c r="H63" s="89"/>
      <c r="I63" s="89"/>
      <c r="J63" s="1" t="str">
        <f>IFERROR(Calculations!AC61, "")</f>
        <v/>
      </c>
      <c r="K63" s="1" t="str">
        <f>IFERROR(Calculations!AD61, "")</f>
        <v/>
      </c>
      <c r="L63" s="8">
        <f>IFERROR(Calculations!AE61,"")</f>
        <v>-69521.105636120861</v>
      </c>
      <c r="M63" s="8">
        <f>IFERROR(Calculations!AF61,"")</f>
        <v>-110955.74128877481</v>
      </c>
      <c r="N63" s="8" t="str">
        <f>IFERROR(Calculations!AG61,"")</f>
        <v/>
      </c>
      <c r="O63" s="8" t="str">
        <f>IFERROR(Calculations!AH61,"")</f>
        <v/>
      </c>
      <c r="P63" s="8" t="str">
        <f>IFERROR(Calculations!AI61,"")</f>
        <v/>
      </c>
      <c r="Q63" s="8" t="str">
        <f>IFERROR(Calculations!AJ61,"")</f>
        <v/>
      </c>
      <c r="R63" s="8" t="str">
        <f>IFERROR(Calculations!AK61,"")</f>
        <v/>
      </c>
      <c r="S63" s="89"/>
      <c r="T63" s="89"/>
      <c r="U63" s="89"/>
      <c r="V63" s="89"/>
      <c r="W63" s="1" t="str">
        <f>IFERROR(Calculations!AP61, "")</f>
        <v/>
      </c>
      <c r="X63" s="1" t="str">
        <f>IFERROR(Calculations!AQ61, "")</f>
        <v/>
      </c>
      <c r="Y63" s="8" t="str">
        <f>IFERROR(Calculations!AR61,"")</f>
        <v/>
      </c>
      <c r="Z63" s="8">
        <f>IFERROR(Calculations!AS61,"")</f>
        <v>0</v>
      </c>
      <c r="AA63" s="8">
        <f>IFERROR(Calculations!AT61,"")</f>
        <v>-148577.19352341187</v>
      </c>
      <c r="AB63" s="8" t="str">
        <f>IFERROR(Calculations!AU61,"")</f>
        <v/>
      </c>
      <c r="AC63" s="8" t="str">
        <f>IFERROR(Calculations!AV61,"")</f>
        <v/>
      </c>
      <c r="AD63" s="8" t="str">
        <f>IFERROR(Calculations!AW61,"")</f>
        <v/>
      </c>
      <c r="AE63" s="8" t="str">
        <f>IFERROR(Calculations!AX61,"")</f>
        <v/>
      </c>
      <c r="AF63" s="8">
        <f>IFERROR(IF(Calculations!AY61 &lt;&gt; 0, Calculations!AY61, ""),"")</f>
        <v>31899.653401483782</v>
      </c>
      <c r="AG63" s="42">
        <f>IFERROR(IF(Calculations!AZ61 &lt;&gt; 0, Calculations!AZ61, ""),"")</f>
        <v>-6.500659341556041</v>
      </c>
      <c r="AH63" s="1">
        <f t="shared" si="1"/>
        <v>20</v>
      </c>
      <c r="AI63" s="1">
        <f t="shared" si="2"/>
        <v>800</v>
      </c>
      <c r="AJ63" s="89"/>
      <c r="AK63" s="89"/>
      <c r="AL63" s="89"/>
      <c r="AM63" s="89"/>
      <c r="AN63" s="8" t="str">
        <f>IFERROR(Calculations!BJ61, "")</f>
        <v/>
      </c>
      <c r="AO63" s="8" t="str">
        <f>IFERROR(Calculations!BK61, "")</f>
        <v/>
      </c>
      <c r="AP63" s="8">
        <f>IFERROR(Calculations!BL61, "")</f>
        <v>16.961626456804577</v>
      </c>
      <c r="AQ63" s="8">
        <f>IFERROR(Calculations!BM61, "")</f>
        <v>31.80683757360017</v>
      </c>
      <c r="AR63" s="8" t="str">
        <f>IFERROR(Calculations!BN61, "")</f>
        <v/>
      </c>
      <c r="AS63" s="8" t="str">
        <f>IFERROR(Calculations!BO61, "")</f>
        <v/>
      </c>
      <c r="AT63" s="8" t="str">
        <f>IFERROR(Calculations!BP61, "")</f>
        <v/>
      </c>
      <c r="AU63" s="8" t="str">
        <f>IFERROR(Calculations!BQ61, "")</f>
        <v/>
      </c>
      <c r="AV63" s="8" t="str">
        <f>IFERROR(Calculations!BR61, "")</f>
        <v/>
      </c>
      <c r="AW63" s="89"/>
      <c r="AX63" s="89"/>
      <c r="AY63" s="89"/>
      <c r="AZ63" s="89"/>
      <c r="BA63" s="8" t="str">
        <f>IFERROR(Calculations!BW61, "")</f>
        <v/>
      </c>
      <c r="BB63" s="8" t="str">
        <f>IFERROR(Calculations!BX61, "")</f>
        <v/>
      </c>
      <c r="BC63" s="8" t="str">
        <f>IFERROR(Calculations!BY61, "")</f>
        <v/>
      </c>
      <c r="BD63" s="8">
        <f>IFERROR(Calculations!BZ61, "")</f>
        <v>0</v>
      </c>
      <c r="BE63" s="8">
        <f>IFERROR(Calculations!CA61, "")</f>
        <v>28.707548968046872</v>
      </c>
      <c r="BF63" s="8" t="str">
        <f>IFERROR(Calculations!CB61, "")</f>
        <v/>
      </c>
      <c r="BG63" s="8" t="str">
        <f>IFERROR(Calculations!CC61, "")</f>
        <v/>
      </c>
      <c r="BH63" s="8" t="str">
        <f>IFERROR(Calculations!CD61, "")</f>
        <v/>
      </c>
      <c r="BI63" s="8" t="str">
        <f>IFERROR(Calculations!CE61, "")</f>
        <v/>
      </c>
      <c r="BJ63" s="8">
        <f>IFERROR(IF(Calculations!CF61 &lt;&gt; 0, Calculations!CF61, ""),"")</f>
        <v>-20.060915062357871</v>
      </c>
      <c r="BK63" s="1">
        <f t="shared" si="3"/>
        <v>800</v>
      </c>
      <c r="BL63" s="1">
        <f t="shared" si="4"/>
        <v>20</v>
      </c>
      <c r="CD63" s="8"/>
      <c r="CE63" s="8"/>
      <c r="CF63" s="8"/>
      <c r="CG63" s="8"/>
      <c r="CH63" s="8"/>
      <c r="CI63" s="8"/>
      <c r="CJ63" s="8"/>
      <c r="CK63" s="8"/>
      <c r="CL63" s="8"/>
      <c r="CM63" s="8"/>
      <c r="CN63" s="8"/>
      <c r="CO63" s="8"/>
      <c r="CP63" s="8"/>
      <c r="CQ63" s="8"/>
      <c r="CR63" s="8"/>
      <c r="CS63" s="8"/>
      <c r="CT63" s="8"/>
      <c r="CU63" s="8"/>
      <c r="CV63" s="8"/>
      <c r="CW63" s="8"/>
      <c r="CX63" s="8"/>
      <c r="CY63" s="8"/>
      <c r="CZ63" s="8"/>
      <c r="DA63" s="8"/>
      <c r="DB63" s="8"/>
      <c r="DC63" s="8"/>
      <c r="DD63" s="8"/>
      <c r="DE63" s="8"/>
      <c r="DF63" s="8"/>
      <c r="DG63" s="8"/>
      <c r="DH63" s="8"/>
      <c r="DI63" s="8"/>
      <c r="DJ63" s="8"/>
      <c r="DK63" s="8"/>
      <c r="DL63" s="8"/>
      <c r="DM63" s="8"/>
      <c r="DN63" s="8"/>
      <c r="DO63" s="8"/>
      <c r="DP63" s="8"/>
      <c r="DQ63" s="8"/>
      <c r="DR63" s="8"/>
      <c r="DS63" s="8"/>
      <c r="DT63" s="8"/>
      <c r="DU63" s="8"/>
      <c r="DV63" s="8"/>
      <c r="DW63" s="8"/>
      <c r="DX63" s="8"/>
      <c r="DY63" s="8"/>
      <c r="DZ63" s="8"/>
      <c r="EA63" s="8"/>
    </row>
    <row r="64" spans="2:131" x14ac:dyDescent="0.2">
      <c r="B64" s="1">
        <f>IFERROR(Calculations!M62/1000, "")</f>
        <v>20</v>
      </c>
      <c r="C64" s="1">
        <f>Calculations!N62</f>
        <v>850</v>
      </c>
      <c r="D64" s="58">
        <f>IFERROR(Calculations!$Q62,"")</f>
        <v>1.0461653808104991</v>
      </c>
      <c r="E64" s="8">
        <f>IFERROR(Calculations!$S62, "")</f>
        <v>15.481305824093401</v>
      </c>
      <c r="F64" s="89"/>
      <c r="G64" s="89"/>
      <c r="H64" s="89"/>
      <c r="I64" s="89"/>
      <c r="J64" s="1" t="str">
        <f>IFERROR(Calculations!AC62, "")</f>
        <v/>
      </c>
      <c r="K64" s="1" t="str">
        <f>IFERROR(Calculations!AD62, "")</f>
        <v/>
      </c>
      <c r="L64" s="8">
        <f>IFERROR(Calculations!AE62,"")</f>
        <v>-71208.388013340969</v>
      </c>
      <c r="M64" s="8">
        <f>IFERROR(Calculations!AF62,"")</f>
        <v>-113514.37712592712</v>
      </c>
      <c r="N64" s="8" t="str">
        <f>IFERROR(Calculations!AG62,"")</f>
        <v/>
      </c>
      <c r="O64" s="8" t="str">
        <f>IFERROR(Calculations!AH62,"")</f>
        <v/>
      </c>
      <c r="P64" s="8" t="str">
        <f>IFERROR(Calculations!AI62,"")</f>
        <v/>
      </c>
      <c r="Q64" s="8" t="str">
        <f>IFERROR(Calculations!AJ62,"")</f>
        <v/>
      </c>
      <c r="R64" s="8" t="str">
        <f>IFERROR(Calculations!AK62,"")</f>
        <v/>
      </c>
      <c r="S64" s="89"/>
      <c r="T64" s="89"/>
      <c r="U64" s="89"/>
      <c r="V64" s="89"/>
      <c r="W64" s="1" t="str">
        <f>IFERROR(Calculations!AP62, "")</f>
        <v/>
      </c>
      <c r="X64" s="1" t="str">
        <f>IFERROR(Calculations!AQ62, "")</f>
        <v/>
      </c>
      <c r="Y64" s="8" t="str">
        <f>IFERROR(Calculations!AR62,"")</f>
        <v/>
      </c>
      <c r="Z64" s="8">
        <f>IFERROR(Calculations!AS62,"")</f>
        <v>0</v>
      </c>
      <c r="AA64" s="8">
        <f>IFERROR(Calculations!AT62,"")</f>
        <v>-150092.55836401027</v>
      </c>
      <c r="AB64" s="8" t="str">
        <f>IFERROR(Calculations!AU62,"")</f>
        <v/>
      </c>
      <c r="AC64" s="8" t="str">
        <f>IFERROR(Calculations!AV62,"")</f>
        <v/>
      </c>
      <c r="AD64" s="8" t="str">
        <f>IFERROR(Calculations!AW62,"")</f>
        <v/>
      </c>
      <c r="AE64" s="8" t="str">
        <f>IFERROR(Calculations!AX62,"")</f>
        <v/>
      </c>
      <c r="AF64" s="8">
        <f>IFERROR(IF(Calculations!AY62 &lt;&gt; 0, Calculations!AY62, ""),"")</f>
        <v>34630.2067752578</v>
      </c>
      <c r="AG64" s="42">
        <f>IFERROR(IF(Calculations!AZ62 &lt;&gt; 0, Calculations!AZ62, ""),"")</f>
        <v>-6.742938471700727</v>
      </c>
      <c r="AH64" s="1">
        <f t="shared" si="1"/>
        <v>20</v>
      </c>
      <c r="AI64" s="1">
        <f t="shared" si="2"/>
        <v>850</v>
      </c>
      <c r="AJ64" s="89"/>
      <c r="AK64" s="89"/>
      <c r="AL64" s="89"/>
      <c r="AM64" s="89"/>
      <c r="AN64" s="8" t="str">
        <f>IFERROR(Calculations!BJ62, "")</f>
        <v/>
      </c>
      <c r="AO64" s="8" t="str">
        <f>IFERROR(Calculations!BK62, "")</f>
        <v/>
      </c>
      <c r="AP64" s="8">
        <f>IFERROR(Calculations!BL62, "")</f>
        <v>17.220298368163323</v>
      </c>
      <c r="AQ64" s="8">
        <f>IFERROR(Calculations!BM62, "")</f>
        <v>31.988219723215231</v>
      </c>
      <c r="AR64" s="8" t="str">
        <f>IFERROR(Calculations!BN62, "")</f>
        <v/>
      </c>
      <c r="AS64" s="8" t="str">
        <f>IFERROR(Calculations!BO62, "")</f>
        <v/>
      </c>
      <c r="AT64" s="8" t="str">
        <f>IFERROR(Calculations!BP62, "")</f>
        <v/>
      </c>
      <c r="AU64" s="8" t="str">
        <f>IFERROR(Calculations!BQ62, "")</f>
        <v/>
      </c>
      <c r="AV64" s="8" t="str">
        <f>IFERROR(Calculations!BR62, "")</f>
        <v/>
      </c>
      <c r="AW64" s="89"/>
      <c r="AX64" s="89"/>
      <c r="AY64" s="89"/>
      <c r="AZ64" s="89"/>
      <c r="BA64" s="8" t="str">
        <f>IFERROR(Calculations!BW62, "")</f>
        <v/>
      </c>
      <c r="BB64" s="8" t="str">
        <f>IFERROR(Calculations!BX62, "")</f>
        <v/>
      </c>
      <c r="BC64" s="8" t="str">
        <f>IFERROR(Calculations!BY62, "")</f>
        <v/>
      </c>
      <c r="BD64" s="8">
        <f>IFERROR(Calculations!BZ62, "")</f>
        <v>0</v>
      </c>
      <c r="BE64" s="8">
        <f>IFERROR(Calculations!CA62, "")</f>
        <v>28.413613955431167</v>
      </c>
      <c r="BF64" s="8" t="str">
        <f>IFERROR(Calculations!CB62, "")</f>
        <v/>
      </c>
      <c r="BG64" s="8" t="str">
        <f>IFERROR(Calculations!CC62, "")</f>
        <v/>
      </c>
      <c r="BH64" s="8" t="str">
        <f>IFERROR(Calculations!CD62, "")</f>
        <v/>
      </c>
      <c r="BI64" s="8" t="str">
        <f>IFERROR(Calculations!CE62, "")</f>
        <v/>
      </c>
      <c r="BJ64" s="8">
        <f>IFERROR(IF(Calculations!CF62 &lt;&gt; 0, Calculations!CF62, ""),"")</f>
        <v>-20.794904135947384</v>
      </c>
      <c r="BK64" s="1">
        <f t="shared" si="3"/>
        <v>850</v>
      </c>
      <c r="BL64" s="1">
        <f t="shared" si="4"/>
        <v>20</v>
      </c>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8"/>
      <c r="DF64" s="8"/>
      <c r="DG64" s="8"/>
      <c r="DH64" s="8"/>
      <c r="DI64" s="8"/>
      <c r="DJ64" s="8"/>
      <c r="DK64" s="8"/>
      <c r="DL64" s="8"/>
      <c r="DM64" s="8"/>
      <c r="DN64" s="8"/>
      <c r="DO64" s="8"/>
      <c r="DP64" s="8"/>
      <c r="DQ64" s="8"/>
      <c r="DR64" s="8"/>
      <c r="DS64" s="8"/>
      <c r="DT64" s="8"/>
      <c r="DU64" s="8"/>
      <c r="DV64" s="8"/>
      <c r="DW64" s="8"/>
      <c r="DX64" s="8"/>
      <c r="DY64" s="8"/>
      <c r="DZ64" s="8"/>
      <c r="EA64" s="8"/>
    </row>
    <row r="65" spans="2:131" x14ac:dyDescent="0.2">
      <c r="B65" s="1">
        <f>IFERROR(Calculations!M63/1000, "")</f>
        <v>20</v>
      </c>
      <c r="C65" s="1">
        <f>Calculations!N63</f>
        <v>900</v>
      </c>
      <c r="D65" s="58">
        <f>IFERROR(Calculations!$Q63,"")</f>
        <v>1.0306151872360709</v>
      </c>
      <c r="E65" s="8">
        <f>IFERROR(Calculations!$S63, "")</f>
        <v>14.238210966847864</v>
      </c>
      <c r="F65" s="89"/>
      <c r="G65" s="89"/>
      <c r="H65" s="89"/>
      <c r="I65" s="89"/>
      <c r="J65" s="1" t="str">
        <f>IFERROR(Calculations!AC63, "")</f>
        <v/>
      </c>
      <c r="K65" s="1" t="str">
        <f>IFERROR(Calculations!AD63, "")</f>
        <v/>
      </c>
      <c r="L65" s="8">
        <f>IFERROR(Calculations!AE63,"")</f>
        <v>-72932.515999865442</v>
      </c>
      <c r="M65" s="8">
        <f>IFERROR(Calculations!AF63,"")</f>
        <v>-116116.81456591672</v>
      </c>
      <c r="N65" s="8" t="str">
        <f>IFERROR(Calculations!AG63,"")</f>
        <v/>
      </c>
      <c r="O65" s="8" t="str">
        <f>IFERROR(Calculations!AH63,"")</f>
        <v/>
      </c>
      <c r="P65" s="8" t="str">
        <f>IFERROR(Calculations!AI63,"")</f>
        <v/>
      </c>
      <c r="Q65" s="8" t="str">
        <f>IFERROR(Calculations!AJ63,"")</f>
        <v/>
      </c>
      <c r="R65" s="8" t="str">
        <f>IFERROR(Calculations!AK63,"")</f>
        <v/>
      </c>
      <c r="S65" s="89"/>
      <c r="T65" s="89"/>
      <c r="U65" s="89"/>
      <c r="V65" s="89"/>
      <c r="W65" s="1" t="str">
        <f>IFERROR(Calculations!AP63, "")</f>
        <v/>
      </c>
      <c r="X65" s="1" t="str">
        <f>IFERROR(Calculations!AQ63, "")</f>
        <v/>
      </c>
      <c r="Y65" s="8" t="str">
        <f>IFERROR(Calculations!AR63,"")</f>
        <v/>
      </c>
      <c r="Z65" s="8">
        <f>IFERROR(Calculations!AS63,"")</f>
        <v>0</v>
      </c>
      <c r="AA65" s="8">
        <f>IFERROR(Calculations!AT63,"")</f>
        <v>-151593.84307227662</v>
      </c>
      <c r="AB65" s="8" t="str">
        <f>IFERROR(Calculations!AU63,"")</f>
        <v/>
      </c>
      <c r="AC65" s="8" t="str">
        <f>IFERROR(Calculations!AV63,"")</f>
        <v/>
      </c>
      <c r="AD65" s="8" t="str">
        <f>IFERROR(Calculations!AW63,"")</f>
        <v/>
      </c>
      <c r="AE65" s="8" t="str">
        <f>IFERROR(Calculations!AX63,"")</f>
        <v/>
      </c>
      <c r="AF65" s="8">
        <f>IFERROR(IF(Calculations!AY63 &lt;&gt; 0, Calculations!AY63, ""),"")</f>
        <v>37455.487493505527</v>
      </c>
      <c r="AG65" s="42">
        <f>IFERROR(IF(Calculations!AZ63 &lt;&gt; 0, Calculations!AZ63, ""),"")</f>
        <v>-6.9822240806552207</v>
      </c>
      <c r="AH65" s="1">
        <f t="shared" si="1"/>
        <v>20</v>
      </c>
      <c r="AI65" s="1">
        <f t="shared" si="2"/>
        <v>900</v>
      </c>
      <c r="AJ65" s="89"/>
      <c r="AK65" s="89"/>
      <c r="AL65" s="89"/>
      <c r="AM65" s="89"/>
      <c r="AN65" s="8" t="str">
        <f>IFERROR(Calculations!BJ63, "")</f>
        <v/>
      </c>
      <c r="AO65" s="8" t="str">
        <f>IFERROR(Calculations!BK63, "")</f>
        <v/>
      </c>
      <c r="AP65" s="8">
        <f>IFERROR(Calculations!BL63, "")</f>
        <v>17.480122768531889</v>
      </c>
      <c r="AQ65" s="8">
        <f>IFERROR(Calculations!BM63, "")</f>
        <v>32.176107757939711</v>
      </c>
      <c r="AR65" s="8" t="str">
        <f>IFERROR(Calculations!BN63, "")</f>
        <v/>
      </c>
      <c r="AS65" s="8" t="str">
        <f>IFERROR(Calculations!BO63, "")</f>
        <v/>
      </c>
      <c r="AT65" s="8" t="str">
        <f>IFERROR(Calculations!BP63, "")</f>
        <v/>
      </c>
      <c r="AU65" s="8" t="str">
        <f>IFERROR(Calculations!BQ63, "")</f>
        <v/>
      </c>
      <c r="AV65" s="8" t="str">
        <f>IFERROR(Calculations!BR63, "")</f>
        <v/>
      </c>
      <c r="AW65" s="89"/>
      <c r="AX65" s="89"/>
      <c r="AY65" s="89"/>
      <c r="AZ65" s="89"/>
      <c r="BA65" s="8" t="str">
        <f>IFERROR(Calculations!BW63, "")</f>
        <v/>
      </c>
      <c r="BB65" s="8" t="str">
        <f>IFERROR(Calculations!BX63, "")</f>
        <v/>
      </c>
      <c r="BC65" s="8" t="str">
        <f>IFERROR(Calculations!BY63, "")</f>
        <v/>
      </c>
      <c r="BD65" s="8">
        <f>IFERROR(Calculations!BZ63, "")</f>
        <v>0</v>
      </c>
      <c r="BE65" s="8">
        <f>IFERROR(Calculations!CA63, "")</f>
        <v>28.10987870302608</v>
      </c>
      <c r="BF65" s="8" t="str">
        <f>IFERROR(Calculations!CB63, "")</f>
        <v/>
      </c>
      <c r="BG65" s="8" t="str">
        <f>IFERROR(Calculations!CC63, "")</f>
        <v/>
      </c>
      <c r="BH65" s="8" t="str">
        <f>IFERROR(Calculations!CD63, "")</f>
        <v/>
      </c>
      <c r="BI65" s="8" t="str">
        <f>IFERROR(Calculations!CE63, "")</f>
        <v/>
      </c>
      <c r="BJ65" s="8">
        <f>IFERROR(IF(Calculations!CF63 &lt;&gt; 0, Calculations!CF63, ""),"")</f>
        <v>-21.546351823445523</v>
      </c>
      <c r="BK65" s="1">
        <f t="shared" si="3"/>
        <v>900</v>
      </c>
      <c r="BL65" s="1">
        <f t="shared" si="4"/>
        <v>20</v>
      </c>
      <c r="CD65" s="8"/>
      <c r="CE65" s="8"/>
      <c r="CF65" s="8"/>
      <c r="CG65" s="8"/>
      <c r="CH65" s="8"/>
      <c r="CI65" s="8"/>
      <c r="CJ65" s="8"/>
      <c r="CK65" s="8"/>
      <c r="CL65" s="8"/>
      <c r="CM65" s="8"/>
      <c r="CN65" s="8"/>
      <c r="CO65" s="8"/>
      <c r="CP65" s="8"/>
      <c r="CQ65" s="8"/>
      <c r="CR65" s="8"/>
      <c r="CS65" s="8"/>
      <c r="CT65" s="8"/>
      <c r="CU65" s="8"/>
      <c r="CV65" s="8"/>
      <c r="CW65" s="8"/>
      <c r="CX65" s="8"/>
      <c r="CY65" s="8"/>
      <c r="CZ65" s="8"/>
      <c r="DA65" s="8"/>
      <c r="DB65" s="8"/>
      <c r="DC65" s="8"/>
      <c r="DD65" s="8"/>
      <c r="DE65" s="8"/>
      <c r="DF65" s="8"/>
      <c r="DG65" s="8"/>
      <c r="DH65" s="8"/>
      <c r="DI65" s="8"/>
      <c r="DJ65" s="8"/>
      <c r="DK65" s="8"/>
      <c r="DL65" s="8"/>
      <c r="DM65" s="8"/>
      <c r="DN65" s="8"/>
      <c r="DO65" s="8"/>
      <c r="DP65" s="8"/>
      <c r="DQ65" s="8"/>
      <c r="DR65" s="8"/>
      <c r="DS65" s="8"/>
      <c r="DT65" s="8"/>
      <c r="DU65" s="8"/>
      <c r="DV65" s="8"/>
      <c r="DW65" s="8"/>
      <c r="DX65" s="8"/>
      <c r="DY65" s="8"/>
      <c r="DZ65" s="8"/>
      <c r="EA65" s="8"/>
    </row>
    <row r="66" spans="2:131" x14ac:dyDescent="0.2">
      <c r="B66" s="1">
        <f>IFERROR(Calculations!M64/1000, "")</f>
        <v>20</v>
      </c>
      <c r="C66" s="1">
        <f>Calculations!N64</f>
        <v>950</v>
      </c>
      <c r="D66" s="58">
        <f>IFERROR(Calculations!$Q64,"")</f>
        <v>1.0154720917570592</v>
      </c>
      <c r="E66" s="8">
        <f>IFERROR(Calculations!$S64, "")</f>
        <v>13.126921841833331</v>
      </c>
      <c r="F66" s="89"/>
      <c r="G66" s="89"/>
      <c r="H66" s="89"/>
      <c r="I66" s="89"/>
      <c r="J66" s="1" t="str">
        <f>IFERROR(Calculations!AC64, "")</f>
        <v/>
      </c>
      <c r="K66" s="1" t="str">
        <f>IFERROR(Calculations!AD64, "")</f>
        <v/>
      </c>
      <c r="L66" s="8">
        <f>IFERROR(Calculations!AE64,"")</f>
        <v>-74678.346690812235</v>
      </c>
      <c r="M66" s="8">
        <f>IFERROR(Calculations!AF64,"")</f>
        <v>-118762.33880042871</v>
      </c>
      <c r="N66" s="8" t="str">
        <f>IFERROR(Calculations!AG64,"")</f>
        <v/>
      </c>
      <c r="O66" s="8" t="str">
        <f>IFERROR(Calculations!AH64,"")</f>
        <v/>
      </c>
      <c r="P66" s="8" t="str">
        <f>IFERROR(Calculations!AI64,"")</f>
        <v/>
      </c>
      <c r="Q66" s="8" t="str">
        <f>IFERROR(Calculations!AJ64,"")</f>
        <v/>
      </c>
      <c r="R66" s="8" t="str">
        <f>IFERROR(Calculations!AK64,"")</f>
        <v/>
      </c>
      <c r="S66" s="89"/>
      <c r="T66" s="89"/>
      <c r="U66" s="89"/>
      <c r="V66" s="89"/>
      <c r="W66" s="1" t="str">
        <f>IFERROR(Calculations!AP64, "")</f>
        <v/>
      </c>
      <c r="X66" s="1" t="str">
        <f>IFERROR(Calculations!AQ64, "")</f>
        <v/>
      </c>
      <c r="Y66" s="8" t="str">
        <f>IFERROR(Calculations!AR64,"")</f>
        <v/>
      </c>
      <c r="Z66" s="8">
        <f>IFERROR(Calculations!AS64,"")</f>
        <v>0</v>
      </c>
      <c r="AA66" s="8">
        <f>IFERROR(Calculations!AT64,"")</f>
        <v>-153079.778604536</v>
      </c>
      <c r="AB66" s="8" t="str">
        <f>IFERROR(Calculations!AU64,"")</f>
        <v/>
      </c>
      <c r="AC66" s="8" t="str">
        <f>IFERROR(Calculations!AV64,"")</f>
        <v/>
      </c>
      <c r="AD66" s="8" t="str">
        <f>IFERROR(Calculations!AW64,"")</f>
        <v/>
      </c>
      <c r="AE66" s="8" t="str">
        <f>IFERROR(Calculations!AX64,"")</f>
        <v/>
      </c>
      <c r="AF66" s="8">
        <f>IFERROR(IF(Calculations!AY64 &lt;&gt; 0, Calculations!AY64, ""),"")</f>
        <v>40360.906886704935</v>
      </c>
      <c r="AG66" s="42">
        <f>IFERROR(IF(Calculations!AZ64 &lt;&gt; 0, Calculations!AZ64, ""),"")</f>
        <v>-7.2162749145888601</v>
      </c>
      <c r="AH66" s="1">
        <f t="shared" si="1"/>
        <v>20</v>
      </c>
      <c r="AI66" s="1">
        <f t="shared" si="2"/>
        <v>950</v>
      </c>
      <c r="AJ66" s="89"/>
      <c r="AK66" s="89"/>
      <c r="AL66" s="89"/>
      <c r="AM66" s="89"/>
      <c r="AN66" s="8" t="str">
        <f>IFERROR(Calculations!BJ64, "")</f>
        <v/>
      </c>
      <c r="AO66" s="8" t="str">
        <f>IFERROR(Calculations!BK64, "")</f>
        <v/>
      </c>
      <c r="AP66" s="8">
        <f>IFERROR(Calculations!BL64, "")</f>
        <v>17.740792825559961</v>
      </c>
      <c r="AQ66" s="8">
        <f>IFERROR(Calculations!BM64, "")</f>
        <v>32.369661154268968</v>
      </c>
      <c r="AR66" s="8" t="str">
        <f>IFERROR(Calculations!BN64, "")</f>
        <v/>
      </c>
      <c r="AS66" s="8" t="str">
        <f>IFERROR(Calculations!BO64, "")</f>
        <v/>
      </c>
      <c r="AT66" s="8" t="str">
        <f>IFERROR(Calculations!BP64, "")</f>
        <v/>
      </c>
      <c r="AU66" s="8" t="str">
        <f>IFERROR(Calculations!BQ64, "")</f>
        <v/>
      </c>
      <c r="AV66" s="8" t="str">
        <f>IFERROR(Calculations!BR64, "")</f>
        <v/>
      </c>
      <c r="AW66" s="89"/>
      <c r="AX66" s="89"/>
      <c r="AY66" s="89"/>
      <c r="AZ66" s="89"/>
      <c r="BA66" s="8" t="str">
        <f>IFERROR(Calculations!BW64, "")</f>
        <v/>
      </c>
      <c r="BB66" s="8" t="str">
        <f>IFERROR(Calculations!BX64, "")</f>
        <v/>
      </c>
      <c r="BC66" s="8" t="str">
        <f>IFERROR(Calculations!BY64, "")</f>
        <v/>
      </c>
      <c r="BD66" s="8">
        <f>IFERROR(Calculations!BZ64, "")</f>
        <v>0</v>
      </c>
      <c r="BE66" s="8">
        <f>IFERROR(Calculations!CA64, "")</f>
        <v>27.797597400111645</v>
      </c>
      <c r="BF66" s="8" t="str">
        <f>IFERROR(Calculations!CB64, "")</f>
        <v/>
      </c>
      <c r="BG66" s="8" t="str">
        <f>IFERROR(Calculations!CC64, "")</f>
        <v/>
      </c>
      <c r="BH66" s="8" t="str">
        <f>IFERROR(Calculations!CD64, "")</f>
        <v/>
      </c>
      <c r="BI66" s="8" t="str">
        <f>IFERROR(Calculations!CE64, "")</f>
        <v/>
      </c>
      <c r="BJ66" s="8">
        <f>IFERROR(IF(Calculations!CF64 &lt;&gt; 0, Calculations!CF64, ""),"")</f>
        <v>-22.312856579717288</v>
      </c>
      <c r="BK66" s="1">
        <f t="shared" si="3"/>
        <v>950</v>
      </c>
      <c r="BL66" s="1">
        <f t="shared" si="4"/>
        <v>20</v>
      </c>
      <c r="CD66" s="8"/>
      <c r="CE66" s="8"/>
      <c r="CF66" s="8"/>
      <c r="CG66" s="8"/>
      <c r="CH66" s="8"/>
      <c r="CI66" s="8"/>
      <c r="CJ66" s="8"/>
      <c r="CK66" s="8"/>
      <c r="CL66" s="8"/>
      <c r="CM66" s="8"/>
      <c r="CN66" s="8"/>
      <c r="CO66" s="8"/>
      <c r="CP66" s="8"/>
      <c r="CQ66" s="8"/>
      <c r="CR66" s="8"/>
      <c r="CS66" s="8"/>
      <c r="CT66" s="8"/>
      <c r="CU66" s="8"/>
      <c r="CV66" s="8"/>
      <c r="CW66" s="8"/>
      <c r="CX66" s="8"/>
      <c r="CY66" s="8"/>
      <c r="CZ66" s="8"/>
      <c r="DA66" s="8"/>
      <c r="DB66" s="8"/>
      <c r="DC66" s="8"/>
      <c r="DD66" s="8"/>
      <c r="DE66" s="8"/>
      <c r="DF66" s="8"/>
      <c r="DG66" s="8"/>
      <c r="DH66" s="8"/>
      <c r="DI66" s="8"/>
      <c r="DJ66" s="8"/>
      <c r="DK66" s="8"/>
      <c r="DL66" s="8"/>
      <c r="DM66" s="8"/>
      <c r="DN66" s="8"/>
      <c r="DO66" s="8"/>
      <c r="DP66" s="8"/>
      <c r="DQ66" s="8"/>
      <c r="DR66" s="8"/>
      <c r="DS66" s="8"/>
      <c r="DT66" s="8"/>
      <c r="DU66" s="8"/>
      <c r="DV66" s="8"/>
      <c r="DW66" s="8"/>
      <c r="DX66" s="8"/>
      <c r="DY66" s="8"/>
      <c r="DZ66" s="8"/>
      <c r="EA66" s="8"/>
    </row>
    <row r="67" spans="2:131" x14ac:dyDescent="0.2">
      <c r="B67" s="1">
        <f>IFERROR(Calculations!M65/1000, "")</f>
        <v>20</v>
      </c>
      <c r="C67" s="1">
        <f>Calculations!N65</f>
        <v>1000</v>
      </c>
      <c r="D67" s="58">
        <f>IFERROR(Calculations!$Q65,"")</f>
        <v>1.000735498329401</v>
      </c>
      <c r="E67" s="8">
        <f>IFERROR(Calculations!$S65, "")</f>
        <v>12.131305227552081</v>
      </c>
      <c r="F67" s="89"/>
      <c r="G67" s="89"/>
      <c r="H67" s="89"/>
      <c r="I67" s="89"/>
      <c r="J67" s="1" t="str">
        <f>IFERROR(Calculations!AC65, "")</f>
        <v/>
      </c>
      <c r="K67" s="1" t="str">
        <f>IFERROR(Calculations!AD65, "")</f>
        <v/>
      </c>
      <c r="L67" s="8">
        <f>IFERROR(Calculations!AE65,"")</f>
        <v>-76433.076022054243</v>
      </c>
      <c r="M67" s="8">
        <f>IFERROR(Calculations!AF65,"")</f>
        <v>-121450.18508561983</v>
      </c>
      <c r="N67" s="8" t="str">
        <f>IFERROR(Calculations!AG65,"")</f>
        <v/>
      </c>
      <c r="O67" s="8" t="str">
        <f>IFERROR(Calculations!AH65,"")</f>
        <v/>
      </c>
      <c r="P67" s="8" t="str">
        <f>IFERROR(Calculations!AI65,"")</f>
        <v/>
      </c>
      <c r="Q67" s="8" t="str">
        <f>IFERROR(Calculations!AJ65,"")</f>
        <v/>
      </c>
      <c r="R67" s="8" t="str">
        <f>IFERROR(Calculations!AK65,"")</f>
        <v/>
      </c>
      <c r="S67" s="89"/>
      <c r="T67" s="89"/>
      <c r="U67" s="89"/>
      <c r="V67" s="89"/>
      <c r="W67" s="1" t="str">
        <f>IFERROR(Calculations!AP65, "")</f>
        <v/>
      </c>
      <c r="X67" s="1" t="str">
        <f>IFERROR(Calculations!AQ65, "")</f>
        <v/>
      </c>
      <c r="Y67" s="8" t="str">
        <f>IFERROR(Calculations!AR65,"")</f>
        <v/>
      </c>
      <c r="Z67" s="8">
        <f>IFERROR(Calculations!AS65,"")</f>
        <v>0</v>
      </c>
      <c r="AA67" s="8">
        <f>IFERROR(Calculations!AT65,"")</f>
        <v>-154549.3776391664</v>
      </c>
      <c r="AB67" s="8" t="str">
        <f>IFERROR(Calculations!AU65,"")</f>
        <v/>
      </c>
      <c r="AC67" s="8" t="str">
        <f>IFERROR(Calculations!AV65,"")</f>
        <v/>
      </c>
      <c r="AD67" s="8" t="str">
        <f>IFERROR(Calculations!AW65,"")</f>
        <v/>
      </c>
      <c r="AE67" s="8" t="str">
        <f>IFERROR(Calculations!AX65,"")</f>
        <v/>
      </c>
      <c r="AF67" s="8">
        <f>IFERROR(IF(Calculations!AY65 &lt;&gt; 0, Calculations!AY65, ""),"")</f>
        <v>43333.883468507673</v>
      </c>
      <c r="AG67" s="42">
        <f>IFERROR(IF(Calculations!AZ65 &lt;&gt; 0, Calculations!AZ65, ""),"")</f>
        <v>-7.44354657757067</v>
      </c>
      <c r="AH67" s="1">
        <f t="shared" si="1"/>
        <v>20</v>
      </c>
      <c r="AI67" s="1">
        <f t="shared" si="2"/>
        <v>1000</v>
      </c>
      <c r="AJ67" s="89"/>
      <c r="AK67" s="89"/>
      <c r="AL67" s="89"/>
      <c r="AM67" s="89"/>
      <c r="AN67" s="8" t="str">
        <f>IFERROR(Calculations!BJ65, "")</f>
        <v/>
      </c>
      <c r="AO67" s="8" t="str">
        <f>IFERROR(Calculations!BK65, "")</f>
        <v/>
      </c>
      <c r="AP67" s="8">
        <f>IFERROR(Calculations!BL65, "")</f>
        <v>18.002039529999873</v>
      </c>
      <c r="AQ67" s="8">
        <f>IFERROR(Calculations!BM65, "")</f>
        <v>32.567923547658701</v>
      </c>
      <c r="AR67" s="8" t="str">
        <f>IFERROR(Calculations!BN65, "")</f>
        <v/>
      </c>
      <c r="AS67" s="8" t="str">
        <f>IFERROR(Calculations!BO65, "")</f>
        <v/>
      </c>
      <c r="AT67" s="8" t="str">
        <f>IFERROR(Calculations!BP65, "")</f>
        <v/>
      </c>
      <c r="AU67" s="8" t="str">
        <f>IFERROR(Calculations!BQ65, "")</f>
        <v/>
      </c>
      <c r="AV67" s="8" t="str">
        <f>IFERROR(Calculations!BR65, "")</f>
        <v/>
      </c>
      <c r="AW67" s="89"/>
      <c r="AX67" s="89"/>
      <c r="AY67" s="89"/>
      <c r="AZ67" s="89"/>
      <c r="BA67" s="8" t="str">
        <f>IFERROR(Calculations!BW65, "")</f>
        <v/>
      </c>
      <c r="BB67" s="8" t="str">
        <f>IFERROR(Calculations!BX65, "")</f>
        <v/>
      </c>
      <c r="BC67" s="8" t="str">
        <f>IFERROR(Calculations!BY65, "")</f>
        <v/>
      </c>
      <c r="BD67" s="8">
        <f>IFERROR(Calculations!BZ65, "")</f>
        <v>0</v>
      </c>
      <c r="BE67" s="8">
        <f>IFERROR(Calculations!CA65, "")</f>
        <v>27.478224610877643</v>
      </c>
      <c r="BF67" s="8" t="str">
        <f>IFERROR(Calculations!CB65, "")</f>
        <v/>
      </c>
      <c r="BG67" s="8" t="str">
        <f>IFERROR(Calculations!CC65, "")</f>
        <v/>
      </c>
      <c r="BH67" s="8" t="str">
        <f>IFERROR(Calculations!CD65, "")</f>
        <v/>
      </c>
      <c r="BI67" s="8" t="str">
        <f>IFERROR(Calculations!CE65, "")</f>
        <v/>
      </c>
      <c r="BJ67" s="8">
        <f>IFERROR(IF(Calculations!CF65 &lt;&gt; 0, Calculations!CF65, ""),"")</f>
        <v>-23.091738466780928</v>
      </c>
      <c r="BK67" s="1">
        <f t="shared" si="3"/>
        <v>1000</v>
      </c>
      <c r="BL67" s="1">
        <f t="shared" si="4"/>
        <v>20</v>
      </c>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row>
    <row r="68" spans="2:131" x14ac:dyDescent="0.2">
      <c r="B68" s="1">
        <f>IFERROR(Calculations!M66/1000, "")</f>
        <v>25</v>
      </c>
      <c r="C68" s="1">
        <f>Calculations!N66</f>
        <v>300</v>
      </c>
      <c r="D68" s="58">
        <f>IFERROR(Calculations!$Q66,"")</f>
        <v>1.2901458854830268</v>
      </c>
      <c r="E68" s="8">
        <f>IFERROR(Calculations!$S66, "")</f>
        <v>49.702659862363149</v>
      </c>
      <c r="F68" s="89"/>
      <c r="G68" s="89"/>
      <c r="H68" s="89"/>
      <c r="I68" s="89"/>
      <c r="J68" s="1" t="str">
        <f>IFERROR(Calculations!AC66, "")</f>
        <v/>
      </c>
      <c r="K68" s="1" t="str">
        <f>IFERROR(Calculations!AD66, "")</f>
        <v/>
      </c>
      <c r="L68" s="8">
        <f>IFERROR(Calculations!AE66,"")</f>
        <v>-53249.048279229624</v>
      </c>
      <c r="M68" s="8">
        <f>IFERROR(Calculations!AF66,"")</f>
        <v>-84281.646956484576</v>
      </c>
      <c r="N68" s="8" t="str">
        <f>IFERROR(Calculations!AG66,"")</f>
        <v/>
      </c>
      <c r="O68" s="8" t="str">
        <f>IFERROR(Calculations!AH66,"")</f>
        <v/>
      </c>
      <c r="P68" s="8" t="str">
        <f>IFERROR(Calculations!AI66,"")</f>
        <v/>
      </c>
      <c r="Q68" s="8" t="str">
        <f>IFERROR(Calculations!AJ66,"")</f>
        <v/>
      </c>
      <c r="R68" s="8" t="str">
        <f>IFERROR(Calculations!AK66,"")</f>
        <v/>
      </c>
      <c r="S68" s="89"/>
      <c r="T68" s="89"/>
      <c r="U68" s="89"/>
      <c r="V68" s="89"/>
      <c r="W68" s="1" t="str">
        <f>IFERROR(Calculations!AP66, "")</f>
        <v/>
      </c>
      <c r="X68" s="1" t="str">
        <f>IFERROR(Calculations!AQ66, "")</f>
        <v/>
      </c>
      <c r="Y68" s="8" t="str">
        <f>IFERROR(Calculations!AR66,"")</f>
        <v/>
      </c>
      <c r="Z68" s="8">
        <f>IFERROR(Calculations!AS66,"")</f>
        <v>0</v>
      </c>
      <c r="AA68" s="8">
        <f>IFERROR(Calculations!AT66,"")</f>
        <v>-129487.79362036938</v>
      </c>
      <c r="AB68" s="8" t="str">
        <f>IFERROR(Calculations!AU66,"")</f>
        <v/>
      </c>
      <c r="AC68" s="8" t="str">
        <f>IFERROR(Calculations!AV66,"")</f>
        <v/>
      </c>
      <c r="AD68" s="8" t="str">
        <f>IFERROR(Calculations!AW66,"")</f>
        <v/>
      </c>
      <c r="AE68" s="8" t="str">
        <f>IFERROR(Calculations!AX66,"")</f>
        <v/>
      </c>
      <c r="AF68" s="8">
        <f>IFERROR(IF(Calculations!AY66 &lt;&gt; 0, Calculations!AY66, ""),"")</f>
        <v>8042.9016153448174</v>
      </c>
      <c r="AG68" s="42">
        <f>IFERROR(IF(Calculations!AZ66 &lt;&gt; 0, Calculations!AZ66, ""),"")</f>
        <v>-3.0688547460967808</v>
      </c>
      <c r="AH68" s="1">
        <f t="shared" si="1"/>
        <v>25</v>
      </c>
      <c r="AI68" s="1">
        <f t="shared" si="2"/>
        <v>300</v>
      </c>
      <c r="AJ68" s="89"/>
      <c r="AK68" s="89"/>
      <c r="AL68" s="89"/>
      <c r="AM68" s="89"/>
      <c r="AN68" s="8" t="str">
        <f>IFERROR(Calculations!BJ66, "")</f>
        <v/>
      </c>
      <c r="AO68" s="8" t="str">
        <f>IFERROR(Calculations!BK66, "")</f>
        <v/>
      </c>
      <c r="AP68" s="8">
        <f>IFERROR(Calculations!BL66, "")</f>
        <v>13.963754179051723</v>
      </c>
      <c r="AQ68" s="8">
        <f>IFERROR(Calculations!BM66, "")</f>
        <v>30.273457245437925</v>
      </c>
      <c r="AR68" s="8" t="str">
        <f>IFERROR(Calculations!BN66, "")</f>
        <v/>
      </c>
      <c r="AS68" s="8" t="str">
        <f>IFERROR(Calculations!BO66, "")</f>
        <v/>
      </c>
      <c r="AT68" s="8" t="str">
        <f>IFERROR(Calculations!BP66, "")</f>
        <v/>
      </c>
      <c r="AU68" s="8" t="str">
        <f>IFERROR(Calculations!BQ66, "")</f>
        <v/>
      </c>
      <c r="AV68" s="8" t="str">
        <f>IFERROR(Calculations!BR66, "")</f>
        <v/>
      </c>
      <c r="AW68" s="89"/>
      <c r="AX68" s="89"/>
      <c r="AY68" s="89"/>
      <c r="AZ68" s="89"/>
      <c r="BA68" s="8" t="str">
        <f>IFERROR(Calculations!BW66, "")</f>
        <v/>
      </c>
      <c r="BB68" s="8" t="str">
        <f>IFERROR(Calculations!BX66, "")</f>
        <v/>
      </c>
      <c r="BC68" s="8" t="str">
        <f>IFERROR(Calculations!BY66, "")</f>
        <v/>
      </c>
      <c r="BD68" s="8">
        <f>IFERROR(Calculations!BZ66, "")</f>
        <v>0</v>
      </c>
      <c r="BE68" s="8">
        <f>IFERROR(Calculations!CA66, "")</f>
        <v>31.199863116888331</v>
      </c>
      <c r="BF68" s="8" t="str">
        <f>IFERROR(Calculations!CB66, "")</f>
        <v/>
      </c>
      <c r="BG68" s="8" t="str">
        <f>IFERROR(Calculations!CC66, "")</f>
        <v/>
      </c>
      <c r="BH68" s="8" t="str">
        <f>IFERROR(Calculations!CD66, "")</f>
        <v/>
      </c>
      <c r="BI68" s="8" t="str">
        <f>IFERROR(Calculations!CE66, "")</f>
        <v/>
      </c>
      <c r="BJ68" s="8">
        <f>IFERROR(IF(Calculations!CF66 &lt;&gt; 0, Calculations!CF66, ""),"")</f>
        <v>-13.037348307601313</v>
      </c>
      <c r="BK68" s="1">
        <f t="shared" si="3"/>
        <v>300</v>
      </c>
      <c r="BL68" s="1">
        <f t="shared" si="4"/>
        <v>25</v>
      </c>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8"/>
      <c r="DX68" s="8"/>
      <c r="DY68" s="8"/>
      <c r="DZ68" s="8"/>
      <c r="EA68" s="8"/>
    </row>
    <row r="69" spans="2:131" x14ac:dyDescent="0.2">
      <c r="B69" s="1">
        <f>IFERROR(Calculations!M67/1000, "")</f>
        <v>25</v>
      </c>
      <c r="C69" s="1">
        <f>Calculations!N67</f>
        <v>350</v>
      </c>
      <c r="D69" s="58">
        <f>IFERROR(Calculations!$Q67,"")</f>
        <v>1.272690735081434</v>
      </c>
      <c r="E69" s="8">
        <f>IFERROR(Calculations!$S67, "")</f>
        <v>44.281294068280744</v>
      </c>
      <c r="F69" s="89"/>
      <c r="G69" s="89"/>
      <c r="H69" s="89"/>
      <c r="I69" s="89"/>
      <c r="J69" s="1" t="str">
        <f>IFERROR(Calculations!AC67, "")</f>
        <v/>
      </c>
      <c r="K69" s="1" t="str">
        <f>IFERROR(Calculations!AD67, "")</f>
        <v/>
      </c>
      <c r="L69" s="8">
        <f>IFERROR(Calculations!AE67,"")</f>
        <v>-54462.82066259416</v>
      </c>
      <c r="M69" s="8">
        <f>IFERROR(Calculations!AF67,"")</f>
        <v>-86347.474169672132</v>
      </c>
      <c r="N69" s="8" t="str">
        <f>IFERROR(Calculations!AG67,"")</f>
        <v/>
      </c>
      <c r="O69" s="8" t="str">
        <f>IFERROR(Calculations!AH67,"")</f>
        <v/>
      </c>
      <c r="P69" s="8" t="str">
        <f>IFERROR(Calculations!AI67,"")</f>
        <v/>
      </c>
      <c r="Q69" s="8" t="str">
        <f>IFERROR(Calculations!AJ67,"")</f>
        <v/>
      </c>
      <c r="R69" s="8" t="str">
        <f>IFERROR(Calculations!AK67,"")</f>
        <v/>
      </c>
      <c r="S69" s="89"/>
      <c r="T69" s="89"/>
      <c r="U69" s="89"/>
      <c r="V69" s="89"/>
      <c r="W69" s="1" t="str">
        <f>IFERROR(Calculations!AP67, "")</f>
        <v/>
      </c>
      <c r="X69" s="1" t="str">
        <f>IFERROR(Calculations!AQ67, "")</f>
        <v/>
      </c>
      <c r="Y69" s="8" t="str">
        <f>IFERROR(Calculations!AR67,"")</f>
        <v/>
      </c>
      <c r="Z69" s="8">
        <f>IFERROR(Calculations!AS67,"")</f>
        <v>0</v>
      </c>
      <c r="AA69" s="8">
        <f>IFERROR(Calculations!AT67,"")</f>
        <v>-131022.75598951544</v>
      </c>
      <c r="AB69" s="8" t="str">
        <f>IFERROR(Calculations!AU67,"")</f>
        <v/>
      </c>
      <c r="AC69" s="8" t="str">
        <f>IFERROR(Calculations!AV67,"")</f>
        <v/>
      </c>
      <c r="AD69" s="8" t="str">
        <f>IFERROR(Calculations!AW67,"")</f>
        <v/>
      </c>
      <c r="AE69" s="8" t="str">
        <f>IFERROR(Calculations!AX67,"")</f>
        <v/>
      </c>
      <c r="AF69" s="8">
        <f>IFERROR(IF(Calculations!AY67 &lt;&gt; 0, Calculations!AY67, ""),"")</f>
        <v>9787.5388427508442</v>
      </c>
      <c r="AG69" s="42">
        <f>IFERROR(IF(Calculations!AZ67 &lt;&gt; 0, Calculations!AZ67, ""),"")</f>
        <v>-3.434889518928514</v>
      </c>
      <c r="AH69" s="1">
        <f t="shared" si="1"/>
        <v>25</v>
      </c>
      <c r="AI69" s="1">
        <f t="shared" si="2"/>
        <v>350</v>
      </c>
      <c r="AJ69" s="89"/>
      <c r="AK69" s="89"/>
      <c r="AL69" s="89"/>
      <c r="AM69" s="89"/>
      <c r="AN69" s="8" t="str">
        <f>IFERROR(Calculations!BJ67, "")</f>
        <v/>
      </c>
      <c r="AO69" s="8" t="str">
        <f>IFERROR(Calculations!BK67, "")</f>
        <v/>
      </c>
      <c r="AP69" s="8">
        <f>IFERROR(Calculations!BL67, "")</f>
        <v>14.155269228739439</v>
      </c>
      <c r="AQ69" s="8">
        <f>IFERROR(Calculations!BM67, "")</f>
        <v>30.322434189532807</v>
      </c>
      <c r="AR69" s="8" t="str">
        <f>IFERROR(Calculations!BN67, "")</f>
        <v/>
      </c>
      <c r="AS69" s="8" t="str">
        <f>IFERROR(Calculations!BO67, "")</f>
        <v/>
      </c>
      <c r="AT69" s="8" t="str">
        <f>IFERROR(Calculations!BP67, "")</f>
        <v/>
      </c>
      <c r="AU69" s="8" t="str">
        <f>IFERROR(Calculations!BQ67, "")</f>
        <v/>
      </c>
      <c r="AV69" s="8" t="str">
        <f>IFERROR(Calculations!BR67, "")</f>
        <v/>
      </c>
      <c r="AW69" s="89"/>
      <c r="AX69" s="89"/>
      <c r="AY69" s="89"/>
      <c r="AZ69" s="89"/>
      <c r="BA69" s="8" t="str">
        <f>IFERROR(Calculations!BW67, "")</f>
        <v/>
      </c>
      <c r="BB69" s="8" t="str">
        <f>IFERROR(Calculations!BX67, "")</f>
        <v/>
      </c>
      <c r="BC69" s="8" t="str">
        <f>IFERROR(Calculations!BY67, "")</f>
        <v/>
      </c>
      <c r="BD69" s="8">
        <f>IFERROR(Calculations!BZ67, "")</f>
        <v>0</v>
      </c>
      <c r="BE69" s="8">
        <f>IFERROR(Calculations!CA67, "")</f>
        <v>31.083733543859132</v>
      </c>
      <c r="BF69" s="8" t="str">
        <f>IFERROR(Calculations!CB67, "")</f>
        <v/>
      </c>
      <c r="BG69" s="8" t="str">
        <f>IFERROR(Calculations!CC67, "")</f>
        <v/>
      </c>
      <c r="BH69" s="8" t="str">
        <f>IFERROR(Calculations!CD67, "")</f>
        <v/>
      </c>
      <c r="BI69" s="8" t="str">
        <f>IFERROR(Calculations!CE67, "")</f>
        <v/>
      </c>
      <c r="BJ69" s="8">
        <f>IFERROR(IF(Calculations!CF67 &lt;&gt; 0, Calculations!CF67, ""),"")</f>
        <v>-13.393969874413109</v>
      </c>
      <c r="BK69" s="1">
        <f t="shared" si="3"/>
        <v>350</v>
      </c>
      <c r="BL69" s="1">
        <f t="shared" si="4"/>
        <v>25</v>
      </c>
      <c r="CD69" s="8"/>
      <c r="CE69" s="8"/>
      <c r="CF69" s="8"/>
      <c r="CG69" s="8"/>
      <c r="CH69" s="8"/>
      <c r="CI69" s="8"/>
      <c r="CJ69" s="8"/>
      <c r="CK69" s="8"/>
      <c r="CL69" s="8"/>
      <c r="CM69" s="8"/>
      <c r="CN69" s="8"/>
      <c r="CO69" s="8"/>
      <c r="CP69" s="8"/>
      <c r="CQ69" s="8"/>
      <c r="CR69" s="8"/>
      <c r="CS69" s="8"/>
      <c r="CT69" s="8"/>
      <c r="CU69" s="8"/>
      <c r="CV69" s="8"/>
      <c r="CW69" s="8"/>
      <c r="CX69" s="8"/>
      <c r="CY69" s="8"/>
      <c r="CZ69" s="8"/>
      <c r="DA69" s="8"/>
      <c r="DB69" s="8"/>
      <c r="DC69" s="8"/>
      <c r="DD69" s="8"/>
      <c r="DE69" s="8"/>
      <c r="DF69" s="8"/>
      <c r="DG69" s="8"/>
      <c r="DH69" s="8"/>
      <c r="DI69" s="8"/>
      <c r="DJ69" s="8"/>
      <c r="DK69" s="8"/>
      <c r="DL69" s="8"/>
      <c r="DM69" s="8"/>
      <c r="DN69" s="8"/>
      <c r="DO69" s="8"/>
      <c r="DP69" s="8"/>
      <c r="DQ69" s="8"/>
      <c r="DR69" s="8"/>
      <c r="DS69" s="8"/>
      <c r="DT69" s="8"/>
      <c r="DU69" s="8"/>
      <c r="DV69" s="8"/>
      <c r="DW69" s="8"/>
      <c r="DX69" s="8"/>
      <c r="DY69" s="8"/>
      <c r="DZ69" s="8"/>
      <c r="EA69" s="8"/>
    </row>
    <row r="70" spans="2:131" x14ac:dyDescent="0.2">
      <c r="B70" s="1">
        <f>IFERROR(Calculations!M68/1000, "")</f>
        <v>25</v>
      </c>
      <c r="C70" s="1">
        <f>Calculations!N68</f>
        <v>400</v>
      </c>
      <c r="D70" s="58">
        <f>IFERROR(Calculations!$Q68,"")</f>
        <v>1.2554558229613302</v>
      </c>
      <c r="E70" s="8">
        <f>IFERROR(Calculations!$S68, "")</f>
        <v>39.635795640469645</v>
      </c>
      <c r="F70" s="89"/>
      <c r="G70" s="89"/>
      <c r="H70" s="89"/>
      <c r="I70" s="89"/>
      <c r="J70" s="1" t="str">
        <f>IFERROR(Calculations!AC68, "")</f>
        <v/>
      </c>
      <c r="K70" s="1" t="str">
        <f>IFERROR(Calculations!AD68, "")</f>
        <v/>
      </c>
      <c r="L70" s="8">
        <f>IFERROR(Calculations!AE68,"")</f>
        <v>-55738.3218760823</v>
      </c>
      <c r="M70" s="8">
        <f>IFERROR(Calculations!AF68,"")</f>
        <v>-88462.720989695052</v>
      </c>
      <c r="N70" s="8" t="str">
        <f>IFERROR(Calculations!AG68,"")</f>
        <v/>
      </c>
      <c r="O70" s="8" t="str">
        <f>IFERROR(Calculations!AH68,"")</f>
        <v/>
      </c>
      <c r="P70" s="8" t="str">
        <f>IFERROR(Calculations!AI68,"")</f>
        <v/>
      </c>
      <c r="Q70" s="8" t="str">
        <f>IFERROR(Calculations!AJ68,"")</f>
        <v/>
      </c>
      <c r="R70" s="8" t="str">
        <f>IFERROR(Calculations!AK68,"")</f>
        <v/>
      </c>
      <c r="S70" s="89"/>
      <c r="T70" s="89"/>
      <c r="U70" s="89"/>
      <c r="V70" s="89"/>
      <c r="W70" s="1" t="str">
        <f>IFERROR(Calculations!AP68, "")</f>
        <v/>
      </c>
      <c r="X70" s="1" t="str">
        <f>IFERROR(Calculations!AQ68, "")</f>
        <v/>
      </c>
      <c r="Y70" s="8" t="str">
        <f>IFERROR(Calculations!AR68,"")</f>
        <v/>
      </c>
      <c r="Z70" s="8">
        <f>IFERROR(Calculations!AS68,"")</f>
        <v>0</v>
      </c>
      <c r="AA70" s="8">
        <f>IFERROR(Calculations!AT68,"")</f>
        <v>-132581.7841077724</v>
      </c>
      <c r="AB70" s="8" t="str">
        <f>IFERROR(Calculations!AU68,"")</f>
        <v/>
      </c>
      <c r="AC70" s="8" t="str">
        <f>IFERROR(Calculations!AV68,"")</f>
        <v/>
      </c>
      <c r="AD70" s="8" t="str">
        <f>IFERROR(Calculations!AW68,"")</f>
        <v/>
      </c>
      <c r="AE70" s="8" t="str">
        <f>IFERROR(Calculations!AX68,"")</f>
        <v/>
      </c>
      <c r="AF70" s="8">
        <f>IFERROR(IF(Calculations!AY68 &lt;&gt; 0, Calculations!AY68, ""),"")</f>
        <v>11619.258758004959</v>
      </c>
      <c r="AG70" s="42">
        <f>IFERROR(IF(Calculations!AZ68 &lt;&gt; 0, Calculations!AZ68, ""),"")</f>
        <v>-3.7748391176348401</v>
      </c>
      <c r="AH70" s="1">
        <f t="shared" si="1"/>
        <v>25</v>
      </c>
      <c r="AI70" s="1">
        <f t="shared" si="2"/>
        <v>400</v>
      </c>
      <c r="AJ70" s="89"/>
      <c r="AK70" s="89"/>
      <c r="AL70" s="89"/>
      <c r="AM70" s="89"/>
      <c r="AN70" s="8" t="str">
        <f>IFERROR(Calculations!BJ68, "")</f>
        <v/>
      </c>
      <c r="AO70" s="8" t="str">
        <f>IFERROR(Calculations!BK68, "")</f>
        <v/>
      </c>
      <c r="AP70" s="8">
        <f>IFERROR(Calculations!BL68, "")</f>
        <v>14.349592929129212</v>
      </c>
      <c r="AQ70" s="8">
        <f>IFERROR(Calculations!BM68, "")</f>
        <v>30.382310453115462</v>
      </c>
      <c r="AR70" s="8" t="str">
        <f>IFERROR(Calculations!BN68, "")</f>
        <v/>
      </c>
      <c r="AS70" s="8" t="str">
        <f>IFERROR(Calculations!BO68, "")</f>
        <v/>
      </c>
      <c r="AT70" s="8" t="str">
        <f>IFERROR(Calculations!BP68, "")</f>
        <v/>
      </c>
      <c r="AU70" s="8" t="str">
        <f>IFERROR(Calculations!BQ68, "")</f>
        <v/>
      </c>
      <c r="AV70" s="8" t="str">
        <f>IFERROR(Calculations!BR68, "")</f>
        <v/>
      </c>
      <c r="AW70" s="89"/>
      <c r="AX70" s="89"/>
      <c r="AY70" s="89"/>
      <c r="AZ70" s="89"/>
      <c r="BA70" s="8" t="str">
        <f>IFERROR(Calculations!BW68, "")</f>
        <v/>
      </c>
      <c r="BB70" s="8" t="str">
        <f>IFERROR(Calculations!BX68, "")</f>
        <v/>
      </c>
      <c r="BC70" s="8" t="str">
        <f>IFERROR(Calculations!BY68, "")</f>
        <v/>
      </c>
      <c r="BD70" s="8">
        <f>IFERROR(Calculations!BZ68, "")</f>
        <v>0</v>
      </c>
      <c r="BE70" s="8">
        <f>IFERROR(Calculations!CA68, "")</f>
        <v>30.95883247182967</v>
      </c>
      <c r="BF70" s="8" t="str">
        <f>IFERROR(Calculations!CB68, "")</f>
        <v/>
      </c>
      <c r="BG70" s="8" t="str">
        <f>IFERROR(Calculations!CC68, "")</f>
        <v/>
      </c>
      <c r="BH70" s="8" t="str">
        <f>IFERROR(Calculations!CD68, "")</f>
        <v/>
      </c>
      <c r="BI70" s="8" t="str">
        <f>IFERROR(Calculations!CE68, "")</f>
        <v/>
      </c>
      <c r="BJ70" s="8">
        <f>IFERROR(IF(Calculations!CF68 &lt;&gt; 0, Calculations!CF68, ""),"")</f>
        <v>-13.773070910415004</v>
      </c>
      <c r="BK70" s="1">
        <f t="shared" si="3"/>
        <v>400</v>
      </c>
      <c r="BL70" s="1">
        <f t="shared" si="4"/>
        <v>25</v>
      </c>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8"/>
      <c r="DX70" s="8"/>
      <c r="DY70" s="8"/>
      <c r="DZ70" s="8"/>
      <c r="EA70" s="8"/>
    </row>
    <row r="71" spans="2:131" x14ac:dyDescent="0.2">
      <c r="B71" s="1">
        <f>IFERROR(Calculations!M69/1000, "")</f>
        <v>25</v>
      </c>
      <c r="C71" s="1">
        <f>Calculations!N69</f>
        <v>450</v>
      </c>
      <c r="D71" s="58">
        <f>IFERROR(Calculations!$Q69,"")</f>
        <v>1.2383957007628679</v>
      </c>
      <c r="E71" s="8">
        <f>IFERROR(Calculations!$S69, "")</f>
        <v>35.617400858802277</v>
      </c>
      <c r="F71" s="89"/>
      <c r="G71" s="89"/>
      <c r="H71" s="89"/>
      <c r="I71" s="89"/>
      <c r="J71" s="1" t="str">
        <f>IFERROR(Calculations!AC69, "")</f>
        <v/>
      </c>
      <c r="K71" s="1" t="str">
        <f>IFERROR(Calculations!AD69, "")</f>
        <v/>
      </c>
      <c r="L71" s="8">
        <f>IFERROR(Calculations!AE69,"")</f>
        <v>-57070.1645664877</v>
      </c>
      <c r="M71" s="8">
        <f>IFERROR(Calculations!AF69,"")</f>
        <v>-90626.138201237249</v>
      </c>
      <c r="N71" s="8" t="str">
        <f>IFERROR(Calculations!AG69,"")</f>
        <v/>
      </c>
      <c r="O71" s="8" t="str">
        <f>IFERROR(Calculations!AH69,"")</f>
        <v/>
      </c>
      <c r="P71" s="8" t="str">
        <f>IFERROR(Calculations!AI69,"")</f>
        <v/>
      </c>
      <c r="Q71" s="8" t="str">
        <f>IFERROR(Calculations!AJ69,"")</f>
        <v/>
      </c>
      <c r="R71" s="8" t="str">
        <f>IFERROR(Calculations!AK69,"")</f>
        <v/>
      </c>
      <c r="S71" s="89"/>
      <c r="T71" s="89"/>
      <c r="U71" s="89"/>
      <c r="V71" s="89"/>
      <c r="W71" s="1" t="str">
        <f>IFERROR(Calculations!AP69, "")</f>
        <v/>
      </c>
      <c r="X71" s="1" t="str">
        <f>IFERROR(Calculations!AQ69, "")</f>
        <v/>
      </c>
      <c r="Y71" s="8" t="str">
        <f>IFERROR(Calculations!AR69,"")</f>
        <v/>
      </c>
      <c r="Z71" s="8">
        <f>IFERROR(Calculations!AS69,"")</f>
        <v>0</v>
      </c>
      <c r="AA71" s="8">
        <f>IFERROR(Calculations!AT69,"")</f>
        <v>-134158.52754071614</v>
      </c>
      <c r="AB71" s="8" t="str">
        <f>IFERROR(Calculations!AU69,"")</f>
        <v/>
      </c>
      <c r="AC71" s="8" t="str">
        <f>IFERROR(Calculations!AV69,"")</f>
        <v/>
      </c>
      <c r="AD71" s="8" t="str">
        <f>IFERROR(Calculations!AW69,"")</f>
        <v/>
      </c>
      <c r="AE71" s="8" t="str">
        <f>IFERROR(Calculations!AX69,"")</f>
        <v/>
      </c>
      <c r="AF71" s="8">
        <f>IFERROR(IF(Calculations!AY69 &lt;&gt; 0, Calculations!AY69, ""),"")</f>
        <v>13537.775227008824</v>
      </c>
      <c r="AG71" s="42">
        <f>IFERROR(IF(Calculations!AZ69 &lt;&gt; 0, Calculations!AZ69, ""),"")</f>
        <v>-4.0940277502333844</v>
      </c>
      <c r="AH71" s="1">
        <f t="shared" si="1"/>
        <v>25</v>
      </c>
      <c r="AI71" s="1">
        <f t="shared" si="2"/>
        <v>450</v>
      </c>
      <c r="AJ71" s="89"/>
      <c r="AK71" s="89"/>
      <c r="AL71" s="89"/>
      <c r="AM71" s="89"/>
      <c r="AN71" s="8" t="str">
        <f>IFERROR(Calculations!BJ69, "")</f>
        <v/>
      </c>
      <c r="AO71" s="8" t="str">
        <f>IFERROR(Calculations!BK69, "")</f>
        <v/>
      </c>
      <c r="AP71" s="8">
        <f>IFERROR(Calculations!BL69, "")</f>
        <v>14.547272724624571</v>
      </c>
      <c r="AQ71" s="8">
        <f>IFERROR(Calculations!BM69, "")</f>
        <v>30.451185668128151</v>
      </c>
      <c r="AR71" s="8" t="str">
        <f>IFERROR(Calculations!BN69, "")</f>
        <v/>
      </c>
      <c r="AS71" s="8" t="str">
        <f>IFERROR(Calculations!BO69, "")</f>
        <v/>
      </c>
      <c r="AT71" s="8" t="str">
        <f>IFERROR(Calculations!BP69, "")</f>
        <v/>
      </c>
      <c r="AU71" s="8" t="str">
        <f>IFERROR(Calculations!BQ69, "")</f>
        <v/>
      </c>
      <c r="AV71" s="8" t="str">
        <f>IFERROR(Calculations!BR69, "")</f>
        <v/>
      </c>
      <c r="AW71" s="89"/>
      <c r="AX71" s="89"/>
      <c r="AY71" s="89"/>
      <c r="AZ71" s="89"/>
      <c r="BA71" s="8" t="str">
        <f>IFERROR(Calculations!BW69, "")</f>
        <v/>
      </c>
      <c r="BB71" s="8" t="str">
        <f>IFERROR(Calculations!BX69, "")</f>
        <v/>
      </c>
      <c r="BC71" s="8" t="str">
        <f>IFERROR(Calculations!BY69, "")</f>
        <v/>
      </c>
      <c r="BD71" s="8">
        <f>IFERROR(Calculations!BZ69, "")</f>
        <v>0</v>
      </c>
      <c r="BE71" s="8">
        <f>IFERROR(Calculations!CA69, "")</f>
        <v>30.825586534007002</v>
      </c>
      <c r="BF71" s="8" t="str">
        <f>IFERROR(Calculations!CB69, "")</f>
        <v/>
      </c>
      <c r="BG71" s="8" t="str">
        <f>IFERROR(Calculations!CC69, "")</f>
        <v/>
      </c>
      <c r="BH71" s="8" t="str">
        <f>IFERROR(Calculations!CD69, "")</f>
        <v/>
      </c>
      <c r="BI71" s="8" t="str">
        <f>IFERROR(Calculations!CE69, "")</f>
        <v/>
      </c>
      <c r="BJ71" s="8">
        <f>IFERROR(IF(Calculations!CF69 &lt;&gt; 0, Calculations!CF69, ""),"")</f>
        <v>-14.172871858745722</v>
      </c>
      <c r="BK71" s="1">
        <f t="shared" si="3"/>
        <v>450</v>
      </c>
      <c r="BL71" s="1">
        <f t="shared" si="4"/>
        <v>25</v>
      </c>
      <c r="CD71" s="8"/>
      <c r="CE71" s="8"/>
      <c r="CF71" s="8"/>
      <c r="CG71" s="8"/>
      <c r="CH71" s="8"/>
      <c r="CI71" s="8"/>
      <c r="CJ71" s="8"/>
      <c r="CK71" s="8"/>
      <c r="CL71" s="8"/>
      <c r="CM71" s="8"/>
      <c r="CN71" s="8"/>
      <c r="CO71" s="8"/>
      <c r="CP71" s="8"/>
      <c r="CQ71" s="8"/>
      <c r="CR71" s="8"/>
      <c r="CS71" s="8"/>
      <c r="CT71" s="8"/>
      <c r="CU71" s="8"/>
      <c r="CV71" s="8"/>
      <c r="CW71" s="8"/>
      <c r="CX71" s="8"/>
      <c r="CY71" s="8"/>
      <c r="CZ71" s="8"/>
      <c r="DA71" s="8"/>
      <c r="DB71" s="8"/>
      <c r="DC71" s="8"/>
      <c r="DD71" s="8"/>
      <c r="DE71" s="8"/>
      <c r="DF71" s="8"/>
      <c r="DG71" s="8"/>
      <c r="DH71" s="8"/>
      <c r="DI71" s="8"/>
      <c r="DJ71" s="8"/>
      <c r="DK71" s="8"/>
      <c r="DL71" s="8"/>
      <c r="DM71" s="8"/>
      <c r="DN71" s="8"/>
      <c r="DO71" s="8"/>
      <c r="DP71" s="8"/>
      <c r="DQ71" s="8"/>
      <c r="DR71" s="8"/>
      <c r="DS71" s="8"/>
      <c r="DT71" s="8"/>
      <c r="DU71" s="8"/>
      <c r="DV71" s="8"/>
      <c r="DW71" s="8"/>
      <c r="DX71" s="8"/>
      <c r="DY71" s="8"/>
      <c r="DZ71" s="8"/>
      <c r="EA71" s="8"/>
    </row>
    <row r="72" spans="2:131" x14ac:dyDescent="0.2">
      <c r="B72" s="1">
        <f>IFERROR(Calculations!M70/1000, "")</f>
        <v>25</v>
      </c>
      <c r="C72" s="1">
        <f>Calculations!N70</f>
        <v>500</v>
      </c>
      <c r="D72" s="58">
        <f>IFERROR(Calculations!$Q70,"")</f>
        <v>1.2215137957394124</v>
      </c>
      <c r="E72" s="8">
        <f>IFERROR(Calculations!$S70, "")</f>
        <v>32.117054665935285</v>
      </c>
      <c r="F72" s="89"/>
      <c r="G72" s="89"/>
      <c r="H72" s="89"/>
      <c r="I72" s="89"/>
      <c r="J72" s="1" t="str">
        <f>IFERROR(Calculations!AC70, "")</f>
        <v/>
      </c>
      <c r="K72" s="1" t="str">
        <f>IFERROR(Calculations!AD70, "")</f>
        <v/>
      </c>
      <c r="L72" s="8">
        <f>IFERROR(Calculations!AE70,"")</f>
        <v>-58446.748724566045</v>
      </c>
      <c r="M72" s="8">
        <f>IFERROR(Calculations!AF70,"")</f>
        <v>-92836.636884952561</v>
      </c>
      <c r="N72" s="8" t="str">
        <f>IFERROR(Calculations!AG70,"")</f>
        <v/>
      </c>
      <c r="O72" s="8" t="str">
        <f>IFERROR(Calculations!AH70,"")</f>
        <v/>
      </c>
      <c r="P72" s="8" t="str">
        <f>IFERROR(Calculations!AI70,"")</f>
        <v/>
      </c>
      <c r="Q72" s="8" t="str">
        <f>IFERROR(Calculations!AJ70,"")</f>
        <v/>
      </c>
      <c r="R72" s="8" t="str">
        <f>IFERROR(Calculations!AK70,"")</f>
        <v/>
      </c>
      <c r="S72" s="89"/>
      <c r="T72" s="89"/>
      <c r="U72" s="89"/>
      <c r="V72" s="89"/>
      <c r="W72" s="1" t="str">
        <f>IFERROR(Calculations!AP70, "")</f>
        <v/>
      </c>
      <c r="X72" s="1" t="str">
        <f>IFERROR(Calculations!AQ70, "")</f>
        <v/>
      </c>
      <c r="Y72" s="8" t="str">
        <f>IFERROR(Calculations!AR70,"")</f>
        <v/>
      </c>
      <c r="Z72" s="8">
        <f>IFERROR(Calculations!AS70,"")</f>
        <v>0</v>
      </c>
      <c r="AA72" s="8">
        <f>IFERROR(Calculations!AT70,"")</f>
        <v>-135747.75210137101</v>
      </c>
      <c r="AB72" s="8" t="str">
        <f>IFERROR(Calculations!AU70,"")</f>
        <v/>
      </c>
      <c r="AC72" s="8" t="str">
        <f>IFERROR(Calculations!AV70,"")</f>
        <v/>
      </c>
      <c r="AD72" s="8" t="str">
        <f>IFERROR(Calculations!AW70,"")</f>
        <v/>
      </c>
      <c r="AE72" s="8" t="str">
        <f>IFERROR(Calculations!AX70,"")</f>
        <v/>
      </c>
      <c r="AF72" s="8">
        <f>IFERROR(IF(Calculations!AY70 &lt;&gt; 0, Calculations!AY70, ""),"")</f>
        <v>15535.633508147614</v>
      </c>
      <c r="AG72" s="42">
        <f>IFERROR(IF(Calculations!AZ70 &lt;&gt; 0, Calculations!AZ70, ""),"")</f>
        <v>-4.3943746515457915</v>
      </c>
      <c r="AH72" s="1">
        <f t="shared" si="1"/>
        <v>25</v>
      </c>
      <c r="AI72" s="1">
        <f t="shared" si="2"/>
        <v>500</v>
      </c>
      <c r="AJ72" s="89"/>
      <c r="AK72" s="89"/>
      <c r="AL72" s="89"/>
      <c r="AM72" s="89"/>
      <c r="AN72" s="8" t="str">
        <f>IFERROR(Calculations!BJ70, "")</f>
        <v/>
      </c>
      <c r="AO72" s="8" t="str">
        <f>IFERROR(Calculations!BK70, "")</f>
        <v/>
      </c>
      <c r="AP72" s="8">
        <f>IFERROR(Calculations!BL70, "")</f>
        <v>14.748322993024329</v>
      </c>
      <c r="AQ72" s="8">
        <f>IFERROR(Calculations!BM70, "")</f>
        <v>30.527834086331534</v>
      </c>
      <c r="AR72" s="8" t="str">
        <f>IFERROR(Calculations!BN70, "")</f>
        <v/>
      </c>
      <c r="AS72" s="8" t="str">
        <f>IFERROR(Calculations!BO70, "")</f>
        <v/>
      </c>
      <c r="AT72" s="8" t="str">
        <f>IFERROR(Calculations!BP70, "")</f>
        <v/>
      </c>
      <c r="AU72" s="8" t="str">
        <f>IFERROR(Calculations!BQ70, "")</f>
        <v/>
      </c>
      <c r="AV72" s="8" t="str">
        <f>IFERROR(Calculations!BR70, "")</f>
        <v/>
      </c>
      <c r="AW72" s="89"/>
      <c r="AX72" s="89"/>
      <c r="AY72" s="89"/>
      <c r="AZ72" s="89"/>
      <c r="BA72" s="8" t="str">
        <f>IFERROR(Calculations!BW70, "")</f>
        <v/>
      </c>
      <c r="BB72" s="8" t="str">
        <f>IFERROR(Calculations!BX70, "")</f>
        <v/>
      </c>
      <c r="BC72" s="8" t="str">
        <f>IFERROR(Calculations!BY70, "")</f>
        <v/>
      </c>
      <c r="BD72" s="8">
        <f>IFERROR(Calculations!BZ70, "")</f>
        <v>0</v>
      </c>
      <c r="BE72" s="8">
        <f>IFERROR(Calculations!CA70, "")</f>
        <v>30.68430176870778</v>
      </c>
      <c r="BF72" s="8" t="str">
        <f>IFERROR(Calculations!CB70, "")</f>
        <v/>
      </c>
      <c r="BG72" s="8" t="str">
        <f>IFERROR(Calculations!CC70, "")</f>
        <v/>
      </c>
      <c r="BH72" s="8" t="str">
        <f>IFERROR(Calculations!CD70, "")</f>
        <v/>
      </c>
      <c r="BI72" s="8" t="str">
        <f>IFERROR(Calculations!CE70, "")</f>
        <v/>
      </c>
      <c r="BJ72" s="8">
        <f>IFERROR(IF(Calculations!CF70 &lt;&gt; 0, Calculations!CF70, ""),"")</f>
        <v>-14.591855310648082</v>
      </c>
      <c r="BK72" s="1">
        <f t="shared" si="3"/>
        <v>500</v>
      </c>
      <c r="BL72" s="1">
        <f t="shared" si="4"/>
        <v>25</v>
      </c>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row>
    <row r="73" spans="2:131" x14ac:dyDescent="0.2">
      <c r="B73" s="1">
        <f>IFERROR(Calculations!M71/1000, "")</f>
        <v>25</v>
      </c>
      <c r="C73" s="1">
        <f>Calculations!N71</f>
        <v>550</v>
      </c>
      <c r="D73" s="58">
        <f>IFERROR(Calculations!$Q71,"")</f>
        <v>1.2048336516314744</v>
      </c>
      <c r="E73" s="8">
        <f>IFERROR(Calculations!$S71, "")</f>
        <v>29.051358288537426</v>
      </c>
      <c r="F73" s="89"/>
      <c r="G73" s="89"/>
      <c r="H73" s="89"/>
      <c r="I73" s="89"/>
      <c r="J73" s="1" t="str">
        <f>IFERROR(Calculations!AC71, "")</f>
        <v/>
      </c>
      <c r="K73" s="1" t="str">
        <f>IFERROR(Calculations!AD71, "")</f>
        <v/>
      </c>
      <c r="L73" s="8">
        <f>IFERROR(Calculations!AE71,"")</f>
        <v>-59867.739610669167</v>
      </c>
      <c r="M73" s="8">
        <f>IFERROR(Calculations!AF71,"")</f>
        <v>-95093.274824809443</v>
      </c>
      <c r="N73" s="8" t="str">
        <f>IFERROR(Calculations!AG71,"")</f>
        <v/>
      </c>
      <c r="O73" s="8" t="str">
        <f>IFERROR(Calculations!AH71,"")</f>
        <v/>
      </c>
      <c r="P73" s="8" t="str">
        <f>IFERROR(Calculations!AI71,"")</f>
        <v/>
      </c>
      <c r="Q73" s="8" t="str">
        <f>IFERROR(Calculations!AJ71,"")</f>
        <v/>
      </c>
      <c r="R73" s="8" t="str">
        <f>IFERROR(Calculations!AK71,"")</f>
        <v/>
      </c>
      <c r="S73" s="89"/>
      <c r="T73" s="89"/>
      <c r="U73" s="89"/>
      <c r="V73" s="89"/>
      <c r="W73" s="1" t="str">
        <f>IFERROR(Calculations!AP71, "")</f>
        <v/>
      </c>
      <c r="X73" s="1" t="str">
        <f>IFERROR(Calculations!AQ71, "")</f>
        <v/>
      </c>
      <c r="Y73" s="8" t="str">
        <f>IFERROR(Calculations!AR71,"")</f>
        <v/>
      </c>
      <c r="Z73" s="8">
        <f>IFERROR(Calculations!AS71,"")</f>
        <v>0</v>
      </c>
      <c r="AA73" s="8">
        <f>IFERROR(Calculations!AT71,"")</f>
        <v>-137345.01514886427</v>
      </c>
      <c r="AB73" s="8" t="str">
        <f>IFERROR(Calculations!AU71,"")</f>
        <v/>
      </c>
      <c r="AC73" s="8" t="str">
        <f>IFERROR(Calculations!AV71,"")</f>
        <v/>
      </c>
      <c r="AD73" s="8" t="str">
        <f>IFERROR(Calculations!AW71,"")</f>
        <v/>
      </c>
      <c r="AE73" s="8" t="str">
        <f>IFERROR(Calculations!AX71,"")</f>
        <v/>
      </c>
      <c r="AF73" s="8">
        <f>IFERROR(IF(Calculations!AY71 &lt;&gt; 0, Calculations!AY71, ""),"")</f>
        <v>17615.999286614329</v>
      </c>
      <c r="AG73" s="42">
        <f>IFERROR(IF(Calculations!AZ71 &lt;&gt; 0, Calculations!AZ71, ""),"")</f>
        <v>-4.6801543378676635</v>
      </c>
      <c r="AH73" s="1">
        <f t="shared" ref="AH73:AH136" si="6">$B73</f>
        <v>25</v>
      </c>
      <c r="AI73" s="1">
        <f t="shared" ref="AI73:AI136" si="7">$C73</f>
        <v>550</v>
      </c>
      <c r="AJ73" s="89"/>
      <c r="AK73" s="89"/>
      <c r="AL73" s="89"/>
      <c r="AM73" s="89"/>
      <c r="AN73" s="8" t="str">
        <f>IFERROR(Calculations!BJ71, "")</f>
        <v/>
      </c>
      <c r="AO73" s="8" t="str">
        <f>IFERROR(Calculations!BK71, "")</f>
        <v/>
      </c>
      <c r="AP73" s="8">
        <f>IFERROR(Calculations!BL71, "")</f>
        <v>14.952504003855946</v>
      </c>
      <c r="AQ73" s="8">
        <f>IFERROR(Calculations!BM71, "")</f>
        <v>30.611406154965259</v>
      </c>
      <c r="AR73" s="8" t="str">
        <f>IFERROR(Calculations!BN71, "")</f>
        <v/>
      </c>
      <c r="AS73" s="8" t="str">
        <f>IFERROR(Calculations!BO71, "")</f>
        <v/>
      </c>
      <c r="AT73" s="8" t="str">
        <f>IFERROR(Calculations!BP71, "")</f>
        <v/>
      </c>
      <c r="AU73" s="8" t="str">
        <f>IFERROR(Calculations!BQ71, "")</f>
        <v/>
      </c>
      <c r="AV73" s="8" t="str">
        <f>IFERROR(Calculations!BR71, "")</f>
        <v/>
      </c>
      <c r="AW73" s="89"/>
      <c r="AX73" s="89"/>
      <c r="AY73" s="89"/>
      <c r="AZ73" s="89"/>
      <c r="BA73" s="8" t="str">
        <f>IFERROR(Calculations!BW71, "")</f>
        <v/>
      </c>
      <c r="BB73" s="8" t="str">
        <f>IFERROR(Calculations!BX71, "")</f>
        <v/>
      </c>
      <c r="BC73" s="8" t="str">
        <f>IFERROR(Calculations!BY71, "")</f>
        <v/>
      </c>
      <c r="BD73" s="8">
        <f>IFERROR(Calculations!BZ71, "")</f>
        <v>0</v>
      </c>
      <c r="BE73" s="8">
        <f>IFERROR(Calculations!CA71, "")</f>
        <v>30.53523821805231</v>
      </c>
      <c r="BF73" s="8" t="str">
        <f>IFERROR(Calculations!CB71, "")</f>
        <v/>
      </c>
      <c r="BG73" s="8" t="str">
        <f>IFERROR(Calculations!CC71, "")</f>
        <v/>
      </c>
      <c r="BH73" s="8" t="str">
        <f>IFERROR(Calculations!CD71, "")</f>
        <v/>
      </c>
      <c r="BI73" s="8" t="str">
        <f>IFERROR(Calculations!CE71, "")</f>
        <v/>
      </c>
      <c r="BJ73" s="8">
        <f>IFERROR(IF(Calculations!CF71 &lt;&gt; 0, Calculations!CF71, ""),"")</f>
        <v>-15.028671940768891</v>
      </c>
      <c r="BK73" s="1">
        <f t="shared" ref="BK73:BK136" si="8">$C73</f>
        <v>550</v>
      </c>
      <c r="BL73" s="1">
        <f t="shared" ref="BL73:BL136" si="9">$B73</f>
        <v>25</v>
      </c>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row>
    <row r="74" spans="2:131" x14ac:dyDescent="0.2">
      <c r="B74" s="1">
        <f>IFERROR(Calculations!M72/1000, "")</f>
        <v>25</v>
      </c>
      <c r="C74" s="1">
        <f>Calculations!N72</f>
        <v>600</v>
      </c>
      <c r="D74" s="58">
        <f>IFERROR(Calculations!$Q72,"")</f>
        <v>1.1883861137193441</v>
      </c>
      <c r="E74" s="8">
        <f>IFERROR(Calculations!$S72, "")</f>
        <v>26.354526737338201</v>
      </c>
      <c r="F74" s="89"/>
      <c r="G74" s="89"/>
      <c r="H74" s="89"/>
      <c r="I74" s="89"/>
      <c r="J74" s="1" t="str">
        <f>IFERROR(Calculations!AC72, "")</f>
        <v/>
      </c>
      <c r="K74" s="1" t="str">
        <f>IFERROR(Calculations!AD72, "")</f>
        <v/>
      </c>
      <c r="L74" s="8">
        <f>IFERROR(Calculations!AE72,"")</f>
        <v>-61320.371767089404</v>
      </c>
      <c r="M74" s="8">
        <f>IFERROR(Calculations!AF72,"")</f>
        <v>-97395.230147111768</v>
      </c>
      <c r="N74" s="8" t="str">
        <f>IFERROR(Calculations!AG72,"")</f>
        <v/>
      </c>
      <c r="O74" s="8" t="str">
        <f>IFERROR(Calculations!AH72,"")</f>
        <v/>
      </c>
      <c r="P74" s="8" t="str">
        <f>IFERROR(Calculations!AI72,"")</f>
        <v/>
      </c>
      <c r="Q74" s="8" t="str">
        <f>IFERROR(Calculations!AJ72,"")</f>
        <v/>
      </c>
      <c r="R74" s="8" t="str">
        <f>IFERROR(Calculations!AK72,"")</f>
        <v/>
      </c>
      <c r="S74" s="89"/>
      <c r="T74" s="89"/>
      <c r="U74" s="89"/>
      <c r="V74" s="89"/>
      <c r="W74" s="1" t="str">
        <f>IFERROR(Calculations!AP72, "")</f>
        <v/>
      </c>
      <c r="X74" s="1" t="str">
        <f>IFERROR(Calculations!AQ72, "")</f>
        <v/>
      </c>
      <c r="Y74" s="8" t="str">
        <f>IFERROR(Calculations!AR72,"")</f>
        <v/>
      </c>
      <c r="Z74" s="8">
        <f>IFERROR(Calculations!AS72,"")</f>
        <v>0</v>
      </c>
      <c r="AA74" s="8">
        <f>IFERROR(Calculations!AT72,"")</f>
        <v>-138946.47884977679</v>
      </c>
      <c r="AB74" s="8" t="str">
        <f>IFERROR(Calculations!AU72,"")</f>
        <v/>
      </c>
      <c r="AC74" s="8" t="str">
        <f>IFERROR(Calculations!AV72,"")</f>
        <v/>
      </c>
      <c r="AD74" s="8" t="str">
        <f>IFERROR(Calculations!AW72,"")</f>
        <v/>
      </c>
      <c r="AE74" s="8" t="str">
        <f>IFERROR(Calculations!AX72,"")</f>
        <v/>
      </c>
      <c r="AF74" s="8">
        <f>IFERROR(IF(Calculations!AY72 &lt;&gt; 0, Calculations!AY72, ""),"")</f>
        <v>19769.123064424377</v>
      </c>
      <c r="AG74" s="42">
        <f>IFERROR(IF(Calculations!AZ72 &lt;&gt; 0, Calculations!AZ72, ""),"")</f>
        <v>-4.9514274517651353</v>
      </c>
      <c r="AH74" s="1">
        <f t="shared" si="6"/>
        <v>25</v>
      </c>
      <c r="AI74" s="1">
        <f t="shared" si="7"/>
        <v>600</v>
      </c>
      <c r="AJ74" s="89"/>
      <c r="AK74" s="89"/>
      <c r="AL74" s="89"/>
      <c r="AM74" s="89"/>
      <c r="AN74" s="8" t="str">
        <f>IFERROR(Calculations!BJ72, "")</f>
        <v/>
      </c>
      <c r="AO74" s="8" t="str">
        <f>IFERROR(Calculations!BK72, "")</f>
        <v/>
      </c>
      <c r="AP74" s="8">
        <f>IFERROR(Calculations!BL72, "")</f>
        <v>15.159450108026581</v>
      </c>
      <c r="AQ74" s="8">
        <f>IFERROR(Calculations!BM72, "")</f>
        <v>30.701259466389914</v>
      </c>
      <c r="AR74" s="8" t="str">
        <f>IFERROR(Calculations!BN72, "")</f>
        <v/>
      </c>
      <c r="AS74" s="8" t="str">
        <f>IFERROR(Calculations!BO72, "")</f>
        <v/>
      </c>
      <c r="AT74" s="8" t="str">
        <f>IFERROR(Calculations!BP72, "")</f>
        <v/>
      </c>
      <c r="AU74" s="8" t="str">
        <f>IFERROR(Calculations!BQ72, "")</f>
        <v/>
      </c>
      <c r="AV74" s="8" t="str">
        <f>IFERROR(Calculations!BR72, "")</f>
        <v/>
      </c>
      <c r="AW74" s="89"/>
      <c r="AX74" s="89"/>
      <c r="AY74" s="89"/>
      <c r="AZ74" s="89"/>
      <c r="BA74" s="8" t="str">
        <f>IFERROR(Calculations!BW72, "")</f>
        <v/>
      </c>
      <c r="BB74" s="8" t="str">
        <f>IFERROR(Calculations!BX72, "")</f>
        <v/>
      </c>
      <c r="BC74" s="8" t="str">
        <f>IFERROR(Calculations!BY72, "")</f>
        <v/>
      </c>
      <c r="BD74" s="8">
        <f>IFERROR(Calculations!BZ72, "")</f>
        <v>0</v>
      </c>
      <c r="BE74" s="8">
        <f>IFERROR(Calculations!CA72, "")</f>
        <v>30.378664792193142</v>
      </c>
      <c r="BF74" s="8" t="str">
        <f>IFERROR(Calculations!CB72, "")</f>
        <v/>
      </c>
      <c r="BG74" s="8" t="str">
        <f>IFERROR(Calculations!CC72, "")</f>
        <v/>
      </c>
      <c r="BH74" s="8" t="str">
        <f>IFERROR(Calculations!CD72, "")</f>
        <v/>
      </c>
      <c r="BI74" s="8" t="str">
        <f>IFERROR(Calculations!CE72, "")</f>
        <v/>
      </c>
      <c r="BJ74" s="8">
        <f>IFERROR(IF(Calculations!CF72 &lt;&gt; 0, Calculations!CF72, ""),"")</f>
        <v>-15.482044782223355</v>
      </c>
      <c r="BK74" s="1">
        <f t="shared" si="8"/>
        <v>600</v>
      </c>
      <c r="BL74" s="1">
        <f t="shared" si="9"/>
        <v>25</v>
      </c>
      <c r="CD74" s="8"/>
      <c r="CE74" s="8"/>
      <c r="CF74" s="8"/>
      <c r="CG74" s="8"/>
      <c r="CH74" s="8"/>
      <c r="CI74" s="8"/>
      <c r="CJ74" s="8"/>
      <c r="CK74" s="8"/>
      <c r="CL74" s="8"/>
      <c r="CM74" s="8"/>
      <c r="CN74" s="8"/>
      <c r="CO74" s="8"/>
      <c r="CP74" s="8"/>
      <c r="CQ74" s="8"/>
      <c r="CR74" s="8"/>
      <c r="CS74" s="8"/>
      <c r="CT74" s="8"/>
      <c r="CU74" s="8"/>
      <c r="CV74" s="8"/>
      <c r="CW74" s="8"/>
      <c r="CX74" s="8"/>
      <c r="CY74" s="8"/>
      <c r="CZ74" s="8"/>
      <c r="DA74" s="8"/>
      <c r="DB74" s="8"/>
      <c r="DC74" s="8"/>
      <c r="DD74" s="8"/>
      <c r="DE74" s="8"/>
      <c r="DF74" s="8"/>
      <c r="DG74" s="8"/>
      <c r="DH74" s="8"/>
      <c r="DI74" s="8"/>
      <c r="DJ74" s="8"/>
      <c r="DK74" s="8"/>
      <c r="DL74" s="8"/>
      <c r="DM74" s="8"/>
      <c r="DN74" s="8"/>
      <c r="DO74" s="8"/>
      <c r="DP74" s="8"/>
      <c r="DQ74" s="8"/>
      <c r="DR74" s="8"/>
      <c r="DS74" s="8"/>
      <c r="DT74" s="8"/>
      <c r="DU74" s="8"/>
      <c r="DV74" s="8"/>
      <c r="DW74" s="8"/>
      <c r="DX74" s="8"/>
      <c r="DY74" s="8"/>
      <c r="DZ74" s="8"/>
      <c r="EA74" s="8"/>
    </row>
    <row r="75" spans="2:131" x14ac:dyDescent="0.2">
      <c r="B75" s="1">
        <f>IFERROR(Calculations!M73/1000, "")</f>
        <v>25</v>
      </c>
      <c r="C75" s="1">
        <f>Calculations!N73</f>
        <v>650</v>
      </c>
      <c r="D75" s="58">
        <f>IFERROR(Calculations!$Q73,"")</f>
        <v>1.1722017292612792</v>
      </c>
      <c r="E75" s="8">
        <f>IFERROR(Calculations!$S73, "")</f>
        <v>23.97340610499057</v>
      </c>
      <c r="F75" s="89"/>
      <c r="G75" s="89"/>
      <c r="H75" s="89"/>
      <c r="I75" s="89"/>
      <c r="J75" s="1" t="str">
        <f>IFERROR(Calculations!AC73, "")</f>
        <v/>
      </c>
      <c r="K75" s="1" t="str">
        <f>IFERROR(Calculations!AD73, "")</f>
        <v/>
      </c>
      <c r="L75" s="8">
        <f>IFERROR(Calculations!AE73,"")</f>
        <v>-62806.709907300072</v>
      </c>
      <c r="M75" s="8">
        <f>IFERROR(Calculations!AF73,"")</f>
        <v>-99741.779072071557</v>
      </c>
      <c r="N75" s="8" t="str">
        <f>IFERROR(Calculations!AG73,"")</f>
        <v/>
      </c>
      <c r="O75" s="8" t="str">
        <f>IFERROR(Calculations!AH73,"")</f>
        <v/>
      </c>
      <c r="P75" s="8" t="str">
        <f>IFERROR(Calculations!AI73,"")</f>
        <v/>
      </c>
      <c r="Q75" s="8" t="str">
        <f>IFERROR(Calculations!AJ73,"")</f>
        <v/>
      </c>
      <c r="R75" s="8" t="str">
        <f>IFERROR(Calculations!AK73,"")</f>
        <v/>
      </c>
      <c r="S75" s="89"/>
      <c r="T75" s="89"/>
      <c r="U75" s="89"/>
      <c r="V75" s="89"/>
      <c r="W75" s="1" t="str">
        <f>IFERROR(Calculations!AP73, "")</f>
        <v/>
      </c>
      <c r="X75" s="1" t="str">
        <f>IFERROR(Calculations!AQ73, "")</f>
        <v/>
      </c>
      <c r="Y75" s="8" t="str">
        <f>IFERROR(Calculations!AR73,"")</f>
        <v/>
      </c>
      <c r="Z75" s="8">
        <f>IFERROR(Calculations!AS73,"")</f>
        <v>0</v>
      </c>
      <c r="AA75" s="8">
        <f>IFERROR(Calculations!AT73,"")</f>
        <v>-140548.78547814186</v>
      </c>
      <c r="AB75" s="8" t="str">
        <f>IFERROR(Calculations!AU73,"")</f>
        <v/>
      </c>
      <c r="AC75" s="8" t="str">
        <f>IFERROR(Calculations!AV73,"")</f>
        <v/>
      </c>
      <c r="AD75" s="8" t="str">
        <f>IFERROR(Calculations!AW73,"")</f>
        <v/>
      </c>
      <c r="AE75" s="8" t="str">
        <f>IFERROR(Calculations!AX73,"")</f>
        <v/>
      </c>
      <c r="AF75" s="8">
        <f>IFERROR(IF(Calculations!AY73 &lt;&gt; 0, Calculations!AY73, ""),"")</f>
        <v>21999.703501229757</v>
      </c>
      <c r="AG75" s="42">
        <f>IFERROR(IF(Calculations!AZ73 &lt;&gt; 0, Calculations!AZ73, ""),"")</f>
        <v>-5.2116642231253563</v>
      </c>
      <c r="AH75" s="1">
        <f t="shared" si="6"/>
        <v>25</v>
      </c>
      <c r="AI75" s="1">
        <f t="shared" si="7"/>
        <v>650</v>
      </c>
      <c r="AJ75" s="89"/>
      <c r="AK75" s="89"/>
      <c r="AL75" s="89"/>
      <c r="AM75" s="89"/>
      <c r="AN75" s="8" t="str">
        <f>IFERROR(Calculations!BJ73, "")</f>
        <v/>
      </c>
      <c r="AO75" s="8" t="str">
        <f>IFERROR(Calculations!BK73, "")</f>
        <v/>
      </c>
      <c r="AP75" s="8">
        <f>IFERROR(Calculations!BL73, "")</f>
        <v>15.368753986869836</v>
      </c>
      <c r="AQ75" s="8">
        <f>IFERROR(Calculations!BM73, "")</f>
        <v>30.796865672249869</v>
      </c>
      <c r="AR75" s="8" t="str">
        <f>IFERROR(Calculations!BN73, "")</f>
        <v/>
      </c>
      <c r="AS75" s="8" t="str">
        <f>IFERROR(Calculations!BO73, "")</f>
        <v/>
      </c>
      <c r="AT75" s="8" t="str">
        <f>IFERROR(Calculations!BP73, "")</f>
        <v/>
      </c>
      <c r="AU75" s="8" t="str">
        <f>IFERROR(Calculations!BQ73, "")</f>
        <v/>
      </c>
      <c r="AV75" s="8" t="str">
        <f>IFERROR(Calculations!BR73, "")</f>
        <v/>
      </c>
      <c r="AW75" s="89"/>
      <c r="AX75" s="89"/>
      <c r="AY75" s="89"/>
      <c r="AZ75" s="89"/>
      <c r="BA75" s="8" t="str">
        <f>IFERROR(Calculations!BW73, "")</f>
        <v/>
      </c>
      <c r="BB75" s="8" t="str">
        <f>IFERROR(Calculations!BX73, "")</f>
        <v/>
      </c>
      <c r="BC75" s="8" t="str">
        <f>IFERROR(Calculations!BY73, "")</f>
        <v/>
      </c>
      <c r="BD75" s="8">
        <f>IFERROR(Calculations!BZ73, "")</f>
        <v>0</v>
      </c>
      <c r="BE75" s="8">
        <f>IFERROR(Calculations!CA73, "")</f>
        <v>30.214885667229911</v>
      </c>
      <c r="BF75" s="8" t="str">
        <f>IFERROR(Calculations!CB73, "")</f>
        <v/>
      </c>
      <c r="BG75" s="8" t="str">
        <f>IFERROR(Calculations!CC73, "")</f>
        <v/>
      </c>
      <c r="BH75" s="8" t="str">
        <f>IFERROR(Calculations!CD73, "")</f>
        <v/>
      </c>
      <c r="BI75" s="8" t="str">
        <f>IFERROR(Calculations!CE73, "")</f>
        <v/>
      </c>
      <c r="BJ75" s="8">
        <f>IFERROR(IF(Calculations!CF73 &lt;&gt; 0, Calculations!CF73, ""),"")</f>
        <v>-15.950733991889795</v>
      </c>
      <c r="BK75" s="1">
        <f t="shared" si="8"/>
        <v>650</v>
      </c>
      <c r="BL75" s="1">
        <f t="shared" si="9"/>
        <v>25</v>
      </c>
      <c r="CD75" s="8"/>
      <c r="CE75" s="8"/>
      <c r="CF75" s="8"/>
      <c r="CG75" s="8"/>
      <c r="CH75" s="8"/>
      <c r="CI75" s="8"/>
      <c r="CJ75" s="8"/>
      <c r="CK75" s="8"/>
      <c r="CL75" s="8"/>
      <c r="CM75" s="8"/>
      <c r="CN75" s="8"/>
      <c r="CO75" s="8"/>
      <c r="CP75" s="8"/>
      <c r="CQ75" s="8"/>
      <c r="CR75" s="8"/>
      <c r="CS75" s="8"/>
      <c r="CT75" s="8"/>
      <c r="CU75" s="8"/>
      <c r="CV75" s="8"/>
      <c r="CW75" s="8"/>
      <c r="CX75" s="8"/>
      <c r="CY75" s="8"/>
      <c r="CZ75" s="8"/>
      <c r="DA75" s="8"/>
      <c r="DB75" s="8"/>
      <c r="DC75" s="8"/>
      <c r="DD75" s="8"/>
      <c r="DE75" s="8"/>
      <c r="DF75" s="8"/>
      <c r="DG75" s="8"/>
      <c r="DH75" s="8"/>
      <c r="DI75" s="8"/>
      <c r="DJ75" s="8"/>
      <c r="DK75" s="8"/>
      <c r="DL75" s="8"/>
      <c r="DM75" s="8"/>
      <c r="DN75" s="8"/>
      <c r="DO75" s="8"/>
      <c r="DP75" s="8"/>
      <c r="DQ75" s="8"/>
      <c r="DR75" s="8"/>
      <c r="DS75" s="8"/>
      <c r="DT75" s="8"/>
      <c r="DU75" s="8"/>
      <c r="DV75" s="8"/>
      <c r="DW75" s="8"/>
      <c r="DX75" s="8"/>
      <c r="DY75" s="8"/>
      <c r="DZ75" s="8"/>
      <c r="EA75" s="8"/>
    </row>
    <row r="76" spans="2:131" x14ac:dyDescent="0.2">
      <c r="B76" s="1">
        <f>IFERROR(Calculations!M74/1000, "")</f>
        <v>25</v>
      </c>
      <c r="C76" s="1">
        <f>Calculations!N74</f>
        <v>700</v>
      </c>
      <c r="D76" s="58">
        <f>IFERROR(Calculations!$Q74,"")</f>
        <v>1.1563074692511557</v>
      </c>
      <c r="E76" s="8">
        <f>IFERROR(Calculations!$S74, "")</f>
        <v>21.864278792917894</v>
      </c>
      <c r="F76" s="89"/>
      <c r="G76" s="89"/>
      <c r="H76" s="89"/>
      <c r="I76" s="89"/>
      <c r="J76" s="1" t="str">
        <f>IFERROR(Calculations!AC74, "")</f>
        <v/>
      </c>
      <c r="K76" s="1" t="str">
        <f>IFERROR(Calculations!AD74, "")</f>
        <v/>
      </c>
      <c r="L76" s="8">
        <f>IFERROR(Calculations!AE74,"")</f>
        <v>-64355.731264028102</v>
      </c>
      <c r="M76" s="8">
        <f>IFERROR(Calculations!AF74,"")</f>
        <v>-102132.27356733153</v>
      </c>
      <c r="N76" s="8" t="str">
        <f>IFERROR(Calculations!AG74,"")</f>
        <v/>
      </c>
      <c r="O76" s="8" t="str">
        <f>IFERROR(Calculations!AH74,"")</f>
        <v/>
      </c>
      <c r="P76" s="8" t="str">
        <f>IFERROR(Calculations!AI74,"")</f>
        <v/>
      </c>
      <c r="Q76" s="8" t="str">
        <f>IFERROR(Calculations!AJ74,"")</f>
        <v/>
      </c>
      <c r="R76" s="8" t="str">
        <f>IFERROR(Calculations!AK74,"")</f>
        <v/>
      </c>
      <c r="S76" s="89"/>
      <c r="T76" s="89"/>
      <c r="U76" s="89"/>
      <c r="V76" s="89"/>
      <c r="W76" s="1" t="str">
        <f>IFERROR(Calculations!AP74, "")</f>
        <v/>
      </c>
      <c r="X76" s="1" t="str">
        <f>IFERROR(Calculations!AQ74, "")</f>
        <v/>
      </c>
      <c r="Y76" s="8" t="str">
        <f>IFERROR(Calculations!AR74,"")</f>
        <v/>
      </c>
      <c r="Z76" s="8">
        <f>IFERROR(Calculations!AS74,"")</f>
        <v>0</v>
      </c>
      <c r="AA76" s="8">
        <f>IFERROR(Calculations!AT74,"")</f>
        <v>-142148.97595047278</v>
      </c>
      <c r="AB76" s="8" t="str">
        <f>IFERROR(Calculations!AU74,"")</f>
        <v/>
      </c>
      <c r="AC76" s="8" t="str">
        <f>IFERROR(Calculations!AV74,"")</f>
        <v/>
      </c>
      <c r="AD76" s="8" t="str">
        <f>IFERROR(Calculations!AW74,"")</f>
        <v/>
      </c>
      <c r="AE76" s="8" t="str">
        <f>IFERROR(Calculations!AX74,"")</f>
        <v/>
      </c>
      <c r="AF76" s="8">
        <f>IFERROR(IF(Calculations!AY74 &lt;&gt; 0, Calculations!AY74, ""),"")</f>
        <v>24339.02888088685</v>
      </c>
      <c r="AG76" s="42">
        <f>IFERROR(IF(Calculations!AZ74 &lt;&gt; 0, Calculations!AZ74, ""),"")</f>
        <v>-5.469597049460833</v>
      </c>
      <c r="AH76" s="1">
        <f t="shared" si="6"/>
        <v>25</v>
      </c>
      <c r="AI76" s="1">
        <f t="shared" si="7"/>
        <v>700</v>
      </c>
      <c r="AJ76" s="89"/>
      <c r="AK76" s="89"/>
      <c r="AL76" s="89"/>
      <c r="AM76" s="89"/>
      <c r="AN76" s="8" t="str">
        <f>IFERROR(Calculations!BJ74, "")</f>
        <v/>
      </c>
      <c r="AO76" s="8" t="str">
        <f>IFERROR(Calculations!BK74, "")</f>
        <v/>
      </c>
      <c r="AP76" s="8">
        <f>IFERROR(Calculations!BL74, "")</f>
        <v>15.580008327427826</v>
      </c>
      <c r="AQ76" s="8">
        <f>IFERROR(Calculations!BM74, "")</f>
        <v>30.897751824176474</v>
      </c>
      <c r="AR76" s="8" t="str">
        <f>IFERROR(Calculations!BN74, "")</f>
        <v/>
      </c>
      <c r="AS76" s="8" t="str">
        <f>IFERROR(Calculations!BO74, "")</f>
        <v/>
      </c>
      <c r="AT76" s="8" t="str">
        <f>IFERROR(Calculations!BP74, "")</f>
        <v/>
      </c>
      <c r="AU76" s="8" t="str">
        <f>IFERROR(Calculations!BQ74, "")</f>
        <v/>
      </c>
      <c r="AV76" s="8" t="str">
        <f>IFERROR(Calculations!BR74, "")</f>
        <v/>
      </c>
      <c r="AW76" s="89"/>
      <c r="AX76" s="89"/>
      <c r="AY76" s="89"/>
      <c r="AZ76" s="89"/>
      <c r="BA76" s="8" t="str">
        <f>IFERROR(Calculations!BW74, "")</f>
        <v/>
      </c>
      <c r="BB76" s="8" t="str">
        <f>IFERROR(Calculations!BX74, "")</f>
        <v/>
      </c>
      <c r="BC76" s="8" t="str">
        <f>IFERROR(Calculations!BY74, "")</f>
        <v/>
      </c>
      <c r="BD76" s="8">
        <f>IFERROR(Calculations!BZ74, "")</f>
        <v>0</v>
      </c>
      <c r="BE76" s="8">
        <f>IFERROR(Calculations!CA74, "")</f>
        <v>30.044260909916233</v>
      </c>
      <c r="BF76" s="8" t="str">
        <f>IFERROR(Calculations!CB74, "")</f>
        <v/>
      </c>
      <c r="BG76" s="8" t="str">
        <f>IFERROR(Calculations!CC74, "")</f>
        <v/>
      </c>
      <c r="BH76" s="8" t="str">
        <f>IFERROR(Calculations!CD74, "")</f>
        <v/>
      </c>
      <c r="BI76" s="8" t="str">
        <f>IFERROR(Calculations!CE74, "")</f>
        <v/>
      </c>
      <c r="BJ76" s="8">
        <f>IFERROR(IF(Calculations!CF74 &lt;&gt; 0, Calculations!CF74, ""),"")</f>
        <v>-16.433499241688068</v>
      </c>
      <c r="BK76" s="1">
        <f t="shared" si="8"/>
        <v>700</v>
      </c>
      <c r="BL76" s="1">
        <f t="shared" si="9"/>
        <v>25</v>
      </c>
      <c r="CD76" s="8"/>
      <c r="CE76" s="8"/>
      <c r="CF76" s="8"/>
      <c r="CG76" s="8"/>
      <c r="CH76" s="8"/>
      <c r="CI76" s="8"/>
      <c r="CJ76" s="8"/>
      <c r="CK76" s="8"/>
      <c r="CL76" s="8"/>
      <c r="CM76" s="8"/>
      <c r="CN76" s="8"/>
      <c r="CO76" s="8"/>
      <c r="CP76" s="8"/>
      <c r="CQ76" s="8"/>
      <c r="CR76" s="8"/>
      <c r="CS76" s="8"/>
      <c r="CT76" s="8"/>
      <c r="CU76" s="8"/>
      <c r="CV76" s="8"/>
      <c r="CW76" s="8"/>
      <c r="CX76" s="8"/>
      <c r="CY76" s="8"/>
      <c r="CZ76" s="8"/>
      <c r="DA76" s="8"/>
      <c r="DB76" s="8"/>
      <c r="DC76" s="8"/>
      <c r="DD76" s="8"/>
      <c r="DE76" s="8"/>
      <c r="DF76" s="8"/>
      <c r="DG76" s="8"/>
      <c r="DH76" s="8"/>
      <c r="DI76" s="8"/>
      <c r="DJ76" s="8"/>
      <c r="DK76" s="8"/>
      <c r="DL76" s="8"/>
      <c r="DM76" s="8"/>
      <c r="DN76" s="8"/>
      <c r="DO76" s="8"/>
      <c r="DP76" s="8"/>
      <c r="DQ76" s="8"/>
      <c r="DR76" s="8"/>
      <c r="DS76" s="8"/>
      <c r="DT76" s="8"/>
      <c r="DU76" s="8"/>
      <c r="DV76" s="8"/>
      <c r="DW76" s="8"/>
      <c r="DX76" s="8"/>
      <c r="DY76" s="8"/>
      <c r="DZ76" s="8"/>
      <c r="EA76" s="8"/>
    </row>
    <row r="77" spans="2:131" x14ac:dyDescent="0.2">
      <c r="B77" s="1">
        <f>IFERROR(Calculations!M75/1000, "")</f>
        <v>25</v>
      </c>
      <c r="C77" s="1">
        <f>Calculations!N75</f>
        <v>750</v>
      </c>
      <c r="D77" s="58">
        <f>IFERROR(Calculations!$Q75,"")</f>
        <v>1.1407256853413581</v>
      </c>
      <c r="E77" s="8">
        <f>IFERROR(Calculations!$S75, "")</f>
        <v>19.990711089408528</v>
      </c>
      <c r="F77" s="89"/>
      <c r="G77" s="89"/>
      <c r="H77" s="89"/>
      <c r="I77" s="89"/>
      <c r="J77" s="1" t="str">
        <f>IFERROR(Calculations!AC75, "")</f>
        <v/>
      </c>
      <c r="K77" s="1" t="str">
        <f>IFERROR(Calculations!AD75, "")</f>
        <v/>
      </c>
      <c r="L77" s="8">
        <f>IFERROR(Calculations!AE75,"")</f>
        <v>-65926.118731269424</v>
      </c>
      <c r="M77" s="8">
        <f>IFERROR(Calculations!AF75,"")</f>
        <v>-104566.11975328068</v>
      </c>
      <c r="N77" s="8" t="str">
        <f>IFERROR(Calculations!AG75,"")</f>
        <v/>
      </c>
      <c r="O77" s="8" t="str">
        <f>IFERROR(Calculations!AH75,"")</f>
        <v/>
      </c>
      <c r="P77" s="8" t="str">
        <f>IFERROR(Calculations!AI75,"")</f>
        <v/>
      </c>
      <c r="Q77" s="8" t="str">
        <f>IFERROR(Calculations!AJ75,"")</f>
        <v/>
      </c>
      <c r="R77" s="8" t="str">
        <f>IFERROR(Calculations!AK75,"")</f>
        <v/>
      </c>
      <c r="S77" s="89"/>
      <c r="T77" s="89"/>
      <c r="U77" s="89"/>
      <c r="V77" s="89"/>
      <c r="W77" s="1" t="str">
        <f>IFERROR(Calculations!AP75, "")</f>
        <v/>
      </c>
      <c r="X77" s="1" t="str">
        <f>IFERROR(Calculations!AQ75, "")</f>
        <v/>
      </c>
      <c r="Y77" s="8" t="str">
        <f>IFERROR(Calculations!AR75,"")</f>
        <v/>
      </c>
      <c r="Z77" s="8">
        <f>IFERROR(Calculations!AS75,"")</f>
        <v>0</v>
      </c>
      <c r="AA77" s="8">
        <f>IFERROR(Calculations!AT75,"")</f>
        <v>-143744.43581478036</v>
      </c>
      <c r="AB77" s="8" t="str">
        <f>IFERROR(Calculations!AU75,"")</f>
        <v/>
      </c>
      <c r="AC77" s="8" t="str">
        <f>IFERROR(Calculations!AV75,"")</f>
        <v/>
      </c>
      <c r="AD77" s="8" t="str">
        <f>IFERROR(Calculations!AW75,"")</f>
        <v/>
      </c>
      <c r="AE77" s="8" t="str">
        <f>IFERROR(Calculations!AX75,"")</f>
        <v/>
      </c>
      <c r="AF77" s="8">
        <f>IFERROR(IF(Calculations!AY75 &lt;&gt; 0, Calculations!AY75, ""),"")</f>
        <v>26747.802669769735</v>
      </c>
      <c r="AG77" s="42">
        <f>IFERROR(IF(Calculations!AZ75 &lt;&gt; 0, Calculations!AZ75, ""),"")</f>
        <v>-5.7171643312611273</v>
      </c>
      <c r="AH77" s="1">
        <f t="shared" si="6"/>
        <v>25</v>
      </c>
      <c r="AI77" s="1">
        <f t="shared" si="7"/>
        <v>750</v>
      </c>
      <c r="AJ77" s="89"/>
      <c r="AK77" s="89"/>
      <c r="AL77" s="89"/>
      <c r="AM77" s="89"/>
      <c r="AN77" s="8" t="str">
        <f>IFERROR(Calculations!BJ75, "")</f>
        <v/>
      </c>
      <c r="AO77" s="8" t="str">
        <f>IFERROR(Calculations!BK75, "")</f>
        <v/>
      </c>
      <c r="AP77" s="8">
        <f>IFERROR(Calculations!BL75, "")</f>
        <v>15.79282401676525</v>
      </c>
      <c r="AQ77" s="8">
        <f>IFERROR(Calculations!BM75, "")</f>
        <v>31.003460601588024</v>
      </c>
      <c r="AR77" s="8" t="str">
        <f>IFERROR(Calculations!BN75, "")</f>
        <v/>
      </c>
      <c r="AS77" s="8" t="str">
        <f>IFERROR(Calculations!BO75, "")</f>
        <v/>
      </c>
      <c r="AT77" s="8" t="str">
        <f>IFERROR(Calculations!BP75, "")</f>
        <v/>
      </c>
      <c r="AU77" s="8" t="str">
        <f>IFERROR(Calculations!BQ75, "")</f>
        <v/>
      </c>
      <c r="AV77" s="8" t="str">
        <f>IFERROR(Calculations!BR75, "")</f>
        <v/>
      </c>
      <c r="AW77" s="89"/>
      <c r="AX77" s="89"/>
      <c r="AY77" s="89"/>
      <c r="AZ77" s="89"/>
      <c r="BA77" s="8" t="str">
        <f>IFERROR(Calculations!BW75, "")</f>
        <v/>
      </c>
      <c r="BB77" s="8" t="str">
        <f>IFERROR(Calculations!BX75, "")</f>
        <v/>
      </c>
      <c r="BC77" s="8" t="str">
        <f>IFERROR(Calculations!BY75, "")</f>
        <v/>
      </c>
      <c r="BD77" s="8">
        <f>IFERROR(Calculations!BZ75, "")</f>
        <v>0</v>
      </c>
      <c r="BE77" s="8">
        <f>IFERROR(Calculations!CA75, "")</f>
        <v>29.867224484653249</v>
      </c>
      <c r="BF77" s="8" t="str">
        <f>IFERROR(Calculations!CB75, "")</f>
        <v/>
      </c>
      <c r="BG77" s="8" t="str">
        <f>IFERROR(Calculations!CC75, "")</f>
        <v/>
      </c>
      <c r="BH77" s="8" t="str">
        <f>IFERROR(Calculations!CD75, "")</f>
        <v/>
      </c>
      <c r="BI77" s="8" t="str">
        <f>IFERROR(Calculations!CE75, "")</f>
        <v/>
      </c>
      <c r="BJ77" s="8">
        <f>IFERROR(IF(Calculations!CF75 &lt;&gt; 0, Calculations!CF75, ""),"")</f>
        <v>-16.929060133700027</v>
      </c>
      <c r="BK77" s="1">
        <f t="shared" si="8"/>
        <v>750</v>
      </c>
      <c r="BL77" s="1">
        <f t="shared" si="9"/>
        <v>25</v>
      </c>
      <c r="CD77" s="8"/>
      <c r="CE77" s="8"/>
      <c r="CF77" s="8"/>
      <c r="CG77" s="8"/>
      <c r="CH77" s="8"/>
      <c r="CI77" s="8"/>
      <c r="CJ77" s="8"/>
      <c r="CK77" s="8"/>
      <c r="CL77" s="8"/>
      <c r="CM77" s="8"/>
      <c r="CN77" s="8"/>
      <c r="CO77" s="8"/>
      <c r="CP77" s="8"/>
      <c r="CQ77" s="8"/>
      <c r="CR77" s="8"/>
      <c r="CS77" s="8"/>
      <c r="CT77" s="8"/>
      <c r="CU77" s="8"/>
      <c r="CV77" s="8"/>
      <c r="CW77" s="8"/>
      <c r="CX77" s="8"/>
      <c r="CY77" s="8"/>
      <c r="CZ77" s="8"/>
      <c r="DA77" s="8"/>
      <c r="DB77" s="8"/>
      <c r="DC77" s="8"/>
      <c r="DD77" s="8"/>
      <c r="DE77" s="8"/>
      <c r="DF77" s="8"/>
      <c r="DG77" s="8"/>
      <c r="DH77" s="8"/>
      <c r="DI77" s="8"/>
      <c r="DJ77" s="8"/>
      <c r="DK77" s="8"/>
      <c r="DL77" s="8"/>
      <c r="DM77" s="8"/>
      <c r="DN77" s="8"/>
      <c r="DO77" s="8"/>
      <c r="DP77" s="8"/>
      <c r="DQ77" s="8"/>
      <c r="DR77" s="8"/>
      <c r="DS77" s="8"/>
      <c r="DT77" s="8"/>
      <c r="DU77" s="8"/>
      <c r="DV77" s="8"/>
      <c r="DW77" s="8"/>
      <c r="DX77" s="8"/>
      <c r="DY77" s="8"/>
      <c r="DZ77" s="8"/>
      <c r="EA77" s="8"/>
    </row>
    <row r="78" spans="2:131" x14ac:dyDescent="0.2">
      <c r="B78" s="1">
        <f>IFERROR(Calculations!M76/1000, "")</f>
        <v>25</v>
      </c>
      <c r="C78" s="1">
        <f>Calculations!N76</f>
        <v>800</v>
      </c>
      <c r="D78" s="58">
        <f>IFERROR(Calculations!$Q76,"")</f>
        <v>1.1254735137987135</v>
      </c>
      <c r="E78" s="8">
        <f>IFERROR(Calculations!$S76, "")</f>
        <v>18.322021281430683</v>
      </c>
      <c r="F78" s="89"/>
      <c r="G78" s="89"/>
      <c r="H78" s="89"/>
      <c r="I78" s="89"/>
      <c r="J78" s="1" t="str">
        <f>IFERROR(Calculations!AC76, "")</f>
        <v/>
      </c>
      <c r="K78" s="1" t="str">
        <f>IFERROR(Calculations!AD76, "")</f>
        <v/>
      </c>
      <c r="L78" s="8">
        <f>IFERROR(Calculations!AE76,"")</f>
        <v>-67554.275748090353</v>
      </c>
      <c r="M78" s="8">
        <f>IFERROR(Calculations!AF76,"")</f>
        <v>-107042.76103490214</v>
      </c>
      <c r="N78" s="8" t="str">
        <f>IFERROR(Calculations!AG76,"")</f>
        <v/>
      </c>
      <c r="O78" s="8" t="str">
        <f>IFERROR(Calculations!AH76,"")</f>
        <v/>
      </c>
      <c r="P78" s="8" t="str">
        <f>IFERROR(Calculations!AI76,"")</f>
        <v/>
      </c>
      <c r="Q78" s="8" t="str">
        <f>IFERROR(Calculations!AJ76,"")</f>
        <v/>
      </c>
      <c r="R78" s="8" t="str">
        <f>IFERROR(Calculations!AK76,"")</f>
        <v/>
      </c>
      <c r="S78" s="89"/>
      <c r="T78" s="89"/>
      <c r="U78" s="89"/>
      <c r="V78" s="89"/>
      <c r="W78" s="1" t="str">
        <f>IFERROR(Calculations!AP76, "")</f>
        <v/>
      </c>
      <c r="X78" s="1" t="str">
        <f>IFERROR(Calculations!AQ76, "")</f>
        <v/>
      </c>
      <c r="Y78" s="8" t="str">
        <f>IFERROR(Calculations!AR76,"")</f>
        <v/>
      </c>
      <c r="Z78" s="8">
        <f>IFERROR(Calculations!AS76,"")</f>
        <v>0</v>
      </c>
      <c r="AA78" s="8">
        <f>IFERROR(Calculations!AT76,"")</f>
        <v>-145332.85363530379</v>
      </c>
      <c r="AB78" s="8" t="str">
        <f>IFERROR(Calculations!AU76,"")</f>
        <v/>
      </c>
      <c r="AC78" s="8" t="str">
        <f>IFERROR(Calculations!AV76,"")</f>
        <v/>
      </c>
      <c r="AD78" s="8" t="str">
        <f>IFERROR(Calculations!AW76,"")</f>
        <v/>
      </c>
      <c r="AE78" s="8" t="str">
        <f>IFERROR(Calculations!AX76,"")</f>
        <v/>
      </c>
      <c r="AF78" s="8">
        <f>IFERROR(IF(Calculations!AY76 &lt;&gt; 0, Calculations!AY76, ""),"")</f>
        <v>29264.183147688687</v>
      </c>
      <c r="AG78" s="42">
        <f>IFERROR(IF(Calculations!AZ76 &lt;&gt; 0, Calculations!AZ76, ""),"")</f>
        <v>-5.9635909882074349</v>
      </c>
      <c r="AH78" s="1">
        <f t="shared" si="6"/>
        <v>25</v>
      </c>
      <c r="AI78" s="1">
        <f t="shared" si="7"/>
        <v>800</v>
      </c>
      <c r="AJ78" s="89"/>
      <c r="AK78" s="89"/>
      <c r="AL78" s="89"/>
      <c r="AM78" s="89"/>
      <c r="AN78" s="8" t="str">
        <f>IFERROR(Calculations!BJ76, "")</f>
        <v/>
      </c>
      <c r="AO78" s="8" t="str">
        <f>IFERROR(Calculations!BK76, "")</f>
        <v/>
      </c>
      <c r="AP78" s="8">
        <f>IFERROR(Calculations!BL76, "")</f>
        <v>16.006844922715757</v>
      </c>
      <c r="AQ78" s="8">
        <f>IFERROR(Calculations!BM76, "")</f>
        <v>31.113526847739415</v>
      </c>
      <c r="AR78" s="8" t="str">
        <f>IFERROR(Calculations!BN76, "")</f>
        <v/>
      </c>
      <c r="AS78" s="8" t="str">
        <f>IFERROR(Calculations!BO76, "")</f>
        <v/>
      </c>
      <c r="AT78" s="8" t="str">
        <f>IFERROR(Calculations!BP76, "")</f>
        <v/>
      </c>
      <c r="AU78" s="8" t="str">
        <f>IFERROR(Calculations!BQ76, "")</f>
        <v/>
      </c>
      <c r="AV78" s="8" t="str">
        <f>IFERROR(Calculations!BR76, "")</f>
        <v/>
      </c>
      <c r="AW78" s="89"/>
      <c r="AX78" s="89"/>
      <c r="AY78" s="89"/>
      <c r="AZ78" s="89"/>
      <c r="BA78" s="8" t="str">
        <f>IFERROR(Calculations!BW76, "")</f>
        <v/>
      </c>
      <c r="BB78" s="8" t="str">
        <f>IFERROR(Calculations!BX76, "")</f>
        <v/>
      </c>
      <c r="BC78" s="8" t="str">
        <f>IFERROR(Calculations!BY76, "")</f>
        <v/>
      </c>
      <c r="BD78" s="8">
        <f>IFERROR(Calculations!BZ76, "")</f>
        <v>0</v>
      </c>
      <c r="BE78" s="8">
        <f>IFERROR(Calculations!CA76, "")</f>
        <v>29.684292382230513</v>
      </c>
      <c r="BF78" s="8" t="str">
        <f>IFERROR(Calculations!CB76, "")</f>
        <v/>
      </c>
      <c r="BG78" s="8" t="str">
        <f>IFERROR(Calculations!CC76, "")</f>
        <v/>
      </c>
      <c r="BH78" s="8" t="str">
        <f>IFERROR(Calculations!CD76, "")</f>
        <v/>
      </c>
      <c r="BI78" s="8" t="str">
        <f>IFERROR(Calculations!CE76, "")</f>
        <v/>
      </c>
      <c r="BJ78" s="8">
        <f>IFERROR(IF(Calculations!CF76 &lt;&gt; 0, Calculations!CF76, ""),"")</f>
        <v>-17.436079388224659</v>
      </c>
      <c r="BK78" s="1">
        <f t="shared" si="8"/>
        <v>800</v>
      </c>
      <c r="BL78" s="1">
        <f t="shared" si="9"/>
        <v>25</v>
      </c>
      <c r="CD78" s="8"/>
      <c r="CE78" s="8"/>
      <c r="CF78" s="8"/>
      <c r="CG78" s="8"/>
      <c r="CH78" s="8"/>
      <c r="CI78" s="8"/>
      <c r="CJ78" s="8"/>
      <c r="CK78" s="8"/>
      <c r="CL78" s="8"/>
      <c r="CM78" s="8"/>
      <c r="CN78" s="8"/>
      <c r="CO78" s="8"/>
      <c r="CP78" s="8"/>
      <c r="CQ78" s="8"/>
      <c r="CR78" s="8"/>
      <c r="CS78" s="8"/>
      <c r="CT78" s="8"/>
      <c r="CU78" s="8"/>
      <c r="CV78" s="8"/>
      <c r="CW78" s="8"/>
      <c r="CX78" s="8"/>
      <c r="CY78" s="8"/>
      <c r="CZ78" s="8"/>
      <c r="DA78" s="8"/>
      <c r="DB78" s="8"/>
      <c r="DC78" s="8"/>
      <c r="DD78" s="8"/>
      <c r="DE78" s="8"/>
      <c r="DF78" s="8"/>
      <c r="DG78" s="8"/>
      <c r="DH78" s="8"/>
      <c r="DI78" s="8"/>
      <c r="DJ78" s="8"/>
      <c r="DK78" s="8"/>
      <c r="DL78" s="8"/>
      <c r="DM78" s="8"/>
      <c r="DN78" s="8"/>
      <c r="DO78" s="8"/>
      <c r="DP78" s="8"/>
      <c r="DQ78" s="8"/>
      <c r="DR78" s="8"/>
      <c r="DS78" s="8"/>
      <c r="DT78" s="8"/>
      <c r="DU78" s="8"/>
      <c r="DV78" s="8"/>
      <c r="DW78" s="8"/>
      <c r="DX78" s="8"/>
      <c r="DY78" s="8"/>
      <c r="DZ78" s="8"/>
      <c r="EA78" s="8"/>
    </row>
    <row r="79" spans="2:131" x14ac:dyDescent="0.2">
      <c r="B79" s="1">
        <f>IFERROR(Calculations!M77/1000, "")</f>
        <v>25</v>
      </c>
      <c r="C79" s="1">
        <f>Calculations!N77</f>
        <v>850</v>
      </c>
      <c r="D79" s="58">
        <f>IFERROR(Calculations!$Q77,"")</f>
        <v>1.1105625774824617</v>
      </c>
      <c r="E79" s="8">
        <f>IFERROR(Calculations!$S77, "")</f>
        <v>16.832156441289417</v>
      </c>
      <c r="F79" s="89"/>
      <c r="G79" s="89"/>
      <c r="H79" s="89"/>
      <c r="I79" s="89"/>
      <c r="J79" s="1" t="str">
        <f>IFERROR(Calculations!AC77, "")</f>
        <v/>
      </c>
      <c r="K79" s="1" t="str">
        <f>IFERROR(Calculations!AD77, "")</f>
        <v/>
      </c>
      <c r="L79" s="8">
        <f>IFERROR(Calculations!AE77,"")</f>
        <v>-69198.006812571388</v>
      </c>
      <c r="M79" s="8">
        <f>IFERROR(Calculations!AF77,"")</f>
        <v>-109561.66557902069</v>
      </c>
      <c r="N79" s="8" t="str">
        <f>IFERROR(Calculations!AG77,"")</f>
        <v/>
      </c>
      <c r="O79" s="8" t="str">
        <f>IFERROR(Calculations!AH77,"")</f>
        <v/>
      </c>
      <c r="P79" s="8" t="str">
        <f>IFERROR(Calculations!AI77,"")</f>
        <v/>
      </c>
      <c r="Q79" s="8" t="str">
        <f>IFERROR(Calculations!AJ77,"")</f>
        <v/>
      </c>
      <c r="R79" s="8" t="str">
        <f>IFERROR(Calculations!AK77,"")</f>
        <v/>
      </c>
      <c r="S79" s="89"/>
      <c r="T79" s="89"/>
      <c r="U79" s="89"/>
      <c r="V79" s="89"/>
      <c r="W79" s="1" t="str">
        <f>IFERROR(Calculations!AP77, "")</f>
        <v/>
      </c>
      <c r="X79" s="1" t="str">
        <f>IFERROR(Calculations!AQ77, "")</f>
        <v/>
      </c>
      <c r="Y79" s="8" t="str">
        <f>IFERROR(Calculations!AR77,"")</f>
        <v/>
      </c>
      <c r="Z79" s="8">
        <f>IFERROR(Calculations!AS77,"")</f>
        <v>0</v>
      </c>
      <c r="AA79" s="8">
        <f>IFERROR(Calculations!AT77,"")</f>
        <v>-146912.18680107544</v>
      </c>
      <c r="AB79" s="8" t="str">
        <f>IFERROR(Calculations!AU77,"")</f>
        <v/>
      </c>
      <c r="AC79" s="8" t="str">
        <f>IFERROR(Calculations!AV77,"")</f>
        <v/>
      </c>
      <c r="AD79" s="8" t="str">
        <f>IFERROR(Calculations!AW77,"")</f>
        <v/>
      </c>
      <c r="AE79" s="8" t="str">
        <f>IFERROR(Calculations!AX77,"")</f>
        <v/>
      </c>
      <c r="AF79" s="8">
        <f>IFERROR(IF(Calculations!AY77 &lt;&gt; 0, Calculations!AY77, ""),"")</f>
        <v>31847.485590516619</v>
      </c>
      <c r="AG79" s="42">
        <f>IFERROR(IF(Calculations!AZ77 &lt;&gt; 0, Calculations!AZ77, ""),"")</f>
        <v>-6.20110752467866</v>
      </c>
      <c r="AH79" s="1">
        <f t="shared" si="6"/>
        <v>25</v>
      </c>
      <c r="AI79" s="1">
        <f t="shared" si="7"/>
        <v>850</v>
      </c>
      <c r="AJ79" s="89"/>
      <c r="AK79" s="89"/>
      <c r="AL79" s="89"/>
      <c r="AM79" s="89"/>
      <c r="AN79" s="8" t="str">
        <f>IFERROR(Calculations!BJ77, "")</f>
        <v/>
      </c>
      <c r="AO79" s="8" t="str">
        <f>IFERROR(Calculations!BK77, "")</f>
        <v/>
      </c>
      <c r="AP79" s="8">
        <f>IFERROR(Calculations!BL77, "")</f>
        <v>16.221760362967483</v>
      </c>
      <c r="AQ79" s="8">
        <f>IFERROR(Calculations!BM77, "")</f>
        <v>31.227465346079871</v>
      </c>
      <c r="AR79" s="8" t="str">
        <f>IFERROR(Calculations!BN77, "")</f>
        <v/>
      </c>
      <c r="AS79" s="8" t="str">
        <f>IFERROR(Calculations!BO77, "")</f>
        <v/>
      </c>
      <c r="AT79" s="8" t="str">
        <f>IFERROR(Calculations!BP77, "")</f>
        <v/>
      </c>
      <c r="AU79" s="8" t="str">
        <f>IFERROR(Calculations!BQ77, "")</f>
        <v/>
      </c>
      <c r="AV79" s="8" t="str">
        <f>IFERROR(Calculations!BR77, "")</f>
        <v/>
      </c>
      <c r="AW79" s="89"/>
      <c r="AX79" s="89"/>
      <c r="AY79" s="89"/>
      <c r="AZ79" s="89"/>
      <c r="BA79" s="8" t="str">
        <f>IFERROR(Calculations!BW77, "")</f>
        <v/>
      </c>
      <c r="BB79" s="8" t="str">
        <f>IFERROR(Calculations!BX77, "")</f>
        <v/>
      </c>
      <c r="BC79" s="8" t="str">
        <f>IFERROR(Calculations!BY77, "")</f>
        <v/>
      </c>
      <c r="BD79" s="8">
        <f>IFERROR(Calculations!BZ77, "")</f>
        <v>0</v>
      </c>
      <c r="BE79" s="8">
        <f>IFERROR(Calculations!CA77, "")</f>
        <v>29.496062650001331</v>
      </c>
      <c r="BF79" s="8" t="str">
        <f>IFERROR(Calculations!CB77, "")</f>
        <v/>
      </c>
      <c r="BG79" s="8" t="str">
        <f>IFERROR(Calculations!CC77, "")</f>
        <v/>
      </c>
      <c r="BH79" s="8" t="str">
        <f>IFERROR(Calculations!CD77, "")</f>
        <v/>
      </c>
      <c r="BI79" s="8" t="str">
        <f>IFERROR(Calculations!CE77, "")</f>
        <v/>
      </c>
      <c r="BJ79" s="8">
        <f>IFERROR(IF(Calculations!CF77 &lt;&gt; 0, Calculations!CF77, ""),"")</f>
        <v>-17.953163059046023</v>
      </c>
      <c r="BK79" s="1">
        <f t="shared" si="8"/>
        <v>850</v>
      </c>
      <c r="BL79" s="1">
        <f t="shared" si="9"/>
        <v>25</v>
      </c>
      <c r="CD79" s="8"/>
      <c r="CE79" s="8"/>
      <c r="CF79" s="8"/>
      <c r="CG79" s="8"/>
      <c r="CH79" s="8"/>
      <c r="CI79" s="8"/>
      <c r="CJ79" s="8"/>
      <c r="CK79" s="8"/>
      <c r="CL79" s="8"/>
      <c r="CM79" s="8"/>
      <c r="CN79" s="8"/>
      <c r="CO79" s="8"/>
      <c r="CP79" s="8"/>
      <c r="CQ79" s="8"/>
      <c r="CR79" s="8"/>
      <c r="CS79" s="8"/>
      <c r="CT79" s="8"/>
      <c r="CU79" s="8"/>
      <c r="CV79" s="8"/>
      <c r="CW79" s="8"/>
      <c r="CX79" s="8"/>
      <c r="CY79" s="8"/>
      <c r="CZ79" s="8"/>
      <c r="DA79" s="8"/>
      <c r="DB79" s="8"/>
      <c r="DC79" s="8"/>
      <c r="DD79" s="8"/>
      <c r="DE79" s="8"/>
      <c r="DF79" s="8"/>
      <c r="DG79" s="8"/>
      <c r="DH79" s="8"/>
      <c r="DI79" s="8"/>
      <c r="DJ79" s="8"/>
      <c r="DK79" s="8"/>
      <c r="DL79" s="8"/>
      <c r="DM79" s="8"/>
      <c r="DN79" s="8"/>
      <c r="DO79" s="8"/>
      <c r="DP79" s="8"/>
      <c r="DQ79" s="8"/>
      <c r="DR79" s="8"/>
      <c r="DS79" s="8"/>
      <c r="DT79" s="8"/>
      <c r="DU79" s="8"/>
      <c r="DV79" s="8"/>
      <c r="DW79" s="8"/>
      <c r="DX79" s="8"/>
      <c r="DY79" s="8"/>
      <c r="DZ79" s="8"/>
      <c r="EA79" s="8"/>
    </row>
    <row r="80" spans="2:131" x14ac:dyDescent="0.2">
      <c r="B80" s="1">
        <f>IFERROR(Calculations!M78/1000, "")</f>
        <v>25</v>
      </c>
      <c r="C80" s="1">
        <f>Calculations!N78</f>
        <v>900</v>
      </c>
      <c r="D80" s="58">
        <f>IFERROR(Calculations!$Q78,"")</f>
        <v>1.0960009229874612</v>
      </c>
      <c r="E80" s="8">
        <f>IFERROR(Calculations!$S78, "")</f>
        <v>15.498886604139424</v>
      </c>
      <c r="F80" s="89"/>
      <c r="G80" s="89"/>
      <c r="H80" s="89"/>
      <c r="I80" s="89"/>
      <c r="J80" s="1" t="str">
        <f>IFERROR(Calculations!AC78, "")</f>
        <v/>
      </c>
      <c r="K80" s="1" t="str">
        <f>IFERROR(Calculations!AD78, "")</f>
        <v/>
      </c>
      <c r="L80" s="8">
        <f>IFERROR(Calculations!AE78,"")</f>
        <v>-70903.704079454459</v>
      </c>
      <c r="M80" s="8">
        <f>IFERROR(Calculations!AF78,"")</f>
        <v>-112122.30446979566</v>
      </c>
      <c r="N80" s="8" t="str">
        <f>IFERROR(Calculations!AG78,"")</f>
        <v/>
      </c>
      <c r="O80" s="8" t="str">
        <f>IFERROR(Calculations!AH78,"")</f>
        <v/>
      </c>
      <c r="P80" s="8" t="str">
        <f>IFERROR(Calculations!AI78,"")</f>
        <v/>
      </c>
      <c r="Q80" s="8" t="str">
        <f>IFERROR(Calculations!AJ78,"")</f>
        <v/>
      </c>
      <c r="R80" s="8" t="str">
        <f>IFERROR(Calculations!AK78,"")</f>
        <v/>
      </c>
      <c r="S80" s="89"/>
      <c r="T80" s="89"/>
      <c r="U80" s="89"/>
      <c r="V80" s="89"/>
      <c r="W80" s="1" t="str">
        <f>IFERROR(Calculations!AP78, "")</f>
        <v/>
      </c>
      <c r="X80" s="1" t="str">
        <f>IFERROR(Calculations!AQ78, "")</f>
        <v/>
      </c>
      <c r="Y80" s="8" t="str">
        <f>IFERROR(Calculations!AR78,"")</f>
        <v/>
      </c>
      <c r="Z80" s="8">
        <f>IFERROR(Calculations!AS78,"")</f>
        <v>0</v>
      </c>
      <c r="AA80" s="8">
        <f>IFERROR(Calculations!AT78,"")</f>
        <v>-148480.65278828889</v>
      </c>
      <c r="AB80" s="8" t="str">
        <f>IFERROR(Calculations!AU78,"")</f>
        <v/>
      </c>
      <c r="AC80" s="8" t="str">
        <f>IFERROR(Calculations!AV78,"")</f>
        <v/>
      </c>
      <c r="AD80" s="8" t="str">
        <f>IFERROR(Calculations!AW78,"")</f>
        <v/>
      </c>
      <c r="AE80" s="8" t="str">
        <f>IFERROR(Calculations!AX78,"")</f>
        <v/>
      </c>
      <c r="AF80" s="8">
        <f>IFERROR(IF(Calculations!AY78 &lt;&gt; 0, Calculations!AY78, ""),"")</f>
        <v>34545.355760961247</v>
      </c>
      <c r="AG80" s="42">
        <f>IFERROR(IF(Calculations!AZ78 &lt;&gt; 0, Calculations!AZ78, ""),"")</f>
        <v>-6.4397350297685447</v>
      </c>
      <c r="AH80" s="1">
        <f t="shared" si="6"/>
        <v>25</v>
      </c>
      <c r="AI80" s="1">
        <f t="shared" si="7"/>
        <v>900</v>
      </c>
      <c r="AJ80" s="89"/>
      <c r="AK80" s="89"/>
      <c r="AL80" s="89"/>
      <c r="AM80" s="89"/>
      <c r="AN80" s="8" t="str">
        <f>IFERROR(Calculations!BJ78, "")</f>
        <v/>
      </c>
      <c r="AO80" s="8" t="str">
        <f>IFERROR(Calculations!BK78, "")</f>
        <v/>
      </c>
      <c r="AP80" s="8">
        <f>IFERROR(Calculations!BL78, "")</f>
        <v>16.437285427547131</v>
      </c>
      <c r="AQ80" s="8">
        <f>IFERROR(Calculations!BM78, "")</f>
        <v>31.344747526774459</v>
      </c>
      <c r="AR80" s="8" t="str">
        <f>IFERROR(Calculations!BN78, "")</f>
        <v/>
      </c>
      <c r="AS80" s="8" t="str">
        <f>IFERROR(Calculations!BO78, "")</f>
        <v/>
      </c>
      <c r="AT80" s="8" t="str">
        <f>IFERROR(Calculations!BP78, "")</f>
        <v/>
      </c>
      <c r="AU80" s="8" t="str">
        <f>IFERROR(Calculations!BQ78, "")</f>
        <v/>
      </c>
      <c r="AV80" s="8" t="str">
        <f>IFERROR(Calculations!BR78, "")</f>
        <v/>
      </c>
      <c r="AW80" s="89"/>
      <c r="AX80" s="89"/>
      <c r="AY80" s="89"/>
      <c r="AZ80" s="89"/>
      <c r="BA80" s="8" t="str">
        <f>IFERROR(Calculations!BW78, "")</f>
        <v/>
      </c>
      <c r="BB80" s="8" t="str">
        <f>IFERROR(Calculations!BX78, "")</f>
        <v/>
      </c>
      <c r="BC80" s="8" t="str">
        <f>IFERROR(Calculations!BY78, "")</f>
        <v/>
      </c>
      <c r="BD80" s="8">
        <f>IFERROR(Calculations!BZ78, "")</f>
        <v>0</v>
      </c>
      <c r="BE80" s="8">
        <f>IFERROR(Calculations!CA78, "")</f>
        <v>29.303239206862905</v>
      </c>
      <c r="BF80" s="8" t="str">
        <f>IFERROR(Calculations!CB78, "")</f>
        <v/>
      </c>
      <c r="BG80" s="8" t="str">
        <f>IFERROR(Calculations!CC78, "")</f>
        <v/>
      </c>
      <c r="BH80" s="8" t="str">
        <f>IFERROR(Calculations!CD78, "")</f>
        <v/>
      </c>
      <c r="BI80" s="8" t="str">
        <f>IFERROR(Calculations!CE78, "")</f>
        <v/>
      </c>
      <c r="BJ80" s="8">
        <f>IFERROR(IF(Calculations!CF78 &lt;&gt; 0, Calculations!CF78, ""),"")</f>
        <v>-18.478793747458688</v>
      </c>
      <c r="BK80" s="1">
        <f t="shared" si="8"/>
        <v>900</v>
      </c>
      <c r="BL80" s="1">
        <f t="shared" si="9"/>
        <v>25</v>
      </c>
      <c r="CD80" s="8"/>
      <c r="CE80" s="8"/>
      <c r="CF80" s="8"/>
      <c r="CG80" s="8"/>
      <c r="CH80" s="8"/>
      <c r="CI80" s="8"/>
      <c r="CJ80" s="8"/>
      <c r="CK80" s="8"/>
      <c r="CL80" s="8"/>
      <c r="CM80" s="8"/>
      <c r="CN80" s="8"/>
      <c r="CO80" s="8"/>
      <c r="CP80" s="8"/>
      <c r="CQ80" s="8"/>
      <c r="CR80" s="8"/>
      <c r="CS80" s="8"/>
      <c r="CT80" s="8"/>
      <c r="CU80" s="8"/>
      <c r="CV80" s="8"/>
      <c r="CW80" s="8"/>
      <c r="CX80" s="8"/>
      <c r="CY80" s="8"/>
      <c r="CZ80" s="8"/>
      <c r="DA80" s="8"/>
      <c r="DB80" s="8"/>
      <c r="DC80" s="8"/>
      <c r="DD80" s="8"/>
      <c r="DE80" s="8"/>
      <c r="DF80" s="8"/>
      <c r="DG80" s="8"/>
      <c r="DH80" s="8"/>
      <c r="DI80" s="8"/>
      <c r="DJ80" s="8"/>
      <c r="DK80" s="8"/>
      <c r="DL80" s="8"/>
      <c r="DM80" s="8"/>
      <c r="DN80" s="8"/>
      <c r="DO80" s="8"/>
      <c r="DP80" s="8"/>
      <c r="DQ80" s="8"/>
      <c r="DR80" s="8"/>
      <c r="DS80" s="8"/>
      <c r="DT80" s="8"/>
      <c r="DU80" s="8"/>
      <c r="DV80" s="8"/>
      <c r="DW80" s="8"/>
      <c r="DX80" s="8"/>
      <c r="DY80" s="8"/>
      <c r="DZ80" s="8"/>
      <c r="EA80" s="8"/>
    </row>
    <row r="81" spans="2:131" x14ac:dyDescent="0.2">
      <c r="B81" s="1">
        <f>IFERROR(Calculations!M79/1000, "")</f>
        <v>25</v>
      </c>
      <c r="C81" s="1">
        <f>Calculations!N79</f>
        <v>950</v>
      </c>
      <c r="D81" s="58">
        <f>IFERROR(Calculations!$Q79,"")</f>
        <v>1.0817921265780923</v>
      </c>
      <c r="E81" s="8">
        <f>IFERROR(Calculations!$S79, "")</f>
        <v>14.303120755054504</v>
      </c>
      <c r="F81" s="89"/>
      <c r="G81" s="89"/>
      <c r="H81" s="89"/>
      <c r="I81" s="89"/>
      <c r="J81" s="1" t="str">
        <f>IFERROR(Calculations!AC79, "")</f>
        <v/>
      </c>
      <c r="K81" s="1" t="str">
        <f>IFERROR(Calculations!AD79, "")</f>
        <v/>
      </c>
      <c r="L81" s="8">
        <f>IFERROR(Calculations!AE79,"")</f>
        <v>-72608.592444997688</v>
      </c>
      <c r="M81" s="8">
        <f>IFERROR(Calculations!AF79,"")</f>
        <v>-114724.14774896861</v>
      </c>
      <c r="N81" s="8" t="str">
        <f>IFERROR(Calculations!AG79,"")</f>
        <v/>
      </c>
      <c r="O81" s="8" t="str">
        <f>IFERROR(Calculations!AH79,"")</f>
        <v/>
      </c>
      <c r="P81" s="8" t="str">
        <f>IFERROR(Calculations!AI79,"")</f>
        <v/>
      </c>
      <c r="Q81" s="8" t="str">
        <f>IFERROR(Calculations!AJ79,"")</f>
        <v/>
      </c>
      <c r="R81" s="8" t="str">
        <f>IFERROR(Calculations!AK79,"")</f>
        <v/>
      </c>
      <c r="S81" s="89"/>
      <c r="T81" s="89"/>
      <c r="U81" s="89"/>
      <c r="V81" s="89"/>
      <c r="W81" s="1" t="str">
        <f>IFERROR(Calculations!AP79, "")</f>
        <v/>
      </c>
      <c r="X81" s="1" t="str">
        <f>IFERROR(Calculations!AQ79, "")</f>
        <v/>
      </c>
      <c r="Y81" s="8" t="str">
        <f>IFERROR(Calculations!AR79,"")</f>
        <v/>
      </c>
      <c r="Z81" s="8">
        <f>IFERROR(Calculations!AS79,"")</f>
        <v>0</v>
      </c>
      <c r="AA81" s="8">
        <f>IFERROR(Calculations!AT79,"")</f>
        <v>-150036.69999926627</v>
      </c>
      <c r="AB81" s="8" t="str">
        <f>IFERROR(Calculations!AU79,"")</f>
        <v/>
      </c>
      <c r="AC81" s="8" t="str">
        <f>IFERROR(Calculations!AV79,"")</f>
        <v/>
      </c>
      <c r="AD81" s="8" t="str">
        <f>IFERROR(Calculations!AW79,"")</f>
        <v/>
      </c>
      <c r="AE81" s="8" t="str">
        <f>IFERROR(Calculations!AX79,"")</f>
        <v/>
      </c>
      <c r="AF81" s="8">
        <f>IFERROR(IF(Calculations!AY79 &lt;&gt; 0, Calculations!AY79, ""),"")</f>
        <v>37296.040194700035</v>
      </c>
      <c r="AG81" s="42">
        <f>IFERROR(IF(Calculations!AZ79 &lt;&gt; 0, Calculations!AZ79, ""),"")</f>
        <v>-6.6682961318484919</v>
      </c>
      <c r="AH81" s="1">
        <f t="shared" si="6"/>
        <v>25</v>
      </c>
      <c r="AI81" s="1">
        <f t="shared" si="7"/>
        <v>950</v>
      </c>
      <c r="AJ81" s="89"/>
      <c r="AK81" s="89"/>
      <c r="AL81" s="89"/>
      <c r="AM81" s="89"/>
      <c r="AN81" s="8" t="str">
        <f>IFERROR(Calculations!BJ79, "")</f>
        <v/>
      </c>
      <c r="AO81" s="8" t="str">
        <f>IFERROR(Calculations!BK79, "")</f>
        <v/>
      </c>
      <c r="AP81" s="8">
        <f>IFERROR(Calculations!BL79, "")</f>
        <v>16.653180918394781</v>
      </c>
      <c r="AQ81" s="8">
        <f>IFERROR(Calculations!BM79, "")</f>
        <v>31.464805532233051</v>
      </c>
      <c r="AR81" s="8" t="str">
        <f>IFERROR(Calculations!BN79, "")</f>
        <v/>
      </c>
      <c r="AS81" s="8" t="str">
        <f>IFERROR(Calculations!BO79, "")</f>
        <v/>
      </c>
      <c r="AT81" s="8" t="str">
        <f>IFERROR(Calculations!BP79, "")</f>
        <v/>
      </c>
      <c r="AU81" s="8" t="str">
        <f>IFERROR(Calculations!BQ79, "")</f>
        <v/>
      </c>
      <c r="AV81" s="8" t="str">
        <f>IFERROR(Calculations!BR79, "")</f>
        <v/>
      </c>
      <c r="AW81" s="89"/>
      <c r="AX81" s="89"/>
      <c r="AY81" s="89"/>
      <c r="AZ81" s="89"/>
      <c r="BA81" s="8" t="str">
        <f>IFERROR(Calculations!BW79, "")</f>
        <v/>
      </c>
      <c r="BB81" s="8" t="str">
        <f>IFERROR(Calculations!BX79, "")</f>
        <v/>
      </c>
      <c r="BC81" s="8" t="str">
        <f>IFERROR(Calculations!BY79, "")</f>
        <v/>
      </c>
      <c r="BD81" s="8">
        <f>IFERROR(Calculations!BZ79, "")</f>
        <v>0</v>
      </c>
      <c r="BE81" s="8">
        <f>IFERROR(Calculations!CA79, "")</f>
        <v>29.106616110193528</v>
      </c>
      <c r="BF81" s="8" t="str">
        <f>IFERROR(Calculations!CB79, "")</f>
        <v/>
      </c>
      <c r="BG81" s="8" t="str">
        <f>IFERROR(Calculations!CC79, "")</f>
        <v/>
      </c>
      <c r="BH81" s="8" t="str">
        <f>IFERROR(Calculations!CD79, "")</f>
        <v/>
      </c>
      <c r="BI81" s="8" t="str">
        <f>IFERROR(Calculations!CE79, "")</f>
        <v/>
      </c>
      <c r="BJ81" s="8">
        <f>IFERROR(IF(Calculations!CF79 &lt;&gt; 0, Calculations!CF79, ""),"")</f>
        <v>-19.011370340434304</v>
      </c>
      <c r="BK81" s="1">
        <f t="shared" si="8"/>
        <v>950</v>
      </c>
      <c r="BL81" s="1">
        <f t="shared" si="9"/>
        <v>25</v>
      </c>
      <c r="CD81" s="8"/>
      <c r="CE81" s="8"/>
      <c r="CF81" s="8"/>
      <c r="CG81" s="8"/>
      <c r="CH81" s="8"/>
      <c r="CI81" s="8"/>
      <c r="CJ81" s="8"/>
      <c r="CK81" s="8"/>
      <c r="CL81" s="8"/>
      <c r="CM81" s="8"/>
      <c r="CN81" s="8"/>
      <c r="CO81" s="8"/>
      <c r="CP81" s="8"/>
      <c r="CQ81" s="8"/>
      <c r="CR81" s="8"/>
      <c r="CS81" s="8"/>
      <c r="CT81" s="8"/>
      <c r="CU81" s="8"/>
      <c r="CV81" s="8"/>
      <c r="CW81" s="8"/>
      <c r="CX81" s="8"/>
      <c r="CY81" s="8"/>
      <c r="CZ81" s="8"/>
      <c r="DA81" s="8"/>
      <c r="DB81" s="8"/>
      <c r="DC81" s="8"/>
      <c r="DD81" s="8"/>
      <c r="DE81" s="8"/>
      <c r="DF81" s="8"/>
      <c r="DG81" s="8"/>
      <c r="DH81" s="8"/>
      <c r="DI81" s="8"/>
      <c r="DJ81" s="8"/>
      <c r="DK81" s="8"/>
      <c r="DL81" s="8"/>
      <c r="DM81" s="8"/>
      <c r="DN81" s="8"/>
      <c r="DO81" s="8"/>
      <c r="DP81" s="8"/>
      <c r="DQ81" s="8"/>
      <c r="DR81" s="8"/>
      <c r="DS81" s="8"/>
      <c r="DT81" s="8"/>
      <c r="DU81" s="8"/>
      <c r="DV81" s="8"/>
      <c r="DW81" s="8"/>
      <c r="DX81" s="8"/>
      <c r="DY81" s="8"/>
      <c r="DZ81" s="8"/>
      <c r="EA81" s="8"/>
    </row>
    <row r="82" spans="2:131" x14ac:dyDescent="0.2">
      <c r="B82" s="1">
        <f>IFERROR(Calculations!M80/1000, "")</f>
        <v>25</v>
      </c>
      <c r="C82" s="1">
        <f>Calculations!N80</f>
        <v>1000</v>
      </c>
      <c r="D82" s="58">
        <f>IFERROR(Calculations!$Q80,"")</f>
        <v>1.06793678429842</v>
      </c>
      <c r="E82" s="8">
        <f>IFERROR(Calculations!$S80, "")</f>
        <v>13.228412253226798</v>
      </c>
      <c r="F82" s="89"/>
      <c r="G82" s="89"/>
      <c r="H82" s="89"/>
      <c r="I82" s="89"/>
      <c r="J82" s="1" t="str">
        <f>IFERROR(Calculations!AC80, "")</f>
        <v/>
      </c>
      <c r="K82" s="1" t="str">
        <f>IFERROR(Calculations!AD80, "")</f>
        <v/>
      </c>
      <c r="L82" s="8">
        <f>IFERROR(Calculations!AE80,"")</f>
        <v>-74335.437229042087</v>
      </c>
      <c r="M82" s="8">
        <f>IFERROR(Calculations!AF80,"")</f>
        <v>-117366.64857997137</v>
      </c>
      <c r="N82" s="8" t="str">
        <f>IFERROR(Calculations!AG80,"")</f>
        <v/>
      </c>
      <c r="O82" s="8" t="str">
        <f>IFERROR(Calculations!AH80,"")</f>
        <v/>
      </c>
      <c r="P82" s="8" t="str">
        <f>IFERROR(Calculations!AI80,"")</f>
        <v/>
      </c>
      <c r="Q82" s="8" t="str">
        <f>IFERROR(Calculations!AJ80,"")</f>
        <v/>
      </c>
      <c r="R82" s="8" t="str">
        <f>IFERROR(Calculations!AK80,"")</f>
        <v/>
      </c>
      <c r="S82" s="89"/>
      <c r="T82" s="89"/>
      <c r="U82" s="89"/>
      <c r="V82" s="89"/>
      <c r="W82" s="1" t="str">
        <f>IFERROR(Calculations!AP80, "")</f>
        <v/>
      </c>
      <c r="X82" s="1" t="str">
        <f>IFERROR(Calculations!AQ80, "")</f>
        <v/>
      </c>
      <c r="Y82" s="8" t="str">
        <f>IFERROR(Calculations!AR80,"")</f>
        <v/>
      </c>
      <c r="Z82" s="8">
        <f>IFERROR(Calculations!AS80,"")</f>
        <v>0</v>
      </c>
      <c r="AA82" s="8">
        <f>IFERROR(Calculations!AT80,"")</f>
        <v>-151579.00371281683</v>
      </c>
      <c r="AB82" s="8" t="str">
        <f>IFERROR(Calculations!AU80,"")</f>
        <v/>
      </c>
      <c r="AC82" s="8" t="str">
        <f>IFERROR(Calculations!AV80,"")</f>
        <v/>
      </c>
      <c r="AD82" s="8" t="str">
        <f>IFERROR(Calculations!AW80,"")</f>
        <v/>
      </c>
      <c r="AE82" s="8" t="str">
        <f>IFERROR(Calculations!AX80,"")</f>
        <v/>
      </c>
      <c r="AF82" s="8">
        <f>IFERROR(IF(Calculations!AY80 &lt;&gt; 0, Calculations!AY80, ""),"")</f>
        <v>40123.082096196624</v>
      </c>
      <c r="AG82" s="42">
        <f>IFERROR(IF(Calculations!AZ80 &lt;&gt; 0, Calculations!AZ80, ""),"")</f>
        <v>-6.8920208971295454</v>
      </c>
      <c r="AH82" s="1">
        <f t="shared" si="6"/>
        <v>25</v>
      </c>
      <c r="AI82" s="1">
        <f t="shared" si="7"/>
        <v>1000</v>
      </c>
      <c r="AJ82" s="89"/>
      <c r="AK82" s="89"/>
      <c r="AL82" s="89"/>
      <c r="AM82" s="89"/>
      <c r="AN82" s="8" t="str">
        <f>IFERROR(Calculations!BJ80, "")</f>
        <v/>
      </c>
      <c r="AO82" s="8" t="str">
        <f>IFERROR(Calculations!BK80, "")</f>
        <v/>
      </c>
      <c r="AP82" s="8">
        <f>IFERROR(Calculations!BL80, "")</f>
        <v>16.869238202928951</v>
      </c>
      <c r="AQ82" s="8">
        <f>IFERROR(Calculations!BM80, "")</f>
        <v>31.58701940990289</v>
      </c>
      <c r="AR82" s="8" t="str">
        <f>IFERROR(Calculations!BN80, "")</f>
        <v/>
      </c>
      <c r="AS82" s="8" t="str">
        <f>IFERROR(Calculations!BO80, "")</f>
        <v/>
      </c>
      <c r="AT82" s="8" t="str">
        <f>IFERROR(Calculations!BP80, "")</f>
        <v/>
      </c>
      <c r="AU82" s="8" t="str">
        <f>IFERROR(Calculations!BQ80, "")</f>
        <v/>
      </c>
      <c r="AV82" s="8" t="str">
        <f>IFERROR(Calculations!BR80, "")</f>
        <v/>
      </c>
      <c r="AW82" s="89"/>
      <c r="AX82" s="89"/>
      <c r="AY82" s="89"/>
      <c r="AZ82" s="89"/>
      <c r="BA82" s="8" t="str">
        <f>IFERROR(Calculations!BW80, "")</f>
        <v/>
      </c>
      <c r="BB82" s="8" t="str">
        <f>IFERROR(Calculations!BX80, "")</f>
        <v/>
      </c>
      <c r="BC82" s="8" t="str">
        <f>IFERROR(Calculations!BY80, "")</f>
        <v/>
      </c>
      <c r="BD82" s="8">
        <f>IFERROR(Calculations!BZ80, "")</f>
        <v>0</v>
      </c>
      <c r="BE82" s="8">
        <f>IFERROR(Calculations!CA80, "")</f>
        <v>28.90709133650077</v>
      </c>
      <c r="BF82" s="8" t="str">
        <f>IFERROR(Calculations!CB80, "")</f>
        <v/>
      </c>
      <c r="BG82" s="8" t="str">
        <f>IFERROR(Calculations!CC80, "")</f>
        <v/>
      </c>
      <c r="BH82" s="8" t="str">
        <f>IFERROR(Calculations!CD80, "")</f>
        <v/>
      </c>
      <c r="BI82" s="8" t="str">
        <f>IFERROR(Calculations!CE80, "")</f>
        <v/>
      </c>
      <c r="BJ82" s="8">
        <f>IFERROR(IF(Calculations!CF80 &lt;&gt; 0, Calculations!CF80, ""),"")</f>
        <v>-19.549166276331071</v>
      </c>
      <c r="BK82" s="1">
        <f t="shared" si="8"/>
        <v>1000</v>
      </c>
      <c r="BL82" s="1">
        <f t="shared" si="9"/>
        <v>25</v>
      </c>
      <c r="CD82" s="8"/>
      <c r="CE82" s="8"/>
      <c r="CF82" s="8"/>
      <c r="CG82" s="8"/>
      <c r="CH82" s="8"/>
      <c r="CI82" s="8"/>
      <c r="CJ82" s="8"/>
      <c r="CK82" s="8"/>
      <c r="CL82" s="8"/>
      <c r="CM82" s="8"/>
      <c r="CN82" s="8"/>
      <c r="CO82" s="8"/>
      <c r="CP82" s="8"/>
      <c r="CQ82" s="8"/>
      <c r="CR82" s="8"/>
      <c r="CS82" s="8"/>
      <c r="CT82" s="8"/>
      <c r="CU82" s="8"/>
      <c r="CV82" s="8"/>
      <c r="CW82" s="8"/>
      <c r="CX82" s="8"/>
      <c r="CY82" s="8"/>
      <c r="CZ82" s="8"/>
      <c r="DA82" s="8"/>
      <c r="DB82" s="8"/>
      <c r="DC82" s="8"/>
      <c r="DD82" s="8"/>
      <c r="DE82" s="8"/>
      <c r="DF82" s="8"/>
      <c r="DG82" s="8"/>
      <c r="DH82" s="8"/>
      <c r="DI82" s="8"/>
      <c r="DJ82" s="8"/>
      <c r="DK82" s="8"/>
      <c r="DL82" s="8"/>
      <c r="DM82" s="8"/>
      <c r="DN82" s="8"/>
      <c r="DO82" s="8"/>
      <c r="DP82" s="8"/>
      <c r="DQ82" s="8"/>
      <c r="DR82" s="8"/>
      <c r="DS82" s="8"/>
      <c r="DT82" s="8"/>
      <c r="DU82" s="8"/>
      <c r="DV82" s="8"/>
      <c r="DW82" s="8"/>
      <c r="DX82" s="8"/>
      <c r="DY82" s="8"/>
      <c r="DZ82" s="8"/>
      <c r="EA82" s="8"/>
    </row>
    <row r="83" spans="2:131" x14ac:dyDescent="0.2">
      <c r="B83" s="1">
        <f>IFERROR(Calculations!M81/1000, "")</f>
        <v>30</v>
      </c>
      <c r="C83" s="1">
        <f>Calculations!N81</f>
        <v>300</v>
      </c>
      <c r="D83" s="58">
        <f>IFERROR(Calculations!$Q81,"")</f>
        <v>1.3344136310511829</v>
      </c>
      <c r="E83" s="8">
        <f>IFERROR(Calculations!$S81, "")</f>
        <v>52.214795725049683</v>
      </c>
      <c r="F83" s="89"/>
      <c r="G83" s="89"/>
      <c r="H83" s="89"/>
      <c r="I83" s="89"/>
      <c r="J83" s="1" t="str">
        <f>IFERROR(Calculations!AC81, "")</f>
        <v/>
      </c>
      <c r="K83" s="1" t="str">
        <f>IFERROR(Calculations!AD81, "")</f>
        <v/>
      </c>
      <c r="L83" s="8">
        <f>IFERROR(Calculations!AE81,"")</f>
        <v>-51604.724260964183</v>
      </c>
      <c r="M83" s="8">
        <f>IFERROR(Calculations!AF81,"")</f>
        <v>-80655.941218035572</v>
      </c>
      <c r="N83" s="8" t="str">
        <f>IFERROR(Calculations!AG81,"")</f>
        <v/>
      </c>
      <c r="O83" s="8" t="str">
        <f>IFERROR(Calculations!AH81,"")</f>
        <v/>
      </c>
      <c r="P83" s="8" t="str">
        <f>IFERROR(Calculations!AI81,"")</f>
        <v/>
      </c>
      <c r="Q83" s="8" t="str">
        <f>IFERROR(Calculations!AJ81,"")</f>
        <v/>
      </c>
      <c r="R83" s="8" t="str">
        <f>IFERROR(Calculations!AK81,"")</f>
        <v/>
      </c>
      <c r="S83" s="89"/>
      <c r="T83" s="89"/>
      <c r="U83" s="89"/>
      <c r="V83" s="89"/>
      <c r="W83" s="1" t="str">
        <f>IFERROR(Calculations!AP81, "")</f>
        <v/>
      </c>
      <c r="X83" s="1" t="str">
        <f>IFERROR(Calculations!AQ81, "")</f>
        <v/>
      </c>
      <c r="Y83" s="8" t="str">
        <f>IFERROR(Calculations!AR81,"")</f>
        <v/>
      </c>
      <c r="Z83" s="8">
        <f>IFERROR(Calculations!AS81,"")</f>
        <v>0</v>
      </c>
      <c r="AA83" s="8">
        <f>IFERROR(Calculations!AT81,"")</f>
        <v>-125775.64132756954</v>
      </c>
      <c r="AB83" s="8" t="str">
        <f>IFERROR(Calculations!AU81,"")</f>
        <v/>
      </c>
      <c r="AC83" s="8" t="str">
        <f>IFERROR(Calculations!AV81,"")</f>
        <v/>
      </c>
      <c r="AD83" s="8" t="str">
        <f>IFERROR(Calculations!AW81,"")</f>
        <v/>
      </c>
      <c r="AE83" s="8" t="str">
        <f>IFERROR(Calculations!AX81,"")</f>
        <v/>
      </c>
      <c r="AF83" s="8">
        <f>IFERROR(IF(Calculations!AY81 &lt;&gt; 0, Calculations!AY81, ""),"")</f>
        <v>6485.0241514302179</v>
      </c>
      <c r="AG83" s="42">
        <f>IFERROR(IF(Calculations!AZ81 &lt;&gt; 0, Calculations!AZ81, ""),"")</f>
        <v>-2.4744300126336487</v>
      </c>
      <c r="AH83" s="1">
        <f t="shared" si="6"/>
        <v>30</v>
      </c>
      <c r="AI83" s="1">
        <f t="shared" si="7"/>
        <v>300</v>
      </c>
      <c r="AJ83" s="89"/>
      <c r="AK83" s="89"/>
      <c r="AL83" s="89"/>
      <c r="AM83" s="89"/>
      <c r="AN83" s="8" t="str">
        <f>IFERROR(Calculations!BJ81, "")</f>
        <v/>
      </c>
      <c r="AO83" s="8" t="str">
        <f>IFERROR(Calculations!BK81, "")</f>
        <v/>
      </c>
      <c r="AP83" s="8">
        <f>IFERROR(Calculations!BL81, "")</f>
        <v>13.500521563024265</v>
      </c>
      <c r="AQ83" s="8">
        <f>IFERROR(Calculations!BM81, "")</f>
        <v>30.133605104009625</v>
      </c>
      <c r="AR83" s="8" t="str">
        <f>IFERROR(Calculations!BN81, "")</f>
        <v/>
      </c>
      <c r="AS83" s="8" t="str">
        <f>IFERROR(Calculations!BO81, "")</f>
        <v/>
      </c>
      <c r="AT83" s="8" t="str">
        <f>IFERROR(Calculations!BP81, "")</f>
        <v/>
      </c>
      <c r="AU83" s="8" t="str">
        <f>IFERROR(Calculations!BQ81, "")</f>
        <v/>
      </c>
      <c r="AV83" s="8" t="str">
        <f>IFERROR(Calculations!BR81, "")</f>
        <v/>
      </c>
      <c r="AW83" s="89"/>
      <c r="AX83" s="89"/>
      <c r="AY83" s="89"/>
      <c r="AZ83" s="89"/>
      <c r="BA83" s="8" t="str">
        <f>IFERROR(Calculations!BW81, "")</f>
        <v/>
      </c>
      <c r="BB83" s="8" t="str">
        <f>IFERROR(Calculations!BX81, "")</f>
        <v/>
      </c>
      <c r="BC83" s="8" t="str">
        <f>IFERROR(Calculations!BY81, "")</f>
        <v/>
      </c>
      <c r="BD83" s="8">
        <f>IFERROR(Calculations!BZ81, "")</f>
        <v>0</v>
      </c>
      <c r="BE83" s="8">
        <f>IFERROR(Calculations!CA81, "")</f>
        <v>31.364068986536463</v>
      </c>
      <c r="BF83" s="8" t="str">
        <f>IFERROR(Calculations!CB81, "")</f>
        <v/>
      </c>
      <c r="BG83" s="8" t="str">
        <f>IFERROR(Calculations!CC81, "")</f>
        <v/>
      </c>
      <c r="BH83" s="8" t="str">
        <f>IFERROR(Calculations!CD81, "")</f>
        <v/>
      </c>
      <c r="BI83" s="8" t="str">
        <f>IFERROR(Calculations!CE81, "")</f>
        <v/>
      </c>
      <c r="BJ83" s="8">
        <f>IFERROR(IF(Calculations!CF81 &lt;&gt; 0, Calculations!CF81, ""),"")</f>
        <v>-12.270057680497427</v>
      </c>
      <c r="BK83" s="1">
        <f t="shared" si="8"/>
        <v>300</v>
      </c>
      <c r="BL83" s="1">
        <f t="shared" si="9"/>
        <v>30</v>
      </c>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c r="DK83" s="8"/>
      <c r="DL83" s="8"/>
      <c r="DM83" s="8"/>
      <c r="DN83" s="8"/>
      <c r="DO83" s="8"/>
      <c r="DP83" s="8"/>
      <c r="DQ83" s="8"/>
      <c r="DR83" s="8"/>
      <c r="DS83" s="8"/>
      <c r="DT83" s="8"/>
      <c r="DU83" s="8"/>
      <c r="DV83" s="8"/>
      <c r="DW83" s="8"/>
      <c r="DX83" s="8"/>
      <c r="DY83" s="8"/>
      <c r="DZ83" s="8"/>
      <c r="EA83" s="8"/>
    </row>
    <row r="84" spans="2:131" x14ac:dyDescent="0.2">
      <c r="B84" s="1">
        <f>IFERROR(Calculations!M82/1000, "")</f>
        <v>30</v>
      </c>
      <c r="C84" s="1">
        <f>Calculations!N82</f>
        <v>350</v>
      </c>
      <c r="D84" s="58">
        <f>IFERROR(Calculations!$Q82,"")</f>
        <v>1.3177606069481371</v>
      </c>
      <c r="E84" s="8">
        <f>IFERROR(Calculations!$S82, "")</f>
        <v>46.617249915175321</v>
      </c>
      <c r="F84" s="89"/>
      <c r="G84" s="89"/>
      <c r="H84" s="89"/>
      <c r="I84" s="89"/>
      <c r="J84" s="1" t="str">
        <f>IFERROR(Calculations!AC82, "")</f>
        <v/>
      </c>
      <c r="K84" s="1" t="str">
        <f>IFERROR(Calculations!AD82, "")</f>
        <v/>
      </c>
      <c r="L84" s="8">
        <f>IFERROR(Calculations!AE82,"")</f>
        <v>-52796.59274564412</v>
      </c>
      <c r="M84" s="8">
        <f>IFERROR(Calculations!AF82,"")</f>
        <v>-82712.185168103155</v>
      </c>
      <c r="N84" s="8" t="str">
        <f>IFERROR(Calculations!AG82,"")</f>
        <v/>
      </c>
      <c r="O84" s="8" t="str">
        <f>IFERROR(Calculations!AH82,"")</f>
        <v/>
      </c>
      <c r="P84" s="8" t="str">
        <f>IFERROR(Calculations!AI82,"")</f>
        <v/>
      </c>
      <c r="Q84" s="8" t="str">
        <f>IFERROR(Calculations!AJ82,"")</f>
        <v/>
      </c>
      <c r="R84" s="8" t="str">
        <f>IFERROR(Calculations!AK82,"")</f>
        <v/>
      </c>
      <c r="S84" s="89"/>
      <c r="T84" s="89"/>
      <c r="U84" s="89"/>
      <c r="V84" s="89"/>
      <c r="W84" s="1" t="str">
        <f>IFERROR(Calculations!AP82, "")</f>
        <v/>
      </c>
      <c r="X84" s="1" t="str">
        <f>IFERROR(Calculations!AQ82, "")</f>
        <v/>
      </c>
      <c r="Y84" s="8" t="str">
        <f>IFERROR(Calculations!AR82,"")</f>
        <v/>
      </c>
      <c r="Z84" s="8">
        <f>IFERROR(Calculations!AS82,"")</f>
        <v>0</v>
      </c>
      <c r="AA84" s="8">
        <f>IFERROR(Calculations!AT82,"")</f>
        <v>-127330.81653057913</v>
      </c>
      <c r="AB84" s="8" t="str">
        <f>IFERROR(Calculations!AU82,"")</f>
        <v/>
      </c>
      <c r="AC84" s="8" t="str">
        <f>IFERROR(Calculations!AV82,"")</f>
        <v/>
      </c>
      <c r="AD84" s="8" t="str">
        <f>IFERROR(Calculations!AW82,"")</f>
        <v/>
      </c>
      <c r="AE84" s="8" t="str">
        <f>IFERROR(Calculations!AX82,"")</f>
        <v/>
      </c>
      <c r="AF84" s="8">
        <f>IFERROR(IF(Calculations!AY82 &lt;&gt; 0, Calculations!AY82, ""),"")</f>
        <v>8177.9613831681345</v>
      </c>
      <c r="AG84" s="42">
        <f>IFERROR(IF(Calculations!AZ82 &lt;&gt; 0, Calculations!AZ82, ""),"")</f>
        <v>-2.8700160778469401</v>
      </c>
      <c r="AH84" s="1">
        <f t="shared" si="6"/>
        <v>30</v>
      </c>
      <c r="AI84" s="1">
        <f t="shared" si="7"/>
        <v>350</v>
      </c>
      <c r="AJ84" s="89"/>
      <c r="AK84" s="89"/>
      <c r="AL84" s="89"/>
      <c r="AM84" s="89"/>
      <c r="AN84" s="8" t="str">
        <f>IFERROR(Calculations!BJ82, "")</f>
        <v/>
      </c>
      <c r="AO84" s="8" t="str">
        <f>IFERROR(Calculations!BK82, "")</f>
        <v/>
      </c>
      <c r="AP84" s="8">
        <f>IFERROR(Calculations!BL82, "")</f>
        <v>13.671132605581846</v>
      </c>
      <c r="AQ84" s="8">
        <f>IFERROR(Calculations!BM82, "")</f>
        <v>30.161668096106698</v>
      </c>
      <c r="AR84" s="8" t="str">
        <f>IFERROR(Calculations!BN82, "")</f>
        <v/>
      </c>
      <c r="AS84" s="8" t="str">
        <f>IFERROR(Calculations!BO82, "")</f>
        <v/>
      </c>
      <c r="AT84" s="8" t="str">
        <f>IFERROR(Calculations!BP82, "")</f>
        <v/>
      </c>
      <c r="AU84" s="8" t="str">
        <f>IFERROR(Calculations!BQ82, "")</f>
        <v/>
      </c>
      <c r="AV84" s="8" t="str">
        <f>IFERROR(Calculations!BR82, "")</f>
        <v/>
      </c>
      <c r="AW84" s="89"/>
      <c r="AX84" s="89"/>
      <c r="AY84" s="89"/>
      <c r="AZ84" s="89"/>
      <c r="BA84" s="8" t="str">
        <f>IFERROR(Calculations!BW82, "")</f>
        <v/>
      </c>
      <c r="BB84" s="8" t="str">
        <f>IFERROR(Calculations!BX82, "")</f>
        <v/>
      </c>
      <c r="BC84" s="8" t="str">
        <f>IFERROR(Calculations!BY82, "")</f>
        <v/>
      </c>
      <c r="BD84" s="8">
        <f>IFERROR(Calculations!BZ82, "")</f>
        <v>0</v>
      </c>
      <c r="BE84" s="8">
        <f>IFERROR(Calculations!CA82, "")</f>
        <v>31.274921067328066</v>
      </c>
      <c r="BF84" s="8" t="str">
        <f>IFERROR(Calculations!CB82, "")</f>
        <v/>
      </c>
      <c r="BG84" s="8" t="str">
        <f>IFERROR(Calculations!CC82, "")</f>
        <v/>
      </c>
      <c r="BH84" s="8" t="str">
        <f>IFERROR(Calculations!CD82, "")</f>
        <v/>
      </c>
      <c r="BI84" s="8" t="str">
        <f>IFERROR(Calculations!CE82, "")</f>
        <v/>
      </c>
      <c r="BJ84" s="8">
        <f>IFERROR(IF(Calculations!CF82 &lt;&gt; 0, Calculations!CF82, ""),"")</f>
        <v>-12.557879634360475</v>
      </c>
      <c r="BK84" s="1">
        <f t="shared" si="8"/>
        <v>350</v>
      </c>
      <c r="BL84" s="1">
        <f t="shared" si="9"/>
        <v>30</v>
      </c>
      <c r="CD84" s="8"/>
      <c r="CE84" s="8"/>
      <c r="CF84" s="8"/>
      <c r="CG84" s="8"/>
      <c r="CH84" s="8"/>
      <c r="CI84" s="8"/>
      <c r="CJ84" s="8"/>
      <c r="CK84" s="8"/>
      <c r="CL84" s="8"/>
      <c r="CM84" s="8"/>
      <c r="CN84" s="8"/>
      <c r="CO84" s="8"/>
      <c r="CP84" s="8"/>
      <c r="CQ84" s="8"/>
      <c r="CR84" s="8"/>
      <c r="CS84" s="8"/>
      <c r="CT84" s="8"/>
      <c r="CU84" s="8"/>
      <c r="CV84" s="8"/>
      <c r="CW84" s="8"/>
      <c r="CX84" s="8"/>
      <c r="CY84" s="8"/>
      <c r="CZ84" s="8"/>
      <c r="DA84" s="8"/>
      <c r="DB84" s="8"/>
      <c r="DC84" s="8"/>
      <c r="DD84" s="8"/>
      <c r="DE84" s="8"/>
      <c r="DF84" s="8"/>
      <c r="DG84" s="8"/>
      <c r="DH84" s="8"/>
      <c r="DI84" s="8"/>
      <c r="DJ84" s="8"/>
      <c r="DK84" s="8"/>
      <c r="DL84" s="8"/>
      <c r="DM84" s="8"/>
      <c r="DN84" s="8"/>
      <c r="DO84" s="8"/>
      <c r="DP84" s="8"/>
      <c r="DQ84" s="8"/>
      <c r="DR84" s="8"/>
      <c r="DS84" s="8"/>
      <c r="DT84" s="8"/>
      <c r="DU84" s="8"/>
      <c r="DV84" s="8"/>
      <c r="DW84" s="8"/>
      <c r="DX84" s="8"/>
      <c r="DY84" s="8"/>
      <c r="DZ84" s="8"/>
      <c r="EA84" s="8"/>
    </row>
    <row r="85" spans="2:131" x14ac:dyDescent="0.2">
      <c r="B85" s="1">
        <f>IFERROR(Calculations!M83/1000, "")</f>
        <v>30</v>
      </c>
      <c r="C85" s="1">
        <f>Calculations!N83</f>
        <v>400</v>
      </c>
      <c r="D85" s="58">
        <f>IFERROR(Calculations!$Q83,"")</f>
        <v>1.3014221450996404</v>
      </c>
      <c r="E85" s="8">
        <f>IFERROR(Calculations!$S83, "")</f>
        <v>41.811914247554199</v>
      </c>
      <c r="F85" s="89"/>
      <c r="G85" s="89"/>
      <c r="H85" s="89"/>
      <c r="I85" s="89"/>
      <c r="J85" s="1" t="str">
        <f>IFERROR(Calculations!AC83, "")</f>
        <v/>
      </c>
      <c r="K85" s="1" t="str">
        <f>IFERROR(Calculations!AD83, "")</f>
        <v/>
      </c>
      <c r="L85" s="8">
        <f>IFERROR(Calculations!AE83,"")</f>
        <v>-54050.303341037383</v>
      </c>
      <c r="M85" s="8">
        <f>IFERROR(Calculations!AF83,"")</f>
        <v>-84815.632609667795</v>
      </c>
      <c r="N85" s="8" t="str">
        <f>IFERROR(Calculations!AG83,"")</f>
        <v/>
      </c>
      <c r="O85" s="8" t="str">
        <f>IFERROR(Calculations!AH83,"")</f>
        <v/>
      </c>
      <c r="P85" s="8" t="str">
        <f>IFERROR(Calculations!AI83,"")</f>
        <v/>
      </c>
      <c r="Q85" s="8" t="str">
        <f>IFERROR(Calculations!AJ83,"")</f>
        <v/>
      </c>
      <c r="R85" s="8" t="str">
        <f>IFERROR(Calculations!AK83,"")</f>
        <v/>
      </c>
      <c r="S85" s="89"/>
      <c r="T85" s="89"/>
      <c r="U85" s="89"/>
      <c r="V85" s="89"/>
      <c r="W85" s="1" t="str">
        <f>IFERROR(Calculations!AP83, "")</f>
        <v/>
      </c>
      <c r="X85" s="1" t="str">
        <f>IFERROR(Calculations!AQ83, "")</f>
        <v/>
      </c>
      <c r="Y85" s="8" t="str">
        <f>IFERROR(Calculations!AR83,"")</f>
        <v/>
      </c>
      <c r="Z85" s="8">
        <f>IFERROR(Calculations!AS83,"")</f>
        <v>0</v>
      </c>
      <c r="AA85" s="8">
        <f>IFERROR(Calculations!AT83,"")</f>
        <v>-128912.470504714</v>
      </c>
      <c r="AB85" s="8" t="str">
        <f>IFERROR(Calculations!AU83,"")</f>
        <v/>
      </c>
      <c r="AC85" s="8" t="str">
        <f>IFERROR(Calculations!AV83,"")</f>
        <v/>
      </c>
      <c r="AD85" s="8" t="str">
        <f>IFERROR(Calculations!AW83,"")</f>
        <v/>
      </c>
      <c r="AE85" s="8" t="str">
        <f>IFERROR(Calculations!AX83,"")</f>
        <v/>
      </c>
      <c r="AF85" s="8">
        <f>IFERROR(IF(Calculations!AY83 &lt;&gt; 0, Calculations!AY83, ""),"")</f>
        <v>9953.465445991169</v>
      </c>
      <c r="AG85" s="42">
        <f>IFERROR(IF(Calculations!AZ83 &lt;&gt; 0, Calculations!AZ83, ""),"")</f>
        <v>-3.2336598662689102</v>
      </c>
      <c r="AH85" s="1">
        <f t="shared" si="6"/>
        <v>30</v>
      </c>
      <c r="AI85" s="1">
        <f t="shared" si="7"/>
        <v>400</v>
      </c>
      <c r="AJ85" s="89"/>
      <c r="AK85" s="89"/>
      <c r="AL85" s="89"/>
      <c r="AM85" s="89"/>
      <c r="AN85" s="8" t="str">
        <f>IFERROR(Calculations!BJ83, "")</f>
        <v/>
      </c>
      <c r="AO85" s="8" t="str">
        <f>IFERROR(Calculations!BK83, "")</f>
        <v/>
      </c>
      <c r="AP85" s="8">
        <f>IFERROR(Calculations!BL83, "")</f>
        <v>13.842764292765821</v>
      </c>
      <c r="AQ85" s="8">
        <f>IFERROR(Calculations!BM83, "")</f>
        <v>30.199544765557214</v>
      </c>
      <c r="AR85" s="8" t="str">
        <f>IFERROR(Calculations!BN83, "")</f>
        <v/>
      </c>
      <c r="AS85" s="8" t="str">
        <f>IFERROR(Calculations!BO83, "")</f>
        <v/>
      </c>
      <c r="AT85" s="8" t="str">
        <f>IFERROR(Calculations!BP83, "")</f>
        <v/>
      </c>
      <c r="AU85" s="8" t="str">
        <f>IFERROR(Calculations!BQ83, "")</f>
        <v/>
      </c>
      <c r="AV85" s="8" t="str">
        <f>IFERROR(Calculations!BR83, "")</f>
        <v/>
      </c>
      <c r="AW85" s="89"/>
      <c r="AX85" s="89"/>
      <c r="AY85" s="89"/>
      <c r="AZ85" s="89"/>
      <c r="BA85" s="8" t="str">
        <f>IFERROR(Calculations!BW83, "")</f>
        <v/>
      </c>
      <c r="BB85" s="8" t="str">
        <f>IFERROR(Calculations!BX83, "")</f>
        <v/>
      </c>
      <c r="BC85" s="8" t="str">
        <f>IFERROR(Calculations!BY83, "")</f>
        <v/>
      </c>
      <c r="BD85" s="8">
        <f>IFERROR(Calculations!BZ83, "")</f>
        <v>0</v>
      </c>
      <c r="BE85" s="8">
        <f>IFERROR(Calculations!CA83, "")</f>
        <v>31.180146076481321</v>
      </c>
      <c r="BF85" s="8" t="str">
        <f>IFERROR(Calculations!CB83, "")</f>
        <v/>
      </c>
      <c r="BG85" s="8" t="str">
        <f>IFERROR(Calculations!CC83, "")</f>
        <v/>
      </c>
      <c r="BH85" s="8" t="str">
        <f>IFERROR(Calculations!CD83, "")</f>
        <v/>
      </c>
      <c r="BI85" s="8" t="str">
        <f>IFERROR(Calculations!CE83, "")</f>
        <v/>
      </c>
      <c r="BJ85" s="8">
        <f>IFERROR(IF(Calculations!CF83 &lt;&gt; 0, Calculations!CF83, ""),"")</f>
        <v>-12.862162981841713</v>
      </c>
      <c r="BK85" s="1">
        <f t="shared" si="8"/>
        <v>400</v>
      </c>
      <c r="BL85" s="1">
        <f t="shared" si="9"/>
        <v>30</v>
      </c>
      <c r="CD85" s="8"/>
      <c r="CE85" s="8"/>
      <c r="CF85" s="8"/>
      <c r="CG85" s="8"/>
      <c r="CH85" s="8"/>
      <c r="CI85" s="8"/>
      <c r="CJ85" s="8"/>
      <c r="CK85" s="8"/>
      <c r="CL85" s="8"/>
      <c r="CM85" s="8"/>
      <c r="CN85" s="8"/>
      <c r="CO85" s="8"/>
      <c r="CP85" s="8"/>
      <c r="CQ85" s="8"/>
      <c r="CR85" s="8"/>
      <c r="CS85" s="8"/>
      <c r="CT85" s="8"/>
      <c r="CU85" s="8"/>
      <c r="CV85" s="8"/>
      <c r="CW85" s="8"/>
      <c r="CX85" s="8"/>
      <c r="CY85" s="8"/>
      <c r="CZ85" s="8"/>
      <c r="DA85" s="8"/>
      <c r="DB85" s="8"/>
      <c r="DC85" s="8"/>
      <c r="DD85" s="8"/>
      <c r="DE85" s="8"/>
      <c r="DF85" s="8"/>
      <c r="DG85" s="8"/>
      <c r="DH85" s="8"/>
      <c r="DI85" s="8"/>
      <c r="DJ85" s="8"/>
      <c r="DK85" s="8"/>
      <c r="DL85" s="8"/>
      <c r="DM85" s="8"/>
      <c r="DN85" s="8"/>
      <c r="DO85" s="8"/>
      <c r="DP85" s="8"/>
      <c r="DQ85" s="8"/>
      <c r="DR85" s="8"/>
      <c r="DS85" s="8"/>
      <c r="DT85" s="8"/>
      <c r="DU85" s="8"/>
      <c r="DV85" s="8"/>
      <c r="DW85" s="8"/>
      <c r="DX85" s="8"/>
      <c r="DY85" s="8"/>
      <c r="DZ85" s="8"/>
      <c r="EA85" s="8"/>
    </row>
    <row r="86" spans="2:131" x14ac:dyDescent="0.2">
      <c r="B86" s="1">
        <f>IFERROR(Calculations!M84/1000, "")</f>
        <v>30</v>
      </c>
      <c r="C86" s="1">
        <f>Calculations!N84</f>
        <v>450</v>
      </c>
      <c r="D86" s="58">
        <f>IFERROR(Calculations!$Q84,"")</f>
        <v>1.2853039215326312</v>
      </c>
      <c r="E86" s="8">
        <f>IFERROR(Calculations!$S84, "")</f>
        <v>37.64639194503247</v>
      </c>
      <c r="F86" s="89"/>
      <c r="G86" s="89"/>
      <c r="H86" s="89"/>
      <c r="I86" s="89"/>
      <c r="J86" s="1" t="str">
        <f>IFERROR(Calculations!AC84, "")</f>
        <v/>
      </c>
      <c r="K86" s="1" t="str">
        <f>IFERROR(Calculations!AD84, "")</f>
        <v/>
      </c>
      <c r="L86" s="8">
        <f>IFERROR(Calculations!AE84,"")</f>
        <v>-55358.878363584154</v>
      </c>
      <c r="M86" s="8">
        <f>IFERROR(Calculations!AF84,"")</f>
        <v>-86965.211447665148</v>
      </c>
      <c r="N86" s="8" t="str">
        <f>IFERROR(Calculations!AG84,"")</f>
        <v/>
      </c>
      <c r="O86" s="8" t="str">
        <f>IFERROR(Calculations!AH84,"")</f>
        <v/>
      </c>
      <c r="P86" s="8" t="str">
        <f>IFERROR(Calculations!AI84,"")</f>
        <v/>
      </c>
      <c r="Q86" s="8" t="str">
        <f>IFERROR(Calculations!AJ84,"")</f>
        <v/>
      </c>
      <c r="R86" s="8" t="str">
        <f>IFERROR(Calculations!AK84,"")</f>
        <v/>
      </c>
      <c r="S86" s="89"/>
      <c r="T86" s="89"/>
      <c r="U86" s="89"/>
      <c r="V86" s="89"/>
      <c r="W86" s="1" t="str">
        <f>IFERROR(Calculations!AP84, "")</f>
        <v/>
      </c>
      <c r="X86" s="1" t="str">
        <f>IFERROR(Calculations!AQ84, "")</f>
        <v/>
      </c>
      <c r="Y86" s="8" t="str">
        <f>IFERROR(Calculations!AR84,"")</f>
        <v/>
      </c>
      <c r="Z86" s="8">
        <f>IFERROR(Calculations!AS84,"")</f>
        <v>0</v>
      </c>
      <c r="AA86" s="8">
        <f>IFERROR(Calculations!AT84,"")</f>
        <v>-130514.30844138577</v>
      </c>
      <c r="AB86" s="8" t="str">
        <f>IFERROR(Calculations!AU84,"")</f>
        <v/>
      </c>
      <c r="AC86" s="8" t="str">
        <f>IFERROR(Calculations!AV84,"")</f>
        <v/>
      </c>
      <c r="AD86" s="8" t="str">
        <f>IFERROR(Calculations!AW84,"")</f>
        <v/>
      </c>
      <c r="AE86" s="8" t="str">
        <f>IFERROR(Calculations!AX84,"")</f>
        <v/>
      </c>
      <c r="AF86" s="8">
        <f>IFERROR(IF(Calculations!AY84 &lt;&gt; 0, Calculations!AY84, ""),"")</f>
        <v>11809.781369863515</v>
      </c>
      <c r="AG86" s="42">
        <f>IFERROR(IF(Calculations!AZ84 &lt;&gt; 0, Calculations!AZ84, ""),"")</f>
        <v>-3.5714563022105454</v>
      </c>
      <c r="AH86" s="1">
        <f t="shared" si="6"/>
        <v>30</v>
      </c>
      <c r="AI86" s="1">
        <f t="shared" si="7"/>
        <v>450</v>
      </c>
      <c r="AJ86" s="89"/>
      <c r="AK86" s="89"/>
      <c r="AL86" s="89"/>
      <c r="AM86" s="89"/>
      <c r="AN86" s="8" t="str">
        <f>IFERROR(Calculations!BJ84, "")</f>
        <v/>
      </c>
      <c r="AO86" s="8" t="str">
        <f>IFERROR(Calculations!BK84, "")</f>
        <v/>
      </c>
      <c r="AP86" s="8">
        <f>IFERROR(Calculations!BL84, "")</f>
        <v>14.016358075464435</v>
      </c>
      <c r="AQ86" s="8">
        <f>IFERROR(Calculations!BM84, "")</f>
        <v>30.245107812723063</v>
      </c>
      <c r="AR86" s="8" t="str">
        <f>IFERROR(Calculations!BN84, "")</f>
        <v/>
      </c>
      <c r="AS86" s="8" t="str">
        <f>IFERROR(Calculations!BO84, "")</f>
        <v/>
      </c>
      <c r="AT86" s="8" t="str">
        <f>IFERROR(Calculations!BP84, "")</f>
        <v/>
      </c>
      <c r="AU86" s="8" t="str">
        <f>IFERROR(Calculations!BQ84, "")</f>
        <v/>
      </c>
      <c r="AV86" s="8" t="str">
        <f>IFERROR(Calculations!BR84, "")</f>
        <v/>
      </c>
      <c r="AW86" s="89"/>
      <c r="AX86" s="89"/>
      <c r="AY86" s="89"/>
      <c r="AZ86" s="89"/>
      <c r="BA86" s="8" t="str">
        <f>IFERROR(Calculations!BW84, "")</f>
        <v/>
      </c>
      <c r="BB86" s="8" t="str">
        <f>IFERROR(Calculations!BX84, "")</f>
        <v/>
      </c>
      <c r="BC86" s="8" t="str">
        <f>IFERROR(Calculations!BY84, "")</f>
        <v/>
      </c>
      <c r="BD86" s="8">
        <f>IFERROR(Calculations!BZ84, "")</f>
        <v>0</v>
      </c>
      <c r="BE86" s="8">
        <f>IFERROR(Calculations!CA84, "")</f>
        <v>31.080102727152681</v>
      </c>
      <c r="BF86" s="8" t="str">
        <f>IFERROR(Calculations!CB84, "")</f>
        <v/>
      </c>
      <c r="BG86" s="8" t="str">
        <f>IFERROR(Calculations!CC84, "")</f>
        <v/>
      </c>
      <c r="BH86" s="8" t="str">
        <f>IFERROR(Calculations!CD84, "")</f>
        <v/>
      </c>
      <c r="BI86" s="8" t="str">
        <f>IFERROR(Calculations!CE84, "")</f>
        <v/>
      </c>
      <c r="BJ86" s="8">
        <f>IFERROR(IF(Calculations!CF84 &lt;&gt; 0, Calculations!CF84, ""),"")</f>
        <v>-13.18136316103482</v>
      </c>
      <c r="BK86" s="1">
        <f t="shared" si="8"/>
        <v>450</v>
      </c>
      <c r="BL86" s="1">
        <f t="shared" si="9"/>
        <v>30</v>
      </c>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c r="DK86" s="8"/>
      <c r="DL86" s="8"/>
      <c r="DM86" s="8"/>
      <c r="DN86" s="8"/>
      <c r="DO86" s="8"/>
      <c r="DP86" s="8"/>
      <c r="DQ86" s="8"/>
      <c r="DR86" s="8"/>
      <c r="DS86" s="8"/>
      <c r="DT86" s="8"/>
      <c r="DU86" s="8"/>
      <c r="DV86" s="8"/>
      <c r="DW86" s="8"/>
      <c r="DX86" s="8"/>
      <c r="DY86" s="8"/>
      <c r="DZ86" s="8"/>
      <c r="EA86" s="8"/>
    </row>
    <row r="87" spans="2:131" x14ac:dyDescent="0.2">
      <c r="B87" s="1">
        <f>IFERROR(Calculations!M85/1000, "")</f>
        <v>30</v>
      </c>
      <c r="C87" s="1">
        <f>Calculations!N85</f>
        <v>500</v>
      </c>
      <c r="D87" s="58">
        <f>IFERROR(Calculations!$Q85,"")</f>
        <v>1.2693785182201862</v>
      </c>
      <c r="E87" s="8">
        <f>IFERROR(Calculations!$S85, "")</f>
        <v>34.009466296566615</v>
      </c>
      <c r="F87" s="89"/>
      <c r="G87" s="89"/>
      <c r="H87" s="89"/>
      <c r="I87" s="89"/>
      <c r="J87" s="1" t="str">
        <f>IFERROR(Calculations!AC85, "")</f>
        <v/>
      </c>
      <c r="K87" s="1" t="str">
        <f>IFERROR(Calculations!AD85, "")</f>
        <v/>
      </c>
      <c r="L87" s="8">
        <f>IFERROR(Calculations!AE85,"")</f>
        <v>-56714.168719763366</v>
      </c>
      <c r="M87" s="8">
        <f>IFERROR(Calculations!AF85,"")</f>
        <v>-89159.935255721517</v>
      </c>
      <c r="N87" s="8" t="str">
        <f>IFERROR(Calculations!AG85,"")</f>
        <v/>
      </c>
      <c r="O87" s="8" t="str">
        <f>IFERROR(Calculations!AH85,"")</f>
        <v/>
      </c>
      <c r="P87" s="8" t="str">
        <f>IFERROR(Calculations!AI85,"")</f>
        <v/>
      </c>
      <c r="Q87" s="8" t="str">
        <f>IFERROR(Calculations!AJ85,"")</f>
        <v/>
      </c>
      <c r="R87" s="8" t="str">
        <f>IFERROR(Calculations!AK85,"")</f>
        <v/>
      </c>
      <c r="S87" s="89"/>
      <c r="T87" s="89"/>
      <c r="U87" s="89"/>
      <c r="V87" s="89"/>
      <c r="W87" s="1" t="str">
        <f>IFERROR(Calculations!AP85, "")</f>
        <v/>
      </c>
      <c r="X87" s="1" t="str">
        <f>IFERROR(Calculations!AQ85, "")</f>
        <v/>
      </c>
      <c r="Y87" s="8" t="str">
        <f>IFERROR(Calculations!AR85,"")</f>
        <v/>
      </c>
      <c r="Z87" s="8">
        <f>IFERROR(Calculations!AS85,"")</f>
        <v>0</v>
      </c>
      <c r="AA87" s="8">
        <f>IFERROR(Calculations!AT85,"")</f>
        <v>-132131.1467261776</v>
      </c>
      <c r="AB87" s="8" t="str">
        <f>IFERROR(Calculations!AU85,"")</f>
        <v/>
      </c>
      <c r="AC87" s="8" t="str">
        <f>IFERROR(Calculations!AV85,"")</f>
        <v/>
      </c>
      <c r="AD87" s="8" t="str">
        <f>IFERROR(Calculations!AW85,"")</f>
        <v/>
      </c>
      <c r="AE87" s="8" t="str">
        <f>IFERROR(Calculations!AX85,"")</f>
        <v/>
      </c>
      <c r="AF87" s="8">
        <f>IFERROR(IF(Calculations!AY85 &lt;&gt; 0, Calculations!AY85, ""),"")</f>
        <v>13742.957249307277</v>
      </c>
      <c r="AG87" s="42">
        <f>IFERROR(IF(Calculations!AZ85 &lt;&gt; 0, Calculations!AZ85, ""),"")</f>
        <v>-3.8873022424197337</v>
      </c>
      <c r="AH87" s="1">
        <f t="shared" si="6"/>
        <v>30</v>
      </c>
      <c r="AI87" s="1">
        <f t="shared" si="7"/>
        <v>500</v>
      </c>
      <c r="AJ87" s="89"/>
      <c r="AK87" s="89"/>
      <c r="AL87" s="89"/>
      <c r="AM87" s="89"/>
      <c r="AN87" s="8" t="str">
        <f>IFERROR(Calculations!BJ85, "")</f>
        <v/>
      </c>
      <c r="AO87" s="8" t="str">
        <f>IFERROR(Calculations!BK85, "")</f>
        <v/>
      </c>
      <c r="AP87" s="8">
        <f>IFERROR(Calculations!BL85, "")</f>
        <v>14.192204879329045</v>
      </c>
      <c r="AQ87" s="8">
        <f>IFERROR(Calculations!BM85, "")</f>
        <v>30.296986103837718</v>
      </c>
      <c r="AR87" s="8" t="str">
        <f>IFERROR(Calculations!BN85, "")</f>
        <v/>
      </c>
      <c r="AS87" s="8" t="str">
        <f>IFERROR(Calculations!BO85, "")</f>
        <v/>
      </c>
      <c r="AT87" s="8" t="str">
        <f>IFERROR(Calculations!BP85, "")</f>
        <v/>
      </c>
      <c r="AU87" s="8" t="str">
        <f>IFERROR(Calculations!BQ85, "")</f>
        <v/>
      </c>
      <c r="AV87" s="8" t="str">
        <f>IFERROR(Calculations!BR85, "")</f>
        <v/>
      </c>
      <c r="AW87" s="89"/>
      <c r="AX87" s="89"/>
      <c r="AY87" s="89"/>
      <c r="AZ87" s="89"/>
      <c r="BA87" s="8" t="str">
        <f>IFERROR(Calculations!BW85, "")</f>
        <v/>
      </c>
      <c r="BB87" s="8" t="str">
        <f>IFERROR(Calculations!BX85, "")</f>
        <v/>
      </c>
      <c r="BC87" s="8" t="str">
        <f>IFERROR(Calculations!BY85, "")</f>
        <v/>
      </c>
      <c r="BD87" s="8">
        <f>IFERROR(Calculations!BZ85, "")</f>
        <v>0</v>
      </c>
      <c r="BE87" s="8">
        <f>IFERROR(Calculations!CA85, "")</f>
        <v>30.975056775112041</v>
      </c>
      <c r="BF87" s="8" t="str">
        <f>IFERROR(Calculations!CB85, "")</f>
        <v/>
      </c>
      <c r="BG87" s="8" t="str">
        <f>IFERROR(Calculations!CC85, "")</f>
        <v/>
      </c>
      <c r="BH87" s="8" t="str">
        <f>IFERROR(Calculations!CD85, "")</f>
        <v/>
      </c>
      <c r="BI87" s="8" t="str">
        <f>IFERROR(Calculations!CE85, "")</f>
        <v/>
      </c>
      <c r="BJ87" s="8">
        <f>IFERROR(IF(Calculations!CF85 &lt;&gt; 0, Calculations!CF85, ""),"")</f>
        <v>-13.514134208054724</v>
      </c>
      <c r="BK87" s="1">
        <f t="shared" si="8"/>
        <v>500</v>
      </c>
      <c r="BL87" s="1">
        <f t="shared" si="9"/>
        <v>30</v>
      </c>
      <c r="CD87" s="8"/>
      <c r="CE87" s="8"/>
      <c r="CF87" s="8"/>
      <c r="CG87" s="8"/>
      <c r="CH87" s="8"/>
      <c r="CI87" s="8"/>
      <c r="CJ87" s="8"/>
      <c r="CK87" s="8"/>
      <c r="CL87" s="8"/>
      <c r="CM87" s="8"/>
      <c r="CN87" s="8"/>
      <c r="CO87" s="8"/>
      <c r="CP87" s="8"/>
      <c r="CQ87" s="8"/>
      <c r="CR87" s="8"/>
      <c r="CS87" s="8"/>
      <c r="CT87" s="8"/>
      <c r="CU87" s="8"/>
      <c r="CV87" s="8"/>
      <c r="CW87" s="8"/>
      <c r="CX87" s="8"/>
      <c r="CY87" s="8"/>
      <c r="CZ87" s="8"/>
      <c r="DA87" s="8"/>
      <c r="DB87" s="8"/>
      <c r="DC87" s="8"/>
      <c r="DD87" s="8"/>
      <c r="DE87" s="8"/>
      <c r="DF87" s="8"/>
      <c r="DG87" s="8"/>
      <c r="DH87" s="8"/>
      <c r="DI87" s="8"/>
      <c r="DJ87" s="8"/>
      <c r="DK87" s="8"/>
      <c r="DL87" s="8"/>
      <c r="DM87" s="8"/>
      <c r="DN87" s="8"/>
      <c r="DO87" s="8"/>
      <c r="DP87" s="8"/>
      <c r="DQ87" s="8"/>
      <c r="DR87" s="8"/>
      <c r="DS87" s="8"/>
      <c r="DT87" s="8"/>
      <c r="DU87" s="8"/>
      <c r="DV87" s="8"/>
      <c r="DW87" s="8"/>
      <c r="DX87" s="8"/>
      <c r="DY87" s="8"/>
      <c r="DZ87" s="8"/>
      <c r="EA87" s="8"/>
    </row>
    <row r="88" spans="2:131" x14ac:dyDescent="0.2">
      <c r="B88" s="1">
        <f>IFERROR(Calculations!M86/1000, "")</f>
        <v>30</v>
      </c>
      <c r="C88" s="1">
        <f>Calculations!N86</f>
        <v>550</v>
      </c>
      <c r="D88" s="58">
        <f>IFERROR(Calculations!$Q86,"")</f>
        <v>1.2536499584597349</v>
      </c>
      <c r="E88" s="8">
        <f>IFERROR(Calculations!$S86, "")</f>
        <v>30.816399075386126</v>
      </c>
      <c r="F88" s="89"/>
      <c r="G88" s="89"/>
      <c r="H88" s="89"/>
      <c r="I88" s="89"/>
      <c r="J88" s="1" t="str">
        <f>IFERROR(Calculations!AC86, "")</f>
        <v/>
      </c>
      <c r="K88" s="1" t="str">
        <f>IFERROR(Calculations!AD86, "")</f>
        <v/>
      </c>
      <c r="L88" s="8">
        <f>IFERROR(Calculations!AE86,"")</f>
        <v>-58109.296562831616</v>
      </c>
      <c r="M88" s="8">
        <f>IFERROR(Calculations!AF86,"")</f>
        <v>-91398.925974793427</v>
      </c>
      <c r="N88" s="8" t="str">
        <f>IFERROR(Calculations!AG86,"")</f>
        <v/>
      </c>
      <c r="O88" s="8" t="str">
        <f>IFERROR(Calculations!AH86,"")</f>
        <v/>
      </c>
      <c r="P88" s="8" t="str">
        <f>IFERROR(Calculations!AI86,"")</f>
        <v/>
      </c>
      <c r="Q88" s="8" t="str">
        <f>IFERROR(Calculations!AJ86,"")</f>
        <v/>
      </c>
      <c r="R88" s="8" t="str">
        <f>IFERROR(Calculations!AK86,"")</f>
        <v/>
      </c>
      <c r="S88" s="89"/>
      <c r="T88" s="89"/>
      <c r="U88" s="89"/>
      <c r="V88" s="89"/>
      <c r="W88" s="1" t="str">
        <f>IFERROR(Calculations!AP86, "")</f>
        <v/>
      </c>
      <c r="X88" s="1" t="str">
        <f>IFERROR(Calculations!AQ86, "")</f>
        <v/>
      </c>
      <c r="Y88" s="8" t="str">
        <f>IFERROR(Calculations!AR86,"")</f>
        <v/>
      </c>
      <c r="Z88" s="8">
        <f>IFERROR(Calculations!AS86,"")</f>
        <v>0</v>
      </c>
      <c r="AA88" s="8">
        <f>IFERROR(Calculations!AT86,"")</f>
        <v>-133758.58249247176</v>
      </c>
      <c r="AB88" s="8" t="str">
        <f>IFERROR(Calculations!AU86,"")</f>
        <v/>
      </c>
      <c r="AC88" s="8" t="str">
        <f>IFERROR(Calculations!AV86,"")</f>
        <v/>
      </c>
      <c r="AD88" s="8" t="str">
        <f>IFERROR(Calculations!AW86,"")</f>
        <v/>
      </c>
      <c r="AE88" s="8" t="str">
        <f>IFERROR(Calculations!AX86,"")</f>
        <v/>
      </c>
      <c r="AF88" s="8">
        <f>IFERROR(IF(Calculations!AY86 &lt;&gt; 0, Calculations!AY86, ""),"")</f>
        <v>15749.640045153297</v>
      </c>
      <c r="AG88" s="42">
        <f>IFERROR(IF(Calculations!AZ86 &lt;&gt; 0, Calculations!AZ86, ""),"")</f>
        <v>-4.1843068325501251</v>
      </c>
      <c r="AH88" s="1">
        <f t="shared" si="6"/>
        <v>30</v>
      </c>
      <c r="AI88" s="1">
        <f t="shared" si="7"/>
        <v>550</v>
      </c>
      <c r="AJ88" s="89"/>
      <c r="AK88" s="89"/>
      <c r="AL88" s="89"/>
      <c r="AM88" s="89"/>
      <c r="AN88" s="8" t="str">
        <f>IFERROR(Calculations!BJ86, "")</f>
        <v/>
      </c>
      <c r="AO88" s="8" t="str">
        <f>IFERROR(Calculations!BK86, "")</f>
        <v/>
      </c>
      <c r="AP88" s="8">
        <f>IFERROR(Calculations!BL86, "")</f>
        <v>14.37026330869425</v>
      </c>
      <c r="AQ88" s="8">
        <f>IFERROR(Calculations!BM86, "")</f>
        <v>30.354235358859857</v>
      </c>
      <c r="AR88" s="8" t="str">
        <f>IFERROR(Calculations!BN86, "")</f>
        <v/>
      </c>
      <c r="AS88" s="8" t="str">
        <f>IFERROR(Calculations!BO86, "")</f>
        <v/>
      </c>
      <c r="AT88" s="8" t="str">
        <f>IFERROR(Calculations!BP86, "")</f>
        <v/>
      </c>
      <c r="AU88" s="8" t="str">
        <f>IFERROR(Calculations!BQ86, "")</f>
        <v/>
      </c>
      <c r="AV88" s="8" t="str">
        <f>IFERROR(Calculations!BR86, "")</f>
        <v/>
      </c>
      <c r="AW88" s="89"/>
      <c r="AX88" s="89"/>
      <c r="AY88" s="89"/>
      <c r="AZ88" s="89"/>
      <c r="BA88" s="8" t="str">
        <f>IFERROR(Calculations!BW86, "")</f>
        <v/>
      </c>
      <c r="BB88" s="8" t="str">
        <f>IFERROR(Calculations!BX86, "")</f>
        <v/>
      </c>
      <c r="BC88" s="8" t="str">
        <f>IFERROR(Calculations!BY86, "")</f>
        <v/>
      </c>
      <c r="BD88" s="8">
        <f>IFERROR(Calculations!BZ86, "")</f>
        <v>0</v>
      </c>
      <c r="BE88" s="8">
        <f>IFERROR(Calculations!CA86, "")</f>
        <v>30.865238649594215</v>
      </c>
      <c r="BF88" s="8" t="str">
        <f>IFERROR(Calculations!CB86, "")</f>
        <v/>
      </c>
      <c r="BG88" s="8" t="str">
        <f>IFERROR(Calculations!CC86, "")</f>
        <v/>
      </c>
      <c r="BH88" s="8" t="str">
        <f>IFERROR(Calculations!CD86, "")</f>
        <v/>
      </c>
      <c r="BI88" s="8" t="str">
        <f>IFERROR(Calculations!CE86, "")</f>
        <v/>
      </c>
      <c r="BJ88" s="8">
        <f>IFERROR(IF(Calculations!CF86 &lt;&gt; 0, Calculations!CF86, ""),"")</f>
        <v>-13.859260017959894</v>
      </c>
      <c r="BK88" s="1">
        <f t="shared" si="8"/>
        <v>550</v>
      </c>
      <c r="BL88" s="1">
        <f t="shared" si="9"/>
        <v>30</v>
      </c>
      <c r="CD88" s="8"/>
      <c r="CE88" s="8"/>
      <c r="CF88" s="8"/>
      <c r="CG88" s="8"/>
      <c r="CH88" s="8"/>
      <c r="CI88" s="8"/>
      <c r="CJ88" s="8"/>
      <c r="CK88" s="8"/>
      <c r="CL88" s="8"/>
      <c r="CM88" s="8"/>
      <c r="CN88" s="8"/>
      <c r="CO88" s="8"/>
      <c r="CP88" s="8"/>
      <c r="CQ88" s="8"/>
      <c r="CR88" s="8"/>
      <c r="CS88" s="8"/>
      <c r="CT88" s="8"/>
      <c r="CU88" s="8"/>
      <c r="CV88" s="8"/>
      <c r="CW88" s="8"/>
      <c r="CX88" s="8"/>
      <c r="CY88" s="8"/>
      <c r="CZ88" s="8"/>
      <c r="DA88" s="8"/>
      <c r="DB88" s="8"/>
      <c r="DC88" s="8"/>
      <c r="DD88" s="8"/>
      <c r="DE88" s="8"/>
      <c r="DF88" s="8"/>
      <c r="DG88" s="8"/>
      <c r="DH88" s="8"/>
      <c r="DI88" s="8"/>
      <c r="DJ88" s="8"/>
      <c r="DK88" s="8"/>
      <c r="DL88" s="8"/>
      <c r="DM88" s="8"/>
      <c r="DN88" s="8"/>
      <c r="DO88" s="8"/>
      <c r="DP88" s="8"/>
      <c r="DQ88" s="8"/>
      <c r="DR88" s="8"/>
      <c r="DS88" s="8"/>
      <c r="DT88" s="8"/>
      <c r="DU88" s="8"/>
      <c r="DV88" s="8"/>
      <c r="DW88" s="8"/>
      <c r="DX88" s="8"/>
      <c r="DY88" s="8"/>
      <c r="DZ88" s="8"/>
      <c r="EA88" s="8"/>
    </row>
    <row r="89" spans="2:131" x14ac:dyDescent="0.2">
      <c r="B89" s="1">
        <f>IFERROR(Calculations!M87/1000, "")</f>
        <v>30</v>
      </c>
      <c r="C89" s="1">
        <f>Calculations!N87</f>
        <v>600</v>
      </c>
      <c r="D89" s="58">
        <f>IFERROR(Calculations!$Q87,"")</f>
        <v>1.2381362725841998</v>
      </c>
      <c r="E89" s="8">
        <f>IFERROR(Calculations!$S87, "")</f>
        <v>28.000503999496633</v>
      </c>
      <c r="F89" s="89"/>
      <c r="G89" s="89"/>
      <c r="H89" s="89"/>
      <c r="I89" s="89"/>
      <c r="J89" s="1" t="str">
        <f>IFERROR(Calculations!AC87, "")</f>
        <v/>
      </c>
      <c r="K89" s="1" t="str">
        <f>IFERROR(Calculations!AD87, "")</f>
        <v/>
      </c>
      <c r="L89" s="8">
        <f>IFERROR(Calculations!AE87,"")</f>
        <v>-59541.521011712117</v>
      </c>
      <c r="M89" s="8">
        <f>IFERROR(Calculations!AF87,"")</f>
        <v>-93681.410182244348</v>
      </c>
      <c r="N89" s="8" t="str">
        <f>IFERROR(Calculations!AG87,"")</f>
        <v/>
      </c>
      <c r="O89" s="8" t="str">
        <f>IFERROR(Calculations!AH87,"")</f>
        <v/>
      </c>
      <c r="P89" s="8" t="str">
        <f>IFERROR(Calculations!AI87,"")</f>
        <v/>
      </c>
      <c r="Q89" s="8" t="str">
        <f>IFERROR(Calculations!AJ87,"")</f>
        <v/>
      </c>
      <c r="R89" s="8" t="str">
        <f>IFERROR(Calculations!AK87,"")</f>
        <v/>
      </c>
      <c r="S89" s="89"/>
      <c r="T89" s="89"/>
      <c r="U89" s="89"/>
      <c r="V89" s="89"/>
      <c r="W89" s="1" t="str">
        <f>IFERROR(Calculations!AP87, "")</f>
        <v/>
      </c>
      <c r="X89" s="1" t="str">
        <f>IFERROR(Calculations!AQ87, "")</f>
        <v/>
      </c>
      <c r="Y89" s="8" t="str">
        <f>IFERROR(Calculations!AR87,"")</f>
        <v/>
      </c>
      <c r="Z89" s="8">
        <f>IFERROR(Calculations!AS87,"")</f>
        <v>0</v>
      </c>
      <c r="AA89" s="8">
        <f>IFERROR(Calculations!AT87,"")</f>
        <v>-135392.79869296512</v>
      </c>
      <c r="AB89" s="8" t="str">
        <f>IFERROR(Calculations!AU87,"")</f>
        <v/>
      </c>
      <c r="AC89" s="8" t="str">
        <f>IFERROR(Calculations!AV87,"")</f>
        <v/>
      </c>
      <c r="AD89" s="8" t="str">
        <f>IFERROR(Calculations!AW87,"")</f>
        <v/>
      </c>
      <c r="AE89" s="8" t="str">
        <f>IFERROR(Calculations!AX87,"")</f>
        <v/>
      </c>
      <c r="AF89" s="8">
        <f>IFERROR(IF(Calculations!AY87 &lt;&gt; 0, Calculations!AY87, ""),"")</f>
        <v>17830.132500991342</v>
      </c>
      <c r="AG89" s="42">
        <f>IFERROR(IF(Calculations!AZ87 &lt;&gt; 0, Calculations!AZ87, ""),"")</f>
        <v>-4.4657826877961666</v>
      </c>
      <c r="AH89" s="1">
        <f t="shared" si="6"/>
        <v>30</v>
      </c>
      <c r="AI89" s="1">
        <f t="shared" si="7"/>
        <v>600</v>
      </c>
      <c r="AJ89" s="89"/>
      <c r="AK89" s="89"/>
      <c r="AL89" s="89"/>
      <c r="AM89" s="89"/>
      <c r="AN89" s="8" t="str">
        <f>IFERROR(Calculations!BJ87, "")</f>
        <v/>
      </c>
      <c r="AO89" s="8" t="str">
        <f>IFERROR(Calculations!BK87, "")</f>
        <v/>
      </c>
      <c r="AP89" s="8">
        <f>IFERROR(Calculations!BL87, "")</f>
        <v>14.550320832131883</v>
      </c>
      <c r="AQ89" s="8">
        <f>IFERROR(Calculations!BM87, "")</f>
        <v>30.41615843317954</v>
      </c>
      <c r="AR89" s="8" t="str">
        <f>IFERROR(Calculations!BN87, "")</f>
        <v/>
      </c>
      <c r="AS89" s="8" t="str">
        <f>IFERROR(Calculations!BO87, "")</f>
        <v/>
      </c>
      <c r="AT89" s="8" t="str">
        <f>IFERROR(Calculations!BP87, "")</f>
        <v/>
      </c>
      <c r="AU89" s="8" t="str">
        <f>IFERROR(Calculations!BQ87, "")</f>
        <v/>
      </c>
      <c r="AV89" s="8" t="str">
        <f>IFERROR(Calculations!BR87, "")</f>
        <v/>
      </c>
      <c r="AW89" s="89"/>
      <c r="AX89" s="89"/>
      <c r="AY89" s="89"/>
      <c r="AZ89" s="89"/>
      <c r="BA89" s="8" t="str">
        <f>IFERROR(Calculations!BW87, "")</f>
        <v/>
      </c>
      <c r="BB89" s="8" t="str">
        <f>IFERROR(Calculations!BX87, "")</f>
        <v/>
      </c>
      <c r="BC89" s="8" t="str">
        <f>IFERROR(Calculations!BY87, "")</f>
        <v/>
      </c>
      <c r="BD89" s="8">
        <f>IFERROR(Calculations!BZ87, "")</f>
        <v>0</v>
      </c>
      <c r="BE89" s="8">
        <f>IFERROR(Calculations!CA87, "")</f>
        <v>30.750879918057212</v>
      </c>
      <c r="BF89" s="8" t="str">
        <f>IFERROR(Calculations!CB87, "")</f>
        <v/>
      </c>
      <c r="BG89" s="8" t="str">
        <f>IFERROR(Calculations!CC87, "")</f>
        <v/>
      </c>
      <c r="BH89" s="8" t="str">
        <f>IFERROR(Calculations!CD87, "")</f>
        <v/>
      </c>
      <c r="BI89" s="8" t="str">
        <f>IFERROR(Calculations!CE87, "")</f>
        <v/>
      </c>
      <c r="BJ89" s="8">
        <f>IFERROR(IF(Calculations!CF87 &lt;&gt; 0, Calculations!CF87, ""),"")</f>
        <v>-14.215599347254209</v>
      </c>
      <c r="BK89" s="1">
        <f t="shared" si="8"/>
        <v>600</v>
      </c>
      <c r="BL89" s="1">
        <f t="shared" si="9"/>
        <v>30</v>
      </c>
      <c r="CD89" s="8"/>
      <c r="CE89" s="8"/>
      <c r="CF89" s="8"/>
      <c r="CG89" s="8"/>
      <c r="CH89" s="8"/>
      <c r="CI89" s="8"/>
      <c r="CJ89" s="8"/>
      <c r="CK89" s="8"/>
      <c r="CL89" s="8"/>
      <c r="CM89" s="8"/>
      <c r="CN89" s="8"/>
      <c r="CO89" s="8"/>
      <c r="CP89" s="8"/>
      <c r="CQ89" s="8"/>
      <c r="CR89" s="8"/>
      <c r="CS89" s="8"/>
      <c r="CT89" s="8"/>
      <c r="CU89" s="8"/>
      <c r="CV89" s="8"/>
      <c r="CW89" s="8"/>
      <c r="CX89" s="8"/>
      <c r="CY89" s="8"/>
      <c r="CZ89" s="8"/>
      <c r="DA89" s="8"/>
      <c r="DB89" s="8"/>
      <c r="DC89" s="8"/>
      <c r="DD89" s="8"/>
      <c r="DE89" s="8"/>
      <c r="DF89" s="8"/>
      <c r="DG89" s="8"/>
      <c r="DH89" s="8"/>
      <c r="DI89" s="8"/>
      <c r="DJ89" s="8"/>
      <c r="DK89" s="8"/>
      <c r="DL89" s="8"/>
      <c r="DM89" s="8"/>
      <c r="DN89" s="8"/>
      <c r="DO89" s="8"/>
      <c r="DP89" s="8"/>
      <c r="DQ89" s="8"/>
      <c r="DR89" s="8"/>
      <c r="DS89" s="8"/>
      <c r="DT89" s="8"/>
      <c r="DU89" s="8"/>
      <c r="DV89" s="8"/>
      <c r="DW89" s="8"/>
      <c r="DX89" s="8"/>
      <c r="DY89" s="8"/>
      <c r="DZ89" s="8"/>
      <c r="EA89" s="8"/>
    </row>
    <row r="90" spans="2:131" x14ac:dyDescent="0.2">
      <c r="B90" s="1">
        <f>IFERROR(Calculations!M88/1000, "")</f>
        <v>30</v>
      </c>
      <c r="C90" s="1">
        <f>Calculations!N88</f>
        <v>650</v>
      </c>
      <c r="D90" s="58">
        <f>IFERROR(Calculations!$Q88,"")</f>
        <v>1.2228593652129174</v>
      </c>
      <c r="E90" s="8">
        <f>IFERROR(Calculations!$S88, "")</f>
        <v>25.507964800116532</v>
      </c>
      <c r="F90" s="89"/>
      <c r="G90" s="89"/>
      <c r="H90" s="89"/>
      <c r="I90" s="89"/>
      <c r="J90" s="1" t="str">
        <f>IFERROR(Calculations!AC88, "")</f>
        <v/>
      </c>
      <c r="K90" s="1" t="str">
        <f>IFERROR(Calculations!AD88, "")</f>
        <v/>
      </c>
      <c r="L90" s="8">
        <f>IFERROR(Calculations!AE88,"")</f>
        <v>-61007.823772856857</v>
      </c>
      <c r="M90" s="8">
        <f>IFERROR(Calculations!AF88,"")</f>
        <v>-96006.710022061015</v>
      </c>
      <c r="N90" s="8" t="str">
        <f>IFERROR(Calculations!AG88,"")</f>
        <v/>
      </c>
      <c r="O90" s="8" t="str">
        <f>IFERROR(Calculations!AH88,"")</f>
        <v/>
      </c>
      <c r="P90" s="8" t="str">
        <f>IFERROR(Calculations!AI88,"")</f>
        <v/>
      </c>
      <c r="Q90" s="8" t="str">
        <f>IFERROR(Calculations!AJ88,"")</f>
        <v/>
      </c>
      <c r="R90" s="8" t="str">
        <f>IFERROR(Calculations!AK88,"")</f>
        <v/>
      </c>
      <c r="S90" s="89"/>
      <c r="T90" s="89"/>
      <c r="U90" s="89"/>
      <c r="V90" s="89"/>
      <c r="W90" s="1" t="str">
        <f>IFERROR(Calculations!AP88, "")</f>
        <v/>
      </c>
      <c r="X90" s="1" t="str">
        <f>IFERROR(Calculations!AQ88, "")</f>
        <v/>
      </c>
      <c r="Y90" s="8" t="str">
        <f>IFERROR(Calculations!AR88,"")</f>
        <v/>
      </c>
      <c r="Z90" s="8">
        <f>IFERROR(Calculations!AS88,"")</f>
        <v>0</v>
      </c>
      <c r="AA90" s="8">
        <f>IFERROR(Calculations!AT88,"")</f>
        <v>-137030.43424312904</v>
      </c>
      <c r="AB90" s="8" t="str">
        <f>IFERROR(Calculations!AU88,"")</f>
        <v/>
      </c>
      <c r="AC90" s="8" t="str">
        <f>IFERROR(Calculations!AV88,"")</f>
        <v/>
      </c>
      <c r="AD90" s="8" t="str">
        <f>IFERROR(Calculations!AW88,"")</f>
        <v/>
      </c>
      <c r="AE90" s="8" t="str">
        <f>IFERROR(Calculations!AX88,"")</f>
        <v/>
      </c>
      <c r="AF90" s="8">
        <f>IFERROR(IF(Calculations!AY88 &lt;&gt; 0, Calculations!AY88, ""),"")</f>
        <v>19984.099551788822</v>
      </c>
      <c r="AG90" s="42">
        <f>IFERROR(IF(Calculations!AZ88 &lt;&gt; 0, Calculations!AZ88, ""),"")</f>
        <v>-4.7341736519135997</v>
      </c>
      <c r="AH90" s="1">
        <f t="shared" si="6"/>
        <v>30</v>
      </c>
      <c r="AI90" s="1">
        <f t="shared" si="7"/>
        <v>650</v>
      </c>
      <c r="AJ90" s="89"/>
      <c r="AK90" s="89"/>
      <c r="AL90" s="89"/>
      <c r="AM90" s="89"/>
      <c r="AN90" s="8" t="str">
        <f>IFERROR(Calculations!BJ88, "")</f>
        <v/>
      </c>
      <c r="AO90" s="8" t="str">
        <f>IFERROR(Calculations!BK88, "")</f>
        <v/>
      </c>
      <c r="AP90" s="8">
        <f>IFERROR(Calculations!BL88, "")</f>
        <v>14.732094721998781</v>
      </c>
      <c r="AQ90" s="8">
        <f>IFERROR(Calculations!BM88, "")</f>
        <v>30.482206136999601</v>
      </c>
      <c r="AR90" s="8" t="str">
        <f>IFERROR(Calculations!BN88, "")</f>
        <v/>
      </c>
      <c r="AS90" s="8" t="str">
        <f>IFERROR(Calculations!BO88, "")</f>
        <v/>
      </c>
      <c r="AT90" s="8" t="str">
        <f>IFERROR(Calculations!BP88, "")</f>
        <v/>
      </c>
      <c r="AU90" s="8" t="str">
        <f>IFERROR(Calculations!BQ88, "")</f>
        <v/>
      </c>
      <c r="AV90" s="8" t="str">
        <f>IFERROR(Calculations!BR88, "")</f>
        <v/>
      </c>
      <c r="AW90" s="89"/>
      <c r="AX90" s="89"/>
      <c r="AY90" s="89"/>
      <c r="AZ90" s="89"/>
      <c r="BA90" s="8" t="str">
        <f>IFERROR(Calculations!BW88, "")</f>
        <v/>
      </c>
      <c r="BB90" s="8" t="str">
        <f>IFERROR(Calculations!BX88, "")</f>
        <v/>
      </c>
      <c r="BC90" s="8" t="str">
        <f>IFERROR(Calculations!BY88, "")</f>
        <v/>
      </c>
      <c r="BD90" s="8">
        <f>IFERROR(Calculations!BZ88, "")</f>
        <v>0</v>
      </c>
      <c r="BE90" s="8">
        <f>IFERROR(Calculations!CA88, "")</f>
        <v>30.632229274019235</v>
      </c>
      <c r="BF90" s="8" t="str">
        <f>IFERROR(Calculations!CB88, "")</f>
        <v/>
      </c>
      <c r="BG90" s="8" t="str">
        <f>IFERROR(Calculations!CC88, "")</f>
        <v/>
      </c>
      <c r="BH90" s="8" t="str">
        <f>IFERROR(Calculations!CD88, "")</f>
        <v/>
      </c>
      <c r="BI90" s="8" t="str">
        <f>IFERROR(Calculations!CE88, "")</f>
        <v/>
      </c>
      <c r="BJ90" s="8">
        <f>IFERROR(IF(Calculations!CF88 &lt;&gt; 0, Calculations!CF88, ""),"")</f>
        <v>-14.58207158497915</v>
      </c>
      <c r="BK90" s="1">
        <f t="shared" si="8"/>
        <v>650</v>
      </c>
      <c r="BL90" s="1">
        <f t="shared" si="9"/>
        <v>30</v>
      </c>
      <c r="CD90" s="8"/>
      <c r="CE90" s="8"/>
      <c r="CF90" s="8"/>
      <c r="CG90" s="8"/>
      <c r="CH90" s="8"/>
      <c r="CI90" s="8"/>
      <c r="CJ90" s="8"/>
      <c r="CK90" s="8"/>
      <c r="CL90" s="8"/>
      <c r="CM90" s="8"/>
      <c r="CN90" s="8"/>
      <c r="CO90" s="8"/>
      <c r="CP90" s="8"/>
      <c r="CQ90" s="8"/>
      <c r="CR90" s="8"/>
      <c r="CS90" s="8"/>
      <c r="CT90" s="8"/>
      <c r="CU90" s="8"/>
      <c r="CV90" s="8"/>
      <c r="CW90" s="8"/>
      <c r="CX90" s="8"/>
      <c r="CY90" s="8"/>
      <c r="CZ90" s="8"/>
      <c r="DA90" s="8"/>
      <c r="DB90" s="8"/>
      <c r="DC90" s="8"/>
      <c r="DD90" s="8"/>
      <c r="DE90" s="8"/>
      <c r="DF90" s="8"/>
      <c r="DG90" s="8"/>
      <c r="DH90" s="8"/>
      <c r="DI90" s="8"/>
      <c r="DJ90" s="8"/>
      <c r="DK90" s="8"/>
      <c r="DL90" s="8"/>
      <c r="DM90" s="8"/>
      <c r="DN90" s="8"/>
      <c r="DO90" s="8"/>
      <c r="DP90" s="8"/>
      <c r="DQ90" s="8"/>
      <c r="DR90" s="8"/>
      <c r="DS90" s="8"/>
      <c r="DT90" s="8"/>
      <c r="DU90" s="8"/>
      <c r="DV90" s="8"/>
      <c r="DW90" s="8"/>
      <c r="DX90" s="8"/>
      <c r="DY90" s="8"/>
      <c r="DZ90" s="8"/>
      <c r="EA90" s="8"/>
    </row>
    <row r="91" spans="2:131" x14ac:dyDescent="0.2">
      <c r="B91" s="1">
        <f>IFERROR(Calculations!M89/1000, "")</f>
        <v>30</v>
      </c>
      <c r="C91" s="1">
        <f>Calculations!N89</f>
        <v>700</v>
      </c>
      <c r="D91" s="58">
        <f>IFERROR(Calculations!$Q89,"")</f>
        <v>1.2078411409652234</v>
      </c>
      <c r="E91" s="8">
        <f>IFERROR(Calculations!$S89, "")</f>
        <v>23.294559372624501</v>
      </c>
      <c r="F91" s="89"/>
      <c r="G91" s="89"/>
      <c r="H91" s="89"/>
      <c r="I91" s="89"/>
      <c r="J91" s="1" t="str">
        <f>IFERROR(Calculations!AC89, "")</f>
        <v/>
      </c>
      <c r="K91" s="1" t="str">
        <f>IFERROR(Calculations!AD89, "")</f>
        <v/>
      </c>
      <c r="L91" s="8">
        <f>IFERROR(Calculations!AE89,"")</f>
        <v>-62525.242325202831</v>
      </c>
      <c r="M91" s="8">
        <f>IFERROR(Calculations!AF89,"")</f>
        <v>-98374.225712322383</v>
      </c>
      <c r="N91" s="8" t="str">
        <f>IFERROR(Calculations!AG89,"")</f>
        <v/>
      </c>
      <c r="O91" s="8" t="str">
        <f>IFERROR(Calculations!AH89,"")</f>
        <v/>
      </c>
      <c r="P91" s="8" t="str">
        <f>IFERROR(Calculations!AI89,"")</f>
        <v/>
      </c>
      <c r="Q91" s="8" t="str">
        <f>IFERROR(Calculations!AJ89,"")</f>
        <v/>
      </c>
      <c r="R91" s="8" t="str">
        <f>IFERROR(Calculations!AK89,"")</f>
        <v/>
      </c>
      <c r="S91" s="89"/>
      <c r="T91" s="89"/>
      <c r="U91" s="89"/>
      <c r="V91" s="89"/>
      <c r="W91" s="1" t="str">
        <f>IFERROR(Calculations!AP89, "")</f>
        <v/>
      </c>
      <c r="X91" s="1" t="str">
        <f>IFERROR(Calculations!AQ89, "")</f>
        <v/>
      </c>
      <c r="Y91" s="8" t="str">
        <f>IFERROR(Calculations!AR89,"")</f>
        <v/>
      </c>
      <c r="Z91" s="8">
        <f>IFERROR(Calculations!AS89,"")</f>
        <v>0</v>
      </c>
      <c r="AA91" s="8">
        <f>IFERROR(Calculations!AT89,"")</f>
        <v>-138668.50428074124</v>
      </c>
      <c r="AB91" s="8" t="str">
        <f>IFERROR(Calculations!AU89,"")</f>
        <v/>
      </c>
      <c r="AC91" s="8" t="str">
        <f>IFERROR(Calculations!AV89,"")</f>
        <v/>
      </c>
      <c r="AD91" s="8" t="str">
        <f>IFERROR(Calculations!AW89,"")</f>
        <v/>
      </c>
      <c r="AE91" s="8" t="str">
        <f>IFERROR(Calculations!AX89,"")</f>
        <v/>
      </c>
      <c r="AF91" s="8">
        <f>IFERROR(IF(Calculations!AY89 &lt;&gt; 0, Calculations!AY89, ""),"")</f>
        <v>22230.963756783982</v>
      </c>
      <c r="AG91" s="42">
        <f>IFERROR(IF(Calculations!AZ89 &lt;&gt; 0, Calculations!AZ89, ""),"")</f>
        <v>-4.9958613536246315</v>
      </c>
      <c r="AH91" s="1">
        <f t="shared" si="6"/>
        <v>30</v>
      </c>
      <c r="AI91" s="1">
        <f t="shared" si="7"/>
        <v>700</v>
      </c>
      <c r="AJ91" s="89"/>
      <c r="AK91" s="89"/>
      <c r="AL91" s="89"/>
      <c r="AM91" s="89"/>
      <c r="AN91" s="8" t="str">
        <f>IFERROR(Calculations!BJ89, "")</f>
        <v/>
      </c>
      <c r="AO91" s="8" t="str">
        <f>IFERROR(Calculations!BK89, "")</f>
        <v/>
      </c>
      <c r="AP91" s="8">
        <f>IFERROR(Calculations!BL89, "")</f>
        <v>14.915272703497605</v>
      </c>
      <c r="AQ91" s="8">
        <f>IFERROR(Calculations!BM89, "")</f>
        <v>30.551911776450396</v>
      </c>
      <c r="AR91" s="8" t="str">
        <f>IFERROR(Calculations!BN89, "")</f>
        <v/>
      </c>
      <c r="AS91" s="8" t="str">
        <f>IFERROR(Calculations!BO89, "")</f>
        <v/>
      </c>
      <c r="AT91" s="8" t="str">
        <f>IFERROR(Calculations!BP89, "")</f>
        <v/>
      </c>
      <c r="AU91" s="8" t="str">
        <f>IFERROR(Calculations!BQ89, "")</f>
        <v/>
      </c>
      <c r="AV91" s="8" t="str">
        <f>IFERROR(Calculations!BR89, "")</f>
        <v/>
      </c>
      <c r="AW91" s="89"/>
      <c r="AX91" s="89"/>
      <c r="AY91" s="89"/>
      <c r="AZ91" s="89"/>
      <c r="BA91" s="8" t="str">
        <f>IFERROR(Calculations!BW89, "")</f>
        <v/>
      </c>
      <c r="BB91" s="8" t="str">
        <f>IFERROR(Calculations!BX89, "")</f>
        <v/>
      </c>
      <c r="BC91" s="8" t="str">
        <f>IFERROR(Calculations!BY89, "")</f>
        <v/>
      </c>
      <c r="BD91" s="8">
        <f>IFERROR(Calculations!BZ89, "")</f>
        <v>0</v>
      </c>
      <c r="BE91" s="8">
        <f>IFERROR(Calculations!CA89, "")</f>
        <v>30.509571970108155</v>
      </c>
      <c r="BF91" s="8" t="str">
        <f>IFERROR(Calculations!CB89, "")</f>
        <v/>
      </c>
      <c r="BG91" s="8" t="str">
        <f>IFERROR(Calculations!CC89, "")</f>
        <v/>
      </c>
      <c r="BH91" s="8" t="str">
        <f>IFERROR(Calculations!CD89, "")</f>
        <v/>
      </c>
      <c r="BI91" s="8" t="str">
        <f>IFERROR(Calculations!CE89, "")</f>
        <v/>
      </c>
      <c r="BJ91" s="8">
        <f>IFERROR(IF(Calculations!CF89 &lt;&gt; 0, Calculations!CF89, ""),"")</f>
        <v>-14.957612509839848</v>
      </c>
      <c r="BK91" s="1">
        <f t="shared" si="8"/>
        <v>700</v>
      </c>
      <c r="BL91" s="1">
        <f t="shared" si="9"/>
        <v>30</v>
      </c>
      <c r="CD91" s="8"/>
      <c r="CE91" s="8"/>
      <c r="CF91" s="8"/>
      <c r="CG91" s="8"/>
      <c r="CH91" s="8"/>
      <c r="CI91" s="8"/>
      <c r="CJ91" s="8"/>
      <c r="CK91" s="8"/>
      <c r="CL91" s="8"/>
      <c r="CM91" s="8"/>
      <c r="CN91" s="8"/>
      <c r="CO91" s="8"/>
      <c r="CP91" s="8"/>
      <c r="CQ91" s="8"/>
      <c r="CR91" s="8"/>
      <c r="CS91" s="8"/>
      <c r="CT91" s="8"/>
      <c r="CU91" s="8"/>
      <c r="CV91" s="8"/>
      <c r="CW91" s="8"/>
      <c r="CX91" s="8"/>
      <c r="CY91" s="8"/>
      <c r="CZ91" s="8"/>
      <c r="DA91" s="8"/>
      <c r="DB91" s="8"/>
      <c r="DC91" s="8"/>
      <c r="DD91" s="8"/>
      <c r="DE91" s="8"/>
      <c r="DF91" s="8"/>
      <c r="DG91" s="8"/>
      <c r="DH91" s="8"/>
      <c r="DI91" s="8"/>
      <c r="DJ91" s="8"/>
      <c r="DK91" s="8"/>
      <c r="DL91" s="8"/>
      <c r="DM91" s="8"/>
      <c r="DN91" s="8"/>
      <c r="DO91" s="8"/>
      <c r="DP91" s="8"/>
      <c r="DQ91" s="8"/>
      <c r="DR91" s="8"/>
      <c r="DS91" s="8"/>
      <c r="DT91" s="8"/>
      <c r="DU91" s="8"/>
      <c r="DV91" s="8"/>
      <c r="DW91" s="8"/>
      <c r="DX91" s="8"/>
      <c r="DY91" s="8"/>
      <c r="DZ91" s="8"/>
      <c r="EA91" s="8"/>
    </row>
    <row r="92" spans="2:131" x14ac:dyDescent="0.2">
      <c r="B92" s="1">
        <f>IFERROR(Calculations!M90/1000, "")</f>
        <v>30</v>
      </c>
      <c r="C92" s="1">
        <f>Calculations!N90</f>
        <v>750</v>
      </c>
      <c r="D92" s="58">
        <f>IFERROR(Calculations!$Q90,"")</f>
        <v>1.19310037522912</v>
      </c>
      <c r="E92" s="8">
        <f>IFERROR(Calculations!$S90, "")</f>
        <v>21.323409794038589</v>
      </c>
      <c r="F92" s="89"/>
      <c r="G92" s="89"/>
      <c r="H92" s="89"/>
      <c r="I92" s="89"/>
      <c r="J92" s="1" t="str">
        <f>IFERROR(Calculations!AC90, "")</f>
        <v/>
      </c>
      <c r="K92" s="1" t="str">
        <f>IFERROR(Calculations!AD90, "")</f>
        <v/>
      </c>
      <c r="L92" s="8">
        <f>IFERROR(Calculations!AE90,"")</f>
        <v>-64079.610695452968</v>
      </c>
      <c r="M92" s="8">
        <f>IFERROR(Calculations!AF90,"")</f>
        <v>-100783.42346236094</v>
      </c>
      <c r="N92" s="8" t="str">
        <f>IFERROR(Calculations!AG90,"")</f>
        <v/>
      </c>
      <c r="O92" s="8" t="str">
        <f>IFERROR(Calculations!AH90,"")</f>
        <v/>
      </c>
      <c r="P92" s="8" t="str">
        <f>IFERROR(Calculations!AI90,"")</f>
        <v/>
      </c>
      <c r="Q92" s="8" t="str">
        <f>IFERROR(Calculations!AJ90,"")</f>
        <v/>
      </c>
      <c r="R92" s="8" t="str">
        <f>IFERROR(Calculations!AK90,"")</f>
        <v/>
      </c>
      <c r="S92" s="89"/>
      <c r="T92" s="89"/>
      <c r="U92" s="89"/>
      <c r="V92" s="89"/>
      <c r="W92" s="1" t="str">
        <f>IFERROR(Calculations!AP90, "")</f>
        <v/>
      </c>
      <c r="X92" s="1" t="str">
        <f>IFERROR(Calculations!AQ90, "")</f>
        <v/>
      </c>
      <c r="Y92" s="8" t="str">
        <f>IFERROR(Calculations!AR90,"")</f>
        <v/>
      </c>
      <c r="Z92" s="8">
        <f>IFERROR(Calculations!AS90,"")</f>
        <v>0</v>
      </c>
      <c r="AA92" s="8">
        <f>IFERROR(Calculations!AT90,"")</f>
        <v>-140304.33690035099</v>
      </c>
      <c r="AB92" s="8" t="str">
        <f>IFERROR(Calculations!AU90,"")</f>
        <v/>
      </c>
      <c r="AC92" s="8" t="str">
        <f>IFERROR(Calculations!AV90,"")</f>
        <v/>
      </c>
      <c r="AD92" s="8" t="str">
        <f>IFERROR(Calculations!AW90,"")</f>
        <v/>
      </c>
      <c r="AE92" s="8" t="str">
        <f>IFERROR(Calculations!AX90,"")</f>
        <v/>
      </c>
      <c r="AF92" s="8">
        <f>IFERROR(IF(Calculations!AY90 &lt;&gt; 0, Calculations!AY90, ""),"")</f>
        <v>24558.697257462918</v>
      </c>
      <c r="AG92" s="42">
        <f>IFERROR(IF(Calculations!AZ90 &lt;&gt; 0, Calculations!AZ90, ""),"")</f>
        <v>-5.2492576573885792</v>
      </c>
      <c r="AH92" s="1">
        <f t="shared" si="6"/>
        <v>30</v>
      </c>
      <c r="AI92" s="1">
        <f t="shared" si="7"/>
        <v>750</v>
      </c>
      <c r="AJ92" s="89"/>
      <c r="AK92" s="89"/>
      <c r="AL92" s="89"/>
      <c r="AM92" s="89"/>
      <c r="AN92" s="8" t="str">
        <f>IFERROR(Calculations!BJ90, "")</f>
        <v/>
      </c>
      <c r="AO92" s="8" t="str">
        <f>IFERROR(Calculations!BK90, "")</f>
        <v/>
      </c>
      <c r="AP92" s="8">
        <f>IFERROR(Calculations!BL90, "")</f>
        <v>15.099551030264651</v>
      </c>
      <c r="AQ92" s="8">
        <f>IFERROR(Calculations!BM90, "")</f>
        <v>30.624855603950717</v>
      </c>
      <c r="AR92" s="8" t="str">
        <f>IFERROR(Calculations!BN90, "")</f>
        <v/>
      </c>
      <c r="AS92" s="8" t="str">
        <f>IFERROR(Calculations!BO90, "")</f>
        <v/>
      </c>
      <c r="AT92" s="8" t="str">
        <f>IFERROR(Calculations!BP90, "")</f>
        <v/>
      </c>
      <c r="AU92" s="8" t="str">
        <f>IFERROR(Calculations!BQ90, "")</f>
        <v/>
      </c>
      <c r="AV92" s="8" t="str">
        <f>IFERROR(Calculations!BR90, "")</f>
        <v/>
      </c>
      <c r="AW92" s="89"/>
      <c r="AX92" s="89"/>
      <c r="AY92" s="89"/>
      <c r="AZ92" s="89"/>
      <c r="BA92" s="8" t="str">
        <f>IFERROR(Calculations!BW90, "")</f>
        <v/>
      </c>
      <c r="BB92" s="8" t="str">
        <f>IFERROR(Calculations!BX90, "")</f>
        <v/>
      </c>
      <c r="BC92" s="8" t="str">
        <f>IFERROR(Calculations!BY90, "")</f>
        <v/>
      </c>
      <c r="BD92" s="8">
        <f>IFERROR(Calculations!BZ90, "")</f>
        <v>0</v>
      </c>
      <c r="BE92" s="8">
        <f>IFERROR(Calculations!CA90, "")</f>
        <v>30.383233623018636</v>
      </c>
      <c r="BF92" s="8" t="str">
        <f>IFERROR(Calculations!CB90, "")</f>
        <v/>
      </c>
      <c r="BG92" s="8" t="str">
        <f>IFERROR(Calculations!CC90, "")</f>
        <v/>
      </c>
      <c r="BH92" s="8" t="str">
        <f>IFERROR(Calculations!CD90, "")</f>
        <v/>
      </c>
      <c r="BI92" s="8" t="str">
        <f>IFERROR(Calculations!CE90, "")</f>
        <v/>
      </c>
      <c r="BJ92" s="8">
        <f>IFERROR(IF(Calculations!CF90 &lt;&gt; 0, Calculations!CF90, ""),"")</f>
        <v>-15.341173011196734</v>
      </c>
      <c r="BK92" s="1">
        <f t="shared" si="8"/>
        <v>750</v>
      </c>
      <c r="BL92" s="1">
        <f t="shared" si="9"/>
        <v>30</v>
      </c>
      <c r="CD92" s="8"/>
      <c r="CE92" s="8"/>
      <c r="CF92" s="8"/>
      <c r="CG92" s="8"/>
      <c r="CH92" s="8"/>
      <c r="CI92" s="8"/>
      <c r="CJ92" s="8"/>
      <c r="CK92" s="8"/>
      <c r="CL92" s="8"/>
      <c r="CM92" s="8"/>
      <c r="CN92" s="8"/>
      <c r="CO92" s="8"/>
      <c r="CP92" s="8"/>
      <c r="CQ92" s="8"/>
      <c r="CR92" s="8"/>
      <c r="CS92" s="8"/>
      <c r="CT92" s="8"/>
      <c r="CU92" s="8"/>
      <c r="CV92" s="8"/>
      <c r="CW92" s="8"/>
      <c r="CX92" s="8"/>
      <c r="CY92" s="8"/>
      <c r="CZ92" s="8"/>
      <c r="DA92" s="8"/>
      <c r="DB92" s="8"/>
      <c r="DC92" s="8"/>
      <c r="DD92" s="8"/>
      <c r="DE92" s="8"/>
      <c r="DF92" s="8"/>
      <c r="DG92" s="8"/>
      <c r="DH92" s="8"/>
      <c r="DI92" s="8"/>
      <c r="DJ92" s="8"/>
      <c r="DK92" s="8"/>
      <c r="DL92" s="8"/>
      <c r="DM92" s="8"/>
      <c r="DN92" s="8"/>
      <c r="DO92" s="8"/>
      <c r="DP92" s="8"/>
      <c r="DQ92" s="8"/>
      <c r="DR92" s="8"/>
      <c r="DS92" s="8"/>
      <c r="DT92" s="8"/>
      <c r="DU92" s="8"/>
      <c r="DV92" s="8"/>
      <c r="DW92" s="8"/>
      <c r="DX92" s="8"/>
      <c r="DY92" s="8"/>
      <c r="DZ92" s="8"/>
      <c r="EA92" s="8"/>
    </row>
    <row r="93" spans="2:131" x14ac:dyDescent="0.2">
      <c r="B93" s="1">
        <f>IFERROR(Calculations!M91/1000, "")</f>
        <v>30</v>
      </c>
      <c r="C93" s="1">
        <f>Calculations!N91</f>
        <v>800</v>
      </c>
      <c r="D93" s="58">
        <f>IFERROR(Calculations!$Q91,"")</f>
        <v>1.1786524161392453</v>
      </c>
      <c r="E93" s="8">
        <f>IFERROR(Calculations!$S91, "")</f>
        <v>19.563445149258779</v>
      </c>
      <c r="F93" s="89"/>
      <c r="G93" s="89"/>
      <c r="H93" s="89"/>
      <c r="I93" s="89"/>
      <c r="J93" s="1" t="str">
        <f>IFERROR(Calculations!AC91, "")</f>
        <v/>
      </c>
      <c r="K93" s="1" t="str">
        <f>IFERROR(Calculations!AD91, "")</f>
        <v/>
      </c>
      <c r="L93" s="8">
        <f>IFERROR(Calculations!AE91,"")</f>
        <v>-65662.185871198046</v>
      </c>
      <c r="M93" s="8">
        <f>IFERROR(Calculations!AF91,"")</f>
        <v>-103233.81870380024</v>
      </c>
      <c r="N93" s="8" t="str">
        <f>IFERROR(Calculations!AG91,"")</f>
        <v/>
      </c>
      <c r="O93" s="8" t="str">
        <f>IFERROR(Calculations!AH91,"")</f>
        <v/>
      </c>
      <c r="P93" s="8" t="str">
        <f>IFERROR(Calculations!AI91,"")</f>
        <v/>
      </c>
      <c r="Q93" s="8" t="str">
        <f>IFERROR(Calculations!AJ91,"")</f>
        <v/>
      </c>
      <c r="R93" s="8" t="str">
        <f>IFERROR(Calculations!AK91,"")</f>
        <v/>
      </c>
      <c r="S93" s="89"/>
      <c r="T93" s="89"/>
      <c r="U93" s="89"/>
      <c r="V93" s="89"/>
      <c r="W93" s="1" t="str">
        <f>IFERROR(Calculations!AP91, "")</f>
        <v/>
      </c>
      <c r="X93" s="1" t="str">
        <f>IFERROR(Calculations!AQ91, "")</f>
        <v/>
      </c>
      <c r="Y93" s="8" t="str">
        <f>IFERROR(Calculations!AR91,"")</f>
        <v/>
      </c>
      <c r="Z93" s="8">
        <f>IFERROR(Calculations!AS91,"")</f>
        <v>0</v>
      </c>
      <c r="AA93" s="8">
        <f>IFERROR(Calculations!AT91,"")</f>
        <v>-141935.53517599066</v>
      </c>
      <c r="AB93" s="8" t="str">
        <f>IFERROR(Calculations!AU91,"")</f>
        <v/>
      </c>
      <c r="AC93" s="8" t="str">
        <f>IFERROR(Calculations!AV91,"")</f>
        <v/>
      </c>
      <c r="AD93" s="8" t="str">
        <f>IFERROR(Calculations!AW91,"")</f>
        <v/>
      </c>
      <c r="AE93" s="8" t="str">
        <f>IFERROR(Calculations!AX91,"")</f>
        <v/>
      </c>
      <c r="AF93" s="8">
        <f>IFERROR(IF(Calculations!AY91 &lt;&gt; 0, Calculations!AY91, ""),"")</f>
        <v>26960.469399007619</v>
      </c>
      <c r="AG93" s="42">
        <f>IFERROR(IF(Calculations!AZ91 &lt;&gt; 0, Calculations!AZ91, ""),"")</f>
        <v>-5.4941295143740518</v>
      </c>
      <c r="AH93" s="1">
        <f t="shared" si="6"/>
        <v>30</v>
      </c>
      <c r="AI93" s="1">
        <f t="shared" si="7"/>
        <v>800</v>
      </c>
      <c r="AJ93" s="89"/>
      <c r="AK93" s="89"/>
      <c r="AL93" s="89"/>
      <c r="AM93" s="89"/>
      <c r="AN93" s="8" t="str">
        <f>IFERROR(Calculations!BJ91, "")</f>
        <v/>
      </c>
      <c r="AO93" s="8" t="str">
        <f>IFERROR(Calculations!BK91, "")</f>
        <v/>
      </c>
      <c r="AP93" s="8">
        <f>IFERROR(Calculations!BL91, "")</f>
        <v>15.284641810696195</v>
      </c>
      <c r="AQ93" s="8">
        <f>IFERROR(Calculations!BM91, "")</f>
        <v>30.700636285031646</v>
      </c>
      <c r="AR93" s="8" t="str">
        <f>IFERROR(Calculations!BN91, "")</f>
        <v/>
      </c>
      <c r="AS93" s="8" t="str">
        <f>IFERROR(Calculations!BO91, "")</f>
        <v/>
      </c>
      <c r="AT93" s="8" t="str">
        <f>IFERROR(Calculations!BP91, "")</f>
        <v/>
      </c>
      <c r="AU93" s="8" t="str">
        <f>IFERROR(Calculations!BQ91, "")</f>
        <v/>
      </c>
      <c r="AV93" s="8" t="str">
        <f>IFERROR(Calculations!BR91, "")</f>
        <v/>
      </c>
      <c r="AW93" s="89"/>
      <c r="AX93" s="89"/>
      <c r="AY93" s="89"/>
      <c r="AZ93" s="89"/>
      <c r="BA93" s="8" t="str">
        <f>IFERROR(Calculations!BW91, "")</f>
        <v/>
      </c>
      <c r="BB93" s="8" t="str">
        <f>IFERROR(Calculations!BX91, "")</f>
        <v/>
      </c>
      <c r="BC93" s="8" t="str">
        <f>IFERROR(Calculations!BY91, "")</f>
        <v/>
      </c>
      <c r="BD93" s="8">
        <f>IFERROR(Calculations!BZ91, "")</f>
        <v>0</v>
      </c>
      <c r="BE93" s="8">
        <f>IFERROR(Calculations!CA91, "")</f>
        <v>30.253591584869046</v>
      </c>
      <c r="BF93" s="8" t="str">
        <f>IFERROR(Calculations!CB91, "")</f>
        <v/>
      </c>
      <c r="BG93" s="8" t="str">
        <f>IFERROR(Calculations!CC91, "")</f>
        <v/>
      </c>
      <c r="BH93" s="8" t="str">
        <f>IFERROR(Calculations!CD91, "")</f>
        <v/>
      </c>
      <c r="BI93" s="8" t="str">
        <f>IFERROR(Calculations!CE91, "")</f>
        <v/>
      </c>
      <c r="BJ93" s="8">
        <f>IFERROR(IF(Calculations!CF91 &lt;&gt; 0, Calculations!CF91, ""),"")</f>
        <v>-15.731686510858797</v>
      </c>
      <c r="BK93" s="1">
        <f t="shared" si="8"/>
        <v>800</v>
      </c>
      <c r="BL93" s="1">
        <f t="shared" si="9"/>
        <v>30</v>
      </c>
      <c r="CD93" s="8"/>
      <c r="CE93" s="8"/>
      <c r="CF93" s="8"/>
      <c r="CG93" s="8"/>
      <c r="CH93" s="8"/>
      <c r="CI93" s="8"/>
      <c r="CJ93" s="8"/>
      <c r="CK93" s="8"/>
      <c r="CL93" s="8"/>
      <c r="CM93" s="8"/>
      <c r="CN93" s="8"/>
      <c r="CO93" s="8"/>
      <c r="CP93" s="8"/>
      <c r="CQ93" s="8"/>
      <c r="CR93" s="8"/>
      <c r="CS93" s="8"/>
      <c r="CT93" s="8"/>
      <c r="CU93" s="8"/>
      <c r="CV93" s="8"/>
      <c r="CW93" s="8"/>
      <c r="CX93" s="8"/>
      <c r="CY93" s="8"/>
      <c r="CZ93" s="8"/>
      <c r="DA93" s="8"/>
      <c r="DB93" s="8"/>
      <c r="DC93" s="8"/>
      <c r="DD93" s="8"/>
      <c r="DE93" s="8"/>
      <c r="DF93" s="8"/>
      <c r="DG93" s="8"/>
      <c r="DH93" s="8"/>
      <c r="DI93" s="8"/>
      <c r="DJ93" s="8"/>
      <c r="DK93" s="8"/>
      <c r="DL93" s="8"/>
      <c r="DM93" s="8"/>
      <c r="DN93" s="8"/>
      <c r="DO93" s="8"/>
      <c r="DP93" s="8"/>
      <c r="DQ93" s="8"/>
      <c r="DR93" s="8"/>
      <c r="DS93" s="8"/>
      <c r="DT93" s="8"/>
      <c r="DU93" s="8"/>
      <c r="DV93" s="8"/>
      <c r="DW93" s="8"/>
      <c r="DX93" s="8"/>
      <c r="DY93" s="8"/>
      <c r="DZ93" s="8"/>
      <c r="EA93" s="8"/>
    </row>
    <row r="94" spans="2:131" x14ac:dyDescent="0.2">
      <c r="B94" s="1">
        <f>IFERROR(Calculations!M92/1000, "")</f>
        <v>30</v>
      </c>
      <c r="C94" s="1">
        <f>Calculations!N92</f>
        <v>850</v>
      </c>
      <c r="D94" s="58">
        <f>IFERROR(Calculations!$Q92,"")</f>
        <v>1.164508737543821</v>
      </c>
      <c r="E94" s="8">
        <f>IFERROR(Calculations!$S92, "")</f>
        <v>17.988262225528278</v>
      </c>
      <c r="F94" s="89"/>
      <c r="G94" s="89"/>
      <c r="H94" s="89"/>
      <c r="I94" s="89"/>
      <c r="J94" s="1" t="str">
        <f>IFERROR(Calculations!AC92, "")</f>
        <v/>
      </c>
      <c r="K94" s="1" t="str">
        <f>IFERROR(Calculations!AD92, "")</f>
        <v/>
      </c>
      <c r="L94" s="8">
        <f>IFERROR(Calculations!AE92,"")</f>
        <v>-67301.184984077699</v>
      </c>
      <c r="M94" s="8">
        <f>IFERROR(Calculations!AF92,"")</f>
        <v>-105724.9636209602</v>
      </c>
      <c r="N94" s="8" t="str">
        <f>IFERROR(Calculations!AG92,"")</f>
        <v/>
      </c>
      <c r="O94" s="8" t="str">
        <f>IFERROR(Calculations!AH92,"")</f>
        <v/>
      </c>
      <c r="P94" s="8" t="str">
        <f>IFERROR(Calculations!AI92,"")</f>
        <v/>
      </c>
      <c r="Q94" s="8" t="str">
        <f>IFERROR(Calculations!AJ92,"")</f>
        <v/>
      </c>
      <c r="R94" s="8" t="str">
        <f>IFERROR(Calculations!AK92,"")</f>
        <v/>
      </c>
      <c r="S94" s="89"/>
      <c r="T94" s="89"/>
      <c r="U94" s="89"/>
      <c r="V94" s="89"/>
      <c r="W94" s="1" t="str">
        <f>IFERROR(Calculations!AP92, "")</f>
        <v/>
      </c>
      <c r="X94" s="1" t="str">
        <f>IFERROR(Calculations!AQ92, "")</f>
        <v/>
      </c>
      <c r="Y94" s="8" t="str">
        <f>IFERROR(Calculations!AR92,"")</f>
        <v/>
      </c>
      <c r="Z94" s="8">
        <f>IFERROR(Calculations!AS92,"")</f>
        <v>0</v>
      </c>
      <c r="AA94" s="8">
        <f>IFERROR(Calculations!AT92,"")</f>
        <v>-143559.94540884663</v>
      </c>
      <c r="AB94" s="8" t="str">
        <f>IFERROR(Calculations!AU92,"")</f>
        <v/>
      </c>
      <c r="AC94" s="8" t="str">
        <f>IFERROR(Calculations!AV92,"")</f>
        <v/>
      </c>
      <c r="AD94" s="8" t="str">
        <f>IFERROR(Calculations!AW92,"")</f>
        <v/>
      </c>
      <c r="AE94" s="8" t="str">
        <f>IFERROR(Calculations!AX92,"")</f>
        <v/>
      </c>
      <c r="AF94" s="8">
        <f>IFERROR(IF(Calculations!AY92 &lt;&gt; 0, Calculations!AY92, ""),"")</f>
        <v>29466.203196191258</v>
      </c>
      <c r="AG94" s="42">
        <f>IFERROR(IF(Calculations!AZ92 &lt;&gt; 0, Calculations!AZ92, ""),"")</f>
        <v>-5.7374417783871241</v>
      </c>
      <c r="AH94" s="1">
        <f t="shared" si="6"/>
        <v>30</v>
      </c>
      <c r="AI94" s="1">
        <f t="shared" si="7"/>
        <v>850</v>
      </c>
      <c r="AJ94" s="89"/>
      <c r="AK94" s="89"/>
      <c r="AL94" s="89"/>
      <c r="AM94" s="89"/>
      <c r="AN94" s="8" t="str">
        <f>IFERROR(Calculations!BJ92, "")</f>
        <v/>
      </c>
      <c r="AO94" s="8" t="str">
        <f>IFERROR(Calculations!BK92, "")</f>
        <v/>
      </c>
      <c r="AP94" s="8">
        <f>IFERROR(Calculations!BL92, "")</f>
        <v>15.470283235485022</v>
      </c>
      <c r="AQ94" s="8">
        <f>IFERROR(Calculations!BM92, "")</f>
        <v>30.778854704230579</v>
      </c>
      <c r="AR94" s="8" t="str">
        <f>IFERROR(Calculations!BN92, "")</f>
        <v/>
      </c>
      <c r="AS94" s="8" t="str">
        <f>IFERROR(Calculations!BO92, "")</f>
        <v/>
      </c>
      <c r="AT94" s="8" t="str">
        <f>IFERROR(Calculations!BP92, "")</f>
        <v/>
      </c>
      <c r="AU94" s="8" t="str">
        <f>IFERROR(Calculations!BQ92, "")</f>
        <v/>
      </c>
      <c r="AV94" s="8" t="str">
        <f>IFERROR(Calculations!BR92, "")</f>
        <v/>
      </c>
      <c r="AW94" s="89"/>
      <c r="AX94" s="89"/>
      <c r="AY94" s="89"/>
      <c r="AZ94" s="89"/>
      <c r="BA94" s="8" t="str">
        <f>IFERROR(Calculations!BW92, "")</f>
        <v/>
      </c>
      <c r="BB94" s="8" t="str">
        <f>IFERROR(Calculations!BX92, "")</f>
        <v/>
      </c>
      <c r="BC94" s="8" t="str">
        <f>IFERROR(Calculations!BY92, "")</f>
        <v/>
      </c>
      <c r="BD94" s="8">
        <f>IFERROR(Calculations!BZ92, "")</f>
        <v>0</v>
      </c>
      <c r="BE94" s="8">
        <f>IFERROR(Calculations!CA92, "")</f>
        <v>30.121078084454453</v>
      </c>
      <c r="BF94" s="8" t="str">
        <f>IFERROR(Calculations!CB92, "")</f>
        <v/>
      </c>
      <c r="BG94" s="8" t="str">
        <f>IFERROR(Calculations!CC92, "")</f>
        <v/>
      </c>
      <c r="BH94" s="8" t="str">
        <f>IFERROR(Calculations!CD92, "")</f>
        <v/>
      </c>
      <c r="BI94" s="8" t="str">
        <f>IFERROR(Calculations!CE92, "")</f>
        <v/>
      </c>
      <c r="BJ94" s="8">
        <f>IFERROR(IF(Calculations!CF92 &lt;&gt; 0, Calculations!CF92, ""),"")</f>
        <v>-16.128059855261149</v>
      </c>
      <c r="BK94" s="1">
        <f t="shared" si="8"/>
        <v>850</v>
      </c>
      <c r="BL94" s="1">
        <f t="shared" si="9"/>
        <v>30</v>
      </c>
      <c r="CD94" s="8"/>
      <c r="CE94" s="8"/>
      <c r="CF94" s="8"/>
      <c r="CG94" s="8"/>
      <c r="CH94" s="8"/>
      <c r="CI94" s="8"/>
      <c r="CJ94" s="8"/>
      <c r="CK94" s="8"/>
      <c r="CL94" s="8"/>
      <c r="CM94" s="8"/>
      <c r="CN94" s="8"/>
      <c r="CO94" s="8"/>
      <c r="CP94" s="8"/>
      <c r="CQ94" s="8"/>
      <c r="CR94" s="8"/>
      <c r="CS94" s="8"/>
      <c r="CT94" s="8"/>
      <c r="CU94" s="8"/>
      <c r="CV94" s="8"/>
      <c r="CW94" s="8"/>
      <c r="CX94" s="8"/>
      <c r="CY94" s="8"/>
      <c r="CZ94" s="8"/>
      <c r="DA94" s="8"/>
      <c r="DB94" s="8"/>
      <c r="DC94" s="8"/>
      <c r="DD94" s="8"/>
      <c r="DE94" s="8"/>
      <c r="DF94" s="8"/>
      <c r="DG94" s="8"/>
      <c r="DH94" s="8"/>
      <c r="DI94" s="8"/>
      <c r="DJ94" s="8"/>
      <c r="DK94" s="8"/>
      <c r="DL94" s="8"/>
      <c r="DM94" s="8"/>
      <c r="DN94" s="8"/>
      <c r="DO94" s="8"/>
      <c r="DP94" s="8"/>
      <c r="DQ94" s="8"/>
      <c r="DR94" s="8"/>
      <c r="DS94" s="8"/>
      <c r="DT94" s="8"/>
      <c r="DU94" s="8"/>
      <c r="DV94" s="8"/>
      <c r="DW94" s="8"/>
      <c r="DX94" s="8"/>
      <c r="DY94" s="8"/>
      <c r="DZ94" s="8"/>
      <c r="EA94" s="8"/>
    </row>
    <row r="95" spans="2:131" x14ac:dyDescent="0.2">
      <c r="B95" s="1">
        <f>IFERROR(Calculations!M93/1000, "")</f>
        <v>30</v>
      </c>
      <c r="C95" s="1">
        <f>Calculations!N93</f>
        <v>900</v>
      </c>
      <c r="D95" s="58">
        <f>IFERROR(Calculations!$Q93,"")</f>
        <v>1.1506769390046596</v>
      </c>
      <c r="E95" s="8">
        <f>IFERROR(Calculations!$S93, "")</f>
        <v>16.575273321764751</v>
      </c>
      <c r="F95" s="89"/>
      <c r="G95" s="89"/>
      <c r="H95" s="89"/>
      <c r="I95" s="89"/>
      <c r="J95" s="1" t="str">
        <f>IFERROR(Calculations!AC93, "")</f>
        <v/>
      </c>
      <c r="K95" s="1" t="str">
        <f>IFERROR(Calculations!AD93, "")</f>
        <v/>
      </c>
      <c r="L95" s="8">
        <f>IFERROR(Calculations!AE93,"")</f>
        <v>-68962.669759662705</v>
      </c>
      <c r="M95" s="8">
        <f>IFERROR(Calculations!AF93,"")</f>
        <v>-108256.43610705892</v>
      </c>
      <c r="N95" s="8" t="str">
        <f>IFERROR(Calculations!AG93,"")</f>
        <v/>
      </c>
      <c r="O95" s="8" t="str">
        <f>IFERROR(Calculations!AH93,"")</f>
        <v/>
      </c>
      <c r="P95" s="8" t="str">
        <f>IFERROR(Calculations!AI93,"")</f>
        <v/>
      </c>
      <c r="Q95" s="8" t="str">
        <f>IFERROR(Calculations!AJ93,"")</f>
        <v/>
      </c>
      <c r="R95" s="8" t="str">
        <f>IFERROR(Calculations!AK93,"")</f>
        <v/>
      </c>
      <c r="S95" s="89"/>
      <c r="T95" s="89"/>
      <c r="U95" s="89"/>
      <c r="V95" s="89"/>
      <c r="W95" s="1" t="str">
        <f>IFERROR(Calculations!AP93, "")</f>
        <v/>
      </c>
      <c r="X95" s="1" t="str">
        <f>IFERROR(Calculations!AQ93, "")</f>
        <v/>
      </c>
      <c r="Y95" s="8" t="str">
        <f>IFERROR(Calculations!AR93,"")</f>
        <v/>
      </c>
      <c r="Z95" s="8">
        <f>IFERROR(Calculations!AS93,"")</f>
        <v>0</v>
      </c>
      <c r="AA95" s="8">
        <f>IFERROR(Calculations!AT93,"")</f>
        <v>-145175.63292161078</v>
      </c>
      <c r="AB95" s="8" t="str">
        <f>IFERROR(Calculations!AU93,"")</f>
        <v/>
      </c>
      <c r="AC95" s="8" t="str">
        <f>IFERROR(Calculations!AV93,"")</f>
        <v/>
      </c>
      <c r="AD95" s="8" t="str">
        <f>IFERROR(Calculations!AW93,"")</f>
        <v/>
      </c>
      <c r="AE95" s="8" t="str">
        <f>IFERROR(Calculations!AX93,"")</f>
        <v/>
      </c>
      <c r="AF95" s="8">
        <f>IFERROR(IF(Calculations!AY93 &lt;&gt; 0, Calculations!AY93, ""),"")</f>
        <v>32043.472945110843</v>
      </c>
      <c r="AG95" s="42">
        <f>IFERROR(IF(Calculations!AZ93 &lt;&gt; 0, Calculations!AZ93, ""),"")</f>
        <v>-5.97334925794173</v>
      </c>
      <c r="AH95" s="1">
        <f t="shared" si="6"/>
        <v>30</v>
      </c>
      <c r="AI95" s="1">
        <f t="shared" si="7"/>
        <v>900</v>
      </c>
      <c r="AJ95" s="89"/>
      <c r="AK95" s="89"/>
      <c r="AL95" s="89"/>
      <c r="AM95" s="89"/>
      <c r="AN95" s="8" t="str">
        <f>IFERROR(Calculations!BJ93, "")</f>
        <v/>
      </c>
      <c r="AO95" s="8" t="str">
        <f>IFERROR(Calculations!BK93, "")</f>
        <v/>
      </c>
      <c r="AP95" s="8">
        <f>IFERROR(Calculations!BL93, "")</f>
        <v>15.656244936639899</v>
      </c>
      <c r="AQ95" s="8">
        <f>IFERROR(Calculations!BM93, "")</f>
        <v>30.859103445943866</v>
      </c>
      <c r="AR95" s="8" t="str">
        <f>IFERROR(Calculations!BN93, "")</f>
        <v/>
      </c>
      <c r="AS95" s="8" t="str">
        <f>IFERROR(Calculations!BO93, "")</f>
        <v/>
      </c>
      <c r="AT95" s="8" t="str">
        <f>IFERROR(Calculations!BP93, "")</f>
        <v/>
      </c>
      <c r="AU95" s="8" t="str">
        <f>IFERROR(Calculations!BQ93, "")</f>
        <v/>
      </c>
      <c r="AV95" s="8" t="str">
        <f>IFERROR(Calculations!BR93, "")</f>
        <v/>
      </c>
      <c r="AW95" s="89"/>
      <c r="AX95" s="89"/>
      <c r="AY95" s="89"/>
      <c r="AZ95" s="89"/>
      <c r="BA95" s="8" t="str">
        <f>IFERROR(Calculations!BW93, "")</f>
        <v/>
      </c>
      <c r="BB95" s="8" t="str">
        <f>IFERROR(Calculations!BX93, "")</f>
        <v/>
      </c>
      <c r="BC95" s="8" t="str">
        <f>IFERROR(Calculations!BY93, "")</f>
        <v/>
      </c>
      <c r="BD95" s="8">
        <f>IFERROR(Calculations!BZ93, "")</f>
        <v>0</v>
      </c>
      <c r="BE95" s="8">
        <f>IFERROR(Calculations!CA93, "")</f>
        <v>29.986181520252028</v>
      </c>
      <c r="BF95" s="8" t="str">
        <f>IFERROR(Calculations!CB93, "")</f>
        <v/>
      </c>
      <c r="BG95" s="8" t="str">
        <f>IFERROR(Calculations!CC93, "")</f>
        <v/>
      </c>
      <c r="BH95" s="8" t="str">
        <f>IFERROR(Calculations!CD93, "")</f>
        <v/>
      </c>
      <c r="BI95" s="8" t="str">
        <f>IFERROR(Calculations!CE93, "")</f>
        <v/>
      </c>
      <c r="BJ95" s="8">
        <f>IFERROR(IF(Calculations!CF93 &lt;&gt; 0, Calculations!CF93, ""),"")</f>
        <v>-16.529166862331738</v>
      </c>
      <c r="BK95" s="1">
        <f t="shared" si="8"/>
        <v>900</v>
      </c>
      <c r="BL95" s="1">
        <f t="shared" si="9"/>
        <v>30</v>
      </c>
      <c r="CD95" s="8"/>
      <c r="CE95" s="8"/>
      <c r="CF95" s="8"/>
      <c r="CG95" s="8"/>
      <c r="CH95" s="8"/>
      <c r="CI95" s="8"/>
      <c r="CJ95" s="8"/>
      <c r="CK95" s="8"/>
      <c r="CL95" s="8"/>
      <c r="CM95" s="8"/>
      <c r="CN95" s="8"/>
      <c r="CO95" s="8"/>
      <c r="CP95" s="8"/>
      <c r="CQ95" s="8"/>
      <c r="CR95" s="8"/>
      <c r="CS95" s="8"/>
      <c r="CT95" s="8"/>
      <c r="CU95" s="8"/>
      <c r="CV95" s="8"/>
      <c r="CW95" s="8"/>
      <c r="CX95" s="8"/>
      <c r="CY95" s="8"/>
      <c r="CZ95" s="8"/>
      <c r="DA95" s="8"/>
      <c r="DB95" s="8"/>
      <c r="DC95" s="8"/>
      <c r="DD95" s="8"/>
      <c r="DE95" s="8"/>
      <c r="DF95" s="8"/>
      <c r="DG95" s="8"/>
      <c r="DH95" s="8"/>
      <c r="DI95" s="8"/>
      <c r="DJ95" s="8"/>
      <c r="DK95" s="8"/>
      <c r="DL95" s="8"/>
      <c r="DM95" s="8"/>
      <c r="DN95" s="8"/>
      <c r="DO95" s="8"/>
      <c r="DP95" s="8"/>
      <c r="DQ95" s="8"/>
      <c r="DR95" s="8"/>
      <c r="DS95" s="8"/>
      <c r="DT95" s="8"/>
      <c r="DU95" s="8"/>
      <c r="DV95" s="8"/>
      <c r="DW95" s="8"/>
      <c r="DX95" s="8"/>
      <c r="DY95" s="8"/>
      <c r="DZ95" s="8"/>
      <c r="EA95" s="8"/>
    </row>
    <row r="96" spans="2:131" x14ac:dyDescent="0.2">
      <c r="B96" s="1">
        <f>IFERROR(Calculations!M94/1000, "")</f>
        <v>30</v>
      </c>
      <c r="C96" s="1">
        <f>Calculations!N94</f>
        <v>950</v>
      </c>
      <c r="D96" s="58">
        <f>IFERROR(Calculations!$Q94,"")</f>
        <v>1.1371614908522369</v>
      </c>
      <c r="E96" s="8">
        <f>IFERROR(Calculations!$S94, "")</f>
        <v>15.305060508930435</v>
      </c>
      <c r="F96" s="89"/>
      <c r="G96" s="89"/>
      <c r="H96" s="89"/>
      <c r="I96" s="89"/>
      <c r="J96" s="1" t="str">
        <f>IFERROR(Calculations!AC94, "")</f>
        <v/>
      </c>
      <c r="K96" s="1" t="str">
        <f>IFERROR(Calculations!AD94, "")</f>
        <v/>
      </c>
      <c r="L96" s="8">
        <f>IFERROR(Calculations!AE94,"")</f>
        <v>-70657.893317836802</v>
      </c>
      <c r="M96" s="8">
        <f>IFERROR(Calculations!AF94,"")</f>
        <v>-110827.8269028163</v>
      </c>
      <c r="N96" s="8" t="str">
        <f>IFERROR(Calculations!AG94,"")</f>
        <v/>
      </c>
      <c r="O96" s="8" t="str">
        <f>IFERROR(Calculations!AH94,"")</f>
        <v/>
      </c>
      <c r="P96" s="8" t="str">
        <f>IFERROR(Calculations!AI94,"")</f>
        <v/>
      </c>
      <c r="Q96" s="8" t="str">
        <f>IFERROR(Calculations!AJ94,"")</f>
        <v/>
      </c>
      <c r="R96" s="8" t="str">
        <f>IFERROR(Calculations!AK94,"")</f>
        <v/>
      </c>
      <c r="S96" s="89"/>
      <c r="T96" s="89"/>
      <c r="U96" s="89"/>
      <c r="V96" s="89"/>
      <c r="W96" s="1" t="str">
        <f>IFERROR(Calculations!AP94, "")</f>
        <v/>
      </c>
      <c r="X96" s="1" t="str">
        <f>IFERROR(Calculations!AQ94, "")</f>
        <v/>
      </c>
      <c r="Y96" s="8" t="str">
        <f>IFERROR(Calculations!AR94,"")</f>
        <v/>
      </c>
      <c r="Z96" s="8">
        <f>IFERROR(Calculations!AS94,"")</f>
        <v>0</v>
      </c>
      <c r="AA96" s="8">
        <f>IFERROR(Calculations!AT94,"")</f>
        <v>-146780.86826887148</v>
      </c>
      <c r="AB96" s="8" t="str">
        <f>IFERROR(Calculations!AU94,"")</f>
        <v/>
      </c>
      <c r="AC96" s="8" t="str">
        <f>IFERROR(Calculations!AV94,"")</f>
        <v/>
      </c>
      <c r="AD96" s="8" t="str">
        <f>IFERROR(Calculations!AW94,"")</f>
        <v/>
      </c>
      <c r="AE96" s="8" t="str">
        <f>IFERROR(Calculations!AX94,"")</f>
        <v/>
      </c>
      <c r="AF96" s="8">
        <f>IFERROR(IF(Calculations!AY94 &lt;&gt; 0, Calculations!AY94, ""),"")</f>
        <v>34704.851951781631</v>
      </c>
      <c r="AG96" s="42">
        <f>IFERROR(IF(Calculations!AZ94 &lt;&gt; 0, Calculations!AZ94, ""),"")</f>
        <v>-6.2050080603282485</v>
      </c>
      <c r="AH96" s="1">
        <f t="shared" si="6"/>
        <v>30</v>
      </c>
      <c r="AI96" s="1">
        <f t="shared" si="7"/>
        <v>950</v>
      </c>
      <c r="AJ96" s="89"/>
      <c r="AK96" s="89"/>
      <c r="AL96" s="89"/>
      <c r="AM96" s="89"/>
      <c r="AN96" s="8" t="str">
        <f>IFERROR(Calculations!BJ94, "")</f>
        <v/>
      </c>
      <c r="AO96" s="8" t="str">
        <f>IFERROR(Calculations!BK94, "")</f>
        <v/>
      </c>
      <c r="AP96" s="8">
        <f>IFERROR(Calculations!BL94, "")</f>
        <v>15.842323315484935</v>
      </c>
      <c r="AQ96" s="8">
        <f>IFERROR(Calculations!BM94, "")</f>
        <v>30.940956403923984</v>
      </c>
      <c r="AR96" s="8" t="str">
        <f>IFERROR(Calculations!BN94, "")</f>
        <v/>
      </c>
      <c r="AS96" s="8" t="str">
        <f>IFERROR(Calculations!BO94, "")</f>
        <v/>
      </c>
      <c r="AT96" s="8" t="str">
        <f>IFERROR(Calculations!BP94, "")</f>
        <v/>
      </c>
      <c r="AU96" s="8" t="str">
        <f>IFERROR(Calculations!BQ94, "")</f>
        <v/>
      </c>
      <c r="AV96" s="8" t="str">
        <f>IFERROR(Calculations!BR94, "")</f>
        <v/>
      </c>
      <c r="AW96" s="89"/>
      <c r="AX96" s="89"/>
      <c r="AY96" s="89"/>
      <c r="AZ96" s="89"/>
      <c r="BA96" s="8" t="str">
        <f>IFERROR(Calculations!BW94, "")</f>
        <v/>
      </c>
      <c r="BB96" s="8" t="str">
        <f>IFERROR(Calculations!BX94, "")</f>
        <v/>
      </c>
      <c r="BC96" s="8" t="str">
        <f>IFERROR(Calculations!BY94, "")</f>
        <v/>
      </c>
      <c r="BD96" s="8">
        <f>IFERROR(Calculations!BZ94, "")</f>
        <v>0</v>
      </c>
      <c r="BE96" s="8">
        <f>IFERROR(Calculations!CA94, "")</f>
        <v>29.849452206121043</v>
      </c>
      <c r="BF96" s="8" t="str">
        <f>IFERROR(Calculations!CB94, "")</f>
        <v/>
      </c>
      <c r="BG96" s="8" t="str">
        <f>IFERROR(Calculations!CC94, "")</f>
        <v/>
      </c>
      <c r="BH96" s="8" t="str">
        <f>IFERROR(Calculations!CD94, "")</f>
        <v/>
      </c>
      <c r="BI96" s="8" t="str">
        <f>IFERROR(Calculations!CE94, "")</f>
        <v/>
      </c>
      <c r="BJ96" s="8">
        <f>IFERROR(IF(Calculations!CF94 &lt;&gt; 0, Calculations!CF94, ""),"")</f>
        <v>-16.933827513287874</v>
      </c>
      <c r="BK96" s="1">
        <f t="shared" si="8"/>
        <v>950</v>
      </c>
      <c r="BL96" s="1">
        <f t="shared" si="9"/>
        <v>30</v>
      </c>
      <c r="CD96" s="8"/>
      <c r="CE96" s="8"/>
      <c r="CF96" s="8"/>
      <c r="CG96" s="8"/>
      <c r="CH96" s="8"/>
      <c r="CI96" s="8"/>
      <c r="CJ96" s="8"/>
      <c r="CK96" s="8"/>
      <c r="CL96" s="8"/>
      <c r="CM96" s="8"/>
      <c r="CN96" s="8"/>
      <c r="CO96" s="8"/>
      <c r="CP96" s="8"/>
      <c r="CQ96" s="8"/>
      <c r="CR96" s="8"/>
      <c r="CS96" s="8"/>
      <c r="CT96" s="8"/>
      <c r="CU96" s="8"/>
      <c r="CV96" s="8"/>
      <c r="CW96" s="8"/>
      <c r="CX96" s="8"/>
      <c r="CY96" s="8"/>
      <c r="CZ96" s="8"/>
      <c r="DA96" s="8"/>
      <c r="DB96" s="8"/>
      <c r="DC96" s="8"/>
      <c r="DD96" s="8"/>
      <c r="DE96" s="8"/>
      <c r="DF96" s="8"/>
      <c r="DG96" s="8"/>
      <c r="DH96" s="8"/>
      <c r="DI96" s="8"/>
      <c r="DJ96" s="8"/>
      <c r="DK96" s="8"/>
      <c r="DL96" s="8"/>
      <c r="DM96" s="8"/>
      <c r="DN96" s="8"/>
      <c r="DO96" s="8"/>
      <c r="DP96" s="8"/>
      <c r="DQ96" s="8"/>
      <c r="DR96" s="8"/>
      <c r="DS96" s="8"/>
      <c r="DT96" s="8"/>
      <c r="DU96" s="8"/>
      <c r="DV96" s="8"/>
      <c r="DW96" s="8"/>
      <c r="DX96" s="8"/>
      <c r="DY96" s="8"/>
      <c r="DZ96" s="8"/>
      <c r="EA96" s="8"/>
    </row>
    <row r="97" spans="2:131" x14ac:dyDescent="0.2">
      <c r="B97" s="1">
        <f>IFERROR(Calculations!M95/1000, "")</f>
        <v>30</v>
      </c>
      <c r="C97" s="1">
        <f>Calculations!N95</f>
        <v>1000</v>
      </c>
      <c r="D97" s="58">
        <f>IFERROR(Calculations!$Q95,"")</f>
        <v>1.1239637341856956</v>
      </c>
      <c r="E97" s="8">
        <f>IFERROR(Calculations!$S95, "")</f>
        <v>14.160850869948263</v>
      </c>
      <c r="F97" s="89"/>
      <c r="G97" s="89"/>
      <c r="H97" s="89"/>
      <c r="I97" s="89"/>
      <c r="J97" s="1" t="str">
        <f>IFERROR(Calculations!AC95, "")</f>
        <v/>
      </c>
      <c r="K97" s="1" t="str">
        <f>IFERROR(Calculations!AD95, "")</f>
        <v/>
      </c>
      <c r="L97" s="8">
        <f>IFERROR(Calculations!AE95,"")</f>
        <v>-72363.596401277944</v>
      </c>
      <c r="M97" s="8">
        <f>IFERROR(Calculations!AF95,"")</f>
        <v>-113438.73229420626</v>
      </c>
      <c r="N97" s="8" t="str">
        <f>IFERROR(Calculations!AG95,"")</f>
        <v/>
      </c>
      <c r="O97" s="8" t="str">
        <f>IFERROR(Calculations!AH95,"")</f>
        <v/>
      </c>
      <c r="P97" s="8" t="str">
        <f>IFERROR(Calculations!AI95,"")</f>
        <v/>
      </c>
      <c r="Q97" s="8" t="str">
        <f>IFERROR(Calculations!AJ95,"")</f>
        <v/>
      </c>
      <c r="R97" s="8" t="str">
        <f>IFERROR(Calculations!AK95,"")</f>
        <v/>
      </c>
      <c r="S97" s="89"/>
      <c r="T97" s="89"/>
      <c r="U97" s="89"/>
      <c r="V97" s="89"/>
      <c r="W97" s="1" t="str">
        <f>IFERROR(Calculations!AP95, "")</f>
        <v/>
      </c>
      <c r="X97" s="1" t="str">
        <f>IFERROR(Calculations!AQ95, "")</f>
        <v/>
      </c>
      <c r="Y97" s="8" t="str">
        <f>IFERROR(Calculations!AR95,"")</f>
        <v/>
      </c>
      <c r="Z97" s="8">
        <f>IFERROR(Calculations!AS95,"")</f>
        <v>0</v>
      </c>
      <c r="AA97" s="8">
        <f>IFERROR(Calculations!AT95,"")</f>
        <v>-148374.11046304714</v>
      </c>
      <c r="AB97" s="8" t="str">
        <f>IFERROR(Calculations!AU95,"")</f>
        <v/>
      </c>
      <c r="AC97" s="8" t="str">
        <f>IFERROR(Calculations!AV95,"")</f>
        <v/>
      </c>
      <c r="AD97" s="8" t="str">
        <f>IFERROR(Calculations!AW95,"")</f>
        <v/>
      </c>
      <c r="AE97" s="8" t="str">
        <f>IFERROR(Calculations!AX95,"")</f>
        <v/>
      </c>
      <c r="AF97" s="8">
        <f>IFERROR(IF(Calculations!AY95 &lt;&gt; 0, Calculations!AY95, ""),"")</f>
        <v>37428.218232437066</v>
      </c>
      <c r="AG97" s="42">
        <f>IFERROR(IF(Calculations!AZ95 &lt;&gt; 0, Calculations!AZ95, ""),"")</f>
        <v>-6.4291188194820572</v>
      </c>
      <c r="AH97" s="1">
        <f t="shared" si="6"/>
        <v>30</v>
      </c>
      <c r="AI97" s="1">
        <f t="shared" si="7"/>
        <v>1000</v>
      </c>
      <c r="AJ97" s="89"/>
      <c r="AK97" s="89"/>
      <c r="AL97" s="89"/>
      <c r="AM97" s="89"/>
      <c r="AN97" s="8" t="str">
        <f>IFERROR(Calculations!BJ95, "")</f>
        <v/>
      </c>
      <c r="AO97" s="8" t="str">
        <f>IFERROR(Calculations!BK95, "")</f>
        <v/>
      </c>
      <c r="AP97" s="8">
        <f>IFERROR(Calculations!BL95, "")</f>
        <v>16.028346335437551</v>
      </c>
      <c r="AQ97" s="8">
        <f>IFERROR(Calculations!BM95, "")</f>
        <v>31.023966173624327</v>
      </c>
      <c r="AR97" s="8" t="str">
        <f>IFERROR(Calculations!BN95, "")</f>
        <v/>
      </c>
      <c r="AS97" s="8" t="str">
        <f>IFERROR(Calculations!BO95, "")</f>
        <v/>
      </c>
      <c r="AT97" s="8" t="str">
        <f>IFERROR(Calculations!BP95, "")</f>
        <v/>
      </c>
      <c r="AU97" s="8" t="str">
        <f>IFERROR(Calculations!BQ95, "")</f>
        <v/>
      </c>
      <c r="AV97" s="8" t="str">
        <f>IFERROR(Calculations!BR95, "")</f>
        <v/>
      </c>
      <c r="AW97" s="89"/>
      <c r="AX97" s="89"/>
      <c r="AY97" s="89"/>
      <c r="AZ97" s="89"/>
      <c r="BA97" s="8" t="str">
        <f>IFERROR(Calculations!BW95, "")</f>
        <v/>
      </c>
      <c r="BB97" s="8" t="str">
        <f>IFERROR(Calculations!BX95, "")</f>
        <v/>
      </c>
      <c r="BC97" s="8" t="str">
        <f>IFERROR(Calculations!BY95, "")</f>
        <v/>
      </c>
      <c r="BD97" s="8">
        <f>IFERROR(Calculations!BZ95, "")</f>
        <v>0</v>
      </c>
      <c r="BE97" s="8">
        <f>IFERROR(Calculations!CA95, "")</f>
        <v>29.711498827389143</v>
      </c>
      <c r="BF97" s="8" t="str">
        <f>IFERROR(Calculations!CB95, "")</f>
        <v/>
      </c>
      <c r="BG97" s="8" t="str">
        <f>IFERROR(Calculations!CC95, "")</f>
        <v/>
      </c>
      <c r="BH97" s="8" t="str">
        <f>IFERROR(Calculations!CD95, "")</f>
        <v/>
      </c>
      <c r="BI97" s="8" t="str">
        <f>IFERROR(Calculations!CE95, "")</f>
        <v/>
      </c>
      <c r="BJ97" s="8">
        <f>IFERROR(IF(Calculations!CF95 &lt;&gt; 0, Calculations!CF95, ""),"")</f>
        <v>-17.340813681672735</v>
      </c>
      <c r="BK97" s="1">
        <f t="shared" si="8"/>
        <v>1000</v>
      </c>
      <c r="BL97" s="1">
        <f t="shared" si="9"/>
        <v>30</v>
      </c>
      <c r="CD97" s="8"/>
      <c r="CE97" s="8"/>
      <c r="CF97" s="8"/>
      <c r="CG97" s="8"/>
      <c r="CH97" s="8"/>
      <c r="CI97" s="8"/>
      <c r="CJ97" s="8"/>
      <c r="CK97" s="8"/>
      <c r="CL97" s="8"/>
      <c r="CM97" s="8"/>
      <c r="CN97" s="8"/>
      <c r="CO97" s="8"/>
      <c r="CP97" s="8"/>
      <c r="CQ97" s="8"/>
      <c r="CR97" s="8"/>
      <c r="CS97" s="8"/>
      <c r="CT97" s="8"/>
      <c r="CU97" s="8"/>
      <c r="CV97" s="8"/>
      <c r="CW97" s="8"/>
      <c r="CX97" s="8"/>
      <c r="CY97" s="8"/>
      <c r="CZ97" s="8"/>
      <c r="DA97" s="8"/>
      <c r="DB97" s="8"/>
      <c r="DC97" s="8"/>
      <c r="DD97" s="8"/>
      <c r="DE97" s="8"/>
      <c r="DF97" s="8"/>
      <c r="DG97" s="8"/>
      <c r="DH97" s="8"/>
      <c r="DI97" s="8"/>
      <c r="DJ97" s="8"/>
      <c r="DK97" s="8"/>
      <c r="DL97" s="8"/>
      <c r="DM97" s="8"/>
      <c r="DN97" s="8"/>
      <c r="DO97" s="8"/>
      <c r="DP97" s="8"/>
      <c r="DQ97" s="8"/>
      <c r="DR97" s="8"/>
      <c r="DS97" s="8"/>
      <c r="DT97" s="8"/>
      <c r="DU97" s="8"/>
      <c r="DV97" s="8"/>
      <c r="DW97" s="8"/>
      <c r="DX97" s="8"/>
      <c r="DY97" s="8"/>
      <c r="DZ97" s="8"/>
      <c r="EA97" s="8"/>
    </row>
    <row r="98" spans="2:131" x14ac:dyDescent="0.2">
      <c r="B98" s="1">
        <f>IFERROR(Calculations!M96/1000, "")</f>
        <v>35</v>
      </c>
      <c r="C98" s="1">
        <f>Calculations!N96</f>
        <v>300</v>
      </c>
      <c r="D98" s="58">
        <f>IFERROR(Calculations!$Q96,"")</f>
        <v>1.3739212197166686</v>
      </c>
      <c r="E98" s="8">
        <f>IFERROR(Calculations!$S96, "")</f>
        <v>54.48955612569943</v>
      </c>
      <c r="F98" s="89"/>
      <c r="G98" s="89"/>
      <c r="H98" s="89"/>
      <c r="I98" s="89"/>
      <c r="J98" s="1" t="str">
        <f>IFERROR(Calculations!AC96, "")</f>
        <v/>
      </c>
      <c r="K98" s="1" t="str">
        <f>IFERROR(Calculations!AD96, "")</f>
        <v/>
      </c>
      <c r="L98" s="8">
        <f>IFERROR(Calculations!AE96,"")</f>
        <v>-50011.611636598143</v>
      </c>
      <c r="M98" s="8">
        <f>IFERROR(Calculations!AF96,"")</f>
        <v>-77047.314759001194</v>
      </c>
      <c r="N98" s="8" t="str">
        <f>IFERROR(Calculations!AG96,"")</f>
        <v/>
      </c>
      <c r="O98" s="8" t="str">
        <f>IFERROR(Calculations!AH96,"")</f>
        <v/>
      </c>
      <c r="P98" s="8" t="str">
        <f>IFERROR(Calculations!AI96,"")</f>
        <v/>
      </c>
      <c r="Q98" s="8" t="str">
        <f>IFERROR(Calculations!AJ96,"")</f>
        <v/>
      </c>
      <c r="R98" s="8" t="str">
        <f>IFERROR(Calculations!AK96,"")</f>
        <v/>
      </c>
      <c r="S98" s="89"/>
      <c r="T98" s="89"/>
      <c r="U98" s="89"/>
      <c r="V98" s="89"/>
      <c r="W98" s="1" t="str">
        <f>IFERROR(Calculations!AP96, "")</f>
        <v/>
      </c>
      <c r="X98" s="1" t="str">
        <f>IFERROR(Calculations!AQ96, "")</f>
        <v/>
      </c>
      <c r="Y98" s="8" t="str">
        <f>IFERROR(Calculations!AR96,"")</f>
        <v/>
      </c>
      <c r="Z98" s="8">
        <f>IFERROR(Calculations!AS96,"")</f>
        <v>0</v>
      </c>
      <c r="AA98" s="8">
        <f>IFERROR(Calculations!AT96,"")</f>
        <v>-122042.28300229627</v>
      </c>
      <c r="AB98" s="8" t="str">
        <f>IFERROR(Calculations!AU96,"")</f>
        <v/>
      </c>
      <c r="AC98" s="8" t="str">
        <f>IFERROR(Calculations!AV96,"")</f>
        <v/>
      </c>
      <c r="AD98" s="8" t="str">
        <f>IFERROR(Calculations!AW96,"")</f>
        <v/>
      </c>
      <c r="AE98" s="8" t="str">
        <f>IFERROR(Calculations!AX96,"")</f>
        <v/>
      </c>
      <c r="AF98" s="8">
        <f>IFERROR(IF(Calculations!AY96 &lt;&gt; 0, Calculations!AY96, ""),"")</f>
        <v>5016.6433933030639</v>
      </c>
      <c r="AG98" s="42">
        <f>IFERROR(IF(Calculations!AZ96 &lt;&gt; 0, Calculations!AZ96, ""),"")</f>
        <v>-1.9141537001572699</v>
      </c>
      <c r="AH98" s="1">
        <f t="shared" si="6"/>
        <v>35</v>
      </c>
      <c r="AI98" s="1">
        <f t="shared" si="7"/>
        <v>300</v>
      </c>
      <c r="AJ98" s="89"/>
      <c r="AK98" s="89"/>
      <c r="AL98" s="89"/>
      <c r="AM98" s="89"/>
      <c r="AN98" s="8" t="str">
        <f>IFERROR(Calculations!BJ96, "")</f>
        <v/>
      </c>
      <c r="AO98" s="8" t="str">
        <f>IFERROR(Calculations!BK96, "")</f>
        <v/>
      </c>
      <c r="AP98" s="8">
        <f>IFERROR(Calculations!BL96, "")</f>
        <v>13.112309309637951</v>
      </c>
      <c r="AQ98" s="8">
        <f>IFERROR(Calculations!BM96, "")</f>
        <v>30.034043666361313</v>
      </c>
      <c r="AR98" s="8" t="str">
        <f>IFERROR(Calculations!BN96, "")</f>
        <v/>
      </c>
      <c r="AS98" s="8" t="str">
        <f>IFERROR(Calculations!BO96, "")</f>
        <v/>
      </c>
      <c r="AT98" s="8" t="str">
        <f>IFERROR(Calculations!BP96, "")</f>
        <v/>
      </c>
      <c r="AU98" s="8" t="str">
        <f>IFERROR(Calculations!BQ96, "")</f>
        <v/>
      </c>
      <c r="AV98" s="8" t="str">
        <f>IFERROR(Calculations!BR96, "")</f>
        <v/>
      </c>
      <c r="AW98" s="89"/>
      <c r="AX98" s="89"/>
      <c r="AY98" s="89"/>
      <c r="AZ98" s="89"/>
      <c r="BA98" s="8" t="str">
        <f>IFERROR(Calculations!BW96, "")</f>
        <v/>
      </c>
      <c r="BB98" s="8" t="str">
        <f>IFERROR(Calculations!BX96, "")</f>
        <v/>
      </c>
      <c r="BC98" s="8" t="str">
        <f>IFERROR(Calculations!BY96, "")</f>
        <v/>
      </c>
      <c r="BD98" s="8">
        <f>IFERROR(Calculations!BZ96, "")</f>
        <v>0</v>
      </c>
      <c r="BE98" s="8">
        <f>IFERROR(Calculations!CA96, "")</f>
        <v>31.479675434714999</v>
      </c>
      <c r="BF98" s="8" t="str">
        <f>IFERROR(Calculations!CB96, "")</f>
        <v/>
      </c>
      <c r="BG98" s="8" t="str">
        <f>IFERROR(Calculations!CC96, "")</f>
        <v/>
      </c>
      <c r="BH98" s="8" t="str">
        <f>IFERROR(Calculations!CD96, "")</f>
        <v/>
      </c>
      <c r="BI98" s="8" t="str">
        <f>IFERROR(Calculations!CE96, "")</f>
        <v/>
      </c>
      <c r="BJ98" s="8">
        <f>IFERROR(IF(Calculations!CF96 &lt;&gt; 0, Calculations!CF96, ""),"")</f>
        <v>-11.666677541284265</v>
      </c>
      <c r="BK98" s="1">
        <f t="shared" si="8"/>
        <v>300</v>
      </c>
      <c r="BL98" s="1">
        <f t="shared" si="9"/>
        <v>35</v>
      </c>
      <c r="CD98" s="8"/>
      <c r="CE98" s="8"/>
      <c r="CF98" s="8"/>
      <c r="CG98" s="8"/>
      <c r="CH98" s="8"/>
      <c r="CI98" s="8"/>
      <c r="CJ98" s="8"/>
      <c r="CK98" s="8"/>
      <c r="CL98" s="8"/>
      <c r="CM98" s="8"/>
      <c r="CN98" s="8"/>
      <c r="CO98" s="8"/>
      <c r="CP98" s="8"/>
      <c r="CQ98" s="8"/>
      <c r="CR98" s="8"/>
      <c r="CS98" s="8"/>
      <c r="CT98" s="8"/>
      <c r="CU98" s="8"/>
      <c r="CV98" s="8"/>
      <c r="CW98" s="8"/>
      <c r="CX98" s="8"/>
      <c r="CY98" s="8"/>
      <c r="CZ98" s="8"/>
      <c r="DA98" s="8"/>
      <c r="DB98" s="8"/>
      <c r="DC98" s="8"/>
      <c r="DD98" s="8"/>
      <c r="DE98" s="8"/>
      <c r="DF98" s="8"/>
      <c r="DG98" s="8"/>
      <c r="DH98" s="8"/>
      <c r="DI98" s="8"/>
      <c r="DJ98" s="8"/>
      <c r="DK98" s="8"/>
      <c r="DL98" s="8"/>
      <c r="DM98" s="8"/>
      <c r="DN98" s="8"/>
      <c r="DO98" s="8"/>
      <c r="DP98" s="8"/>
      <c r="DQ98" s="8"/>
      <c r="DR98" s="8"/>
      <c r="DS98" s="8"/>
      <c r="DT98" s="8"/>
      <c r="DU98" s="8"/>
      <c r="DV98" s="8"/>
      <c r="DW98" s="8"/>
      <c r="DX98" s="8"/>
      <c r="DY98" s="8"/>
      <c r="DZ98" s="8"/>
      <c r="EA98" s="8"/>
    </row>
    <row r="99" spans="2:131" x14ac:dyDescent="0.2">
      <c r="B99" s="1">
        <f>IFERROR(Calculations!M97/1000, "")</f>
        <v>35</v>
      </c>
      <c r="C99" s="1">
        <f>Calculations!N97</f>
        <v>350</v>
      </c>
      <c r="D99" s="58">
        <f>IFERROR(Calculations!$Q97,"")</f>
        <v>1.3577907772463562</v>
      </c>
      <c r="E99" s="8">
        <f>IFERROR(Calculations!$S97, "")</f>
        <v>48.724259342874241</v>
      </c>
      <c r="F99" s="89"/>
      <c r="G99" s="89"/>
      <c r="H99" s="89"/>
      <c r="I99" s="89"/>
      <c r="J99" s="1" t="str">
        <f>IFERROR(Calculations!AC97, "")</f>
        <v/>
      </c>
      <c r="K99" s="1" t="str">
        <f>IFERROR(Calculations!AD97, "")</f>
        <v/>
      </c>
      <c r="L99" s="8">
        <f>IFERROR(Calculations!AE97,"")</f>
        <v>-51183.365306351581</v>
      </c>
      <c r="M99" s="8">
        <f>IFERROR(Calculations!AF97,"")</f>
        <v>-79097.067549479922</v>
      </c>
      <c r="N99" s="8" t="str">
        <f>IFERROR(Calculations!AG97,"")</f>
        <v/>
      </c>
      <c r="O99" s="8" t="str">
        <f>IFERROR(Calculations!AH97,"")</f>
        <v/>
      </c>
      <c r="P99" s="8" t="str">
        <f>IFERROR(Calculations!AI97,"")</f>
        <v/>
      </c>
      <c r="Q99" s="8" t="str">
        <f>IFERROR(Calculations!AJ97,"")</f>
        <v/>
      </c>
      <c r="R99" s="8" t="str">
        <f>IFERROR(Calculations!AK97,"")</f>
        <v/>
      </c>
      <c r="S99" s="89"/>
      <c r="T99" s="89"/>
      <c r="U99" s="89"/>
      <c r="V99" s="89"/>
      <c r="W99" s="1" t="str">
        <f>IFERROR(Calculations!AP97, "")</f>
        <v/>
      </c>
      <c r="X99" s="1" t="str">
        <f>IFERROR(Calculations!AQ97, "")</f>
        <v/>
      </c>
      <c r="Y99" s="8" t="str">
        <f>IFERROR(Calculations!AR97,"")</f>
        <v/>
      </c>
      <c r="Z99" s="8">
        <f>IFERROR(Calculations!AS97,"")</f>
        <v>0</v>
      </c>
      <c r="AA99" s="8">
        <f>IFERROR(Calculations!AT97,"")</f>
        <v>-123613.39514868335</v>
      </c>
      <c r="AB99" s="8" t="str">
        <f>IFERROR(Calculations!AU97,"")</f>
        <v/>
      </c>
      <c r="AC99" s="8" t="str">
        <f>IFERROR(Calculations!AV97,"")</f>
        <v/>
      </c>
      <c r="AD99" s="8" t="str">
        <f>IFERROR(Calculations!AW97,"")</f>
        <v/>
      </c>
      <c r="AE99" s="8" t="str">
        <f>IFERROR(Calculations!AX97,"")</f>
        <v/>
      </c>
      <c r="AF99" s="8">
        <f>IFERROR(IF(Calculations!AY97 &lt;&gt; 0, Calculations!AY97, ""),"")</f>
        <v>6667.0377071481489</v>
      </c>
      <c r="AG99" s="42">
        <f>IFERROR(IF(Calculations!AZ97 &lt;&gt; 0, Calculations!AZ97, ""),"")</f>
        <v>-2.3397647059705604</v>
      </c>
      <c r="AH99" s="1">
        <f t="shared" si="6"/>
        <v>35</v>
      </c>
      <c r="AI99" s="1">
        <f t="shared" si="7"/>
        <v>350</v>
      </c>
      <c r="AJ99" s="89"/>
      <c r="AK99" s="89"/>
      <c r="AL99" s="89"/>
      <c r="AM99" s="89"/>
      <c r="AN99" s="8" t="str">
        <f>IFERROR(Calculations!BJ97, "")</f>
        <v/>
      </c>
      <c r="AO99" s="8" t="str">
        <f>IFERROR(Calculations!BK97, "")</f>
        <v/>
      </c>
      <c r="AP99" s="8">
        <f>IFERROR(Calculations!BL97, "")</f>
        <v>13.268082462995936</v>
      </c>
      <c r="AQ99" s="8">
        <f>IFERROR(Calculations!BM97, "")</f>
        <v>30.048153478496307</v>
      </c>
      <c r="AR99" s="8" t="str">
        <f>IFERROR(Calculations!BN97, "")</f>
        <v/>
      </c>
      <c r="AS99" s="8" t="str">
        <f>IFERROR(Calculations!BO97, "")</f>
        <v/>
      </c>
      <c r="AT99" s="8" t="str">
        <f>IFERROR(Calculations!BP97, "")</f>
        <v/>
      </c>
      <c r="AU99" s="8" t="str">
        <f>IFERROR(Calculations!BQ97, "")</f>
        <v/>
      </c>
      <c r="AV99" s="8" t="str">
        <f>IFERROR(Calculations!BR97, "")</f>
        <v/>
      </c>
      <c r="AW99" s="89"/>
      <c r="AX99" s="89"/>
      <c r="AY99" s="89"/>
      <c r="AZ99" s="89"/>
      <c r="BA99" s="8" t="str">
        <f>IFERROR(Calculations!BW97, "")</f>
        <v/>
      </c>
      <c r="BB99" s="8" t="str">
        <f>IFERROR(Calculations!BX97, "")</f>
        <v/>
      </c>
      <c r="BC99" s="8" t="str">
        <f>IFERROR(Calculations!BY97, "")</f>
        <v/>
      </c>
      <c r="BD99" s="8">
        <f>IFERROR(Calculations!BZ97, "")</f>
        <v>0</v>
      </c>
      <c r="BE99" s="8">
        <f>IFERROR(Calculations!CA97, "")</f>
        <v>31.40810722921362</v>
      </c>
      <c r="BF99" s="8" t="str">
        <f>IFERROR(Calculations!CB97, "")</f>
        <v/>
      </c>
      <c r="BG99" s="8" t="str">
        <f>IFERROR(Calculations!CC97, "")</f>
        <v/>
      </c>
      <c r="BH99" s="8" t="str">
        <f>IFERROR(Calculations!CD97, "")</f>
        <v/>
      </c>
      <c r="BI99" s="8" t="str">
        <f>IFERROR(Calculations!CE97, "")</f>
        <v/>
      </c>
      <c r="BJ99" s="8">
        <f>IFERROR(IF(Calculations!CF97 &lt;&gt; 0, Calculations!CF97, ""),"")</f>
        <v>-11.908128712278625</v>
      </c>
      <c r="BK99" s="1">
        <f t="shared" si="8"/>
        <v>350</v>
      </c>
      <c r="BL99" s="1">
        <f t="shared" si="9"/>
        <v>35</v>
      </c>
      <c r="CD99" s="8"/>
      <c r="CE99" s="8"/>
      <c r="CF99" s="8"/>
      <c r="CG99" s="8"/>
      <c r="CH99" s="8"/>
      <c r="CI99" s="8"/>
      <c r="CJ99" s="8"/>
      <c r="CK99" s="8"/>
      <c r="CL99" s="8"/>
      <c r="CM99" s="8"/>
      <c r="CN99" s="8"/>
      <c r="CO99" s="8"/>
      <c r="CP99" s="8"/>
      <c r="CQ99" s="8"/>
      <c r="CR99" s="8"/>
      <c r="CS99" s="8"/>
      <c r="CT99" s="8"/>
      <c r="CU99" s="8"/>
      <c r="CV99" s="8"/>
      <c r="CW99" s="8"/>
      <c r="CX99" s="8"/>
      <c r="CY99" s="8"/>
      <c r="CZ99" s="8"/>
      <c r="DA99" s="8"/>
      <c r="DB99" s="8"/>
      <c r="DC99" s="8"/>
      <c r="DD99" s="8"/>
      <c r="DE99" s="8"/>
      <c r="DF99" s="8"/>
      <c r="DG99" s="8"/>
      <c r="DH99" s="8"/>
      <c r="DI99" s="8"/>
      <c r="DJ99" s="8"/>
      <c r="DK99" s="8"/>
      <c r="DL99" s="8"/>
      <c r="DM99" s="8"/>
      <c r="DN99" s="8"/>
      <c r="DO99" s="8"/>
      <c r="DP99" s="8"/>
      <c r="DQ99" s="8"/>
      <c r="DR99" s="8"/>
      <c r="DS99" s="8"/>
      <c r="DT99" s="8"/>
      <c r="DU99" s="8"/>
      <c r="DV99" s="8"/>
      <c r="DW99" s="8"/>
      <c r="DX99" s="8"/>
      <c r="DY99" s="8"/>
      <c r="DZ99" s="8"/>
      <c r="EA99" s="8"/>
    </row>
    <row r="100" spans="2:131" x14ac:dyDescent="0.2">
      <c r="B100" s="1">
        <f>IFERROR(Calculations!M98/1000, "")</f>
        <v>35</v>
      </c>
      <c r="C100" s="1">
        <f>Calculations!N98</f>
        <v>400</v>
      </c>
      <c r="D100" s="58">
        <f>IFERROR(Calculations!$Q98,"")</f>
        <v>1.3420798007857802</v>
      </c>
      <c r="E100" s="8">
        <f>IFERROR(Calculations!$S98, "")</f>
        <v>43.768164808389237</v>
      </c>
      <c r="F100" s="89"/>
      <c r="G100" s="89"/>
      <c r="H100" s="89"/>
      <c r="I100" s="89"/>
      <c r="J100" s="1" t="str">
        <f>IFERROR(Calculations!AC98, "")</f>
        <v/>
      </c>
      <c r="K100" s="1" t="str">
        <f>IFERROR(Calculations!AD98, "")</f>
        <v/>
      </c>
      <c r="L100" s="8">
        <f>IFERROR(Calculations!AE98,"")</f>
        <v>-52417.056543386483</v>
      </c>
      <c r="M100" s="8">
        <f>IFERROR(Calculations!AF98,"")</f>
        <v>-81192.121188036865</v>
      </c>
      <c r="N100" s="8" t="str">
        <f>IFERROR(Calculations!AG98,"")</f>
        <v/>
      </c>
      <c r="O100" s="8" t="str">
        <f>IFERROR(Calculations!AH98,"")</f>
        <v/>
      </c>
      <c r="P100" s="8" t="str">
        <f>IFERROR(Calculations!AI98,"")</f>
        <v/>
      </c>
      <c r="Q100" s="8" t="str">
        <f>IFERROR(Calculations!AJ98,"")</f>
        <v/>
      </c>
      <c r="R100" s="8" t="str">
        <f>IFERROR(Calculations!AK98,"")</f>
        <v/>
      </c>
      <c r="S100" s="89"/>
      <c r="T100" s="89"/>
      <c r="U100" s="89"/>
      <c r="V100" s="89"/>
      <c r="W100" s="1" t="str">
        <f>IFERROR(Calculations!AP98, "")</f>
        <v/>
      </c>
      <c r="X100" s="1" t="str">
        <f>IFERROR(Calculations!AQ98, "")</f>
        <v/>
      </c>
      <c r="Y100" s="8" t="str">
        <f>IFERROR(Calculations!AR98,"")</f>
        <v/>
      </c>
      <c r="Z100" s="8">
        <f>IFERROR(Calculations!AS98,"")</f>
        <v>0</v>
      </c>
      <c r="AA100" s="8">
        <f>IFERROR(Calculations!AT98,"")</f>
        <v>-125212.75513346415</v>
      </c>
      <c r="AB100" s="8" t="str">
        <f>IFERROR(Calculations!AU98,"")</f>
        <v/>
      </c>
      <c r="AC100" s="8" t="str">
        <f>IFERROR(Calculations!AV98,"")</f>
        <v/>
      </c>
      <c r="AD100" s="8" t="str">
        <f>IFERROR(Calculations!AW98,"")</f>
        <v/>
      </c>
      <c r="AE100" s="8" t="str">
        <f>IFERROR(Calculations!AX98,"")</f>
        <v/>
      </c>
      <c r="AF100" s="8">
        <f>IFERROR(IF(Calculations!AY98 &lt;&gt; 0, Calculations!AY98, ""),"")</f>
        <v>8396.4225979592011</v>
      </c>
      <c r="AG100" s="42">
        <f>IFERROR(IF(Calculations!AZ98 &lt;&gt; 0, Calculations!AZ98, ""),"")</f>
        <v>-2.7278112254048503</v>
      </c>
      <c r="AH100" s="1">
        <f t="shared" si="6"/>
        <v>35</v>
      </c>
      <c r="AI100" s="1">
        <f t="shared" si="7"/>
        <v>400</v>
      </c>
      <c r="AJ100" s="89"/>
      <c r="AK100" s="89"/>
      <c r="AL100" s="89"/>
      <c r="AM100" s="89"/>
      <c r="AN100" s="8" t="str">
        <f>IFERROR(Calculations!BJ98, "")</f>
        <v/>
      </c>
      <c r="AO100" s="8" t="str">
        <f>IFERROR(Calculations!BK98, "")</f>
        <v/>
      </c>
      <c r="AP100" s="8">
        <f>IFERROR(Calculations!BL98, "")</f>
        <v>13.423404472261751</v>
      </c>
      <c r="AQ100" s="8">
        <f>IFERROR(Calculations!BM98, "")</f>
        <v>30.071576661565988</v>
      </c>
      <c r="AR100" s="8" t="str">
        <f>IFERROR(Calculations!BN98, "")</f>
        <v/>
      </c>
      <c r="AS100" s="8" t="str">
        <f>IFERROR(Calculations!BO98, "")</f>
        <v/>
      </c>
      <c r="AT100" s="8" t="str">
        <f>IFERROR(Calculations!BP98, "")</f>
        <v/>
      </c>
      <c r="AU100" s="8" t="str">
        <f>IFERROR(Calculations!BQ98, "")</f>
        <v/>
      </c>
      <c r="AV100" s="8" t="str">
        <f>IFERROR(Calculations!BR98, "")</f>
        <v/>
      </c>
      <c r="AW100" s="89"/>
      <c r="AX100" s="89"/>
      <c r="AY100" s="89"/>
      <c r="AZ100" s="89"/>
      <c r="BA100" s="8" t="str">
        <f>IFERROR(Calculations!BW98, "")</f>
        <v/>
      </c>
      <c r="BB100" s="8" t="str">
        <f>IFERROR(Calculations!BX98, "")</f>
        <v/>
      </c>
      <c r="BC100" s="8" t="str">
        <f>IFERROR(Calculations!BY98, "")</f>
        <v/>
      </c>
      <c r="BD100" s="8">
        <f>IFERROR(Calculations!BZ98, "")</f>
        <v>0</v>
      </c>
      <c r="BE100" s="8">
        <f>IFERROR(Calculations!CA98, "")</f>
        <v>31.332748017828607</v>
      </c>
      <c r="BF100" s="8" t="str">
        <f>IFERROR(Calculations!CB98, "")</f>
        <v/>
      </c>
      <c r="BG100" s="8" t="str">
        <f>IFERROR(Calculations!CC98, "")</f>
        <v/>
      </c>
      <c r="BH100" s="8" t="str">
        <f>IFERROR(Calculations!CD98, "")</f>
        <v/>
      </c>
      <c r="BI100" s="8" t="str">
        <f>IFERROR(Calculations!CE98, "")</f>
        <v/>
      </c>
      <c r="BJ100" s="8">
        <f>IFERROR(IF(Calculations!CF98 &lt;&gt; 0, Calculations!CF98, ""),"")</f>
        <v>-12.162233115999129</v>
      </c>
      <c r="BK100" s="1">
        <f t="shared" si="8"/>
        <v>400</v>
      </c>
      <c r="BL100" s="1">
        <f t="shared" si="9"/>
        <v>35</v>
      </c>
      <c r="CD100" s="8"/>
      <c r="CE100" s="8"/>
      <c r="CF100" s="8"/>
      <c r="CG100" s="8"/>
      <c r="CH100" s="8"/>
      <c r="CI100" s="8"/>
      <c r="CJ100" s="8"/>
      <c r="CK100" s="8"/>
      <c r="CL100" s="8"/>
      <c r="CM100" s="8"/>
      <c r="CN100" s="8"/>
      <c r="CO100" s="8"/>
      <c r="CP100" s="8"/>
      <c r="CQ100" s="8"/>
      <c r="CR100" s="8"/>
      <c r="CS100" s="8"/>
      <c r="CT100" s="8"/>
      <c r="CU100" s="8"/>
      <c r="CV100" s="8"/>
      <c r="CW100" s="8"/>
      <c r="CX100" s="8"/>
      <c r="CY100" s="8"/>
      <c r="CZ100" s="8"/>
      <c r="DA100" s="8"/>
      <c r="DB100" s="8"/>
      <c r="DC100" s="8"/>
      <c r="DD100" s="8"/>
      <c r="DE100" s="8"/>
      <c r="DF100" s="8"/>
      <c r="DG100" s="8"/>
      <c r="DH100" s="8"/>
      <c r="DI100" s="8"/>
      <c r="DJ100" s="8"/>
      <c r="DK100" s="8"/>
      <c r="DL100" s="8"/>
      <c r="DM100" s="8"/>
      <c r="DN100" s="8"/>
      <c r="DO100" s="8"/>
      <c r="DP100" s="8"/>
      <c r="DQ100" s="8"/>
      <c r="DR100" s="8"/>
      <c r="DS100" s="8"/>
      <c r="DT100" s="8"/>
      <c r="DU100" s="8"/>
      <c r="DV100" s="8"/>
      <c r="DW100" s="8"/>
      <c r="DX100" s="8"/>
      <c r="DY100" s="8"/>
      <c r="DZ100" s="8"/>
      <c r="EA100" s="8"/>
    </row>
    <row r="101" spans="2:131" x14ac:dyDescent="0.2">
      <c r="B101" s="1">
        <f>IFERROR(Calculations!M99/1000, "")</f>
        <v>35</v>
      </c>
      <c r="C101" s="1">
        <f>Calculations!N99</f>
        <v>450</v>
      </c>
      <c r="D101" s="58">
        <f>IFERROR(Calculations!$Q99,"")</f>
        <v>1.326643451627493</v>
      </c>
      <c r="E101" s="8">
        <f>IFERROR(Calculations!$S99, "")</f>
        <v>39.464900388434508</v>
      </c>
      <c r="F101" s="89"/>
      <c r="G101" s="89"/>
      <c r="H101" s="89"/>
      <c r="I101" s="89"/>
      <c r="J101" s="1" t="str">
        <f>IFERROR(Calculations!AC99, "")</f>
        <v/>
      </c>
      <c r="K101" s="1" t="str">
        <f>IFERROR(Calculations!AD99, "")</f>
        <v/>
      </c>
      <c r="L101" s="8">
        <f>IFERROR(Calculations!AE99,"")</f>
        <v>-53706.590139753302</v>
      </c>
      <c r="M101" s="8">
        <f>IFERROR(Calculations!AF99,"")</f>
        <v>-83331.622972304249</v>
      </c>
      <c r="N101" s="8" t="str">
        <f>IFERROR(Calculations!AG99,"")</f>
        <v/>
      </c>
      <c r="O101" s="8" t="str">
        <f>IFERROR(Calculations!AH99,"")</f>
        <v/>
      </c>
      <c r="P101" s="8" t="str">
        <f>IFERROR(Calculations!AI99,"")</f>
        <v/>
      </c>
      <c r="Q101" s="8" t="str">
        <f>IFERROR(Calculations!AJ99,"")</f>
        <v/>
      </c>
      <c r="R101" s="8" t="str">
        <f>IFERROR(Calculations!AK99,"")</f>
        <v/>
      </c>
      <c r="S101" s="89"/>
      <c r="T101" s="89"/>
      <c r="U101" s="89"/>
      <c r="V101" s="89"/>
      <c r="W101" s="1" t="str">
        <f>IFERROR(Calculations!AP99, "")</f>
        <v/>
      </c>
      <c r="X101" s="1" t="str">
        <f>IFERROR(Calculations!AQ99, "")</f>
        <v/>
      </c>
      <c r="Y101" s="8" t="str">
        <f>IFERROR(Calculations!AR99,"")</f>
        <v/>
      </c>
      <c r="Z101" s="8">
        <f>IFERROR(Calculations!AS99,"")</f>
        <v>0</v>
      </c>
      <c r="AA101" s="8">
        <f>IFERROR(Calculations!AT99,"")</f>
        <v>-126834.10042566311</v>
      </c>
      <c r="AB101" s="8" t="str">
        <f>IFERROR(Calculations!AU99,"")</f>
        <v/>
      </c>
      <c r="AC101" s="8" t="str">
        <f>IFERROR(Calculations!AV99,"")</f>
        <v/>
      </c>
      <c r="AD101" s="8" t="str">
        <f>IFERROR(Calculations!AW99,"")</f>
        <v/>
      </c>
      <c r="AE101" s="8" t="str">
        <f>IFERROR(Calculations!AX99,"")</f>
        <v/>
      </c>
      <c r="AF101" s="8">
        <f>IFERROR(IF(Calculations!AY99 &lt;&gt; 0, Calculations!AY99, ""),"")</f>
        <v>10204.112686394423</v>
      </c>
      <c r="AG101" s="42">
        <f>IFERROR(IF(Calculations!AZ99 &lt;&gt; 0, Calculations!AZ99, ""),"")</f>
        <v>-3.0858778347317632</v>
      </c>
      <c r="AH101" s="1">
        <f t="shared" si="6"/>
        <v>35</v>
      </c>
      <c r="AI101" s="1">
        <f t="shared" si="7"/>
        <v>450</v>
      </c>
      <c r="AJ101" s="89"/>
      <c r="AK101" s="89"/>
      <c r="AL101" s="89"/>
      <c r="AM101" s="89"/>
      <c r="AN101" s="8" t="str">
        <f>IFERROR(Calculations!BJ99, "")</f>
        <v/>
      </c>
      <c r="AO101" s="8" t="str">
        <f>IFERROR(Calculations!BK99, "")</f>
        <v/>
      </c>
      <c r="AP101" s="8">
        <f>IFERROR(Calculations!BL99, "")</f>
        <v>13.579594410162962</v>
      </c>
      <c r="AQ101" s="8">
        <f>IFERROR(Calculations!BM99, "")</f>
        <v>30.102038678918653</v>
      </c>
      <c r="AR101" s="8" t="str">
        <f>IFERROR(Calculations!BN99, "")</f>
        <v/>
      </c>
      <c r="AS101" s="8" t="str">
        <f>IFERROR(Calculations!BO99, "")</f>
        <v/>
      </c>
      <c r="AT101" s="8" t="str">
        <f>IFERROR(Calculations!BP99, "")</f>
        <v/>
      </c>
      <c r="AU101" s="8" t="str">
        <f>IFERROR(Calculations!BQ99, "")</f>
        <v/>
      </c>
      <c r="AV101" s="8" t="str">
        <f>IFERROR(Calculations!BR99, "")</f>
        <v/>
      </c>
      <c r="AW101" s="89"/>
      <c r="AX101" s="89"/>
      <c r="AY101" s="89"/>
      <c r="AZ101" s="89"/>
      <c r="BA101" s="8" t="str">
        <f>IFERROR(Calculations!BW99, "")</f>
        <v/>
      </c>
      <c r="BB101" s="8" t="str">
        <f>IFERROR(Calculations!BX99, "")</f>
        <v/>
      </c>
      <c r="BC101" s="8" t="str">
        <f>IFERROR(Calculations!BY99, "")</f>
        <v/>
      </c>
      <c r="BD101" s="8">
        <f>IFERROR(Calculations!BZ99, "")</f>
        <v>0</v>
      </c>
      <c r="BE101" s="8">
        <f>IFERROR(Calculations!CA99, "")</f>
        <v>31.253875874808195</v>
      </c>
      <c r="BF101" s="8" t="str">
        <f>IFERROR(Calculations!CB99, "")</f>
        <v/>
      </c>
      <c r="BG101" s="8" t="str">
        <f>IFERROR(Calculations!CC99, "")</f>
        <v/>
      </c>
      <c r="BH101" s="8" t="str">
        <f>IFERROR(Calculations!CD99, "")</f>
        <v/>
      </c>
      <c r="BI101" s="8" t="str">
        <f>IFERROR(Calculations!CE99, "")</f>
        <v/>
      </c>
      <c r="BJ101" s="8">
        <f>IFERROR(IF(Calculations!CF99 &lt;&gt; 0, Calculations!CF99, ""),"")</f>
        <v>-12.42775721427342</v>
      </c>
      <c r="BK101" s="1">
        <f t="shared" si="8"/>
        <v>450</v>
      </c>
      <c r="BL101" s="1">
        <f t="shared" si="9"/>
        <v>35</v>
      </c>
      <c r="CD101" s="8"/>
      <c r="CE101" s="8"/>
      <c r="CF101" s="8"/>
      <c r="CG101" s="8"/>
      <c r="CH101" s="8"/>
      <c r="CI101" s="8"/>
      <c r="CJ101" s="8"/>
      <c r="CK101" s="8"/>
      <c r="CL101" s="8"/>
      <c r="CM101" s="8"/>
      <c r="CN101" s="8"/>
      <c r="CO101" s="8"/>
      <c r="CP101" s="8"/>
      <c r="CQ101" s="8"/>
      <c r="CR101" s="8"/>
      <c r="CS101" s="8"/>
      <c r="CT101" s="8"/>
      <c r="CU101" s="8"/>
      <c r="CV101" s="8"/>
      <c r="CW101" s="8"/>
      <c r="CX101" s="8"/>
      <c r="CY101" s="8"/>
      <c r="CZ101" s="8"/>
      <c r="DA101" s="8"/>
      <c r="DB101" s="8"/>
      <c r="DC101" s="8"/>
      <c r="DD101" s="8"/>
      <c r="DE101" s="8"/>
      <c r="DF101" s="8"/>
      <c r="DG101" s="8"/>
      <c r="DH101" s="8"/>
      <c r="DI101" s="8"/>
      <c r="DJ101" s="8"/>
      <c r="DK101" s="8"/>
      <c r="DL101" s="8"/>
      <c r="DM101" s="8"/>
      <c r="DN101" s="8"/>
      <c r="DO101" s="8"/>
      <c r="DP101" s="8"/>
      <c r="DQ101" s="8"/>
      <c r="DR101" s="8"/>
      <c r="DS101" s="8"/>
      <c r="DT101" s="8"/>
      <c r="DU101" s="8"/>
      <c r="DV101" s="8"/>
      <c r="DW101" s="8"/>
      <c r="DX101" s="8"/>
      <c r="DY101" s="8"/>
      <c r="DZ101" s="8"/>
      <c r="EA101" s="8"/>
    </row>
    <row r="102" spans="2:131" x14ac:dyDescent="0.2">
      <c r="B102" s="1">
        <f>IFERROR(Calculations!M100/1000, "")</f>
        <v>35</v>
      </c>
      <c r="C102" s="1">
        <f>Calculations!N100</f>
        <v>500</v>
      </c>
      <c r="D102" s="58">
        <f>IFERROR(Calculations!$Q100,"")</f>
        <v>1.3114239134973289</v>
      </c>
      <c r="E102" s="8">
        <f>IFERROR(Calculations!$S100, "")</f>
        <v>35.700914864534433</v>
      </c>
      <c r="F102" s="89"/>
      <c r="G102" s="89"/>
      <c r="H102" s="89"/>
      <c r="I102" s="89"/>
      <c r="J102" s="1" t="str">
        <f>IFERROR(Calculations!AC100, "")</f>
        <v/>
      </c>
      <c r="K102" s="1" t="str">
        <f>IFERROR(Calculations!AD100, "")</f>
        <v/>
      </c>
      <c r="L102" s="8">
        <f>IFERROR(Calculations!AE100,"")</f>
        <v>-55038.833192360151</v>
      </c>
      <c r="M102" s="8">
        <f>IFERROR(Calculations!AF100,"")</f>
        <v>-85514.717973648672</v>
      </c>
      <c r="N102" s="8" t="str">
        <f>IFERROR(Calculations!AG100,"")</f>
        <v/>
      </c>
      <c r="O102" s="8" t="str">
        <f>IFERROR(Calculations!AH100,"")</f>
        <v/>
      </c>
      <c r="P102" s="8" t="str">
        <f>IFERROR(Calculations!AI100,"")</f>
        <v/>
      </c>
      <c r="Q102" s="8" t="str">
        <f>IFERROR(Calculations!AJ100,"")</f>
        <v/>
      </c>
      <c r="R102" s="8" t="str">
        <f>IFERROR(Calculations!AK100,"")</f>
        <v/>
      </c>
      <c r="S102" s="89"/>
      <c r="T102" s="89"/>
      <c r="U102" s="89"/>
      <c r="V102" s="89"/>
      <c r="W102" s="1" t="str">
        <f>IFERROR(Calculations!AP100, "")</f>
        <v/>
      </c>
      <c r="X102" s="1" t="str">
        <f>IFERROR(Calculations!AQ100, "")</f>
        <v/>
      </c>
      <c r="Y102" s="8" t="str">
        <f>IFERROR(Calculations!AR100,"")</f>
        <v/>
      </c>
      <c r="Z102" s="8">
        <f>IFERROR(Calculations!AS100,"")</f>
        <v>0</v>
      </c>
      <c r="AA102" s="8">
        <f>IFERROR(Calculations!AT100,"")</f>
        <v>-128472.27963435913</v>
      </c>
      <c r="AB102" s="8" t="str">
        <f>IFERROR(Calculations!AU100,"")</f>
        <v/>
      </c>
      <c r="AC102" s="8" t="str">
        <f>IFERROR(Calculations!AV100,"")</f>
        <v/>
      </c>
      <c r="AD102" s="8" t="str">
        <f>IFERROR(Calculations!AW100,"")</f>
        <v/>
      </c>
      <c r="AE102" s="8" t="str">
        <f>IFERROR(Calculations!AX100,"")</f>
        <v/>
      </c>
      <c r="AF102" s="8">
        <f>IFERROR(IF(Calculations!AY100 &lt;&gt; 0, Calculations!AY100, ""),"")</f>
        <v>12081.271531649676</v>
      </c>
      <c r="AG102" s="42">
        <f>IFERROR(IF(Calculations!AZ100 &lt;&gt; 0, Calculations!AZ100, ""),"")</f>
        <v>-3.4172815256796865</v>
      </c>
      <c r="AH102" s="1">
        <f t="shared" si="6"/>
        <v>35</v>
      </c>
      <c r="AI102" s="1">
        <f t="shared" si="7"/>
        <v>500</v>
      </c>
      <c r="AJ102" s="89"/>
      <c r="AK102" s="89"/>
      <c r="AL102" s="89"/>
      <c r="AM102" s="89"/>
      <c r="AN102" s="8" t="str">
        <f>IFERROR(Calculations!BJ100, "")</f>
        <v/>
      </c>
      <c r="AO102" s="8" t="str">
        <f>IFERROR(Calculations!BK100, "")</f>
        <v/>
      </c>
      <c r="AP102" s="8">
        <f>IFERROR(Calculations!BL100, "")</f>
        <v>13.737190403945378</v>
      </c>
      <c r="AQ102" s="8">
        <f>IFERROR(Calculations!BM100, "")</f>
        <v>30.138077820176161</v>
      </c>
      <c r="AR102" s="8" t="str">
        <f>IFERROR(Calculations!BN100, "")</f>
        <v/>
      </c>
      <c r="AS102" s="8" t="str">
        <f>IFERROR(Calculations!BO100, "")</f>
        <v/>
      </c>
      <c r="AT102" s="8" t="str">
        <f>IFERROR(Calculations!BP100, "")</f>
        <v/>
      </c>
      <c r="AU102" s="8" t="str">
        <f>IFERROR(Calculations!BQ100, "")</f>
        <v/>
      </c>
      <c r="AV102" s="8" t="str">
        <f>IFERROR(Calculations!BR100, "")</f>
        <v/>
      </c>
      <c r="AW102" s="89"/>
      <c r="AX102" s="89"/>
      <c r="AY102" s="89"/>
      <c r="AZ102" s="89"/>
      <c r="BA102" s="8" t="str">
        <f>IFERROR(Calculations!BW100, "")</f>
        <v/>
      </c>
      <c r="BB102" s="8" t="str">
        <f>IFERROR(Calculations!BX100, "")</f>
        <v/>
      </c>
      <c r="BC102" s="8" t="str">
        <f>IFERROR(Calculations!BY100, "")</f>
        <v/>
      </c>
      <c r="BD102" s="8">
        <f>IFERROR(Calculations!BZ100, "")</f>
        <v>0</v>
      </c>
      <c r="BE102" s="8">
        <f>IFERROR(Calculations!CA100, "")</f>
        <v>31.171701293929537</v>
      </c>
      <c r="BF102" s="8" t="str">
        <f>IFERROR(Calculations!CB100, "")</f>
        <v/>
      </c>
      <c r="BG102" s="8" t="str">
        <f>IFERROR(Calculations!CC100, "")</f>
        <v/>
      </c>
      <c r="BH102" s="8" t="str">
        <f>IFERROR(Calculations!CD100, "")</f>
        <v/>
      </c>
      <c r="BI102" s="8" t="str">
        <f>IFERROR(Calculations!CE100, "")</f>
        <v/>
      </c>
      <c r="BJ102" s="8">
        <f>IFERROR(IF(Calculations!CF100 &lt;&gt; 0, Calculations!CF100, ""),"")</f>
        <v>-12.703566930192004</v>
      </c>
      <c r="BK102" s="1">
        <f t="shared" si="8"/>
        <v>500</v>
      </c>
      <c r="BL102" s="1">
        <f t="shared" si="9"/>
        <v>35</v>
      </c>
      <c r="CD102" s="8"/>
      <c r="CE102" s="8"/>
      <c r="CF102" s="8"/>
      <c r="CG102" s="8"/>
      <c r="CH102" s="8"/>
      <c r="CI102" s="8"/>
      <c r="CJ102" s="8"/>
      <c r="CK102" s="8"/>
      <c r="CL102" s="8"/>
      <c r="CM102" s="8"/>
      <c r="CN102" s="8"/>
      <c r="CO102" s="8"/>
      <c r="CP102" s="8"/>
      <c r="CQ102" s="8"/>
      <c r="CR102" s="8"/>
      <c r="CS102" s="8"/>
      <c r="CT102" s="8"/>
      <c r="CU102" s="8"/>
      <c r="CV102" s="8"/>
      <c r="CW102" s="8"/>
      <c r="CX102" s="8"/>
      <c r="CY102" s="8"/>
      <c r="CZ102" s="8"/>
      <c r="DA102" s="8"/>
      <c r="DB102" s="8"/>
      <c r="DC102" s="8"/>
      <c r="DD102" s="8"/>
      <c r="DE102" s="8"/>
      <c r="DF102" s="8"/>
      <c r="DG102" s="8"/>
      <c r="DH102" s="8"/>
      <c r="DI102" s="8"/>
      <c r="DJ102" s="8"/>
      <c r="DK102" s="8"/>
      <c r="DL102" s="8"/>
      <c r="DM102" s="8"/>
      <c r="DN102" s="8"/>
      <c r="DO102" s="8"/>
      <c r="DP102" s="8"/>
      <c r="DQ102" s="8"/>
      <c r="DR102" s="8"/>
      <c r="DS102" s="8"/>
      <c r="DT102" s="8"/>
      <c r="DU102" s="8"/>
      <c r="DV102" s="8"/>
      <c r="DW102" s="8"/>
      <c r="DX102" s="8"/>
      <c r="DY102" s="8"/>
      <c r="DZ102" s="8"/>
      <c r="EA102" s="8"/>
    </row>
    <row r="103" spans="2:131" x14ac:dyDescent="0.2">
      <c r="B103" s="1">
        <f>IFERROR(Calculations!M101/1000, "")</f>
        <v>35</v>
      </c>
      <c r="C103" s="1">
        <f>Calculations!N101</f>
        <v>550</v>
      </c>
      <c r="D103" s="58">
        <f>IFERROR(Calculations!$Q101,"")</f>
        <v>1.2964061362826826</v>
      </c>
      <c r="E103" s="8">
        <f>IFERROR(Calculations!$S101, "")</f>
        <v>32.389998074552203</v>
      </c>
      <c r="F103" s="89"/>
      <c r="G103" s="89"/>
      <c r="H103" s="89"/>
      <c r="I103" s="89"/>
      <c r="J103" s="1" t="str">
        <f>IFERROR(Calculations!AC101, "")</f>
        <v/>
      </c>
      <c r="K103" s="1" t="str">
        <f>IFERROR(Calculations!AD101, "")</f>
        <v/>
      </c>
      <c r="L103" s="8">
        <f>IFERROR(Calculations!AE101,"")</f>
        <v>-56411.660857241703</v>
      </c>
      <c r="M103" s="8">
        <f>IFERROR(Calculations!AF101,"")</f>
        <v>-87740.613497158512</v>
      </c>
      <c r="N103" s="8" t="str">
        <f>IFERROR(Calculations!AG101,"")</f>
        <v/>
      </c>
      <c r="O103" s="8" t="str">
        <f>IFERROR(Calculations!AH101,"")</f>
        <v/>
      </c>
      <c r="P103" s="8" t="str">
        <f>IFERROR(Calculations!AI101,"")</f>
        <v/>
      </c>
      <c r="Q103" s="8" t="str">
        <f>IFERROR(Calculations!AJ101,"")</f>
        <v/>
      </c>
      <c r="R103" s="8" t="str">
        <f>IFERROR(Calculations!AK101,"")</f>
        <v/>
      </c>
      <c r="S103" s="89"/>
      <c r="T103" s="89"/>
      <c r="U103" s="89"/>
      <c r="V103" s="89"/>
      <c r="W103" s="1" t="str">
        <f>IFERROR(Calculations!AP101, "")</f>
        <v/>
      </c>
      <c r="X103" s="1" t="str">
        <f>IFERROR(Calculations!AQ101, "")</f>
        <v/>
      </c>
      <c r="Y103" s="8" t="str">
        <f>IFERROR(Calculations!AR101,"")</f>
        <v/>
      </c>
      <c r="Z103" s="8">
        <f>IFERROR(Calculations!AS101,"")</f>
        <v>0</v>
      </c>
      <c r="AA103" s="8">
        <f>IFERROR(Calculations!AT101,"")</f>
        <v>-130122.91438157739</v>
      </c>
      <c r="AB103" s="8" t="str">
        <f>IFERROR(Calculations!AU101,"")</f>
        <v/>
      </c>
      <c r="AC103" s="8" t="str">
        <f>IFERROR(Calculations!AV101,"")</f>
        <v/>
      </c>
      <c r="AD103" s="8" t="str">
        <f>IFERROR(Calculations!AW101,"")</f>
        <v/>
      </c>
      <c r="AE103" s="8" t="str">
        <f>IFERROR(Calculations!AX101,"")</f>
        <v/>
      </c>
      <c r="AF103" s="8">
        <f>IFERROR(IF(Calculations!AY101 &lt;&gt; 0, Calculations!AY101, ""),"")</f>
        <v>14029.359972822844</v>
      </c>
      <c r="AG103" s="42">
        <f>IFERROR(IF(Calculations!AZ101 &lt;&gt; 0, Calculations!AZ101, ""),"")</f>
        <v>-3.7272691072487607</v>
      </c>
      <c r="AH103" s="1">
        <f t="shared" si="6"/>
        <v>35</v>
      </c>
      <c r="AI103" s="1">
        <f t="shared" si="7"/>
        <v>550</v>
      </c>
      <c r="AJ103" s="89"/>
      <c r="AK103" s="89"/>
      <c r="AL103" s="89"/>
      <c r="AM103" s="89"/>
      <c r="AN103" s="8" t="str">
        <f>IFERROR(Calculations!BJ101, "")</f>
        <v/>
      </c>
      <c r="AO103" s="8" t="str">
        <f>IFERROR(Calculations!BK101, "")</f>
        <v/>
      </c>
      <c r="AP103" s="8">
        <f>IFERROR(Calculations!BL101, "")</f>
        <v>13.896324227264959</v>
      </c>
      <c r="AQ103" s="8">
        <f>IFERROR(Calculations!BM101, "")</f>
        <v>30.178695144047452</v>
      </c>
      <c r="AR103" s="8" t="str">
        <f>IFERROR(Calculations!BN101, "")</f>
        <v/>
      </c>
      <c r="AS103" s="8" t="str">
        <f>IFERROR(Calculations!BO101, "")</f>
        <v/>
      </c>
      <c r="AT103" s="8" t="str">
        <f>IFERROR(Calculations!BP101, "")</f>
        <v/>
      </c>
      <c r="AU103" s="8" t="str">
        <f>IFERROR(Calculations!BQ101, "")</f>
        <v/>
      </c>
      <c r="AV103" s="8" t="str">
        <f>IFERROR(Calculations!BR101, "")</f>
        <v/>
      </c>
      <c r="AW103" s="89"/>
      <c r="AX103" s="89"/>
      <c r="AY103" s="89"/>
      <c r="AZ103" s="89"/>
      <c r="BA103" s="8" t="str">
        <f>IFERROR(Calculations!BW101, "")</f>
        <v/>
      </c>
      <c r="BB103" s="8" t="str">
        <f>IFERROR(Calculations!BX101, "")</f>
        <v/>
      </c>
      <c r="BC103" s="8" t="str">
        <f>IFERROR(Calculations!BY101, "")</f>
        <v/>
      </c>
      <c r="BD103" s="8">
        <f>IFERROR(Calculations!BZ101, "")</f>
        <v>0</v>
      </c>
      <c r="BE103" s="8">
        <f>IFERROR(Calculations!CA101, "")</f>
        <v>31.086409295698765</v>
      </c>
      <c r="BF103" s="8" t="str">
        <f>IFERROR(Calculations!CB101, "")</f>
        <v/>
      </c>
      <c r="BG103" s="8" t="str">
        <f>IFERROR(Calculations!CC101, "")</f>
        <v/>
      </c>
      <c r="BH103" s="8" t="str">
        <f>IFERROR(Calculations!CD101, "")</f>
        <v/>
      </c>
      <c r="BI103" s="8" t="str">
        <f>IFERROR(Calculations!CE101, "")</f>
        <v/>
      </c>
      <c r="BJ103" s="8">
        <f>IFERROR(IF(Calculations!CF101 &lt;&gt; 0, Calculations!CF101, ""),"")</f>
        <v>-12.988610075613643</v>
      </c>
      <c r="BK103" s="1">
        <f t="shared" si="8"/>
        <v>550</v>
      </c>
      <c r="BL103" s="1">
        <f t="shared" si="9"/>
        <v>35</v>
      </c>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8"/>
      <c r="DB103" s="8"/>
      <c r="DC103" s="8"/>
      <c r="DD103" s="8"/>
      <c r="DE103" s="8"/>
      <c r="DF103" s="8"/>
      <c r="DG103" s="8"/>
      <c r="DH103" s="8"/>
      <c r="DI103" s="8"/>
      <c r="DJ103" s="8"/>
      <c r="DK103" s="8"/>
      <c r="DL103" s="8"/>
      <c r="DM103" s="8"/>
      <c r="DN103" s="8"/>
      <c r="DO103" s="8"/>
      <c r="DP103" s="8"/>
      <c r="DQ103" s="8"/>
      <c r="DR103" s="8"/>
      <c r="DS103" s="8"/>
      <c r="DT103" s="8"/>
      <c r="DU103" s="8"/>
      <c r="DV103" s="8"/>
      <c r="DW103" s="8"/>
      <c r="DX103" s="8"/>
      <c r="DY103" s="8"/>
      <c r="DZ103" s="8"/>
      <c r="EA103" s="8"/>
    </row>
    <row r="104" spans="2:131" x14ac:dyDescent="0.2">
      <c r="B104" s="1">
        <f>IFERROR(Calculations!M102/1000, "")</f>
        <v>35</v>
      </c>
      <c r="C104" s="1">
        <f>Calculations!N102</f>
        <v>600</v>
      </c>
      <c r="D104" s="58">
        <f>IFERROR(Calculations!$Q102,"")</f>
        <v>1.2815956333911418</v>
      </c>
      <c r="E104" s="8">
        <f>IFERROR(Calculations!$S102, "")</f>
        <v>29.46445674360379</v>
      </c>
      <c r="F104" s="89"/>
      <c r="G104" s="89"/>
      <c r="H104" s="89"/>
      <c r="I104" s="89"/>
      <c r="J104" s="1" t="str">
        <f>IFERROR(Calculations!AC102, "")</f>
        <v/>
      </c>
      <c r="K104" s="1" t="str">
        <f>IFERROR(Calculations!AD102, "")</f>
        <v/>
      </c>
      <c r="L104" s="8">
        <f>IFERROR(Calculations!AE102,"")</f>
        <v>-57821.499327965968</v>
      </c>
      <c r="M104" s="8">
        <f>IFERROR(Calculations!AF102,"")</f>
        <v>-90008.598904221406</v>
      </c>
      <c r="N104" s="8" t="str">
        <f>IFERROR(Calculations!AG102,"")</f>
        <v/>
      </c>
      <c r="O104" s="8" t="str">
        <f>IFERROR(Calculations!AH102,"")</f>
        <v/>
      </c>
      <c r="P104" s="8" t="str">
        <f>IFERROR(Calculations!AI102,"")</f>
        <v/>
      </c>
      <c r="Q104" s="8" t="str">
        <f>IFERROR(Calculations!AJ102,"")</f>
        <v/>
      </c>
      <c r="R104" s="8" t="str">
        <f>IFERROR(Calculations!AK102,"")</f>
        <v/>
      </c>
      <c r="S104" s="89"/>
      <c r="T104" s="89"/>
      <c r="U104" s="89"/>
      <c r="V104" s="89"/>
      <c r="W104" s="1" t="str">
        <f>IFERROR(Calculations!AP102, "")</f>
        <v/>
      </c>
      <c r="X104" s="1" t="str">
        <f>IFERROR(Calculations!AQ102, "")</f>
        <v/>
      </c>
      <c r="Y104" s="8" t="str">
        <f>IFERROR(Calculations!AR102,"")</f>
        <v/>
      </c>
      <c r="Z104" s="8">
        <f>IFERROR(Calculations!AS102,"")</f>
        <v>0</v>
      </c>
      <c r="AA104" s="8">
        <f>IFERROR(Calculations!AT102,"")</f>
        <v>-131782.1983363897</v>
      </c>
      <c r="AB104" s="8" t="str">
        <f>IFERROR(Calculations!AU102,"")</f>
        <v/>
      </c>
      <c r="AC104" s="8" t="str">
        <f>IFERROR(Calculations!AV102,"")</f>
        <v/>
      </c>
      <c r="AD104" s="8" t="str">
        <f>IFERROR(Calculations!AW102,"")</f>
        <v/>
      </c>
      <c r="AE104" s="8" t="str">
        <f>IFERROR(Calculations!AX102,"")</f>
        <v/>
      </c>
      <c r="AF104" s="8">
        <f>IFERROR(IF(Calculations!AY102 &lt;&gt; 0, Calculations!AY102, ""),"")</f>
        <v>16047.899895797687</v>
      </c>
      <c r="AG104" s="42">
        <f>IFERROR(IF(Calculations!AZ102 &lt;&gt; 0, Calculations!AZ102, ""),"")</f>
        <v>-4.0193999414280634</v>
      </c>
      <c r="AH104" s="1">
        <f t="shared" si="6"/>
        <v>35</v>
      </c>
      <c r="AI104" s="1">
        <f t="shared" si="7"/>
        <v>600</v>
      </c>
      <c r="AJ104" s="89"/>
      <c r="AK104" s="89"/>
      <c r="AL104" s="89"/>
      <c r="AM104" s="89"/>
      <c r="AN104" s="8" t="str">
        <f>IFERROR(Calculations!BJ102, "")</f>
        <v/>
      </c>
      <c r="AO104" s="8" t="str">
        <f>IFERROR(Calculations!BK102, "")</f>
        <v/>
      </c>
      <c r="AP104" s="8">
        <f>IFERROR(Calculations!BL102, "")</f>
        <v>14.0569143110538</v>
      </c>
      <c r="AQ104" s="8">
        <f>IFERROR(Calculations!BM102, "")</f>
        <v>30.223165816642585</v>
      </c>
      <c r="AR104" s="8" t="str">
        <f>IFERROR(Calculations!BN102, "")</f>
        <v/>
      </c>
      <c r="AS104" s="8" t="str">
        <f>IFERROR(Calculations!BO102, "")</f>
        <v/>
      </c>
      <c r="AT104" s="8" t="str">
        <f>IFERROR(Calculations!BP102, "")</f>
        <v/>
      </c>
      <c r="AU104" s="8" t="str">
        <f>IFERROR(Calculations!BQ102, "")</f>
        <v/>
      </c>
      <c r="AV104" s="8" t="str">
        <f>IFERROR(Calculations!BR102, "")</f>
        <v/>
      </c>
      <c r="AW104" s="89"/>
      <c r="AX104" s="89"/>
      <c r="AY104" s="89"/>
      <c r="AZ104" s="89"/>
      <c r="BA104" s="8" t="str">
        <f>IFERROR(Calculations!BW102, "")</f>
        <v/>
      </c>
      <c r="BB104" s="8" t="str">
        <f>IFERROR(Calculations!BX102, "")</f>
        <v/>
      </c>
      <c r="BC104" s="8" t="str">
        <f>IFERROR(Calculations!BY102, "")</f>
        <v/>
      </c>
      <c r="BD104" s="8">
        <f>IFERROR(Calculations!BZ102, "")</f>
        <v>0</v>
      </c>
      <c r="BE104" s="8">
        <f>IFERROR(Calculations!CA102, "")</f>
        <v>30.998184157073716</v>
      </c>
      <c r="BF104" s="8" t="str">
        <f>IFERROR(Calculations!CB102, "")</f>
        <v/>
      </c>
      <c r="BG104" s="8" t="str">
        <f>IFERROR(Calculations!CC102, "")</f>
        <v/>
      </c>
      <c r="BH104" s="8" t="str">
        <f>IFERROR(Calculations!CD102, "")</f>
        <v/>
      </c>
      <c r="BI104" s="8" t="str">
        <f>IFERROR(Calculations!CE102, "")</f>
        <v/>
      </c>
      <c r="BJ104" s="8">
        <f>IFERROR(IF(Calculations!CF102 &lt;&gt; 0, Calculations!CF102, ""),"")</f>
        <v>-13.281895970622671</v>
      </c>
      <c r="BK104" s="1">
        <f t="shared" si="8"/>
        <v>600</v>
      </c>
      <c r="BL104" s="1">
        <f t="shared" si="9"/>
        <v>35</v>
      </c>
      <c r="CD104" s="8"/>
      <c r="CE104" s="8"/>
      <c r="CF104" s="8"/>
      <c r="CG104" s="8"/>
      <c r="CH104" s="8"/>
      <c r="CI104" s="8"/>
      <c r="CJ104" s="8"/>
      <c r="CK104" s="8"/>
      <c r="CL104" s="8"/>
      <c r="CM104" s="8"/>
      <c r="CN104" s="8"/>
      <c r="CO104" s="8"/>
      <c r="CP104" s="8"/>
      <c r="CQ104" s="8"/>
      <c r="CR104" s="8"/>
      <c r="CS104" s="8"/>
      <c r="CT104" s="8"/>
      <c r="CU104" s="8"/>
      <c r="CV104" s="8"/>
      <c r="CW104" s="8"/>
      <c r="CX104" s="8"/>
      <c r="CY104" s="8"/>
      <c r="CZ104" s="8"/>
      <c r="DA104" s="8"/>
      <c r="DB104" s="8"/>
      <c r="DC104" s="8"/>
      <c r="DD104" s="8"/>
      <c r="DE104" s="8"/>
      <c r="DF104" s="8"/>
      <c r="DG104" s="8"/>
      <c r="DH104" s="8"/>
      <c r="DI104" s="8"/>
      <c r="DJ104" s="8"/>
      <c r="DK104" s="8"/>
      <c r="DL104" s="8"/>
      <c r="DM104" s="8"/>
      <c r="DN104" s="8"/>
      <c r="DO104" s="8"/>
      <c r="DP104" s="8"/>
      <c r="DQ104" s="8"/>
      <c r="DR104" s="8"/>
      <c r="DS104" s="8"/>
      <c r="DT104" s="8"/>
      <c r="DU104" s="8"/>
      <c r="DV104" s="8"/>
      <c r="DW104" s="8"/>
      <c r="DX104" s="8"/>
      <c r="DY104" s="8"/>
      <c r="DZ104" s="8"/>
      <c r="EA104" s="8"/>
    </row>
    <row r="105" spans="2:131" x14ac:dyDescent="0.2">
      <c r="B105" s="1">
        <f>IFERROR(Calculations!M103/1000, "")</f>
        <v>35</v>
      </c>
      <c r="C105" s="1">
        <f>Calculations!N103</f>
        <v>650</v>
      </c>
      <c r="D105" s="58">
        <f>IFERROR(Calculations!$Q103,"")</f>
        <v>1.2670064118582007</v>
      </c>
      <c r="E105" s="8">
        <f>IFERROR(Calculations!$S103, "")</f>
        <v>26.86974763465761</v>
      </c>
      <c r="F105" s="89"/>
      <c r="G105" s="89"/>
      <c r="H105" s="89"/>
      <c r="I105" s="89"/>
      <c r="J105" s="1" t="str">
        <f>IFERROR(Calculations!AC103, "")</f>
        <v/>
      </c>
      <c r="K105" s="1" t="str">
        <f>IFERROR(Calculations!AD103, "")</f>
        <v/>
      </c>
      <c r="L105" s="8">
        <f>IFERROR(Calculations!AE103,"")</f>
        <v>-59260.043818943486</v>
      </c>
      <c r="M105" s="8">
        <f>IFERROR(Calculations!AF103,"")</f>
        <v>-92318.047931238441</v>
      </c>
      <c r="N105" s="8" t="str">
        <f>IFERROR(Calculations!AG103,"")</f>
        <v/>
      </c>
      <c r="O105" s="8" t="str">
        <f>IFERROR(Calculations!AH103,"")</f>
        <v/>
      </c>
      <c r="P105" s="8" t="str">
        <f>IFERROR(Calculations!AI103,"")</f>
        <v/>
      </c>
      <c r="Q105" s="8" t="str">
        <f>IFERROR(Calculations!AJ103,"")</f>
        <v/>
      </c>
      <c r="R105" s="8" t="str">
        <f>IFERROR(Calculations!AK103,"")</f>
        <v/>
      </c>
      <c r="S105" s="89"/>
      <c r="T105" s="89"/>
      <c r="U105" s="89"/>
      <c r="V105" s="89"/>
      <c r="W105" s="1" t="str">
        <f>IFERROR(Calculations!AP103, "")</f>
        <v/>
      </c>
      <c r="X105" s="1" t="str">
        <f>IFERROR(Calculations!AQ103, "")</f>
        <v/>
      </c>
      <c r="Y105" s="8" t="str">
        <f>IFERROR(Calculations!AR103,"")</f>
        <v/>
      </c>
      <c r="Z105" s="8">
        <f>IFERROR(Calculations!AS103,"")</f>
        <v>0</v>
      </c>
      <c r="AA105" s="8">
        <f>IFERROR(Calculations!AT103,"")</f>
        <v>-133446.76711007176</v>
      </c>
      <c r="AB105" s="8" t="str">
        <f>IFERROR(Calculations!AU103,"")</f>
        <v/>
      </c>
      <c r="AC105" s="8" t="str">
        <f>IFERROR(Calculations!AV103,"")</f>
        <v/>
      </c>
      <c r="AD105" s="8" t="str">
        <f>IFERROR(Calculations!AW103,"")</f>
        <v/>
      </c>
      <c r="AE105" s="8" t="str">
        <f>IFERROR(Calculations!AX103,"")</f>
        <v/>
      </c>
      <c r="AF105" s="8">
        <f>IFERROR(IF(Calculations!AY103 &lt;&gt; 0, Calculations!AY103, ""),"")</f>
        <v>18131.324640110164</v>
      </c>
      <c r="AG105" s="42">
        <f>IFERROR(IF(Calculations!AZ103 &lt;&gt; 0, Calculations!AZ103, ""),"")</f>
        <v>-4.2952567946859492</v>
      </c>
      <c r="AH105" s="1">
        <f t="shared" si="6"/>
        <v>35</v>
      </c>
      <c r="AI105" s="1">
        <f t="shared" si="7"/>
        <v>650</v>
      </c>
      <c r="AJ105" s="89"/>
      <c r="AK105" s="89"/>
      <c r="AL105" s="89"/>
      <c r="AM105" s="89"/>
      <c r="AN105" s="8" t="str">
        <f>IFERROR(Calculations!BJ103, "")</f>
        <v/>
      </c>
      <c r="AO105" s="8" t="str">
        <f>IFERROR(Calculations!BK103, "")</f>
        <v/>
      </c>
      <c r="AP105" s="8">
        <f>IFERROR(Calculations!BL103, "")</f>
        <v>14.218775715253612</v>
      </c>
      <c r="AQ105" s="8">
        <f>IFERROR(Calculations!BM103, "")</f>
        <v>30.270932415527071</v>
      </c>
      <c r="AR105" s="8" t="str">
        <f>IFERROR(Calculations!BN103, "")</f>
        <v/>
      </c>
      <c r="AS105" s="8" t="str">
        <f>IFERROR(Calculations!BO103, "")</f>
        <v/>
      </c>
      <c r="AT105" s="8" t="str">
        <f>IFERROR(Calculations!BP103, "")</f>
        <v/>
      </c>
      <c r="AU105" s="8" t="str">
        <f>IFERROR(Calculations!BQ103, "")</f>
        <v/>
      </c>
      <c r="AV105" s="8" t="str">
        <f>IFERROR(Calculations!BR103, "")</f>
        <v/>
      </c>
      <c r="AW105" s="89"/>
      <c r="AX105" s="89"/>
      <c r="AY105" s="89"/>
      <c r="AZ105" s="89"/>
      <c r="BA105" s="8" t="str">
        <f>IFERROR(Calculations!BW103, "")</f>
        <v/>
      </c>
      <c r="BB105" s="8" t="str">
        <f>IFERROR(Calculations!BX103, "")</f>
        <v/>
      </c>
      <c r="BC105" s="8" t="str">
        <f>IFERROR(Calculations!BY103, "")</f>
        <v/>
      </c>
      <c r="BD105" s="8">
        <f>IFERROR(Calculations!BZ103, "")</f>
        <v>0</v>
      </c>
      <c r="BE105" s="8">
        <f>IFERROR(Calculations!CA103, "")</f>
        <v>30.907222598785243</v>
      </c>
      <c r="BF105" s="8" t="str">
        <f>IFERROR(Calculations!CB103, "")</f>
        <v/>
      </c>
      <c r="BG105" s="8" t="str">
        <f>IFERROR(Calculations!CC103, "")</f>
        <v/>
      </c>
      <c r="BH105" s="8" t="str">
        <f>IFERROR(Calculations!CD103, "")</f>
        <v/>
      </c>
      <c r="BI105" s="8" t="str">
        <f>IFERROR(Calculations!CE103, "")</f>
        <v/>
      </c>
      <c r="BJ105" s="8">
        <f>IFERROR(IF(Calculations!CF103 &lt;&gt; 0, Calculations!CF103, ""),"")</f>
        <v>-13.582485531995442</v>
      </c>
      <c r="BK105" s="1">
        <f t="shared" si="8"/>
        <v>650</v>
      </c>
      <c r="BL105" s="1">
        <f t="shared" si="9"/>
        <v>35</v>
      </c>
      <c r="CD105" s="8"/>
      <c r="CE105" s="8"/>
      <c r="CF105" s="8"/>
      <c r="CG105" s="8"/>
      <c r="CH105" s="8"/>
      <c r="CI105" s="8"/>
      <c r="CJ105" s="8"/>
      <c r="CK105" s="8"/>
      <c r="CL105" s="8"/>
      <c r="CM105" s="8"/>
      <c r="CN105" s="8"/>
      <c r="CO105" s="8"/>
      <c r="CP105" s="8"/>
      <c r="CQ105" s="8"/>
      <c r="CR105" s="8"/>
      <c r="CS105" s="8"/>
      <c r="CT105" s="8"/>
      <c r="CU105" s="8"/>
      <c r="CV105" s="8"/>
      <c r="CW105" s="8"/>
      <c r="CX105" s="8"/>
      <c r="CY105" s="8"/>
      <c r="CZ105" s="8"/>
      <c r="DA105" s="8"/>
      <c r="DB105" s="8"/>
      <c r="DC105" s="8"/>
      <c r="DD105" s="8"/>
      <c r="DE105" s="8"/>
      <c r="DF105" s="8"/>
      <c r="DG105" s="8"/>
      <c r="DH105" s="8"/>
      <c r="DI105" s="8"/>
      <c r="DJ105" s="8"/>
      <c r="DK105" s="8"/>
      <c r="DL105" s="8"/>
      <c r="DM105" s="8"/>
      <c r="DN105" s="8"/>
      <c r="DO105" s="8"/>
      <c r="DP105" s="8"/>
      <c r="DQ105" s="8"/>
      <c r="DR105" s="8"/>
      <c r="DS105" s="8"/>
      <c r="DT105" s="8"/>
      <c r="DU105" s="8"/>
      <c r="DV105" s="8"/>
      <c r="DW105" s="8"/>
      <c r="DX105" s="8"/>
      <c r="DY105" s="8"/>
      <c r="DZ105" s="8"/>
      <c r="EA105" s="8"/>
    </row>
    <row r="106" spans="2:131" x14ac:dyDescent="0.2">
      <c r="B106" s="1">
        <f>IFERROR(Calculations!M104/1000, "")</f>
        <v>35</v>
      </c>
      <c r="C106" s="1">
        <f>Calculations!N104</f>
        <v>700</v>
      </c>
      <c r="D106" s="58">
        <f>IFERROR(Calculations!$Q104,"")</f>
        <v>1.25265516091764</v>
      </c>
      <c r="E106" s="8">
        <f>IFERROR(Calculations!$S104, "")</f>
        <v>24.561071898942298</v>
      </c>
      <c r="F106" s="89"/>
      <c r="G106" s="89"/>
      <c r="H106" s="89"/>
      <c r="I106" s="89"/>
      <c r="J106" s="1" t="str">
        <f>IFERROR(Calculations!AC104, "")</f>
        <v/>
      </c>
      <c r="K106" s="1" t="str">
        <f>IFERROR(Calculations!AD104, "")</f>
        <v/>
      </c>
      <c r="L106" s="8">
        <f>IFERROR(Calculations!AE104,"")</f>
        <v>-60759.729184864758</v>
      </c>
      <c r="M106" s="8">
        <f>IFERROR(Calculations!AF104,"")</f>
        <v>-94668.410771637107</v>
      </c>
      <c r="N106" s="8" t="str">
        <f>IFERROR(Calculations!AG104,"")</f>
        <v/>
      </c>
      <c r="O106" s="8" t="str">
        <f>IFERROR(Calculations!AH104,"")</f>
        <v/>
      </c>
      <c r="P106" s="8" t="str">
        <f>IFERROR(Calculations!AI104,"")</f>
        <v/>
      </c>
      <c r="Q106" s="8" t="str">
        <f>IFERROR(Calculations!AJ104,"")</f>
        <v/>
      </c>
      <c r="R106" s="8" t="str">
        <f>IFERROR(Calculations!AK104,"")</f>
        <v/>
      </c>
      <c r="S106" s="89"/>
      <c r="T106" s="89"/>
      <c r="U106" s="89"/>
      <c r="V106" s="89"/>
      <c r="W106" s="1" t="str">
        <f>IFERROR(Calculations!AP104, "")</f>
        <v/>
      </c>
      <c r="X106" s="1" t="str">
        <f>IFERROR(Calculations!AQ104, "")</f>
        <v/>
      </c>
      <c r="Y106" s="8" t="str">
        <f>IFERROR(Calculations!AR104,"")</f>
        <v/>
      </c>
      <c r="Z106" s="8">
        <f>IFERROR(Calculations!AS104,"")</f>
        <v>0</v>
      </c>
      <c r="AA106" s="8">
        <f>IFERROR(Calculations!AT104,"")</f>
        <v>-135113.61395675573</v>
      </c>
      <c r="AB106" s="8" t="str">
        <f>IFERROR(Calculations!AU104,"")</f>
        <v/>
      </c>
      <c r="AC106" s="8" t="str">
        <f>IFERROR(Calculations!AV104,"")</f>
        <v/>
      </c>
      <c r="AD106" s="8" t="str">
        <f>IFERROR(Calculations!AW104,"")</f>
        <v/>
      </c>
      <c r="AE106" s="8" t="str">
        <f>IFERROR(Calculations!AX104,"")</f>
        <v/>
      </c>
      <c r="AF106" s="8">
        <f>IFERROR(IF(Calculations!AY104 &lt;&gt; 0, Calculations!AY104, ""),"")</f>
        <v>20314.52599974614</v>
      </c>
      <c r="AG106" s="42">
        <f>IFERROR(IF(Calculations!AZ104 &lt;&gt; 0, Calculations!AZ104, ""),"")</f>
        <v>-4.565189187012388</v>
      </c>
      <c r="AH106" s="1">
        <f t="shared" si="6"/>
        <v>35</v>
      </c>
      <c r="AI106" s="1">
        <f t="shared" si="7"/>
        <v>700</v>
      </c>
      <c r="AJ106" s="89"/>
      <c r="AK106" s="89"/>
      <c r="AL106" s="89"/>
      <c r="AM106" s="89"/>
      <c r="AN106" s="8" t="str">
        <f>IFERROR(Calculations!BJ104, "")</f>
        <v/>
      </c>
      <c r="AO106" s="8" t="str">
        <f>IFERROR(Calculations!BK104, "")</f>
        <v/>
      </c>
      <c r="AP106" s="8">
        <f>IFERROR(Calculations!BL104, "")</f>
        <v>14.381675469889734</v>
      </c>
      <c r="AQ106" s="8">
        <f>IFERROR(Calculations!BM104, "")</f>
        <v>30.321538804463493</v>
      </c>
      <c r="AR106" s="8" t="str">
        <f>IFERROR(Calculations!BN104, "")</f>
        <v/>
      </c>
      <c r="AS106" s="8" t="str">
        <f>IFERROR(Calculations!BO104, "")</f>
        <v/>
      </c>
      <c r="AT106" s="8" t="str">
        <f>IFERROR(Calculations!BP104, "")</f>
        <v/>
      </c>
      <c r="AU106" s="8" t="str">
        <f>IFERROR(Calculations!BQ104, "")</f>
        <v/>
      </c>
      <c r="AV106" s="8" t="str">
        <f>IFERROR(Calculations!BR104, "")</f>
        <v/>
      </c>
      <c r="AW106" s="89"/>
      <c r="AX106" s="89"/>
      <c r="AY106" s="89"/>
      <c r="AZ106" s="89"/>
      <c r="BA106" s="8" t="str">
        <f>IFERROR(Calculations!BW104, "")</f>
        <v/>
      </c>
      <c r="BB106" s="8" t="str">
        <f>IFERROR(Calculations!BX104, "")</f>
        <v/>
      </c>
      <c r="BC106" s="8" t="str">
        <f>IFERROR(Calculations!BY104, "")</f>
        <v/>
      </c>
      <c r="BD106" s="8">
        <f>IFERROR(Calculations!BZ104, "")</f>
        <v>0</v>
      </c>
      <c r="BE106" s="8">
        <f>IFERROR(Calculations!CA104, "")</f>
        <v>30.813745460177255</v>
      </c>
      <c r="BF106" s="8" t="str">
        <f>IFERROR(Calculations!CB104, "")</f>
        <v/>
      </c>
      <c r="BG106" s="8" t="str">
        <f>IFERROR(Calculations!CC104, "")</f>
        <v/>
      </c>
      <c r="BH106" s="8" t="str">
        <f>IFERROR(Calculations!CD104, "")</f>
        <v/>
      </c>
      <c r="BI106" s="8" t="str">
        <f>IFERROR(Calculations!CE104, "")</f>
        <v/>
      </c>
      <c r="BJ106" s="8">
        <f>IFERROR(IF(Calculations!CF104 &lt;&gt; 0, Calculations!CF104, ""),"")</f>
        <v>-13.889468814175974</v>
      </c>
      <c r="BK106" s="1">
        <f t="shared" si="8"/>
        <v>700</v>
      </c>
      <c r="BL106" s="1">
        <f t="shared" si="9"/>
        <v>35</v>
      </c>
      <c r="CD106" s="8"/>
      <c r="CE106" s="8"/>
      <c r="CF106" s="8"/>
      <c r="CG106" s="8"/>
      <c r="CH106" s="8"/>
      <c r="CI106" s="8"/>
      <c r="CJ106" s="8"/>
      <c r="CK106" s="8"/>
      <c r="CL106" s="8"/>
      <c r="CM106" s="8"/>
      <c r="CN106" s="8"/>
      <c r="CO106" s="8"/>
      <c r="CP106" s="8"/>
      <c r="CQ106" s="8"/>
      <c r="CR106" s="8"/>
      <c r="CS106" s="8"/>
      <c r="CT106" s="8"/>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8"/>
      <c r="DS106" s="8"/>
      <c r="DT106" s="8"/>
      <c r="DU106" s="8"/>
      <c r="DV106" s="8"/>
      <c r="DW106" s="8"/>
      <c r="DX106" s="8"/>
      <c r="DY106" s="8"/>
      <c r="DZ106" s="8"/>
      <c r="EA106" s="8"/>
    </row>
    <row r="107" spans="2:131" x14ac:dyDescent="0.2">
      <c r="B107" s="1">
        <f>IFERROR(Calculations!M105/1000, "")</f>
        <v>35</v>
      </c>
      <c r="C107" s="1">
        <f>Calculations!N105</f>
        <v>750</v>
      </c>
      <c r="D107" s="58">
        <f>IFERROR(Calculations!$Q105,"")</f>
        <v>1.2385573777151107</v>
      </c>
      <c r="E107" s="8">
        <f>IFERROR(Calculations!$S105, "")</f>
        <v>22.501068338269015</v>
      </c>
      <c r="F107" s="89"/>
      <c r="G107" s="89"/>
      <c r="H107" s="89"/>
      <c r="I107" s="89"/>
      <c r="J107" s="1" t="str">
        <f>IFERROR(Calculations!AC105, "")</f>
        <v/>
      </c>
      <c r="K107" s="1" t="str">
        <f>IFERROR(Calculations!AD105, "")</f>
        <v/>
      </c>
      <c r="L107" s="8">
        <f>IFERROR(Calculations!AE105,"")</f>
        <v>-62283.805255176485</v>
      </c>
      <c r="M107" s="8">
        <f>IFERROR(Calculations!AF105,"")</f>
        <v>-97059.206516941689</v>
      </c>
      <c r="N107" s="8" t="str">
        <f>IFERROR(Calculations!AG105,"")</f>
        <v/>
      </c>
      <c r="O107" s="8" t="str">
        <f>IFERROR(Calculations!AH105,"")</f>
        <v/>
      </c>
      <c r="P107" s="8" t="str">
        <f>IFERROR(Calculations!AI105,"")</f>
        <v/>
      </c>
      <c r="Q107" s="8" t="str">
        <f>IFERROR(Calculations!AJ105,"")</f>
        <v/>
      </c>
      <c r="R107" s="8" t="str">
        <f>IFERROR(Calculations!AK105,"")</f>
        <v/>
      </c>
      <c r="S107" s="89"/>
      <c r="T107" s="89"/>
      <c r="U107" s="89"/>
      <c r="V107" s="89"/>
      <c r="W107" s="1" t="str">
        <f>IFERROR(Calculations!AP105, "")</f>
        <v/>
      </c>
      <c r="X107" s="1" t="str">
        <f>IFERROR(Calculations!AQ105, "")</f>
        <v/>
      </c>
      <c r="Y107" s="8" t="str">
        <f>IFERROR(Calculations!AR105,"")</f>
        <v/>
      </c>
      <c r="Z107" s="8">
        <f>IFERROR(Calculations!AS105,"")</f>
        <v>0</v>
      </c>
      <c r="AA107" s="8">
        <f>IFERROR(Calculations!AT105,"")</f>
        <v>-136780.02595822734</v>
      </c>
      <c r="AB107" s="8" t="str">
        <f>IFERROR(Calculations!AU105,"")</f>
        <v/>
      </c>
      <c r="AC107" s="8" t="str">
        <f>IFERROR(Calculations!AV105,"")</f>
        <v/>
      </c>
      <c r="AD107" s="8" t="str">
        <f>IFERROR(Calculations!AW105,"")</f>
        <v/>
      </c>
      <c r="AE107" s="8" t="str">
        <f>IFERROR(Calculations!AX105,"")</f>
        <v/>
      </c>
      <c r="AF107" s="8">
        <f>IFERROR(IF(Calculations!AY105 &lt;&gt; 0, Calculations!AY105, ""),"")</f>
        <v>22562.985813890817</v>
      </c>
      <c r="AG107" s="42">
        <f>IFERROR(IF(Calculations!AZ105 &lt;&gt; 0, Calculations!AZ105, ""),"")</f>
        <v>-4.822687653805616</v>
      </c>
      <c r="AH107" s="1">
        <f t="shared" si="6"/>
        <v>35</v>
      </c>
      <c r="AI107" s="1">
        <f t="shared" si="7"/>
        <v>750</v>
      </c>
      <c r="AJ107" s="89"/>
      <c r="AK107" s="89"/>
      <c r="AL107" s="89"/>
      <c r="AM107" s="89"/>
      <c r="AN107" s="8" t="str">
        <f>IFERROR(Calculations!BJ105, "")</f>
        <v/>
      </c>
      <c r="AO107" s="8" t="str">
        <f>IFERROR(Calculations!BK105, "")</f>
        <v/>
      </c>
      <c r="AP107" s="8">
        <f>IFERROR(Calculations!BL105, "")</f>
        <v>14.545373774475083</v>
      </c>
      <c r="AQ107" s="8">
        <f>IFERROR(Calculations!BM105, "")</f>
        <v>30.37459181672747</v>
      </c>
      <c r="AR107" s="8" t="str">
        <f>IFERROR(Calculations!BN105, "")</f>
        <v/>
      </c>
      <c r="AS107" s="8" t="str">
        <f>IFERROR(Calculations!BO105, "")</f>
        <v/>
      </c>
      <c r="AT107" s="8" t="str">
        <f>IFERROR(Calculations!BP105, "")</f>
        <v/>
      </c>
      <c r="AU107" s="8" t="str">
        <f>IFERROR(Calculations!BQ105, "")</f>
        <v/>
      </c>
      <c r="AV107" s="8" t="str">
        <f>IFERROR(Calculations!BR105, "")</f>
        <v/>
      </c>
      <c r="AW107" s="89"/>
      <c r="AX107" s="89"/>
      <c r="AY107" s="89"/>
      <c r="AZ107" s="89"/>
      <c r="BA107" s="8" t="str">
        <f>IFERROR(Calculations!BW105, "")</f>
        <v/>
      </c>
      <c r="BB107" s="8" t="str">
        <f>IFERROR(Calculations!BX105, "")</f>
        <v/>
      </c>
      <c r="BC107" s="8" t="str">
        <f>IFERROR(Calculations!BY105, "")</f>
        <v/>
      </c>
      <c r="BD107" s="8">
        <f>IFERROR(Calculations!BZ105, "")</f>
        <v>0</v>
      </c>
      <c r="BE107" s="8">
        <f>IFERROR(Calculations!CA105, "")</f>
        <v>30.718000416667021</v>
      </c>
      <c r="BF107" s="8" t="str">
        <f>IFERROR(Calculations!CB105, "")</f>
        <v/>
      </c>
      <c r="BG107" s="8" t="str">
        <f>IFERROR(Calculations!CC105, "")</f>
        <v/>
      </c>
      <c r="BH107" s="8" t="str">
        <f>IFERROR(Calculations!CD105, "")</f>
        <v/>
      </c>
      <c r="BI107" s="8" t="str">
        <f>IFERROR(Calculations!CE105, "")</f>
        <v/>
      </c>
      <c r="BJ107" s="8">
        <f>IFERROR(IF(Calculations!CF105 &lt;&gt; 0, Calculations!CF105, ""),"")</f>
        <v>-14.201965174535534</v>
      </c>
      <c r="BK107" s="1">
        <f t="shared" si="8"/>
        <v>750</v>
      </c>
      <c r="BL107" s="1">
        <f t="shared" si="9"/>
        <v>35</v>
      </c>
      <c r="CD107" s="8"/>
      <c r="CE107" s="8"/>
      <c r="CF107" s="8"/>
      <c r="CG107" s="8"/>
      <c r="CH107" s="8"/>
      <c r="CI107" s="8"/>
      <c r="CJ107" s="8"/>
      <c r="CK107" s="8"/>
      <c r="CL107" s="8"/>
      <c r="CM107" s="8"/>
      <c r="CN107" s="8"/>
      <c r="CO107" s="8"/>
      <c r="CP107" s="8"/>
      <c r="CQ107" s="8"/>
      <c r="CR107" s="8"/>
      <c r="CS107" s="8"/>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8"/>
      <c r="DS107" s="8"/>
      <c r="DT107" s="8"/>
      <c r="DU107" s="8"/>
      <c r="DV107" s="8"/>
      <c r="DW107" s="8"/>
      <c r="DX107" s="8"/>
      <c r="DY107" s="8"/>
      <c r="DZ107" s="8"/>
      <c r="EA107" s="8"/>
    </row>
    <row r="108" spans="2:131" x14ac:dyDescent="0.2">
      <c r="B108" s="1">
        <f>IFERROR(Calculations!M106/1000, "")</f>
        <v>35</v>
      </c>
      <c r="C108" s="1">
        <f>Calculations!N106</f>
        <v>800</v>
      </c>
      <c r="D108" s="58">
        <f>IFERROR(Calculations!$Q106,"")</f>
        <v>1.2247267712640761</v>
      </c>
      <c r="E108" s="8">
        <f>IFERROR(Calculations!$S106, "")</f>
        <v>20.658247988905657</v>
      </c>
      <c r="F108" s="89"/>
      <c r="G108" s="89"/>
      <c r="H108" s="89"/>
      <c r="I108" s="89"/>
      <c r="J108" s="1" t="str">
        <f>IFERROR(Calculations!AC106, "")</f>
        <v/>
      </c>
      <c r="K108" s="1" t="str">
        <f>IFERROR(Calculations!AD106, "")</f>
        <v/>
      </c>
      <c r="L108" s="8">
        <f>IFERROR(Calculations!AE106,"")</f>
        <v>-63886.709038369059</v>
      </c>
      <c r="M108" s="8">
        <f>IFERROR(Calculations!AF106,"")</f>
        <v>-99490.008765711304</v>
      </c>
      <c r="N108" s="8" t="str">
        <f>IFERROR(Calculations!AG106,"")</f>
        <v/>
      </c>
      <c r="O108" s="8" t="str">
        <f>IFERROR(Calculations!AH106,"")</f>
        <v/>
      </c>
      <c r="P108" s="8" t="str">
        <f>IFERROR(Calculations!AI106,"")</f>
        <v/>
      </c>
      <c r="Q108" s="8" t="str">
        <f>IFERROR(Calculations!AJ106,"")</f>
        <v/>
      </c>
      <c r="R108" s="8" t="str">
        <f>IFERROR(Calculations!AK106,"")</f>
        <v/>
      </c>
      <c r="S108" s="89"/>
      <c r="T108" s="89"/>
      <c r="U108" s="89"/>
      <c r="V108" s="89"/>
      <c r="W108" s="1" t="str">
        <f>IFERROR(Calculations!AP106, "")</f>
        <v/>
      </c>
      <c r="X108" s="1" t="str">
        <f>IFERROR(Calculations!AQ106, "")</f>
        <v/>
      </c>
      <c r="Y108" s="8" t="str">
        <f>IFERROR(Calculations!AR106,"")</f>
        <v/>
      </c>
      <c r="Z108" s="8">
        <f>IFERROR(Calculations!AS106,"")</f>
        <v>0</v>
      </c>
      <c r="AA108" s="8">
        <f>IFERROR(Calculations!AT106,"")</f>
        <v>-138443.54655183438</v>
      </c>
      <c r="AB108" s="8" t="str">
        <f>IFERROR(Calculations!AU106,"")</f>
        <v/>
      </c>
      <c r="AC108" s="8" t="str">
        <f>IFERROR(Calculations!AV106,"")</f>
        <v/>
      </c>
      <c r="AD108" s="8" t="str">
        <f>IFERROR(Calculations!AW106,"")</f>
        <v/>
      </c>
      <c r="AE108" s="8" t="str">
        <f>IFERROR(Calculations!AX106,"")</f>
        <v/>
      </c>
      <c r="AF108" s="8">
        <f>IFERROR(IF(Calculations!AY106 &lt;&gt; 0, Calculations!AY106, ""),"")</f>
        <v>24933.171252245986</v>
      </c>
      <c r="AG108" s="42">
        <f>IFERROR(IF(Calculations!AZ106 &lt;&gt; 0, Calculations!AZ106, ""),"")</f>
        <v>-5.0809972940956882</v>
      </c>
      <c r="AH108" s="1">
        <f t="shared" si="6"/>
        <v>35</v>
      </c>
      <c r="AI108" s="1">
        <f t="shared" si="7"/>
        <v>800</v>
      </c>
      <c r="AJ108" s="89"/>
      <c r="AK108" s="89"/>
      <c r="AL108" s="89"/>
      <c r="AM108" s="89"/>
      <c r="AN108" s="8" t="str">
        <f>IFERROR(Calculations!BJ106, "")</f>
        <v/>
      </c>
      <c r="AO108" s="8" t="str">
        <f>IFERROR(Calculations!BK106, "")</f>
        <v/>
      </c>
      <c r="AP108" s="8">
        <f>IFERROR(Calculations!BL106, "")</f>
        <v>14.709631913578493</v>
      </c>
      <c r="AQ108" s="8">
        <f>IFERROR(Calculations!BM106, "")</f>
        <v>30.429731191308552</v>
      </c>
      <c r="AR108" s="8" t="str">
        <f>IFERROR(Calculations!BN106, "")</f>
        <v/>
      </c>
      <c r="AS108" s="8" t="str">
        <f>IFERROR(Calculations!BO106, "")</f>
        <v/>
      </c>
      <c r="AT108" s="8" t="str">
        <f>IFERROR(Calculations!BP106, "")</f>
        <v/>
      </c>
      <c r="AU108" s="8" t="str">
        <f>IFERROR(Calculations!BQ106, "")</f>
        <v/>
      </c>
      <c r="AV108" s="8" t="str">
        <f>IFERROR(Calculations!BR106, "")</f>
        <v/>
      </c>
      <c r="AW108" s="89"/>
      <c r="AX108" s="89"/>
      <c r="AY108" s="89"/>
      <c r="AZ108" s="89"/>
      <c r="BA108" s="8" t="str">
        <f>IFERROR(Calculations!BW106, "")</f>
        <v/>
      </c>
      <c r="BB108" s="8" t="str">
        <f>IFERROR(Calculations!BX106, "")</f>
        <v/>
      </c>
      <c r="BC108" s="8" t="str">
        <f>IFERROR(Calculations!BY106, "")</f>
        <v/>
      </c>
      <c r="BD108" s="8">
        <f>IFERROR(Calculations!BZ106, "")</f>
        <v>0</v>
      </c>
      <c r="BE108" s="8">
        <f>IFERROR(Calculations!CA106, "")</f>
        <v>30.620272245017627</v>
      </c>
      <c r="BF108" s="8" t="str">
        <f>IFERROR(Calculations!CB106, "")</f>
        <v/>
      </c>
      <c r="BG108" s="8" t="str">
        <f>IFERROR(Calculations!CC106, "")</f>
        <v/>
      </c>
      <c r="BH108" s="8" t="str">
        <f>IFERROR(Calculations!CD106, "")</f>
        <v/>
      </c>
      <c r="BI108" s="8" t="str">
        <f>IFERROR(Calculations!CE106, "")</f>
        <v/>
      </c>
      <c r="BJ108" s="8">
        <f>IFERROR(IF(Calculations!CF106 &lt;&gt; 0, Calculations!CF106, ""),"")</f>
        <v>-14.519090859869419</v>
      </c>
      <c r="BK108" s="1">
        <f t="shared" si="8"/>
        <v>800</v>
      </c>
      <c r="BL108" s="1">
        <f t="shared" si="9"/>
        <v>35</v>
      </c>
      <c r="CD108" s="8"/>
      <c r="CE108" s="8"/>
      <c r="CF108" s="8"/>
      <c r="CG108" s="8"/>
      <c r="CH108" s="8"/>
      <c r="CI108" s="8"/>
      <c r="CJ108" s="8"/>
      <c r="CK108" s="8"/>
      <c r="CL108" s="8"/>
      <c r="CM108" s="8"/>
      <c r="CN108" s="8"/>
      <c r="CO108" s="8"/>
      <c r="CP108" s="8"/>
      <c r="CQ108" s="8"/>
      <c r="CR108" s="8"/>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8"/>
      <c r="DS108" s="8"/>
      <c r="DT108" s="8"/>
      <c r="DU108" s="8"/>
      <c r="DV108" s="8"/>
      <c r="DW108" s="8"/>
      <c r="DX108" s="8"/>
      <c r="DY108" s="8"/>
      <c r="DZ108" s="8"/>
      <c r="EA108" s="8"/>
    </row>
    <row r="109" spans="2:131" x14ac:dyDescent="0.2">
      <c r="B109" s="1">
        <f>IFERROR(Calculations!M107/1000, "")</f>
        <v>35</v>
      </c>
      <c r="C109" s="1">
        <f>Calculations!N107</f>
        <v>850</v>
      </c>
      <c r="D109" s="58">
        <f>IFERROR(Calculations!$Q107,"")</f>
        <v>1.2111740703576803</v>
      </c>
      <c r="E109" s="8">
        <f>IFERROR(Calculations!$S107, "")</f>
        <v>19.005824112098193</v>
      </c>
      <c r="F109" s="89"/>
      <c r="G109" s="89"/>
      <c r="H109" s="89"/>
      <c r="I109" s="89"/>
      <c r="J109" s="1" t="str">
        <f>IFERROR(Calculations!AC107, "")</f>
        <v/>
      </c>
      <c r="K109" s="1" t="str">
        <f>IFERROR(Calculations!AD107, "")</f>
        <v/>
      </c>
      <c r="L109" s="8">
        <f>IFERROR(Calculations!AE107,"")</f>
        <v>-65468.774195428748</v>
      </c>
      <c r="M109" s="8">
        <f>IFERROR(Calculations!AF107,"")</f>
        <v>-101960.43665954463</v>
      </c>
      <c r="N109" s="8" t="str">
        <f>IFERROR(Calculations!AG107,"")</f>
        <v/>
      </c>
      <c r="O109" s="8" t="str">
        <f>IFERROR(Calculations!AH107,"")</f>
        <v/>
      </c>
      <c r="P109" s="8" t="str">
        <f>IFERROR(Calculations!AI107,"")</f>
        <v/>
      </c>
      <c r="Q109" s="8" t="str">
        <f>IFERROR(Calculations!AJ107,"")</f>
        <v/>
      </c>
      <c r="R109" s="8" t="str">
        <f>IFERROR(Calculations!AK107,"")</f>
        <v/>
      </c>
      <c r="S109" s="89"/>
      <c r="T109" s="89"/>
      <c r="U109" s="89"/>
      <c r="V109" s="89"/>
      <c r="W109" s="1" t="str">
        <f>IFERROR(Calculations!AP107, "")</f>
        <v/>
      </c>
      <c r="X109" s="1" t="str">
        <f>IFERROR(Calculations!AQ107, "")</f>
        <v/>
      </c>
      <c r="Y109" s="8" t="str">
        <f>IFERROR(Calculations!AR107,"")</f>
        <v/>
      </c>
      <c r="Z109" s="8">
        <f>IFERROR(Calculations!AS107,"")</f>
        <v>0</v>
      </c>
      <c r="AA109" s="8">
        <f>IFERROR(Calculations!AT107,"")</f>
        <v>-140101.94105075879</v>
      </c>
      <c r="AB109" s="8" t="str">
        <f>IFERROR(Calculations!AU107,"")</f>
        <v/>
      </c>
      <c r="AC109" s="8" t="str">
        <f>IFERROR(Calculations!AV107,"")</f>
        <v/>
      </c>
      <c r="AD109" s="8" t="str">
        <f>IFERROR(Calculations!AW107,"")</f>
        <v/>
      </c>
      <c r="AE109" s="8" t="str">
        <f>IFERROR(Calculations!AX107,"")</f>
        <v/>
      </c>
      <c r="AF109" s="8">
        <f>IFERROR(IF(Calculations!AY107 &lt;&gt; 0, Calculations!AY107, ""),"")</f>
        <v>27327.269804214593</v>
      </c>
      <c r="AG109" s="42">
        <f>IFERROR(IF(Calculations!AZ107 &lt;&gt; 0, Calculations!AZ107, ""),"")</f>
        <v>-5.3209644425524054</v>
      </c>
      <c r="AH109" s="1">
        <f t="shared" si="6"/>
        <v>35</v>
      </c>
      <c r="AI109" s="1">
        <f t="shared" si="7"/>
        <v>850</v>
      </c>
      <c r="AJ109" s="89"/>
      <c r="AK109" s="89"/>
      <c r="AL109" s="89"/>
      <c r="AM109" s="89"/>
      <c r="AN109" s="8" t="str">
        <f>IFERROR(Calculations!BJ107, "")</f>
        <v/>
      </c>
      <c r="AO109" s="8" t="str">
        <f>IFERROR(Calculations!BK107, "")</f>
        <v/>
      </c>
      <c r="AP109" s="8">
        <f>IFERROR(Calculations!BL107, "")</f>
        <v>14.874228602565593</v>
      </c>
      <c r="AQ109" s="8">
        <f>IFERROR(Calculations!BM107, "")</f>
        <v>30.486613833349232</v>
      </c>
      <c r="AR109" s="8" t="str">
        <f>IFERROR(Calculations!BN107, "")</f>
        <v/>
      </c>
      <c r="AS109" s="8" t="str">
        <f>IFERROR(Calculations!BO107, "")</f>
        <v/>
      </c>
      <c r="AT109" s="8" t="str">
        <f>IFERROR(Calculations!BP107, "")</f>
        <v/>
      </c>
      <c r="AU109" s="8" t="str">
        <f>IFERROR(Calculations!BQ107, "")</f>
        <v/>
      </c>
      <c r="AV109" s="8" t="str">
        <f>IFERROR(Calculations!BR107, "")</f>
        <v/>
      </c>
      <c r="AW109" s="89"/>
      <c r="AX109" s="89"/>
      <c r="AY109" s="89"/>
      <c r="AZ109" s="89"/>
      <c r="BA109" s="8" t="str">
        <f>IFERROR(Calculations!BW107, "")</f>
        <v/>
      </c>
      <c r="BB109" s="8" t="str">
        <f>IFERROR(Calculations!BX107, "")</f>
        <v/>
      </c>
      <c r="BC109" s="8" t="str">
        <f>IFERROR(Calculations!BY107, "")</f>
        <v/>
      </c>
      <c r="BD109" s="8">
        <f>IFERROR(Calculations!BZ107, "")</f>
        <v>0</v>
      </c>
      <c r="BE109" s="8">
        <f>IFERROR(Calculations!CA107, "")</f>
        <v>30.520882886015251</v>
      </c>
      <c r="BF109" s="8" t="str">
        <f>IFERROR(Calculations!CB107, "")</f>
        <v/>
      </c>
      <c r="BG109" s="8" t="str">
        <f>IFERROR(Calculations!CC107, "")</f>
        <v/>
      </c>
      <c r="BH109" s="8" t="str">
        <f>IFERROR(Calculations!CD107, "")</f>
        <v/>
      </c>
      <c r="BI109" s="8" t="str">
        <f>IFERROR(Calculations!CE107, "")</f>
        <v/>
      </c>
      <c r="BJ109" s="8">
        <f>IFERROR(IF(Calculations!CF107 &lt;&gt; 0, Calculations!CF107, ""),"")</f>
        <v>-14.839959549899575</v>
      </c>
      <c r="BK109" s="1">
        <f t="shared" si="8"/>
        <v>850</v>
      </c>
      <c r="BL109" s="1">
        <f t="shared" si="9"/>
        <v>35</v>
      </c>
      <c r="CD109" s="8"/>
      <c r="CE109" s="8"/>
      <c r="CF109" s="8"/>
      <c r="CG109" s="8"/>
      <c r="CH109" s="8"/>
      <c r="CI109" s="8"/>
      <c r="CJ109" s="8"/>
      <c r="CK109" s="8"/>
      <c r="CL109" s="8"/>
      <c r="CM109" s="8"/>
      <c r="CN109" s="8"/>
      <c r="CO109" s="8"/>
      <c r="CP109" s="8"/>
      <c r="CQ109" s="8"/>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8"/>
      <c r="DS109" s="8"/>
      <c r="DT109" s="8"/>
      <c r="DU109" s="8"/>
      <c r="DV109" s="8"/>
      <c r="DW109" s="8"/>
      <c r="DX109" s="8"/>
      <c r="DY109" s="8"/>
      <c r="DZ109" s="8"/>
      <c r="EA109" s="8"/>
    </row>
    <row r="110" spans="2:131" x14ac:dyDescent="0.2">
      <c r="B110" s="1">
        <f>IFERROR(Calculations!M108/1000, "")</f>
        <v>35</v>
      </c>
      <c r="C110" s="1">
        <f>Calculations!N108</f>
        <v>900</v>
      </c>
      <c r="D110" s="58">
        <f>IFERROR(Calculations!$Q108,"")</f>
        <v>1.1979065765357015</v>
      </c>
      <c r="E110" s="8">
        <f>IFERROR(Calculations!$S108, "")</f>
        <v>17.520846361124445</v>
      </c>
      <c r="F110" s="89"/>
      <c r="G110" s="89"/>
      <c r="H110" s="89"/>
      <c r="I110" s="89"/>
      <c r="J110" s="1" t="str">
        <f>IFERROR(Calculations!AC108, "")</f>
        <v/>
      </c>
      <c r="K110" s="1" t="str">
        <f>IFERROR(Calculations!AD108, "")</f>
        <v/>
      </c>
      <c r="L110" s="8">
        <f>IFERROR(Calculations!AE108,"")</f>
        <v>-67099.892125431114</v>
      </c>
      <c r="M110" s="8">
        <f>IFERROR(Calculations!AF108,"")</f>
        <v>-104470.14645387986</v>
      </c>
      <c r="N110" s="8" t="str">
        <f>IFERROR(Calculations!AG108,"")</f>
        <v/>
      </c>
      <c r="O110" s="8" t="str">
        <f>IFERROR(Calculations!AH108,"")</f>
        <v/>
      </c>
      <c r="P110" s="8" t="str">
        <f>IFERROR(Calculations!AI108,"")</f>
        <v/>
      </c>
      <c r="Q110" s="8" t="str">
        <f>IFERROR(Calculations!AJ108,"")</f>
        <v/>
      </c>
      <c r="R110" s="8" t="str">
        <f>IFERROR(Calculations!AK108,"")</f>
        <v/>
      </c>
      <c r="S110" s="89"/>
      <c r="T110" s="89"/>
      <c r="U110" s="89"/>
      <c r="V110" s="89"/>
      <c r="W110" s="1" t="str">
        <f>IFERROR(Calculations!AP108, "")</f>
        <v/>
      </c>
      <c r="X110" s="1" t="str">
        <f>IFERROR(Calculations!AQ108, "")</f>
        <v/>
      </c>
      <c r="Y110" s="8" t="str">
        <f>IFERROR(Calculations!AR108,"")</f>
        <v/>
      </c>
      <c r="Z110" s="8">
        <f>IFERROR(Calculations!AS108,"")</f>
        <v>0</v>
      </c>
      <c r="AA110" s="8">
        <f>IFERROR(Calculations!AT108,"")</f>
        <v>-141753.17022379307</v>
      </c>
      <c r="AB110" s="8" t="str">
        <f>IFERROR(Calculations!AU108,"")</f>
        <v/>
      </c>
      <c r="AC110" s="8" t="str">
        <f>IFERROR(Calculations!AV108,"")</f>
        <v/>
      </c>
      <c r="AD110" s="8" t="str">
        <f>IFERROR(Calculations!AW108,"")</f>
        <v/>
      </c>
      <c r="AE110" s="8" t="str">
        <f>IFERROR(Calculations!AX108,"")</f>
        <v/>
      </c>
      <c r="AF110" s="8">
        <f>IFERROR(IF(Calculations!AY108 &lt;&gt; 0, Calculations!AY108, ""),"")</f>
        <v>29816.868355517916</v>
      </c>
      <c r="AG110" s="42">
        <f>IFERROR(IF(Calculations!AZ108 &lt;&gt; 0, Calculations!AZ108, ""),"")</f>
        <v>-5.5582791781236836</v>
      </c>
      <c r="AH110" s="1">
        <f t="shared" si="6"/>
        <v>35</v>
      </c>
      <c r="AI110" s="1">
        <f t="shared" si="7"/>
        <v>900</v>
      </c>
      <c r="AJ110" s="89"/>
      <c r="AK110" s="89"/>
      <c r="AL110" s="89"/>
      <c r="AM110" s="89"/>
      <c r="AN110" s="8" t="str">
        <f>IFERROR(Calculations!BJ108, "")</f>
        <v/>
      </c>
      <c r="AO110" s="8" t="str">
        <f>IFERROR(Calculations!BK108, "")</f>
        <v/>
      </c>
      <c r="AP110" s="8">
        <f>IFERROR(Calculations!BL108, "")</f>
        <v>15.038969109009718</v>
      </c>
      <c r="AQ110" s="8">
        <f>IFERROR(Calculations!BM108, "")</f>
        <v>30.544903593311286</v>
      </c>
      <c r="AR110" s="8" t="str">
        <f>IFERROR(Calculations!BN108, "")</f>
        <v/>
      </c>
      <c r="AS110" s="8" t="str">
        <f>IFERROR(Calculations!BO108, "")</f>
        <v/>
      </c>
      <c r="AT110" s="8" t="str">
        <f>IFERROR(Calculations!BP108, "")</f>
        <v/>
      </c>
      <c r="AU110" s="8" t="str">
        <f>IFERROR(Calculations!BQ108, "")</f>
        <v/>
      </c>
      <c r="AV110" s="8" t="str">
        <f>IFERROR(Calculations!BR108, "")</f>
        <v/>
      </c>
      <c r="AW110" s="89"/>
      <c r="AX110" s="89"/>
      <c r="AY110" s="89"/>
      <c r="AZ110" s="89"/>
      <c r="BA110" s="8" t="str">
        <f>IFERROR(Calculations!BW108, "")</f>
        <v/>
      </c>
      <c r="BB110" s="8" t="str">
        <f>IFERROR(Calculations!BX108, "")</f>
        <v/>
      </c>
      <c r="BC110" s="8" t="str">
        <f>IFERROR(Calculations!BY108, "")</f>
        <v/>
      </c>
      <c r="BD110" s="8">
        <f>IFERROR(Calculations!BZ108, "")</f>
        <v>0</v>
      </c>
      <c r="BE110" s="8">
        <f>IFERROR(Calculations!CA108, "")</f>
        <v>30.420190655095823</v>
      </c>
      <c r="BF110" s="8" t="str">
        <f>IFERROR(Calculations!CB108, "")</f>
        <v/>
      </c>
      <c r="BG110" s="8" t="str">
        <f>IFERROR(Calculations!CC108, "")</f>
        <v/>
      </c>
      <c r="BH110" s="8" t="str">
        <f>IFERROR(Calculations!CD108, "")</f>
        <v/>
      </c>
      <c r="BI110" s="8" t="str">
        <f>IFERROR(Calculations!CE108, "")</f>
        <v/>
      </c>
      <c r="BJ110" s="8">
        <f>IFERROR(IF(Calculations!CF108 &lt;&gt; 0, Calculations!CF108, ""),"")</f>
        <v>-15.16368204722518</v>
      </c>
      <c r="BK110" s="1">
        <f t="shared" si="8"/>
        <v>900</v>
      </c>
      <c r="BL110" s="1">
        <f t="shared" si="9"/>
        <v>35</v>
      </c>
      <c r="CD110" s="8"/>
      <c r="CE110" s="8"/>
      <c r="CF110" s="8"/>
      <c r="CG110" s="8"/>
      <c r="CH110" s="8"/>
      <c r="CI110" s="8"/>
      <c r="CJ110" s="8"/>
      <c r="CK110" s="8"/>
      <c r="CL110" s="8"/>
      <c r="CM110" s="8"/>
      <c r="CN110" s="8"/>
      <c r="CO110" s="8"/>
      <c r="CP110" s="8"/>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8"/>
      <c r="DS110" s="8"/>
      <c r="DT110" s="8"/>
      <c r="DU110" s="8"/>
      <c r="DV110" s="8"/>
      <c r="DW110" s="8"/>
      <c r="DX110" s="8"/>
      <c r="DY110" s="8"/>
      <c r="DZ110" s="8"/>
      <c r="EA110" s="8"/>
    </row>
    <row r="111" spans="2:131" x14ac:dyDescent="0.2">
      <c r="B111" s="1">
        <f>IFERROR(Calculations!M109/1000, "")</f>
        <v>35</v>
      </c>
      <c r="C111" s="1">
        <f>Calculations!N109</f>
        <v>950</v>
      </c>
      <c r="D111" s="58">
        <f>IFERROR(Calculations!$Q109,"")</f>
        <v>1.1849290581506491</v>
      </c>
      <c r="E111" s="8">
        <f>IFERROR(Calculations!$S109, "")</f>
        <v>16.183557733047547</v>
      </c>
      <c r="F111" s="89"/>
      <c r="G111" s="89"/>
      <c r="H111" s="89"/>
      <c r="I111" s="89"/>
      <c r="J111" s="1" t="str">
        <f>IFERROR(Calculations!AC109, "")</f>
        <v/>
      </c>
      <c r="K111" s="1" t="str">
        <f>IFERROR(Calculations!AD109, "")</f>
        <v/>
      </c>
      <c r="L111" s="8">
        <f>IFERROR(Calculations!AE109,"")</f>
        <v>-68788.281008642953</v>
      </c>
      <c r="M111" s="8">
        <f>IFERROR(Calculations!AF109,"")</f>
        <v>-107018.8185745378</v>
      </c>
      <c r="N111" s="8" t="str">
        <f>IFERROR(Calculations!AG109,"")</f>
        <v/>
      </c>
      <c r="O111" s="8" t="str">
        <f>IFERROR(Calculations!AH109,"")</f>
        <v/>
      </c>
      <c r="P111" s="8" t="str">
        <f>IFERROR(Calculations!AI109,"")</f>
        <v/>
      </c>
      <c r="Q111" s="8" t="str">
        <f>IFERROR(Calculations!AJ109,"")</f>
        <v/>
      </c>
      <c r="R111" s="8" t="str">
        <f>IFERROR(Calculations!AK109,"")</f>
        <v/>
      </c>
      <c r="S111" s="89"/>
      <c r="T111" s="89"/>
      <c r="U111" s="89"/>
      <c r="V111" s="89"/>
      <c r="W111" s="1" t="str">
        <f>IFERROR(Calculations!AP109, "")</f>
        <v/>
      </c>
      <c r="X111" s="1" t="str">
        <f>IFERROR(Calculations!AQ109, "")</f>
        <v/>
      </c>
      <c r="Y111" s="8" t="str">
        <f>IFERROR(Calculations!AR109,"")</f>
        <v/>
      </c>
      <c r="Z111" s="8">
        <f>IFERROR(Calculations!AS109,"")</f>
        <v>0</v>
      </c>
      <c r="AA111" s="8">
        <f>IFERROR(Calculations!AT109,"")</f>
        <v>-143395.37799631202</v>
      </c>
      <c r="AB111" s="8" t="str">
        <f>IFERROR(Calculations!AU109,"")</f>
        <v/>
      </c>
      <c r="AC111" s="8" t="str">
        <f>IFERROR(Calculations!AV109,"")</f>
        <v/>
      </c>
      <c r="AD111" s="8" t="str">
        <f>IFERROR(Calculations!AW109,"")</f>
        <v/>
      </c>
      <c r="AE111" s="8" t="str">
        <f>IFERROR(Calculations!AX109,"")</f>
        <v/>
      </c>
      <c r="AF111" s="8">
        <f>IFERROR(IF(Calculations!AY109 &lt;&gt; 0, Calculations!AY109, ""),"")</f>
        <v>32411.72158686872</v>
      </c>
      <c r="AG111" s="42">
        <f>IFERROR(IF(Calculations!AZ109 &lt;&gt; 0, Calculations!AZ109, ""),"")</f>
        <v>-5.7950108525188773</v>
      </c>
      <c r="AH111" s="1">
        <f t="shared" si="6"/>
        <v>35</v>
      </c>
      <c r="AI111" s="1">
        <f t="shared" si="7"/>
        <v>950</v>
      </c>
      <c r="AJ111" s="89"/>
      <c r="AK111" s="89"/>
      <c r="AL111" s="89"/>
      <c r="AM111" s="89"/>
      <c r="AN111" s="8" t="str">
        <f>IFERROR(Calculations!BJ109, "")</f>
        <v/>
      </c>
      <c r="AO111" s="8" t="str">
        <f>IFERROR(Calculations!BK109, "")</f>
        <v/>
      </c>
      <c r="AP111" s="8">
        <f>IFERROR(Calculations!BL109, "")</f>
        <v>15.20367812408697</v>
      </c>
      <c r="AQ111" s="8">
        <f>IFERROR(Calculations!BM109, "")</f>
        <v>30.60425959445158</v>
      </c>
      <c r="AR111" s="8" t="str">
        <f>IFERROR(Calculations!BN109, "")</f>
        <v/>
      </c>
      <c r="AS111" s="8" t="str">
        <f>IFERROR(Calculations!BO109, "")</f>
        <v/>
      </c>
      <c r="AT111" s="8" t="str">
        <f>IFERROR(Calculations!BP109, "")</f>
        <v/>
      </c>
      <c r="AU111" s="8" t="str">
        <f>IFERROR(Calculations!BQ109, "")</f>
        <v/>
      </c>
      <c r="AV111" s="8" t="str">
        <f>IFERROR(Calculations!BR109, "")</f>
        <v/>
      </c>
      <c r="AW111" s="89"/>
      <c r="AX111" s="89"/>
      <c r="AY111" s="89"/>
      <c r="AZ111" s="89"/>
      <c r="BA111" s="8" t="str">
        <f>IFERROR(Calculations!BW109, "")</f>
        <v/>
      </c>
      <c r="BB111" s="8" t="str">
        <f>IFERROR(Calculations!BX109, "")</f>
        <v/>
      </c>
      <c r="BC111" s="8" t="str">
        <f>IFERROR(Calculations!BY109, "")</f>
        <v/>
      </c>
      <c r="BD111" s="8">
        <f>IFERROR(Calculations!BZ109, "")</f>
        <v>0</v>
      </c>
      <c r="BE111" s="8">
        <f>IFERROR(Calculations!CA109, "")</f>
        <v>30.318596905590088</v>
      </c>
      <c r="BF111" s="8" t="str">
        <f>IFERROR(Calculations!CB109, "")</f>
        <v/>
      </c>
      <c r="BG111" s="8" t="str">
        <f>IFERROR(Calculations!CC109, "")</f>
        <v/>
      </c>
      <c r="BH111" s="8" t="str">
        <f>IFERROR(Calculations!CD109, "")</f>
        <v/>
      </c>
      <c r="BI111" s="8" t="str">
        <f>IFERROR(Calculations!CE109, "")</f>
        <v/>
      </c>
      <c r="BJ111" s="8">
        <f>IFERROR(IF(Calculations!CF109 &lt;&gt; 0, Calculations!CF109, ""),"")</f>
        <v>-15.489340812948466</v>
      </c>
      <c r="BK111" s="1">
        <f t="shared" si="8"/>
        <v>950</v>
      </c>
      <c r="BL111" s="1">
        <f t="shared" si="9"/>
        <v>35</v>
      </c>
      <c r="CD111" s="8"/>
      <c r="CE111" s="8"/>
      <c r="CF111" s="8"/>
      <c r="CG111" s="8"/>
      <c r="CH111" s="8"/>
      <c r="CI111" s="8"/>
      <c r="CJ111" s="8"/>
      <c r="CK111" s="8"/>
      <c r="CL111" s="8"/>
      <c r="CM111" s="8"/>
      <c r="CN111" s="8"/>
      <c r="CO111" s="8"/>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8"/>
      <c r="DS111" s="8"/>
      <c r="DT111" s="8"/>
      <c r="DU111" s="8"/>
      <c r="DV111" s="8"/>
      <c r="DW111" s="8"/>
      <c r="DX111" s="8"/>
      <c r="DY111" s="8"/>
      <c r="DZ111" s="8"/>
      <c r="EA111" s="8"/>
    </row>
    <row r="112" spans="2:131" x14ac:dyDescent="0.2">
      <c r="B112" s="1">
        <f>IFERROR(Calculations!M110/1000, "")</f>
        <v>35</v>
      </c>
      <c r="C112" s="1">
        <f>Calculations!N110</f>
        <v>1000</v>
      </c>
      <c r="D112" s="58">
        <f>IFERROR(Calculations!$Q110,"")</f>
        <v>1.1722437503677607</v>
      </c>
      <c r="E112" s="8">
        <f>IFERROR(Calculations!$S110, "")</f>
        <v>14.976868003990123</v>
      </c>
      <c r="F112" s="89"/>
      <c r="G112" s="89"/>
      <c r="H112" s="89"/>
      <c r="I112" s="89"/>
      <c r="J112" s="1" t="str">
        <f>IFERROR(Calculations!AC110, "")</f>
        <v/>
      </c>
      <c r="K112" s="1" t="str">
        <f>IFERROR(Calculations!AD110, "")</f>
        <v/>
      </c>
      <c r="L112" s="8">
        <f>IFERROR(Calculations!AE110,"")</f>
        <v>-70457.525497750627</v>
      </c>
      <c r="M112" s="8">
        <f>IFERROR(Calculations!AF110,"")</f>
        <v>-109606.1499120829</v>
      </c>
      <c r="N112" s="8" t="str">
        <f>IFERROR(Calculations!AG110,"")</f>
        <v/>
      </c>
      <c r="O112" s="8" t="str">
        <f>IFERROR(Calculations!AH110,"")</f>
        <v/>
      </c>
      <c r="P112" s="8" t="str">
        <f>IFERROR(Calculations!AI110,"")</f>
        <v/>
      </c>
      <c r="Q112" s="8" t="str">
        <f>IFERROR(Calculations!AJ110,"")</f>
        <v/>
      </c>
      <c r="R112" s="8" t="str">
        <f>IFERROR(Calculations!AK110,"")</f>
        <v/>
      </c>
      <c r="S112" s="89"/>
      <c r="T112" s="89"/>
      <c r="U112" s="89"/>
      <c r="V112" s="89"/>
      <c r="W112" s="1" t="str">
        <f>IFERROR(Calculations!AP110, "")</f>
        <v/>
      </c>
      <c r="X112" s="1" t="str">
        <f>IFERROR(Calculations!AQ110, "")</f>
        <v/>
      </c>
      <c r="Y112" s="8" t="str">
        <f>IFERROR(Calculations!AR110,"")</f>
        <v/>
      </c>
      <c r="Z112" s="8">
        <f>IFERROR(Calculations!AS110,"")</f>
        <v>0</v>
      </c>
      <c r="AA112" s="8">
        <f>IFERROR(Calculations!AT110,"")</f>
        <v>-145026.87628786053</v>
      </c>
      <c r="AB112" s="8" t="str">
        <f>IFERROR(Calculations!AU110,"")</f>
        <v/>
      </c>
      <c r="AC112" s="8" t="str">
        <f>IFERROR(Calculations!AV110,"")</f>
        <v/>
      </c>
      <c r="AD112" s="8" t="str">
        <f>IFERROR(Calculations!AW110,"")</f>
        <v/>
      </c>
      <c r="AE112" s="8" t="str">
        <f>IFERROR(Calculations!AX110,"")</f>
        <v/>
      </c>
      <c r="AF112" s="8">
        <f>IFERROR(IF(Calculations!AY110 &lt;&gt; 0, Calculations!AY110, ""),"")</f>
        <v>35036.799121972988</v>
      </c>
      <c r="AG112" s="42">
        <f>IFERROR(IF(Calculations!AZ110 &lt;&gt; 0, Calculations!AZ110, ""),"")</f>
        <v>-6.018340045219456</v>
      </c>
      <c r="AH112" s="1">
        <f t="shared" si="6"/>
        <v>35</v>
      </c>
      <c r="AI112" s="1">
        <f t="shared" si="7"/>
        <v>1000</v>
      </c>
      <c r="AJ112" s="89"/>
      <c r="AK112" s="89"/>
      <c r="AL112" s="89"/>
      <c r="AM112" s="89"/>
      <c r="AN112" s="8" t="str">
        <f>IFERROR(Calculations!BJ110, "")</f>
        <v/>
      </c>
      <c r="AO112" s="8" t="str">
        <f>IFERROR(Calculations!BK110, "")</f>
        <v/>
      </c>
      <c r="AP112" s="8">
        <f>IFERROR(Calculations!BL110, "")</f>
        <v>15.368203067278609</v>
      </c>
      <c r="AQ112" s="8">
        <f>IFERROR(Calculations!BM110, "")</f>
        <v>30.664331596335455</v>
      </c>
      <c r="AR112" s="8" t="str">
        <f>IFERROR(Calculations!BN110, "")</f>
        <v/>
      </c>
      <c r="AS112" s="8" t="str">
        <f>IFERROR(Calculations!BO110, "")</f>
        <v/>
      </c>
      <c r="AT112" s="8" t="str">
        <f>IFERROR(Calculations!BP110, "")</f>
        <v/>
      </c>
      <c r="AU112" s="8" t="str">
        <f>IFERROR(Calculations!BQ110, "")</f>
        <v/>
      </c>
      <c r="AV112" s="8" t="str">
        <f>IFERROR(Calculations!BR110, "")</f>
        <v/>
      </c>
      <c r="AW112" s="89"/>
      <c r="AX112" s="89"/>
      <c r="AY112" s="89"/>
      <c r="AZ112" s="89"/>
      <c r="BA112" s="8" t="str">
        <f>IFERROR(Calculations!BW110, "")</f>
        <v/>
      </c>
      <c r="BB112" s="8" t="str">
        <f>IFERROR(Calculations!BX110, "")</f>
        <v/>
      </c>
      <c r="BC112" s="8" t="str">
        <f>IFERROR(Calculations!BY110, "")</f>
        <v/>
      </c>
      <c r="BD112" s="8">
        <f>IFERROR(Calculations!BZ110, "")</f>
        <v>0</v>
      </c>
      <c r="BE112" s="8">
        <f>IFERROR(Calculations!CA110, "")</f>
        <v>30.216544913328878</v>
      </c>
      <c r="BF112" s="8" t="str">
        <f>IFERROR(Calculations!CB110, "")</f>
        <v/>
      </c>
      <c r="BG112" s="8" t="str">
        <f>IFERROR(Calculations!CC110, "")</f>
        <v/>
      </c>
      <c r="BH112" s="8" t="str">
        <f>IFERROR(Calculations!CD110, "")</f>
        <v/>
      </c>
      <c r="BI112" s="8" t="str">
        <f>IFERROR(Calculations!CE110, "")</f>
        <v/>
      </c>
      <c r="BJ112" s="8">
        <f>IFERROR(IF(Calculations!CF110 &lt;&gt; 0, Calculations!CF110, ""),"")</f>
        <v>-15.815989750285187</v>
      </c>
      <c r="BK112" s="1">
        <f t="shared" si="8"/>
        <v>1000</v>
      </c>
      <c r="BL112" s="1">
        <f t="shared" si="9"/>
        <v>35</v>
      </c>
      <c r="CD112" s="8"/>
      <c r="CE112" s="8"/>
      <c r="CF112" s="8"/>
      <c r="CG112" s="8"/>
      <c r="CH112" s="8"/>
      <c r="CI112" s="8"/>
      <c r="CJ112" s="8"/>
      <c r="CK112" s="8"/>
      <c r="CL112" s="8"/>
      <c r="CM112" s="8"/>
      <c r="CN112" s="8"/>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8"/>
      <c r="DS112" s="8"/>
      <c r="DT112" s="8"/>
      <c r="DU112" s="8"/>
      <c r="DV112" s="8"/>
      <c r="DW112" s="8"/>
      <c r="DX112" s="8"/>
      <c r="DY112" s="8"/>
      <c r="DZ112" s="8"/>
      <c r="EA112" s="8"/>
    </row>
    <row r="113" spans="2:131" x14ac:dyDescent="0.2">
      <c r="B113" s="1">
        <f>IFERROR(Calculations!M111/1000, "")</f>
        <v>40</v>
      </c>
      <c r="C113" s="1">
        <f>Calculations!N111</f>
        <v>300</v>
      </c>
      <c r="D113" s="58">
        <f>IFERROR(Calculations!$Q111,"")</f>
        <v>1.4097822108012439</v>
      </c>
      <c r="E113" s="8">
        <f>IFERROR(Calculations!$S111, "")</f>
        <v>56.58068158308631</v>
      </c>
      <c r="F113" s="89"/>
      <c r="G113" s="89"/>
      <c r="H113" s="89"/>
      <c r="I113" s="89"/>
      <c r="J113" s="1" t="str">
        <f>IFERROR(Calculations!AC111, "")</f>
        <v/>
      </c>
      <c r="K113" s="1" t="str">
        <f>IFERROR(Calculations!AD111, "")</f>
        <v/>
      </c>
      <c r="L113" s="8">
        <f>IFERROR(Calculations!AE111,"")</f>
        <v>-48461.558918658047</v>
      </c>
      <c r="M113" s="8">
        <f>IFERROR(Calculations!AF111,"")</f>
        <v>-73451.08823122886</v>
      </c>
      <c r="N113" s="8" t="str">
        <f>IFERROR(Calculations!AG111,"")</f>
        <v/>
      </c>
      <c r="O113" s="8" t="str">
        <f>IFERROR(Calculations!AH111,"")</f>
        <v/>
      </c>
      <c r="P113" s="8" t="str">
        <f>IFERROR(Calculations!AI111,"")</f>
        <v/>
      </c>
      <c r="Q113" s="8" t="str">
        <f>IFERROR(Calculations!AJ111,"")</f>
        <v/>
      </c>
      <c r="R113" s="8" t="str">
        <f>IFERROR(Calculations!AK111,"")</f>
        <v/>
      </c>
      <c r="S113" s="89"/>
      <c r="T113" s="89"/>
      <c r="U113" s="89"/>
      <c r="V113" s="89"/>
      <c r="W113" s="1" t="str">
        <f>IFERROR(Calculations!AP111, "")</f>
        <v/>
      </c>
      <c r="X113" s="1" t="str">
        <f>IFERROR(Calculations!AQ111, "")</f>
        <v/>
      </c>
      <c r="Y113" s="8" t="str">
        <f>IFERROR(Calculations!AR111,"")</f>
        <v/>
      </c>
      <c r="Z113" s="8">
        <f>IFERROR(Calculations!AS111,"")</f>
        <v>0</v>
      </c>
      <c r="AA113" s="8">
        <f>IFERROR(Calculations!AT111,"")</f>
        <v>-118293.66895321825</v>
      </c>
      <c r="AB113" s="8" t="str">
        <f>IFERROR(Calculations!AU111,"")</f>
        <v/>
      </c>
      <c r="AC113" s="8" t="str">
        <f>IFERROR(Calculations!AV111,"")</f>
        <v/>
      </c>
      <c r="AD113" s="8" t="str">
        <f>IFERROR(Calculations!AW111,"")</f>
        <v/>
      </c>
      <c r="AE113" s="8" t="str">
        <f>IFERROR(Calculations!AX111,"")</f>
        <v/>
      </c>
      <c r="AF113" s="8">
        <f>IFERROR(IF(Calculations!AY111 &lt;&gt; 0, Calculations!AY111, ""),"")</f>
        <v>3618.9781966686569</v>
      </c>
      <c r="AG113" s="42">
        <f>IFERROR(IF(Calculations!AZ111 &lt;&gt; 0, Calculations!AZ111, ""),"")</f>
        <v>-1.3808596630945151</v>
      </c>
      <c r="AH113" s="1">
        <f t="shared" si="6"/>
        <v>40</v>
      </c>
      <c r="AI113" s="1">
        <f t="shared" si="7"/>
        <v>300</v>
      </c>
      <c r="AJ113" s="89"/>
      <c r="AK113" s="89"/>
      <c r="AL113" s="89"/>
      <c r="AM113" s="89"/>
      <c r="AN113" s="8" t="str">
        <f>IFERROR(Calculations!BJ111, "")</f>
        <v/>
      </c>
      <c r="AO113" s="8" t="str">
        <f>IFERROR(Calculations!BK111, "")</f>
        <v/>
      </c>
      <c r="AP113" s="8">
        <f>IFERROR(Calculations!BL111, "")</f>
        <v>12.77876814019457</v>
      </c>
      <c r="AQ113" s="8">
        <f>IFERROR(Calculations!BM111, "")</f>
        <v>29.95973785101355</v>
      </c>
      <c r="AR113" s="8" t="str">
        <f>IFERROR(Calculations!BN111, "")</f>
        <v/>
      </c>
      <c r="AS113" s="8" t="str">
        <f>IFERROR(Calculations!BO111, "")</f>
        <v/>
      </c>
      <c r="AT113" s="8" t="str">
        <f>IFERROR(Calculations!BP111, "")</f>
        <v/>
      </c>
      <c r="AU113" s="8" t="str">
        <f>IFERROR(Calculations!BQ111, "")</f>
        <v/>
      </c>
      <c r="AV113" s="8" t="str">
        <f>IFERROR(Calculations!BR111, "")</f>
        <v/>
      </c>
      <c r="AW113" s="89"/>
      <c r="AX113" s="89"/>
      <c r="AY113" s="89"/>
      <c r="AZ113" s="89"/>
      <c r="BA113" s="8" t="str">
        <f>IFERROR(Calculations!BW111, "")</f>
        <v/>
      </c>
      <c r="BB113" s="8" t="str">
        <f>IFERROR(Calculations!BX111, "")</f>
        <v/>
      </c>
      <c r="BC113" s="8" t="str">
        <f>IFERROR(Calculations!BY111, "")</f>
        <v/>
      </c>
      <c r="BD113" s="8">
        <f>IFERROR(Calculations!BZ111, "")</f>
        <v>0</v>
      </c>
      <c r="BE113" s="8">
        <f>IFERROR(Calculations!CA111, "")</f>
        <v>31.565144972302576</v>
      </c>
      <c r="BF113" s="8" t="str">
        <f>IFERROR(Calculations!CB111, "")</f>
        <v/>
      </c>
      <c r="BG113" s="8" t="str">
        <f>IFERROR(Calculations!CC111, "")</f>
        <v/>
      </c>
      <c r="BH113" s="8" t="str">
        <f>IFERROR(Calculations!CD111, "")</f>
        <v/>
      </c>
      <c r="BI113" s="8" t="str">
        <f>IFERROR(Calculations!CE111, "")</f>
        <v/>
      </c>
      <c r="BJ113" s="8">
        <f>IFERROR(IF(Calculations!CF111 &lt;&gt; 0, Calculations!CF111, ""),"")</f>
        <v>-11.173361018905545</v>
      </c>
      <c r="BK113" s="1">
        <f t="shared" si="8"/>
        <v>300</v>
      </c>
      <c r="BL113" s="1">
        <f t="shared" si="9"/>
        <v>40</v>
      </c>
      <c r="CD113" s="8"/>
      <c r="CE113" s="8"/>
      <c r="CF113" s="8"/>
      <c r="CG113" s="8"/>
      <c r="CH113" s="8"/>
      <c r="CI113" s="8"/>
      <c r="CJ113" s="8"/>
      <c r="CK113" s="8"/>
      <c r="CL113" s="8"/>
      <c r="CM113" s="8"/>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8"/>
      <c r="DS113" s="8"/>
      <c r="DT113" s="8"/>
      <c r="DU113" s="8"/>
      <c r="DV113" s="8"/>
      <c r="DW113" s="8"/>
      <c r="DX113" s="8"/>
      <c r="DY113" s="8"/>
      <c r="DZ113" s="8"/>
      <c r="EA113" s="8"/>
    </row>
    <row r="114" spans="2:131" x14ac:dyDescent="0.2">
      <c r="B114" s="1">
        <f>IFERROR(Calculations!M112/1000, "")</f>
        <v>40</v>
      </c>
      <c r="C114" s="1">
        <f>Calculations!N112</f>
        <v>350</v>
      </c>
      <c r="D114" s="58">
        <f>IFERROR(Calculations!$Q112,"")</f>
        <v>1.3939751222354171</v>
      </c>
      <c r="E114" s="8">
        <f>IFERROR(Calculations!$S112, "")</f>
        <v>50.654547022962213</v>
      </c>
      <c r="F114" s="89"/>
      <c r="G114" s="89"/>
      <c r="H114" s="89"/>
      <c r="I114" s="89"/>
      <c r="J114" s="1" t="str">
        <f>IFERROR(Calculations!AC112, "")</f>
        <v/>
      </c>
      <c r="K114" s="1" t="str">
        <f>IFERROR(Calculations!AD112, "")</f>
        <v/>
      </c>
      <c r="L114" s="8">
        <f>IFERROR(Calculations!AE112,"")</f>
        <v>-49614.623335611119</v>
      </c>
      <c r="M114" s="8">
        <f>IFERROR(Calculations!AF112,"")</f>
        <v>-75496.480489851936</v>
      </c>
      <c r="N114" s="8" t="str">
        <f>IFERROR(Calculations!AG112,"")</f>
        <v/>
      </c>
      <c r="O114" s="8" t="str">
        <f>IFERROR(Calculations!AH112,"")</f>
        <v/>
      </c>
      <c r="P114" s="8" t="str">
        <f>IFERROR(Calculations!AI112,"")</f>
        <v/>
      </c>
      <c r="Q114" s="8" t="str">
        <f>IFERROR(Calculations!AJ112,"")</f>
        <v/>
      </c>
      <c r="R114" s="8" t="str">
        <f>IFERROR(Calculations!AK112,"")</f>
        <v/>
      </c>
      <c r="S114" s="89"/>
      <c r="T114" s="89"/>
      <c r="U114" s="89"/>
      <c r="V114" s="89"/>
      <c r="W114" s="1" t="str">
        <f>IFERROR(Calculations!AP112, "")</f>
        <v/>
      </c>
      <c r="X114" s="1" t="str">
        <f>IFERROR(Calculations!AQ112, "")</f>
        <v/>
      </c>
      <c r="Y114" s="8" t="str">
        <f>IFERROR(Calculations!AR112,"")</f>
        <v/>
      </c>
      <c r="Z114" s="8">
        <f>IFERROR(Calculations!AS112,"")</f>
        <v>0</v>
      </c>
      <c r="AA114" s="8">
        <f>IFERROR(Calculations!AT112,"")</f>
        <v>-119877.81074111276</v>
      </c>
      <c r="AB114" s="8" t="str">
        <f>IFERROR(Calculations!AU112,"")</f>
        <v/>
      </c>
      <c r="AC114" s="8" t="str">
        <f>IFERROR(Calculations!AV112,"")</f>
        <v/>
      </c>
      <c r="AD114" s="8" t="str">
        <f>IFERROR(Calculations!AW112,"")</f>
        <v/>
      </c>
      <c r="AE114" s="8" t="str">
        <f>IFERROR(Calculations!AX112,"")</f>
        <v/>
      </c>
      <c r="AF114" s="8">
        <f>IFERROR(IF(Calculations!AY112 &lt;&gt; 0, Calculations!AY112, ""),"")</f>
        <v>5233.2930843502982</v>
      </c>
      <c r="AG114" s="42">
        <f>IFERROR(IF(Calculations!AZ112 &lt;&gt; 0, Calculations!AZ112, ""),"")</f>
        <v>-1.8365989503305733</v>
      </c>
      <c r="AH114" s="1">
        <f t="shared" si="6"/>
        <v>40</v>
      </c>
      <c r="AI114" s="1">
        <f t="shared" si="7"/>
        <v>350</v>
      </c>
      <c r="AJ114" s="89"/>
      <c r="AK114" s="89"/>
      <c r="AL114" s="89"/>
      <c r="AM114" s="89"/>
      <c r="AN114" s="8" t="str">
        <f>IFERROR(Calculations!BJ112, "")</f>
        <v/>
      </c>
      <c r="AO114" s="8" t="str">
        <f>IFERROR(Calculations!BK112, "")</f>
        <v/>
      </c>
      <c r="AP114" s="8">
        <f>IFERROR(Calculations!BL112, "")</f>
        <v>12.923673968521188</v>
      </c>
      <c r="AQ114" s="8">
        <f>IFERROR(Calculations!BM112, "")</f>
        <v>29.963969699456342</v>
      </c>
      <c r="AR114" s="8" t="str">
        <f>IFERROR(Calculations!BN112, "")</f>
        <v/>
      </c>
      <c r="AS114" s="8" t="str">
        <f>IFERROR(Calculations!BO112, "")</f>
        <v/>
      </c>
      <c r="AT114" s="8" t="str">
        <f>IFERROR(Calculations!BP112, "")</f>
        <v/>
      </c>
      <c r="AU114" s="8" t="str">
        <f>IFERROR(Calculations!BQ112, "")</f>
        <v/>
      </c>
      <c r="AV114" s="8" t="str">
        <f>IFERROR(Calculations!BR112, "")</f>
        <v/>
      </c>
      <c r="AW114" s="89"/>
      <c r="AX114" s="89"/>
      <c r="AY114" s="89"/>
      <c r="AZ114" s="89"/>
      <c r="BA114" s="8" t="str">
        <f>IFERROR(Calculations!BW112, "")</f>
        <v/>
      </c>
      <c r="BB114" s="8" t="str">
        <f>IFERROR(Calculations!BX112, "")</f>
        <v/>
      </c>
      <c r="BC114" s="8" t="str">
        <f>IFERROR(Calculations!BY112, "")</f>
        <v/>
      </c>
      <c r="BD114" s="8">
        <f>IFERROR(Calculations!BZ112, "")</f>
        <v>0</v>
      </c>
      <c r="BE114" s="8">
        <f>IFERROR(Calculations!CA112, "")</f>
        <v>31.505756770598147</v>
      </c>
      <c r="BF114" s="8" t="str">
        <f>IFERROR(Calculations!CB112, "")</f>
        <v/>
      </c>
      <c r="BG114" s="8" t="str">
        <f>IFERROR(Calculations!CC112, "")</f>
        <v/>
      </c>
      <c r="BH114" s="8" t="str">
        <f>IFERROR(Calculations!CD112, "")</f>
        <v/>
      </c>
      <c r="BI114" s="8" t="str">
        <f>IFERROR(Calculations!CE112, "")</f>
        <v/>
      </c>
      <c r="BJ114" s="8">
        <f>IFERROR(IF(Calculations!CF112 &lt;&gt; 0, Calculations!CF112, ""),"")</f>
        <v>-11.381886897379381</v>
      </c>
      <c r="BK114" s="1">
        <f t="shared" si="8"/>
        <v>350</v>
      </c>
      <c r="BL114" s="1">
        <f t="shared" si="9"/>
        <v>40</v>
      </c>
      <c r="CD114" s="8"/>
      <c r="CE114" s="8"/>
      <c r="CF114" s="8"/>
      <c r="CG114" s="8"/>
      <c r="CH114" s="8"/>
      <c r="CI114" s="8"/>
      <c r="CJ114" s="8"/>
      <c r="CK114" s="8"/>
      <c r="CL114" s="8"/>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8"/>
      <c r="DS114" s="8"/>
      <c r="DT114" s="8"/>
      <c r="DU114" s="8"/>
      <c r="DV114" s="8"/>
      <c r="DW114" s="8"/>
      <c r="DX114" s="8"/>
      <c r="DY114" s="8"/>
      <c r="DZ114" s="8"/>
      <c r="EA114" s="8"/>
    </row>
    <row r="115" spans="2:131" x14ac:dyDescent="0.2">
      <c r="B115" s="1">
        <f>IFERROR(Calculations!M113/1000, "")</f>
        <v>40</v>
      </c>
      <c r="C115" s="1">
        <f>Calculations!N113</f>
        <v>400</v>
      </c>
      <c r="D115" s="58">
        <f>IFERROR(Calculations!$Q113,"")</f>
        <v>1.3787023871725803</v>
      </c>
      <c r="E115" s="8">
        <f>IFERROR(Calculations!$S113, "")</f>
        <v>45.55514120153947</v>
      </c>
      <c r="F115" s="89"/>
      <c r="G115" s="89"/>
      <c r="H115" s="89"/>
      <c r="I115" s="89"/>
      <c r="J115" s="1" t="str">
        <f>IFERROR(Calculations!AC113, "")</f>
        <v/>
      </c>
      <c r="K115" s="1" t="str">
        <f>IFERROR(Calculations!AD113, "")</f>
        <v/>
      </c>
      <c r="L115" s="8">
        <f>IFERROR(Calculations!AE113,"")</f>
        <v>-50832.604514905586</v>
      </c>
      <c r="M115" s="8">
        <f>IFERROR(Calculations!AF113,"")</f>
        <v>-77585.461967481693</v>
      </c>
      <c r="N115" s="8" t="str">
        <f>IFERROR(Calculations!AG113,"")</f>
        <v/>
      </c>
      <c r="O115" s="8" t="str">
        <f>IFERROR(Calculations!AH113,"")</f>
        <v/>
      </c>
      <c r="P115" s="8" t="str">
        <f>IFERROR(Calculations!AI113,"")</f>
        <v/>
      </c>
      <c r="Q115" s="8" t="str">
        <f>IFERROR(Calculations!AJ113,"")</f>
        <v/>
      </c>
      <c r="R115" s="8" t="str">
        <f>IFERROR(Calculations!AK113,"")</f>
        <v/>
      </c>
      <c r="S115" s="89"/>
      <c r="T115" s="89"/>
      <c r="U115" s="89"/>
      <c r="V115" s="89"/>
      <c r="W115" s="1" t="str">
        <f>IFERROR(Calculations!AP113, "")</f>
        <v/>
      </c>
      <c r="X115" s="1" t="str">
        <f>IFERROR(Calculations!AQ113, "")</f>
        <v/>
      </c>
      <c r="Y115" s="8" t="str">
        <f>IFERROR(Calculations!AR113,"")</f>
        <v/>
      </c>
      <c r="Z115" s="8">
        <f>IFERROR(Calculations!AS113,"")</f>
        <v>0</v>
      </c>
      <c r="AA115" s="8">
        <f>IFERROR(Calculations!AT113,"")</f>
        <v>-121491.55671585159</v>
      </c>
      <c r="AB115" s="8" t="str">
        <f>IFERROR(Calculations!AU113,"")</f>
        <v/>
      </c>
      <c r="AC115" s="8" t="str">
        <f>IFERROR(Calculations!AV113,"")</f>
        <v/>
      </c>
      <c r="AD115" s="8" t="str">
        <f>IFERROR(Calculations!AW113,"")</f>
        <v/>
      </c>
      <c r="AE115" s="8" t="str">
        <f>IFERROR(Calculations!AX113,"")</f>
        <v/>
      </c>
      <c r="AF115" s="8">
        <f>IFERROR(IF(Calculations!AY113 &lt;&gt; 0, Calculations!AY113, ""),"")</f>
        <v>6926.509766535688</v>
      </c>
      <c r="AG115" s="42">
        <f>IFERROR(IF(Calculations!AZ113 &lt;&gt; 0, Calculations!AZ113, ""),"")</f>
        <v>-2.2502691918609155</v>
      </c>
      <c r="AH115" s="1">
        <f t="shared" si="6"/>
        <v>40</v>
      </c>
      <c r="AI115" s="1">
        <f t="shared" si="7"/>
        <v>400</v>
      </c>
      <c r="AJ115" s="89"/>
      <c r="AK115" s="89"/>
      <c r="AL115" s="89"/>
      <c r="AM115" s="89"/>
      <c r="AN115" s="8" t="str">
        <f>IFERROR(Calculations!BJ113, "")</f>
        <v/>
      </c>
      <c r="AO115" s="8" t="str">
        <f>IFERROR(Calculations!BK113, "")</f>
        <v/>
      </c>
      <c r="AP115" s="8">
        <f>IFERROR(Calculations!BL113, "")</f>
        <v>13.066837460799233</v>
      </c>
      <c r="AQ115" s="8">
        <f>IFERROR(Calculations!BM113, "")</f>
        <v>29.977286865375984</v>
      </c>
      <c r="AR115" s="8" t="str">
        <f>IFERROR(Calculations!BN113, "")</f>
        <v/>
      </c>
      <c r="AS115" s="8" t="str">
        <f>IFERROR(Calculations!BO113, "")</f>
        <v/>
      </c>
      <c r="AT115" s="8" t="str">
        <f>IFERROR(Calculations!BP113, "")</f>
        <v/>
      </c>
      <c r="AU115" s="8" t="str">
        <f>IFERROR(Calculations!BQ113, "")</f>
        <v/>
      </c>
      <c r="AV115" s="8" t="str">
        <f>IFERROR(Calculations!BR113, "")</f>
        <v/>
      </c>
      <c r="AW115" s="89"/>
      <c r="AX115" s="89"/>
      <c r="AY115" s="89"/>
      <c r="AZ115" s="89"/>
      <c r="BA115" s="8" t="str">
        <f>IFERROR(Calculations!BW113, "")</f>
        <v/>
      </c>
      <c r="BB115" s="8" t="str">
        <f>IFERROR(Calculations!BX113, "")</f>
        <v/>
      </c>
      <c r="BC115" s="8" t="str">
        <f>IFERROR(Calculations!BY113, "")</f>
        <v/>
      </c>
      <c r="BD115" s="8">
        <f>IFERROR(Calculations!BZ113, "")</f>
        <v>0</v>
      </c>
      <c r="BE115" s="8">
        <f>IFERROR(Calculations!CA113, "")</f>
        <v>31.443736227725463</v>
      </c>
      <c r="BF115" s="8" t="str">
        <f>IFERROR(Calculations!CB113, "")</f>
        <v/>
      </c>
      <c r="BG115" s="8" t="str">
        <f>IFERROR(Calculations!CC113, "")</f>
        <v/>
      </c>
      <c r="BH115" s="8" t="str">
        <f>IFERROR(Calculations!CD113, "")</f>
        <v/>
      </c>
      <c r="BI115" s="8" t="str">
        <f>IFERROR(Calculations!CE113, "")</f>
        <v/>
      </c>
      <c r="BJ115" s="8">
        <f>IFERROR(IF(Calculations!CF113 &lt;&gt; 0, Calculations!CF113, ""),"")</f>
        <v>-11.600388098449752</v>
      </c>
      <c r="BK115" s="1">
        <f t="shared" si="8"/>
        <v>400</v>
      </c>
      <c r="BL115" s="1">
        <f t="shared" si="9"/>
        <v>40</v>
      </c>
      <c r="CD115" s="8"/>
      <c r="CE115" s="8"/>
      <c r="CF115" s="8"/>
      <c r="CG115" s="8"/>
      <c r="CH115" s="8"/>
      <c r="CI115" s="8"/>
      <c r="CJ115" s="8"/>
      <c r="CK115" s="8"/>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8"/>
      <c r="DS115" s="8"/>
      <c r="DT115" s="8"/>
      <c r="DU115" s="8"/>
      <c r="DV115" s="8"/>
      <c r="DW115" s="8"/>
      <c r="DX115" s="8"/>
      <c r="DY115" s="8"/>
      <c r="DZ115" s="8"/>
      <c r="EA115" s="8"/>
    </row>
    <row r="116" spans="2:131" x14ac:dyDescent="0.2">
      <c r="B116" s="1">
        <f>IFERROR(Calculations!M114/1000, "")</f>
        <v>40</v>
      </c>
      <c r="C116" s="1">
        <f>Calculations!N114</f>
        <v>450</v>
      </c>
      <c r="D116" s="58">
        <f>IFERROR(Calculations!$Q114,"")</f>
        <v>1.3637670130497219</v>
      </c>
      <c r="E116" s="8">
        <f>IFERROR(Calculations!$S114, "")</f>
        <v>41.121819920079162</v>
      </c>
      <c r="F116" s="89"/>
      <c r="G116" s="89"/>
      <c r="H116" s="89"/>
      <c r="I116" s="89"/>
      <c r="J116" s="1" t="str">
        <f>IFERROR(Calculations!AC114, "")</f>
        <v/>
      </c>
      <c r="K116" s="1" t="str">
        <f>IFERROR(Calculations!AD114, "")</f>
        <v/>
      </c>
      <c r="L116" s="8">
        <f>IFERROR(Calculations!AE114,"")</f>
        <v>-52101.46075922592</v>
      </c>
      <c r="M116" s="8">
        <f>IFERROR(Calculations!AF114,"")</f>
        <v>-79717.425714569807</v>
      </c>
      <c r="N116" s="8" t="str">
        <f>IFERROR(Calculations!AG114,"")</f>
        <v/>
      </c>
      <c r="O116" s="8" t="str">
        <f>IFERROR(Calculations!AH114,"")</f>
        <v/>
      </c>
      <c r="P116" s="8" t="str">
        <f>IFERROR(Calculations!AI114,"")</f>
        <v/>
      </c>
      <c r="Q116" s="8" t="str">
        <f>IFERROR(Calculations!AJ114,"")</f>
        <v/>
      </c>
      <c r="R116" s="8" t="str">
        <f>IFERROR(Calculations!AK114,"")</f>
        <v/>
      </c>
      <c r="S116" s="89"/>
      <c r="T116" s="89"/>
      <c r="U116" s="89"/>
      <c r="V116" s="89"/>
      <c r="W116" s="1" t="str">
        <f>IFERROR(Calculations!AP114, "")</f>
        <v/>
      </c>
      <c r="X116" s="1" t="str">
        <f>IFERROR(Calculations!AQ114, "")</f>
        <v/>
      </c>
      <c r="Y116" s="8" t="str">
        <f>IFERROR(Calculations!AR114,"")</f>
        <v/>
      </c>
      <c r="Z116" s="8">
        <f>IFERROR(Calculations!AS114,"")</f>
        <v>0</v>
      </c>
      <c r="AA116" s="8">
        <f>IFERROR(Calculations!AT114,"")</f>
        <v>-123128.66759672613</v>
      </c>
      <c r="AB116" s="8" t="str">
        <f>IFERROR(Calculations!AU114,"")</f>
        <v/>
      </c>
      <c r="AC116" s="8" t="str">
        <f>IFERROR(Calculations!AV114,"")</f>
        <v/>
      </c>
      <c r="AD116" s="8" t="str">
        <f>IFERROR(Calculations!AW114,"")</f>
        <v/>
      </c>
      <c r="AE116" s="8" t="str">
        <f>IFERROR(Calculations!AX114,"")</f>
        <v/>
      </c>
      <c r="AF116" s="8">
        <f>IFERROR(IF(Calculations!AY114 &lt;&gt; 0, Calculations!AY114, ""),"")</f>
        <v>8690.2188770695939</v>
      </c>
      <c r="AG116" s="42">
        <f>IFERROR(IF(Calculations!AZ114 &lt;&gt; 0, Calculations!AZ114, ""),"")</f>
        <v>-2.6280534756807223</v>
      </c>
      <c r="AH116" s="1">
        <f t="shared" si="6"/>
        <v>40</v>
      </c>
      <c r="AI116" s="1">
        <f t="shared" si="7"/>
        <v>450</v>
      </c>
      <c r="AJ116" s="89"/>
      <c r="AK116" s="89"/>
      <c r="AL116" s="89"/>
      <c r="AM116" s="89"/>
      <c r="AN116" s="8" t="str">
        <f>IFERROR(Calculations!BJ114, "")</f>
        <v/>
      </c>
      <c r="AO116" s="8" t="str">
        <f>IFERROR(Calculations!BK114, "")</f>
        <v/>
      </c>
      <c r="AP116" s="8">
        <f>IFERROR(Calculations!BL114, "")</f>
        <v>13.209939694694153</v>
      </c>
      <c r="AQ116" s="8">
        <f>IFERROR(Calculations!BM114, "")</f>
        <v>29.997307384356333</v>
      </c>
      <c r="AR116" s="8" t="str">
        <f>IFERROR(Calculations!BN114, "")</f>
        <v/>
      </c>
      <c r="AS116" s="8" t="str">
        <f>IFERROR(Calculations!BO114, "")</f>
        <v/>
      </c>
      <c r="AT116" s="8" t="str">
        <f>IFERROR(Calculations!BP114, "")</f>
        <v/>
      </c>
      <c r="AU116" s="8" t="str">
        <f>IFERROR(Calculations!BQ114, "")</f>
        <v/>
      </c>
      <c r="AV116" s="8" t="str">
        <f>IFERROR(Calculations!BR114, "")</f>
        <v/>
      </c>
      <c r="AW116" s="89"/>
      <c r="AX116" s="89"/>
      <c r="AY116" s="89"/>
      <c r="AZ116" s="89"/>
      <c r="BA116" s="8" t="str">
        <f>IFERROR(Calculations!BW114, "")</f>
        <v/>
      </c>
      <c r="BB116" s="8" t="str">
        <f>IFERROR(Calculations!BX114, "")</f>
        <v/>
      </c>
      <c r="BC116" s="8" t="str">
        <f>IFERROR(Calculations!BY114, "")</f>
        <v/>
      </c>
      <c r="BD116" s="8">
        <f>IFERROR(Calculations!BZ114, "")</f>
        <v>0</v>
      </c>
      <c r="BE116" s="8">
        <f>IFERROR(Calculations!CA114, "")</f>
        <v>31.379291357773898</v>
      </c>
      <c r="BF116" s="8" t="str">
        <f>IFERROR(Calculations!CB114, "")</f>
        <v/>
      </c>
      <c r="BG116" s="8" t="str">
        <f>IFERROR(Calculations!CC114, "")</f>
        <v/>
      </c>
      <c r="BH116" s="8" t="str">
        <f>IFERROR(Calculations!CD114, "")</f>
        <v/>
      </c>
      <c r="BI116" s="8" t="str">
        <f>IFERROR(Calculations!CE114, "")</f>
        <v/>
      </c>
      <c r="BJ116" s="8">
        <f>IFERROR(IF(Calculations!CF114 &lt;&gt; 0, Calculations!CF114, ""),"")</f>
        <v>-11.827955721276592</v>
      </c>
      <c r="BK116" s="1">
        <f t="shared" si="8"/>
        <v>450</v>
      </c>
      <c r="BL116" s="1">
        <f t="shared" si="9"/>
        <v>40</v>
      </c>
      <c r="CD116" s="8"/>
      <c r="CE116" s="8"/>
      <c r="CF116" s="8"/>
      <c r="CG116" s="8"/>
      <c r="CH116" s="8"/>
      <c r="CI116" s="8"/>
      <c r="CJ116" s="8"/>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8"/>
      <c r="DS116" s="8"/>
      <c r="DT116" s="8"/>
      <c r="DU116" s="8"/>
      <c r="DV116" s="8"/>
      <c r="DW116" s="8"/>
      <c r="DX116" s="8"/>
      <c r="DY116" s="8"/>
      <c r="DZ116" s="8"/>
      <c r="EA116" s="8"/>
    </row>
    <row r="117" spans="2:131" x14ac:dyDescent="0.2">
      <c r="B117" s="1">
        <f>IFERROR(Calculations!M115/1000, "")</f>
        <v>40</v>
      </c>
      <c r="C117" s="1">
        <f>Calculations!N115</f>
        <v>500</v>
      </c>
      <c r="D117" s="58">
        <f>IFERROR(Calculations!$Q115,"")</f>
        <v>1.3490803383123877</v>
      </c>
      <c r="E117" s="8">
        <f>IFERROR(Calculations!$S115, "")</f>
        <v>37.238526658676356</v>
      </c>
      <c r="F117" s="89"/>
      <c r="G117" s="89"/>
      <c r="H117" s="89"/>
      <c r="I117" s="89"/>
      <c r="J117" s="1" t="str">
        <f>IFERROR(Calculations!AC115, "")</f>
        <v/>
      </c>
      <c r="K117" s="1" t="str">
        <f>IFERROR(Calculations!AD115, "")</f>
        <v/>
      </c>
      <c r="L117" s="8">
        <f>IFERROR(Calculations!AE115,"")</f>
        <v>-53415.035009196101</v>
      </c>
      <c r="M117" s="8">
        <f>IFERROR(Calculations!AF115,"")</f>
        <v>-81891.666711160055</v>
      </c>
      <c r="N117" s="8" t="str">
        <f>IFERROR(Calculations!AG115,"")</f>
        <v/>
      </c>
      <c r="O117" s="8" t="str">
        <f>IFERROR(Calculations!AH115,"")</f>
        <v/>
      </c>
      <c r="P117" s="8" t="str">
        <f>IFERROR(Calculations!AI115,"")</f>
        <v/>
      </c>
      <c r="Q117" s="8" t="str">
        <f>IFERROR(Calculations!AJ115,"")</f>
        <v/>
      </c>
      <c r="R117" s="8" t="str">
        <f>IFERROR(Calculations!AK115,"")</f>
        <v/>
      </c>
      <c r="S117" s="89"/>
      <c r="T117" s="89"/>
      <c r="U117" s="89"/>
      <c r="V117" s="89"/>
      <c r="W117" s="1" t="str">
        <f>IFERROR(Calculations!AP115, "")</f>
        <v/>
      </c>
      <c r="X117" s="1" t="str">
        <f>IFERROR(Calculations!AQ115, "")</f>
        <v/>
      </c>
      <c r="Y117" s="8" t="str">
        <f>IFERROR(Calculations!AR115,"")</f>
        <v/>
      </c>
      <c r="Z117" s="8">
        <f>IFERROR(Calculations!AS115,"")</f>
        <v>0</v>
      </c>
      <c r="AA117" s="8">
        <f>IFERROR(Calculations!AT115,"")</f>
        <v>-124784.01576071211</v>
      </c>
      <c r="AB117" s="8" t="str">
        <f>IFERROR(Calculations!AU115,"")</f>
        <v/>
      </c>
      <c r="AC117" s="8" t="str">
        <f>IFERROR(Calculations!AV115,"")</f>
        <v/>
      </c>
      <c r="AD117" s="8" t="str">
        <f>IFERROR(Calculations!AW115,"")</f>
        <v/>
      </c>
      <c r="AE117" s="8" t="str">
        <f>IFERROR(Calculations!AX115,"")</f>
        <v/>
      </c>
      <c r="AF117" s="8">
        <f>IFERROR(IF(Calculations!AY115 &lt;&gt; 0, Calculations!AY115, ""),"")</f>
        <v>10522.685959644048</v>
      </c>
      <c r="AG117" s="42">
        <f>IFERROR(IF(Calculations!AZ115 &lt;&gt; 0, Calculations!AZ115, ""),"")</f>
        <v>-2.9764234862379997</v>
      </c>
      <c r="AH117" s="1">
        <f t="shared" si="6"/>
        <v>40</v>
      </c>
      <c r="AI117" s="1">
        <f t="shared" si="7"/>
        <v>500</v>
      </c>
      <c r="AJ117" s="89"/>
      <c r="AK117" s="89"/>
      <c r="AL117" s="89"/>
      <c r="AM117" s="89"/>
      <c r="AN117" s="8" t="str">
        <f>IFERROR(Calculations!BJ115, "")</f>
        <v/>
      </c>
      <c r="AO117" s="8" t="str">
        <f>IFERROR(Calculations!BK115, "")</f>
        <v/>
      </c>
      <c r="AP117" s="8">
        <f>IFERROR(Calculations!BL115, "")</f>
        <v>13.353748837920172</v>
      </c>
      <c r="AQ117" s="8">
        <f>IFERROR(Calculations!BM115, "")</f>
        <v>30.022505518739923</v>
      </c>
      <c r="AR117" s="8" t="str">
        <f>IFERROR(Calculations!BN115, "")</f>
        <v/>
      </c>
      <c r="AS117" s="8" t="str">
        <f>IFERROR(Calculations!BO115, "")</f>
        <v/>
      </c>
      <c r="AT117" s="8" t="str">
        <f>IFERROR(Calculations!BP115, "")</f>
        <v/>
      </c>
      <c r="AU117" s="8" t="str">
        <f>IFERROR(Calculations!BQ115, "")</f>
        <v/>
      </c>
      <c r="AV117" s="8" t="str">
        <f>IFERROR(Calculations!BR115, "")</f>
        <v/>
      </c>
      <c r="AW117" s="89"/>
      <c r="AX117" s="89"/>
      <c r="AY117" s="89"/>
      <c r="AZ117" s="89"/>
      <c r="BA117" s="8" t="str">
        <f>IFERROR(Calculations!BW115, "")</f>
        <v/>
      </c>
      <c r="BB117" s="8" t="str">
        <f>IFERROR(Calculations!BX115, "")</f>
        <v/>
      </c>
      <c r="BC117" s="8" t="str">
        <f>IFERROR(Calculations!BY115, "")</f>
        <v/>
      </c>
      <c r="BD117" s="8">
        <f>IFERROR(Calculations!BZ115, "")</f>
        <v>0</v>
      </c>
      <c r="BE117" s="8">
        <f>IFERROR(Calculations!CA115, "")</f>
        <v>31.312581949560045</v>
      </c>
      <c r="BF117" s="8" t="str">
        <f>IFERROR(Calculations!CB115, "")</f>
        <v/>
      </c>
      <c r="BG117" s="8" t="str">
        <f>IFERROR(Calculations!CC115, "")</f>
        <v/>
      </c>
      <c r="BH117" s="8" t="str">
        <f>IFERROR(Calculations!CD115, "")</f>
        <v/>
      </c>
      <c r="BI117" s="8" t="str">
        <f>IFERROR(Calculations!CE115, "")</f>
        <v/>
      </c>
      <c r="BJ117" s="8">
        <f>IFERROR(IF(Calculations!CF115 &lt;&gt; 0, Calculations!CF115, ""),"")</f>
        <v>-12.063672407100054</v>
      </c>
      <c r="BK117" s="1">
        <f t="shared" si="8"/>
        <v>500</v>
      </c>
      <c r="BL117" s="1">
        <f t="shared" si="9"/>
        <v>40</v>
      </c>
      <c r="CD117" s="8"/>
      <c r="CE117" s="8"/>
      <c r="CF117" s="8"/>
      <c r="CG117" s="8"/>
      <c r="CH117" s="8"/>
      <c r="CI117" s="8"/>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8"/>
      <c r="DS117" s="8"/>
      <c r="DT117" s="8"/>
      <c r="DU117" s="8"/>
      <c r="DV117" s="8"/>
      <c r="DW117" s="8"/>
      <c r="DX117" s="8"/>
      <c r="DY117" s="8"/>
      <c r="DZ117" s="8"/>
      <c r="EA117" s="8"/>
    </row>
    <row r="118" spans="2:131" x14ac:dyDescent="0.2">
      <c r="B118" s="1">
        <f>IFERROR(Calculations!M116/1000, "")</f>
        <v>40</v>
      </c>
      <c r="C118" s="1">
        <f>Calculations!N116</f>
        <v>550</v>
      </c>
      <c r="D118" s="58">
        <f>IFERROR(Calculations!$Q116,"")</f>
        <v>1.3346079414159062</v>
      </c>
      <c r="E118" s="8">
        <f>IFERROR(Calculations!$S116, "")</f>
        <v>33.817457494055951</v>
      </c>
      <c r="F118" s="89"/>
      <c r="G118" s="89"/>
      <c r="H118" s="89"/>
      <c r="I118" s="89"/>
      <c r="J118" s="1" t="str">
        <f>IFERROR(Calculations!AC116, "")</f>
        <v/>
      </c>
      <c r="K118" s="1" t="str">
        <f>IFERROR(Calculations!AD116, "")</f>
        <v/>
      </c>
      <c r="L118" s="8">
        <f>IFERROR(Calculations!AE116,"")</f>
        <v>-54773.809264514566</v>
      </c>
      <c r="M118" s="8">
        <f>IFERROR(Calculations!AF116,"")</f>
        <v>-84107.490942224671</v>
      </c>
      <c r="N118" s="8" t="str">
        <f>IFERROR(Calculations!AG116,"")</f>
        <v/>
      </c>
      <c r="O118" s="8" t="str">
        <f>IFERROR(Calculations!AH116,"")</f>
        <v/>
      </c>
      <c r="P118" s="8" t="str">
        <f>IFERROR(Calculations!AI116,"")</f>
        <v/>
      </c>
      <c r="Q118" s="8" t="str">
        <f>IFERROR(Calculations!AJ116,"")</f>
        <v/>
      </c>
      <c r="R118" s="8" t="str">
        <f>IFERROR(Calculations!AK116,"")</f>
        <v/>
      </c>
      <c r="S118" s="89"/>
      <c r="T118" s="89"/>
      <c r="U118" s="89"/>
      <c r="V118" s="89"/>
      <c r="W118" s="1" t="str">
        <f>IFERROR(Calculations!AP116, "")</f>
        <v/>
      </c>
      <c r="X118" s="1" t="str">
        <f>IFERROR(Calculations!AQ116, "")</f>
        <v/>
      </c>
      <c r="Y118" s="8" t="str">
        <f>IFERROR(Calculations!AR116,"")</f>
        <v/>
      </c>
      <c r="Z118" s="8">
        <f>IFERROR(Calculations!AS116,"")</f>
        <v>0</v>
      </c>
      <c r="AA118" s="8">
        <f>IFERROR(Calculations!AT116,"")</f>
        <v>-126453.23996663567</v>
      </c>
      <c r="AB118" s="8" t="str">
        <f>IFERROR(Calculations!AU116,"")</f>
        <v/>
      </c>
      <c r="AC118" s="8" t="str">
        <f>IFERROR(Calculations!AV116,"")</f>
        <v/>
      </c>
      <c r="AD118" s="8" t="str">
        <f>IFERROR(Calculations!AW116,"")</f>
        <v/>
      </c>
      <c r="AE118" s="8" t="str">
        <f>IFERROR(Calculations!AX116,"")</f>
        <v/>
      </c>
      <c r="AF118" s="8">
        <f>IFERROR(IF(Calculations!AY116 &lt;&gt; 0, Calculations!AY116, ""),"")</f>
        <v>12428.060240103558</v>
      </c>
      <c r="AG118" s="42">
        <f>IFERROR(IF(Calculations!AZ116 &lt;&gt; 0, Calculations!AZ116, ""),"")</f>
        <v>-3.3018416439309615</v>
      </c>
      <c r="AH118" s="1">
        <f t="shared" si="6"/>
        <v>40</v>
      </c>
      <c r="AI118" s="1">
        <f t="shared" si="7"/>
        <v>550</v>
      </c>
      <c r="AJ118" s="89"/>
      <c r="AK118" s="89"/>
      <c r="AL118" s="89"/>
      <c r="AM118" s="89"/>
      <c r="AN118" s="8" t="str">
        <f>IFERROR(Calculations!BJ116, "")</f>
        <v/>
      </c>
      <c r="AO118" s="8" t="str">
        <f>IFERROR(Calculations!BK116, "")</f>
        <v/>
      </c>
      <c r="AP118" s="8">
        <f>IFERROR(Calculations!BL116, "")</f>
        <v>13.498555973589751</v>
      </c>
      <c r="AQ118" s="8">
        <f>IFERROR(Calculations!BM116, "")</f>
        <v>30.051845624190221</v>
      </c>
      <c r="AR118" s="8" t="str">
        <f>IFERROR(Calculations!BN116, "")</f>
        <v/>
      </c>
      <c r="AS118" s="8" t="str">
        <f>IFERROR(Calculations!BO116, "")</f>
        <v/>
      </c>
      <c r="AT118" s="8" t="str">
        <f>IFERROR(Calculations!BP116, "")</f>
        <v/>
      </c>
      <c r="AU118" s="8" t="str">
        <f>IFERROR(Calculations!BQ116, "")</f>
        <v/>
      </c>
      <c r="AV118" s="8" t="str">
        <f>IFERROR(Calculations!BR116, "")</f>
        <v/>
      </c>
      <c r="AW118" s="89"/>
      <c r="AX118" s="89"/>
      <c r="AY118" s="89"/>
      <c r="AZ118" s="89"/>
      <c r="BA118" s="8" t="str">
        <f>IFERROR(Calculations!BW116, "")</f>
        <v/>
      </c>
      <c r="BB118" s="8" t="str">
        <f>IFERROR(Calculations!BX116, "")</f>
        <v/>
      </c>
      <c r="BC118" s="8" t="str">
        <f>IFERROR(Calculations!BY116, "")</f>
        <v/>
      </c>
      <c r="BD118" s="8">
        <f>IFERROR(Calculations!BZ116, "")</f>
        <v>0</v>
      </c>
      <c r="BE118" s="8">
        <f>IFERROR(Calculations!CA116, "")</f>
        <v>31.243750114045369</v>
      </c>
      <c r="BF118" s="8" t="str">
        <f>IFERROR(Calculations!CB116, "")</f>
        <v/>
      </c>
      <c r="BG118" s="8" t="str">
        <f>IFERROR(Calculations!CC116, "")</f>
        <v/>
      </c>
      <c r="BH118" s="8" t="str">
        <f>IFERROR(Calculations!CD116, "")</f>
        <v/>
      </c>
      <c r="BI118" s="8" t="str">
        <f>IFERROR(Calculations!CE116, "")</f>
        <v/>
      </c>
      <c r="BJ118" s="8">
        <f>IFERROR(IF(Calculations!CF116 &lt;&gt; 0, Calculations!CF116, ""),"")</f>
        <v>-12.306651483734605</v>
      </c>
      <c r="BK118" s="1">
        <f t="shared" si="8"/>
        <v>550</v>
      </c>
      <c r="BL118" s="1">
        <f t="shared" si="9"/>
        <v>40</v>
      </c>
      <c r="CD118" s="8"/>
      <c r="CE118" s="8"/>
      <c r="CF118" s="8"/>
      <c r="CG118" s="8"/>
      <c r="CH118" s="8"/>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8"/>
      <c r="DS118" s="8"/>
      <c r="DT118" s="8"/>
      <c r="DU118" s="8"/>
      <c r="DV118" s="8"/>
      <c r="DW118" s="8"/>
      <c r="DX118" s="8"/>
      <c r="DY118" s="8"/>
      <c r="DZ118" s="8"/>
      <c r="EA118" s="8"/>
    </row>
    <row r="119" spans="2:131" x14ac:dyDescent="0.2">
      <c r="B119" s="1">
        <f>IFERROR(Calculations!M117/1000, "")</f>
        <v>40</v>
      </c>
      <c r="C119" s="1">
        <f>Calculations!N117</f>
        <v>600</v>
      </c>
      <c r="D119" s="58">
        <f>IFERROR(Calculations!$Q117,"")</f>
        <v>1.3203429678535463</v>
      </c>
      <c r="E119" s="8">
        <f>IFERROR(Calculations!$S117, "")</f>
        <v>30.789837602128905</v>
      </c>
      <c r="F119" s="89"/>
      <c r="G119" s="89"/>
      <c r="H119" s="89"/>
      <c r="I119" s="89"/>
      <c r="J119" s="1" t="str">
        <f>IFERROR(Calculations!AC117, "")</f>
        <v/>
      </c>
      <c r="K119" s="1" t="str">
        <f>IFERROR(Calculations!AD117, "")</f>
        <v/>
      </c>
      <c r="L119" s="8">
        <f>IFERROR(Calculations!AE117,"")</f>
        <v>-56160.366370774325</v>
      </c>
      <c r="M119" s="8">
        <f>IFERROR(Calculations!AF117,"")</f>
        <v>-86364.258259174225</v>
      </c>
      <c r="N119" s="8" t="str">
        <f>IFERROR(Calculations!AG117,"")</f>
        <v/>
      </c>
      <c r="O119" s="8" t="str">
        <f>IFERROR(Calculations!AH117,"")</f>
        <v/>
      </c>
      <c r="P119" s="8" t="str">
        <f>IFERROR(Calculations!AI117,"")</f>
        <v/>
      </c>
      <c r="Q119" s="8" t="str">
        <f>IFERROR(Calculations!AJ117,"")</f>
        <v/>
      </c>
      <c r="R119" s="8" t="str">
        <f>IFERROR(Calculations!AK117,"")</f>
        <v/>
      </c>
      <c r="S119" s="89"/>
      <c r="T119" s="89"/>
      <c r="U119" s="89"/>
      <c r="V119" s="89"/>
      <c r="W119" s="1" t="str">
        <f>IFERROR(Calculations!AP117, "")</f>
        <v/>
      </c>
      <c r="X119" s="1" t="str">
        <f>IFERROR(Calculations!AQ117, "")</f>
        <v/>
      </c>
      <c r="Y119" s="8" t="str">
        <f>IFERROR(Calculations!AR117,"")</f>
        <v/>
      </c>
      <c r="Z119" s="8">
        <f>IFERROR(Calculations!AS117,"")</f>
        <v>0</v>
      </c>
      <c r="AA119" s="8">
        <f>IFERROR(Calculations!AT117,"")</f>
        <v>-128132.54188567909</v>
      </c>
      <c r="AB119" s="8" t="str">
        <f>IFERROR(Calculations!AU117,"")</f>
        <v/>
      </c>
      <c r="AC119" s="8" t="str">
        <f>IFERROR(Calculations!AV117,"")</f>
        <v/>
      </c>
      <c r="AD119" s="8" t="str">
        <f>IFERROR(Calculations!AW117,"")</f>
        <v/>
      </c>
      <c r="AE119" s="8" t="str">
        <f>IFERROR(Calculations!AX117,"")</f>
        <v/>
      </c>
      <c r="AF119" s="8">
        <f>IFERROR(IF(Calculations!AY117 &lt;&gt; 0, Calculations!AY117, ""),"")</f>
        <v>14392.082744269457</v>
      </c>
      <c r="AG119" s="42">
        <f>IFERROR(IF(Calculations!AZ117 &lt;&gt; 0, Calculations!AZ117, ""),"")</f>
        <v>-3.6046795477888351</v>
      </c>
      <c r="AH119" s="1">
        <f t="shared" si="6"/>
        <v>40</v>
      </c>
      <c r="AI119" s="1">
        <f t="shared" si="7"/>
        <v>600</v>
      </c>
      <c r="AJ119" s="89"/>
      <c r="AK119" s="89"/>
      <c r="AL119" s="89"/>
      <c r="AM119" s="89"/>
      <c r="AN119" s="8" t="str">
        <f>IFERROR(Calculations!BJ117, "")</f>
        <v/>
      </c>
      <c r="AO119" s="8" t="str">
        <f>IFERROR(Calculations!BK117, "")</f>
        <v/>
      </c>
      <c r="AP119" s="8">
        <f>IFERROR(Calculations!BL117, "")</f>
        <v>13.644394251053619</v>
      </c>
      <c r="AQ119" s="8">
        <f>IFERROR(Calculations!BM117, "")</f>
        <v>30.084584729586947</v>
      </c>
      <c r="AR119" s="8" t="str">
        <f>IFERROR(Calculations!BN117, "")</f>
        <v/>
      </c>
      <c r="AS119" s="8" t="str">
        <f>IFERROR(Calculations!BO117, "")</f>
        <v/>
      </c>
      <c r="AT119" s="8" t="str">
        <f>IFERROR(Calculations!BP117, "")</f>
        <v/>
      </c>
      <c r="AU119" s="8" t="str">
        <f>IFERROR(Calculations!BQ117, "")</f>
        <v/>
      </c>
      <c r="AV119" s="8" t="str">
        <f>IFERROR(Calculations!BR117, "")</f>
        <v/>
      </c>
      <c r="AW119" s="89"/>
      <c r="AX119" s="89"/>
      <c r="AY119" s="89"/>
      <c r="AZ119" s="89"/>
      <c r="BA119" s="8" t="str">
        <f>IFERROR(Calculations!BW117, "")</f>
        <v/>
      </c>
      <c r="BB119" s="8" t="str">
        <f>IFERROR(Calculations!BX117, "")</f>
        <v/>
      </c>
      <c r="BC119" s="8" t="str">
        <f>IFERROR(Calculations!BY117, "")</f>
        <v/>
      </c>
      <c r="BD119" s="8">
        <f>IFERROR(Calculations!BZ117, "")</f>
        <v>0</v>
      </c>
      <c r="BE119" s="8">
        <f>IFERROR(Calculations!CA117, "")</f>
        <v>31.172939080756311</v>
      </c>
      <c r="BF119" s="8" t="str">
        <f>IFERROR(Calculations!CB117, "")</f>
        <v/>
      </c>
      <c r="BG119" s="8" t="str">
        <f>IFERROR(Calculations!CC117, "")</f>
        <v/>
      </c>
      <c r="BH119" s="8" t="str">
        <f>IFERROR(Calculations!CD117, "")</f>
        <v/>
      </c>
      <c r="BI119" s="8" t="str">
        <f>IFERROR(Calculations!CE117, "")</f>
        <v/>
      </c>
      <c r="BJ119" s="8">
        <f>IFERROR(IF(Calculations!CF117 &lt;&gt; 0, Calculations!CF117, ""),"")</f>
        <v>-12.556039899884251</v>
      </c>
      <c r="BK119" s="1">
        <f t="shared" si="8"/>
        <v>600</v>
      </c>
      <c r="BL119" s="1">
        <f t="shared" si="9"/>
        <v>40</v>
      </c>
      <c r="CD119" s="8"/>
      <c r="CE119" s="8"/>
      <c r="CF119" s="8"/>
      <c r="CG119" s="8"/>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8"/>
      <c r="DS119" s="8"/>
      <c r="DT119" s="8"/>
      <c r="DU119" s="8"/>
      <c r="DV119" s="8"/>
      <c r="DW119" s="8"/>
      <c r="DX119" s="8"/>
      <c r="DY119" s="8"/>
      <c r="DZ119" s="8"/>
      <c r="EA119" s="8"/>
    </row>
    <row r="120" spans="2:131" x14ac:dyDescent="0.2">
      <c r="B120" s="1">
        <f>IFERROR(Calculations!M118/1000, "")</f>
        <v>40</v>
      </c>
      <c r="C120" s="1">
        <f>Calculations!N118</f>
        <v>650</v>
      </c>
      <c r="D120" s="58">
        <f>IFERROR(Calculations!$Q118,"")</f>
        <v>1.3062912290549278</v>
      </c>
      <c r="E120" s="8">
        <f>IFERROR(Calculations!$S118, "")</f>
        <v>28.100328643529043</v>
      </c>
      <c r="F120" s="89"/>
      <c r="G120" s="89"/>
      <c r="H120" s="89"/>
      <c r="I120" s="89"/>
      <c r="J120" s="1" t="str">
        <f>IFERROR(Calculations!AC118, "")</f>
        <v/>
      </c>
      <c r="K120" s="1" t="str">
        <f>IFERROR(Calculations!AD118, "")</f>
        <v/>
      </c>
      <c r="L120" s="8">
        <f>IFERROR(Calculations!AE118,"")</f>
        <v>-57586.491902902031</v>
      </c>
      <c r="M120" s="8">
        <f>IFERROR(Calculations!AF118,"")</f>
        <v>-88661.398836515145</v>
      </c>
      <c r="N120" s="8" t="str">
        <f>IFERROR(Calculations!AG118,"")</f>
        <v/>
      </c>
      <c r="O120" s="8" t="str">
        <f>IFERROR(Calculations!AH118,"")</f>
        <v/>
      </c>
      <c r="P120" s="8" t="str">
        <f>IFERROR(Calculations!AI118,"")</f>
        <v/>
      </c>
      <c r="Q120" s="8" t="str">
        <f>IFERROR(Calculations!AJ118,"")</f>
        <v/>
      </c>
      <c r="R120" s="8" t="str">
        <f>IFERROR(Calculations!AK118,"")</f>
        <v/>
      </c>
      <c r="S120" s="89"/>
      <c r="T120" s="89"/>
      <c r="U120" s="89"/>
      <c r="V120" s="89"/>
      <c r="W120" s="1" t="str">
        <f>IFERROR(Calculations!AP118, "")</f>
        <v/>
      </c>
      <c r="X120" s="1" t="str">
        <f>IFERROR(Calculations!AQ118, "")</f>
        <v/>
      </c>
      <c r="Y120" s="8" t="str">
        <f>IFERROR(Calculations!AR118,"")</f>
        <v/>
      </c>
      <c r="Z120" s="8">
        <f>IFERROR(Calculations!AS118,"")</f>
        <v>0</v>
      </c>
      <c r="AA120" s="8">
        <f>IFERROR(Calculations!AT118,"")</f>
        <v>-129818.55291535764</v>
      </c>
      <c r="AB120" s="8" t="str">
        <f>IFERROR(Calculations!AU118,"")</f>
        <v/>
      </c>
      <c r="AC120" s="8" t="str">
        <f>IFERROR(Calculations!AV118,"")</f>
        <v/>
      </c>
      <c r="AD120" s="8" t="str">
        <f>IFERROR(Calculations!AW118,"")</f>
        <v/>
      </c>
      <c r="AE120" s="8" t="str">
        <f>IFERROR(Calculations!AX118,"")</f>
        <v/>
      </c>
      <c r="AF120" s="8">
        <f>IFERROR(IF(Calculations!AY118 &lt;&gt; 0, Calculations!AY118, ""),"")</f>
        <v>16429.337824059534</v>
      </c>
      <c r="AG120" s="42">
        <f>IFERROR(IF(Calculations!AZ118 &lt;&gt; 0, Calculations!AZ118, ""),"")</f>
        <v>-3.89206118812033</v>
      </c>
      <c r="AH120" s="1">
        <f t="shared" si="6"/>
        <v>40</v>
      </c>
      <c r="AI120" s="1">
        <f t="shared" si="7"/>
        <v>650</v>
      </c>
      <c r="AJ120" s="89"/>
      <c r="AK120" s="89"/>
      <c r="AL120" s="89"/>
      <c r="AM120" s="89"/>
      <c r="AN120" s="8" t="str">
        <f>IFERROR(Calculations!BJ118, "")</f>
        <v/>
      </c>
      <c r="AO120" s="8" t="str">
        <f>IFERROR(Calculations!BK118, "")</f>
        <v/>
      </c>
      <c r="AP120" s="8">
        <f>IFERROR(Calculations!BL118, "")</f>
        <v>13.791166624485145</v>
      </c>
      <c r="AQ120" s="8">
        <f>IFERROR(Calculations!BM118, "")</f>
        <v>30.120161890829245</v>
      </c>
      <c r="AR120" s="8" t="str">
        <f>IFERROR(Calculations!BN118, "")</f>
        <v/>
      </c>
      <c r="AS120" s="8" t="str">
        <f>IFERROR(Calculations!BO118, "")</f>
        <v/>
      </c>
      <c r="AT120" s="8" t="str">
        <f>IFERROR(Calculations!BP118, "")</f>
        <v/>
      </c>
      <c r="AU120" s="8" t="str">
        <f>IFERROR(Calculations!BQ118, "")</f>
        <v/>
      </c>
      <c r="AV120" s="8" t="str">
        <f>IFERROR(Calculations!BR118, "")</f>
        <v/>
      </c>
      <c r="AW120" s="89"/>
      <c r="AX120" s="89"/>
      <c r="AY120" s="89"/>
      <c r="AZ120" s="89"/>
      <c r="BA120" s="8" t="str">
        <f>IFERROR(Calculations!BW118, "")</f>
        <v/>
      </c>
      <c r="BB120" s="8" t="str">
        <f>IFERROR(Calculations!BX118, "")</f>
        <v/>
      </c>
      <c r="BC120" s="8" t="str">
        <f>IFERROR(Calculations!BY118, "")</f>
        <v/>
      </c>
      <c r="BD120" s="8">
        <f>IFERROR(Calculations!BZ118, "")</f>
        <v>0</v>
      </c>
      <c r="BE120" s="8">
        <f>IFERROR(Calculations!CA118, "")</f>
        <v>31.100301375607422</v>
      </c>
      <c r="BF120" s="8" t="str">
        <f>IFERROR(Calculations!CB118, "")</f>
        <v/>
      </c>
      <c r="BG120" s="8" t="str">
        <f>IFERROR(Calculations!CC118, "")</f>
        <v/>
      </c>
      <c r="BH120" s="8" t="str">
        <f>IFERROR(Calculations!CD118, "")</f>
        <v/>
      </c>
      <c r="BI120" s="8" t="str">
        <f>IFERROR(Calculations!CE118, "")</f>
        <v/>
      </c>
      <c r="BJ120" s="8">
        <f>IFERROR(IF(Calculations!CF118 &lt;&gt; 0, Calculations!CF118, ""),"")</f>
        <v>-12.811027139706965</v>
      </c>
      <c r="BK120" s="1">
        <f t="shared" si="8"/>
        <v>650</v>
      </c>
      <c r="BL120" s="1">
        <f t="shared" si="9"/>
        <v>40</v>
      </c>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row>
    <row r="121" spans="2:131" x14ac:dyDescent="0.2">
      <c r="B121" s="1">
        <f>IFERROR(Calculations!M119/1000, "")</f>
        <v>40</v>
      </c>
      <c r="C121" s="1">
        <f>Calculations!N119</f>
        <v>700</v>
      </c>
      <c r="D121" s="58">
        <f>IFERROR(Calculations!$Q119,"")</f>
        <v>1.292464049857259</v>
      </c>
      <c r="E121" s="8">
        <f>IFERROR(Calculations!$S119, "")</f>
        <v>25.703511596710701</v>
      </c>
      <c r="F121" s="89"/>
      <c r="G121" s="89"/>
      <c r="H121" s="89"/>
      <c r="I121" s="89"/>
      <c r="J121" s="1" t="str">
        <f>IFERROR(Calculations!AC119, "")</f>
        <v/>
      </c>
      <c r="K121" s="1" t="str">
        <f>IFERROR(Calculations!AD119, "")</f>
        <v/>
      </c>
      <c r="L121" s="8">
        <f>IFERROR(Calculations!AE119,"")</f>
        <v>-59063.647367221303</v>
      </c>
      <c r="M121" s="8">
        <f>IFERROR(Calculations!AF119,"")</f>
        <v>-90998.413229817452</v>
      </c>
      <c r="N121" s="8" t="str">
        <f>IFERROR(Calculations!AG119,"")</f>
        <v/>
      </c>
      <c r="O121" s="8" t="str">
        <f>IFERROR(Calculations!AH119,"")</f>
        <v/>
      </c>
      <c r="P121" s="8" t="str">
        <f>IFERROR(Calculations!AI119,"")</f>
        <v/>
      </c>
      <c r="Q121" s="8" t="str">
        <f>IFERROR(Calculations!AJ119,"")</f>
        <v/>
      </c>
      <c r="R121" s="8" t="str">
        <f>IFERROR(Calculations!AK119,"")</f>
        <v/>
      </c>
      <c r="S121" s="89"/>
      <c r="T121" s="89"/>
      <c r="U121" s="89"/>
      <c r="V121" s="89"/>
      <c r="W121" s="1" t="str">
        <f>IFERROR(Calculations!AP119, "")</f>
        <v/>
      </c>
      <c r="X121" s="1" t="str">
        <f>IFERROR(Calculations!AQ119, "")</f>
        <v/>
      </c>
      <c r="Y121" s="8" t="str">
        <f>IFERROR(Calculations!AR119,"")</f>
        <v/>
      </c>
      <c r="Z121" s="8">
        <f>IFERROR(Calculations!AS119,"")</f>
        <v>0</v>
      </c>
      <c r="AA121" s="8">
        <f>IFERROR(Calculations!AT119,"")</f>
        <v>-131508.24878755549</v>
      </c>
      <c r="AB121" s="8" t="str">
        <f>IFERROR(Calculations!AU119,"")</f>
        <v/>
      </c>
      <c r="AC121" s="8" t="str">
        <f>IFERROR(Calculations!AV119,"")</f>
        <v/>
      </c>
      <c r="AD121" s="8" t="str">
        <f>IFERROR(Calculations!AW119,"")</f>
        <v/>
      </c>
      <c r="AE121" s="8" t="str">
        <f>IFERROR(Calculations!AX119,"")</f>
        <v/>
      </c>
      <c r="AF121" s="8">
        <f>IFERROR(IF(Calculations!AY119 &lt;&gt; 0, Calculations!AY119, ""),"")</f>
        <v>18553.811809483275</v>
      </c>
      <c r="AG121" s="42">
        <f>IFERROR(IF(Calculations!AZ119 &lt;&gt; 0, Calculations!AZ119, ""),"")</f>
        <v>-4.1695120551458729</v>
      </c>
      <c r="AH121" s="1">
        <f t="shared" si="6"/>
        <v>40</v>
      </c>
      <c r="AI121" s="1">
        <f t="shared" si="7"/>
        <v>700</v>
      </c>
      <c r="AJ121" s="89"/>
      <c r="AK121" s="89"/>
      <c r="AL121" s="89"/>
      <c r="AM121" s="89"/>
      <c r="AN121" s="8" t="str">
        <f>IFERROR(Calculations!BJ119, "")</f>
        <v/>
      </c>
      <c r="AO121" s="8" t="str">
        <f>IFERROR(Calculations!BK119, "")</f>
        <v/>
      </c>
      <c r="AP121" s="8">
        <f>IFERROR(Calculations!BL119, "")</f>
        <v>13.938708780325166</v>
      </c>
      <c r="AQ121" s="8">
        <f>IFERROR(Calculations!BM119, "")</f>
        <v>30.158129582090535</v>
      </c>
      <c r="AR121" s="8" t="str">
        <f>IFERROR(Calculations!BN119, "")</f>
        <v/>
      </c>
      <c r="AS121" s="8" t="str">
        <f>IFERROR(Calculations!BO119, "")</f>
        <v/>
      </c>
      <c r="AT121" s="8" t="str">
        <f>IFERROR(Calculations!BP119, "")</f>
        <v/>
      </c>
      <c r="AU121" s="8" t="str">
        <f>IFERROR(Calculations!BQ119, "")</f>
        <v/>
      </c>
      <c r="AV121" s="8" t="str">
        <f>IFERROR(Calculations!BR119, "")</f>
        <v/>
      </c>
      <c r="AW121" s="89"/>
      <c r="AX121" s="89"/>
      <c r="AY121" s="89"/>
      <c r="AZ121" s="89"/>
      <c r="BA121" s="8" t="str">
        <f>IFERROR(Calculations!BW119, "")</f>
        <v/>
      </c>
      <c r="BB121" s="8" t="str">
        <f>IFERROR(Calculations!BX119, "")</f>
        <v/>
      </c>
      <c r="BC121" s="8" t="str">
        <f>IFERROR(Calculations!BY119, "")</f>
        <v/>
      </c>
      <c r="BD121" s="8">
        <f>IFERROR(Calculations!BZ119, "")</f>
        <v>0</v>
      </c>
      <c r="BE121" s="8">
        <f>IFERROR(Calculations!CA119, "")</f>
        <v>31.026007699842097</v>
      </c>
      <c r="BF121" s="8" t="str">
        <f>IFERROR(Calculations!CB119, "")</f>
        <v/>
      </c>
      <c r="BG121" s="8" t="str">
        <f>IFERROR(Calculations!CC119, "")</f>
        <v/>
      </c>
      <c r="BH121" s="8" t="str">
        <f>IFERROR(Calculations!CD119, "")</f>
        <v/>
      </c>
      <c r="BI121" s="8" t="str">
        <f>IFERROR(Calculations!CE119, "")</f>
        <v/>
      </c>
      <c r="BJ121" s="8">
        <f>IFERROR(IF(Calculations!CF119 &lt;&gt; 0, Calculations!CF119, ""),"")</f>
        <v>-13.070830662573606</v>
      </c>
      <c r="BK121" s="1">
        <f t="shared" si="8"/>
        <v>700</v>
      </c>
      <c r="BL121" s="1">
        <f t="shared" si="9"/>
        <v>40</v>
      </c>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8"/>
      <c r="DS121" s="8"/>
      <c r="DT121" s="8"/>
      <c r="DU121" s="8"/>
      <c r="DV121" s="8"/>
      <c r="DW121" s="8"/>
      <c r="DX121" s="8"/>
      <c r="DY121" s="8"/>
      <c r="DZ121" s="8"/>
      <c r="EA121" s="8"/>
    </row>
    <row r="122" spans="2:131" x14ac:dyDescent="0.2">
      <c r="B122" s="1">
        <f>IFERROR(Calculations!M120/1000, "")</f>
        <v>40</v>
      </c>
      <c r="C122" s="1">
        <f>Calculations!N120</f>
        <v>750</v>
      </c>
      <c r="D122" s="58">
        <f>IFERROR(Calculations!$Q120,"")</f>
        <v>1.278874245207906</v>
      </c>
      <c r="E122" s="8">
        <f>IFERROR(Calculations!$S120, "")</f>
        <v>23.561533016967392</v>
      </c>
      <c r="F122" s="89"/>
      <c r="G122" s="89"/>
      <c r="H122" s="89"/>
      <c r="I122" s="89"/>
      <c r="J122" s="1" t="str">
        <f>IFERROR(Calculations!AC120, "")</f>
        <v/>
      </c>
      <c r="K122" s="1" t="str">
        <f>IFERROR(Calculations!AD120, "")</f>
        <v/>
      </c>
      <c r="L122" s="8">
        <f>IFERROR(Calculations!AE120,"")</f>
        <v>-60574.694441720188</v>
      </c>
      <c r="M122" s="8">
        <f>IFERROR(Calculations!AF120,"")</f>
        <v>-93374.866946234979</v>
      </c>
      <c r="N122" s="8" t="str">
        <f>IFERROR(Calculations!AG120,"")</f>
        <v/>
      </c>
      <c r="O122" s="8" t="str">
        <f>IFERROR(Calculations!AH120,"")</f>
        <v/>
      </c>
      <c r="P122" s="8" t="str">
        <f>IFERROR(Calculations!AI120,"")</f>
        <v/>
      </c>
      <c r="Q122" s="8" t="str">
        <f>IFERROR(Calculations!AJ120,"")</f>
        <v/>
      </c>
      <c r="R122" s="8" t="str">
        <f>IFERROR(Calculations!AK120,"")</f>
        <v/>
      </c>
      <c r="S122" s="89"/>
      <c r="T122" s="89"/>
      <c r="U122" s="89"/>
      <c r="V122" s="89"/>
      <c r="W122" s="1" t="str">
        <f>IFERROR(Calculations!AP120, "")</f>
        <v/>
      </c>
      <c r="X122" s="1" t="str">
        <f>IFERROR(Calculations!AQ120, "")</f>
        <v/>
      </c>
      <c r="Y122" s="8" t="str">
        <f>IFERROR(Calculations!AR120,"")</f>
        <v/>
      </c>
      <c r="Z122" s="8">
        <f>IFERROR(Calculations!AS120,"")</f>
        <v>0</v>
      </c>
      <c r="AA122" s="8">
        <f>IFERROR(Calculations!AT120,"")</f>
        <v>-133198.88958881877</v>
      </c>
      <c r="AB122" s="8" t="str">
        <f>IFERROR(Calculations!AU120,"")</f>
        <v/>
      </c>
      <c r="AC122" s="8" t="str">
        <f>IFERROR(Calculations!AV120,"")</f>
        <v/>
      </c>
      <c r="AD122" s="8" t="str">
        <f>IFERROR(Calculations!AW120,"")</f>
        <v/>
      </c>
      <c r="AE122" s="8" t="str">
        <f>IFERROR(Calculations!AX120,"")</f>
        <v/>
      </c>
      <c r="AF122" s="8">
        <f>IFERROR(IF(Calculations!AY120 &lt;&gt; 0, Calculations!AY120, ""),"")</f>
        <v>20750.671799136384</v>
      </c>
      <c r="AG122" s="42">
        <f>IFERROR(IF(Calculations!AZ120 &lt;&gt; 0, Calculations!AZ120, ""),"")</f>
        <v>-4.4353176268123704</v>
      </c>
      <c r="AH122" s="1">
        <f t="shared" si="6"/>
        <v>40</v>
      </c>
      <c r="AI122" s="1">
        <f t="shared" si="7"/>
        <v>750</v>
      </c>
      <c r="AJ122" s="89"/>
      <c r="AK122" s="89"/>
      <c r="AL122" s="89"/>
      <c r="AM122" s="89"/>
      <c r="AN122" s="8" t="str">
        <f>IFERROR(Calculations!BJ120, "")</f>
        <v/>
      </c>
      <c r="AO122" s="8" t="str">
        <f>IFERROR(Calculations!BK120, "")</f>
        <v/>
      </c>
      <c r="AP122" s="8">
        <f>IFERROR(Calculations!BL120, "")</f>
        <v>14.086826806861893</v>
      </c>
      <c r="AQ122" s="8">
        <f>IFERROR(Calculations!BM120, "")</f>
        <v>30.198110945081144</v>
      </c>
      <c r="AR122" s="8" t="str">
        <f>IFERROR(Calculations!BN120, "")</f>
        <v/>
      </c>
      <c r="AS122" s="8" t="str">
        <f>IFERROR(Calculations!BO120, "")</f>
        <v/>
      </c>
      <c r="AT122" s="8" t="str">
        <f>IFERROR(Calculations!BP120, "")</f>
        <v/>
      </c>
      <c r="AU122" s="8" t="str">
        <f>IFERROR(Calculations!BQ120, "")</f>
        <v/>
      </c>
      <c r="AV122" s="8" t="str">
        <f>IFERROR(Calculations!BR120, "")</f>
        <v/>
      </c>
      <c r="AW122" s="89"/>
      <c r="AX122" s="89"/>
      <c r="AY122" s="89"/>
      <c r="AZ122" s="89"/>
      <c r="BA122" s="8" t="str">
        <f>IFERROR(Calculations!BW120, "")</f>
        <v/>
      </c>
      <c r="BB122" s="8" t="str">
        <f>IFERROR(Calculations!BX120, "")</f>
        <v/>
      </c>
      <c r="BC122" s="8" t="str">
        <f>IFERROR(Calculations!BY120, "")</f>
        <v/>
      </c>
      <c r="BD122" s="8">
        <f>IFERROR(Calculations!BZ120, "")</f>
        <v>0</v>
      </c>
      <c r="BE122" s="8">
        <f>IFERROR(Calculations!CA120, "")</f>
        <v>30.950252502355085</v>
      </c>
      <c r="BF122" s="8" t="str">
        <f>IFERROR(Calculations!CB120, "")</f>
        <v/>
      </c>
      <c r="BG122" s="8" t="str">
        <f>IFERROR(Calculations!CC120, "")</f>
        <v/>
      </c>
      <c r="BH122" s="8" t="str">
        <f>IFERROR(Calculations!CD120, "")</f>
        <v/>
      </c>
      <c r="BI122" s="8" t="str">
        <f>IFERROR(Calculations!CE120, "")</f>
        <v/>
      </c>
      <c r="BJ122" s="8">
        <f>IFERROR(IF(Calculations!CF120 &lt;&gt; 0, Calculations!CF120, ""),"")</f>
        <v>-13.334685249587949</v>
      </c>
      <c r="BK122" s="1">
        <f t="shared" si="8"/>
        <v>750</v>
      </c>
      <c r="BL122" s="1">
        <f t="shared" si="9"/>
        <v>40</v>
      </c>
      <c r="CD122" s="8"/>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8"/>
      <c r="DS122" s="8"/>
      <c r="DT122" s="8"/>
      <c r="DU122" s="8"/>
      <c r="DV122" s="8"/>
      <c r="DW122" s="8"/>
      <c r="DX122" s="8"/>
      <c r="DY122" s="8"/>
      <c r="DZ122" s="8"/>
      <c r="EA122" s="8"/>
    </row>
    <row r="123" spans="2:131" x14ac:dyDescent="0.2">
      <c r="B123" s="1">
        <f>IFERROR(Calculations!M121/1000, "")</f>
        <v>40</v>
      </c>
      <c r="C123" s="1">
        <f>Calculations!N121</f>
        <v>800</v>
      </c>
      <c r="D123" s="58">
        <f>IFERROR(Calculations!$Q121,"")</f>
        <v>1.2655332889550928</v>
      </c>
      <c r="E123" s="8">
        <f>IFERROR(Calculations!$S121, "")</f>
        <v>21.642452972971753</v>
      </c>
      <c r="F123" s="89"/>
      <c r="G123" s="89"/>
      <c r="H123" s="89"/>
      <c r="I123" s="89"/>
      <c r="J123" s="1" t="str">
        <f>IFERROR(Calculations!AC121, "")</f>
        <v/>
      </c>
      <c r="K123" s="1" t="str">
        <f>IFERROR(Calculations!AD121, "")</f>
        <v/>
      </c>
      <c r="L123" s="8">
        <f>IFERROR(Calculations!AE121,"")</f>
        <v>-62123.5284727994</v>
      </c>
      <c r="M123" s="8">
        <f>IFERROR(Calculations!AF121,"")</f>
        <v>-95790.385345859104</v>
      </c>
      <c r="N123" s="8" t="str">
        <f>IFERROR(Calculations!AG121,"")</f>
        <v/>
      </c>
      <c r="O123" s="8" t="str">
        <f>IFERROR(Calculations!AH121,"")</f>
        <v/>
      </c>
      <c r="P123" s="8" t="str">
        <f>IFERROR(Calculations!AI121,"")</f>
        <v/>
      </c>
      <c r="Q123" s="8" t="str">
        <f>IFERROR(Calculations!AJ121,"")</f>
        <v/>
      </c>
      <c r="R123" s="8" t="str">
        <f>IFERROR(Calculations!AK121,"")</f>
        <v/>
      </c>
      <c r="S123" s="89"/>
      <c r="T123" s="89"/>
      <c r="U123" s="89"/>
      <c r="V123" s="89"/>
      <c r="W123" s="1" t="str">
        <f>IFERROR(Calculations!AP121, "")</f>
        <v/>
      </c>
      <c r="X123" s="1" t="str">
        <f>IFERROR(Calculations!AQ121, "")</f>
        <v/>
      </c>
      <c r="Y123" s="8" t="str">
        <f>IFERROR(Calculations!AR121,"")</f>
        <v/>
      </c>
      <c r="Z123" s="8">
        <f>IFERROR(Calculations!AS121,"")</f>
        <v>0</v>
      </c>
      <c r="AA123" s="8">
        <f>IFERROR(Calculations!AT121,"")</f>
        <v>-134887.97215844941</v>
      </c>
      <c r="AB123" s="8" t="str">
        <f>IFERROR(Calculations!AU121,"")</f>
        <v/>
      </c>
      <c r="AC123" s="8" t="str">
        <f>IFERROR(Calculations!AV121,"")</f>
        <v/>
      </c>
      <c r="AD123" s="8" t="str">
        <f>IFERROR(Calculations!AW121,"")</f>
        <v/>
      </c>
      <c r="AE123" s="8" t="str">
        <f>IFERROR(Calculations!AX121,"")</f>
        <v/>
      </c>
      <c r="AF123" s="8">
        <f>IFERROR(IF(Calculations!AY121 &lt;&gt; 0, Calculations!AY121, ""),"")</f>
        <v>23025.941660209093</v>
      </c>
      <c r="AG123" s="42">
        <f>IFERROR(IF(Calculations!AZ121 &lt;&gt; 0, Calculations!AZ121, ""),"")</f>
        <v>-4.6923332008554128</v>
      </c>
      <c r="AH123" s="1">
        <f t="shared" si="6"/>
        <v>40</v>
      </c>
      <c r="AI123" s="1">
        <f t="shared" si="7"/>
        <v>800</v>
      </c>
      <c r="AJ123" s="89"/>
      <c r="AK123" s="89"/>
      <c r="AL123" s="89"/>
      <c r="AM123" s="89"/>
      <c r="AN123" s="8" t="str">
        <f>IFERROR(Calculations!BJ121, "")</f>
        <v/>
      </c>
      <c r="AO123" s="8" t="str">
        <f>IFERROR(Calculations!BK121, "")</f>
        <v/>
      </c>
      <c r="AP123" s="8">
        <f>IFERROR(Calculations!BL121, "")</f>
        <v>14.235326843811904</v>
      </c>
      <c r="AQ123" s="8">
        <f>IFERROR(Calculations!BM121, "")</f>
        <v>30.239774534823653</v>
      </c>
      <c r="AR123" s="8" t="str">
        <f>IFERROR(Calculations!BN121, "")</f>
        <v/>
      </c>
      <c r="AS123" s="8" t="str">
        <f>IFERROR(Calculations!BO121, "")</f>
        <v/>
      </c>
      <c r="AT123" s="8" t="str">
        <f>IFERROR(Calculations!BP121, "")</f>
        <v/>
      </c>
      <c r="AU123" s="8" t="str">
        <f>IFERROR(Calculations!BQ121, "")</f>
        <v/>
      </c>
      <c r="AV123" s="8" t="str">
        <f>IFERROR(Calculations!BR121, "")</f>
        <v/>
      </c>
      <c r="AW123" s="89"/>
      <c r="AX123" s="89"/>
      <c r="AY123" s="89"/>
      <c r="AZ123" s="89"/>
      <c r="BA123" s="8" t="str">
        <f>IFERROR(Calculations!BW121, "")</f>
        <v/>
      </c>
      <c r="BB123" s="8" t="str">
        <f>IFERROR(Calculations!BX121, "")</f>
        <v/>
      </c>
      <c r="BC123" s="8" t="str">
        <f>IFERROR(Calculations!BY121, "")</f>
        <v/>
      </c>
      <c r="BD123" s="8">
        <f>IFERROR(Calculations!BZ121, "")</f>
        <v>0</v>
      </c>
      <c r="BE123" s="8">
        <f>IFERROR(Calculations!CA121, "")</f>
        <v>30.873253879180872</v>
      </c>
      <c r="BF123" s="8" t="str">
        <f>IFERROR(Calculations!CB121, "")</f>
        <v/>
      </c>
      <c r="BG123" s="8" t="str">
        <f>IFERROR(Calculations!CC121, "")</f>
        <v/>
      </c>
      <c r="BH123" s="8" t="str">
        <f>IFERROR(Calculations!CD121, "")</f>
        <v/>
      </c>
      <c r="BI123" s="8" t="str">
        <f>IFERROR(Calculations!CE121, "")</f>
        <v/>
      </c>
      <c r="BJ123" s="8">
        <f>IFERROR(IF(Calculations!CF121 &lt;&gt; 0, Calculations!CF121, ""),"")</f>
        <v>-13.601847499454685</v>
      </c>
      <c r="BK123" s="1">
        <f t="shared" si="8"/>
        <v>800</v>
      </c>
      <c r="BL123" s="1">
        <f t="shared" si="9"/>
        <v>40</v>
      </c>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8"/>
      <c r="DI123" s="8"/>
      <c r="DJ123" s="8"/>
      <c r="DK123" s="8"/>
      <c r="DL123" s="8"/>
      <c r="DM123" s="8"/>
      <c r="DN123" s="8"/>
      <c r="DO123" s="8"/>
      <c r="DP123" s="8"/>
      <c r="DQ123" s="8"/>
      <c r="DR123" s="8"/>
      <c r="DS123" s="8"/>
      <c r="DT123" s="8"/>
      <c r="DU123" s="8"/>
      <c r="DV123" s="8"/>
      <c r="DW123" s="8"/>
      <c r="DX123" s="8"/>
      <c r="DY123" s="8"/>
      <c r="DZ123" s="8"/>
      <c r="EA123" s="8"/>
    </row>
    <row r="124" spans="2:131" x14ac:dyDescent="0.2">
      <c r="B124" s="1">
        <f>IFERROR(Calculations!M122/1000, "")</f>
        <v>40</v>
      </c>
      <c r="C124" s="1">
        <f>Calculations!N122</f>
        <v>850</v>
      </c>
      <c r="D124" s="58">
        <f>IFERROR(Calculations!$Q122,"")</f>
        <v>1.252450717803836</v>
      </c>
      <c r="E124" s="8">
        <f>IFERROR(Calculations!$S122, "")</f>
        <v>19.919084663351551</v>
      </c>
      <c r="F124" s="89"/>
      <c r="G124" s="89"/>
      <c r="H124" s="89"/>
      <c r="I124" s="89"/>
      <c r="J124" s="1" t="str">
        <f>IFERROR(Calculations!AC122, "")</f>
        <v/>
      </c>
      <c r="K124" s="1" t="str">
        <f>IFERROR(Calculations!AD122, "")</f>
        <v/>
      </c>
      <c r="L124" s="8">
        <f>IFERROR(Calculations!AE122,"")</f>
        <v>-63710.128623799435</v>
      </c>
      <c r="M124" s="8">
        <f>IFERROR(Calculations!AF122,"")</f>
        <v>-98244.643910855419</v>
      </c>
      <c r="N124" s="8" t="str">
        <f>IFERROR(Calculations!AG122,"")</f>
        <v/>
      </c>
      <c r="O124" s="8" t="str">
        <f>IFERROR(Calculations!AH122,"")</f>
        <v/>
      </c>
      <c r="P124" s="8" t="str">
        <f>IFERROR(Calculations!AI122,"")</f>
        <v/>
      </c>
      <c r="Q124" s="8" t="str">
        <f>IFERROR(Calculations!AJ122,"")</f>
        <v/>
      </c>
      <c r="R124" s="8" t="str">
        <f>IFERROR(Calculations!AK122,"")</f>
        <v/>
      </c>
      <c r="S124" s="89"/>
      <c r="T124" s="89"/>
      <c r="U124" s="89"/>
      <c r="V124" s="89"/>
      <c r="W124" s="1" t="str">
        <f>IFERROR(Calculations!AP122, "")</f>
        <v/>
      </c>
      <c r="X124" s="1" t="str">
        <f>IFERROR(Calculations!AQ122, "")</f>
        <v/>
      </c>
      <c r="Y124" s="8" t="str">
        <f>IFERROR(Calculations!AR122,"")</f>
        <v/>
      </c>
      <c r="Z124" s="8">
        <f>IFERROR(Calculations!AS122,"")</f>
        <v>0</v>
      </c>
      <c r="AA124" s="8">
        <f>IFERROR(Calculations!AT122,"")</f>
        <v>-136573.19992774431</v>
      </c>
      <c r="AB124" s="8" t="str">
        <f>IFERROR(Calculations!AU122,"")</f>
        <v/>
      </c>
      <c r="AC124" s="8" t="str">
        <f>IFERROR(Calculations!AV122,"")</f>
        <v/>
      </c>
      <c r="AD124" s="8" t="str">
        <f>IFERROR(Calculations!AW122,"")</f>
        <v/>
      </c>
      <c r="AE124" s="8" t="str">
        <f>IFERROR(Calculations!AX122,"")</f>
        <v/>
      </c>
      <c r="AF124" s="8">
        <f>IFERROR(IF(Calculations!AY122 &lt;&gt; 0, Calculations!AY122, ""),"")</f>
        <v>25381.572606910544</v>
      </c>
      <c r="AG124" s="42">
        <f>IFERROR(IF(Calculations!AZ122 &lt;&gt; 0, Calculations!AZ122, ""),"")</f>
        <v>-4.9421126334619849</v>
      </c>
      <c r="AH124" s="1">
        <f t="shared" si="6"/>
        <v>40</v>
      </c>
      <c r="AI124" s="1">
        <f t="shared" si="7"/>
        <v>850</v>
      </c>
      <c r="AJ124" s="89"/>
      <c r="AK124" s="89"/>
      <c r="AL124" s="89"/>
      <c r="AM124" s="89"/>
      <c r="AN124" s="8" t="str">
        <f>IFERROR(Calculations!BJ122, "")</f>
        <v/>
      </c>
      <c r="AO124" s="8" t="str">
        <f>IFERROR(Calculations!BK122, "")</f>
        <v/>
      </c>
      <c r="AP124" s="8">
        <f>IFERROR(Calculations!BL122, "")</f>
        <v>14.384023054886882</v>
      </c>
      <c r="AQ124" s="8">
        <f>IFERROR(Calculations!BM122, "")</f>
        <v>30.282814920004604</v>
      </c>
      <c r="AR124" s="8" t="str">
        <f>IFERROR(Calculations!BN122, "")</f>
        <v/>
      </c>
      <c r="AS124" s="8" t="str">
        <f>IFERROR(Calculations!BO122, "")</f>
        <v/>
      </c>
      <c r="AT124" s="8" t="str">
        <f>IFERROR(Calculations!BP122, "")</f>
        <v/>
      </c>
      <c r="AU124" s="8" t="str">
        <f>IFERROR(Calculations!BQ122, "")</f>
        <v/>
      </c>
      <c r="AV124" s="8" t="str">
        <f>IFERROR(Calculations!BR122, "")</f>
        <v/>
      </c>
      <c r="AW124" s="89"/>
      <c r="AX124" s="89"/>
      <c r="AY124" s="89"/>
      <c r="AZ124" s="89"/>
      <c r="BA124" s="8" t="str">
        <f>IFERROR(Calculations!BW122, "")</f>
        <v/>
      </c>
      <c r="BB124" s="8" t="str">
        <f>IFERROR(Calculations!BX122, "")</f>
        <v/>
      </c>
      <c r="BC124" s="8" t="str">
        <f>IFERROR(Calculations!BY122, "")</f>
        <v/>
      </c>
      <c r="BD124" s="8">
        <f>IFERROR(Calculations!BZ122, "")</f>
        <v>0</v>
      </c>
      <c r="BE124" s="8">
        <f>IFERROR(Calculations!CA122, "")</f>
        <v>30.795257659389534</v>
      </c>
      <c r="BF124" s="8" t="str">
        <f>IFERROR(Calculations!CB122, "")</f>
        <v/>
      </c>
      <c r="BG124" s="8" t="str">
        <f>IFERROR(Calculations!CC122, "")</f>
        <v/>
      </c>
      <c r="BH124" s="8" t="str">
        <f>IFERROR(Calculations!CD122, "")</f>
        <v/>
      </c>
      <c r="BI124" s="8" t="str">
        <f>IFERROR(Calculations!CE122, "")</f>
        <v/>
      </c>
      <c r="BJ124" s="8">
        <f>IFERROR(IF(Calculations!CF122 &lt;&gt; 0, Calculations!CF122, ""),"")</f>
        <v>-13.871580315501951</v>
      </c>
      <c r="BK124" s="1">
        <f t="shared" si="8"/>
        <v>850</v>
      </c>
      <c r="BL124" s="1">
        <f t="shared" si="9"/>
        <v>40</v>
      </c>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8"/>
      <c r="DJ124" s="8"/>
      <c r="DK124" s="8"/>
      <c r="DL124" s="8"/>
      <c r="DM124" s="8"/>
      <c r="DN124" s="8"/>
      <c r="DO124" s="8"/>
      <c r="DP124" s="8"/>
      <c r="DQ124" s="8"/>
      <c r="DR124" s="8"/>
      <c r="DS124" s="8"/>
      <c r="DT124" s="8"/>
      <c r="DU124" s="8"/>
      <c r="DV124" s="8"/>
      <c r="DW124" s="8"/>
      <c r="DX124" s="8"/>
      <c r="DY124" s="8"/>
      <c r="DZ124" s="8"/>
      <c r="EA124" s="8"/>
    </row>
    <row r="125" spans="2:131" x14ac:dyDescent="0.2">
      <c r="B125" s="1">
        <f>IFERROR(Calculations!M123/1000, "")</f>
        <v>40</v>
      </c>
      <c r="C125" s="1">
        <f>Calculations!N123</f>
        <v>900</v>
      </c>
      <c r="D125" s="58">
        <f>IFERROR(Calculations!$Q123,"")</f>
        <v>1.2396336842828988</v>
      </c>
      <c r="E125" s="8">
        <f>IFERROR(Calculations!$S123, "")</f>
        <v>18.368119613787485</v>
      </c>
      <c r="F125" s="89"/>
      <c r="G125" s="89"/>
      <c r="H125" s="89"/>
      <c r="I125" s="89"/>
      <c r="J125" s="1" t="str">
        <f>IFERROR(Calculations!AC123, "")</f>
        <v/>
      </c>
      <c r="K125" s="1" t="str">
        <f>IFERROR(Calculations!AD123, "")</f>
        <v/>
      </c>
      <c r="L125" s="8">
        <f>IFERROR(Calculations!AE123,"")</f>
        <v>-65332.132747109805</v>
      </c>
      <c r="M125" s="8">
        <f>IFERROR(Calculations!AF123,"")</f>
        <v>-100737.35988677386</v>
      </c>
      <c r="N125" s="8" t="str">
        <f>IFERROR(Calculations!AG123,"")</f>
        <v/>
      </c>
      <c r="O125" s="8" t="str">
        <f>IFERROR(Calculations!AH123,"")</f>
        <v/>
      </c>
      <c r="P125" s="8" t="str">
        <f>IFERROR(Calculations!AI123,"")</f>
        <v/>
      </c>
      <c r="Q125" s="8" t="str">
        <f>IFERROR(Calculations!AJ123,"")</f>
        <v/>
      </c>
      <c r="R125" s="8" t="str">
        <f>IFERROR(Calculations!AK123,"")</f>
        <v/>
      </c>
      <c r="S125" s="89"/>
      <c r="T125" s="89"/>
      <c r="U125" s="89"/>
      <c r="V125" s="89"/>
      <c r="W125" s="1" t="str">
        <f>IFERROR(Calculations!AP123, "")</f>
        <v/>
      </c>
      <c r="X125" s="1" t="str">
        <f>IFERROR(Calculations!AQ123, "")</f>
        <v/>
      </c>
      <c r="Y125" s="8" t="str">
        <f>IFERROR(Calculations!AR123,"")</f>
        <v/>
      </c>
      <c r="Z125" s="8">
        <f>IFERROR(Calculations!AS123,"")</f>
        <v>0</v>
      </c>
      <c r="AA125" s="8">
        <f>IFERROR(Calculations!AT123,"")</f>
        <v>-138252.45850248326</v>
      </c>
      <c r="AB125" s="8" t="str">
        <f>IFERROR(Calculations!AU123,"")</f>
        <v/>
      </c>
      <c r="AC125" s="8" t="str">
        <f>IFERROR(Calculations!AV123,"")</f>
        <v/>
      </c>
      <c r="AD125" s="8" t="str">
        <f>IFERROR(Calculations!AW123,"")</f>
        <v/>
      </c>
      <c r="AE125" s="8" t="str">
        <f>IFERROR(Calculations!AX123,"")</f>
        <v/>
      </c>
      <c r="AF125" s="8">
        <f>IFERROR(IF(Calculations!AY123 &lt;&gt; 0, Calculations!AY123, ""),"")</f>
        <v>27817.034131400404</v>
      </c>
      <c r="AG125" s="42">
        <f>IFERROR(IF(Calculations!AZ123 &lt;&gt; 0, Calculations!AZ123, ""),"")</f>
        <v>-5.1854822500534548</v>
      </c>
      <c r="AH125" s="1">
        <f t="shared" si="6"/>
        <v>40</v>
      </c>
      <c r="AI125" s="1">
        <f t="shared" si="7"/>
        <v>900</v>
      </c>
      <c r="AJ125" s="89"/>
      <c r="AK125" s="89"/>
      <c r="AL125" s="89"/>
      <c r="AM125" s="89"/>
      <c r="AN125" s="8" t="str">
        <f>IFERROR(Calculations!BJ123, "")</f>
        <v/>
      </c>
      <c r="AO125" s="8" t="str">
        <f>IFERROR(Calculations!BK123, "")</f>
        <v/>
      </c>
      <c r="AP125" s="8">
        <f>IFERROR(Calculations!BL123, "")</f>
        <v>14.532744816805659</v>
      </c>
      <c r="AQ125" s="8">
        <f>IFERROR(Calculations!BM123, "")</f>
        <v>30.32694044875058</v>
      </c>
      <c r="AR125" s="8" t="str">
        <f>IFERROR(Calculations!BN123, "")</f>
        <v/>
      </c>
      <c r="AS125" s="8" t="str">
        <f>IFERROR(Calculations!BO123, "")</f>
        <v/>
      </c>
      <c r="AT125" s="8" t="str">
        <f>IFERROR(Calculations!BP123, "")</f>
        <v/>
      </c>
      <c r="AU125" s="8" t="str">
        <f>IFERROR(Calculations!BQ123, "")</f>
        <v/>
      </c>
      <c r="AV125" s="8" t="str">
        <f>IFERROR(Calculations!BR123, "")</f>
        <v/>
      </c>
      <c r="AW125" s="89"/>
      <c r="AX125" s="89"/>
      <c r="AY125" s="89"/>
      <c r="AZ125" s="89"/>
      <c r="BA125" s="8" t="str">
        <f>IFERROR(Calculations!BW123, "")</f>
        <v/>
      </c>
      <c r="BB125" s="8" t="str">
        <f>IFERROR(Calculations!BX123, "")</f>
        <v/>
      </c>
      <c r="BC125" s="8" t="str">
        <f>IFERROR(Calculations!BY123, "")</f>
        <v/>
      </c>
      <c r="BD125" s="8">
        <f>IFERROR(Calculations!BZ123, "")</f>
        <v>0</v>
      </c>
      <c r="BE125" s="8">
        <f>IFERROR(Calculations!CA123, "")</f>
        <v>30.716538590065657</v>
      </c>
      <c r="BF125" s="8" t="str">
        <f>IFERROR(Calculations!CB123, "")</f>
        <v/>
      </c>
      <c r="BG125" s="8" t="str">
        <f>IFERROR(Calculations!CC123, "")</f>
        <v/>
      </c>
      <c r="BH125" s="8" t="str">
        <f>IFERROR(Calculations!CD123, "")</f>
        <v/>
      </c>
      <c r="BI125" s="8" t="str">
        <f>IFERROR(Calculations!CE123, "")</f>
        <v/>
      </c>
      <c r="BJ125" s="8">
        <f>IFERROR(IF(Calculations!CF123 &lt;&gt; 0, Calculations!CF123, ""),"")</f>
        <v>-14.143146675490581</v>
      </c>
      <c r="BK125" s="1">
        <f t="shared" si="8"/>
        <v>900</v>
      </c>
      <c r="BL125" s="1">
        <f t="shared" si="9"/>
        <v>40</v>
      </c>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8"/>
      <c r="DJ125" s="8"/>
      <c r="DK125" s="8"/>
      <c r="DL125" s="8"/>
      <c r="DM125" s="8"/>
      <c r="DN125" s="8"/>
      <c r="DO125" s="8"/>
      <c r="DP125" s="8"/>
      <c r="DQ125" s="8"/>
      <c r="DR125" s="8"/>
      <c r="DS125" s="8"/>
      <c r="DT125" s="8"/>
      <c r="DU125" s="8"/>
      <c r="DV125" s="8"/>
      <c r="DW125" s="8"/>
      <c r="DX125" s="8"/>
      <c r="DY125" s="8"/>
      <c r="DZ125" s="8"/>
      <c r="EA125" s="8"/>
    </row>
    <row r="126" spans="2:131" x14ac:dyDescent="0.2">
      <c r="B126" s="1">
        <f>IFERROR(Calculations!M124/1000, "")</f>
        <v>40</v>
      </c>
      <c r="C126" s="1">
        <f>Calculations!N124</f>
        <v>950</v>
      </c>
      <c r="D126" s="58">
        <f>IFERROR(Calculations!$Q124,"")</f>
        <v>1.2270872547668219</v>
      </c>
      <c r="E126" s="8">
        <f>IFERROR(Calculations!$S124, "")</f>
        <v>16.96946635871414</v>
      </c>
      <c r="F126" s="89"/>
      <c r="G126" s="89"/>
      <c r="H126" s="89"/>
      <c r="I126" s="89"/>
      <c r="J126" s="1" t="str">
        <f>IFERROR(Calculations!AC124, "")</f>
        <v/>
      </c>
      <c r="K126" s="1" t="str">
        <f>IFERROR(Calculations!AD124, "")</f>
        <v/>
      </c>
      <c r="L126" s="8">
        <f>IFERROR(Calculations!AE124,"")</f>
        <v>-66995.62671810553</v>
      </c>
      <c r="M126" s="8">
        <f>IFERROR(Calculations!AF124,"")</f>
        <v>-103268.28226170593</v>
      </c>
      <c r="N126" s="8" t="str">
        <f>IFERROR(Calculations!AG124,"")</f>
        <v/>
      </c>
      <c r="O126" s="8" t="str">
        <f>IFERROR(Calculations!AH124,"")</f>
        <v/>
      </c>
      <c r="P126" s="8" t="str">
        <f>IFERROR(Calculations!AI124,"")</f>
        <v/>
      </c>
      <c r="Q126" s="8" t="str">
        <f>IFERROR(Calculations!AJ124,"")</f>
        <v/>
      </c>
      <c r="R126" s="8" t="str">
        <f>IFERROR(Calculations!AK124,"")</f>
        <v/>
      </c>
      <c r="S126" s="89"/>
      <c r="T126" s="89"/>
      <c r="U126" s="89"/>
      <c r="V126" s="89"/>
      <c r="W126" s="1" t="str">
        <f>IFERROR(Calculations!AP124, "")</f>
        <v/>
      </c>
      <c r="X126" s="1" t="str">
        <f>IFERROR(Calculations!AQ124, "")</f>
        <v/>
      </c>
      <c r="Y126" s="8" t="str">
        <f>IFERROR(Calculations!AR124,"")</f>
        <v/>
      </c>
      <c r="Z126" s="8">
        <f>IFERROR(Calculations!AS124,"")</f>
        <v>0</v>
      </c>
      <c r="AA126" s="8">
        <f>IFERROR(Calculations!AT124,"")</f>
        <v>-139923.80018955984</v>
      </c>
      <c r="AB126" s="8" t="str">
        <f>IFERROR(Calculations!AU124,"")</f>
        <v/>
      </c>
      <c r="AC126" s="8" t="str">
        <f>IFERROR(Calculations!AV124,"")</f>
        <v/>
      </c>
      <c r="AD126" s="8" t="str">
        <f>IFERROR(Calculations!AW124,"")</f>
        <v/>
      </c>
      <c r="AE126" s="8" t="str">
        <f>IFERROR(Calculations!AX124,"")</f>
        <v/>
      </c>
      <c r="AF126" s="8">
        <f>IFERROR(IF(Calculations!AY124 &lt;&gt; 0, Calculations!AY124, ""),"")</f>
        <v>30340.10879025163</v>
      </c>
      <c r="AG126" s="42">
        <f>IFERROR(IF(Calculations!AZ124 &lt;&gt; 0, Calculations!AZ124, ""),"")</f>
        <v>-5.4246195850745487</v>
      </c>
      <c r="AH126" s="1">
        <f t="shared" si="6"/>
        <v>40</v>
      </c>
      <c r="AI126" s="1">
        <f t="shared" si="7"/>
        <v>950</v>
      </c>
      <c r="AJ126" s="89"/>
      <c r="AK126" s="89"/>
      <c r="AL126" s="89"/>
      <c r="AM126" s="89"/>
      <c r="AN126" s="8" t="str">
        <f>IFERROR(Calculations!BJ124, "")</f>
        <v/>
      </c>
      <c r="AO126" s="8" t="str">
        <f>IFERROR(Calculations!BK124, "")</f>
        <v/>
      </c>
      <c r="AP126" s="8">
        <f>IFERROR(Calculations!BL124, "")</f>
        <v>14.681335764850207</v>
      </c>
      <c r="AQ126" s="8">
        <f>IFERROR(Calculations!BM124, "")</f>
        <v>30.371863215930745</v>
      </c>
      <c r="AR126" s="8" t="str">
        <f>IFERROR(Calculations!BN124, "")</f>
        <v/>
      </c>
      <c r="AS126" s="8" t="str">
        <f>IFERROR(Calculations!BO124, "")</f>
        <v/>
      </c>
      <c r="AT126" s="8" t="str">
        <f>IFERROR(Calculations!BP124, "")</f>
        <v/>
      </c>
      <c r="AU126" s="8" t="str">
        <f>IFERROR(Calculations!BQ124, "")</f>
        <v/>
      </c>
      <c r="AV126" s="8" t="str">
        <f>IFERROR(Calculations!BR124, "")</f>
        <v/>
      </c>
      <c r="AW126" s="89"/>
      <c r="AX126" s="89"/>
      <c r="AY126" s="89"/>
      <c r="AZ126" s="89"/>
      <c r="BA126" s="8" t="str">
        <f>IFERROR(Calculations!BW124, "")</f>
        <v/>
      </c>
      <c r="BB126" s="8" t="str">
        <f>IFERROR(Calculations!BX124, "")</f>
        <v/>
      </c>
      <c r="BC126" s="8" t="str">
        <f>IFERROR(Calculations!BY124, "")</f>
        <v/>
      </c>
      <c r="BD126" s="8">
        <f>IFERROR(Calculations!BZ124, "")</f>
        <v>0</v>
      </c>
      <c r="BE126" s="8">
        <f>IFERROR(Calculations!CA124, "")</f>
        <v>30.637403530215678</v>
      </c>
      <c r="BF126" s="8" t="str">
        <f>IFERROR(Calculations!CB124, "")</f>
        <v/>
      </c>
      <c r="BG126" s="8" t="str">
        <f>IFERROR(Calculations!CC124, "")</f>
        <v/>
      </c>
      <c r="BH126" s="8" t="str">
        <f>IFERROR(Calculations!CD124, "")</f>
        <v/>
      </c>
      <c r="BI126" s="8" t="str">
        <f>IFERROR(Calculations!CE124, "")</f>
        <v/>
      </c>
      <c r="BJ126" s="8">
        <f>IFERROR(IF(Calculations!CF124 &lt;&gt; 0, Calculations!CF124, ""),"")</f>
        <v>-14.41579545056527</v>
      </c>
      <c r="BK126" s="1">
        <f t="shared" si="8"/>
        <v>950</v>
      </c>
      <c r="BL126" s="1">
        <f t="shared" si="9"/>
        <v>40</v>
      </c>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8"/>
      <c r="DK126" s="8"/>
      <c r="DL126" s="8"/>
      <c r="DM126" s="8"/>
      <c r="DN126" s="8"/>
      <c r="DO126" s="8"/>
      <c r="DP126" s="8"/>
      <c r="DQ126" s="8"/>
      <c r="DR126" s="8"/>
      <c r="DS126" s="8"/>
      <c r="DT126" s="8"/>
      <c r="DU126" s="8"/>
      <c r="DV126" s="8"/>
      <c r="DW126" s="8"/>
      <c r="DX126" s="8"/>
      <c r="DY126" s="8"/>
      <c r="DZ126" s="8"/>
      <c r="EA126" s="8"/>
    </row>
    <row r="127" spans="2:131" x14ac:dyDescent="0.2">
      <c r="B127" s="1">
        <f>IFERROR(Calculations!M125/1000, "")</f>
        <v>40</v>
      </c>
      <c r="C127" s="1">
        <f>Calculations!N125</f>
        <v>1000</v>
      </c>
      <c r="D127" s="58">
        <f>IFERROR(Calculations!$Q125,"")</f>
        <v>1.2148136644208429</v>
      </c>
      <c r="E127" s="8">
        <f>IFERROR(Calculations!$S125, "")</f>
        <v>15.705709528401977</v>
      </c>
      <c r="F127" s="89"/>
      <c r="G127" s="89"/>
      <c r="H127" s="89"/>
      <c r="I127" s="89"/>
      <c r="J127" s="1" t="str">
        <f>IFERROR(Calculations!AC125, "")</f>
        <v/>
      </c>
      <c r="K127" s="1" t="str">
        <f>IFERROR(Calculations!AD125, "")</f>
        <v/>
      </c>
      <c r="L127" s="8">
        <f>IFERROR(Calculations!AE125,"")</f>
        <v>-68654.582045931398</v>
      </c>
      <c r="M127" s="8">
        <f>IFERROR(Calculations!AF125,"")</f>
        <v>-105837.18831409278</v>
      </c>
      <c r="N127" s="8" t="str">
        <f>IFERROR(Calculations!AG125,"")</f>
        <v/>
      </c>
      <c r="O127" s="8" t="str">
        <f>IFERROR(Calculations!AH125,"")</f>
        <v/>
      </c>
      <c r="P127" s="8" t="str">
        <f>IFERROR(Calculations!AI125,"")</f>
        <v/>
      </c>
      <c r="Q127" s="8" t="str">
        <f>IFERROR(Calculations!AJ125,"")</f>
        <v/>
      </c>
      <c r="R127" s="8" t="str">
        <f>IFERROR(Calculations!AK125,"")</f>
        <v/>
      </c>
      <c r="S127" s="89"/>
      <c r="T127" s="89"/>
      <c r="U127" s="89"/>
      <c r="V127" s="89"/>
      <c r="W127" s="1" t="str">
        <f>IFERROR(Calculations!AP125, "")</f>
        <v/>
      </c>
      <c r="X127" s="1" t="str">
        <f>IFERROR(Calculations!AQ125, "")</f>
        <v/>
      </c>
      <c r="Y127" s="8" t="str">
        <f>IFERROR(Calculations!AR125,"")</f>
        <v/>
      </c>
      <c r="Z127" s="8">
        <f>IFERROR(Calculations!AS125,"")</f>
        <v>0</v>
      </c>
      <c r="AA127" s="8">
        <f>IFERROR(Calculations!AT125,"")</f>
        <v>-141585.42311797707</v>
      </c>
      <c r="AB127" s="8" t="str">
        <f>IFERROR(Calculations!AU125,"")</f>
        <v/>
      </c>
      <c r="AC127" s="8" t="str">
        <f>IFERROR(Calculations!AV125,"")</f>
        <v/>
      </c>
      <c r="AD127" s="8" t="str">
        <f>IFERROR(Calculations!AW125,"")</f>
        <v/>
      </c>
      <c r="AE127" s="8" t="str">
        <f>IFERROR(Calculations!AX125,"")</f>
        <v/>
      </c>
      <c r="AF127" s="8">
        <f>IFERROR(IF(Calculations!AY125 &lt;&gt; 0, Calculations!AY125, ""),"")</f>
        <v>32906.347242047108</v>
      </c>
      <c r="AG127" s="42">
        <f>IFERROR(IF(Calculations!AZ125 &lt;&gt; 0, Calculations!AZ125, ""),"")</f>
        <v>-5.6523881265314859</v>
      </c>
      <c r="AH127" s="1">
        <f t="shared" si="6"/>
        <v>40</v>
      </c>
      <c r="AI127" s="1">
        <f t="shared" si="7"/>
        <v>1000</v>
      </c>
      <c r="AJ127" s="89"/>
      <c r="AK127" s="89"/>
      <c r="AL127" s="89"/>
      <c r="AM127" s="89"/>
      <c r="AN127" s="8" t="str">
        <f>IFERROR(Calculations!BJ125, "")</f>
        <v/>
      </c>
      <c r="AO127" s="8" t="str">
        <f>IFERROR(Calculations!BK125, "")</f>
        <v/>
      </c>
      <c r="AP127" s="8">
        <f>IFERROR(Calculations!BL125, "")</f>
        <v>14.829665262769913</v>
      </c>
      <c r="AQ127" s="8">
        <f>IFERROR(Calculations!BM125, "")</f>
        <v>30.417296726327947</v>
      </c>
      <c r="AR127" s="8" t="str">
        <f>IFERROR(Calculations!BN125, "")</f>
        <v/>
      </c>
      <c r="AS127" s="8" t="str">
        <f>IFERROR(Calculations!BO125, "")</f>
        <v/>
      </c>
      <c r="AT127" s="8" t="str">
        <f>IFERROR(Calculations!BP125, "")</f>
        <v/>
      </c>
      <c r="AU127" s="8" t="str">
        <f>IFERROR(Calculations!BQ125, "")</f>
        <v/>
      </c>
      <c r="AV127" s="8" t="str">
        <f>IFERROR(Calculations!BR125, "")</f>
        <v/>
      </c>
      <c r="AW127" s="89"/>
      <c r="AX127" s="89"/>
      <c r="AY127" s="89"/>
      <c r="AZ127" s="89"/>
      <c r="BA127" s="8" t="str">
        <f>IFERROR(Calculations!BW125, "")</f>
        <v/>
      </c>
      <c r="BB127" s="8" t="str">
        <f>IFERROR(Calculations!BX125, "")</f>
        <v/>
      </c>
      <c r="BC127" s="8" t="str">
        <f>IFERROR(Calculations!BY125, "")</f>
        <v/>
      </c>
      <c r="BD127" s="8">
        <f>IFERROR(Calculations!BZ125, "")</f>
        <v>0</v>
      </c>
      <c r="BE127" s="8">
        <f>IFERROR(Calculations!CA125, "")</f>
        <v>30.55818606249969</v>
      </c>
      <c r="BF127" s="8" t="str">
        <f>IFERROR(Calculations!CB125, "")</f>
        <v/>
      </c>
      <c r="BG127" s="8" t="str">
        <f>IFERROR(Calculations!CC125, "")</f>
        <v/>
      </c>
      <c r="BH127" s="8" t="str">
        <f>IFERROR(Calculations!CD125, "")</f>
        <v/>
      </c>
      <c r="BI127" s="8" t="str">
        <f>IFERROR(Calculations!CE125, "")</f>
        <v/>
      </c>
      <c r="BJ127" s="8">
        <f>IFERROR(IF(Calculations!CF125 &lt;&gt; 0, Calculations!CF125, ""),"")</f>
        <v>-14.688775926598172</v>
      </c>
      <c r="BK127" s="1">
        <f t="shared" si="8"/>
        <v>1000</v>
      </c>
      <c r="BL127" s="1">
        <f t="shared" si="9"/>
        <v>40</v>
      </c>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c r="DK127" s="8"/>
      <c r="DL127" s="8"/>
      <c r="DM127" s="8"/>
      <c r="DN127" s="8"/>
      <c r="DO127" s="8"/>
      <c r="DP127" s="8"/>
      <c r="DQ127" s="8"/>
      <c r="DR127" s="8"/>
      <c r="DS127" s="8"/>
      <c r="DT127" s="8"/>
      <c r="DU127" s="8"/>
      <c r="DV127" s="8"/>
      <c r="DW127" s="8"/>
      <c r="DX127" s="8"/>
      <c r="DY127" s="8"/>
      <c r="DZ127" s="8"/>
      <c r="EA127" s="8"/>
    </row>
    <row r="128" spans="2:131" x14ac:dyDescent="0.2">
      <c r="B128" s="1">
        <f>IFERROR(Calculations!M126/1000, "")</f>
        <v>45</v>
      </c>
      <c r="C128" s="1">
        <f>Calculations!N126</f>
        <v>300</v>
      </c>
      <c r="D128" s="58">
        <f>IFERROR(Calculations!$Q126,"")</f>
        <v>1.442749854990244</v>
      </c>
      <c r="E128" s="8">
        <f>IFERROR(Calculations!$S126, "")</f>
        <v>58.524886798720893</v>
      </c>
      <c r="F128" s="89"/>
      <c r="G128" s="89"/>
      <c r="H128" s="89"/>
      <c r="I128" s="89"/>
      <c r="J128" s="1" t="str">
        <f>IFERROR(Calculations!AC126, "")</f>
        <v/>
      </c>
      <c r="K128" s="1" t="str">
        <f>IFERROR(Calculations!AD126, "")</f>
        <v/>
      </c>
      <c r="L128" s="8">
        <f>IFERROR(Calculations!AE126,"")</f>
        <v>-46948.006609836382</v>
      </c>
      <c r="M128" s="8">
        <f>IFERROR(Calculations!AF126,"")</f>
        <v>-69864.251362135183</v>
      </c>
      <c r="N128" s="8" t="str">
        <f>IFERROR(Calculations!AG126,"")</f>
        <v/>
      </c>
      <c r="O128" s="8" t="str">
        <f>IFERROR(Calculations!AH126,"")</f>
        <v/>
      </c>
      <c r="P128" s="8" t="str">
        <f>IFERROR(Calculations!AI126,"")</f>
        <v/>
      </c>
      <c r="Q128" s="8" t="str">
        <f>IFERROR(Calculations!AJ126,"")</f>
        <v/>
      </c>
      <c r="R128" s="8" t="str">
        <f>IFERROR(Calculations!AK126,"")</f>
        <v/>
      </c>
      <c r="S128" s="89"/>
      <c r="T128" s="89"/>
      <c r="U128" s="89"/>
      <c r="V128" s="89"/>
      <c r="W128" s="1" t="str">
        <f>IFERROR(Calculations!AP126, "")</f>
        <v/>
      </c>
      <c r="X128" s="1" t="str">
        <f>IFERROR(Calculations!AQ126, "")</f>
        <v/>
      </c>
      <c r="Y128" s="8" t="str">
        <f>IFERROR(Calculations!AR126,"")</f>
        <v/>
      </c>
      <c r="Z128" s="8">
        <f>IFERROR(Calculations!AS126,"")</f>
        <v>0</v>
      </c>
      <c r="AA128" s="8">
        <f>IFERROR(Calculations!AT126,"")</f>
        <v>-114533.59350548997</v>
      </c>
      <c r="AB128" s="8" t="str">
        <f>IFERROR(Calculations!AU126,"")</f>
        <v/>
      </c>
      <c r="AC128" s="8" t="str">
        <f>IFERROR(Calculations!AV126,"")</f>
        <v/>
      </c>
      <c r="AD128" s="8" t="str">
        <f>IFERROR(Calculations!AW126,"")</f>
        <v/>
      </c>
      <c r="AE128" s="8" t="str">
        <f>IFERROR(Calculations!AX126,"")</f>
        <v/>
      </c>
      <c r="AF128" s="8">
        <f>IFERROR(IF(Calculations!AY126 &lt;&gt; 0, Calculations!AY126, ""),"")</f>
        <v>2278.6644664815831</v>
      </c>
      <c r="AG128" s="42">
        <f>IFERROR(IF(Calculations!AZ126 &lt;&gt; 0, Calculations!AZ126, ""),"")</f>
        <v>-0.8694486886899826</v>
      </c>
      <c r="AH128" s="1">
        <f t="shared" si="6"/>
        <v>45</v>
      </c>
      <c r="AI128" s="1">
        <f t="shared" si="7"/>
        <v>300</v>
      </c>
      <c r="AJ128" s="89"/>
      <c r="AK128" s="89"/>
      <c r="AL128" s="89"/>
      <c r="AM128" s="89"/>
      <c r="AN128" s="8" t="str">
        <f>IFERROR(Calculations!BJ126, "")</f>
        <v/>
      </c>
      <c r="AO128" s="8" t="str">
        <f>IFERROR(Calculations!BK126, "")</f>
        <v/>
      </c>
      <c r="AP128" s="8">
        <f>IFERROR(Calculations!BL126, "")</f>
        <v>12.486766113812447</v>
      </c>
      <c r="AQ128" s="8">
        <f>IFERROR(Calculations!BM126, "")</f>
        <v>29.902272429275186</v>
      </c>
      <c r="AR128" s="8" t="str">
        <f>IFERROR(Calculations!BN126, "")</f>
        <v/>
      </c>
      <c r="AS128" s="8" t="str">
        <f>IFERROR(Calculations!BO126, "")</f>
        <v/>
      </c>
      <c r="AT128" s="8" t="str">
        <f>IFERROR(Calculations!BP126, "")</f>
        <v/>
      </c>
      <c r="AU128" s="8" t="str">
        <f>IFERROR(Calculations!BQ126, "")</f>
        <v/>
      </c>
      <c r="AV128" s="8" t="str">
        <f>IFERROR(Calculations!BR126, "")</f>
        <v/>
      </c>
      <c r="AW128" s="89"/>
      <c r="AX128" s="89"/>
      <c r="AY128" s="89"/>
      <c r="AZ128" s="89"/>
      <c r="BA128" s="8" t="str">
        <f>IFERROR(Calculations!BW126, "")</f>
        <v/>
      </c>
      <c r="BB128" s="8" t="str">
        <f>IFERROR(Calculations!BX126, "")</f>
        <v/>
      </c>
      <c r="BC128" s="8" t="str">
        <f>IFERROR(Calculations!BY126, "")</f>
        <v/>
      </c>
      <c r="BD128" s="8">
        <f>IFERROR(Calculations!BZ126, "")</f>
        <v>0</v>
      </c>
      <c r="BE128" s="8">
        <f>IFERROR(Calculations!CA126, "")</f>
        <v>31.630701140211027</v>
      </c>
      <c r="BF128" s="8" t="str">
        <f>IFERROR(Calculations!CB126, "")</f>
        <v/>
      </c>
      <c r="BG128" s="8" t="str">
        <f>IFERROR(Calculations!CC126, "")</f>
        <v/>
      </c>
      <c r="BH128" s="8" t="str">
        <f>IFERROR(Calculations!CD126, "")</f>
        <v/>
      </c>
      <c r="BI128" s="8" t="str">
        <f>IFERROR(Calculations!CE126, "")</f>
        <v/>
      </c>
      <c r="BJ128" s="8">
        <f>IFERROR(IF(Calculations!CF126 &lt;&gt; 0, Calculations!CF126, ""),"")</f>
        <v>-10.758337402876609</v>
      </c>
      <c r="BK128" s="1">
        <f t="shared" si="8"/>
        <v>300</v>
      </c>
      <c r="BL128" s="1">
        <f t="shared" si="9"/>
        <v>45</v>
      </c>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8"/>
      <c r="DK128" s="8"/>
      <c r="DL128" s="8"/>
      <c r="DM128" s="8"/>
      <c r="DN128" s="8"/>
      <c r="DO128" s="8"/>
      <c r="DP128" s="8"/>
      <c r="DQ128" s="8"/>
      <c r="DR128" s="8"/>
      <c r="DS128" s="8"/>
      <c r="DT128" s="8"/>
      <c r="DU128" s="8"/>
      <c r="DV128" s="8"/>
      <c r="DW128" s="8"/>
      <c r="DX128" s="8"/>
      <c r="DY128" s="8"/>
      <c r="DZ128" s="8"/>
      <c r="EA128" s="8"/>
    </row>
    <row r="129" spans="2:131" x14ac:dyDescent="0.2">
      <c r="B129" s="1">
        <f>IFERROR(Calculations!M127/1000, "")</f>
        <v>45</v>
      </c>
      <c r="C129" s="1">
        <f>Calculations!N127</f>
        <v>350</v>
      </c>
      <c r="D129" s="58">
        <f>IFERROR(Calculations!$Q127,"")</f>
        <v>1.4271156192028522</v>
      </c>
      <c r="E129" s="8">
        <f>IFERROR(Calculations!$S127, "")</f>
        <v>52.443577470183122</v>
      </c>
      <c r="F129" s="89"/>
      <c r="G129" s="89"/>
      <c r="H129" s="89"/>
      <c r="I129" s="89"/>
      <c r="J129" s="1" t="str">
        <f>IFERROR(Calculations!AC127, "")</f>
        <v/>
      </c>
      <c r="K129" s="1" t="str">
        <f>IFERROR(Calculations!AD127, "")</f>
        <v/>
      </c>
      <c r="L129" s="8">
        <f>IFERROR(Calculations!AE127,"")</f>
        <v>-48084.894846093346</v>
      </c>
      <c r="M129" s="8">
        <f>IFERROR(Calculations!AF127,"")</f>
        <v>-71906.829773490608</v>
      </c>
      <c r="N129" s="8" t="str">
        <f>IFERROR(Calculations!AG127,"")</f>
        <v/>
      </c>
      <c r="O129" s="8" t="str">
        <f>IFERROR(Calculations!AH127,"")</f>
        <v/>
      </c>
      <c r="P129" s="8" t="str">
        <f>IFERROR(Calculations!AI127,"")</f>
        <v/>
      </c>
      <c r="Q129" s="8" t="str">
        <f>IFERROR(Calculations!AJ127,"")</f>
        <v/>
      </c>
      <c r="R129" s="8" t="str">
        <f>IFERROR(Calculations!AK127,"")</f>
        <v/>
      </c>
      <c r="S129" s="89"/>
      <c r="T129" s="89"/>
      <c r="U129" s="89"/>
      <c r="V129" s="89"/>
      <c r="W129" s="1" t="str">
        <f>IFERROR(Calculations!AP127, "")</f>
        <v/>
      </c>
      <c r="X129" s="1" t="str">
        <f>IFERROR(Calculations!AQ127, "")</f>
        <v/>
      </c>
      <c r="Y129" s="8" t="str">
        <f>IFERROR(Calculations!AR127,"")</f>
        <v/>
      </c>
      <c r="Z129" s="8">
        <f>IFERROR(Calculations!AS127,"")</f>
        <v>0</v>
      </c>
      <c r="AA129" s="8">
        <f>IFERROR(Calculations!AT127,"")</f>
        <v>-116128.67938983331</v>
      </c>
      <c r="AB129" s="8" t="str">
        <f>IFERROR(Calculations!AU127,"")</f>
        <v/>
      </c>
      <c r="AC129" s="8" t="str">
        <f>IFERROR(Calculations!AV127,"")</f>
        <v/>
      </c>
      <c r="AD129" s="8" t="str">
        <f>IFERROR(Calculations!AW127,"")</f>
        <v/>
      </c>
      <c r="AE129" s="8" t="str">
        <f>IFERROR(Calculations!AX127,"")</f>
        <v/>
      </c>
      <c r="AF129" s="8">
        <f>IFERROR(IF(Calculations!AY127 &lt;&gt; 0, Calculations!AY127, ""),"")</f>
        <v>3863.0452297506417</v>
      </c>
      <c r="AG129" s="42">
        <f>IFERROR(IF(Calculations!AZ127 &lt;&gt; 0, Calculations!AZ127, ""),"")</f>
        <v>-1.3557170790331092</v>
      </c>
      <c r="AH129" s="1">
        <f t="shared" si="6"/>
        <v>45</v>
      </c>
      <c r="AI129" s="1">
        <f t="shared" si="7"/>
        <v>350</v>
      </c>
      <c r="AJ129" s="89"/>
      <c r="AK129" s="89"/>
      <c r="AL129" s="89"/>
      <c r="AM129" s="89"/>
      <c r="AN129" s="8" t="str">
        <f>IFERROR(Calculations!BJ127, "")</f>
        <v/>
      </c>
      <c r="AO129" s="8" t="str">
        <f>IFERROR(Calculations!BK127, "")</f>
        <v/>
      </c>
      <c r="AP129" s="8">
        <f>IFERROR(Calculations!BL127, "")</f>
        <v>12.623560248091772</v>
      </c>
      <c r="AQ129" s="8">
        <f>IFERROR(Calculations!BM127, "")</f>
        <v>29.899196080964579</v>
      </c>
      <c r="AR129" s="8" t="str">
        <f>IFERROR(Calculations!BN127, "")</f>
        <v/>
      </c>
      <c r="AS129" s="8" t="str">
        <f>IFERROR(Calculations!BO127, "")</f>
        <v/>
      </c>
      <c r="AT129" s="8" t="str">
        <f>IFERROR(Calculations!BP127, "")</f>
        <v/>
      </c>
      <c r="AU129" s="8" t="str">
        <f>IFERROR(Calculations!BQ127, "")</f>
        <v/>
      </c>
      <c r="AV129" s="8" t="str">
        <f>IFERROR(Calculations!BR127, "")</f>
        <v/>
      </c>
      <c r="AW129" s="89"/>
      <c r="AX129" s="89"/>
      <c r="AY129" s="89"/>
      <c r="AZ129" s="89"/>
      <c r="BA129" s="8" t="str">
        <f>IFERROR(Calculations!BW127, "")</f>
        <v/>
      </c>
      <c r="BB129" s="8" t="str">
        <f>IFERROR(Calculations!BX127, "")</f>
        <v/>
      </c>
      <c r="BC129" s="8" t="str">
        <f>IFERROR(Calculations!BY127, "")</f>
        <v/>
      </c>
      <c r="BD129" s="8">
        <f>IFERROR(Calculations!BZ127, "")</f>
        <v>0</v>
      </c>
      <c r="BE129" s="8">
        <f>IFERROR(Calculations!CA127, "")</f>
        <v>31.580146956782063</v>
      </c>
      <c r="BF129" s="8" t="str">
        <f>IFERROR(Calculations!CB127, "")</f>
        <v/>
      </c>
      <c r="BG129" s="8" t="str">
        <f>IFERROR(Calculations!CC127, "")</f>
        <v/>
      </c>
      <c r="BH129" s="8" t="str">
        <f>IFERROR(Calculations!CD127, "")</f>
        <v/>
      </c>
      <c r="BI129" s="8" t="str">
        <f>IFERROR(Calculations!CE127, "")</f>
        <v/>
      </c>
      <c r="BJ129" s="8">
        <f>IFERROR(IF(Calculations!CF127 &lt;&gt; 0, Calculations!CF127, ""),"")</f>
        <v>-10.942609372274287</v>
      </c>
      <c r="BK129" s="1">
        <f t="shared" si="8"/>
        <v>350</v>
      </c>
      <c r="BL129" s="1">
        <f t="shared" si="9"/>
        <v>45</v>
      </c>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8"/>
      <c r="DK129" s="8"/>
      <c r="DL129" s="8"/>
      <c r="DM129" s="8"/>
      <c r="DN129" s="8"/>
      <c r="DO129" s="8"/>
      <c r="DP129" s="8"/>
      <c r="DQ129" s="8"/>
      <c r="DR129" s="8"/>
      <c r="DS129" s="8"/>
      <c r="DT129" s="8"/>
      <c r="DU129" s="8"/>
      <c r="DV129" s="8"/>
      <c r="DW129" s="8"/>
      <c r="DX129" s="8"/>
      <c r="DY129" s="8"/>
      <c r="DZ129" s="8"/>
      <c r="EA129" s="8"/>
    </row>
    <row r="130" spans="2:131" x14ac:dyDescent="0.2">
      <c r="B130" s="1">
        <f>IFERROR(Calculations!M128/1000, "")</f>
        <v>45</v>
      </c>
      <c r="C130" s="1">
        <f>Calculations!N128</f>
        <v>400</v>
      </c>
      <c r="D130" s="58">
        <f>IFERROR(Calculations!$Q128,"")</f>
        <v>1.4121409061717989</v>
      </c>
      <c r="E130" s="8">
        <f>IFERROR(Calculations!$S128, "")</f>
        <v>47.207057327290876</v>
      </c>
      <c r="F130" s="89"/>
      <c r="G130" s="89"/>
      <c r="H130" s="89"/>
      <c r="I130" s="89"/>
      <c r="J130" s="1" t="str">
        <f>IFERROR(Calculations!AC128, "")</f>
        <v/>
      </c>
      <c r="K130" s="1" t="str">
        <f>IFERROR(Calculations!AD128, "")</f>
        <v/>
      </c>
      <c r="L130" s="8">
        <f>IFERROR(Calculations!AE128,"")</f>
        <v>-49284.087891216172</v>
      </c>
      <c r="M130" s="8">
        <f>IFERROR(Calculations!AF128,"")</f>
        <v>-73991.408590144769</v>
      </c>
      <c r="N130" s="8" t="str">
        <f>IFERROR(Calculations!AG128,"")</f>
        <v/>
      </c>
      <c r="O130" s="8" t="str">
        <f>IFERROR(Calculations!AH128,"")</f>
        <v/>
      </c>
      <c r="P130" s="8" t="str">
        <f>IFERROR(Calculations!AI128,"")</f>
        <v/>
      </c>
      <c r="Q130" s="8" t="str">
        <f>IFERROR(Calculations!AJ128,"")</f>
        <v/>
      </c>
      <c r="R130" s="8" t="str">
        <f>IFERROR(Calculations!AK128,"")</f>
        <v/>
      </c>
      <c r="S130" s="89"/>
      <c r="T130" s="89"/>
      <c r="U130" s="89"/>
      <c r="V130" s="89"/>
      <c r="W130" s="1" t="str">
        <f>IFERROR(Calculations!AP128, "")</f>
        <v/>
      </c>
      <c r="X130" s="1" t="str">
        <f>IFERROR(Calculations!AQ128, "")</f>
        <v/>
      </c>
      <c r="Y130" s="8" t="str">
        <f>IFERROR(Calculations!AR128,"")</f>
        <v/>
      </c>
      <c r="Z130" s="8">
        <f>IFERROR(Calculations!AS128,"")</f>
        <v>0</v>
      </c>
      <c r="AA130" s="8">
        <f>IFERROR(Calculations!AT128,"")</f>
        <v>-117754.44582334871</v>
      </c>
      <c r="AB130" s="8" t="str">
        <f>IFERROR(Calculations!AU128,"")</f>
        <v/>
      </c>
      <c r="AC130" s="8" t="str">
        <f>IFERROR(Calculations!AV128,"")</f>
        <v/>
      </c>
      <c r="AD130" s="8" t="str">
        <f>IFERROR(Calculations!AW128,"")</f>
        <v/>
      </c>
      <c r="AE130" s="8" t="str">
        <f>IFERROR(Calculations!AX128,"")</f>
        <v/>
      </c>
      <c r="AF130" s="8">
        <f>IFERROR(IF(Calculations!AY128 &lt;&gt; 0, Calculations!AY128, ""),"")</f>
        <v>5521.050658012231</v>
      </c>
      <c r="AG130" s="42">
        <f>IFERROR(IF(Calculations!AZ128 &lt;&gt; 0, Calculations!AZ128, ""),"")</f>
        <v>-1.7936667414304648</v>
      </c>
      <c r="AH130" s="1">
        <f t="shared" si="6"/>
        <v>45</v>
      </c>
      <c r="AI130" s="1">
        <f t="shared" si="7"/>
        <v>400</v>
      </c>
      <c r="AJ130" s="89"/>
      <c r="AK130" s="89"/>
      <c r="AL130" s="89"/>
      <c r="AM130" s="89"/>
      <c r="AN130" s="8" t="str">
        <f>IFERROR(Calculations!BJ128, "")</f>
        <v/>
      </c>
      <c r="AO130" s="8" t="str">
        <f>IFERROR(Calculations!BK128, "")</f>
        <v/>
      </c>
      <c r="AP130" s="8">
        <f>IFERROR(Calculations!BL128, "")</f>
        <v>12.757423796211658</v>
      </c>
      <c r="AQ130" s="8">
        <f>IFERROR(Calculations!BM128, "")</f>
        <v>29.905112276110881</v>
      </c>
      <c r="AR130" s="8" t="str">
        <f>IFERROR(Calculations!BN128, "")</f>
        <v/>
      </c>
      <c r="AS130" s="8" t="str">
        <f>IFERROR(Calculations!BO128, "")</f>
        <v/>
      </c>
      <c r="AT130" s="8" t="str">
        <f>IFERROR(Calculations!BP128, "")</f>
        <v/>
      </c>
      <c r="AU130" s="8" t="str">
        <f>IFERROR(Calculations!BQ128, "")</f>
        <v/>
      </c>
      <c r="AV130" s="8" t="str">
        <f>IFERROR(Calculations!BR128, "")</f>
        <v/>
      </c>
      <c r="AW130" s="89"/>
      <c r="AX130" s="89"/>
      <c r="AY130" s="89"/>
      <c r="AZ130" s="89"/>
      <c r="BA130" s="8" t="str">
        <f>IFERROR(Calculations!BW128, "")</f>
        <v/>
      </c>
      <c r="BB130" s="8" t="str">
        <f>IFERROR(Calculations!BX128, "")</f>
        <v/>
      </c>
      <c r="BC130" s="8" t="str">
        <f>IFERROR(Calculations!BY128, "")</f>
        <v/>
      </c>
      <c r="BD130" s="8">
        <f>IFERROR(Calculations!BZ128, "")</f>
        <v>0</v>
      </c>
      <c r="BE130" s="8">
        <f>IFERROR(Calculations!CA128, "")</f>
        <v>31.527736621182839</v>
      </c>
      <c r="BF130" s="8" t="str">
        <f>IFERROR(Calculations!CB128, "")</f>
        <v/>
      </c>
      <c r="BG130" s="8" t="str">
        <f>IFERROR(Calculations!CC128, "")</f>
        <v/>
      </c>
      <c r="BH130" s="8" t="str">
        <f>IFERROR(Calculations!CD128, "")</f>
        <v/>
      </c>
      <c r="BI130" s="8" t="str">
        <f>IFERROR(Calculations!CE128, "")</f>
        <v/>
      </c>
      <c r="BJ130" s="8">
        <f>IFERROR(IF(Calculations!CF128 &lt;&gt; 0, Calculations!CF128, ""),"")</f>
        <v>-11.134799451139699</v>
      </c>
      <c r="BK130" s="1">
        <f t="shared" si="8"/>
        <v>400</v>
      </c>
      <c r="BL130" s="1">
        <f t="shared" si="9"/>
        <v>45</v>
      </c>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8"/>
      <c r="DK130" s="8"/>
      <c r="DL130" s="8"/>
      <c r="DM130" s="8"/>
      <c r="DN130" s="8"/>
      <c r="DO130" s="8"/>
      <c r="DP130" s="8"/>
      <c r="DQ130" s="8"/>
      <c r="DR130" s="8"/>
      <c r="DS130" s="8"/>
      <c r="DT130" s="8"/>
      <c r="DU130" s="8"/>
      <c r="DV130" s="8"/>
      <c r="DW130" s="8"/>
      <c r="DX130" s="8"/>
      <c r="DY130" s="8"/>
      <c r="DZ130" s="8"/>
      <c r="EA130" s="8"/>
    </row>
    <row r="131" spans="2:131" x14ac:dyDescent="0.2">
      <c r="B131" s="1">
        <f>IFERROR(Calculations!M129/1000, "")</f>
        <v>45</v>
      </c>
      <c r="C131" s="1">
        <f>Calculations!N129</f>
        <v>450</v>
      </c>
      <c r="D131" s="58">
        <f>IFERROR(Calculations!$Q129,"")</f>
        <v>1.3975740362912417</v>
      </c>
      <c r="E131" s="8">
        <f>IFERROR(Calculations!$S129, "")</f>
        <v>42.65008710959372</v>
      </c>
      <c r="F131" s="89"/>
      <c r="G131" s="89"/>
      <c r="H131" s="89"/>
      <c r="I131" s="89"/>
      <c r="J131" s="1" t="str">
        <f>IFERROR(Calculations!AC129, "")</f>
        <v/>
      </c>
      <c r="K131" s="1" t="str">
        <f>IFERROR(Calculations!AD129, "")</f>
        <v/>
      </c>
      <c r="L131" s="8">
        <f>IFERROR(Calculations!AE129,"")</f>
        <v>-50537.479607028072</v>
      </c>
      <c r="M131" s="8">
        <f>IFERROR(Calculations!AF129,"")</f>
        <v>-76117.64571593338</v>
      </c>
      <c r="N131" s="8" t="str">
        <f>IFERROR(Calculations!AG129,"")</f>
        <v/>
      </c>
      <c r="O131" s="8" t="str">
        <f>IFERROR(Calculations!AH129,"")</f>
        <v/>
      </c>
      <c r="P131" s="8" t="str">
        <f>IFERROR(Calculations!AI129,"")</f>
        <v/>
      </c>
      <c r="Q131" s="8" t="str">
        <f>IFERROR(Calculations!AJ129,"")</f>
        <v/>
      </c>
      <c r="R131" s="8" t="str">
        <f>IFERROR(Calculations!AK129,"")</f>
        <v/>
      </c>
      <c r="S131" s="89"/>
      <c r="T131" s="89"/>
      <c r="U131" s="89"/>
      <c r="V131" s="89"/>
      <c r="W131" s="1" t="str">
        <f>IFERROR(Calculations!AP129, "")</f>
        <v/>
      </c>
      <c r="X131" s="1" t="str">
        <f>IFERROR(Calculations!AQ129, "")</f>
        <v/>
      </c>
      <c r="Y131" s="8" t="str">
        <f>IFERROR(Calculations!AR129,"")</f>
        <v/>
      </c>
      <c r="Z131" s="8">
        <f>IFERROR(Calculations!AS129,"")</f>
        <v>0</v>
      </c>
      <c r="AA131" s="8">
        <f>IFERROR(Calculations!AT129,"")</f>
        <v>-119404.67197602743</v>
      </c>
      <c r="AB131" s="8" t="str">
        <f>IFERROR(Calculations!AU129,"")</f>
        <v/>
      </c>
      <c r="AC131" s="8" t="str">
        <f>IFERROR(Calculations!AV129,"")</f>
        <v/>
      </c>
      <c r="AD131" s="8" t="str">
        <f>IFERROR(Calculations!AW129,"")</f>
        <v/>
      </c>
      <c r="AE131" s="8" t="str">
        <f>IFERROR(Calculations!AX129,"")</f>
        <v/>
      </c>
      <c r="AF131" s="8">
        <f>IFERROR(IF(Calculations!AY129 &lt;&gt; 0, Calculations!AY129, ""),"")</f>
        <v>7250.453346934024</v>
      </c>
      <c r="AG131" s="42">
        <f>IFERROR(IF(Calculations!AZ129 &lt;&gt; 0, Calculations!AZ129, ""),"")</f>
        <v>-2.1926466281475561</v>
      </c>
      <c r="AH131" s="1">
        <f t="shared" si="6"/>
        <v>45</v>
      </c>
      <c r="AI131" s="1">
        <f t="shared" si="7"/>
        <v>450</v>
      </c>
      <c r="AJ131" s="89"/>
      <c r="AK131" s="89"/>
      <c r="AL131" s="89"/>
      <c r="AM131" s="89"/>
      <c r="AN131" s="8" t="str">
        <f>IFERROR(Calculations!BJ129, "")</f>
        <v/>
      </c>
      <c r="AO131" s="8" t="str">
        <f>IFERROR(Calculations!BK129, "")</f>
        <v/>
      </c>
      <c r="AP131" s="8">
        <f>IFERROR(Calculations!BL129, "")</f>
        <v>12.890394020060187</v>
      </c>
      <c r="AQ131" s="8">
        <f>IFERROR(Calculations!BM129, "")</f>
        <v>29.917555537916918</v>
      </c>
      <c r="AR131" s="8" t="str">
        <f>IFERROR(Calculations!BN129, "")</f>
        <v/>
      </c>
      <c r="AS131" s="8" t="str">
        <f>IFERROR(Calculations!BO129, "")</f>
        <v/>
      </c>
      <c r="AT131" s="8" t="str">
        <f>IFERROR(Calculations!BP129, "")</f>
        <v/>
      </c>
      <c r="AU131" s="8" t="str">
        <f>IFERROR(Calculations!BQ129, "")</f>
        <v/>
      </c>
      <c r="AV131" s="8" t="str">
        <f>IFERROR(Calculations!BR129, "")</f>
        <v/>
      </c>
      <c r="AW131" s="89"/>
      <c r="AX131" s="89"/>
      <c r="AY131" s="89"/>
      <c r="AZ131" s="89"/>
      <c r="BA131" s="8" t="str">
        <f>IFERROR(Calculations!BW129, "")</f>
        <v/>
      </c>
      <c r="BB131" s="8" t="str">
        <f>IFERROR(Calculations!BX129, "")</f>
        <v/>
      </c>
      <c r="BC131" s="8" t="str">
        <f>IFERROR(Calculations!BY129, "")</f>
        <v/>
      </c>
      <c r="BD131" s="8">
        <f>IFERROR(Calculations!BZ129, "")</f>
        <v>0</v>
      </c>
      <c r="BE131" s="8">
        <f>IFERROR(Calculations!CA129, "")</f>
        <v>31.473620662701251</v>
      </c>
      <c r="BF131" s="8" t="str">
        <f>IFERROR(Calculations!CB129, "")</f>
        <v/>
      </c>
      <c r="BG131" s="8" t="str">
        <f>IFERROR(Calculations!CC129, "")</f>
        <v/>
      </c>
      <c r="BH131" s="8" t="str">
        <f>IFERROR(Calculations!CD129, "")</f>
        <v/>
      </c>
      <c r="BI131" s="8" t="str">
        <f>IFERROR(Calculations!CE129, "")</f>
        <v/>
      </c>
      <c r="BJ131" s="8">
        <f>IFERROR(IF(Calculations!CF129 &lt;&gt; 0, Calculations!CF129, ""),"")</f>
        <v>-11.334328895275853</v>
      </c>
      <c r="BK131" s="1">
        <f t="shared" si="8"/>
        <v>450</v>
      </c>
      <c r="BL131" s="1">
        <f t="shared" si="9"/>
        <v>45</v>
      </c>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8"/>
      <c r="DK131" s="8"/>
      <c r="DL131" s="8"/>
      <c r="DM131" s="8"/>
      <c r="DN131" s="8"/>
      <c r="DO131" s="8"/>
      <c r="DP131" s="8"/>
      <c r="DQ131" s="8"/>
      <c r="DR131" s="8"/>
      <c r="DS131" s="8"/>
      <c r="DT131" s="8"/>
      <c r="DU131" s="8"/>
      <c r="DV131" s="8"/>
      <c r="DW131" s="8"/>
      <c r="DX131" s="8"/>
      <c r="DY131" s="8"/>
      <c r="DZ131" s="8"/>
      <c r="EA131" s="8"/>
    </row>
    <row r="132" spans="2:131" x14ac:dyDescent="0.2">
      <c r="B132" s="1">
        <f>IFERROR(Calculations!M130/1000, "")</f>
        <v>45</v>
      </c>
      <c r="C132" s="1">
        <f>Calculations!N130</f>
        <v>500</v>
      </c>
      <c r="D132" s="58">
        <f>IFERROR(Calculations!$Q130,"")</f>
        <v>1.3832943106383087</v>
      </c>
      <c r="E132" s="8">
        <f>IFERROR(Calculations!$S130, "")</f>
        <v>38.653924913830473</v>
      </c>
      <c r="F132" s="89"/>
      <c r="G132" s="89"/>
      <c r="H132" s="89"/>
      <c r="I132" s="89"/>
      <c r="J132" s="1" t="str">
        <f>IFERROR(Calculations!AC130, "")</f>
        <v/>
      </c>
      <c r="K132" s="1" t="str">
        <f>IFERROR(Calculations!AD130, "")</f>
        <v/>
      </c>
      <c r="L132" s="8">
        <f>IFERROR(Calculations!AE130,"")</f>
        <v>-51837.79878453281</v>
      </c>
      <c r="M132" s="8">
        <f>IFERROR(Calculations!AF130,"")</f>
        <v>-78284.999403955066</v>
      </c>
      <c r="N132" s="8" t="str">
        <f>IFERROR(Calculations!AG130,"")</f>
        <v/>
      </c>
      <c r="O132" s="8" t="str">
        <f>IFERROR(Calculations!AH130,"")</f>
        <v/>
      </c>
      <c r="P132" s="8" t="str">
        <f>IFERROR(Calculations!AI130,"")</f>
        <v/>
      </c>
      <c r="Q132" s="8" t="str">
        <f>IFERROR(Calculations!AJ130,"")</f>
        <v/>
      </c>
      <c r="R132" s="8" t="str">
        <f>IFERROR(Calculations!AK130,"")</f>
        <v/>
      </c>
      <c r="S132" s="89"/>
      <c r="T132" s="89"/>
      <c r="U132" s="89"/>
      <c r="V132" s="89"/>
      <c r="W132" s="1" t="str">
        <f>IFERROR(Calculations!AP130, "")</f>
        <v/>
      </c>
      <c r="X132" s="1" t="str">
        <f>IFERROR(Calculations!AQ130, "")</f>
        <v/>
      </c>
      <c r="Y132" s="8" t="str">
        <f>IFERROR(Calculations!AR130,"")</f>
        <v/>
      </c>
      <c r="Z132" s="8">
        <f>IFERROR(Calculations!AS130,"")</f>
        <v>0</v>
      </c>
      <c r="AA132" s="8">
        <f>IFERROR(Calculations!AT130,"")</f>
        <v>-121074.24893062098</v>
      </c>
      <c r="AB132" s="8" t="str">
        <f>IFERROR(Calculations!AU130,"")</f>
        <v/>
      </c>
      <c r="AC132" s="8" t="str">
        <f>IFERROR(Calculations!AV130,"")</f>
        <v/>
      </c>
      <c r="AD132" s="8" t="str">
        <f>IFERROR(Calculations!AW130,"")</f>
        <v/>
      </c>
      <c r="AE132" s="8" t="str">
        <f>IFERROR(Calculations!AX130,"")</f>
        <v/>
      </c>
      <c r="AF132" s="8">
        <f>IFERROR(IF(Calculations!AY130 &lt;&gt; 0, Calculations!AY130, ""),"")</f>
        <v>9048.5492578669073</v>
      </c>
      <c r="AG132" s="42">
        <f>IFERROR(IF(Calculations!AZ130 &lt;&gt; 0, Calculations!AZ130, ""),"")</f>
        <v>-2.559452465918457</v>
      </c>
      <c r="AH132" s="1">
        <f t="shared" si="6"/>
        <v>45</v>
      </c>
      <c r="AI132" s="1">
        <f t="shared" si="7"/>
        <v>500</v>
      </c>
      <c r="AJ132" s="89"/>
      <c r="AK132" s="89"/>
      <c r="AL132" s="89"/>
      <c r="AM132" s="89"/>
      <c r="AN132" s="8" t="str">
        <f>IFERROR(Calculations!BJ130, "")</f>
        <v/>
      </c>
      <c r="AO132" s="8" t="str">
        <f>IFERROR(Calculations!BK130, "")</f>
        <v/>
      </c>
      <c r="AP132" s="8">
        <f>IFERROR(Calculations!BL130, "")</f>
        <v>13.023461357031833</v>
      </c>
      <c r="AQ132" s="8">
        <f>IFERROR(Calculations!BM130, "")</f>
        <v>29.934951591328833</v>
      </c>
      <c r="AR132" s="8" t="str">
        <f>IFERROR(Calculations!BN130, "")</f>
        <v/>
      </c>
      <c r="AS132" s="8" t="str">
        <f>IFERROR(Calculations!BO130, "")</f>
        <v/>
      </c>
      <c r="AT132" s="8" t="str">
        <f>IFERROR(Calculations!BP130, "")</f>
        <v/>
      </c>
      <c r="AU132" s="8" t="str">
        <f>IFERROR(Calculations!BQ130, "")</f>
        <v/>
      </c>
      <c r="AV132" s="8" t="str">
        <f>IFERROR(Calculations!BR130, "")</f>
        <v/>
      </c>
      <c r="AW132" s="89"/>
      <c r="AX132" s="89"/>
      <c r="AY132" s="89"/>
      <c r="AZ132" s="89"/>
      <c r="BA132" s="8" t="str">
        <f>IFERROR(Calculations!BW130, "")</f>
        <v/>
      </c>
      <c r="BB132" s="8" t="str">
        <f>IFERROR(Calculations!BX130, "")</f>
        <v/>
      </c>
      <c r="BC132" s="8" t="str">
        <f>IFERROR(Calculations!BY130, "")</f>
        <v/>
      </c>
      <c r="BD132" s="8">
        <f>IFERROR(Calculations!BZ130, "")</f>
        <v>0</v>
      </c>
      <c r="BE132" s="8">
        <f>IFERROR(Calculations!CA130, "")</f>
        <v>31.41791557253255</v>
      </c>
      <c r="BF132" s="8" t="str">
        <f>IFERROR(Calculations!CB130, "")</f>
        <v/>
      </c>
      <c r="BG132" s="8" t="str">
        <f>IFERROR(Calculations!CC130, "")</f>
        <v/>
      </c>
      <c r="BH132" s="8" t="str">
        <f>IFERROR(Calculations!CD130, "")</f>
        <v/>
      </c>
      <c r="BI132" s="8" t="str">
        <f>IFERROR(Calculations!CE130, "")</f>
        <v/>
      </c>
      <c r="BJ132" s="8">
        <f>IFERROR(IF(Calculations!CF130 &lt;&gt; 0, Calculations!CF130, ""),"")</f>
        <v>-11.540497375828117</v>
      </c>
      <c r="BK132" s="1">
        <f t="shared" si="8"/>
        <v>500</v>
      </c>
      <c r="BL132" s="1">
        <f t="shared" si="9"/>
        <v>45</v>
      </c>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8"/>
      <c r="DK132" s="8"/>
      <c r="DL132" s="8"/>
      <c r="DM132" s="8"/>
      <c r="DN132" s="8"/>
      <c r="DO132" s="8"/>
      <c r="DP132" s="8"/>
      <c r="DQ132" s="8"/>
      <c r="DR132" s="8"/>
      <c r="DS132" s="8"/>
      <c r="DT132" s="8"/>
      <c r="DU132" s="8"/>
      <c r="DV132" s="8"/>
      <c r="DW132" s="8"/>
      <c r="DX132" s="8"/>
      <c r="DY132" s="8"/>
      <c r="DZ132" s="8"/>
      <c r="EA132" s="8"/>
    </row>
    <row r="133" spans="2:131" x14ac:dyDescent="0.2">
      <c r="B133" s="1">
        <f>IFERROR(Calculations!M131/1000, "")</f>
        <v>45</v>
      </c>
      <c r="C133" s="1">
        <f>Calculations!N131</f>
        <v>550</v>
      </c>
      <c r="D133" s="58">
        <f>IFERROR(Calculations!$Q131,"")</f>
        <v>1.3692474892032149</v>
      </c>
      <c r="E133" s="8">
        <f>IFERROR(Calculations!$S131, "")</f>
        <v>35.12906970236709</v>
      </c>
      <c r="F133" s="89"/>
      <c r="G133" s="89"/>
      <c r="H133" s="89"/>
      <c r="I133" s="89"/>
      <c r="J133" s="1" t="str">
        <f>IFERROR(Calculations!AC131, "")</f>
        <v/>
      </c>
      <c r="K133" s="1" t="str">
        <f>IFERROR(Calculations!AD131, "")</f>
        <v/>
      </c>
      <c r="L133" s="8">
        <f>IFERROR(Calculations!AE131,"")</f>
        <v>-53172.740729324047</v>
      </c>
      <c r="M133" s="8">
        <f>IFERROR(Calculations!AF131,"")</f>
        <v>-80492.883125461478</v>
      </c>
      <c r="N133" s="8" t="str">
        <f>IFERROR(Calculations!AG131,"")</f>
        <v/>
      </c>
      <c r="O133" s="8" t="str">
        <f>IFERROR(Calculations!AH131,"")</f>
        <v/>
      </c>
      <c r="P133" s="8" t="str">
        <f>IFERROR(Calculations!AI131,"")</f>
        <v/>
      </c>
      <c r="Q133" s="8" t="str">
        <f>IFERROR(Calculations!AJ131,"")</f>
        <v/>
      </c>
      <c r="R133" s="8" t="str">
        <f>IFERROR(Calculations!AK131,"")</f>
        <v/>
      </c>
      <c r="S133" s="89"/>
      <c r="T133" s="89"/>
      <c r="U133" s="89"/>
      <c r="V133" s="89"/>
      <c r="W133" s="1" t="str">
        <f>IFERROR(Calculations!AP131, "")</f>
        <v/>
      </c>
      <c r="X133" s="1" t="str">
        <f>IFERROR(Calculations!AQ131, "")</f>
        <v/>
      </c>
      <c r="Y133" s="8" t="str">
        <f>IFERROR(Calculations!AR131,"")</f>
        <v/>
      </c>
      <c r="Z133" s="8">
        <f>IFERROR(Calculations!AS131,"")</f>
        <v>0</v>
      </c>
      <c r="AA133" s="8">
        <f>IFERROR(Calculations!AT131,"")</f>
        <v>-122758.82932821808</v>
      </c>
      <c r="AB133" s="8" t="str">
        <f>IFERROR(Calculations!AU131,"")</f>
        <v/>
      </c>
      <c r="AC133" s="8" t="str">
        <f>IFERROR(Calculations!AV131,"")</f>
        <v/>
      </c>
      <c r="AD133" s="8" t="str">
        <f>IFERROR(Calculations!AW131,"")</f>
        <v/>
      </c>
      <c r="AE133" s="8" t="str">
        <f>IFERROR(Calculations!AX131,"")</f>
        <v/>
      </c>
      <c r="AF133" s="8">
        <f>IFERROR(IF(Calculations!AY131 &lt;&gt; 0, Calculations!AY131, ""),"")</f>
        <v>10906.794526567435</v>
      </c>
      <c r="AG133" s="42">
        <f>IFERROR(IF(Calculations!AZ131 &lt;&gt; 0, Calculations!AZ131, ""),"")</f>
        <v>-2.8976773264593185</v>
      </c>
      <c r="AH133" s="1">
        <f t="shared" si="6"/>
        <v>45</v>
      </c>
      <c r="AI133" s="1">
        <f t="shared" si="7"/>
        <v>550</v>
      </c>
      <c r="AJ133" s="89"/>
      <c r="AK133" s="89"/>
      <c r="AL133" s="89"/>
      <c r="AM133" s="89"/>
      <c r="AN133" s="8" t="str">
        <f>IFERROR(Calculations!BJ131, "")</f>
        <v/>
      </c>
      <c r="AO133" s="8" t="str">
        <f>IFERROR(Calculations!BK131, "")</f>
        <v/>
      </c>
      <c r="AP133" s="8">
        <f>IFERROR(Calculations!BL131, "")</f>
        <v>13.15706630251581</v>
      </c>
      <c r="AQ133" s="8">
        <f>IFERROR(Calculations!BM131, "")</f>
        <v>29.956237282086931</v>
      </c>
      <c r="AR133" s="8" t="str">
        <f>IFERROR(Calculations!BN131, "")</f>
        <v/>
      </c>
      <c r="AS133" s="8" t="str">
        <f>IFERROR(Calculations!BO131, "")</f>
        <v/>
      </c>
      <c r="AT133" s="8" t="str">
        <f>IFERROR(Calculations!BP131, "")</f>
        <v/>
      </c>
      <c r="AU133" s="8" t="str">
        <f>IFERROR(Calculations!BQ131, "")</f>
        <v/>
      </c>
      <c r="AV133" s="8" t="str">
        <f>IFERROR(Calculations!BR131, "")</f>
        <v/>
      </c>
      <c r="AW133" s="89"/>
      <c r="AX133" s="89"/>
      <c r="AY133" s="89"/>
      <c r="AZ133" s="89"/>
      <c r="BA133" s="8" t="str">
        <f>IFERROR(Calculations!BW131, "")</f>
        <v/>
      </c>
      <c r="BB133" s="8" t="str">
        <f>IFERROR(Calculations!BX131, "")</f>
        <v/>
      </c>
      <c r="BC133" s="8" t="str">
        <f>IFERROR(Calculations!BY131, "")</f>
        <v/>
      </c>
      <c r="BD133" s="8">
        <f>IFERROR(Calculations!BZ131, "")</f>
        <v>0</v>
      </c>
      <c r="BE133" s="8">
        <f>IFERROR(Calculations!CA131, "")</f>
        <v>31.360727207281304</v>
      </c>
      <c r="BF133" s="8" t="str">
        <f>IFERROR(Calculations!CB131, "")</f>
        <v/>
      </c>
      <c r="BG133" s="8" t="str">
        <f>IFERROR(Calculations!CC131, "")</f>
        <v/>
      </c>
      <c r="BH133" s="8" t="str">
        <f>IFERROR(Calculations!CD131, "")</f>
        <v/>
      </c>
      <c r="BI133" s="8" t="str">
        <f>IFERROR(Calculations!CE131, "")</f>
        <v/>
      </c>
      <c r="BJ133" s="8">
        <f>IFERROR(IF(Calculations!CF131 &lt;&gt; 0, Calculations!CF131, ""),"")</f>
        <v>-11.752576377321436</v>
      </c>
      <c r="BK133" s="1">
        <f t="shared" si="8"/>
        <v>550</v>
      </c>
      <c r="BL133" s="1">
        <f t="shared" si="9"/>
        <v>45</v>
      </c>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8"/>
      <c r="DK133" s="8"/>
      <c r="DL133" s="8"/>
      <c r="DM133" s="8"/>
      <c r="DN133" s="8"/>
      <c r="DO133" s="8"/>
      <c r="DP133" s="8"/>
      <c r="DQ133" s="8"/>
      <c r="DR133" s="8"/>
      <c r="DS133" s="8"/>
      <c r="DT133" s="8"/>
      <c r="DU133" s="8"/>
      <c r="DV133" s="8"/>
      <c r="DW133" s="8"/>
      <c r="DX133" s="8"/>
      <c r="DY133" s="8"/>
      <c r="DZ133" s="8"/>
      <c r="EA133" s="8"/>
    </row>
    <row r="134" spans="2:131" x14ac:dyDescent="0.2">
      <c r="B134" s="1">
        <f>IFERROR(Calculations!M132/1000, "")</f>
        <v>45</v>
      </c>
      <c r="C134" s="1">
        <f>Calculations!N132</f>
        <v>600</v>
      </c>
      <c r="D134" s="58">
        <f>IFERROR(Calculations!$Q132,"")</f>
        <v>1.3554139025318621</v>
      </c>
      <c r="E134" s="8">
        <f>IFERROR(Calculations!$S132, "")</f>
        <v>32.005590092641256</v>
      </c>
      <c r="F134" s="89"/>
      <c r="G134" s="89"/>
      <c r="H134" s="89"/>
      <c r="I134" s="89"/>
      <c r="J134" s="1" t="str">
        <f>IFERROR(Calculations!AC132, "")</f>
        <v/>
      </c>
      <c r="K134" s="1" t="str">
        <f>IFERROR(Calculations!AD132, "")</f>
        <v/>
      </c>
      <c r="L134" s="8">
        <f>IFERROR(Calculations!AE132,"")</f>
        <v>-54552.862690861664</v>
      </c>
      <c r="M134" s="8">
        <f>IFERROR(Calculations!AF132,"")</f>
        <v>-82740.733287320923</v>
      </c>
      <c r="N134" s="8" t="str">
        <f>IFERROR(Calculations!AG132,"")</f>
        <v/>
      </c>
      <c r="O134" s="8" t="str">
        <f>IFERROR(Calculations!AH132,"")</f>
        <v/>
      </c>
      <c r="P134" s="8" t="str">
        <f>IFERROR(Calculations!AI132,"")</f>
        <v/>
      </c>
      <c r="Q134" s="8" t="str">
        <f>IFERROR(Calculations!AJ132,"")</f>
        <v/>
      </c>
      <c r="R134" s="8" t="str">
        <f>IFERROR(Calculations!AK132,"")</f>
        <v/>
      </c>
      <c r="S134" s="89"/>
      <c r="T134" s="89"/>
      <c r="U134" s="89"/>
      <c r="V134" s="89"/>
      <c r="W134" s="1" t="str">
        <f>IFERROR(Calculations!AP132, "")</f>
        <v/>
      </c>
      <c r="X134" s="1" t="str">
        <f>IFERROR(Calculations!AQ132, "")</f>
        <v/>
      </c>
      <c r="Y134" s="8" t="str">
        <f>IFERROR(Calculations!AR132,"")</f>
        <v/>
      </c>
      <c r="Z134" s="8">
        <f>IFERROR(Calculations!AS132,"")</f>
        <v>0</v>
      </c>
      <c r="AA134" s="8">
        <f>IFERROR(Calculations!AT132,"")</f>
        <v>-124454.6206138944</v>
      </c>
      <c r="AB134" s="8" t="str">
        <f>IFERROR(Calculations!AU132,"")</f>
        <v/>
      </c>
      <c r="AC134" s="8" t="str">
        <f>IFERROR(Calculations!AV132,"")</f>
        <v/>
      </c>
      <c r="AD134" s="8" t="str">
        <f>IFERROR(Calculations!AW132,"")</f>
        <v/>
      </c>
      <c r="AE134" s="8" t="str">
        <f>IFERROR(Calculations!AX132,"")</f>
        <v/>
      </c>
      <c r="AF134" s="8">
        <f>IFERROR(IF(Calculations!AY132 &lt;&gt; 0, Calculations!AY132, ""),"")</f>
        <v>12838.975364288199</v>
      </c>
      <c r="AG134" s="42">
        <f>IFERROR(IF(Calculations!AZ132 &lt;&gt; 0, Calculations!AZ132, ""),"")</f>
        <v>-3.2156841183144249</v>
      </c>
      <c r="AH134" s="1">
        <f t="shared" si="6"/>
        <v>45</v>
      </c>
      <c r="AI134" s="1">
        <f t="shared" si="7"/>
        <v>600</v>
      </c>
      <c r="AJ134" s="89"/>
      <c r="AK134" s="89"/>
      <c r="AL134" s="89"/>
      <c r="AM134" s="89"/>
      <c r="AN134" s="8" t="str">
        <f>IFERROR(Calculations!BJ132, "")</f>
        <v/>
      </c>
      <c r="AO134" s="8" t="str">
        <f>IFERROR(Calculations!BK132, "")</f>
        <v/>
      </c>
      <c r="AP134" s="8">
        <f>IFERROR(Calculations!BL132, "")</f>
        <v>13.29134957694335</v>
      </c>
      <c r="AQ134" s="8">
        <f>IFERROR(Calculations!BM132, "")</f>
        <v>29.980656680339795</v>
      </c>
      <c r="AR134" s="8" t="str">
        <f>IFERROR(Calculations!BN132, "")</f>
        <v/>
      </c>
      <c r="AS134" s="8" t="str">
        <f>IFERROR(Calculations!BO132, "")</f>
        <v/>
      </c>
      <c r="AT134" s="8" t="str">
        <f>IFERROR(Calculations!BP132, "")</f>
        <v/>
      </c>
      <c r="AU134" s="8" t="str">
        <f>IFERROR(Calculations!BQ132, "")</f>
        <v/>
      </c>
      <c r="AV134" s="8" t="str">
        <f>IFERROR(Calculations!BR132, "")</f>
        <v/>
      </c>
      <c r="AW134" s="89"/>
      <c r="AX134" s="89"/>
      <c r="AY134" s="89"/>
      <c r="AZ134" s="89"/>
      <c r="BA134" s="8" t="str">
        <f>IFERROR(Calculations!BW132, "")</f>
        <v/>
      </c>
      <c r="BB134" s="8" t="str">
        <f>IFERROR(Calculations!BX132, "")</f>
        <v/>
      </c>
      <c r="BC134" s="8" t="str">
        <f>IFERROR(Calculations!BY132, "")</f>
        <v/>
      </c>
      <c r="BD134" s="8">
        <f>IFERROR(Calculations!BZ132, "")</f>
        <v>0</v>
      </c>
      <c r="BE134" s="8">
        <f>IFERROR(Calculations!CA132, "")</f>
        <v>31.302164194860154</v>
      </c>
      <c r="BF134" s="8" t="str">
        <f>IFERROR(Calculations!CB132, "")</f>
        <v/>
      </c>
      <c r="BG134" s="8" t="str">
        <f>IFERROR(Calculations!CC132, "")</f>
        <v/>
      </c>
      <c r="BH134" s="8" t="str">
        <f>IFERROR(Calculations!CD132, "")</f>
        <v/>
      </c>
      <c r="BI134" s="8" t="str">
        <f>IFERROR(Calculations!CE132, "")</f>
        <v/>
      </c>
      <c r="BJ134" s="8">
        <f>IFERROR(IF(Calculations!CF132 &lt;&gt; 0, Calculations!CF132, ""),"")</f>
        <v>-11.969842062422991</v>
      </c>
      <c r="BK134" s="1">
        <f t="shared" si="8"/>
        <v>600</v>
      </c>
      <c r="BL134" s="1">
        <f t="shared" si="9"/>
        <v>45</v>
      </c>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8"/>
      <c r="DK134" s="8"/>
      <c r="DL134" s="8"/>
      <c r="DM134" s="8"/>
      <c r="DN134" s="8"/>
      <c r="DO134" s="8"/>
      <c r="DP134" s="8"/>
      <c r="DQ134" s="8"/>
      <c r="DR134" s="8"/>
      <c r="DS134" s="8"/>
      <c r="DT134" s="8"/>
      <c r="DU134" s="8"/>
      <c r="DV134" s="8"/>
      <c r="DW134" s="8"/>
      <c r="DX134" s="8"/>
      <c r="DY134" s="8"/>
      <c r="DZ134" s="8"/>
      <c r="EA134" s="8"/>
    </row>
    <row r="135" spans="2:131" x14ac:dyDescent="0.2">
      <c r="B135" s="1">
        <f>IFERROR(Calculations!M133/1000, "")</f>
        <v>45</v>
      </c>
      <c r="C135" s="1">
        <f>Calculations!N133</f>
        <v>650</v>
      </c>
      <c r="D135" s="58">
        <f>IFERROR(Calculations!$Q133,"")</f>
        <v>1.3417911664479973</v>
      </c>
      <c r="E135" s="8">
        <f>IFERROR(Calculations!$S133, "")</f>
        <v>29.227313849656689</v>
      </c>
      <c r="F135" s="89"/>
      <c r="G135" s="89"/>
      <c r="H135" s="89"/>
      <c r="I135" s="89"/>
      <c r="J135" s="1" t="str">
        <f>IFERROR(Calculations!AC133, "")</f>
        <v/>
      </c>
      <c r="K135" s="1" t="str">
        <f>IFERROR(Calculations!AD133, "")</f>
        <v/>
      </c>
      <c r="L135" s="8">
        <f>IFERROR(Calculations!AE133,"")</f>
        <v>-55949.735870890261</v>
      </c>
      <c r="M135" s="8">
        <f>IFERROR(Calculations!AF133,"")</f>
        <v>-85028.038711153902</v>
      </c>
      <c r="N135" s="8" t="str">
        <f>IFERROR(Calculations!AG133,"")</f>
        <v/>
      </c>
      <c r="O135" s="8" t="str">
        <f>IFERROR(Calculations!AH133,"")</f>
        <v/>
      </c>
      <c r="P135" s="8" t="str">
        <f>IFERROR(Calculations!AI133,"")</f>
        <v/>
      </c>
      <c r="Q135" s="8" t="str">
        <f>IFERROR(Calculations!AJ133,"")</f>
        <v/>
      </c>
      <c r="R135" s="8" t="str">
        <f>IFERROR(Calculations!AK133,"")</f>
        <v/>
      </c>
      <c r="S135" s="89"/>
      <c r="T135" s="89"/>
      <c r="U135" s="89"/>
      <c r="V135" s="89"/>
      <c r="W135" s="1" t="str">
        <f>IFERROR(Calculations!AP133, "")</f>
        <v/>
      </c>
      <c r="X135" s="1" t="str">
        <f>IFERROR(Calculations!AQ133, "")</f>
        <v/>
      </c>
      <c r="Y135" s="8" t="str">
        <f>IFERROR(Calculations!AR133,"")</f>
        <v/>
      </c>
      <c r="Z135" s="8">
        <f>IFERROR(Calculations!AS133,"")</f>
        <v>0</v>
      </c>
      <c r="AA135" s="8">
        <f>IFERROR(Calculations!AT133,"")</f>
        <v>-126158.25174474693</v>
      </c>
      <c r="AB135" s="8" t="str">
        <f>IFERROR(Calculations!AU133,"")</f>
        <v/>
      </c>
      <c r="AC135" s="8" t="str">
        <f>IFERROR(Calculations!AV133,"")</f>
        <v/>
      </c>
      <c r="AD135" s="8" t="str">
        <f>IFERROR(Calculations!AW133,"")</f>
        <v/>
      </c>
      <c r="AE135" s="8" t="str">
        <f>IFERROR(Calculations!AX133,"")</f>
        <v/>
      </c>
      <c r="AF135" s="8">
        <f>IFERROR(IF(Calculations!AY133 &lt;&gt; 0, Calculations!AY133, ""),"")</f>
        <v>14819.522837297234</v>
      </c>
      <c r="AG135" s="42">
        <f>IFERROR(IF(Calculations!AZ133 &lt;&gt; 0, Calculations!AZ133, ""),"")</f>
        <v>-3.5107008133365918</v>
      </c>
      <c r="AH135" s="1">
        <f t="shared" si="6"/>
        <v>45</v>
      </c>
      <c r="AI135" s="1">
        <f t="shared" si="7"/>
        <v>650</v>
      </c>
      <c r="AJ135" s="89"/>
      <c r="AK135" s="89"/>
      <c r="AL135" s="89"/>
      <c r="AM135" s="89"/>
      <c r="AN135" s="8" t="str">
        <f>IFERROR(Calculations!BJ133, "")</f>
        <v/>
      </c>
      <c r="AO135" s="8" t="str">
        <f>IFERROR(Calculations!BK133, "")</f>
        <v/>
      </c>
      <c r="AP135" s="8">
        <f>IFERROR(Calculations!BL133, "")</f>
        <v>13.426291997204174</v>
      </c>
      <c r="AQ135" s="8">
        <f>IFERROR(Calculations!BM133, "")</f>
        <v>30.007645850896974</v>
      </c>
      <c r="AR135" s="8" t="str">
        <f>IFERROR(Calculations!BN133, "")</f>
        <v/>
      </c>
      <c r="AS135" s="8" t="str">
        <f>IFERROR(Calculations!BO133, "")</f>
        <v/>
      </c>
      <c r="AT135" s="8" t="str">
        <f>IFERROR(Calculations!BP133, "")</f>
        <v/>
      </c>
      <c r="AU135" s="8" t="str">
        <f>IFERROR(Calculations!BQ133, "")</f>
        <v/>
      </c>
      <c r="AV135" s="8" t="str">
        <f>IFERROR(Calculations!BR133, "")</f>
        <v/>
      </c>
      <c r="AW135" s="89"/>
      <c r="AX135" s="89"/>
      <c r="AY135" s="89"/>
      <c r="AZ135" s="89"/>
      <c r="BA135" s="8" t="str">
        <f>IFERROR(Calculations!BW133, "")</f>
        <v/>
      </c>
      <c r="BB135" s="8" t="str">
        <f>IFERROR(Calculations!BX133, "")</f>
        <v/>
      </c>
      <c r="BC135" s="8" t="str">
        <f>IFERROR(Calculations!BY133, "")</f>
        <v/>
      </c>
      <c r="BD135" s="8">
        <f>IFERROR(Calculations!BZ133, "")</f>
        <v>0</v>
      </c>
      <c r="BE135" s="8">
        <f>IFERROR(Calculations!CA133, "")</f>
        <v>31.2423444840705</v>
      </c>
      <c r="BF135" s="8" t="str">
        <f>IFERROR(Calculations!CB133, "")</f>
        <v/>
      </c>
      <c r="BG135" s="8" t="str">
        <f>IFERROR(Calculations!CC133, "")</f>
        <v/>
      </c>
      <c r="BH135" s="8" t="str">
        <f>IFERROR(Calculations!CD133, "")</f>
        <v/>
      </c>
      <c r="BI135" s="8" t="str">
        <f>IFERROR(Calculations!CE133, "")</f>
        <v/>
      </c>
      <c r="BJ135" s="8">
        <f>IFERROR(IF(Calculations!CF133 &lt;&gt; 0, Calculations!CF133, ""),"")</f>
        <v>-12.191593364030652</v>
      </c>
      <c r="BK135" s="1">
        <f t="shared" si="8"/>
        <v>650</v>
      </c>
      <c r="BL135" s="1">
        <f t="shared" si="9"/>
        <v>45</v>
      </c>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8"/>
      <c r="DK135" s="8"/>
      <c r="DL135" s="8"/>
      <c r="DM135" s="8"/>
      <c r="DN135" s="8"/>
      <c r="DO135" s="8"/>
      <c r="DP135" s="8"/>
      <c r="DQ135" s="8"/>
      <c r="DR135" s="8"/>
      <c r="DS135" s="8"/>
      <c r="DT135" s="8"/>
      <c r="DU135" s="8"/>
      <c r="DV135" s="8"/>
      <c r="DW135" s="8"/>
      <c r="DX135" s="8"/>
      <c r="DY135" s="8"/>
      <c r="DZ135" s="8"/>
      <c r="EA135" s="8"/>
    </row>
    <row r="136" spans="2:131" x14ac:dyDescent="0.2">
      <c r="B136" s="1">
        <f>IFERROR(Calculations!M134/1000, "")</f>
        <v>45</v>
      </c>
      <c r="C136" s="1">
        <f>Calculations!N134</f>
        <v>700</v>
      </c>
      <c r="D136" s="58">
        <f>IFERROR(Calculations!$Q134,"")</f>
        <v>1.3283856884253029</v>
      </c>
      <c r="E136" s="8">
        <f>IFERROR(Calculations!$S134, "")</f>
        <v>26.748188510368365</v>
      </c>
      <c r="F136" s="89"/>
      <c r="G136" s="89"/>
      <c r="H136" s="89"/>
      <c r="I136" s="89"/>
      <c r="J136" s="1" t="str">
        <f>IFERROR(Calculations!AC134, "")</f>
        <v/>
      </c>
      <c r="K136" s="1" t="str">
        <f>IFERROR(Calculations!AD134, "")</f>
        <v/>
      </c>
      <c r="L136" s="8">
        <f>IFERROR(Calculations!AE134,"")</f>
        <v>-57409.797032416755</v>
      </c>
      <c r="M136" s="8">
        <f>IFERROR(Calculations!AF134,"")</f>
        <v>-87354.348211740347</v>
      </c>
      <c r="N136" s="8" t="str">
        <f>IFERROR(Calculations!AG134,"")</f>
        <v/>
      </c>
      <c r="O136" s="8" t="str">
        <f>IFERROR(Calculations!AH134,"")</f>
        <v/>
      </c>
      <c r="P136" s="8" t="str">
        <f>IFERROR(Calculations!AI134,"")</f>
        <v/>
      </c>
      <c r="Q136" s="8" t="str">
        <f>IFERROR(Calculations!AJ134,"")</f>
        <v/>
      </c>
      <c r="R136" s="8" t="str">
        <f>IFERROR(Calculations!AK134,"")</f>
        <v/>
      </c>
      <c r="S136" s="89"/>
      <c r="T136" s="89"/>
      <c r="U136" s="89"/>
      <c r="V136" s="89"/>
      <c r="W136" s="1" t="str">
        <f>IFERROR(Calculations!AP134, "")</f>
        <v/>
      </c>
      <c r="X136" s="1" t="str">
        <f>IFERROR(Calculations!AQ134, "")</f>
        <v/>
      </c>
      <c r="Y136" s="8" t="str">
        <f>IFERROR(Calculations!AR134,"")</f>
        <v/>
      </c>
      <c r="Z136" s="8">
        <f>IFERROR(Calculations!AS134,"")</f>
        <v>0</v>
      </c>
      <c r="AA136" s="8">
        <f>IFERROR(Calculations!AT134,"")</f>
        <v>-127866.68814709866</v>
      </c>
      <c r="AB136" s="8" t="str">
        <f>IFERROR(Calculations!AU134,"")</f>
        <v/>
      </c>
      <c r="AC136" s="8" t="str">
        <f>IFERROR(Calculations!AV134,"")</f>
        <v/>
      </c>
      <c r="AD136" s="8" t="str">
        <f>IFERROR(Calculations!AW134,"")</f>
        <v/>
      </c>
      <c r="AE136" s="8" t="str">
        <f>IFERROR(Calculations!AX134,"")</f>
        <v/>
      </c>
      <c r="AF136" s="8">
        <f>IFERROR(IF(Calculations!AY134 &lt;&gt; 0, Calculations!AY134, ""),"")</f>
        <v>16897.457097058461</v>
      </c>
      <c r="AG136" s="42">
        <f>IFERROR(IF(Calculations!AZ134 &lt;&gt; 0, Calculations!AZ134, ""),"")</f>
        <v>-3.7972871446009129</v>
      </c>
      <c r="AH136" s="1">
        <f t="shared" si="6"/>
        <v>45</v>
      </c>
      <c r="AI136" s="1">
        <f t="shared" si="7"/>
        <v>700</v>
      </c>
      <c r="AJ136" s="89"/>
      <c r="AK136" s="89"/>
      <c r="AL136" s="89"/>
      <c r="AM136" s="89"/>
      <c r="AN136" s="8" t="str">
        <f>IFERROR(Calculations!BJ134, "")</f>
        <v/>
      </c>
      <c r="AO136" s="8" t="str">
        <f>IFERROR(Calculations!BK134, "")</f>
        <v/>
      </c>
      <c r="AP136" s="8">
        <f>IFERROR(Calculations!BL134, "")</f>
        <v>13.561784169291753</v>
      </c>
      <c r="AQ136" s="8">
        <f>IFERROR(Calculations!BM134, "")</f>
        <v>30.036761675402293</v>
      </c>
      <c r="AR136" s="8" t="str">
        <f>IFERROR(Calculations!BN134, "")</f>
        <v/>
      </c>
      <c r="AS136" s="8" t="str">
        <f>IFERROR(Calculations!BO134, "")</f>
        <v/>
      </c>
      <c r="AT136" s="8" t="str">
        <f>IFERROR(Calculations!BP134, "")</f>
        <v/>
      </c>
      <c r="AU136" s="8" t="str">
        <f>IFERROR(Calculations!BQ134, "")</f>
        <v/>
      </c>
      <c r="AV136" s="8" t="str">
        <f>IFERROR(Calculations!BR134, "")</f>
        <v/>
      </c>
      <c r="AW136" s="89"/>
      <c r="AX136" s="89"/>
      <c r="AY136" s="89"/>
      <c r="AZ136" s="89"/>
      <c r="BA136" s="8" t="str">
        <f>IFERROR(Calculations!BW134, "")</f>
        <v/>
      </c>
      <c r="BB136" s="8" t="str">
        <f>IFERROR(Calculations!BX134, "")</f>
        <v/>
      </c>
      <c r="BC136" s="8" t="str">
        <f>IFERROR(Calculations!BY134, "")</f>
        <v/>
      </c>
      <c r="BD136" s="8">
        <f>IFERROR(Calculations!BZ134, "")</f>
        <v>0</v>
      </c>
      <c r="BE136" s="8">
        <f>IFERROR(Calculations!CA134, "")</f>
        <v>31.181402981668576</v>
      </c>
      <c r="BF136" s="8" t="str">
        <f>IFERROR(Calculations!CB134, "")</f>
        <v/>
      </c>
      <c r="BG136" s="8" t="str">
        <f>IFERROR(Calculations!CC134, "")</f>
        <v/>
      </c>
      <c r="BH136" s="8" t="str">
        <f>IFERROR(Calculations!CD134, "")</f>
        <v/>
      </c>
      <c r="BI136" s="8" t="str">
        <f>IFERROR(Calculations!CE134, "")</f>
        <v/>
      </c>
      <c r="BJ136" s="8">
        <f>IFERROR(IF(Calculations!CF134 &lt;&gt; 0, Calculations!CF134, ""),"")</f>
        <v>-12.417142863025468</v>
      </c>
      <c r="BK136" s="1">
        <f t="shared" si="8"/>
        <v>700</v>
      </c>
      <c r="BL136" s="1">
        <f t="shared" si="9"/>
        <v>45</v>
      </c>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8"/>
      <c r="DK136" s="8"/>
      <c r="DL136" s="8"/>
      <c r="DM136" s="8"/>
      <c r="DN136" s="8"/>
      <c r="DO136" s="8"/>
      <c r="DP136" s="8"/>
      <c r="DQ136" s="8"/>
      <c r="DR136" s="8"/>
      <c r="DS136" s="8"/>
      <c r="DT136" s="8"/>
      <c r="DU136" s="8"/>
      <c r="DV136" s="8"/>
      <c r="DW136" s="8"/>
      <c r="DX136" s="8"/>
      <c r="DY136" s="8"/>
      <c r="DZ136" s="8"/>
      <c r="EA136" s="8"/>
    </row>
    <row r="137" spans="2:131" x14ac:dyDescent="0.2">
      <c r="B137" s="1">
        <f>IFERROR(Calculations!M135/1000, "")</f>
        <v>45</v>
      </c>
      <c r="C137" s="1">
        <f>Calculations!N135</f>
        <v>750</v>
      </c>
      <c r="D137" s="58">
        <f>IFERROR(Calculations!$Q135,"")</f>
        <v>1.3152064091247322</v>
      </c>
      <c r="E137" s="8">
        <f>IFERROR(Calculations!$S135, "")</f>
        <v>24.529816945316096</v>
      </c>
      <c r="F137" s="89"/>
      <c r="G137" s="89"/>
      <c r="H137" s="89"/>
      <c r="I137" s="89"/>
      <c r="J137" s="1" t="str">
        <f>IFERROR(Calculations!AC135, "")</f>
        <v/>
      </c>
      <c r="K137" s="1" t="str">
        <f>IFERROR(Calculations!AD135, "")</f>
        <v/>
      </c>
      <c r="L137" s="8">
        <f>IFERROR(Calculations!AE135,"")</f>
        <v>-58908.065027467484</v>
      </c>
      <c r="M137" s="8">
        <f>IFERROR(Calculations!AF135,"")</f>
        <v>-89719.274515763493</v>
      </c>
      <c r="N137" s="8" t="str">
        <f>IFERROR(Calculations!AG135,"")</f>
        <v/>
      </c>
      <c r="O137" s="8" t="str">
        <f>IFERROR(Calculations!AH135,"")</f>
        <v/>
      </c>
      <c r="P137" s="8" t="str">
        <f>IFERROR(Calculations!AI135,"")</f>
        <v/>
      </c>
      <c r="Q137" s="8" t="str">
        <f>IFERROR(Calculations!AJ135,"")</f>
        <v/>
      </c>
      <c r="R137" s="8" t="str">
        <f>IFERROR(Calculations!AK135,"")</f>
        <v/>
      </c>
      <c r="S137" s="89"/>
      <c r="T137" s="89"/>
      <c r="U137" s="89"/>
      <c r="V137" s="89"/>
      <c r="W137" s="1" t="str">
        <f>IFERROR(Calculations!AP135, "")</f>
        <v/>
      </c>
      <c r="X137" s="1" t="str">
        <f>IFERROR(Calculations!AQ135, "")</f>
        <v/>
      </c>
      <c r="Y137" s="8" t="str">
        <f>IFERROR(Calculations!AR135,"")</f>
        <v/>
      </c>
      <c r="Z137" s="8">
        <f>IFERROR(Calculations!AS135,"")</f>
        <v>0</v>
      </c>
      <c r="AA137" s="8">
        <f>IFERROR(Calculations!AT135,"")</f>
        <v>-129577.16452905376</v>
      </c>
      <c r="AB137" s="8" t="str">
        <f>IFERROR(Calculations!AU135,"")</f>
        <v/>
      </c>
      <c r="AC137" s="8" t="str">
        <f>IFERROR(Calculations!AV135,"")</f>
        <v/>
      </c>
      <c r="AD137" s="8" t="str">
        <f>IFERROR(Calculations!AW135,"")</f>
        <v/>
      </c>
      <c r="AE137" s="8" t="str">
        <f>IFERROR(Calculations!AX135,"")</f>
        <v/>
      </c>
      <c r="AF137" s="8">
        <f>IFERROR(IF(Calculations!AY135 &lt;&gt; 0, Calculations!AY135, ""),"")</f>
        <v>19050.175014177221</v>
      </c>
      <c r="AG137" s="42">
        <f>IFERROR(IF(Calculations!AZ135 &lt;&gt; 0, Calculations!AZ135, ""),"")</f>
        <v>-4.0718477865259928</v>
      </c>
      <c r="AH137" s="1">
        <f t="shared" ref="AH137:AH200" si="10">$B137</f>
        <v>45</v>
      </c>
      <c r="AI137" s="1">
        <f t="shared" ref="AI137:AI200" si="11">$C137</f>
        <v>750</v>
      </c>
      <c r="AJ137" s="89"/>
      <c r="AK137" s="89"/>
      <c r="AL137" s="89"/>
      <c r="AM137" s="89"/>
      <c r="AN137" s="8" t="str">
        <f>IFERROR(Calculations!BJ135, "")</f>
        <v/>
      </c>
      <c r="AO137" s="8" t="str">
        <f>IFERROR(Calculations!BK135, "")</f>
        <v/>
      </c>
      <c r="AP137" s="8">
        <f>IFERROR(Calculations!BL135, "")</f>
        <v>13.697682641304297</v>
      </c>
      <c r="AQ137" s="8">
        <f>IFERROR(Calculations!BM135, "")</f>
        <v>30.067641152890303</v>
      </c>
      <c r="AR137" s="8" t="str">
        <f>IFERROR(Calculations!BN135, "")</f>
        <v/>
      </c>
      <c r="AS137" s="8" t="str">
        <f>IFERROR(Calculations!BO135, "")</f>
        <v/>
      </c>
      <c r="AT137" s="8" t="str">
        <f>IFERROR(Calculations!BP135, "")</f>
        <v/>
      </c>
      <c r="AU137" s="8" t="str">
        <f>IFERROR(Calculations!BQ135, "")</f>
        <v/>
      </c>
      <c r="AV137" s="8" t="str">
        <f>IFERROR(Calculations!BR135, "")</f>
        <v/>
      </c>
      <c r="AW137" s="89"/>
      <c r="AX137" s="89"/>
      <c r="AY137" s="89"/>
      <c r="AZ137" s="89"/>
      <c r="BA137" s="8" t="str">
        <f>IFERROR(Calculations!BW135, "")</f>
        <v/>
      </c>
      <c r="BB137" s="8" t="str">
        <f>IFERROR(Calculations!BX135, "")</f>
        <v/>
      </c>
      <c r="BC137" s="8" t="str">
        <f>IFERROR(Calculations!BY135, "")</f>
        <v/>
      </c>
      <c r="BD137" s="8">
        <f>IFERROR(Calculations!BZ135, "")</f>
        <v>0</v>
      </c>
      <c r="BE137" s="8">
        <f>IFERROR(Calculations!CA135, "")</f>
        <v>31.119490540185055</v>
      </c>
      <c r="BF137" s="8" t="str">
        <f>IFERROR(Calculations!CB135, "")</f>
        <v/>
      </c>
      <c r="BG137" s="8" t="str">
        <f>IFERROR(Calculations!CC135, "")</f>
        <v/>
      </c>
      <c r="BH137" s="8" t="str">
        <f>IFERROR(Calculations!CD135, "")</f>
        <v/>
      </c>
      <c r="BI137" s="8" t="str">
        <f>IFERROR(Calculations!CE135, "")</f>
        <v/>
      </c>
      <c r="BJ137" s="8">
        <f>IFERROR(IF(Calculations!CF135 &lt;&gt; 0, Calculations!CF135, ""),"")</f>
        <v>-12.645833254009545</v>
      </c>
      <c r="BK137" s="1">
        <f t="shared" ref="BK137:BK200" si="12">$C137</f>
        <v>750</v>
      </c>
      <c r="BL137" s="1">
        <f t="shared" ref="BL137:BL200" si="13">$B137</f>
        <v>45</v>
      </c>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8"/>
      <c r="DK137" s="8"/>
      <c r="DL137" s="8"/>
      <c r="DM137" s="8"/>
      <c r="DN137" s="8"/>
      <c r="DO137" s="8"/>
      <c r="DP137" s="8"/>
      <c r="DQ137" s="8"/>
      <c r="DR137" s="8"/>
      <c r="DS137" s="8"/>
      <c r="DT137" s="8"/>
      <c r="DU137" s="8"/>
      <c r="DV137" s="8"/>
      <c r="DW137" s="8"/>
      <c r="DX137" s="8"/>
      <c r="DY137" s="8"/>
      <c r="DZ137" s="8"/>
      <c r="EA137" s="8"/>
    </row>
    <row r="138" spans="2:131" x14ac:dyDescent="0.2">
      <c r="B138" s="1">
        <f>IFERROR(Calculations!M136/1000, "")</f>
        <v>45</v>
      </c>
      <c r="C138" s="1">
        <f>Calculations!N136</f>
        <v>800</v>
      </c>
      <c r="D138" s="58">
        <f>IFERROR(Calculations!$Q136,"")</f>
        <v>1.3022628652513029</v>
      </c>
      <c r="E138" s="8">
        <f>IFERROR(Calculations!$S136, "")</f>
        <v>22.539811331128799</v>
      </c>
      <c r="F138" s="89"/>
      <c r="G138" s="89"/>
      <c r="H138" s="89"/>
      <c r="I138" s="89"/>
      <c r="J138" s="1" t="str">
        <f>IFERROR(Calculations!AC136, "")</f>
        <v/>
      </c>
      <c r="K138" s="1" t="str">
        <f>IFERROR(Calculations!AD136, "")</f>
        <v/>
      </c>
      <c r="L138" s="8">
        <f>IFERROR(Calculations!AE136,"")</f>
        <v>-60431.439765341944</v>
      </c>
      <c r="M138" s="8">
        <f>IFERROR(Calculations!AF136,"")</f>
        <v>-92122.488012736139</v>
      </c>
      <c r="N138" s="8" t="str">
        <f>IFERROR(Calculations!AG136,"")</f>
        <v/>
      </c>
      <c r="O138" s="8" t="str">
        <f>IFERROR(Calculations!AH136,"")</f>
        <v/>
      </c>
      <c r="P138" s="8" t="str">
        <f>IFERROR(Calculations!AI136,"")</f>
        <v/>
      </c>
      <c r="Q138" s="8" t="str">
        <f>IFERROR(Calculations!AJ136,"")</f>
        <v/>
      </c>
      <c r="R138" s="8" t="str">
        <f>IFERROR(Calculations!AK136,"")</f>
        <v/>
      </c>
      <c r="S138" s="89"/>
      <c r="T138" s="89"/>
      <c r="U138" s="89"/>
      <c r="V138" s="89"/>
      <c r="W138" s="1" t="str">
        <f>IFERROR(Calculations!AP136, "")</f>
        <v/>
      </c>
      <c r="X138" s="1" t="str">
        <f>IFERROR(Calculations!AQ136, "")</f>
        <v/>
      </c>
      <c r="Y138" s="8" t="str">
        <f>IFERROR(Calculations!AR136,"")</f>
        <v/>
      </c>
      <c r="Z138" s="8">
        <f>IFERROR(Calculations!AS136,"")</f>
        <v>0</v>
      </c>
      <c r="AA138" s="8">
        <f>IFERROR(Calculations!AT136,"")</f>
        <v>-131287.14405777428</v>
      </c>
      <c r="AB138" s="8" t="str">
        <f>IFERROR(Calculations!AU136,"")</f>
        <v/>
      </c>
      <c r="AC138" s="8" t="str">
        <f>IFERROR(Calculations!AV136,"")</f>
        <v/>
      </c>
      <c r="AD138" s="8" t="str">
        <f>IFERROR(Calculations!AW136,"")</f>
        <v/>
      </c>
      <c r="AE138" s="8" t="str">
        <f>IFERROR(Calculations!AX136,"")</f>
        <v/>
      </c>
      <c r="AF138" s="8">
        <f>IFERROR(IF(Calculations!AY136 &lt;&gt; 0, Calculations!AY136, ""),"")</f>
        <v>21266.783720303793</v>
      </c>
      <c r="AG138" s="42">
        <f>IFERROR(IF(Calculations!AZ136 &lt;&gt; 0, Calculations!AZ136, ""),"")</f>
        <v>-4.3338438357394287</v>
      </c>
      <c r="AH138" s="1">
        <f t="shared" si="10"/>
        <v>45</v>
      </c>
      <c r="AI138" s="1">
        <f t="shared" si="11"/>
        <v>800</v>
      </c>
      <c r="AJ138" s="89"/>
      <c r="AK138" s="89"/>
      <c r="AL138" s="89"/>
      <c r="AM138" s="89"/>
      <c r="AN138" s="8" t="str">
        <f>IFERROR(Calculations!BJ136, "")</f>
        <v/>
      </c>
      <c r="AO138" s="8" t="str">
        <f>IFERROR(Calculations!BK136, "")</f>
        <v/>
      </c>
      <c r="AP138" s="8">
        <f>IFERROR(Calculations!BL136, "")</f>
        <v>13.833827624750338</v>
      </c>
      <c r="AQ138" s="8">
        <f>IFERROR(Calculations!BM136, "")</f>
        <v>30.099971475399656</v>
      </c>
      <c r="AR138" s="8" t="str">
        <f>IFERROR(Calculations!BN136, "")</f>
        <v/>
      </c>
      <c r="AS138" s="8" t="str">
        <f>IFERROR(Calculations!BO136, "")</f>
        <v/>
      </c>
      <c r="AT138" s="8" t="str">
        <f>IFERROR(Calculations!BP136, "")</f>
        <v/>
      </c>
      <c r="AU138" s="8" t="str">
        <f>IFERROR(Calculations!BQ136, "")</f>
        <v/>
      </c>
      <c r="AV138" s="8" t="str">
        <f>IFERROR(Calculations!BR136, "")</f>
        <v/>
      </c>
      <c r="AW138" s="89"/>
      <c r="AX138" s="89"/>
      <c r="AY138" s="89"/>
      <c r="AZ138" s="89"/>
      <c r="BA138" s="8" t="str">
        <f>IFERROR(Calculations!BW136, "")</f>
        <v/>
      </c>
      <c r="BB138" s="8" t="str">
        <f>IFERROR(Calculations!BX136, "")</f>
        <v/>
      </c>
      <c r="BC138" s="8" t="str">
        <f>IFERROR(Calculations!BY136, "")</f>
        <v/>
      </c>
      <c r="BD138" s="8">
        <f>IFERROR(Calculations!BZ136, "")</f>
        <v>0</v>
      </c>
      <c r="BE138" s="8">
        <f>IFERROR(Calculations!CA136, "")</f>
        <v>31.056779149299057</v>
      </c>
      <c r="BF138" s="8" t="str">
        <f>IFERROR(Calculations!CB136, "")</f>
        <v/>
      </c>
      <c r="BG138" s="8" t="str">
        <f>IFERROR(Calculations!CC136, "")</f>
        <v/>
      </c>
      <c r="BH138" s="8" t="str">
        <f>IFERROR(Calculations!CD136, "")</f>
        <v/>
      </c>
      <c r="BI138" s="8" t="str">
        <f>IFERROR(Calculations!CE136, "")</f>
        <v/>
      </c>
      <c r="BJ138" s="8">
        <f>IFERROR(IF(Calculations!CF136 &lt;&gt; 0, Calculations!CF136, ""),"")</f>
        <v>-12.87701995085094</v>
      </c>
      <c r="BK138" s="1">
        <f t="shared" si="12"/>
        <v>800</v>
      </c>
      <c r="BL138" s="1">
        <f t="shared" si="13"/>
        <v>45</v>
      </c>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8"/>
      <c r="DK138" s="8"/>
      <c r="DL138" s="8"/>
      <c r="DM138" s="8"/>
      <c r="DN138" s="8"/>
      <c r="DO138" s="8"/>
      <c r="DP138" s="8"/>
      <c r="DQ138" s="8"/>
      <c r="DR138" s="8"/>
      <c r="DS138" s="8"/>
      <c r="DT138" s="8"/>
      <c r="DU138" s="8"/>
      <c r="DV138" s="8"/>
      <c r="DW138" s="8"/>
      <c r="DX138" s="8"/>
      <c r="DY138" s="8"/>
      <c r="DZ138" s="8"/>
      <c r="EA138" s="8"/>
    </row>
    <row r="139" spans="2:131" x14ac:dyDescent="0.2">
      <c r="B139" s="1">
        <f>IFERROR(Calculations!M137/1000, "")</f>
        <v>45</v>
      </c>
      <c r="C139" s="1">
        <f>Calculations!N137</f>
        <v>850</v>
      </c>
      <c r="D139" s="58">
        <f>IFERROR(Calculations!$Q137,"")</f>
        <v>1.2895635504329206</v>
      </c>
      <c r="E139" s="8">
        <f>IFERROR(Calculations!$S137, "")</f>
        <v>20.750586916777987</v>
      </c>
      <c r="F139" s="89"/>
      <c r="G139" s="89"/>
      <c r="H139" s="89"/>
      <c r="I139" s="89"/>
      <c r="J139" s="1" t="str">
        <f>IFERROR(Calculations!AC137, "")</f>
        <v/>
      </c>
      <c r="K139" s="1" t="str">
        <f>IFERROR(Calculations!AD137, "")</f>
        <v/>
      </c>
      <c r="L139" s="8">
        <f>IFERROR(Calculations!AE137,"")</f>
        <v>-62002.790356683356</v>
      </c>
      <c r="M139" s="8">
        <f>IFERROR(Calculations!AF137,"")</f>
        <v>-94563.711285469253</v>
      </c>
      <c r="N139" s="8" t="str">
        <f>IFERROR(Calculations!AG137,"")</f>
        <v/>
      </c>
      <c r="O139" s="8" t="str">
        <f>IFERROR(Calculations!AH137,"")</f>
        <v/>
      </c>
      <c r="P139" s="8" t="str">
        <f>IFERROR(Calculations!AI137,"")</f>
        <v/>
      </c>
      <c r="Q139" s="8" t="str">
        <f>IFERROR(Calculations!AJ137,"")</f>
        <v/>
      </c>
      <c r="R139" s="8" t="str">
        <f>IFERROR(Calculations!AK137,"")</f>
        <v/>
      </c>
      <c r="S139" s="89"/>
      <c r="T139" s="89"/>
      <c r="U139" s="89"/>
      <c r="V139" s="89"/>
      <c r="W139" s="1" t="str">
        <f>IFERROR(Calculations!AP137, "")</f>
        <v/>
      </c>
      <c r="X139" s="1" t="str">
        <f>IFERROR(Calculations!AQ137, "")</f>
        <v/>
      </c>
      <c r="Y139" s="8" t="str">
        <f>IFERROR(Calculations!AR137,"")</f>
        <v/>
      </c>
      <c r="Z139" s="8">
        <f>IFERROR(Calculations!AS137,"")</f>
        <v>0</v>
      </c>
      <c r="AA139" s="8">
        <f>IFERROR(Calculations!AT137,"")</f>
        <v>-132994.28470609718</v>
      </c>
      <c r="AB139" s="8" t="str">
        <f>IFERROR(Calculations!AU137,"")</f>
        <v/>
      </c>
      <c r="AC139" s="8" t="str">
        <f>IFERROR(Calculations!AV137,"")</f>
        <v/>
      </c>
      <c r="AD139" s="8" t="str">
        <f>IFERROR(Calculations!AW137,"")</f>
        <v/>
      </c>
      <c r="AE139" s="8" t="str">
        <f>IFERROR(Calculations!AX137,"")</f>
        <v/>
      </c>
      <c r="AF139" s="8">
        <f>IFERROR(IF(Calculations!AY137 &lt;&gt; 0, Calculations!AY137, ""),"")</f>
        <v>23572.216936055425</v>
      </c>
      <c r="AG139" s="42">
        <f>IFERROR(IF(Calculations!AZ137 &lt;&gt; 0, Calculations!AZ137, ""),"")</f>
        <v>-4.5898082409073426</v>
      </c>
      <c r="AH139" s="1">
        <f t="shared" si="10"/>
        <v>45</v>
      </c>
      <c r="AI139" s="1">
        <f t="shared" si="11"/>
        <v>850</v>
      </c>
      <c r="AJ139" s="89"/>
      <c r="AK139" s="89"/>
      <c r="AL139" s="89"/>
      <c r="AM139" s="89"/>
      <c r="AN139" s="8" t="str">
        <f>IFERROR(Calculations!BJ137, "")</f>
        <v/>
      </c>
      <c r="AO139" s="8" t="str">
        <f>IFERROR(Calculations!BK137, "")</f>
        <v/>
      </c>
      <c r="AP139" s="8">
        <f>IFERROR(Calculations!BL137, "")</f>
        <v>13.970059865566203</v>
      </c>
      <c r="AQ139" s="8">
        <f>IFERROR(Calculations!BM137, "")</f>
        <v>30.133471772560302</v>
      </c>
      <c r="AR139" s="8" t="str">
        <f>IFERROR(Calculations!BN137, "")</f>
        <v/>
      </c>
      <c r="AS139" s="8" t="str">
        <f>IFERROR(Calculations!BO137, "")</f>
        <v/>
      </c>
      <c r="AT139" s="8" t="str">
        <f>IFERROR(Calculations!BP137, "")</f>
        <v/>
      </c>
      <c r="AU139" s="8" t="str">
        <f>IFERROR(Calculations!BQ137, "")</f>
        <v/>
      </c>
      <c r="AV139" s="8" t="str">
        <f>IFERROR(Calculations!BR137, "")</f>
        <v/>
      </c>
      <c r="AW139" s="89"/>
      <c r="AX139" s="89"/>
      <c r="AY139" s="89"/>
      <c r="AZ139" s="89"/>
      <c r="BA139" s="8" t="str">
        <f>IFERROR(Calculations!BW137, "")</f>
        <v/>
      </c>
      <c r="BB139" s="8" t="str">
        <f>IFERROR(Calculations!BX137, "")</f>
        <v/>
      </c>
      <c r="BC139" s="8" t="str">
        <f>IFERROR(Calculations!BY137, "")</f>
        <v/>
      </c>
      <c r="BD139" s="8">
        <f>IFERROR(Calculations!BZ137, "")</f>
        <v>0</v>
      </c>
      <c r="BE139" s="8">
        <f>IFERROR(Calculations!CA137, "")</f>
        <v>30.993462776900085</v>
      </c>
      <c r="BF139" s="8" t="str">
        <f>IFERROR(Calculations!CB137, "")</f>
        <v/>
      </c>
      <c r="BG139" s="8" t="str">
        <f>IFERROR(Calculations!CC137, "")</f>
        <v/>
      </c>
      <c r="BH139" s="8" t="str">
        <f>IFERROR(Calculations!CD137, "")</f>
        <v/>
      </c>
      <c r="BI139" s="8" t="str">
        <f>IFERROR(Calculations!CE137, "")</f>
        <v/>
      </c>
      <c r="BJ139" s="8">
        <f>IFERROR(IF(Calculations!CF137 &lt;&gt; 0, Calculations!CF137, ""),"")</f>
        <v>-13.11006886122642</v>
      </c>
      <c r="BK139" s="1">
        <f t="shared" si="12"/>
        <v>850</v>
      </c>
      <c r="BL139" s="1">
        <f t="shared" si="13"/>
        <v>45</v>
      </c>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8"/>
      <c r="DJ139" s="8"/>
      <c r="DK139" s="8"/>
      <c r="DL139" s="8"/>
      <c r="DM139" s="8"/>
      <c r="DN139" s="8"/>
      <c r="DO139" s="8"/>
      <c r="DP139" s="8"/>
      <c r="DQ139" s="8"/>
      <c r="DR139" s="8"/>
      <c r="DS139" s="8"/>
      <c r="DT139" s="8"/>
      <c r="DU139" s="8"/>
      <c r="DV139" s="8"/>
      <c r="DW139" s="8"/>
      <c r="DX139" s="8"/>
      <c r="DY139" s="8"/>
      <c r="DZ139" s="8"/>
      <c r="EA139" s="8"/>
    </row>
    <row r="140" spans="2:131" x14ac:dyDescent="0.2">
      <c r="B140" s="1">
        <f>IFERROR(Calculations!M138/1000, "")</f>
        <v>45</v>
      </c>
      <c r="C140" s="1">
        <f>Calculations!N138</f>
        <v>900</v>
      </c>
      <c r="D140" s="58">
        <f>IFERROR(Calculations!$Q138,"")</f>
        <v>1.2771150211542843</v>
      </c>
      <c r="E140" s="8">
        <f>IFERROR(Calculations!$S138, "")</f>
        <v>19.138469750433597</v>
      </c>
      <c r="F140" s="89"/>
      <c r="G140" s="89"/>
      <c r="H140" s="89"/>
      <c r="I140" s="89"/>
      <c r="J140" s="1" t="str">
        <f>IFERROR(Calculations!AC138, "")</f>
        <v/>
      </c>
      <c r="K140" s="1" t="str">
        <f>IFERROR(Calculations!AD138, "")</f>
        <v/>
      </c>
      <c r="L140" s="8">
        <f>IFERROR(Calculations!AE138,"")</f>
        <v>-63630.111198218081</v>
      </c>
      <c r="M140" s="8">
        <f>IFERROR(Calculations!AF138,"")</f>
        <v>-97042.713261471654</v>
      </c>
      <c r="N140" s="8" t="str">
        <f>IFERROR(Calculations!AG138,"")</f>
        <v/>
      </c>
      <c r="O140" s="8" t="str">
        <f>IFERROR(Calculations!AH138,"")</f>
        <v/>
      </c>
      <c r="P140" s="8" t="str">
        <f>IFERROR(Calculations!AI138,"")</f>
        <v/>
      </c>
      <c r="Q140" s="8" t="str">
        <f>IFERROR(Calculations!AJ138,"")</f>
        <v/>
      </c>
      <c r="R140" s="8" t="str">
        <f>IFERROR(Calculations!AK138,"")</f>
        <v/>
      </c>
      <c r="S140" s="89"/>
      <c r="T140" s="89"/>
      <c r="U140" s="89"/>
      <c r="V140" s="89"/>
      <c r="W140" s="1" t="str">
        <f>IFERROR(Calculations!AP138, "")</f>
        <v/>
      </c>
      <c r="X140" s="1" t="str">
        <f>IFERROR(Calculations!AQ138, "")</f>
        <v/>
      </c>
      <c r="Y140" s="8" t="str">
        <f>IFERROR(Calculations!AR138,"")</f>
        <v/>
      </c>
      <c r="Z140" s="8">
        <f>IFERROR(Calculations!AS138,"")</f>
        <v>0</v>
      </c>
      <c r="AA140" s="8">
        <f>IFERROR(Calculations!AT138,"")</f>
        <v>-134696.41308549876</v>
      </c>
      <c r="AB140" s="8" t="str">
        <f>IFERROR(Calculations!AU138,"")</f>
        <v/>
      </c>
      <c r="AC140" s="8" t="str">
        <f>IFERROR(Calculations!AV138,"")</f>
        <v/>
      </c>
      <c r="AD140" s="8" t="str">
        <f>IFERROR(Calculations!AW138,"")</f>
        <v/>
      </c>
      <c r="AE140" s="8" t="str">
        <f>IFERROR(Calculations!AX138,"")</f>
        <v/>
      </c>
      <c r="AF140" s="8">
        <f>IFERROR(IF(Calculations!AY138 &lt;&gt; 0, Calculations!AY138, ""),"")</f>
        <v>25976.411374190968</v>
      </c>
      <c r="AG140" s="42">
        <f>IFERROR(IF(Calculations!AZ138 &lt;&gt; 0, Calculations!AZ138, ""),"")</f>
        <v>-4.8423645549221845</v>
      </c>
      <c r="AH140" s="1">
        <f t="shared" si="10"/>
        <v>45</v>
      </c>
      <c r="AI140" s="1">
        <f t="shared" si="11"/>
        <v>900</v>
      </c>
      <c r="AJ140" s="89"/>
      <c r="AK140" s="89"/>
      <c r="AL140" s="89"/>
      <c r="AM140" s="89"/>
      <c r="AN140" s="8" t="str">
        <f>IFERROR(Calculations!BJ138, "")</f>
        <v/>
      </c>
      <c r="AO140" s="8" t="str">
        <f>IFERROR(Calculations!BK138, "")</f>
        <v/>
      </c>
      <c r="AP140" s="8">
        <f>IFERROR(Calculations!BL138, "")</f>
        <v>14.106231389963137</v>
      </c>
      <c r="AQ140" s="8">
        <f>IFERROR(Calculations!BM138, "")</f>
        <v>30.167881104706922</v>
      </c>
      <c r="AR140" s="8" t="str">
        <f>IFERROR(Calculations!BN138, "")</f>
        <v/>
      </c>
      <c r="AS140" s="8" t="str">
        <f>IFERROR(Calculations!BO138, "")</f>
        <v/>
      </c>
      <c r="AT140" s="8" t="str">
        <f>IFERROR(Calculations!BP138, "")</f>
        <v/>
      </c>
      <c r="AU140" s="8" t="str">
        <f>IFERROR(Calculations!BQ138, "")</f>
        <v/>
      </c>
      <c r="AV140" s="8" t="str">
        <f>IFERROR(Calculations!BR138, "")</f>
        <v/>
      </c>
      <c r="AW140" s="89"/>
      <c r="AX140" s="89"/>
      <c r="AY140" s="89"/>
      <c r="AZ140" s="89"/>
      <c r="BA140" s="8" t="str">
        <f>IFERROR(Calculations!BW138, "")</f>
        <v/>
      </c>
      <c r="BB140" s="8" t="str">
        <f>IFERROR(Calculations!BX138, "")</f>
        <v/>
      </c>
      <c r="BC140" s="8" t="str">
        <f>IFERROR(Calculations!BY138, "")</f>
        <v/>
      </c>
      <c r="BD140" s="8">
        <f>IFERROR(Calculations!BZ138, "")</f>
        <v>0</v>
      </c>
      <c r="BE140" s="8">
        <f>IFERROR(Calculations!CA138, "")</f>
        <v>30.929757220468534</v>
      </c>
      <c r="BF140" s="8" t="str">
        <f>IFERROR(Calculations!CB138, "")</f>
        <v/>
      </c>
      <c r="BG140" s="8" t="str">
        <f>IFERROR(Calculations!CC138, "")</f>
        <v/>
      </c>
      <c r="BH140" s="8" t="str">
        <f>IFERROR(Calculations!CD138, "")</f>
        <v/>
      </c>
      <c r="BI140" s="8" t="str">
        <f>IFERROR(Calculations!CE138, "")</f>
        <v/>
      </c>
      <c r="BJ140" s="8">
        <f>IFERROR(IF(Calculations!CF138 &lt;&gt; 0, Calculations!CF138, ""),"")</f>
        <v>-13.344355274201522</v>
      </c>
      <c r="BK140" s="1">
        <f t="shared" si="12"/>
        <v>900</v>
      </c>
      <c r="BL140" s="1">
        <f t="shared" si="13"/>
        <v>45</v>
      </c>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8"/>
      <c r="DI140" s="8"/>
      <c r="DJ140" s="8"/>
      <c r="DK140" s="8"/>
      <c r="DL140" s="8"/>
      <c r="DM140" s="8"/>
      <c r="DN140" s="8"/>
      <c r="DO140" s="8"/>
      <c r="DP140" s="8"/>
      <c r="DQ140" s="8"/>
      <c r="DR140" s="8"/>
      <c r="DS140" s="8"/>
      <c r="DT140" s="8"/>
      <c r="DU140" s="8"/>
      <c r="DV140" s="8"/>
      <c r="DW140" s="8"/>
      <c r="DX140" s="8"/>
      <c r="DY140" s="8"/>
      <c r="DZ140" s="8"/>
      <c r="EA140" s="8"/>
    </row>
    <row r="141" spans="2:131" x14ac:dyDescent="0.2">
      <c r="B141" s="1">
        <f>IFERROR(Calculations!M139/1000, "")</f>
        <v>45</v>
      </c>
      <c r="C141" s="1">
        <f>Calculations!N139</f>
        <v>950</v>
      </c>
      <c r="D141" s="58">
        <f>IFERROR(Calculations!$Q139,"")</f>
        <v>1.2649220457679036</v>
      </c>
      <c r="E141" s="8">
        <f>IFERROR(Calculations!$S139, "")</f>
        <v>17.683029550938564</v>
      </c>
      <c r="F141" s="89"/>
      <c r="G141" s="89"/>
      <c r="H141" s="89"/>
      <c r="I141" s="89"/>
      <c r="J141" s="1" t="str">
        <f>IFERROR(Calculations!AC139, "")</f>
        <v/>
      </c>
      <c r="K141" s="1" t="str">
        <f>IFERROR(Calculations!AD139, "")</f>
        <v/>
      </c>
      <c r="L141" s="8">
        <f>IFERROR(Calculations!AE139,"")</f>
        <v>-65263.26327274627</v>
      </c>
      <c r="M141" s="8">
        <f>IFERROR(Calculations!AF139,"")</f>
        <v>-99559.300690572578</v>
      </c>
      <c r="N141" s="8" t="str">
        <f>IFERROR(Calculations!AG139,"")</f>
        <v/>
      </c>
      <c r="O141" s="8" t="str">
        <f>IFERROR(Calculations!AH139,"")</f>
        <v/>
      </c>
      <c r="P141" s="8" t="str">
        <f>IFERROR(Calculations!AI139,"")</f>
        <v/>
      </c>
      <c r="Q141" s="8" t="str">
        <f>IFERROR(Calculations!AJ139,"")</f>
        <v/>
      </c>
      <c r="R141" s="8" t="str">
        <f>IFERROR(Calculations!AK139,"")</f>
        <v/>
      </c>
      <c r="S141" s="89"/>
      <c r="T141" s="89"/>
      <c r="U141" s="89"/>
      <c r="V141" s="89"/>
      <c r="W141" s="1" t="str">
        <f>IFERROR(Calculations!AP139, "")</f>
        <v/>
      </c>
      <c r="X141" s="1" t="str">
        <f>IFERROR(Calculations!AQ139, "")</f>
        <v/>
      </c>
      <c r="Y141" s="8" t="str">
        <f>IFERROR(Calculations!AR139,"")</f>
        <v/>
      </c>
      <c r="Z141" s="8">
        <f>IFERROR(Calculations!AS139,"")</f>
        <v>0</v>
      </c>
      <c r="AA141" s="8">
        <f>IFERROR(Calculations!AT139,"")</f>
        <v>-136391.50815636583</v>
      </c>
      <c r="AB141" s="8" t="str">
        <f>IFERROR(Calculations!AU139,"")</f>
        <v/>
      </c>
      <c r="AC141" s="8" t="str">
        <f>IFERROR(Calculations!AV139,"")</f>
        <v/>
      </c>
      <c r="AD141" s="8" t="str">
        <f>IFERROR(Calculations!AW139,"")</f>
        <v/>
      </c>
      <c r="AE141" s="8" t="str">
        <f>IFERROR(Calculations!AX139,"")</f>
        <v/>
      </c>
      <c r="AF141" s="8">
        <f>IFERROR(IF(Calculations!AY139 &lt;&gt; 0, Calculations!AY139, ""),"")</f>
        <v>28431.055806953023</v>
      </c>
      <c r="AG141" s="42">
        <f>IFERROR(IF(Calculations!AZ139 &lt;&gt; 0, Calculations!AZ139, ""),"")</f>
        <v>-5.0832929842459453</v>
      </c>
      <c r="AH141" s="1">
        <f t="shared" si="10"/>
        <v>45</v>
      </c>
      <c r="AI141" s="1">
        <f t="shared" si="11"/>
        <v>950</v>
      </c>
      <c r="AJ141" s="89"/>
      <c r="AK141" s="89"/>
      <c r="AL141" s="89"/>
      <c r="AM141" s="89"/>
      <c r="AN141" s="8" t="str">
        <f>IFERROR(Calculations!BJ139, "")</f>
        <v/>
      </c>
      <c r="AO141" s="8" t="str">
        <f>IFERROR(Calculations!BK139, "")</f>
        <v/>
      </c>
      <c r="AP141" s="8">
        <f>IFERROR(Calculations!BL139, "")</f>
        <v>14.242205723486588</v>
      </c>
      <c r="AQ141" s="8">
        <f>IFERROR(Calculations!BM139, "")</f>
        <v>30.202948483700872</v>
      </c>
      <c r="AR141" s="8" t="str">
        <f>IFERROR(Calculations!BN139, "")</f>
        <v/>
      </c>
      <c r="AS141" s="8" t="str">
        <f>IFERROR(Calculations!BO139, "")</f>
        <v/>
      </c>
      <c r="AT141" s="8" t="str">
        <f>IFERROR(Calculations!BP139, "")</f>
        <v/>
      </c>
      <c r="AU141" s="8" t="str">
        <f>IFERROR(Calculations!BQ139, "")</f>
        <v/>
      </c>
      <c r="AV141" s="8" t="str">
        <f>IFERROR(Calculations!BR139, "")</f>
        <v/>
      </c>
      <c r="AW141" s="89"/>
      <c r="AX141" s="89"/>
      <c r="AY141" s="89"/>
      <c r="AZ141" s="89"/>
      <c r="BA141" s="8" t="str">
        <f>IFERROR(Calculations!BW139, "")</f>
        <v/>
      </c>
      <c r="BB141" s="8" t="str">
        <f>IFERROR(Calculations!BX139, "")</f>
        <v/>
      </c>
      <c r="BC141" s="8" t="str">
        <f>IFERROR(Calculations!BY139, "")</f>
        <v/>
      </c>
      <c r="BD141" s="8">
        <f>IFERROR(Calculations!BZ139, "")</f>
        <v>0</v>
      </c>
      <c r="BE141" s="8">
        <f>IFERROR(Calculations!CA139, "")</f>
        <v>30.865902536987289</v>
      </c>
      <c r="BF141" s="8" t="str">
        <f>IFERROR(Calculations!CB139, "")</f>
        <v/>
      </c>
      <c r="BG141" s="8" t="str">
        <f>IFERROR(Calculations!CC139, "")</f>
        <v/>
      </c>
      <c r="BH141" s="8" t="str">
        <f>IFERROR(Calculations!CD139, "")</f>
        <v/>
      </c>
      <c r="BI141" s="8" t="str">
        <f>IFERROR(Calculations!CE139, "")</f>
        <v/>
      </c>
      <c r="BJ141" s="8">
        <f>IFERROR(IF(Calculations!CF139 &lt;&gt; 0, Calculations!CF139, ""),"")</f>
        <v>-13.579251670200168</v>
      </c>
      <c r="BK141" s="1">
        <f t="shared" si="12"/>
        <v>950</v>
      </c>
      <c r="BL141" s="1">
        <f t="shared" si="13"/>
        <v>45</v>
      </c>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8"/>
      <c r="DG141" s="8"/>
      <c r="DH141" s="8"/>
      <c r="DI141" s="8"/>
      <c r="DJ141" s="8"/>
      <c r="DK141" s="8"/>
      <c r="DL141" s="8"/>
      <c r="DM141" s="8"/>
      <c r="DN141" s="8"/>
      <c r="DO141" s="8"/>
      <c r="DP141" s="8"/>
      <c r="DQ141" s="8"/>
      <c r="DR141" s="8"/>
      <c r="DS141" s="8"/>
      <c r="DT141" s="8"/>
      <c r="DU141" s="8"/>
      <c r="DV141" s="8"/>
      <c r="DW141" s="8"/>
      <c r="DX141" s="8"/>
      <c r="DY141" s="8"/>
      <c r="DZ141" s="8"/>
      <c r="EA141" s="8"/>
    </row>
    <row r="142" spans="2:131" x14ac:dyDescent="0.2">
      <c r="B142" s="1">
        <f>IFERROR(Calculations!M140/1000, "")</f>
        <v>45</v>
      </c>
      <c r="C142" s="1">
        <f>Calculations!N140</f>
        <v>1000</v>
      </c>
      <c r="D142" s="58">
        <f>IFERROR(Calculations!$Q140,"")</f>
        <v>1.2529873064720631</v>
      </c>
      <c r="E142" s="8">
        <f>IFERROR(Calculations!$S140, "")</f>
        <v>16.366544687737473</v>
      </c>
      <c r="F142" s="89"/>
      <c r="G142" s="89"/>
      <c r="H142" s="89"/>
      <c r="I142" s="89"/>
      <c r="J142" s="1" t="str">
        <f>IFERROR(Calculations!AC140, "")</f>
        <v/>
      </c>
      <c r="K142" s="1" t="str">
        <f>IFERROR(Calculations!AD140, "")</f>
        <v/>
      </c>
      <c r="L142" s="8">
        <f>IFERROR(Calculations!AE140,"")</f>
        <v>-66906.763791280944</v>
      </c>
      <c r="M142" s="8">
        <f>IFERROR(Calculations!AF140,"")</f>
        <v>-102113.31259291421</v>
      </c>
      <c r="N142" s="8" t="str">
        <f>IFERROR(Calculations!AG140,"")</f>
        <v/>
      </c>
      <c r="O142" s="8" t="str">
        <f>IFERROR(Calculations!AH140,"")</f>
        <v/>
      </c>
      <c r="P142" s="8" t="str">
        <f>IFERROR(Calculations!AI140,"")</f>
        <v/>
      </c>
      <c r="Q142" s="8" t="str">
        <f>IFERROR(Calculations!AJ140,"")</f>
        <v/>
      </c>
      <c r="R142" s="8" t="str">
        <f>IFERROR(Calculations!AK140,"")</f>
        <v/>
      </c>
      <c r="S142" s="89"/>
      <c r="T142" s="89"/>
      <c r="U142" s="89"/>
      <c r="V142" s="89"/>
      <c r="W142" s="1" t="str">
        <f>IFERROR(Calculations!AP140, "")</f>
        <v/>
      </c>
      <c r="X142" s="1" t="str">
        <f>IFERROR(Calculations!AQ140, "")</f>
        <v/>
      </c>
      <c r="Y142" s="8" t="str">
        <f>IFERROR(Calculations!AR140,"")</f>
        <v/>
      </c>
      <c r="Z142" s="8">
        <f>IFERROR(Calculations!AS140,"")</f>
        <v>0</v>
      </c>
      <c r="AA142" s="8">
        <f>IFERROR(Calculations!AT140,"")</f>
        <v>-138077.68480948525</v>
      </c>
      <c r="AB142" s="8" t="str">
        <f>IFERROR(Calculations!AU140,"")</f>
        <v/>
      </c>
      <c r="AC142" s="8" t="str">
        <f>IFERROR(Calculations!AV140,"")</f>
        <v/>
      </c>
      <c r="AD142" s="8" t="str">
        <f>IFERROR(Calculations!AW140,"")</f>
        <v/>
      </c>
      <c r="AE142" s="8" t="str">
        <f>IFERROR(Calculations!AX140,"")</f>
        <v/>
      </c>
      <c r="AF142" s="8">
        <f>IFERROR(IF(Calculations!AY140 &lt;&gt; 0, Calculations!AY140, ""),"")</f>
        <v>30942.391574709909</v>
      </c>
      <c r="AG142" s="42">
        <f>IFERROR(IF(Calculations!AZ140 &lt;&gt; 0, Calculations!AZ140, ""),"")</f>
        <v>-5.3150355904558229</v>
      </c>
      <c r="AH142" s="1">
        <f t="shared" si="10"/>
        <v>45</v>
      </c>
      <c r="AI142" s="1">
        <f t="shared" si="11"/>
        <v>1000</v>
      </c>
      <c r="AJ142" s="89"/>
      <c r="AK142" s="89"/>
      <c r="AL142" s="89"/>
      <c r="AM142" s="89"/>
      <c r="AN142" s="8" t="str">
        <f>IFERROR(Calculations!BJ140, "")</f>
        <v/>
      </c>
      <c r="AO142" s="8" t="str">
        <f>IFERROR(Calculations!BK140, "")</f>
        <v/>
      </c>
      <c r="AP142" s="8">
        <f>IFERROR(Calculations!BL140, "")</f>
        <v>14.377863133126379</v>
      </c>
      <c r="AQ142" s="8">
        <f>IFERROR(Calculations!BM140, "")</f>
        <v>30.238427630362164</v>
      </c>
      <c r="AR142" s="8" t="str">
        <f>IFERROR(Calculations!BN140, "")</f>
        <v/>
      </c>
      <c r="AS142" s="8" t="str">
        <f>IFERROR(Calculations!BO140, "")</f>
        <v/>
      </c>
      <c r="AT142" s="8" t="str">
        <f>IFERROR(Calculations!BP140, "")</f>
        <v/>
      </c>
      <c r="AU142" s="8" t="str">
        <f>IFERROR(Calculations!BQ140, "")</f>
        <v/>
      </c>
      <c r="AV142" s="8" t="str">
        <f>IFERROR(Calculations!BR140, "")</f>
        <v/>
      </c>
      <c r="AW142" s="89"/>
      <c r="AX142" s="89"/>
      <c r="AY142" s="89"/>
      <c r="AZ142" s="89"/>
      <c r="BA142" s="8" t="str">
        <f>IFERROR(Calculations!BW140, "")</f>
        <v/>
      </c>
      <c r="BB142" s="8" t="str">
        <f>IFERROR(Calculations!BX140, "")</f>
        <v/>
      </c>
      <c r="BC142" s="8" t="str">
        <f>IFERROR(Calculations!BY140, "")</f>
        <v/>
      </c>
      <c r="BD142" s="8">
        <f>IFERROR(Calculations!BZ140, "")</f>
        <v>0</v>
      </c>
      <c r="BE142" s="8">
        <f>IFERROR(Calculations!CA140, "")</f>
        <v>30.802161795553971</v>
      </c>
      <c r="BF142" s="8" t="str">
        <f>IFERROR(Calculations!CB140, "")</f>
        <v/>
      </c>
      <c r="BG142" s="8" t="str">
        <f>IFERROR(Calculations!CC140, "")</f>
        <v/>
      </c>
      <c r="BH142" s="8" t="str">
        <f>IFERROR(Calculations!CD140, "")</f>
        <v/>
      </c>
      <c r="BI142" s="8" t="str">
        <f>IFERROR(Calculations!CE140, "")</f>
        <v/>
      </c>
      <c r="BJ142" s="8">
        <f>IFERROR(IF(Calculations!CF140 &lt;&gt; 0, Calculations!CF140, ""),"")</f>
        <v>-13.814128967934572</v>
      </c>
      <c r="BK142" s="1">
        <f t="shared" si="12"/>
        <v>1000</v>
      </c>
      <c r="BL142" s="1">
        <f t="shared" si="13"/>
        <v>45</v>
      </c>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8"/>
      <c r="DE142" s="8"/>
      <c r="DF142" s="8"/>
      <c r="DG142" s="8"/>
      <c r="DH142" s="8"/>
      <c r="DI142" s="8"/>
      <c r="DJ142" s="8"/>
      <c r="DK142" s="8"/>
      <c r="DL142" s="8"/>
      <c r="DM142" s="8"/>
      <c r="DN142" s="8"/>
      <c r="DO142" s="8"/>
      <c r="DP142" s="8"/>
      <c r="DQ142" s="8"/>
      <c r="DR142" s="8"/>
      <c r="DS142" s="8"/>
      <c r="DT142" s="8"/>
      <c r="DU142" s="8"/>
      <c r="DV142" s="8"/>
      <c r="DW142" s="8"/>
      <c r="DX142" s="8"/>
      <c r="DY142" s="8"/>
      <c r="DZ142" s="8"/>
      <c r="EA142" s="8"/>
    </row>
    <row r="143" spans="2:131" x14ac:dyDescent="0.2">
      <c r="B143" s="1">
        <f>IFERROR(Calculations!M141/1000, "")</f>
        <v>50</v>
      </c>
      <c r="C143" s="1">
        <f>Calculations!N141</f>
        <v>300</v>
      </c>
      <c r="D143" s="58">
        <f>IFERROR(Calculations!$Q141,"")</f>
        <v>1.4733589528197051</v>
      </c>
      <c r="E143" s="8">
        <f>IFERROR(Calculations!$S141, "")</f>
        <v>60.348461415985632</v>
      </c>
      <c r="F143" s="89"/>
      <c r="G143" s="89"/>
      <c r="H143" s="89"/>
      <c r="I143" s="89"/>
      <c r="J143" s="1" t="str">
        <f>IFERROR(Calculations!AC141, "")</f>
        <v/>
      </c>
      <c r="K143" s="1" t="str">
        <f>IFERROR(Calculations!AD141, "")</f>
        <v/>
      </c>
      <c r="L143" s="8">
        <f>IFERROR(Calculations!AE141,"")</f>
        <v>-45467.551963909835</v>
      </c>
      <c r="M143" s="8">
        <f>IFERROR(Calculations!AF141,"")</f>
        <v>-66284.758151002781</v>
      </c>
      <c r="N143" s="8" t="str">
        <f>IFERROR(Calculations!AG141,"")</f>
        <v/>
      </c>
      <c r="O143" s="8" t="str">
        <f>IFERROR(Calculations!AH141,"")</f>
        <v/>
      </c>
      <c r="P143" s="8" t="str">
        <f>IFERROR(Calculations!AI141,"")</f>
        <v/>
      </c>
      <c r="Q143" s="8" t="str">
        <f>IFERROR(Calculations!AJ141,"")</f>
        <v/>
      </c>
      <c r="R143" s="8" t="str">
        <f>IFERROR(Calculations!AK141,"")</f>
        <v/>
      </c>
      <c r="S143" s="89"/>
      <c r="T143" s="89"/>
      <c r="U143" s="89"/>
      <c r="V143" s="89"/>
      <c r="W143" s="1" t="str">
        <f>IFERROR(Calculations!AP141, "")</f>
        <v/>
      </c>
      <c r="X143" s="1" t="str">
        <f>IFERROR(Calculations!AQ141, "")</f>
        <v/>
      </c>
      <c r="Y143" s="8" t="str">
        <f>IFERROR(Calculations!AR141,"")</f>
        <v/>
      </c>
      <c r="Z143" s="8">
        <f>IFERROR(Calculations!AS141,"")</f>
        <v>0</v>
      </c>
      <c r="AA143" s="8">
        <f>IFERROR(Calculations!AT141,"")</f>
        <v>-110764.61588755051</v>
      </c>
      <c r="AB143" s="8" t="str">
        <f>IFERROR(Calculations!AU141,"")</f>
        <v/>
      </c>
      <c r="AC143" s="8" t="str">
        <f>IFERROR(Calculations!AV141,"")</f>
        <v/>
      </c>
      <c r="AD143" s="8" t="str">
        <f>IFERROR(Calculations!AW141,"")</f>
        <v/>
      </c>
      <c r="AE143" s="8" t="str">
        <f>IFERROR(Calculations!AX141,"")</f>
        <v/>
      </c>
      <c r="AF143" s="8">
        <f>IFERROR(IF(Calculations!AY141 &lt;&gt; 0, Calculations!AY141, ""),"")</f>
        <v>987.69422736210981</v>
      </c>
      <c r="AG143" s="42">
        <f>IFERROR(IF(Calculations!AZ141 &lt;&gt; 0, Calculations!AZ141, ""),"")</f>
        <v>-0.37686524867464188</v>
      </c>
      <c r="AH143" s="1">
        <f t="shared" si="10"/>
        <v>50</v>
      </c>
      <c r="AI143" s="1">
        <f t="shared" si="11"/>
        <v>300</v>
      </c>
      <c r="AJ143" s="89"/>
      <c r="AK143" s="89"/>
      <c r="AL143" s="89"/>
      <c r="AM143" s="89"/>
      <c r="AN143" s="8" t="str">
        <f>IFERROR(Calculations!BJ141, "")</f>
        <v/>
      </c>
      <c r="AO143" s="8" t="str">
        <f>IFERROR(Calculations!BK141, "")</f>
        <v/>
      </c>
      <c r="AP143" s="8">
        <f>IFERROR(Calculations!BL141, "")</f>
        <v>12.227352991966059</v>
      </c>
      <c r="AQ143" s="8">
        <f>IFERROR(Calculations!BM141, "")</f>
        <v>29.85657898708055</v>
      </c>
      <c r="AR143" s="8" t="str">
        <f>IFERROR(Calculations!BN141, "")</f>
        <v/>
      </c>
      <c r="AS143" s="8" t="str">
        <f>IFERROR(Calculations!BO141, "")</f>
        <v/>
      </c>
      <c r="AT143" s="8" t="str">
        <f>IFERROR(Calculations!BP141, "")</f>
        <v/>
      </c>
      <c r="AU143" s="8" t="str">
        <f>IFERROR(Calculations!BQ141, "")</f>
        <v/>
      </c>
      <c r="AV143" s="8" t="str">
        <f>IFERROR(Calculations!BR141, "")</f>
        <v/>
      </c>
      <c r="AW143" s="89"/>
      <c r="AX143" s="89"/>
      <c r="AY143" s="89"/>
      <c r="AZ143" s="89"/>
      <c r="BA143" s="8" t="str">
        <f>IFERROR(Calculations!BW141, "")</f>
        <v/>
      </c>
      <c r="BB143" s="8" t="str">
        <f>IFERROR(Calculations!BX141, "")</f>
        <v/>
      </c>
      <c r="BC143" s="8" t="str">
        <f>IFERROR(Calculations!BY141, "")</f>
        <v/>
      </c>
      <c r="BD143" s="8">
        <f>IFERROR(Calculations!BZ141, "")</f>
        <v>0</v>
      </c>
      <c r="BE143" s="8">
        <f>IFERROR(Calculations!CA141, "")</f>
        <v>31.682446060829502</v>
      </c>
      <c r="BF143" s="8" t="str">
        <f>IFERROR(Calculations!CB141, "")</f>
        <v/>
      </c>
      <c r="BG143" s="8" t="str">
        <f>IFERROR(Calculations!CC141, "")</f>
        <v/>
      </c>
      <c r="BH143" s="8" t="str">
        <f>IFERROR(Calculations!CD141, "")</f>
        <v/>
      </c>
      <c r="BI143" s="8" t="str">
        <f>IFERROR(Calculations!CE141, "")</f>
        <v/>
      </c>
      <c r="BJ143" s="8">
        <f>IFERROR(IF(Calculations!CF141 &lt;&gt; 0, Calculations!CF141, ""),"")</f>
        <v>-10.401485918217109</v>
      </c>
      <c r="BK143" s="1">
        <f t="shared" si="12"/>
        <v>300</v>
      </c>
      <c r="BL143" s="1">
        <f t="shared" si="13"/>
        <v>50</v>
      </c>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8"/>
      <c r="DC143" s="8"/>
      <c r="DD143" s="8"/>
      <c r="DE143" s="8"/>
      <c r="DF143" s="8"/>
      <c r="DG143" s="8"/>
      <c r="DH143" s="8"/>
      <c r="DI143" s="8"/>
      <c r="DJ143" s="8"/>
      <c r="DK143" s="8"/>
      <c r="DL143" s="8"/>
      <c r="DM143" s="8"/>
      <c r="DN143" s="8"/>
      <c r="DO143" s="8"/>
      <c r="DP143" s="8"/>
      <c r="DQ143" s="8"/>
      <c r="DR143" s="8"/>
      <c r="DS143" s="8"/>
      <c r="DT143" s="8"/>
      <c r="DU143" s="8"/>
      <c r="DV143" s="8"/>
      <c r="DW143" s="8"/>
      <c r="DX143" s="8"/>
      <c r="DY143" s="8"/>
      <c r="DZ143" s="8"/>
      <c r="EA143" s="8"/>
    </row>
    <row r="144" spans="2:131" x14ac:dyDescent="0.2">
      <c r="B144" s="1">
        <f>IFERROR(Calculations!M142/1000, "")</f>
        <v>50</v>
      </c>
      <c r="C144" s="1">
        <f>Calculations!N142</f>
        <v>350</v>
      </c>
      <c r="D144" s="58">
        <f>IFERROR(Calculations!$Q142,"")</f>
        <v>1.4577794040751457</v>
      </c>
      <c r="E144" s="8">
        <f>IFERROR(Calculations!$S142, "")</f>
        <v>54.116671149174934</v>
      </c>
      <c r="F144" s="89"/>
      <c r="G144" s="89"/>
      <c r="H144" s="89"/>
      <c r="I144" s="89"/>
      <c r="J144" s="1" t="str">
        <f>IFERROR(Calculations!AC142, "")</f>
        <v/>
      </c>
      <c r="K144" s="1" t="str">
        <f>IFERROR(Calculations!AD142, "")</f>
        <v/>
      </c>
      <c r="L144" s="8">
        <f>IFERROR(Calculations!AE142,"")</f>
        <v>-46586.92078686141</v>
      </c>
      <c r="M144" s="8">
        <f>IFERROR(Calculations!AF142,"")</f>
        <v>-68325.68957244308</v>
      </c>
      <c r="N144" s="8" t="str">
        <f>IFERROR(Calculations!AG142,"")</f>
        <v/>
      </c>
      <c r="O144" s="8" t="str">
        <f>IFERROR(Calculations!AH142,"")</f>
        <v/>
      </c>
      <c r="P144" s="8" t="str">
        <f>IFERROR(Calculations!AI142,"")</f>
        <v/>
      </c>
      <c r="Q144" s="8" t="str">
        <f>IFERROR(Calculations!AJ142,"")</f>
        <v/>
      </c>
      <c r="R144" s="8" t="str">
        <f>IFERROR(Calculations!AK142,"")</f>
        <v/>
      </c>
      <c r="S144" s="89"/>
      <c r="T144" s="89"/>
      <c r="U144" s="89"/>
      <c r="V144" s="89"/>
      <c r="W144" s="1" t="str">
        <f>IFERROR(Calculations!AP142, "")</f>
        <v/>
      </c>
      <c r="X144" s="1" t="str">
        <f>IFERROR(Calculations!AQ142, "")</f>
        <v/>
      </c>
      <c r="Y144" s="8" t="str">
        <f>IFERROR(Calculations!AR142,"")</f>
        <v/>
      </c>
      <c r="Z144" s="8">
        <f>IFERROR(Calculations!AS142,"")</f>
        <v>0</v>
      </c>
      <c r="AA144" s="8">
        <f>IFERROR(Calculations!AT142,"")</f>
        <v>-112369.08956660896</v>
      </c>
      <c r="AB144" s="8" t="str">
        <f>IFERROR(Calculations!AU142,"")</f>
        <v/>
      </c>
      <c r="AC144" s="8" t="str">
        <f>IFERROR(Calculations!AV142,"")</f>
        <v/>
      </c>
      <c r="AD144" s="8" t="str">
        <f>IFERROR(Calculations!AW142,"")</f>
        <v/>
      </c>
      <c r="AE144" s="8" t="str">
        <f>IFERROR(Calculations!AX142,"")</f>
        <v/>
      </c>
      <c r="AF144" s="8">
        <f>IFERROR(IF(Calculations!AY142 &lt;&gt; 0, Calculations!AY142, ""),"")</f>
        <v>2543.5207926955336</v>
      </c>
      <c r="AG144" s="42">
        <f>IFERROR(IF(Calculations!AZ142 &lt;&gt; 0, Calculations!AZ142, ""),"")</f>
        <v>-0.89263634631473199</v>
      </c>
      <c r="AH144" s="1">
        <f t="shared" si="10"/>
        <v>50</v>
      </c>
      <c r="AI144" s="1">
        <f t="shared" si="11"/>
        <v>350</v>
      </c>
      <c r="AJ144" s="89"/>
      <c r="AK144" s="89"/>
      <c r="AL144" s="89"/>
      <c r="AM144" s="89"/>
      <c r="AN144" s="8" t="str">
        <f>IFERROR(Calculations!BJ142, "")</f>
        <v/>
      </c>
      <c r="AO144" s="8" t="str">
        <f>IFERROR(Calculations!BK142, "")</f>
        <v/>
      </c>
      <c r="AP144" s="8">
        <f>IFERROR(Calculations!BL142, "")</f>
        <v>12.358028896305731</v>
      </c>
      <c r="AQ144" s="8">
        <f>IFERROR(Calculations!BM142, "")</f>
        <v>29.847907391678667</v>
      </c>
      <c r="AR144" s="8" t="str">
        <f>IFERROR(Calculations!BN142, "")</f>
        <v/>
      </c>
      <c r="AS144" s="8" t="str">
        <f>IFERROR(Calculations!BO142, "")</f>
        <v/>
      </c>
      <c r="AT144" s="8" t="str">
        <f>IFERROR(Calculations!BP142, "")</f>
        <v/>
      </c>
      <c r="AU144" s="8" t="str">
        <f>IFERROR(Calculations!BQ142, "")</f>
        <v/>
      </c>
      <c r="AV144" s="8" t="str">
        <f>IFERROR(Calculations!BR142, "")</f>
        <v/>
      </c>
      <c r="AW144" s="89"/>
      <c r="AX144" s="89"/>
      <c r="AY144" s="89"/>
      <c r="AZ144" s="89"/>
      <c r="BA144" s="8" t="str">
        <f>IFERROR(Calculations!BW142, "")</f>
        <v/>
      </c>
      <c r="BB144" s="8" t="str">
        <f>IFERROR(Calculations!BX142, "")</f>
        <v/>
      </c>
      <c r="BC144" s="8" t="str">
        <f>IFERROR(Calculations!BY142, "")</f>
        <v/>
      </c>
      <c r="BD144" s="8">
        <f>IFERROR(Calculations!BZ142, "")</f>
        <v>0</v>
      </c>
      <c r="BE144" s="8">
        <f>IFERROR(Calculations!CA142, "")</f>
        <v>31.638531440493633</v>
      </c>
      <c r="BF144" s="8" t="str">
        <f>IFERROR(Calculations!CB142, "")</f>
        <v/>
      </c>
      <c r="BG144" s="8" t="str">
        <f>IFERROR(Calculations!CC142, "")</f>
        <v/>
      </c>
      <c r="BH144" s="8" t="str">
        <f>IFERROR(Calculations!CD142, "")</f>
        <v/>
      </c>
      <c r="BI144" s="8" t="str">
        <f>IFERROR(Calculations!CE142, "")</f>
        <v/>
      </c>
      <c r="BJ144" s="8">
        <f>IFERROR(IF(Calculations!CF142 &lt;&gt; 0, Calculations!CF142, ""),"")</f>
        <v>-10.567404847490767</v>
      </c>
      <c r="BK144" s="1">
        <f t="shared" si="12"/>
        <v>350</v>
      </c>
      <c r="BL144" s="1">
        <f t="shared" si="13"/>
        <v>50</v>
      </c>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c r="DK144" s="8"/>
      <c r="DL144" s="8"/>
      <c r="DM144" s="8"/>
      <c r="DN144" s="8"/>
      <c r="DO144" s="8"/>
      <c r="DP144" s="8"/>
      <c r="DQ144" s="8"/>
      <c r="DR144" s="8"/>
      <c r="DS144" s="8"/>
      <c r="DT144" s="8"/>
      <c r="DU144" s="8"/>
      <c r="DV144" s="8"/>
      <c r="DW144" s="8"/>
      <c r="DX144" s="8"/>
      <c r="DY144" s="8"/>
      <c r="DZ144" s="8"/>
      <c r="EA144" s="8"/>
    </row>
    <row r="145" spans="2:131" x14ac:dyDescent="0.2">
      <c r="B145" s="1">
        <f>IFERROR(Calculations!M143/1000, "")</f>
        <v>50</v>
      </c>
      <c r="C145" s="1">
        <f>Calculations!N143</f>
        <v>400</v>
      </c>
      <c r="D145" s="58">
        <f>IFERROR(Calculations!$Q143,"")</f>
        <v>1.4429945310783387</v>
      </c>
      <c r="E145" s="8">
        <f>IFERROR(Calculations!$S143, "")</f>
        <v>48.748255810437676</v>
      </c>
      <c r="F145" s="89"/>
      <c r="G145" s="89"/>
      <c r="H145" s="89"/>
      <c r="I145" s="89"/>
      <c r="J145" s="1" t="str">
        <f>IFERROR(Calculations!AC143, "")</f>
        <v/>
      </c>
      <c r="K145" s="1" t="str">
        <f>IFERROR(Calculations!AD143, "")</f>
        <v/>
      </c>
      <c r="L145" s="8">
        <f>IFERROR(Calculations!AE143,"")</f>
        <v>-47771.034689580119</v>
      </c>
      <c r="M145" s="8">
        <f>IFERROR(Calculations!AF143,"")</f>
        <v>-70407.115800123865</v>
      </c>
      <c r="N145" s="8" t="str">
        <f>IFERROR(Calculations!AG143,"")</f>
        <v/>
      </c>
      <c r="O145" s="8" t="str">
        <f>IFERROR(Calculations!AH143,"")</f>
        <v/>
      </c>
      <c r="P145" s="8" t="str">
        <f>IFERROR(Calculations!AI143,"")</f>
        <v/>
      </c>
      <c r="Q145" s="8" t="str">
        <f>IFERROR(Calculations!AJ143,"")</f>
        <v/>
      </c>
      <c r="R145" s="8" t="str">
        <f>IFERROR(Calculations!AK143,"")</f>
        <v/>
      </c>
      <c r="S145" s="89"/>
      <c r="T145" s="89"/>
      <c r="U145" s="89"/>
      <c r="V145" s="89"/>
      <c r="W145" s="1" t="str">
        <f>IFERROR(Calculations!AP143, "")</f>
        <v/>
      </c>
      <c r="X145" s="1" t="str">
        <f>IFERROR(Calculations!AQ143, "")</f>
        <v/>
      </c>
      <c r="Y145" s="8" t="str">
        <f>IFERROR(Calculations!AR143,"")</f>
        <v/>
      </c>
      <c r="Z145" s="8">
        <f>IFERROR(Calculations!AS143,"")</f>
        <v>0</v>
      </c>
      <c r="AA145" s="8">
        <f>IFERROR(Calculations!AT143,"")</f>
        <v>-114005.12011599686</v>
      </c>
      <c r="AB145" s="8" t="str">
        <f>IFERROR(Calculations!AU143,"")</f>
        <v/>
      </c>
      <c r="AC145" s="8" t="str">
        <f>IFERROR(Calculations!AV143,"")</f>
        <v/>
      </c>
      <c r="AD145" s="8" t="str">
        <f>IFERROR(Calculations!AW143,"")</f>
        <v/>
      </c>
      <c r="AE145" s="8" t="str">
        <f>IFERROR(Calculations!AX143,"")</f>
        <v/>
      </c>
      <c r="AF145" s="8">
        <f>IFERROR(IF(Calculations!AY143 &lt;&gt; 0, Calculations!AY143, ""),"")</f>
        <v>4173.0303737071226</v>
      </c>
      <c r="AG145" s="42">
        <f>IFERROR(IF(Calculations!AZ143 &lt;&gt; 0, Calculations!AZ143, ""),"")</f>
        <v>-1.3557248893261338</v>
      </c>
      <c r="AH145" s="1">
        <f t="shared" si="10"/>
        <v>50</v>
      </c>
      <c r="AI145" s="1">
        <f t="shared" si="11"/>
        <v>400</v>
      </c>
      <c r="AJ145" s="89"/>
      <c r="AK145" s="89"/>
      <c r="AL145" s="89"/>
      <c r="AM145" s="89"/>
      <c r="AN145" s="8" t="str">
        <f>IFERROR(Calculations!BJ143, "")</f>
        <v/>
      </c>
      <c r="AO145" s="8" t="str">
        <f>IFERROR(Calculations!BK143, "")</f>
        <v/>
      </c>
      <c r="AP145" s="8">
        <f>IFERROR(Calculations!BL143, "")</f>
        <v>12.484648841002413</v>
      </c>
      <c r="AQ145" s="8">
        <f>IFERROR(Calculations!BM143, "")</f>
        <v>29.84820635765114</v>
      </c>
      <c r="AR145" s="8" t="str">
        <f>IFERROR(Calculations!BN143, "")</f>
        <v/>
      </c>
      <c r="AS145" s="8" t="str">
        <f>IFERROR(Calculations!BO143, "")</f>
        <v/>
      </c>
      <c r="AT145" s="8" t="str">
        <f>IFERROR(Calculations!BP143, "")</f>
        <v/>
      </c>
      <c r="AU145" s="8" t="str">
        <f>IFERROR(Calculations!BQ143, "")</f>
        <v/>
      </c>
      <c r="AV145" s="8" t="str">
        <f>IFERROR(Calculations!BR143, "")</f>
        <v/>
      </c>
      <c r="AW145" s="89"/>
      <c r="AX145" s="89"/>
      <c r="AY145" s="89"/>
      <c r="AZ145" s="89"/>
      <c r="BA145" s="8" t="str">
        <f>IFERROR(Calculations!BW143, "")</f>
        <v/>
      </c>
      <c r="BB145" s="8" t="str">
        <f>IFERROR(Calculations!BX143, "")</f>
        <v/>
      </c>
      <c r="BC145" s="8" t="str">
        <f>IFERROR(Calculations!BY143, "")</f>
        <v/>
      </c>
      <c r="BD145" s="8">
        <f>IFERROR(Calculations!BZ143, "")</f>
        <v>0</v>
      </c>
      <c r="BE145" s="8">
        <f>IFERROR(Calculations!CA143, "")</f>
        <v>31.593304690838782</v>
      </c>
      <c r="BF145" s="8" t="str">
        <f>IFERROR(Calculations!CB143, "")</f>
        <v/>
      </c>
      <c r="BG145" s="8" t="str">
        <f>IFERROR(Calculations!CC143, "")</f>
        <v/>
      </c>
      <c r="BH145" s="8" t="str">
        <f>IFERROR(Calculations!CD143, "")</f>
        <v/>
      </c>
      <c r="BI145" s="8" t="str">
        <f>IFERROR(Calculations!CE143, "")</f>
        <v/>
      </c>
      <c r="BJ145" s="8">
        <f>IFERROR(IF(Calculations!CF143 &lt;&gt; 0, Calculations!CF143, ""),"")</f>
        <v>-10.739550507814773</v>
      </c>
      <c r="BK145" s="1">
        <f t="shared" si="12"/>
        <v>400</v>
      </c>
      <c r="BL145" s="1">
        <f t="shared" si="13"/>
        <v>50</v>
      </c>
      <c r="CD145" s="8"/>
      <c r="CE145" s="8"/>
      <c r="CF145" s="8"/>
      <c r="CG145" s="8"/>
      <c r="CH145" s="8"/>
      <c r="CI145" s="8"/>
      <c r="CJ145" s="8"/>
      <c r="CK145" s="8"/>
      <c r="CL145" s="8"/>
      <c r="CM145" s="8"/>
      <c r="CN145" s="8"/>
      <c r="CO145" s="8"/>
      <c r="CP145" s="8"/>
      <c r="CQ145" s="8"/>
      <c r="CR145" s="8"/>
      <c r="CS145" s="8"/>
      <c r="CT145" s="8"/>
      <c r="CU145" s="8"/>
      <c r="CV145" s="8"/>
      <c r="CW145" s="8"/>
      <c r="CX145" s="8"/>
      <c r="CY145" s="8"/>
      <c r="CZ145" s="8"/>
      <c r="DA145" s="8"/>
      <c r="DB145" s="8"/>
      <c r="DC145" s="8"/>
      <c r="DD145" s="8"/>
      <c r="DE145" s="8"/>
      <c r="DF145" s="8"/>
      <c r="DG145" s="8"/>
      <c r="DH145" s="8"/>
      <c r="DI145" s="8"/>
      <c r="DJ145" s="8"/>
      <c r="DK145" s="8"/>
      <c r="DL145" s="8"/>
      <c r="DM145" s="8"/>
      <c r="DN145" s="8"/>
      <c r="DO145" s="8"/>
      <c r="DP145" s="8"/>
      <c r="DQ145" s="8"/>
      <c r="DR145" s="8"/>
      <c r="DS145" s="8"/>
      <c r="DT145" s="8"/>
      <c r="DU145" s="8"/>
      <c r="DV145" s="8"/>
      <c r="DW145" s="8"/>
      <c r="DX145" s="8"/>
      <c r="DY145" s="8"/>
      <c r="DZ145" s="8"/>
      <c r="EA145" s="8"/>
    </row>
    <row r="146" spans="2:131" x14ac:dyDescent="0.2">
      <c r="B146" s="1">
        <f>IFERROR(Calculations!M144/1000, "")</f>
        <v>50</v>
      </c>
      <c r="C146" s="1">
        <f>Calculations!N144</f>
        <v>450</v>
      </c>
      <c r="D146" s="58">
        <f>IFERROR(Calculations!$Q144,"")</f>
        <v>1.4286951359713078</v>
      </c>
      <c r="E146" s="8">
        <f>IFERROR(Calculations!$S144, "")</f>
        <v>44.073056274063035</v>
      </c>
      <c r="F146" s="89"/>
      <c r="G146" s="89"/>
      <c r="H146" s="89"/>
      <c r="I146" s="89"/>
      <c r="J146" s="1" t="str">
        <f>IFERROR(Calculations!AC144, "")</f>
        <v/>
      </c>
      <c r="K146" s="1" t="str">
        <f>IFERROR(Calculations!AD144, "")</f>
        <v/>
      </c>
      <c r="L146" s="8">
        <f>IFERROR(Calculations!AE144,"")</f>
        <v>-49011.133520912816</v>
      </c>
      <c r="M146" s="8">
        <f>IFERROR(Calculations!AF144,"")</f>
        <v>-72528.973940577882</v>
      </c>
      <c r="N146" s="8" t="str">
        <f>IFERROR(Calculations!AG144,"")</f>
        <v/>
      </c>
      <c r="O146" s="8" t="str">
        <f>IFERROR(Calculations!AH144,"")</f>
        <v/>
      </c>
      <c r="P146" s="8" t="str">
        <f>IFERROR(Calculations!AI144,"")</f>
        <v/>
      </c>
      <c r="Q146" s="8" t="str">
        <f>IFERROR(Calculations!AJ144,"")</f>
        <v/>
      </c>
      <c r="R146" s="8" t="str">
        <f>IFERROR(Calculations!AK144,"")</f>
        <v/>
      </c>
      <c r="S146" s="89"/>
      <c r="T146" s="89"/>
      <c r="U146" s="89"/>
      <c r="V146" s="89"/>
      <c r="W146" s="1" t="str">
        <f>IFERROR(Calculations!AP144, "")</f>
        <v/>
      </c>
      <c r="X146" s="1" t="str">
        <f>IFERROR(Calculations!AQ144, "")</f>
        <v/>
      </c>
      <c r="Y146" s="8" t="str">
        <f>IFERROR(Calculations!AR144,"")</f>
        <v/>
      </c>
      <c r="Z146" s="8">
        <f>IFERROR(Calculations!AS144,"")</f>
        <v>0</v>
      </c>
      <c r="AA146" s="8">
        <f>IFERROR(Calculations!AT144,"")</f>
        <v>-115666.50279470332</v>
      </c>
      <c r="AB146" s="8" t="str">
        <f>IFERROR(Calculations!AU144,"")</f>
        <v/>
      </c>
      <c r="AC146" s="8" t="str">
        <f>IFERROR(Calculations!AV144,"")</f>
        <v/>
      </c>
      <c r="AD146" s="8" t="str">
        <f>IFERROR(Calculations!AW144,"")</f>
        <v/>
      </c>
      <c r="AE146" s="8" t="str">
        <f>IFERROR(Calculations!AX144,"")</f>
        <v/>
      </c>
      <c r="AF146" s="8">
        <f>IFERROR(IF(Calculations!AY144 &lt;&gt; 0, Calculations!AY144, ""),"")</f>
        <v>5873.6046667873743</v>
      </c>
      <c r="AG146" s="42">
        <f>IFERROR(IF(Calculations!AZ144 &lt;&gt; 0, Calculations!AZ144, ""),"")</f>
        <v>-1.7762667865657087</v>
      </c>
      <c r="AH146" s="1">
        <f t="shared" si="10"/>
        <v>50</v>
      </c>
      <c r="AI146" s="1">
        <f t="shared" si="11"/>
        <v>450</v>
      </c>
      <c r="AJ146" s="89"/>
      <c r="AK146" s="89"/>
      <c r="AL146" s="89"/>
      <c r="AM146" s="89"/>
      <c r="AN146" s="8" t="str">
        <f>IFERROR(Calculations!BJ144, "")</f>
        <v/>
      </c>
      <c r="AO146" s="8" t="str">
        <f>IFERROR(Calculations!BK144, "")</f>
        <v/>
      </c>
      <c r="AP146" s="8">
        <f>IFERROR(Calculations!BL144, "")</f>
        <v>12.609604069066977</v>
      </c>
      <c r="AQ146" s="8">
        <f>IFERROR(Calculations!BM144, "")</f>
        <v>29.854942391549773</v>
      </c>
      <c r="AR146" s="8" t="str">
        <f>IFERROR(Calculations!BN144, "")</f>
        <v/>
      </c>
      <c r="AS146" s="8" t="str">
        <f>IFERROR(Calculations!BO144, "")</f>
        <v/>
      </c>
      <c r="AT146" s="8" t="str">
        <f>IFERROR(Calculations!BP144, "")</f>
        <v/>
      </c>
      <c r="AU146" s="8" t="str">
        <f>IFERROR(Calculations!BQ144, "")</f>
        <v/>
      </c>
      <c r="AV146" s="8" t="str">
        <f>IFERROR(Calculations!BR144, "")</f>
        <v/>
      </c>
      <c r="AW146" s="89"/>
      <c r="AX146" s="89"/>
      <c r="AY146" s="89"/>
      <c r="AZ146" s="89"/>
      <c r="BA146" s="8" t="str">
        <f>IFERROR(Calculations!BW144, "")</f>
        <v/>
      </c>
      <c r="BB146" s="8" t="str">
        <f>IFERROR(Calculations!BX144, "")</f>
        <v/>
      </c>
      <c r="BC146" s="8" t="str">
        <f>IFERROR(Calculations!BY144, "")</f>
        <v/>
      </c>
      <c r="BD146" s="8">
        <f>IFERROR(Calculations!BZ144, "")</f>
        <v>0</v>
      </c>
      <c r="BE146" s="8">
        <f>IFERROR(Calculations!CA144, "")</f>
        <v>31.546870391666328</v>
      </c>
      <c r="BF146" s="8" t="str">
        <f>IFERROR(Calculations!CB144, "")</f>
        <v/>
      </c>
      <c r="BG146" s="8" t="str">
        <f>IFERROR(Calculations!CC144, "")</f>
        <v/>
      </c>
      <c r="BH146" s="8" t="str">
        <f>IFERROR(Calculations!CD144, "")</f>
        <v/>
      </c>
      <c r="BI146" s="8" t="str">
        <f>IFERROR(Calculations!CE144, "")</f>
        <v/>
      </c>
      <c r="BJ146" s="8">
        <f>IFERROR(IF(Calculations!CF144 &lt;&gt; 0, Calculations!CF144, ""),"")</f>
        <v>-10.917676068950424</v>
      </c>
      <c r="BK146" s="1">
        <f t="shared" si="12"/>
        <v>450</v>
      </c>
      <c r="BL146" s="1">
        <f t="shared" si="13"/>
        <v>50</v>
      </c>
      <c r="CD146" s="8"/>
      <c r="CE146" s="8"/>
      <c r="CF146" s="8"/>
      <c r="CG146" s="8"/>
      <c r="CH146" s="8"/>
      <c r="CI146" s="8"/>
      <c r="CJ146" s="8"/>
      <c r="CK146" s="8"/>
      <c r="CL146" s="8"/>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c r="DM146" s="8"/>
      <c r="DN146" s="8"/>
      <c r="DO146" s="8"/>
      <c r="DP146" s="8"/>
      <c r="DQ146" s="8"/>
      <c r="DR146" s="8"/>
      <c r="DS146" s="8"/>
      <c r="DT146" s="8"/>
      <c r="DU146" s="8"/>
      <c r="DV146" s="8"/>
      <c r="DW146" s="8"/>
      <c r="DX146" s="8"/>
      <c r="DY146" s="8"/>
      <c r="DZ146" s="8"/>
      <c r="EA146" s="8"/>
    </row>
    <row r="147" spans="2:131" x14ac:dyDescent="0.2">
      <c r="B147" s="1">
        <f>IFERROR(Calculations!M145/1000, "")</f>
        <v>50</v>
      </c>
      <c r="C147" s="1">
        <f>Calculations!N145</f>
        <v>500</v>
      </c>
      <c r="D147" s="58">
        <f>IFERROR(Calculations!$Q145,"")</f>
        <v>1.4147269178470969</v>
      </c>
      <c r="E147" s="8">
        <f>IFERROR(Calculations!$S145, "")</f>
        <v>39.969462835393344</v>
      </c>
      <c r="F147" s="89"/>
      <c r="G147" s="89"/>
      <c r="H147" s="89"/>
      <c r="I147" s="89"/>
      <c r="J147" s="1" t="str">
        <f>IFERROR(Calculations!AC145, "")</f>
        <v/>
      </c>
      <c r="K147" s="1" t="str">
        <f>IFERROR(Calculations!AD145, "")</f>
        <v/>
      </c>
      <c r="L147" s="8">
        <f>IFERROR(Calculations!AE145,"")</f>
        <v>-50294.027768852815</v>
      </c>
      <c r="M147" s="8">
        <f>IFERROR(Calculations!AF145,"")</f>
        <v>-74690.895706999014</v>
      </c>
      <c r="N147" s="8" t="str">
        <f>IFERROR(Calculations!AG145,"")</f>
        <v/>
      </c>
      <c r="O147" s="8" t="str">
        <f>IFERROR(Calculations!AH145,"")</f>
        <v/>
      </c>
      <c r="P147" s="8" t="str">
        <f>IFERROR(Calculations!AI145,"")</f>
        <v/>
      </c>
      <c r="Q147" s="8" t="str">
        <f>IFERROR(Calculations!AJ145,"")</f>
        <v/>
      </c>
      <c r="R147" s="8" t="str">
        <f>IFERROR(Calculations!AK145,"")</f>
        <v/>
      </c>
      <c r="S147" s="89"/>
      <c r="T147" s="89"/>
      <c r="U147" s="89"/>
      <c r="V147" s="89"/>
      <c r="W147" s="1" t="str">
        <f>IFERROR(Calculations!AP145, "")</f>
        <v/>
      </c>
      <c r="X147" s="1" t="str">
        <f>IFERROR(Calculations!AQ145, "")</f>
        <v/>
      </c>
      <c r="Y147" s="8" t="str">
        <f>IFERROR(Calculations!AR145,"")</f>
        <v/>
      </c>
      <c r="Z147" s="8">
        <f>IFERROR(Calculations!AS145,"")</f>
        <v>0</v>
      </c>
      <c r="AA147" s="8">
        <f>IFERROR(Calculations!AT145,"")</f>
        <v>-117348.14414189426</v>
      </c>
      <c r="AB147" s="8" t="str">
        <f>IFERROR(Calculations!AU145,"")</f>
        <v/>
      </c>
      <c r="AC147" s="8" t="str">
        <f>IFERROR(Calculations!AV145,"")</f>
        <v/>
      </c>
      <c r="AD147" s="8" t="str">
        <f>IFERROR(Calculations!AW145,"")</f>
        <v/>
      </c>
      <c r="AE147" s="8" t="str">
        <f>IFERROR(Calculations!AX145,"")</f>
        <v/>
      </c>
      <c r="AF147" s="8">
        <f>IFERROR(IF(Calculations!AY145 &lt;&gt; 0, Calculations!AY145, ""),"")</f>
        <v>7636.7793339575728</v>
      </c>
      <c r="AG147" s="42">
        <f>IFERROR(IF(Calculations!AZ145 &lt;&gt; 0, Calculations!AZ145, ""),"")</f>
        <v>-2.1601223733162902</v>
      </c>
      <c r="AH147" s="1">
        <f t="shared" si="10"/>
        <v>50</v>
      </c>
      <c r="AI147" s="1">
        <f t="shared" si="11"/>
        <v>500</v>
      </c>
      <c r="AJ147" s="89"/>
      <c r="AK147" s="89"/>
      <c r="AL147" s="89"/>
      <c r="AM147" s="89"/>
      <c r="AN147" s="8" t="str">
        <f>IFERROR(Calculations!BJ145, "")</f>
        <v/>
      </c>
      <c r="AO147" s="8" t="str">
        <f>IFERROR(Calculations!BK145, "")</f>
        <v/>
      </c>
      <c r="AP147" s="8">
        <f>IFERROR(Calculations!BL145, "")</f>
        <v>12.734104209606256</v>
      </c>
      <c r="AQ147" s="8">
        <f>IFERROR(Calculations!BM145, "")</f>
        <v>29.866502621136725</v>
      </c>
      <c r="AR147" s="8" t="str">
        <f>IFERROR(Calculations!BN145, "")</f>
        <v/>
      </c>
      <c r="AS147" s="8" t="str">
        <f>IFERROR(Calculations!BO145, "")</f>
        <v/>
      </c>
      <c r="AT147" s="8" t="str">
        <f>IFERROR(Calculations!BP145, "")</f>
        <v/>
      </c>
      <c r="AU147" s="8" t="str">
        <f>IFERROR(Calculations!BQ145, "")</f>
        <v/>
      </c>
      <c r="AV147" s="8" t="str">
        <f>IFERROR(Calculations!BR145, "")</f>
        <v/>
      </c>
      <c r="AW147" s="89"/>
      <c r="AX147" s="89"/>
      <c r="AY147" s="89"/>
      <c r="AZ147" s="89"/>
      <c r="BA147" s="8" t="str">
        <f>IFERROR(Calculations!BW145, "")</f>
        <v/>
      </c>
      <c r="BB147" s="8" t="str">
        <f>IFERROR(Calculations!BX145, "")</f>
        <v/>
      </c>
      <c r="BC147" s="8" t="str">
        <f>IFERROR(Calculations!BY145, "")</f>
        <v/>
      </c>
      <c r="BD147" s="8">
        <f>IFERROR(Calculations!BZ145, "")</f>
        <v>0</v>
      </c>
      <c r="BE147" s="8">
        <f>IFERROR(Calculations!CA145, "")</f>
        <v>31.499308833892144</v>
      </c>
      <c r="BF147" s="8" t="str">
        <f>IFERROR(Calculations!CB145, "")</f>
        <v/>
      </c>
      <c r="BG147" s="8" t="str">
        <f>IFERROR(Calculations!CC145, "")</f>
        <v/>
      </c>
      <c r="BH147" s="8" t="str">
        <f>IFERROR(Calculations!CD145, "")</f>
        <v/>
      </c>
      <c r="BI147" s="8" t="str">
        <f>IFERROR(Calculations!CE145, "")</f>
        <v/>
      </c>
      <c r="BJ147" s="8">
        <f>IFERROR(IF(Calculations!CF145 &lt;&gt; 0, Calculations!CF145, ""),"")</f>
        <v>-11.101297996850839</v>
      </c>
      <c r="BK147" s="1">
        <f t="shared" si="12"/>
        <v>500</v>
      </c>
      <c r="BL147" s="1">
        <f t="shared" si="13"/>
        <v>50</v>
      </c>
      <c r="CD147" s="8"/>
      <c r="CE147" s="8"/>
      <c r="CF147" s="8"/>
      <c r="CG147" s="8"/>
      <c r="CH147" s="8"/>
      <c r="CI147" s="8"/>
      <c r="CJ147" s="8"/>
      <c r="CK147" s="8"/>
      <c r="CL147" s="8"/>
      <c r="CM147" s="8"/>
      <c r="CN147" s="8"/>
      <c r="CO147" s="8"/>
      <c r="CP147" s="8"/>
      <c r="CQ147" s="8"/>
      <c r="CR147" s="8"/>
      <c r="CS147" s="8"/>
      <c r="CT147" s="8"/>
      <c r="CU147" s="8"/>
      <c r="CV147" s="8"/>
      <c r="CW147" s="8"/>
      <c r="CX147" s="8"/>
      <c r="CY147" s="8"/>
      <c r="CZ147" s="8"/>
      <c r="DA147" s="8"/>
      <c r="DB147" s="8"/>
      <c r="DC147" s="8"/>
      <c r="DD147" s="8"/>
      <c r="DE147" s="8"/>
      <c r="DF147" s="8"/>
      <c r="DG147" s="8"/>
      <c r="DH147" s="8"/>
      <c r="DI147" s="8"/>
      <c r="DJ147" s="8"/>
      <c r="DK147" s="8"/>
      <c r="DL147" s="8"/>
      <c r="DM147" s="8"/>
      <c r="DN147" s="8"/>
      <c r="DO147" s="8"/>
      <c r="DP147" s="8"/>
      <c r="DQ147" s="8"/>
      <c r="DR147" s="8"/>
      <c r="DS147" s="8"/>
      <c r="DT147" s="8"/>
      <c r="DU147" s="8"/>
      <c r="DV147" s="8"/>
      <c r="DW147" s="8"/>
      <c r="DX147" s="8"/>
      <c r="DY147" s="8"/>
      <c r="DZ147" s="8"/>
      <c r="EA147" s="8"/>
    </row>
    <row r="148" spans="2:131" x14ac:dyDescent="0.2">
      <c r="B148" s="1">
        <f>IFERROR(Calculations!M146/1000, "")</f>
        <v>50</v>
      </c>
      <c r="C148" s="1">
        <f>Calculations!N146</f>
        <v>550</v>
      </c>
      <c r="D148" s="58">
        <f>IFERROR(Calculations!$Q146,"")</f>
        <v>1.4010151476812363</v>
      </c>
      <c r="E148" s="8">
        <f>IFERROR(Calculations!$S146, "")</f>
        <v>36.346180014737044</v>
      </c>
      <c r="F148" s="89"/>
      <c r="G148" s="89"/>
      <c r="H148" s="89"/>
      <c r="I148" s="89"/>
      <c r="J148" s="1" t="str">
        <f>IFERROR(Calculations!AC146, "")</f>
        <v/>
      </c>
      <c r="K148" s="1" t="str">
        <f>IFERROR(Calculations!AD146, "")</f>
        <v/>
      </c>
      <c r="L148" s="8">
        <f>IFERROR(Calculations!AE146,"")</f>
        <v>-51620.48516072199</v>
      </c>
      <c r="M148" s="8">
        <f>IFERROR(Calculations!AF146,"")</f>
        <v>-76892.40866632988</v>
      </c>
      <c r="N148" s="8" t="str">
        <f>IFERROR(Calculations!AG146,"")</f>
        <v/>
      </c>
      <c r="O148" s="8" t="str">
        <f>IFERROR(Calculations!AH146,"")</f>
        <v/>
      </c>
      <c r="P148" s="8" t="str">
        <f>IFERROR(Calculations!AI146,"")</f>
        <v/>
      </c>
      <c r="Q148" s="8" t="str">
        <f>IFERROR(Calculations!AJ146,"")</f>
        <v/>
      </c>
      <c r="R148" s="8" t="str">
        <f>IFERROR(Calculations!AK146,"")</f>
        <v/>
      </c>
      <c r="S148" s="89"/>
      <c r="T148" s="89"/>
      <c r="U148" s="89"/>
      <c r="V148" s="89"/>
      <c r="W148" s="1" t="str">
        <f>IFERROR(Calculations!AP146, "")</f>
        <v/>
      </c>
      <c r="X148" s="1" t="str">
        <f>IFERROR(Calculations!AQ146, "")</f>
        <v/>
      </c>
      <c r="Y148" s="8" t="str">
        <f>IFERROR(Calculations!AR146,"")</f>
        <v/>
      </c>
      <c r="Z148" s="8">
        <f>IFERROR(Calculations!AS146,"")</f>
        <v>0</v>
      </c>
      <c r="AA148" s="8">
        <f>IFERROR(Calculations!AT146,"")</f>
        <v>-119045.70876905716</v>
      </c>
      <c r="AB148" s="8" t="str">
        <f>IFERROR(Calculations!AU146,"")</f>
        <v/>
      </c>
      <c r="AC148" s="8" t="str">
        <f>IFERROR(Calculations!AV146,"")</f>
        <v/>
      </c>
      <c r="AD148" s="8" t="str">
        <f>IFERROR(Calculations!AW146,"")</f>
        <v/>
      </c>
      <c r="AE148" s="8" t="str">
        <f>IFERROR(Calculations!AX146,"")</f>
        <v/>
      </c>
      <c r="AF148" s="8">
        <f>IFERROR(IF(Calculations!AY146 &lt;&gt; 0, Calculations!AY146, ""),"")</f>
        <v>9467.1850579947059</v>
      </c>
      <c r="AG148" s="42">
        <f>IFERROR(IF(Calculations!AZ146 &lt;&gt; 0, Calculations!AZ146, ""),"")</f>
        <v>-2.5152071418530078</v>
      </c>
      <c r="AH148" s="1">
        <f t="shared" si="10"/>
        <v>50</v>
      </c>
      <c r="AI148" s="1">
        <f t="shared" si="11"/>
        <v>550</v>
      </c>
      <c r="AJ148" s="89"/>
      <c r="AK148" s="89"/>
      <c r="AL148" s="89"/>
      <c r="AM148" s="89"/>
      <c r="AN148" s="8" t="str">
        <f>IFERROR(Calculations!BJ146, "")</f>
        <v/>
      </c>
      <c r="AO148" s="8" t="str">
        <f>IFERROR(Calculations!BK146, "")</f>
        <v/>
      </c>
      <c r="AP148" s="8">
        <f>IFERROR(Calculations!BL146, "")</f>
        <v>12.858733204859609</v>
      </c>
      <c r="AQ148" s="8">
        <f>IFERROR(Calculations!BM146, "")</f>
        <v>29.881802043088882</v>
      </c>
      <c r="AR148" s="8" t="str">
        <f>IFERROR(Calculations!BN146, "")</f>
        <v/>
      </c>
      <c r="AS148" s="8" t="str">
        <f>IFERROR(Calculations!BO146, "")</f>
        <v/>
      </c>
      <c r="AT148" s="8" t="str">
        <f>IFERROR(Calculations!BP146, "")</f>
        <v/>
      </c>
      <c r="AU148" s="8" t="str">
        <f>IFERROR(Calculations!BQ146, "")</f>
        <v/>
      </c>
      <c r="AV148" s="8" t="str">
        <f>IFERROR(Calculations!BR146, "")</f>
        <v/>
      </c>
      <c r="AW148" s="89"/>
      <c r="AX148" s="89"/>
      <c r="AY148" s="89"/>
      <c r="AZ148" s="89"/>
      <c r="BA148" s="8" t="str">
        <f>IFERROR(Calculations!BW146, "")</f>
        <v/>
      </c>
      <c r="BB148" s="8" t="str">
        <f>IFERROR(Calculations!BX146, "")</f>
        <v/>
      </c>
      <c r="BC148" s="8" t="str">
        <f>IFERROR(Calculations!BY146, "")</f>
        <v/>
      </c>
      <c r="BD148" s="8">
        <f>IFERROR(Calculations!BZ146, "")</f>
        <v>0</v>
      </c>
      <c r="BE148" s="8">
        <f>IFERROR(Calculations!CA146, "")</f>
        <v>31.450695826497292</v>
      </c>
      <c r="BF148" s="8" t="str">
        <f>IFERROR(Calculations!CB146, "")</f>
        <v/>
      </c>
      <c r="BG148" s="8" t="str">
        <f>IFERROR(Calculations!CC146, "")</f>
        <v/>
      </c>
      <c r="BH148" s="8" t="str">
        <f>IFERROR(Calculations!CD146, "")</f>
        <v/>
      </c>
      <c r="BI148" s="8" t="str">
        <f>IFERROR(Calculations!CE146, "")</f>
        <v/>
      </c>
      <c r="BJ148" s="8">
        <f>IFERROR(IF(Calculations!CF146 &lt;&gt; 0, Calculations!CF146, ""),"")</f>
        <v>-11.289839421451202</v>
      </c>
      <c r="BK148" s="1">
        <f t="shared" si="12"/>
        <v>550</v>
      </c>
      <c r="BL148" s="1">
        <f t="shared" si="13"/>
        <v>50</v>
      </c>
      <c r="CD148" s="8"/>
      <c r="CE148" s="8"/>
      <c r="CF148" s="8"/>
      <c r="CG148" s="8"/>
      <c r="CH148" s="8"/>
      <c r="CI148" s="8"/>
      <c r="CJ148" s="8"/>
      <c r="CK148" s="8"/>
      <c r="CL148" s="8"/>
      <c r="CM148" s="8"/>
      <c r="CN148" s="8"/>
      <c r="CO148" s="8"/>
      <c r="CP148" s="8"/>
      <c r="CQ148" s="8"/>
      <c r="CR148" s="8"/>
      <c r="CS148" s="8"/>
      <c r="CT148" s="8"/>
      <c r="CU148" s="8"/>
      <c r="CV148" s="8"/>
      <c r="CW148" s="8"/>
      <c r="CX148" s="8"/>
      <c r="CY148" s="8"/>
      <c r="CZ148" s="8"/>
      <c r="DA148" s="8"/>
      <c r="DB148" s="8"/>
      <c r="DC148" s="8"/>
      <c r="DD148" s="8"/>
      <c r="DE148" s="8"/>
      <c r="DF148" s="8"/>
      <c r="DG148" s="8"/>
      <c r="DH148" s="8"/>
      <c r="DI148" s="8"/>
      <c r="DJ148" s="8"/>
      <c r="DK148" s="8"/>
      <c r="DL148" s="8"/>
      <c r="DM148" s="8"/>
      <c r="DN148" s="8"/>
      <c r="DO148" s="8"/>
      <c r="DP148" s="8"/>
      <c r="DQ148" s="8"/>
      <c r="DR148" s="8"/>
      <c r="DS148" s="8"/>
      <c r="DT148" s="8"/>
      <c r="DU148" s="8"/>
      <c r="DV148" s="8"/>
      <c r="DW148" s="8"/>
      <c r="DX148" s="8"/>
      <c r="DY148" s="8"/>
      <c r="DZ148" s="8"/>
      <c r="EA148" s="8"/>
    </row>
    <row r="149" spans="2:131" x14ac:dyDescent="0.2">
      <c r="B149" s="1">
        <f>IFERROR(Calculations!M147/1000, "")</f>
        <v>50</v>
      </c>
      <c r="C149" s="1">
        <f>Calculations!N147</f>
        <v>600</v>
      </c>
      <c r="D149" s="58">
        <f>IFERROR(Calculations!$Q147,"")</f>
        <v>1.3875272665667533</v>
      </c>
      <c r="E149" s="8">
        <f>IFERROR(Calculations!$S147, "")</f>
        <v>33.132071080958873</v>
      </c>
      <c r="F149" s="89"/>
      <c r="G149" s="89"/>
      <c r="H149" s="89"/>
      <c r="I149" s="89"/>
      <c r="J149" s="1" t="str">
        <f>IFERROR(Calculations!AC147, "")</f>
        <v/>
      </c>
      <c r="K149" s="1" t="str">
        <f>IFERROR(Calculations!AD147, "")</f>
        <v/>
      </c>
      <c r="L149" s="8">
        <f>IFERROR(Calculations!AE147,"")</f>
        <v>-52962.007406028133</v>
      </c>
      <c r="M149" s="8">
        <f>IFERROR(Calculations!AF147,"")</f>
        <v>-79133.029066545889</v>
      </c>
      <c r="N149" s="8" t="str">
        <f>IFERROR(Calculations!AG147,"")</f>
        <v/>
      </c>
      <c r="O149" s="8" t="str">
        <f>IFERROR(Calculations!AH147,"")</f>
        <v/>
      </c>
      <c r="P149" s="8" t="str">
        <f>IFERROR(Calculations!AI147,"")</f>
        <v/>
      </c>
      <c r="Q149" s="8" t="str">
        <f>IFERROR(Calculations!AJ147,"")</f>
        <v/>
      </c>
      <c r="R149" s="8" t="str">
        <f>IFERROR(Calculations!AK147,"")</f>
        <v/>
      </c>
      <c r="S149" s="89"/>
      <c r="T149" s="89"/>
      <c r="U149" s="89"/>
      <c r="V149" s="89"/>
      <c r="W149" s="1" t="str">
        <f>IFERROR(Calculations!AP147, "")</f>
        <v/>
      </c>
      <c r="X149" s="1" t="str">
        <f>IFERROR(Calculations!AQ147, "")</f>
        <v/>
      </c>
      <c r="Y149" s="8" t="str">
        <f>IFERROR(Calculations!AR147,"")</f>
        <v/>
      </c>
      <c r="Z149" s="8">
        <f>IFERROR(Calculations!AS147,"")</f>
        <v>0</v>
      </c>
      <c r="AA149" s="8">
        <f>IFERROR(Calculations!AT147,"")</f>
        <v>-120755.41060500313</v>
      </c>
      <c r="AB149" s="8" t="str">
        <f>IFERROR(Calculations!AU147,"")</f>
        <v/>
      </c>
      <c r="AC149" s="8" t="str">
        <f>IFERROR(Calculations!AV147,"")</f>
        <v/>
      </c>
      <c r="AD149" s="8" t="str">
        <f>IFERROR(Calculations!AW147,"")</f>
        <v/>
      </c>
      <c r="AE149" s="8" t="str">
        <f>IFERROR(Calculations!AX147,"")</f>
        <v/>
      </c>
      <c r="AF149" s="8">
        <f>IFERROR(IF(Calculations!AY147 &lt;&gt; 0, Calculations!AY147, ""),"")</f>
        <v>11339.625867570896</v>
      </c>
      <c r="AG149" s="42">
        <f>IFERROR(IF(Calculations!AZ147 &lt;&gt; 0, Calculations!AZ147, ""),"")</f>
        <v>-2.8401530321027133</v>
      </c>
      <c r="AH149" s="1">
        <f t="shared" si="10"/>
        <v>50</v>
      </c>
      <c r="AI149" s="1">
        <f t="shared" si="11"/>
        <v>600</v>
      </c>
      <c r="AJ149" s="89"/>
      <c r="AK149" s="89"/>
      <c r="AL149" s="89"/>
      <c r="AM149" s="89"/>
      <c r="AN149" s="8" t="str">
        <f>IFERROR(Calculations!BJ147, "")</f>
        <v/>
      </c>
      <c r="AO149" s="8" t="str">
        <f>IFERROR(Calculations!BK147, "")</f>
        <v/>
      </c>
      <c r="AP149" s="8">
        <f>IFERROR(Calculations!BL147, "")</f>
        <v>12.983730434772896</v>
      </c>
      <c r="AQ149" s="8">
        <f>IFERROR(Calculations!BM147, "")</f>
        <v>29.900073760526329</v>
      </c>
      <c r="AR149" s="8" t="str">
        <f>IFERROR(Calculations!BN147, "")</f>
        <v/>
      </c>
      <c r="AS149" s="8" t="str">
        <f>IFERROR(Calculations!BO147, "")</f>
        <v/>
      </c>
      <c r="AT149" s="8" t="str">
        <f>IFERROR(Calculations!BP147, "")</f>
        <v/>
      </c>
      <c r="AU149" s="8" t="str">
        <f>IFERROR(Calculations!BQ147, "")</f>
        <v/>
      </c>
      <c r="AV149" s="8" t="str">
        <f>IFERROR(Calculations!BR147, "")</f>
        <v/>
      </c>
      <c r="AW149" s="89"/>
      <c r="AX149" s="89"/>
      <c r="AY149" s="89"/>
      <c r="AZ149" s="89"/>
      <c r="BA149" s="8" t="str">
        <f>IFERROR(Calculations!BW147, "")</f>
        <v/>
      </c>
      <c r="BB149" s="8" t="str">
        <f>IFERROR(Calculations!BX147, "")</f>
        <v/>
      </c>
      <c r="BC149" s="8" t="str">
        <f>IFERROR(Calculations!BY147, "")</f>
        <v/>
      </c>
      <c r="BD149" s="8">
        <f>IFERROR(Calculations!BZ147, "")</f>
        <v>0</v>
      </c>
      <c r="BE149" s="8">
        <f>IFERROR(Calculations!CA147, "")</f>
        <v>31.401112725176848</v>
      </c>
      <c r="BF149" s="8" t="str">
        <f>IFERROR(Calculations!CB147, "")</f>
        <v/>
      </c>
      <c r="BG149" s="8" t="str">
        <f>IFERROR(Calculations!CC147, "")</f>
        <v/>
      </c>
      <c r="BH149" s="8" t="str">
        <f>IFERROR(Calculations!CD147, "")</f>
        <v/>
      </c>
      <c r="BI149" s="8" t="str">
        <f>IFERROR(Calculations!CE147, "")</f>
        <v/>
      </c>
      <c r="BJ149" s="8">
        <f>IFERROR(IF(Calculations!CF147 &lt;&gt; 0, Calculations!CF147, ""),"")</f>
        <v>-11.482691470122379</v>
      </c>
      <c r="BK149" s="1">
        <f t="shared" si="12"/>
        <v>600</v>
      </c>
      <c r="BL149" s="1">
        <f t="shared" si="13"/>
        <v>50</v>
      </c>
      <c r="CD149" s="8"/>
      <c r="CE149" s="8"/>
      <c r="CF149" s="8"/>
      <c r="CG149" s="8"/>
      <c r="CH149" s="8"/>
      <c r="CI149" s="8"/>
      <c r="CJ149" s="8"/>
      <c r="CK149" s="8"/>
      <c r="CL149" s="8"/>
      <c r="CM149" s="8"/>
      <c r="CN149" s="8"/>
      <c r="CO149" s="8"/>
      <c r="CP149" s="8"/>
      <c r="CQ149" s="8"/>
      <c r="CR149" s="8"/>
      <c r="CS149" s="8"/>
      <c r="CT149" s="8"/>
      <c r="CU149" s="8"/>
      <c r="CV149" s="8"/>
      <c r="CW149" s="8"/>
      <c r="CX149" s="8"/>
      <c r="CY149" s="8"/>
      <c r="CZ149" s="8"/>
      <c r="DA149" s="8"/>
      <c r="DB149" s="8"/>
      <c r="DC149" s="8"/>
      <c r="DD149" s="8"/>
      <c r="DE149" s="8"/>
      <c r="DF149" s="8"/>
      <c r="DG149" s="8"/>
      <c r="DH149" s="8"/>
      <c r="DI149" s="8"/>
      <c r="DJ149" s="8"/>
      <c r="DK149" s="8"/>
      <c r="DL149" s="8"/>
      <c r="DM149" s="8"/>
      <c r="DN149" s="8"/>
      <c r="DO149" s="8"/>
      <c r="DP149" s="8"/>
      <c r="DQ149" s="8"/>
      <c r="DR149" s="8"/>
      <c r="DS149" s="8"/>
      <c r="DT149" s="8"/>
      <c r="DU149" s="8"/>
      <c r="DV149" s="8"/>
      <c r="DW149" s="8"/>
      <c r="DX149" s="8"/>
      <c r="DY149" s="8"/>
      <c r="DZ149" s="8"/>
      <c r="EA149" s="8"/>
    </row>
    <row r="150" spans="2:131" x14ac:dyDescent="0.2">
      <c r="B150" s="1">
        <f>IFERROR(Calculations!M148/1000, "")</f>
        <v>50</v>
      </c>
      <c r="C150" s="1">
        <f>Calculations!N148</f>
        <v>650</v>
      </c>
      <c r="D150" s="58">
        <f>IFERROR(Calculations!$Q148,"")</f>
        <v>1.3742526202160126</v>
      </c>
      <c r="E150" s="8">
        <f>IFERROR(Calculations!$S148, "")</f>
        <v>30.270095636758267</v>
      </c>
      <c r="F150" s="89"/>
      <c r="G150" s="89"/>
      <c r="H150" s="89"/>
      <c r="I150" s="89"/>
      <c r="J150" s="1" t="str">
        <f>IFERROR(Calculations!AC148, "")</f>
        <v/>
      </c>
      <c r="K150" s="1" t="str">
        <f>IFERROR(Calculations!AD148, "")</f>
        <v/>
      </c>
      <c r="L150" s="8">
        <f>IFERROR(Calculations!AE148,"")</f>
        <v>-54352.024911168657</v>
      </c>
      <c r="M150" s="8">
        <f>IFERROR(Calculations!AF148,"")</f>
        <v>-81412.305666428249</v>
      </c>
      <c r="N150" s="8" t="str">
        <f>IFERROR(Calculations!AG148,"")</f>
        <v/>
      </c>
      <c r="O150" s="8" t="str">
        <f>IFERROR(Calculations!AH148,"")</f>
        <v/>
      </c>
      <c r="P150" s="8" t="str">
        <f>IFERROR(Calculations!AI148,"")</f>
        <v/>
      </c>
      <c r="Q150" s="8" t="str">
        <f>IFERROR(Calculations!AJ148,"")</f>
        <v/>
      </c>
      <c r="R150" s="8" t="str">
        <f>IFERROR(Calculations!AK148,"")</f>
        <v/>
      </c>
      <c r="S150" s="89"/>
      <c r="T150" s="89"/>
      <c r="U150" s="89"/>
      <c r="V150" s="89"/>
      <c r="W150" s="1" t="str">
        <f>IFERROR(Calculations!AP148, "")</f>
        <v/>
      </c>
      <c r="X150" s="1" t="str">
        <f>IFERROR(Calculations!AQ148, "")</f>
        <v/>
      </c>
      <c r="Y150" s="8" t="str">
        <f>IFERROR(Calculations!AR148,"")</f>
        <v/>
      </c>
      <c r="Z150" s="8">
        <f>IFERROR(Calculations!AS148,"")</f>
        <v>0</v>
      </c>
      <c r="AA150" s="8">
        <f>IFERROR(Calculations!AT148,"")</f>
        <v>-122473.87834370323</v>
      </c>
      <c r="AB150" s="8" t="str">
        <f>IFERROR(Calculations!AU148,"")</f>
        <v/>
      </c>
      <c r="AC150" s="8" t="str">
        <f>IFERROR(Calculations!AV148,"")</f>
        <v/>
      </c>
      <c r="AD150" s="8" t="str">
        <f>IFERROR(Calculations!AW148,"")</f>
        <v/>
      </c>
      <c r="AE150" s="8" t="str">
        <f>IFERROR(Calculations!AX148,"")</f>
        <v/>
      </c>
      <c r="AF150" s="8">
        <f>IFERROR(IF(Calculations!AY148 &lt;&gt; 0, Calculations!AY148, ""),"")</f>
        <v>13290.45223389368</v>
      </c>
      <c r="AG150" s="42">
        <f>IFERROR(IF(Calculations!AZ148 &lt;&gt; 0, Calculations!AZ148, ""),"")</f>
        <v>-3.1484685424359613</v>
      </c>
      <c r="AH150" s="1">
        <f t="shared" si="10"/>
        <v>50</v>
      </c>
      <c r="AI150" s="1">
        <f t="shared" si="11"/>
        <v>650</v>
      </c>
      <c r="AJ150" s="89"/>
      <c r="AK150" s="89"/>
      <c r="AL150" s="89"/>
      <c r="AM150" s="89"/>
      <c r="AN150" s="8" t="str">
        <f>IFERROR(Calculations!BJ148, "")</f>
        <v/>
      </c>
      <c r="AO150" s="8" t="str">
        <f>IFERROR(Calculations!BK148, "")</f>
        <v/>
      </c>
      <c r="AP150" s="8">
        <f>IFERROR(Calculations!BL148, "")</f>
        <v>13.109147281209665</v>
      </c>
      <c r="AQ150" s="8">
        <f>IFERROR(Calculations!BM148, "")</f>
        <v>29.920750631717876</v>
      </c>
      <c r="AR150" s="8" t="str">
        <f>IFERROR(Calculations!BN148, "")</f>
        <v/>
      </c>
      <c r="AS150" s="8" t="str">
        <f>IFERROR(Calculations!BO148, "")</f>
        <v/>
      </c>
      <c r="AT150" s="8" t="str">
        <f>IFERROR(Calculations!BP148, "")</f>
        <v/>
      </c>
      <c r="AU150" s="8" t="str">
        <f>IFERROR(Calculations!BQ148, "")</f>
        <v/>
      </c>
      <c r="AV150" s="8" t="str">
        <f>IFERROR(Calculations!BR148, "")</f>
        <v/>
      </c>
      <c r="AW150" s="89"/>
      <c r="AX150" s="89"/>
      <c r="AY150" s="89"/>
      <c r="AZ150" s="89"/>
      <c r="BA150" s="8" t="str">
        <f>IFERROR(Calculations!BW148, "")</f>
        <v/>
      </c>
      <c r="BB150" s="8" t="str">
        <f>IFERROR(Calculations!BX148, "")</f>
        <v/>
      </c>
      <c r="BC150" s="8" t="str">
        <f>IFERROR(Calculations!BY148, "")</f>
        <v/>
      </c>
      <c r="BD150" s="8">
        <f>IFERROR(Calculations!BZ148, "")</f>
        <v>0</v>
      </c>
      <c r="BE150" s="8">
        <f>IFERROR(Calculations!CA148, "")</f>
        <v>31.350650723206897</v>
      </c>
      <c r="BF150" s="8" t="str">
        <f>IFERROR(Calculations!CB148, "")</f>
        <v/>
      </c>
      <c r="BG150" s="8" t="str">
        <f>IFERROR(Calculations!CC148, "")</f>
        <v/>
      </c>
      <c r="BH150" s="8" t="str">
        <f>IFERROR(Calculations!CD148, "")</f>
        <v/>
      </c>
      <c r="BI150" s="8" t="str">
        <f>IFERROR(Calculations!CE148, "")</f>
        <v/>
      </c>
      <c r="BJ150" s="8">
        <f>IFERROR(IF(Calculations!CF148 &lt;&gt; 0, Calculations!CF148, ""),"")</f>
        <v>-11.679247189720641</v>
      </c>
      <c r="BK150" s="1">
        <f t="shared" si="12"/>
        <v>650</v>
      </c>
      <c r="BL150" s="1">
        <f t="shared" si="13"/>
        <v>50</v>
      </c>
      <c r="CD150" s="8"/>
      <c r="CE150" s="8"/>
      <c r="CF150" s="8"/>
      <c r="CG150" s="8"/>
      <c r="CH150" s="8"/>
      <c r="CI150" s="8"/>
      <c r="CJ150" s="8"/>
      <c r="CK150" s="8"/>
      <c r="CL150" s="8"/>
      <c r="CM150" s="8"/>
      <c r="CN150" s="8"/>
      <c r="CO150" s="8"/>
      <c r="CP150" s="8"/>
      <c r="CQ150" s="8"/>
      <c r="CR150" s="8"/>
      <c r="CS150" s="8"/>
      <c r="CT150" s="8"/>
      <c r="CU150" s="8"/>
      <c r="CV150" s="8"/>
      <c r="CW150" s="8"/>
      <c r="CX150" s="8"/>
      <c r="CY150" s="8"/>
      <c r="CZ150" s="8"/>
      <c r="DA150" s="8"/>
      <c r="DB150" s="8"/>
      <c r="DC150" s="8"/>
      <c r="DD150" s="8"/>
      <c r="DE150" s="8"/>
      <c r="DF150" s="8"/>
      <c r="DG150" s="8"/>
      <c r="DH150" s="8"/>
      <c r="DI150" s="8"/>
      <c r="DJ150" s="8"/>
      <c r="DK150" s="8"/>
      <c r="DL150" s="8"/>
      <c r="DM150" s="8"/>
      <c r="DN150" s="8"/>
      <c r="DO150" s="8"/>
      <c r="DP150" s="8"/>
      <c r="DQ150" s="8"/>
      <c r="DR150" s="8"/>
      <c r="DS150" s="8"/>
      <c r="DT150" s="8"/>
      <c r="DU150" s="8"/>
      <c r="DV150" s="8"/>
      <c r="DW150" s="8"/>
      <c r="DX150" s="8"/>
      <c r="DY150" s="8"/>
      <c r="DZ150" s="8"/>
      <c r="EA150" s="8"/>
    </row>
    <row r="151" spans="2:131" x14ac:dyDescent="0.2">
      <c r="B151" s="1">
        <f>IFERROR(Calculations!M149/1000, "")</f>
        <v>50</v>
      </c>
      <c r="C151" s="1">
        <f>Calculations!N149</f>
        <v>700</v>
      </c>
      <c r="D151" s="58">
        <f>IFERROR(Calculations!$Q149,"")</f>
        <v>1.3611916556620596</v>
      </c>
      <c r="E151" s="8">
        <f>IFERROR(Calculations!$S149, "")</f>
        <v>27.713516150231097</v>
      </c>
      <c r="F151" s="89"/>
      <c r="G151" s="89"/>
      <c r="H151" s="89"/>
      <c r="I151" s="89"/>
      <c r="J151" s="1" t="str">
        <f>IFERROR(Calculations!AC149, "")</f>
        <v/>
      </c>
      <c r="K151" s="1" t="str">
        <f>IFERROR(Calculations!AD149, "")</f>
        <v/>
      </c>
      <c r="L151" s="8">
        <f>IFERROR(Calculations!AE149,"")</f>
        <v>-55785.939839273058</v>
      </c>
      <c r="M151" s="8">
        <f>IFERROR(Calculations!AF149,"")</f>
        <v>-83729.838025745237</v>
      </c>
      <c r="N151" s="8" t="str">
        <f>IFERROR(Calculations!AG149,"")</f>
        <v/>
      </c>
      <c r="O151" s="8" t="str">
        <f>IFERROR(Calculations!AH149,"")</f>
        <v/>
      </c>
      <c r="P151" s="8" t="str">
        <f>IFERROR(Calculations!AI149,"")</f>
        <v/>
      </c>
      <c r="Q151" s="8" t="str">
        <f>IFERROR(Calculations!AJ149,"")</f>
        <v/>
      </c>
      <c r="R151" s="8" t="str">
        <f>IFERROR(Calculations!AK149,"")</f>
        <v/>
      </c>
      <c r="S151" s="89"/>
      <c r="T151" s="89"/>
      <c r="U151" s="89"/>
      <c r="V151" s="89"/>
      <c r="W151" s="1" t="str">
        <f>IFERROR(Calculations!AP149, "")</f>
        <v/>
      </c>
      <c r="X151" s="1" t="str">
        <f>IFERROR(Calculations!AQ149, "")</f>
        <v/>
      </c>
      <c r="Y151" s="8" t="str">
        <f>IFERROR(Calculations!AR149,"")</f>
        <v/>
      </c>
      <c r="Z151" s="8">
        <f>IFERROR(Calculations!AS149,"")</f>
        <v>0</v>
      </c>
      <c r="AA151" s="8">
        <f>IFERROR(Calculations!AT149,"")</f>
        <v>-124198.06624456214</v>
      </c>
      <c r="AB151" s="8" t="str">
        <f>IFERROR(Calculations!AU149,"")</f>
        <v/>
      </c>
      <c r="AC151" s="8" t="str">
        <f>IFERROR(Calculations!AV149,"")</f>
        <v/>
      </c>
      <c r="AD151" s="8" t="str">
        <f>IFERROR(Calculations!AW149,"")</f>
        <v/>
      </c>
      <c r="AE151" s="8" t="str">
        <f>IFERROR(Calculations!AX149,"")</f>
        <v/>
      </c>
      <c r="AF151" s="8">
        <f>IFERROR(IF(Calculations!AY149 &lt;&gt; 0, Calculations!AY149, ""),"")</f>
        <v>15317.711620456146</v>
      </c>
      <c r="AG151" s="42">
        <f>IFERROR(IF(Calculations!AZ149 &lt;&gt; 0, Calculations!AZ149, ""),"")</f>
        <v>-3.4422782722252174</v>
      </c>
      <c r="AH151" s="1">
        <f t="shared" si="10"/>
        <v>50</v>
      </c>
      <c r="AI151" s="1">
        <f t="shared" si="11"/>
        <v>700</v>
      </c>
      <c r="AJ151" s="89"/>
      <c r="AK151" s="89"/>
      <c r="AL151" s="89"/>
      <c r="AM151" s="89"/>
      <c r="AN151" s="8" t="str">
        <f>IFERROR(Calculations!BJ149, "")</f>
        <v/>
      </c>
      <c r="AO151" s="8" t="str">
        <f>IFERROR(Calculations!BK149, "")</f>
        <v/>
      </c>
      <c r="AP151" s="8">
        <f>IFERROR(Calculations!BL149, "")</f>
        <v>13.234932733434725</v>
      </c>
      <c r="AQ151" s="8">
        <f>IFERROR(Calculations!BM149, "")</f>
        <v>29.943394032646541</v>
      </c>
      <c r="AR151" s="8" t="str">
        <f>IFERROR(Calculations!BN149, "")</f>
        <v/>
      </c>
      <c r="AS151" s="8" t="str">
        <f>IFERROR(Calculations!BO149, "")</f>
        <v/>
      </c>
      <c r="AT151" s="8" t="str">
        <f>IFERROR(Calculations!BP149, "")</f>
        <v/>
      </c>
      <c r="AU151" s="8" t="str">
        <f>IFERROR(Calculations!BQ149, "")</f>
        <v/>
      </c>
      <c r="AV151" s="8" t="str">
        <f>IFERROR(Calculations!BR149, "")</f>
        <v/>
      </c>
      <c r="AW151" s="89"/>
      <c r="AX151" s="89"/>
      <c r="AY151" s="89"/>
      <c r="AZ151" s="89"/>
      <c r="BA151" s="8" t="str">
        <f>IFERROR(Calculations!BW149, "")</f>
        <v/>
      </c>
      <c r="BB151" s="8" t="str">
        <f>IFERROR(Calculations!BX149, "")</f>
        <v/>
      </c>
      <c r="BC151" s="8" t="str">
        <f>IFERROR(Calculations!BY149, "")</f>
        <v/>
      </c>
      <c r="BD151" s="8">
        <f>IFERROR(Calculations!BZ149, "")</f>
        <v>0</v>
      </c>
      <c r="BE151" s="8">
        <f>IFERROR(Calculations!CA149, "")</f>
        <v>31.299414265971727</v>
      </c>
      <c r="BF151" s="8" t="str">
        <f>IFERROR(Calculations!CB149, "")</f>
        <v/>
      </c>
      <c r="BG151" s="8" t="str">
        <f>IFERROR(Calculations!CC149, "")</f>
        <v/>
      </c>
      <c r="BH151" s="8" t="str">
        <f>IFERROR(Calculations!CD149, "")</f>
        <v/>
      </c>
      <c r="BI151" s="8" t="str">
        <f>IFERROR(Calculations!CE149, "")</f>
        <v/>
      </c>
      <c r="BJ151" s="8">
        <f>IFERROR(IF(Calculations!CF149 &lt;&gt; 0, Calculations!CF149, ""),"")</f>
        <v>-11.878912500109543</v>
      </c>
      <c r="BK151" s="1">
        <f t="shared" si="12"/>
        <v>700</v>
      </c>
      <c r="BL151" s="1">
        <f t="shared" si="13"/>
        <v>50</v>
      </c>
      <c r="CD151" s="8"/>
      <c r="CE151" s="8"/>
      <c r="CF151" s="8"/>
      <c r="CG151" s="8"/>
      <c r="CH151" s="8"/>
      <c r="CI151" s="8"/>
      <c r="CJ151" s="8"/>
      <c r="CK151" s="8"/>
      <c r="CL151" s="8"/>
      <c r="CM151" s="8"/>
      <c r="CN151" s="8"/>
      <c r="CO151" s="8"/>
      <c r="CP151" s="8"/>
      <c r="CQ151" s="8"/>
      <c r="CR151" s="8"/>
      <c r="CS151" s="8"/>
      <c r="CT151" s="8"/>
      <c r="CU151" s="8"/>
      <c r="CV151" s="8"/>
      <c r="CW151" s="8"/>
      <c r="CX151" s="8"/>
      <c r="CY151" s="8"/>
      <c r="CZ151" s="8"/>
      <c r="DA151" s="8"/>
      <c r="DB151" s="8"/>
      <c r="DC151" s="8"/>
      <c r="DD151" s="8"/>
      <c r="DE151" s="8"/>
      <c r="DF151" s="8"/>
      <c r="DG151" s="8"/>
      <c r="DH151" s="8"/>
      <c r="DI151" s="8"/>
      <c r="DJ151" s="8"/>
      <c r="DK151" s="8"/>
      <c r="DL151" s="8"/>
      <c r="DM151" s="8"/>
      <c r="DN151" s="8"/>
      <c r="DO151" s="8"/>
      <c r="DP151" s="8"/>
      <c r="DQ151" s="8"/>
      <c r="DR151" s="8"/>
      <c r="DS151" s="8"/>
      <c r="DT151" s="8"/>
      <c r="DU151" s="8"/>
      <c r="DV151" s="8"/>
      <c r="DW151" s="8"/>
      <c r="DX151" s="8"/>
      <c r="DY151" s="8"/>
      <c r="DZ151" s="8"/>
      <c r="EA151" s="8"/>
    </row>
    <row r="152" spans="2:131" x14ac:dyDescent="0.2">
      <c r="B152" s="1">
        <f>IFERROR(Calculations!M150/1000, "")</f>
        <v>50</v>
      </c>
      <c r="C152" s="1">
        <f>Calculations!N150</f>
        <v>750</v>
      </c>
      <c r="D152" s="58">
        <f>IFERROR(Calculations!$Q150,"")</f>
        <v>1.3483500353235005</v>
      </c>
      <c r="E152" s="8">
        <f>IFERROR(Calculations!$S150, "")</f>
        <v>25.423402100306809</v>
      </c>
      <c r="F152" s="89"/>
      <c r="G152" s="89"/>
      <c r="H152" s="89"/>
      <c r="I152" s="89"/>
      <c r="J152" s="1" t="str">
        <f>IFERROR(Calculations!AC150, "")</f>
        <v/>
      </c>
      <c r="K152" s="1" t="str">
        <f>IFERROR(Calculations!AD150, "")</f>
        <v/>
      </c>
      <c r="L152" s="8">
        <f>IFERROR(Calculations!AE150,"")</f>
        <v>-57264.504345557521</v>
      </c>
      <c r="M152" s="8">
        <f>IFERROR(Calculations!AF150,"")</f>
        <v>-86085.281924716212</v>
      </c>
      <c r="N152" s="8" t="str">
        <f>IFERROR(Calculations!AG150,"")</f>
        <v/>
      </c>
      <c r="O152" s="8" t="str">
        <f>IFERROR(Calculations!AH150,"")</f>
        <v/>
      </c>
      <c r="P152" s="8" t="str">
        <f>IFERROR(Calculations!AI150,"")</f>
        <v/>
      </c>
      <c r="Q152" s="8" t="str">
        <f>IFERROR(Calculations!AJ150,"")</f>
        <v/>
      </c>
      <c r="R152" s="8" t="str">
        <f>IFERROR(Calculations!AK150,"")</f>
        <v/>
      </c>
      <c r="S152" s="89"/>
      <c r="T152" s="89"/>
      <c r="U152" s="89"/>
      <c r="V152" s="89"/>
      <c r="W152" s="1" t="str">
        <f>IFERROR(Calculations!AP150, "")</f>
        <v/>
      </c>
      <c r="X152" s="1" t="str">
        <f>IFERROR(Calculations!AQ150, "")</f>
        <v/>
      </c>
      <c r="Y152" s="8" t="str">
        <f>IFERROR(Calculations!AR150,"")</f>
        <v/>
      </c>
      <c r="Z152" s="8">
        <f>IFERROR(Calculations!AS150,"")</f>
        <v>0</v>
      </c>
      <c r="AA152" s="8">
        <f>IFERROR(Calculations!AT150,"")</f>
        <v>-125925.19258452399</v>
      </c>
      <c r="AB152" s="8" t="str">
        <f>IFERROR(Calculations!AU150,"")</f>
        <v/>
      </c>
      <c r="AC152" s="8" t="str">
        <f>IFERROR(Calculations!AV150,"")</f>
        <v/>
      </c>
      <c r="AD152" s="8" t="str">
        <f>IFERROR(Calculations!AW150,"")</f>
        <v/>
      </c>
      <c r="AE152" s="8" t="str">
        <f>IFERROR(Calculations!AX150,"")</f>
        <v/>
      </c>
      <c r="AF152" s="8">
        <f>IFERROR(IF(Calculations!AY150 &lt;&gt; 0, Calculations!AY150, ""),"")</f>
        <v>17424.593685749744</v>
      </c>
      <c r="AG152" s="42">
        <f>IFERROR(IF(Calculations!AZ150 &lt;&gt; 0, Calculations!AZ150, ""),"")</f>
        <v>-3.7243906251587391</v>
      </c>
      <c r="AH152" s="1">
        <f t="shared" si="10"/>
        <v>50</v>
      </c>
      <c r="AI152" s="1">
        <f t="shared" si="11"/>
        <v>750</v>
      </c>
      <c r="AJ152" s="89"/>
      <c r="AK152" s="89"/>
      <c r="AL152" s="89"/>
      <c r="AM152" s="89"/>
      <c r="AN152" s="8" t="str">
        <f>IFERROR(Calculations!BJ150, "")</f>
        <v/>
      </c>
      <c r="AO152" s="8" t="str">
        <f>IFERROR(Calculations!BK150, "")</f>
        <v/>
      </c>
      <c r="AP152" s="8">
        <f>IFERROR(Calculations!BL150, "")</f>
        <v>13.360981590865398</v>
      </c>
      <c r="AQ152" s="8">
        <f>IFERROR(Calculations!BM150, "")</f>
        <v>29.967649064839623</v>
      </c>
      <c r="AR152" s="8" t="str">
        <f>IFERROR(Calculations!BN150, "")</f>
        <v/>
      </c>
      <c r="AS152" s="8" t="str">
        <f>IFERROR(Calculations!BO150, "")</f>
        <v/>
      </c>
      <c r="AT152" s="8" t="str">
        <f>IFERROR(Calculations!BP150, "")</f>
        <v/>
      </c>
      <c r="AU152" s="8" t="str">
        <f>IFERROR(Calculations!BQ150, "")</f>
        <v/>
      </c>
      <c r="AV152" s="8" t="str">
        <f>IFERROR(Calculations!BR150, "")</f>
        <v/>
      </c>
      <c r="AW152" s="89"/>
      <c r="AX152" s="89"/>
      <c r="AY152" s="89"/>
      <c r="AZ152" s="89"/>
      <c r="BA152" s="8" t="str">
        <f>IFERROR(Calculations!BW150, "")</f>
        <v/>
      </c>
      <c r="BB152" s="8" t="str">
        <f>IFERROR(Calculations!BX150, "")</f>
        <v/>
      </c>
      <c r="BC152" s="8" t="str">
        <f>IFERROR(Calculations!BY150, "")</f>
        <v/>
      </c>
      <c r="BD152" s="8">
        <f>IFERROR(Calculations!BZ150, "")</f>
        <v>0</v>
      </c>
      <c r="BE152" s="8">
        <f>IFERROR(Calculations!CA150, "")</f>
        <v>31.247523864361767</v>
      </c>
      <c r="BF152" s="8" t="str">
        <f>IFERROR(Calculations!CB150, "")</f>
        <v/>
      </c>
      <c r="BG152" s="8" t="str">
        <f>IFERROR(Calculations!CC150, "")</f>
        <v/>
      </c>
      <c r="BH152" s="8" t="str">
        <f>IFERROR(Calculations!CD150, "")</f>
        <v/>
      </c>
      <c r="BI152" s="8" t="str">
        <f>IFERROR(Calculations!CE150, "")</f>
        <v/>
      </c>
      <c r="BJ152" s="8">
        <f>IFERROR(IF(Calculations!CF150 &lt;&gt; 0, Calculations!CF150, ""),"")</f>
        <v>-12.081106791343252</v>
      </c>
      <c r="BK152" s="1">
        <f t="shared" si="12"/>
        <v>750</v>
      </c>
      <c r="BL152" s="1">
        <f t="shared" si="13"/>
        <v>50</v>
      </c>
      <c r="CD152" s="8"/>
      <c r="CE152" s="8"/>
      <c r="CF152" s="8"/>
      <c r="CG152" s="8"/>
      <c r="CH152" s="8"/>
      <c r="CI152" s="8"/>
      <c r="CJ152" s="8"/>
      <c r="CK152" s="8"/>
      <c r="CL152" s="8"/>
      <c r="CM152" s="8"/>
      <c r="CN152" s="8"/>
      <c r="CO152" s="8"/>
      <c r="CP152" s="8"/>
      <c r="CQ152" s="8"/>
      <c r="CR152" s="8"/>
      <c r="CS152" s="8"/>
      <c r="CT152" s="8"/>
      <c r="CU152" s="8"/>
      <c r="CV152" s="8"/>
      <c r="CW152" s="8"/>
      <c r="CX152" s="8"/>
      <c r="CY152" s="8"/>
      <c r="CZ152" s="8"/>
      <c r="DA152" s="8"/>
      <c r="DB152" s="8"/>
      <c r="DC152" s="8"/>
      <c r="DD152" s="8"/>
      <c r="DE152" s="8"/>
      <c r="DF152" s="8"/>
      <c r="DG152" s="8"/>
      <c r="DH152" s="8"/>
      <c r="DI152" s="8"/>
      <c r="DJ152" s="8"/>
      <c r="DK152" s="8"/>
      <c r="DL152" s="8"/>
      <c r="DM152" s="8"/>
      <c r="DN152" s="8"/>
      <c r="DO152" s="8"/>
      <c r="DP152" s="8"/>
      <c r="DQ152" s="8"/>
      <c r="DR152" s="8"/>
      <c r="DS152" s="8"/>
      <c r="DT152" s="8"/>
      <c r="DU152" s="8"/>
      <c r="DV152" s="8"/>
      <c r="DW152" s="8"/>
      <c r="DX152" s="8"/>
      <c r="DY152" s="8"/>
      <c r="DZ152" s="8"/>
      <c r="EA152" s="8"/>
    </row>
    <row r="153" spans="2:131" x14ac:dyDescent="0.2">
      <c r="B153" s="1">
        <f>IFERROR(Calculations!M151/1000, "")</f>
        <v>50</v>
      </c>
      <c r="C153" s="1">
        <f>Calculations!N151</f>
        <v>800</v>
      </c>
      <c r="D153" s="58">
        <f>IFERROR(Calculations!$Q151,"")</f>
        <v>1.3357350607401135</v>
      </c>
      <c r="E153" s="8">
        <f>IFERROR(Calculations!$S151, "")</f>
        <v>23.366905517623145</v>
      </c>
      <c r="F153" s="89"/>
      <c r="G153" s="89"/>
      <c r="H153" s="89"/>
      <c r="I153" s="89"/>
      <c r="J153" s="1" t="str">
        <f>IFERROR(Calculations!AC151, "")</f>
        <v/>
      </c>
      <c r="K153" s="1" t="str">
        <f>IFERROR(Calculations!AD151, "")</f>
        <v/>
      </c>
      <c r="L153" s="8">
        <f>IFERROR(Calculations!AE151,"")</f>
        <v>-58802.406864352881</v>
      </c>
      <c r="M153" s="8">
        <f>IFERROR(Calculations!AF151,"")</f>
        <v>-88478.349520027725</v>
      </c>
      <c r="N153" s="8" t="str">
        <f>IFERROR(Calculations!AG151,"")</f>
        <v/>
      </c>
      <c r="O153" s="8" t="str">
        <f>IFERROR(Calculations!AH151,"")</f>
        <v/>
      </c>
      <c r="P153" s="8" t="str">
        <f>IFERROR(Calculations!AI151,"")</f>
        <v/>
      </c>
      <c r="Q153" s="8" t="str">
        <f>IFERROR(Calculations!AJ151,"")</f>
        <v/>
      </c>
      <c r="R153" s="8" t="str">
        <f>IFERROR(Calculations!AK151,"")</f>
        <v/>
      </c>
      <c r="S153" s="89"/>
      <c r="T153" s="89"/>
      <c r="U153" s="89"/>
      <c r="V153" s="89"/>
      <c r="W153" s="1" t="str">
        <f>IFERROR(Calculations!AP151, "")</f>
        <v/>
      </c>
      <c r="X153" s="1" t="str">
        <f>IFERROR(Calculations!AQ151, "")</f>
        <v/>
      </c>
      <c r="Y153" s="8" t="str">
        <f>IFERROR(Calculations!AR151,"")</f>
        <v/>
      </c>
      <c r="Z153" s="8">
        <f>IFERROR(Calculations!AS151,"")</f>
        <v>0</v>
      </c>
      <c r="AA153" s="8">
        <f>IFERROR(Calculations!AT151,"")</f>
        <v>-127652.69381926279</v>
      </c>
      <c r="AB153" s="8" t="str">
        <f>IFERROR(Calculations!AU151,"")</f>
        <v/>
      </c>
      <c r="AC153" s="8" t="str">
        <f>IFERROR(Calculations!AV151,"")</f>
        <v/>
      </c>
      <c r="AD153" s="8" t="str">
        <f>IFERROR(Calculations!AW151,"")</f>
        <v/>
      </c>
      <c r="AE153" s="8" t="str">
        <f>IFERROR(Calculations!AX151,"")</f>
        <v/>
      </c>
      <c r="AF153" s="8">
        <f>IFERROR(IF(Calculations!AY151 &lt;&gt; 0, Calculations!AY151, ""),"")</f>
        <v>19628.062565117812</v>
      </c>
      <c r="AG153" s="42">
        <f>IFERROR(IF(Calculations!AZ151 &lt;&gt; 0, Calculations!AZ151, ""),"")</f>
        <v>-3.99989763727792</v>
      </c>
      <c r="AH153" s="1">
        <f t="shared" si="10"/>
        <v>50</v>
      </c>
      <c r="AI153" s="1">
        <f t="shared" si="11"/>
        <v>800</v>
      </c>
      <c r="AJ153" s="89"/>
      <c r="AK153" s="89"/>
      <c r="AL153" s="89"/>
      <c r="AM153" s="89"/>
      <c r="AN153" s="8" t="str">
        <f>IFERROR(Calculations!BJ151, "")</f>
        <v/>
      </c>
      <c r="AO153" s="8" t="str">
        <f>IFERROR(Calculations!BK151, "")</f>
        <v/>
      </c>
      <c r="AP153" s="8">
        <f>IFERROR(Calculations!BL151, "")</f>
        <v>13.487165628502682</v>
      </c>
      <c r="AQ153" s="8">
        <f>IFERROR(Calculations!BM151, "")</f>
        <v>29.993216228762059</v>
      </c>
      <c r="AR153" s="8" t="str">
        <f>IFERROR(Calculations!BN151, "")</f>
        <v/>
      </c>
      <c r="AS153" s="8" t="str">
        <f>IFERROR(Calculations!BO151, "")</f>
        <v/>
      </c>
      <c r="AT153" s="8" t="str">
        <f>IFERROR(Calculations!BP151, "")</f>
        <v/>
      </c>
      <c r="AU153" s="8" t="str">
        <f>IFERROR(Calculations!BQ151, "")</f>
        <v/>
      </c>
      <c r="AV153" s="8" t="str">
        <f>IFERROR(Calculations!BR151, "")</f>
        <v/>
      </c>
      <c r="AW153" s="89"/>
      <c r="AX153" s="89"/>
      <c r="AY153" s="89"/>
      <c r="AZ153" s="89"/>
      <c r="BA153" s="8" t="str">
        <f>IFERROR(Calculations!BW151, "")</f>
        <v/>
      </c>
      <c r="BB153" s="8" t="str">
        <f>IFERROR(Calculations!BX151, "")</f>
        <v/>
      </c>
      <c r="BC153" s="8" t="str">
        <f>IFERROR(Calculations!BY151, "")</f>
        <v/>
      </c>
      <c r="BD153" s="8">
        <f>IFERROR(Calculations!BZ151, "")</f>
        <v>0</v>
      </c>
      <c r="BE153" s="8">
        <f>IFERROR(Calculations!CA151, "")</f>
        <v>31.195117008903932</v>
      </c>
      <c r="BF153" s="8" t="str">
        <f>IFERROR(Calculations!CB151, "")</f>
        <v/>
      </c>
      <c r="BG153" s="8" t="str">
        <f>IFERROR(Calculations!CC151, "")</f>
        <v/>
      </c>
      <c r="BH153" s="8" t="str">
        <f>IFERROR(Calculations!CD151, "")</f>
        <v/>
      </c>
      <c r="BI153" s="8" t="str">
        <f>IFERROR(Calculations!CE151, "")</f>
        <v/>
      </c>
      <c r="BJ153" s="8">
        <f>IFERROR(IF(Calculations!CF151 &lt;&gt; 0, Calculations!CF151, ""),"")</f>
        <v>-12.285264848360807</v>
      </c>
      <c r="BK153" s="1">
        <f t="shared" si="12"/>
        <v>800</v>
      </c>
      <c r="BL153" s="1">
        <f t="shared" si="13"/>
        <v>50</v>
      </c>
      <c r="CD153" s="8"/>
      <c r="CE153" s="8"/>
      <c r="CF153" s="8"/>
      <c r="CG153" s="8"/>
      <c r="CH153" s="8"/>
      <c r="CI153" s="8"/>
      <c r="CJ153" s="8"/>
      <c r="CK153" s="8"/>
      <c r="CL153" s="8"/>
      <c r="CM153" s="8"/>
      <c r="CN153" s="8"/>
      <c r="CO153" s="8"/>
      <c r="CP153" s="8"/>
      <c r="CQ153" s="8"/>
      <c r="CR153" s="8"/>
      <c r="CS153" s="8"/>
      <c r="CT153" s="8"/>
      <c r="CU153" s="8"/>
      <c r="CV153" s="8"/>
      <c r="CW153" s="8"/>
      <c r="CX153" s="8"/>
      <c r="CY153" s="8"/>
      <c r="CZ153" s="8"/>
      <c r="DA153" s="8"/>
      <c r="DB153" s="8"/>
      <c r="DC153" s="8"/>
      <c r="DD153" s="8"/>
      <c r="DE153" s="8"/>
      <c r="DF153" s="8"/>
      <c r="DG153" s="8"/>
      <c r="DH153" s="8"/>
      <c r="DI153" s="8"/>
      <c r="DJ153" s="8"/>
      <c r="DK153" s="8"/>
      <c r="DL153" s="8"/>
      <c r="DM153" s="8"/>
      <c r="DN153" s="8"/>
      <c r="DO153" s="8"/>
      <c r="DP153" s="8"/>
      <c r="DQ153" s="8"/>
      <c r="DR153" s="8"/>
      <c r="DS153" s="8"/>
      <c r="DT153" s="8"/>
      <c r="DU153" s="8"/>
      <c r="DV153" s="8"/>
      <c r="DW153" s="8"/>
      <c r="DX153" s="8"/>
      <c r="DY153" s="8"/>
      <c r="DZ153" s="8"/>
      <c r="EA153" s="8"/>
    </row>
    <row r="154" spans="2:131" x14ac:dyDescent="0.2">
      <c r="B154" s="1">
        <f>IFERROR(Calculations!M152/1000, "")</f>
        <v>50</v>
      </c>
      <c r="C154" s="1">
        <f>Calculations!N152</f>
        <v>850</v>
      </c>
      <c r="D154" s="58">
        <f>IFERROR(Calculations!$Q152,"")</f>
        <v>1.3233536609241368</v>
      </c>
      <c r="E154" s="8">
        <f>IFERROR(Calculations!$S152, "")</f>
        <v>21.516032841925565</v>
      </c>
      <c r="F154" s="89"/>
      <c r="G154" s="89"/>
      <c r="H154" s="89"/>
      <c r="I154" s="89"/>
      <c r="J154" s="1" t="str">
        <f>IFERROR(Calculations!AC152, "")</f>
        <v/>
      </c>
      <c r="K154" s="1" t="str">
        <f>IFERROR(Calculations!AD152, "")</f>
        <v/>
      </c>
      <c r="L154" s="8">
        <f>IFERROR(Calculations!AE152,"")</f>
        <v>-60331.285647734883</v>
      </c>
      <c r="M154" s="8">
        <f>IFERROR(Calculations!AF152,"")</f>
        <v>-90908.806532308736</v>
      </c>
      <c r="N154" s="8" t="str">
        <f>IFERROR(Calculations!AG152,"")</f>
        <v/>
      </c>
      <c r="O154" s="8" t="str">
        <f>IFERROR(Calculations!AH152,"")</f>
        <v/>
      </c>
      <c r="P154" s="8" t="str">
        <f>IFERROR(Calculations!AI152,"")</f>
        <v/>
      </c>
      <c r="Q154" s="8" t="str">
        <f>IFERROR(Calculations!AJ152,"")</f>
        <v/>
      </c>
      <c r="R154" s="8" t="str">
        <f>IFERROR(Calculations!AK152,"")</f>
        <v/>
      </c>
      <c r="S154" s="89"/>
      <c r="T154" s="89"/>
      <c r="U154" s="89"/>
      <c r="V154" s="89"/>
      <c r="W154" s="1" t="str">
        <f>IFERROR(Calculations!AP152, "")</f>
        <v/>
      </c>
      <c r="X154" s="1" t="str">
        <f>IFERROR(Calculations!AQ152, "")</f>
        <v/>
      </c>
      <c r="Y154" s="8" t="str">
        <f>IFERROR(Calculations!AR152,"")</f>
        <v/>
      </c>
      <c r="Z154" s="8">
        <f>IFERROR(Calculations!AS152,"")</f>
        <v>0</v>
      </c>
      <c r="AA154" s="8">
        <f>IFERROR(Calculations!AT152,"")</f>
        <v>-129378.19014376523</v>
      </c>
      <c r="AB154" s="8" t="str">
        <f>IFERROR(Calculations!AU152,"")</f>
        <v/>
      </c>
      <c r="AC154" s="8" t="str">
        <f>IFERROR(Calculations!AV152,"")</f>
        <v/>
      </c>
      <c r="AD154" s="8" t="str">
        <f>IFERROR(Calculations!AW152,"")</f>
        <v/>
      </c>
      <c r="AE154" s="8" t="str">
        <f>IFERROR(Calculations!AX152,"")</f>
        <v/>
      </c>
      <c r="AF154" s="8">
        <f>IFERROR(IF(Calculations!AY152 &lt;&gt; 0, Calculations!AY152, ""),"")</f>
        <v>21861.902036278407</v>
      </c>
      <c r="AG154" s="42">
        <f>IFERROR(IF(Calculations!AZ152 &lt;&gt; 0, Calculations!AZ152, ""),"")</f>
        <v>-4.2567883368890662</v>
      </c>
      <c r="AH154" s="1">
        <f t="shared" si="10"/>
        <v>50</v>
      </c>
      <c r="AI154" s="1">
        <f t="shared" si="11"/>
        <v>850</v>
      </c>
      <c r="AJ154" s="89"/>
      <c r="AK154" s="89"/>
      <c r="AL154" s="89"/>
      <c r="AM154" s="89"/>
      <c r="AN154" s="8" t="str">
        <f>IFERROR(Calculations!BJ152, "")</f>
        <v/>
      </c>
      <c r="AO154" s="8" t="str">
        <f>IFERROR(Calculations!BK152, "")</f>
        <v/>
      </c>
      <c r="AP154" s="8">
        <f>IFERROR(Calculations!BL152, "")</f>
        <v>13.613352599500425</v>
      </c>
      <c r="AQ154" s="8">
        <f>IFERROR(Calculations!BM152, "")</f>
        <v>30.019832814999681</v>
      </c>
      <c r="AR154" s="8" t="str">
        <f>IFERROR(Calculations!BN152, "")</f>
        <v/>
      </c>
      <c r="AS154" s="8" t="str">
        <f>IFERROR(Calculations!BO152, "")</f>
        <v/>
      </c>
      <c r="AT154" s="8" t="str">
        <f>IFERROR(Calculations!BP152, "")</f>
        <v/>
      </c>
      <c r="AU154" s="8" t="str">
        <f>IFERROR(Calculations!BQ152, "")</f>
        <v/>
      </c>
      <c r="AV154" s="8" t="str">
        <f>IFERROR(Calculations!BR152, "")</f>
        <v/>
      </c>
      <c r="AW154" s="89"/>
      <c r="AX154" s="89"/>
      <c r="AY154" s="89"/>
      <c r="AZ154" s="89"/>
      <c r="BA154" s="8" t="str">
        <f>IFERROR(Calculations!BW152, "")</f>
        <v/>
      </c>
      <c r="BB154" s="8" t="str">
        <f>IFERROR(Calculations!BX152, "")</f>
        <v/>
      </c>
      <c r="BC154" s="8" t="str">
        <f>IFERROR(Calculations!BY152, "")</f>
        <v/>
      </c>
      <c r="BD154" s="8">
        <f>IFERROR(Calculations!BZ152, "")</f>
        <v>0</v>
      </c>
      <c r="BE154" s="8">
        <f>IFERROR(Calculations!CA152, "")</f>
        <v>31.142348420323998</v>
      </c>
      <c r="BF154" s="8" t="str">
        <f>IFERROR(Calculations!CB152, "")</f>
        <v/>
      </c>
      <c r="BG154" s="8" t="str">
        <f>IFERROR(Calculations!CC152, "")</f>
        <v/>
      </c>
      <c r="BH154" s="8" t="str">
        <f>IFERROR(Calculations!CD152, "")</f>
        <v/>
      </c>
      <c r="BI154" s="8" t="str">
        <f>IFERROR(Calculations!CE152, "")</f>
        <v/>
      </c>
      <c r="BJ154" s="8">
        <f>IFERROR(IF(Calculations!CF152 &lt;&gt; 0, Calculations!CF152, ""),"")</f>
        <v>-12.490836994176107</v>
      </c>
      <c r="BK154" s="1">
        <f t="shared" si="12"/>
        <v>850</v>
      </c>
      <c r="BL154" s="1">
        <f t="shared" si="13"/>
        <v>50</v>
      </c>
      <c r="CD154" s="8"/>
      <c r="CE154" s="8"/>
      <c r="CF154" s="8"/>
      <c r="CG154" s="8"/>
      <c r="CH154" s="8"/>
      <c r="CI154" s="8"/>
      <c r="CJ154" s="8"/>
      <c r="CK154" s="8"/>
      <c r="CL154" s="8"/>
      <c r="CM154" s="8"/>
      <c r="CN154" s="8"/>
      <c r="CO154" s="8"/>
      <c r="CP154" s="8"/>
      <c r="CQ154" s="8"/>
      <c r="CR154" s="8"/>
      <c r="CS154" s="8"/>
      <c r="CT154" s="8"/>
      <c r="CU154" s="8"/>
      <c r="CV154" s="8"/>
      <c r="CW154" s="8"/>
      <c r="CX154" s="8"/>
      <c r="CY154" s="8"/>
      <c r="CZ154" s="8"/>
      <c r="DA154" s="8"/>
      <c r="DB154" s="8"/>
      <c r="DC154" s="8"/>
      <c r="DD154" s="8"/>
      <c r="DE154" s="8"/>
      <c r="DF154" s="8"/>
      <c r="DG154" s="8"/>
      <c r="DH154" s="8"/>
      <c r="DI154" s="8"/>
      <c r="DJ154" s="8"/>
      <c r="DK154" s="8"/>
      <c r="DL154" s="8"/>
      <c r="DM154" s="8"/>
      <c r="DN154" s="8"/>
      <c r="DO154" s="8"/>
      <c r="DP154" s="8"/>
      <c r="DQ154" s="8"/>
      <c r="DR154" s="8"/>
      <c r="DS154" s="8"/>
      <c r="DT154" s="8"/>
      <c r="DU154" s="8"/>
      <c r="DV154" s="8"/>
      <c r="DW154" s="8"/>
      <c r="DX154" s="8"/>
      <c r="DY154" s="8"/>
      <c r="DZ154" s="8"/>
      <c r="EA154" s="8"/>
    </row>
    <row r="155" spans="2:131" x14ac:dyDescent="0.2">
      <c r="B155" s="1">
        <f>IFERROR(Calculations!M153/1000, "")</f>
        <v>50</v>
      </c>
      <c r="C155" s="1">
        <f>Calculations!N153</f>
        <v>900</v>
      </c>
      <c r="D155" s="58">
        <f>IFERROR(Calculations!$Q153,"")</f>
        <v>1.3112118708217146</v>
      </c>
      <c r="E155" s="8">
        <f>IFERROR(Calculations!$S153, "")</f>
        <v>19.846752756954068</v>
      </c>
      <c r="F155" s="89"/>
      <c r="G155" s="89"/>
      <c r="H155" s="89"/>
      <c r="I155" s="89"/>
      <c r="J155" s="1" t="str">
        <f>IFERROR(Calculations!AC153, "")</f>
        <v/>
      </c>
      <c r="K155" s="1" t="str">
        <f>IFERROR(Calculations!AD153, "")</f>
        <v/>
      </c>
      <c r="L155" s="8">
        <f>IFERROR(Calculations!AE153,"")</f>
        <v>-61966.808818080994</v>
      </c>
      <c r="M155" s="8">
        <f>IFERROR(Calculations!AF153,"")</f>
        <v>-93376.46569883448</v>
      </c>
      <c r="N155" s="8" t="str">
        <f>IFERROR(Calculations!AG153,"")</f>
        <v/>
      </c>
      <c r="O155" s="8" t="str">
        <f>IFERROR(Calculations!AH153,"")</f>
        <v/>
      </c>
      <c r="P155" s="8" t="str">
        <f>IFERROR(Calculations!AI153,"")</f>
        <v/>
      </c>
      <c r="Q155" s="8" t="str">
        <f>IFERROR(Calculations!AJ153,"")</f>
        <v/>
      </c>
      <c r="R155" s="8" t="str">
        <f>IFERROR(Calculations!AK153,"")</f>
        <v/>
      </c>
      <c r="S155" s="89"/>
      <c r="T155" s="89"/>
      <c r="U155" s="89"/>
      <c r="V155" s="89"/>
      <c r="W155" s="1" t="str">
        <f>IFERROR(Calculations!AP153, "")</f>
        <v/>
      </c>
      <c r="X155" s="1" t="str">
        <f>IFERROR(Calculations!AQ153, "")</f>
        <v/>
      </c>
      <c r="Y155" s="8" t="str">
        <f>IFERROR(Calculations!AR153,"")</f>
        <v/>
      </c>
      <c r="Z155" s="8">
        <f>IFERROR(Calculations!AS153,"")</f>
        <v>0</v>
      </c>
      <c r="AA155" s="8">
        <f>IFERROR(Calculations!AT153,"")</f>
        <v>-131099.46278746318</v>
      </c>
      <c r="AB155" s="8" t="str">
        <f>IFERROR(Calculations!AU153,"")</f>
        <v/>
      </c>
      <c r="AC155" s="8" t="str">
        <f>IFERROR(Calculations!AV153,"")</f>
        <v/>
      </c>
      <c r="AD155" s="8" t="str">
        <f>IFERROR(Calculations!AW153,"")</f>
        <v/>
      </c>
      <c r="AE155" s="8" t="str">
        <f>IFERROR(Calculations!AX153,"")</f>
        <v/>
      </c>
      <c r="AF155" s="8">
        <f>IFERROR(IF(Calculations!AY153 &lt;&gt; 0, Calculations!AY153, ""),"")</f>
        <v>24243.811729452282</v>
      </c>
      <c r="AG155" s="42">
        <f>IFERROR(IF(Calculations!AZ153 &lt;&gt; 0, Calculations!AZ153, ""),"")</f>
        <v>-4.5193838711511694</v>
      </c>
      <c r="AH155" s="1">
        <f t="shared" si="10"/>
        <v>50</v>
      </c>
      <c r="AI155" s="1">
        <f t="shared" si="11"/>
        <v>900</v>
      </c>
      <c r="AJ155" s="89"/>
      <c r="AK155" s="89"/>
      <c r="AL155" s="89"/>
      <c r="AM155" s="89"/>
      <c r="AN155" s="8" t="str">
        <f>IFERROR(Calculations!BJ153, "")</f>
        <v/>
      </c>
      <c r="AO155" s="8" t="str">
        <f>IFERROR(Calculations!BK153, "")</f>
        <v/>
      </c>
      <c r="AP155" s="8">
        <f>IFERROR(Calculations!BL153, "")</f>
        <v>13.739411914193642</v>
      </c>
      <c r="AQ155" s="8">
        <f>IFERROR(Calculations!BM153, "")</f>
        <v>30.047258888258078</v>
      </c>
      <c r="AR155" s="8" t="str">
        <f>IFERROR(Calculations!BN153, "")</f>
        <v/>
      </c>
      <c r="AS155" s="8" t="str">
        <f>IFERROR(Calculations!BO153, "")</f>
        <v/>
      </c>
      <c r="AT155" s="8" t="str">
        <f>IFERROR(Calculations!BP153, "")</f>
        <v/>
      </c>
      <c r="AU155" s="8" t="str">
        <f>IFERROR(Calculations!BQ153, "")</f>
        <v/>
      </c>
      <c r="AV155" s="8" t="str">
        <f>IFERROR(Calculations!BR153, "")</f>
        <v/>
      </c>
      <c r="AW155" s="89"/>
      <c r="AX155" s="89"/>
      <c r="AY155" s="89"/>
      <c r="AZ155" s="89"/>
      <c r="BA155" s="8" t="str">
        <f>IFERROR(Calculations!BW153, "")</f>
        <v/>
      </c>
      <c r="BB155" s="8" t="str">
        <f>IFERROR(Calculations!BX153, "")</f>
        <v/>
      </c>
      <c r="BC155" s="8" t="str">
        <f>IFERROR(Calculations!BY153, "")</f>
        <v/>
      </c>
      <c r="BD155" s="8">
        <f>IFERROR(Calculations!BZ153, "")</f>
        <v>0</v>
      </c>
      <c r="BE155" s="8">
        <f>IFERROR(Calculations!CA153, "")</f>
        <v>31.089392311667247</v>
      </c>
      <c r="BF155" s="8" t="str">
        <f>IFERROR(Calculations!CB153, "")</f>
        <v/>
      </c>
      <c r="BG155" s="8" t="str">
        <f>IFERROR(Calculations!CC153, "")</f>
        <v/>
      </c>
      <c r="BH155" s="8" t="str">
        <f>IFERROR(Calculations!CD153, "")</f>
        <v/>
      </c>
      <c r="BI155" s="8" t="str">
        <f>IFERROR(Calculations!CE153, "")</f>
        <v/>
      </c>
      <c r="BJ155" s="8">
        <f>IFERROR(IF(Calculations!CF153 &lt;&gt; 0, Calculations!CF153, ""),"")</f>
        <v>-12.697278490784477</v>
      </c>
      <c r="BK155" s="1">
        <f t="shared" si="12"/>
        <v>900</v>
      </c>
      <c r="BL155" s="1">
        <f t="shared" si="13"/>
        <v>50</v>
      </c>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row>
    <row r="156" spans="2:131" x14ac:dyDescent="0.2">
      <c r="B156" s="1">
        <f>IFERROR(Calculations!M154/1000, "")</f>
        <v>50</v>
      </c>
      <c r="C156" s="1">
        <f>Calculations!N154</f>
        <v>950</v>
      </c>
      <c r="D156" s="58">
        <f>IFERROR(Calculations!$Q154,"")</f>
        <v>1.2993142352688316</v>
      </c>
      <c r="E156" s="8">
        <f>IFERROR(Calculations!$S154, "")</f>
        <v>18.338305120937733</v>
      </c>
      <c r="F156" s="89"/>
      <c r="G156" s="89"/>
      <c r="H156" s="89"/>
      <c r="I156" s="89"/>
      <c r="J156" s="1" t="str">
        <f>IFERROR(Calculations!AC154, "")</f>
        <v/>
      </c>
      <c r="K156" s="1" t="str">
        <f>IFERROR(Calculations!AD154, "")</f>
        <v/>
      </c>
      <c r="L156" s="8">
        <f>IFERROR(Calculations!AE154,"")</f>
        <v>-63556.756698350044</v>
      </c>
      <c r="M156" s="8">
        <f>IFERROR(Calculations!AF154,"")</f>
        <v>-95881.181528740737</v>
      </c>
      <c r="N156" s="8" t="str">
        <f>IFERROR(Calculations!AG154,"")</f>
        <v/>
      </c>
      <c r="O156" s="8" t="str">
        <f>IFERROR(Calculations!AH154,"")</f>
        <v/>
      </c>
      <c r="P156" s="8" t="str">
        <f>IFERROR(Calculations!AI154,"")</f>
        <v/>
      </c>
      <c r="Q156" s="8" t="str">
        <f>IFERROR(Calculations!AJ154,"")</f>
        <v/>
      </c>
      <c r="R156" s="8" t="str">
        <f>IFERROR(Calculations!AK154,"")</f>
        <v/>
      </c>
      <c r="S156" s="89"/>
      <c r="T156" s="89"/>
      <c r="U156" s="89"/>
      <c r="V156" s="89"/>
      <c r="W156" s="1" t="str">
        <f>IFERROR(Calculations!AP154, "")</f>
        <v/>
      </c>
      <c r="X156" s="1" t="str">
        <f>IFERROR(Calculations!AQ154, "")</f>
        <v/>
      </c>
      <c r="Y156" s="8" t="str">
        <f>IFERROR(Calculations!AR154,"")</f>
        <v/>
      </c>
      <c r="Z156" s="8">
        <f>IFERROR(Calculations!AS154,"")</f>
        <v>0</v>
      </c>
      <c r="AA156" s="8">
        <f>IFERROR(Calculations!AT154,"")</f>
        <v>-132814.43414944597</v>
      </c>
      <c r="AB156" s="8" t="str">
        <f>IFERROR(Calculations!AU154,"")</f>
        <v/>
      </c>
      <c r="AC156" s="8" t="str">
        <f>IFERROR(Calculations!AV154,"")</f>
        <v/>
      </c>
      <c r="AD156" s="8" t="str">
        <f>IFERROR(Calculations!AW154,"")</f>
        <v/>
      </c>
      <c r="AE156" s="8" t="str">
        <f>IFERROR(Calculations!AX154,"")</f>
        <v/>
      </c>
      <c r="AF156" s="8">
        <f>IFERROR(IF(Calculations!AY154 &lt;&gt; 0, Calculations!AY154, ""),"")</f>
        <v>26623.504077644815</v>
      </c>
      <c r="AG156" s="42">
        <f>IFERROR(IF(Calculations!AZ154 &lt;&gt; 0, Calculations!AZ154, ""),"")</f>
        <v>-4.7601141657510313</v>
      </c>
      <c r="AH156" s="1">
        <f t="shared" si="10"/>
        <v>50</v>
      </c>
      <c r="AI156" s="1">
        <f t="shared" si="11"/>
        <v>950</v>
      </c>
      <c r="AJ156" s="89"/>
      <c r="AK156" s="89"/>
      <c r="AL156" s="89"/>
      <c r="AM156" s="89"/>
      <c r="AN156" s="8" t="str">
        <f>IFERROR(Calculations!BJ154, "")</f>
        <v/>
      </c>
      <c r="AO156" s="8" t="str">
        <f>IFERROR(Calculations!BK154, "")</f>
        <v/>
      </c>
      <c r="AP156" s="8">
        <f>IFERROR(Calculations!BL154, "")</f>
        <v>13.865221753898965</v>
      </c>
      <c r="AQ156" s="8">
        <f>IFERROR(Calculations!BM154, "")</f>
        <v>30.07526858769187</v>
      </c>
      <c r="AR156" s="8" t="str">
        <f>IFERROR(Calculations!BN154, "")</f>
        <v/>
      </c>
      <c r="AS156" s="8" t="str">
        <f>IFERROR(Calculations!BO154, "")</f>
        <v/>
      </c>
      <c r="AT156" s="8" t="str">
        <f>IFERROR(Calculations!BP154, "")</f>
        <v/>
      </c>
      <c r="AU156" s="8" t="str">
        <f>IFERROR(Calculations!BQ154, "")</f>
        <v/>
      </c>
      <c r="AV156" s="8" t="str">
        <f>IFERROR(Calculations!BR154, "")</f>
        <v/>
      </c>
      <c r="AW156" s="89"/>
      <c r="AX156" s="89"/>
      <c r="AY156" s="89"/>
      <c r="AZ156" s="89"/>
      <c r="BA156" s="8" t="str">
        <f>IFERROR(Calculations!BW154, "")</f>
        <v/>
      </c>
      <c r="BB156" s="8" t="str">
        <f>IFERROR(Calculations!BX154, "")</f>
        <v/>
      </c>
      <c r="BC156" s="8" t="str">
        <f>IFERROR(Calculations!BY154, "")</f>
        <v/>
      </c>
      <c r="BD156" s="8">
        <f>IFERROR(Calculations!BZ154, "")</f>
        <v>0</v>
      </c>
      <c r="BE156" s="8">
        <f>IFERROR(Calculations!CA154, "")</f>
        <v>31.036442231953103</v>
      </c>
      <c r="BF156" s="8" t="str">
        <f>IFERROR(Calculations!CB154, "")</f>
        <v/>
      </c>
      <c r="BG156" s="8" t="str">
        <f>IFERROR(Calculations!CC154, "")</f>
        <v/>
      </c>
      <c r="BH156" s="8" t="str">
        <f>IFERROR(Calculations!CD154, "")</f>
        <v/>
      </c>
      <c r="BI156" s="8" t="str">
        <f>IFERROR(Calculations!CE154, "")</f>
        <v/>
      </c>
      <c r="BJ156" s="8">
        <f>IFERROR(IF(Calculations!CF154 &lt;&gt; 0, Calculations!CF154, ""),"")</f>
        <v>-12.904048109637728</v>
      </c>
      <c r="BK156" s="1">
        <f t="shared" si="12"/>
        <v>950</v>
      </c>
      <c r="BL156" s="1">
        <f t="shared" si="13"/>
        <v>50</v>
      </c>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row>
    <row r="157" spans="2:131" x14ac:dyDescent="0.2">
      <c r="B157" s="1">
        <f>IFERROR(Calculations!M155/1000, "")</f>
        <v>50</v>
      </c>
      <c r="C157" s="1">
        <f>Calculations!N155</f>
        <v>1000</v>
      </c>
      <c r="D157" s="58">
        <f>IFERROR(Calculations!$Q155,"")</f>
        <v>1.2876633619582654</v>
      </c>
      <c r="E157" s="8">
        <f>IFERROR(Calculations!$S155, "")</f>
        <v>16.972661202190313</v>
      </c>
      <c r="F157" s="89"/>
      <c r="G157" s="89"/>
      <c r="H157" s="89"/>
      <c r="I157" s="89"/>
      <c r="J157" s="1" t="str">
        <f>IFERROR(Calculations!AC155, "")</f>
        <v/>
      </c>
      <c r="K157" s="1" t="str">
        <f>IFERROR(Calculations!AD155, "")</f>
        <v/>
      </c>
      <c r="L157" s="8">
        <f>IFERROR(Calculations!AE155,"")</f>
        <v>-65187.481135325273</v>
      </c>
      <c r="M157" s="8">
        <f>IFERROR(Calculations!AF155,"")</f>
        <v>-98422.845935794729</v>
      </c>
      <c r="N157" s="8" t="str">
        <f>IFERROR(Calculations!AG155,"")</f>
        <v/>
      </c>
      <c r="O157" s="8" t="str">
        <f>IFERROR(Calculations!AH155,"")</f>
        <v/>
      </c>
      <c r="P157" s="8" t="str">
        <f>IFERROR(Calculations!AI155,"")</f>
        <v/>
      </c>
      <c r="Q157" s="8" t="str">
        <f>IFERROR(Calculations!AJ155,"")</f>
        <v/>
      </c>
      <c r="R157" s="8" t="str">
        <f>IFERROR(Calculations!AK155,"")</f>
        <v/>
      </c>
      <c r="S157" s="89"/>
      <c r="T157" s="89"/>
      <c r="U157" s="89"/>
      <c r="V157" s="89"/>
      <c r="W157" s="1" t="str">
        <f>IFERROR(Calculations!AP155, "")</f>
        <v/>
      </c>
      <c r="X157" s="1" t="str">
        <f>IFERROR(Calculations!AQ155, "")</f>
        <v/>
      </c>
      <c r="Y157" s="8" t="str">
        <f>IFERROR(Calculations!AR155,"")</f>
        <v/>
      </c>
      <c r="Z157" s="8">
        <f>IFERROR(Calculations!AS155,"")</f>
        <v>0</v>
      </c>
      <c r="AA157" s="8">
        <f>IFERROR(Calculations!AT155,"")</f>
        <v>-134521.15066464865</v>
      </c>
      <c r="AB157" s="8" t="str">
        <f>IFERROR(Calculations!AU155,"")</f>
        <v/>
      </c>
      <c r="AC157" s="8" t="str">
        <f>IFERROR(Calculations!AV155,"")</f>
        <v/>
      </c>
      <c r="AD157" s="8" t="str">
        <f>IFERROR(Calculations!AW155,"")</f>
        <v/>
      </c>
      <c r="AE157" s="8" t="str">
        <f>IFERROR(Calculations!AX155,"")</f>
        <v/>
      </c>
      <c r="AF157" s="8">
        <f>IFERROR(IF(Calculations!AY155 &lt;&gt; 0, Calculations!AY155, ""),"")</f>
        <v>29089.17640647135</v>
      </c>
      <c r="AG157" s="42">
        <f>IFERROR(IF(Calculations!AZ155 &lt;&gt; 0, Calculations!AZ155, ""),"")</f>
        <v>-4.9967051681877805</v>
      </c>
      <c r="AH157" s="1">
        <f t="shared" si="10"/>
        <v>50</v>
      </c>
      <c r="AI157" s="1">
        <f t="shared" si="11"/>
        <v>1000</v>
      </c>
      <c r="AJ157" s="89"/>
      <c r="AK157" s="89"/>
      <c r="AL157" s="89"/>
      <c r="AM157" s="89"/>
      <c r="AN157" s="8" t="str">
        <f>IFERROR(Calculations!BJ155, "")</f>
        <v/>
      </c>
      <c r="AO157" s="8" t="str">
        <f>IFERROR(Calculations!BK155, "")</f>
        <v/>
      </c>
      <c r="AP157" s="8">
        <f>IFERROR(Calculations!BL155, "")</f>
        <v>13.990675305541462</v>
      </c>
      <c r="AQ157" s="8">
        <f>IFERROR(Calculations!BM155, "")</f>
        <v>30.103644714322144</v>
      </c>
      <c r="AR157" s="8" t="str">
        <f>IFERROR(Calculations!BN155, "")</f>
        <v/>
      </c>
      <c r="AS157" s="8" t="str">
        <f>IFERROR(Calculations!BO155, "")</f>
        <v/>
      </c>
      <c r="AT157" s="8" t="str">
        <f>IFERROR(Calculations!BP155, "")</f>
        <v/>
      </c>
      <c r="AU157" s="8" t="str">
        <f>IFERROR(Calculations!BQ155, "")</f>
        <v/>
      </c>
      <c r="AV157" s="8" t="str">
        <f>IFERROR(Calculations!BR155, "")</f>
        <v/>
      </c>
      <c r="AW157" s="89"/>
      <c r="AX157" s="89"/>
      <c r="AY157" s="89"/>
      <c r="AZ157" s="89"/>
      <c r="BA157" s="8" t="str">
        <f>IFERROR(Calculations!BW155, "")</f>
        <v/>
      </c>
      <c r="BB157" s="8" t="str">
        <f>IFERROR(Calculations!BX155, "")</f>
        <v/>
      </c>
      <c r="BC157" s="8" t="str">
        <f>IFERROR(Calculations!BY155, "")</f>
        <v/>
      </c>
      <c r="BD157" s="8">
        <f>IFERROR(Calculations!BZ155, "")</f>
        <v>0</v>
      </c>
      <c r="BE157" s="8">
        <f>IFERROR(Calculations!CA155, "")</f>
        <v>30.983709697429202</v>
      </c>
      <c r="BF157" s="8" t="str">
        <f>IFERROR(Calculations!CB155, "")</f>
        <v/>
      </c>
      <c r="BG157" s="8" t="str">
        <f>IFERROR(Calculations!CC155, "")</f>
        <v/>
      </c>
      <c r="BH157" s="8" t="str">
        <f>IFERROR(Calculations!CD155, "")</f>
        <v/>
      </c>
      <c r="BI157" s="8" t="str">
        <f>IFERROR(Calculations!CE155, "")</f>
        <v/>
      </c>
      <c r="BJ157" s="8">
        <f>IFERROR(IF(Calculations!CF155 &lt;&gt; 0, Calculations!CF155, ""),"")</f>
        <v>-13.1106103224344</v>
      </c>
      <c r="BK157" s="1">
        <f t="shared" si="12"/>
        <v>1000</v>
      </c>
      <c r="BL157" s="1">
        <f t="shared" si="13"/>
        <v>50</v>
      </c>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8"/>
      <c r="DB157" s="8"/>
      <c r="DC157" s="8"/>
      <c r="DD157" s="8"/>
      <c r="DE157" s="8"/>
      <c r="DF157" s="8"/>
      <c r="DG157" s="8"/>
      <c r="DH157" s="8"/>
      <c r="DI157" s="8"/>
      <c r="DJ157" s="8"/>
      <c r="DK157" s="8"/>
      <c r="DL157" s="8"/>
      <c r="DM157" s="8"/>
      <c r="DN157" s="8"/>
      <c r="DO157" s="8"/>
      <c r="DP157" s="8"/>
      <c r="DQ157" s="8"/>
      <c r="DR157" s="8"/>
      <c r="DS157" s="8"/>
      <c r="DT157" s="8"/>
      <c r="DU157" s="8"/>
      <c r="DV157" s="8"/>
      <c r="DW157" s="8"/>
      <c r="DX157" s="8"/>
      <c r="DY157" s="8"/>
      <c r="DZ157" s="8"/>
      <c r="EA157" s="8"/>
    </row>
    <row r="158" spans="2:131" x14ac:dyDescent="0.2">
      <c r="B158" s="1">
        <f>IFERROR(Calculations!M156/1000, "")</f>
        <v>55</v>
      </c>
      <c r="C158" s="1">
        <f>Calculations!N156</f>
        <v>300</v>
      </c>
      <c r="D158" s="58">
        <f>IFERROR(Calculations!$Q156,"")</f>
        <v>1.5020046815037729</v>
      </c>
      <c r="E158" s="8">
        <f>IFERROR(Calculations!$S156, "")</f>
        <v>62.070985693378425</v>
      </c>
      <c r="F158" s="89"/>
      <c r="G158" s="89"/>
      <c r="H158" s="89"/>
      <c r="I158" s="89"/>
      <c r="J158" s="1" t="str">
        <f>IFERROR(Calculations!AC156, "")</f>
        <v/>
      </c>
      <c r="K158" s="1" t="str">
        <f>IFERROR(Calculations!AD156, "")</f>
        <v/>
      </c>
      <c r="L158" s="8">
        <f>IFERROR(Calculations!AE156,"")</f>
        <v>-44015.620424084365</v>
      </c>
      <c r="M158" s="8">
        <f>IFERROR(Calculations!AF156,"")</f>
        <v>-62711.156192713337</v>
      </c>
      <c r="N158" s="8" t="str">
        <f>IFERROR(Calculations!AG156,"")</f>
        <v/>
      </c>
      <c r="O158" s="8" t="str">
        <f>IFERROR(Calculations!AH156,"")</f>
        <v/>
      </c>
      <c r="P158" s="8" t="str">
        <f>IFERROR(Calculations!AI156,"")</f>
        <v/>
      </c>
      <c r="Q158" s="8" t="str">
        <f>IFERROR(Calculations!AJ156,"")</f>
        <v/>
      </c>
      <c r="R158" s="8" t="str">
        <f>IFERROR(Calculations!AK156,"")</f>
        <v/>
      </c>
      <c r="S158" s="89"/>
      <c r="T158" s="89"/>
      <c r="U158" s="89"/>
      <c r="V158" s="89"/>
      <c r="W158" s="1" t="str">
        <f>IFERROR(Calculations!AP156, "")</f>
        <v/>
      </c>
      <c r="X158" s="1" t="str">
        <f>IFERROR(Calculations!AQ156, "")</f>
        <v/>
      </c>
      <c r="Y158" s="8" t="str">
        <f>IFERROR(Calculations!AR156,"")</f>
        <v/>
      </c>
      <c r="Z158" s="8">
        <f>IFERROR(Calculations!AS156,"")</f>
        <v>0</v>
      </c>
      <c r="AA158" s="8">
        <f>IFERROR(Calculations!AT156,"")</f>
        <v>-106988.54096982469</v>
      </c>
      <c r="AB158" s="8" t="str">
        <f>IFERROR(Calculations!AU156,"")</f>
        <v/>
      </c>
      <c r="AC158" s="8" t="str">
        <f>IFERROR(Calculations!AV156,"")</f>
        <v/>
      </c>
      <c r="AD158" s="8" t="str">
        <f>IFERROR(Calculations!AW156,"")</f>
        <v/>
      </c>
      <c r="AE158" s="8" t="str">
        <f>IFERROR(Calculations!AX156,"")</f>
        <v/>
      </c>
      <c r="AF158" s="8">
        <f>IFERROR(IF(Calculations!AY156 &lt;&gt; 0, Calculations!AY156, ""),"")</f>
        <v>-261.76435302699974</v>
      </c>
      <c r="AG158" s="42">
        <f>IFERROR(IF(Calculations!AZ156 &lt;&gt; 0, Calculations!AZ156, ""),"")</f>
        <v>9.9878975967235092E-2</v>
      </c>
      <c r="AH158" s="1">
        <f t="shared" si="10"/>
        <v>55</v>
      </c>
      <c r="AI158" s="1">
        <f t="shared" si="11"/>
        <v>300</v>
      </c>
      <c r="AJ158" s="89"/>
      <c r="AK158" s="89"/>
      <c r="AL158" s="89"/>
      <c r="AM158" s="89"/>
      <c r="AN158" s="8" t="str">
        <f>IFERROR(Calculations!BJ156, "")</f>
        <v/>
      </c>
      <c r="AO158" s="8" t="str">
        <f>IFERROR(Calculations!BK156, "")</f>
        <v/>
      </c>
      <c r="AP158" s="8">
        <f>IFERROR(Calculations!BL156, "")</f>
        <v>11.994157023507752</v>
      </c>
      <c r="AQ158" s="8">
        <f>IFERROR(Calculations!BM156, "")</f>
        <v>29.819426237130287</v>
      </c>
      <c r="AR158" s="8" t="str">
        <f>IFERROR(Calculations!BN156, "")</f>
        <v/>
      </c>
      <c r="AS158" s="8" t="str">
        <f>IFERROR(Calculations!BO156, "")</f>
        <v/>
      </c>
      <c r="AT158" s="8" t="str">
        <f>IFERROR(Calculations!BP156, "")</f>
        <v/>
      </c>
      <c r="AU158" s="8" t="str">
        <f>IFERROR(Calculations!BQ156, "")</f>
        <v/>
      </c>
      <c r="AV158" s="8" t="str">
        <f>IFERROR(Calculations!BR156, "")</f>
        <v/>
      </c>
      <c r="AW158" s="89"/>
      <c r="AX158" s="89"/>
      <c r="AY158" s="89"/>
      <c r="AZ158" s="89"/>
      <c r="BA158" s="8" t="str">
        <f>IFERROR(Calculations!BW156, "")</f>
        <v/>
      </c>
      <c r="BB158" s="8" t="str">
        <f>IFERROR(Calculations!BX156, "")</f>
        <v/>
      </c>
      <c r="BC158" s="8" t="str">
        <f>IFERROR(Calculations!BY156, "")</f>
        <v/>
      </c>
      <c r="BD158" s="8">
        <f>IFERROR(Calculations!BZ156, "")</f>
        <v>0</v>
      </c>
      <c r="BE158" s="8">
        <f>IFERROR(Calculations!CA156, "")</f>
        <v>31.724240093875814</v>
      </c>
      <c r="BF158" s="8" t="str">
        <f>IFERROR(Calculations!CB156, "")</f>
        <v/>
      </c>
      <c r="BG158" s="8" t="str">
        <f>IFERROR(Calculations!CC156, "")</f>
        <v/>
      </c>
      <c r="BH158" s="8" t="str">
        <f>IFERROR(Calculations!CD156, "")</f>
        <v/>
      </c>
      <c r="BI158" s="8" t="str">
        <f>IFERROR(Calculations!CE156, "")</f>
        <v/>
      </c>
      <c r="BJ158" s="8">
        <f>IFERROR(IF(Calculations!CF156 &lt;&gt; 0, Calculations!CF156, ""),"")</f>
        <v>-10.089343166762227</v>
      </c>
      <c r="BK158" s="1">
        <f t="shared" si="12"/>
        <v>300</v>
      </c>
      <c r="BL158" s="1">
        <f t="shared" si="13"/>
        <v>55</v>
      </c>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8"/>
      <c r="DB158" s="8"/>
      <c r="DC158" s="8"/>
      <c r="DD158" s="8"/>
      <c r="DE158" s="8"/>
      <c r="DF158" s="8"/>
      <c r="DG158" s="8"/>
      <c r="DH158" s="8"/>
      <c r="DI158" s="8"/>
      <c r="DJ158" s="8"/>
      <c r="DK158" s="8"/>
      <c r="DL158" s="8"/>
      <c r="DM158" s="8"/>
      <c r="DN158" s="8"/>
      <c r="DO158" s="8"/>
      <c r="DP158" s="8"/>
      <c r="DQ158" s="8"/>
      <c r="DR158" s="8"/>
      <c r="DS158" s="8"/>
      <c r="DT158" s="8"/>
      <c r="DU158" s="8"/>
      <c r="DV158" s="8"/>
      <c r="DW158" s="8"/>
      <c r="DX158" s="8"/>
      <c r="DY158" s="8"/>
      <c r="DZ158" s="8"/>
      <c r="EA158" s="8"/>
    </row>
    <row r="159" spans="2:131" x14ac:dyDescent="0.2">
      <c r="B159" s="1">
        <f>IFERROR(Calculations!M157/1000, "")</f>
        <v>55</v>
      </c>
      <c r="C159" s="1">
        <f>Calculations!N157</f>
        <v>350</v>
      </c>
      <c r="D159" s="58">
        <f>IFERROR(Calculations!$Q157,"")</f>
        <v>1.4863835586857799</v>
      </c>
      <c r="E159" s="8">
        <f>IFERROR(Calculations!$S157, "")</f>
        <v>55.692607891890006</v>
      </c>
      <c r="F159" s="89"/>
      <c r="G159" s="89"/>
      <c r="H159" s="89"/>
      <c r="I159" s="89"/>
      <c r="J159" s="1" t="str">
        <f>IFERROR(Calculations!AC157, "")</f>
        <v/>
      </c>
      <c r="K159" s="1" t="str">
        <f>IFERROR(Calculations!AD157, "")</f>
        <v/>
      </c>
      <c r="L159" s="8">
        <f>IFERROR(Calculations!AE157,"")</f>
        <v>-45122.845867508797</v>
      </c>
      <c r="M159" s="8">
        <f>IFERROR(Calculations!AF157,"")</f>
        <v>-64751.348691199666</v>
      </c>
      <c r="N159" s="8" t="str">
        <f>IFERROR(Calculations!AG157,"")</f>
        <v/>
      </c>
      <c r="O159" s="8" t="str">
        <f>IFERROR(Calculations!AH157,"")</f>
        <v/>
      </c>
      <c r="P159" s="8" t="str">
        <f>IFERROR(Calculations!AI157,"")</f>
        <v/>
      </c>
      <c r="Q159" s="8" t="str">
        <f>IFERROR(Calculations!AJ157,"")</f>
        <v/>
      </c>
      <c r="R159" s="8" t="str">
        <f>IFERROR(Calculations!AK157,"")</f>
        <v/>
      </c>
      <c r="S159" s="89"/>
      <c r="T159" s="89"/>
      <c r="U159" s="89"/>
      <c r="V159" s="89"/>
      <c r="W159" s="1" t="str">
        <f>IFERROR(Calculations!AP157, "")</f>
        <v/>
      </c>
      <c r="X159" s="1" t="str">
        <f>IFERROR(Calculations!AQ157, "")</f>
        <v/>
      </c>
      <c r="Y159" s="8" t="str">
        <f>IFERROR(Calculations!AR157,"")</f>
        <v/>
      </c>
      <c r="Z159" s="8">
        <f>IFERROR(Calculations!AS157,"")</f>
        <v>0</v>
      </c>
      <c r="AA159" s="8">
        <f>IFERROR(Calculations!AT157,"")</f>
        <v>-108601.20330500104</v>
      </c>
      <c r="AB159" s="8" t="str">
        <f>IFERROR(Calculations!AU157,"")</f>
        <v/>
      </c>
      <c r="AC159" s="8" t="str">
        <f>IFERROR(Calculations!AV157,"")</f>
        <v/>
      </c>
      <c r="AD159" s="8" t="str">
        <f>IFERROR(Calculations!AW157,"")</f>
        <v/>
      </c>
      <c r="AE159" s="8" t="str">
        <f>IFERROR(Calculations!AX157,"")</f>
        <v/>
      </c>
      <c r="AF159" s="8">
        <f>IFERROR(IF(Calculations!AY157 &lt;&gt; 0, Calculations!AY157, ""),"")</f>
        <v>1272.9912537074269</v>
      </c>
      <c r="AG159" s="42">
        <f>IFERROR(IF(Calculations!AZ157 &lt;&gt; 0, Calculations!AZ157, ""),"")</f>
        <v>-0.44675013660720958</v>
      </c>
      <c r="AH159" s="1">
        <f t="shared" si="10"/>
        <v>55</v>
      </c>
      <c r="AI159" s="1">
        <f t="shared" si="11"/>
        <v>350</v>
      </c>
      <c r="AJ159" s="89"/>
      <c r="AK159" s="89"/>
      <c r="AL159" s="89"/>
      <c r="AM159" s="89"/>
      <c r="AN159" s="8" t="str">
        <f>IFERROR(Calculations!BJ157, "")</f>
        <v/>
      </c>
      <c r="AO159" s="8" t="str">
        <f>IFERROR(Calculations!BK157, "")</f>
        <v/>
      </c>
      <c r="AP159" s="8">
        <f>IFERROR(Calculations!BL157, "")</f>
        <v>12.120209413462986</v>
      </c>
      <c r="AQ159" s="8">
        <f>IFERROR(Calculations!BM157, "")</f>
        <v>29.806352497846152</v>
      </c>
      <c r="AR159" s="8" t="str">
        <f>IFERROR(Calculations!BN157, "")</f>
        <v/>
      </c>
      <c r="AS159" s="8" t="str">
        <f>IFERROR(Calculations!BO157, "")</f>
        <v/>
      </c>
      <c r="AT159" s="8" t="str">
        <f>IFERROR(Calculations!BP157, "")</f>
        <v/>
      </c>
      <c r="AU159" s="8" t="str">
        <f>IFERROR(Calculations!BQ157, "")</f>
        <v/>
      </c>
      <c r="AV159" s="8" t="str">
        <f>IFERROR(Calculations!BR157, "")</f>
        <v/>
      </c>
      <c r="AW159" s="89"/>
      <c r="AX159" s="89"/>
      <c r="AY159" s="89"/>
      <c r="AZ159" s="89"/>
      <c r="BA159" s="8" t="str">
        <f>IFERROR(Calculations!BW157, "")</f>
        <v/>
      </c>
      <c r="BB159" s="8" t="str">
        <f>IFERROR(Calculations!BX157, "")</f>
        <v/>
      </c>
      <c r="BC159" s="8" t="str">
        <f>IFERROR(Calculations!BY157, "")</f>
        <v/>
      </c>
      <c r="BD159" s="8">
        <f>IFERROR(Calculations!BZ157, "")</f>
        <v>0</v>
      </c>
      <c r="BE159" s="8">
        <f>IFERROR(Calculations!CA157, "")</f>
        <v>31.685459461664799</v>
      </c>
      <c r="BF159" s="8" t="str">
        <f>IFERROR(Calculations!CB157, "")</f>
        <v/>
      </c>
      <c r="BG159" s="8" t="str">
        <f>IFERROR(Calculations!CC157, "")</f>
        <v/>
      </c>
      <c r="BH159" s="8" t="str">
        <f>IFERROR(Calculations!CD157, "")</f>
        <v/>
      </c>
      <c r="BI159" s="8" t="str">
        <f>IFERROR(Calculations!CE157, "")</f>
        <v/>
      </c>
      <c r="BJ159" s="8">
        <f>IFERROR(IF(Calculations!CF157 &lt;&gt; 0, Calculations!CF157, ""),"")</f>
        <v>-10.241102449644337</v>
      </c>
      <c r="BK159" s="1">
        <f t="shared" si="12"/>
        <v>350</v>
      </c>
      <c r="BL159" s="1">
        <f t="shared" si="13"/>
        <v>55</v>
      </c>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8"/>
      <c r="DB159" s="8"/>
      <c r="DC159" s="8"/>
      <c r="DD159" s="8"/>
      <c r="DE159" s="8"/>
      <c r="DF159" s="8"/>
      <c r="DG159" s="8"/>
      <c r="DH159" s="8"/>
      <c r="DI159" s="8"/>
      <c r="DJ159" s="8"/>
      <c r="DK159" s="8"/>
      <c r="DL159" s="8"/>
      <c r="DM159" s="8"/>
      <c r="DN159" s="8"/>
      <c r="DO159" s="8"/>
      <c r="DP159" s="8"/>
      <c r="DQ159" s="8"/>
      <c r="DR159" s="8"/>
      <c r="DS159" s="8"/>
      <c r="DT159" s="8"/>
      <c r="DU159" s="8"/>
      <c r="DV159" s="8"/>
      <c r="DW159" s="8"/>
      <c r="DX159" s="8"/>
      <c r="DY159" s="8"/>
      <c r="DZ159" s="8"/>
      <c r="EA159" s="8"/>
    </row>
    <row r="160" spans="2:131" x14ac:dyDescent="0.2">
      <c r="B160" s="1">
        <f>IFERROR(Calculations!M158/1000, "")</f>
        <v>55</v>
      </c>
      <c r="C160" s="1">
        <f>Calculations!N158</f>
        <v>400</v>
      </c>
      <c r="D160" s="58">
        <f>IFERROR(Calculations!$Q158,"")</f>
        <v>1.4717024718615415</v>
      </c>
      <c r="E160" s="8">
        <f>IFERROR(Calculations!$S158, "")</f>
        <v>50.196747541556284</v>
      </c>
      <c r="F160" s="89"/>
      <c r="G160" s="89"/>
      <c r="H160" s="89"/>
      <c r="I160" s="89"/>
      <c r="J160" s="1" t="str">
        <f>IFERROR(Calculations!AC158, "")</f>
        <v/>
      </c>
      <c r="K160" s="1" t="str">
        <f>IFERROR(Calculations!AD158, "")</f>
        <v/>
      </c>
      <c r="L160" s="8">
        <f>IFERROR(Calculations!AE158,"")</f>
        <v>-46290.462329826594</v>
      </c>
      <c r="M160" s="8">
        <f>IFERROR(Calculations!AF158,"")</f>
        <v>-66830.588209935071</v>
      </c>
      <c r="N160" s="8" t="str">
        <f>IFERROR(Calculations!AG158,"")</f>
        <v/>
      </c>
      <c r="O160" s="8" t="str">
        <f>IFERROR(Calculations!AH158,"")</f>
        <v/>
      </c>
      <c r="P160" s="8" t="str">
        <f>IFERROR(Calculations!AI158,"")</f>
        <v/>
      </c>
      <c r="Q160" s="8" t="str">
        <f>IFERROR(Calculations!AJ158,"")</f>
        <v/>
      </c>
      <c r="R160" s="8" t="str">
        <f>IFERROR(Calculations!AK158,"")</f>
        <v/>
      </c>
      <c r="S160" s="89"/>
      <c r="T160" s="89"/>
      <c r="U160" s="89"/>
      <c r="V160" s="89"/>
      <c r="W160" s="1" t="str">
        <f>IFERROR(Calculations!AP158, "")</f>
        <v/>
      </c>
      <c r="X160" s="1" t="str">
        <f>IFERROR(Calculations!AQ158, "")</f>
        <v/>
      </c>
      <c r="Y160" s="8" t="str">
        <f>IFERROR(Calculations!AR158,"")</f>
        <v/>
      </c>
      <c r="Z160" s="8">
        <f>IFERROR(Calculations!AS158,"")</f>
        <v>0</v>
      </c>
      <c r="AA160" s="8">
        <f>IFERROR(Calculations!AT158,"")</f>
        <v>-110246.15151594591</v>
      </c>
      <c r="AB160" s="8" t="str">
        <f>IFERROR(Calculations!AU158,"")</f>
        <v/>
      </c>
      <c r="AC160" s="8" t="str">
        <f>IFERROR(Calculations!AV158,"")</f>
        <v/>
      </c>
      <c r="AD160" s="8" t="str">
        <f>IFERROR(Calculations!AW158,"")</f>
        <v/>
      </c>
      <c r="AE160" s="8" t="str">
        <f>IFERROR(Calculations!AX158,"")</f>
        <v/>
      </c>
      <c r="AF160" s="8">
        <f>IFERROR(IF(Calculations!AY158 &lt;&gt; 0, Calculations!AY158, ""),"")</f>
        <v>2874.8990238157567</v>
      </c>
      <c r="AG160" s="42">
        <f>IFERROR(IF(Calculations!AZ158 &lt;&gt; 0, Calculations!AZ158, ""),"")</f>
        <v>-0.93399084402637789</v>
      </c>
      <c r="AH160" s="1">
        <f t="shared" si="10"/>
        <v>55</v>
      </c>
      <c r="AI160" s="1">
        <f t="shared" si="11"/>
        <v>400</v>
      </c>
      <c r="AJ160" s="89"/>
      <c r="AK160" s="89"/>
      <c r="AL160" s="89"/>
      <c r="AM160" s="89"/>
      <c r="AN160" s="8" t="str">
        <f>IFERROR(Calculations!BJ158, "")</f>
        <v/>
      </c>
      <c r="AO160" s="8" t="str">
        <f>IFERROR(Calculations!BK158, "")</f>
        <v/>
      </c>
      <c r="AP160" s="8">
        <f>IFERROR(Calculations!BL158, "")</f>
        <v>12.241115540977965</v>
      </c>
      <c r="AQ160" s="8">
        <f>IFERROR(Calculations!BM158, "")</f>
        <v>29.802264898545275</v>
      </c>
      <c r="AR160" s="8" t="str">
        <f>IFERROR(Calculations!BN158, "")</f>
        <v/>
      </c>
      <c r="AS160" s="8" t="str">
        <f>IFERROR(Calculations!BO158, "")</f>
        <v/>
      </c>
      <c r="AT160" s="8" t="str">
        <f>IFERROR(Calculations!BP158, "")</f>
        <v/>
      </c>
      <c r="AU160" s="8" t="str">
        <f>IFERROR(Calculations!BQ158, "")</f>
        <v/>
      </c>
      <c r="AV160" s="8" t="str">
        <f>IFERROR(Calculations!BR158, "")</f>
        <v/>
      </c>
      <c r="AW160" s="89"/>
      <c r="AX160" s="89"/>
      <c r="AY160" s="89"/>
      <c r="AZ160" s="89"/>
      <c r="BA160" s="8" t="str">
        <f>IFERROR(Calculations!BW158, "")</f>
        <v/>
      </c>
      <c r="BB160" s="8" t="str">
        <f>IFERROR(Calculations!BX158, "")</f>
        <v/>
      </c>
      <c r="BC160" s="8" t="str">
        <f>IFERROR(Calculations!BY158, "")</f>
        <v/>
      </c>
      <c r="BD160" s="8">
        <f>IFERROR(Calculations!BZ158, "")</f>
        <v>0</v>
      </c>
      <c r="BE160" s="8">
        <f>IFERROR(Calculations!CA158, "")</f>
        <v>31.645762566211122</v>
      </c>
      <c r="BF160" s="8" t="str">
        <f>IFERROR(Calculations!CB158, "")</f>
        <v/>
      </c>
      <c r="BG160" s="8" t="str">
        <f>IFERROR(Calculations!CC158, "")</f>
        <v/>
      </c>
      <c r="BH160" s="8" t="str">
        <f>IFERROR(Calculations!CD158, "")</f>
        <v/>
      </c>
      <c r="BI160" s="8" t="str">
        <f>IFERROR(Calculations!CE158, "")</f>
        <v/>
      </c>
      <c r="BJ160" s="8">
        <f>IFERROR(IF(Calculations!CF158 &lt;&gt; 0, Calculations!CF158, ""),"")</f>
        <v>-10.397617873312118</v>
      </c>
      <c r="BK160" s="1">
        <f t="shared" si="12"/>
        <v>400</v>
      </c>
      <c r="BL160" s="1">
        <f t="shared" si="13"/>
        <v>55</v>
      </c>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c r="DK160" s="8"/>
      <c r="DL160" s="8"/>
      <c r="DM160" s="8"/>
      <c r="DN160" s="8"/>
      <c r="DO160" s="8"/>
      <c r="DP160" s="8"/>
      <c r="DQ160" s="8"/>
      <c r="DR160" s="8"/>
      <c r="DS160" s="8"/>
      <c r="DT160" s="8"/>
      <c r="DU160" s="8"/>
      <c r="DV160" s="8"/>
      <c r="DW160" s="8"/>
      <c r="DX160" s="8"/>
      <c r="DY160" s="8"/>
      <c r="DZ160" s="8"/>
      <c r="EA160" s="8"/>
    </row>
    <row r="161" spans="2:131" x14ac:dyDescent="0.2">
      <c r="B161" s="1">
        <f>IFERROR(Calculations!M159/1000, "")</f>
        <v>55</v>
      </c>
      <c r="C161" s="1">
        <f>Calculations!N159</f>
        <v>450</v>
      </c>
      <c r="D161" s="58">
        <f>IFERROR(Calculations!$Q159,"")</f>
        <v>1.4575909796455502</v>
      </c>
      <c r="E161" s="8">
        <f>IFERROR(Calculations!$S159, "")</f>
        <v>45.407959192199364</v>
      </c>
      <c r="F161" s="89"/>
      <c r="G161" s="89"/>
      <c r="H161" s="89"/>
      <c r="I161" s="89"/>
      <c r="J161" s="1" t="str">
        <f>IFERROR(Calculations!AC159, "")</f>
        <v/>
      </c>
      <c r="K161" s="1" t="str">
        <f>IFERROR(Calculations!AD159, "")</f>
        <v/>
      </c>
      <c r="L161" s="8">
        <f>IFERROR(Calculations!AE159,"")</f>
        <v>-47511.560051400855</v>
      </c>
      <c r="M161" s="8">
        <f>IFERROR(Calculations!AF159,"")</f>
        <v>-68949.103282355281</v>
      </c>
      <c r="N161" s="8" t="str">
        <f>IFERROR(Calculations!AG159,"")</f>
        <v/>
      </c>
      <c r="O161" s="8" t="str">
        <f>IFERROR(Calculations!AH159,"")</f>
        <v/>
      </c>
      <c r="P161" s="8" t="str">
        <f>IFERROR(Calculations!AI159,"")</f>
        <v/>
      </c>
      <c r="Q161" s="8" t="str">
        <f>IFERROR(Calculations!AJ159,"")</f>
        <v/>
      </c>
      <c r="R161" s="8" t="str">
        <f>IFERROR(Calculations!AK159,"")</f>
        <v/>
      </c>
      <c r="S161" s="89"/>
      <c r="T161" s="89"/>
      <c r="U161" s="89"/>
      <c r="V161" s="89"/>
      <c r="W161" s="1" t="str">
        <f>IFERROR(Calculations!AP159, "")</f>
        <v/>
      </c>
      <c r="X161" s="1" t="str">
        <f>IFERROR(Calculations!AQ159, "")</f>
        <v/>
      </c>
      <c r="Y161" s="8" t="str">
        <f>IFERROR(Calculations!AR159,"")</f>
        <v/>
      </c>
      <c r="Z161" s="8">
        <f>IFERROR(Calculations!AS159,"")</f>
        <v>0</v>
      </c>
      <c r="AA161" s="8">
        <f>IFERROR(Calculations!AT159,"")</f>
        <v>-111917.19424648944</v>
      </c>
      <c r="AB161" s="8" t="str">
        <f>IFERROR(Calculations!AU159,"")</f>
        <v/>
      </c>
      <c r="AC161" s="8" t="str">
        <f>IFERROR(Calculations!AV159,"")</f>
        <v/>
      </c>
      <c r="AD161" s="8" t="str">
        <f>IFERROR(Calculations!AW159,"")</f>
        <v/>
      </c>
      <c r="AE161" s="8" t="str">
        <f>IFERROR(Calculations!AX159,"")</f>
        <v/>
      </c>
      <c r="AF161" s="8">
        <f>IFERROR(IF(Calculations!AY159 &lt;&gt; 0, Calculations!AY159, ""),"")</f>
        <v>4543.4690872666979</v>
      </c>
      <c r="AG161" s="42">
        <f>IFERROR(IF(Calculations!AZ159 &lt;&gt; 0, Calculations!AZ159, ""),"")</f>
        <v>-1.3740136923301041</v>
      </c>
      <c r="AH161" s="1">
        <f t="shared" si="10"/>
        <v>55</v>
      </c>
      <c r="AI161" s="1">
        <f t="shared" si="11"/>
        <v>450</v>
      </c>
      <c r="AJ161" s="89"/>
      <c r="AK161" s="89"/>
      <c r="AL161" s="89"/>
      <c r="AM161" s="89"/>
      <c r="AN161" s="8" t="str">
        <f>IFERROR(Calculations!BJ159, "")</f>
        <v/>
      </c>
      <c r="AO161" s="8" t="str">
        <f>IFERROR(Calculations!BK159, "")</f>
        <v/>
      </c>
      <c r="AP161" s="8">
        <f>IFERROR(Calculations!BL159, "")</f>
        <v>12.359626432636725</v>
      </c>
      <c r="AQ161" s="8">
        <f>IFERROR(Calculations!BM159, "")</f>
        <v>29.804573335503182</v>
      </c>
      <c r="AR161" s="8" t="str">
        <f>IFERROR(Calculations!BN159, "")</f>
        <v/>
      </c>
      <c r="AS161" s="8" t="str">
        <f>IFERROR(Calculations!BO159, "")</f>
        <v/>
      </c>
      <c r="AT161" s="8" t="str">
        <f>IFERROR(Calculations!BP159, "")</f>
        <v/>
      </c>
      <c r="AU161" s="8" t="str">
        <f>IFERROR(Calculations!BQ159, "")</f>
        <v/>
      </c>
      <c r="AV161" s="8" t="str">
        <f>IFERROR(Calculations!BR159, "")</f>
        <v/>
      </c>
      <c r="AW161" s="89"/>
      <c r="AX161" s="89"/>
      <c r="AY161" s="89"/>
      <c r="AZ161" s="89"/>
      <c r="BA161" s="8" t="str">
        <f>IFERROR(Calculations!BW159, "")</f>
        <v/>
      </c>
      <c r="BB161" s="8" t="str">
        <f>IFERROR(Calculations!BX159, "")</f>
        <v/>
      </c>
      <c r="BC161" s="8" t="str">
        <f>IFERROR(Calculations!BY159, "")</f>
        <v/>
      </c>
      <c r="BD161" s="8">
        <f>IFERROR(Calculations!BZ159, "")</f>
        <v>0</v>
      </c>
      <c r="BE161" s="8">
        <f>IFERROR(Calculations!CA159, "")</f>
        <v>31.605216655118287</v>
      </c>
      <c r="BF161" s="8" t="str">
        <f>IFERROR(Calculations!CB159, "")</f>
        <v/>
      </c>
      <c r="BG161" s="8" t="str">
        <f>IFERROR(Calculations!CC159, "")</f>
        <v/>
      </c>
      <c r="BH161" s="8" t="str">
        <f>IFERROR(Calculations!CD159, "")</f>
        <v/>
      </c>
      <c r="BI161" s="8" t="str">
        <f>IFERROR(Calculations!CE159, "")</f>
        <v/>
      </c>
      <c r="BJ161" s="8">
        <f>IFERROR(IF(Calculations!CF159 &lt;&gt; 0, Calculations!CF159, ""),"")</f>
        <v>-10.558983113021622</v>
      </c>
      <c r="BK161" s="1">
        <f t="shared" si="12"/>
        <v>450</v>
      </c>
      <c r="BL161" s="1">
        <f t="shared" si="13"/>
        <v>55</v>
      </c>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c r="DK161" s="8"/>
      <c r="DL161" s="8"/>
      <c r="DM161" s="8"/>
      <c r="DN161" s="8"/>
      <c r="DO161" s="8"/>
      <c r="DP161" s="8"/>
      <c r="DQ161" s="8"/>
      <c r="DR161" s="8"/>
      <c r="DS161" s="8"/>
      <c r="DT161" s="8"/>
      <c r="DU161" s="8"/>
      <c r="DV161" s="8"/>
      <c r="DW161" s="8"/>
      <c r="DX161" s="8"/>
      <c r="DY161" s="8"/>
      <c r="DZ161" s="8"/>
      <c r="EA161" s="8"/>
    </row>
    <row r="162" spans="2:131" x14ac:dyDescent="0.2">
      <c r="B162" s="1">
        <f>IFERROR(Calculations!M160/1000, "")</f>
        <v>55</v>
      </c>
      <c r="C162" s="1">
        <f>Calculations!N160</f>
        <v>500</v>
      </c>
      <c r="D162" s="58">
        <f>IFERROR(Calculations!$Q160,"")</f>
        <v>1.4438596890366076</v>
      </c>
      <c r="E162" s="8">
        <f>IFERROR(Calculations!$S160, "")</f>
        <v>41.20159647779677</v>
      </c>
      <c r="F162" s="89"/>
      <c r="G162" s="89"/>
      <c r="H162" s="89"/>
      <c r="I162" s="89"/>
      <c r="J162" s="1" t="str">
        <f>IFERROR(Calculations!AC160, "")</f>
        <v/>
      </c>
      <c r="K162" s="1" t="str">
        <f>IFERROR(Calculations!AD160, "")</f>
        <v/>
      </c>
      <c r="L162" s="8">
        <f>IFERROR(Calculations!AE160,"")</f>
        <v>-48780.537642371608</v>
      </c>
      <c r="M162" s="8">
        <f>IFERROR(Calculations!AF160,"")</f>
        <v>-71106.706679404073</v>
      </c>
      <c r="N162" s="8" t="str">
        <f>IFERROR(Calculations!AG160,"")</f>
        <v/>
      </c>
      <c r="O162" s="8" t="str">
        <f>IFERROR(Calculations!AH160,"")</f>
        <v/>
      </c>
      <c r="P162" s="8" t="str">
        <f>IFERROR(Calculations!AI160,"")</f>
        <v/>
      </c>
      <c r="Q162" s="8" t="str">
        <f>IFERROR(Calculations!AJ160,"")</f>
        <v/>
      </c>
      <c r="R162" s="8" t="str">
        <f>IFERROR(Calculations!AK160,"")</f>
        <v/>
      </c>
      <c r="S162" s="89"/>
      <c r="T162" s="89"/>
      <c r="U162" s="89"/>
      <c r="V162" s="89"/>
      <c r="W162" s="1" t="str">
        <f>IFERROR(Calculations!AP160, "")</f>
        <v/>
      </c>
      <c r="X162" s="1" t="str">
        <f>IFERROR(Calculations!AQ160, "")</f>
        <v/>
      </c>
      <c r="Y162" s="8" t="str">
        <f>IFERROR(Calculations!AR160,"")</f>
        <v/>
      </c>
      <c r="Z162" s="8">
        <f>IFERROR(Calculations!AS160,"")</f>
        <v>0</v>
      </c>
      <c r="AA162" s="8">
        <f>IFERROR(Calculations!AT160,"")</f>
        <v>-113609.25200588703</v>
      </c>
      <c r="AB162" s="8" t="str">
        <f>IFERROR(Calculations!AU160,"")</f>
        <v/>
      </c>
      <c r="AC162" s="8" t="str">
        <f>IFERROR(Calculations!AV160,"")</f>
        <v/>
      </c>
      <c r="AD162" s="8" t="str">
        <f>IFERROR(Calculations!AW160,"")</f>
        <v/>
      </c>
      <c r="AE162" s="8" t="str">
        <f>IFERROR(Calculations!AX160,"")</f>
        <v/>
      </c>
      <c r="AF162" s="8">
        <f>IFERROR(IF(Calculations!AY160 &lt;&gt; 0, Calculations!AY160, ""),"")</f>
        <v>6277.9923158886522</v>
      </c>
      <c r="AG162" s="42">
        <f>IFERROR(IF(Calculations!AZ160 &lt;&gt; 0, Calculations!AZ160, ""),"")</f>
        <v>-1.7757789073147221</v>
      </c>
      <c r="AH162" s="1">
        <f t="shared" si="10"/>
        <v>55</v>
      </c>
      <c r="AI162" s="1">
        <f t="shared" si="11"/>
        <v>500</v>
      </c>
      <c r="AJ162" s="89"/>
      <c r="AK162" s="89"/>
      <c r="AL162" s="89"/>
      <c r="AM162" s="89"/>
      <c r="AN162" s="8" t="str">
        <f>IFERROR(Calculations!BJ160, "")</f>
        <v/>
      </c>
      <c r="AO162" s="8" t="str">
        <f>IFERROR(Calculations!BK160, "")</f>
        <v/>
      </c>
      <c r="AP162" s="8">
        <f>IFERROR(Calculations!BL160, "")</f>
        <v>12.477168063345831</v>
      </c>
      <c r="AQ162" s="8">
        <f>IFERROR(Calculations!BM160, "")</f>
        <v>29.811632859243058</v>
      </c>
      <c r="AR162" s="8" t="str">
        <f>IFERROR(Calculations!BN160, "")</f>
        <v/>
      </c>
      <c r="AS162" s="8" t="str">
        <f>IFERROR(Calculations!BO160, "")</f>
        <v/>
      </c>
      <c r="AT162" s="8" t="str">
        <f>IFERROR(Calculations!BP160, "")</f>
        <v/>
      </c>
      <c r="AU162" s="8" t="str">
        <f>IFERROR(Calculations!BQ160, "")</f>
        <v/>
      </c>
      <c r="AV162" s="8" t="str">
        <f>IFERROR(Calculations!BR160, "")</f>
        <v/>
      </c>
      <c r="AW162" s="89"/>
      <c r="AX162" s="89"/>
      <c r="AY162" s="89"/>
      <c r="AZ162" s="89"/>
      <c r="BA162" s="8" t="str">
        <f>IFERROR(Calculations!BW160, "")</f>
        <v/>
      </c>
      <c r="BB162" s="8" t="str">
        <f>IFERROR(Calculations!BX160, "")</f>
        <v/>
      </c>
      <c r="BC162" s="8" t="str">
        <f>IFERROR(Calculations!BY160, "")</f>
        <v/>
      </c>
      <c r="BD162" s="8">
        <f>IFERROR(Calculations!BZ160, "")</f>
        <v>0</v>
      </c>
      <c r="BE162" s="8">
        <f>IFERROR(Calculations!CA160, "")</f>
        <v>31.563872391805962</v>
      </c>
      <c r="BF162" s="8" t="str">
        <f>IFERROR(Calculations!CB160, "")</f>
        <v/>
      </c>
      <c r="BG162" s="8" t="str">
        <f>IFERROR(Calculations!CC160, "")</f>
        <v/>
      </c>
      <c r="BH162" s="8" t="str">
        <f>IFERROR(Calculations!CD160, "")</f>
        <v/>
      </c>
      <c r="BI162" s="8" t="str">
        <f>IFERROR(Calculations!CE160, "")</f>
        <v/>
      </c>
      <c r="BJ162" s="8">
        <f>IFERROR(IF(Calculations!CF160 &lt;&gt; 0, Calculations!CF160, ""),"")</f>
        <v>-10.724928530782929</v>
      </c>
      <c r="BK162" s="1">
        <f t="shared" si="12"/>
        <v>500</v>
      </c>
      <c r="BL162" s="1">
        <f t="shared" si="13"/>
        <v>55</v>
      </c>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8"/>
      <c r="DB162" s="8"/>
      <c r="DC162" s="8"/>
      <c r="DD162" s="8"/>
      <c r="DE162" s="8"/>
      <c r="DF162" s="8"/>
      <c r="DG162" s="8"/>
      <c r="DH162" s="8"/>
      <c r="DI162" s="8"/>
      <c r="DJ162" s="8"/>
      <c r="DK162" s="8"/>
      <c r="DL162" s="8"/>
      <c r="DM162" s="8"/>
      <c r="DN162" s="8"/>
      <c r="DO162" s="8"/>
      <c r="DP162" s="8"/>
      <c r="DQ162" s="8"/>
      <c r="DR162" s="8"/>
      <c r="DS162" s="8"/>
      <c r="DT162" s="8"/>
      <c r="DU162" s="8"/>
      <c r="DV162" s="8"/>
      <c r="DW162" s="8"/>
      <c r="DX162" s="8"/>
      <c r="DY162" s="8"/>
      <c r="DZ162" s="8"/>
      <c r="EA162" s="8"/>
    </row>
    <row r="163" spans="2:131" x14ac:dyDescent="0.2">
      <c r="B163" s="1">
        <f>IFERROR(Calculations!M161/1000, "")</f>
        <v>55</v>
      </c>
      <c r="C163" s="1">
        <f>Calculations!N161</f>
        <v>550</v>
      </c>
      <c r="D163" s="58">
        <f>IFERROR(Calculations!$Q161,"")</f>
        <v>1.430412785951495</v>
      </c>
      <c r="E163" s="8">
        <f>IFERROR(Calculations!$S161, "")</f>
        <v>37.484482890658882</v>
      </c>
      <c r="F163" s="89"/>
      <c r="G163" s="89"/>
      <c r="H163" s="89"/>
      <c r="I163" s="89"/>
      <c r="J163" s="1" t="str">
        <f>IFERROR(Calculations!AC161, "")</f>
        <v/>
      </c>
      <c r="K163" s="1" t="str">
        <f>IFERROR(Calculations!AD161, "")</f>
        <v/>
      </c>
      <c r="L163" s="8">
        <f>IFERROR(Calculations!AE161,"")</f>
        <v>-50089.556008639236</v>
      </c>
      <c r="M163" s="8">
        <f>IFERROR(Calculations!AF161,"")</f>
        <v>-73303.04472890179</v>
      </c>
      <c r="N163" s="8" t="str">
        <f>IFERROR(Calculations!AG161,"")</f>
        <v/>
      </c>
      <c r="O163" s="8" t="str">
        <f>IFERROR(Calculations!AH161,"")</f>
        <v/>
      </c>
      <c r="P163" s="8" t="str">
        <f>IFERROR(Calculations!AI161,"")</f>
        <v/>
      </c>
      <c r="Q163" s="8" t="str">
        <f>IFERROR(Calculations!AJ161,"")</f>
        <v/>
      </c>
      <c r="R163" s="8" t="str">
        <f>IFERROR(Calculations!AK161,"")</f>
        <v/>
      </c>
      <c r="S163" s="89"/>
      <c r="T163" s="89"/>
      <c r="U163" s="89"/>
      <c r="V163" s="89"/>
      <c r="W163" s="1" t="str">
        <f>IFERROR(Calculations!AP161, "")</f>
        <v/>
      </c>
      <c r="X163" s="1" t="str">
        <f>IFERROR(Calculations!AQ161, "")</f>
        <v/>
      </c>
      <c r="Y163" s="8" t="str">
        <f>IFERROR(Calculations!AR161,"")</f>
        <v/>
      </c>
      <c r="Z163" s="8">
        <f>IFERROR(Calculations!AS161,"")</f>
        <v>0</v>
      </c>
      <c r="AA163" s="8">
        <f>IFERROR(Calculations!AT161,"")</f>
        <v>-115318.00099284753</v>
      </c>
      <c r="AB163" s="8" t="str">
        <f>IFERROR(Calculations!AU161,"")</f>
        <v/>
      </c>
      <c r="AC163" s="8" t="str">
        <f>IFERROR(Calculations!AV161,"")</f>
        <v/>
      </c>
      <c r="AD163" s="8" t="str">
        <f>IFERROR(Calculations!AW161,"")</f>
        <v/>
      </c>
      <c r="AE163" s="8" t="str">
        <f>IFERROR(Calculations!AX161,"")</f>
        <v/>
      </c>
      <c r="AF163" s="8">
        <f>IFERROR(IF(Calculations!AY161 &lt;&gt; 0, Calculations!AY161, ""),"")</f>
        <v>8074.5997446934925</v>
      </c>
      <c r="AG163" s="42">
        <f>IFERROR(IF(Calculations!AZ161 &lt;&gt; 0, Calculations!AZ161, ""),"")</f>
        <v>-2.1452301630363779</v>
      </c>
      <c r="AH163" s="1">
        <f t="shared" si="10"/>
        <v>55</v>
      </c>
      <c r="AI163" s="1">
        <f t="shared" si="11"/>
        <v>550</v>
      </c>
      <c r="AJ163" s="89"/>
      <c r="AK163" s="89"/>
      <c r="AL163" s="89"/>
      <c r="AM163" s="89"/>
      <c r="AN163" s="8" t="str">
        <f>IFERROR(Calculations!BJ161, "")</f>
        <v/>
      </c>
      <c r="AO163" s="8" t="str">
        <f>IFERROR(Calculations!BK161, "")</f>
        <v/>
      </c>
      <c r="AP163" s="8">
        <f>IFERROR(Calculations!BL161, "")</f>
        <v>12.594462365642539</v>
      </c>
      <c r="AQ163" s="8">
        <f>IFERROR(Calculations!BM161, "")</f>
        <v>29.822340100703673</v>
      </c>
      <c r="AR163" s="8" t="str">
        <f>IFERROR(Calculations!BN161, "")</f>
        <v/>
      </c>
      <c r="AS163" s="8" t="str">
        <f>IFERROR(Calculations!BO161, "")</f>
        <v/>
      </c>
      <c r="AT163" s="8" t="str">
        <f>IFERROR(Calculations!BP161, "")</f>
        <v/>
      </c>
      <c r="AU163" s="8" t="str">
        <f>IFERROR(Calculations!BQ161, "")</f>
        <v/>
      </c>
      <c r="AV163" s="8" t="str">
        <f>IFERROR(Calculations!BR161, "")</f>
        <v/>
      </c>
      <c r="AW163" s="89"/>
      <c r="AX163" s="89"/>
      <c r="AY163" s="89"/>
      <c r="AZ163" s="89"/>
      <c r="BA163" s="8" t="str">
        <f>IFERROR(Calculations!BW161, "")</f>
        <v/>
      </c>
      <c r="BB163" s="8" t="str">
        <f>IFERROR(Calculations!BX161, "")</f>
        <v/>
      </c>
      <c r="BC163" s="8" t="str">
        <f>IFERROR(Calculations!BY161, "")</f>
        <v/>
      </c>
      <c r="BD163" s="8">
        <f>IFERROR(Calculations!BZ161, "")</f>
        <v>0</v>
      </c>
      <c r="BE163" s="8">
        <f>IFERROR(Calculations!CA161, "")</f>
        <v>31.521781247501291</v>
      </c>
      <c r="BF163" s="8" t="str">
        <f>IFERROR(Calculations!CB161, "")</f>
        <v/>
      </c>
      <c r="BG163" s="8" t="str">
        <f>IFERROR(Calculations!CC161, "")</f>
        <v/>
      </c>
      <c r="BH163" s="8" t="str">
        <f>IFERROR(Calculations!CD161, "")</f>
        <v/>
      </c>
      <c r="BI163" s="8" t="str">
        <f>IFERROR(Calculations!CE161, "")</f>
        <v/>
      </c>
      <c r="BJ163" s="8">
        <f>IFERROR(IF(Calculations!CF161 &lt;&gt; 0, Calculations!CF161, ""),"")</f>
        <v>-10.895021218844921</v>
      </c>
      <c r="BK163" s="1">
        <f t="shared" si="12"/>
        <v>550</v>
      </c>
      <c r="BL163" s="1">
        <f t="shared" si="13"/>
        <v>55</v>
      </c>
      <c r="CD163" s="8"/>
      <c r="CE163" s="8"/>
      <c r="CF163" s="8"/>
      <c r="CG163" s="8"/>
      <c r="CH163" s="8"/>
      <c r="CI163" s="8"/>
      <c r="CJ163" s="8"/>
      <c r="CK163" s="8"/>
      <c r="CL163" s="8"/>
      <c r="CM163" s="8"/>
      <c r="CN163" s="8"/>
      <c r="CO163" s="8"/>
      <c r="CP163" s="8"/>
      <c r="CQ163" s="8"/>
      <c r="CR163" s="8"/>
      <c r="CS163" s="8"/>
      <c r="CT163" s="8"/>
      <c r="CU163" s="8"/>
      <c r="CV163" s="8"/>
      <c r="CW163" s="8"/>
      <c r="CX163" s="8"/>
      <c r="CY163" s="8"/>
      <c r="CZ163" s="8"/>
      <c r="DA163" s="8"/>
      <c r="DB163" s="8"/>
      <c r="DC163" s="8"/>
      <c r="DD163" s="8"/>
      <c r="DE163" s="8"/>
      <c r="DF163" s="8"/>
      <c r="DG163" s="8"/>
      <c r="DH163" s="8"/>
      <c r="DI163" s="8"/>
      <c r="DJ163" s="8"/>
      <c r="DK163" s="8"/>
      <c r="DL163" s="8"/>
      <c r="DM163" s="8"/>
      <c r="DN163" s="8"/>
      <c r="DO163" s="8"/>
      <c r="DP163" s="8"/>
      <c r="DQ163" s="8"/>
      <c r="DR163" s="8"/>
      <c r="DS163" s="8"/>
      <c r="DT163" s="8"/>
      <c r="DU163" s="8"/>
      <c r="DV163" s="8"/>
      <c r="DW163" s="8"/>
      <c r="DX163" s="8"/>
      <c r="DY163" s="8"/>
      <c r="DZ163" s="8"/>
      <c r="EA163" s="8"/>
    </row>
    <row r="164" spans="2:131" x14ac:dyDescent="0.2">
      <c r="B164" s="1">
        <f>IFERROR(Calculations!M162/1000, "")</f>
        <v>55</v>
      </c>
      <c r="C164" s="1">
        <f>Calculations!N162</f>
        <v>600</v>
      </c>
      <c r="D164" s="58">
        <f>IFERROR(Calculations!$Q162,"")</f>
        <v>1.4172041514807945</v>
      </c>
      <c r="E164" s="8">
        <f>IFERROR(Calculations!$S162, "")</f>
        <v>34.184211861188587</v>
      </c>
      <c r="F164" s="89"/>
      <c r="G164" s="89"/>
      <c r="H164" s="89"/>
      <c r="I164" s="89"/>
      <c r="J164" s="1" t="str">
        <f>IFERROR(Calculations!AC162, "")</f>
        <v/>
      </c>
      <c r="K164" s="1" t="str">
        <f>IFERROR(Calculations!AD162, "")</f>
        <v/>
      </c>
      <c r="L164" s="8">
        <f>IFERROR(Calculations!AE162,"")</f>
        <v>-51432.121759820497</v>
      </c>
      <c r="M164" s="8">
        <f>IFERROR(Calculations!AF162,"")</f>
        <v>-75537.717114616156</v>
      </c>
      <c r="N164" s="8" t="str">
        <f>IFERROR(Calculations!AG162,"")</f>
        <v/>
      </c>
      <c r="O164" s="8" t="str">
        <f>IFERROR(Calculations!AH162,"")</f>
        <v/>
      </c>
      <c r="P164" s="8" t="str">
        <f>IFERROR(Calculations!AI162,"")</f>
        <v/>
      </c>
      <c r="Q164" s="8" t="str">
        <f>IFERROR(Calculations!AJ162,"")</f>
        <v/>
      </c>
      <c r="R164" s="8" t="str">
        <f>IFERROR(Calculations!AK162,"")</f>
        <v/>
      </c>
      <c r="S164" s="89"/>
      <c r="T164" s="89"/>
      <c r="U164" s="89"/>
      <c r="V164" s="89"/>
      <c r="W164" s="1" t="str">
        <f>IFERROR(Calculations!AP162, "")</f>
        <v/>
      </c>
      <c r="X164" s="1" t="str">
        <f>IFERROR(Calculations!AQ162, "")</f>
        <v/>
      </c>
      <c r="Y164" s="8" t="str">
        <f>IFERROR(Calculations!AR162,"")</f>
        <v/>
      </c>
      <c r="Z164" s="8">
        <f>IFERROR(Calculations!AS162,"")</f>
        <v>0</v>
      </c>
      <c r="AA164" s="8">
        <f>IFERROR(Calculations!AT162,"")</f>
        <v>-117039.66075750312</v>
      </c>
      <c r="AB164" s="8" t="str">
        <f>IFERROR(Calculations!AU162,"")</f>
        <v/>
      </c>
      <c r="AC164" s="8" t="str">
        <f>IFERROR(Calculations!AV162,"")</f>
        <v/>
      </c>
      <c r="AD164" s="8" t="str">
        <f>IFERROR(Calculations!AW162,"")</f>
        <v/>
      </c>
      <c r="AE164" s="8" t="str">
        <f>IFERROR(Calculations!AX162,"")</f>
        <v/>
      </c>
      <c r="AF164" s="8">
        <f>IFERROR(IF(Calculations!AY162 &lt;&gt; 0, Calculations!AY162, ""),"")</f>
        <v>9930.17811693353</v>
      </c>
      <c r="AG164" s="42">
        <f>IFERROR(IF(Calculations!AZ162 &lt;&gt; 0, Calculations!AZ162, ""),"")</f>
        <v>-2.4871389777315724</v>
      </c>
      <c r="AH164" s="1">
        <f t="shared" si="10"/>
        <v>55</v>
      </c>
      <c r="AI164" s="1">
        <f t="shared" si="11"/>
        <v>600</v>
      </c>
      <c r="AJ164" s="89"/>
      <c r="AK164" s="89"/>
      <c r="AL164" s="89"/>
      <c r="AM164" s="89"/>
      <c r="AN164" s="8" t="str">
        <f>IFERROR(Calculations!BJ162, "")</f>
        <v/>
      </c>
      <c r="AO164" s="8" t="str">
        <f>IFERROR(Calculations!BK162, "")</f>
        <v/>
      </c>
      <c r="AP164" s="8">
        <f>IFERROR(Calculations!BL162, "")</f>
        <v>12.711845347881862</v>
      </c>
      <c r="AQ164" s="8">
        <f>IFERROR(Calculations!BM162, "")</f>
        <v>29.835919238350034</v>
      </c>
      <c r="AR164" s="8" t="str">
        <f>IFERROR(Calculations!BN162, "")</f>
        <v/>
      </c>
      <c r="AS164" s="8" t="str">
        <f>IFERROR(Calculations!BO162, "")</f>
        <v/>
      </c>
      <c r="AT164" s="8" t="str">
        <f>IFERROR(Calculations!BP162, "")</f>
        <v/>
      </c>
      <c r="AU164" s="8" t="str">
        <f>IFERROR(Calculations!BQ162, "")</f>
        <v/>
      </c>
      <c r="AV164" s="8" t="str">
        <f>IFERROR(Calculations!BR162, "")</f>
        <v/>
      </c>
      <c r="AW164" s="89"/>
      <c r="AX164" s="89"/>
      <c r="AY164" s="89"/>
      <c r="AZ164" s="89"/>
      <c r="BA164" s="8" t="str">
        <f>IFERROR(Calculations!BW162, "")</f>
        <v/>
      </c>
      <c r="BB164" s="8" t="str">
        <f>IFERROR(Calculations!BX162, "")</f>
        <v/>
      </c>
      <c r="BC164" s="8" t="str">
        <f>IFERROR(Calculations!BY162, "")</f>
        <v/>
      </c>
      <c r="BD164" s="8">
        <f>IFERROR(Calculations!BZ162, "")</f>
        <v>0</v>
      </c>
      <c r="BE164" s="8">
        <f>IFERROR(Calculations!CA162, "")</f>
        <v>31.479001820200029</v>
      </c>
      <c r="BF164" s="8" t="str">
        <f>IFERROR(Calculations!CB162, "")</f>
        <v/>
      </c>
      <c r="BG164" s="8" t="str">
        <f>IFERROR(Calculations!CC162, "")</f>
        <v/>
      </c>
      <c r="BH164" s="8" t="str">
        <f>IFERROR(Calculations!CD162, "")</f>
        <v/>
      </c>
      <c r="BI164" s="8" t="str">
        <f>IFERROR(Calculations!CE162, "")</f>
        <v/>
      </c>
      <c r="BJ164" s="8">
        <f>IFERROR(IF(Calculations!CF162 &lt;&gt; 0, Calculations!CF162, ""),"")</f>
        <v>-11.068762766031863</v>
      </c>
      <c r="BK164" s="1">
        <f t="shared" si="12"/>
        <v>600</v>
      </c>
      <c r="BL164" s="1">
        <f t="shared" si="13"/>
        <v>55</v>
      </c>
      <c r="CD164" s="8"/>
      <c r="CE164" s="8"/>
      <c r="CF164" s="8"/>
      <c r="CG164" s="8"/>
      <c r="CH164" s="8"/>
      <c r="CI164" s="8"/>
      <c r="CJ164" s="8"/>
      <c r="CK164" s="8"/>
      <c r="CL164" s="8"/>
      <c r="CM164" s="8"/>
      <c r="CN164" s="8"/>
      <c r="CO164" s="8"/>
      <c r="CP164" s="8"/>
      <c r="CQ164" s="8"/>
      <c r="CR164" s="8"/>
      <c r="CS164" s="8"/>
      <c r="CT164" s="8"/>
      <c r="CU164" s="8"/>
      <c r="CV164" s="8"/>
      <c r="CW164" s="8"/>
      <c r="CX164" s="8"/>
      <c r="CY164" s="8"/>
      <c r="CZ164" s="8"/>
      <c r="DA164" s="8"/>
      <c r="DB164" s="8"/>
      <c r="DC164" s="8"/>
      <c r="DD164" s="8"/>
      <c r="DE164" s="8"/>
      <c r="DF164" s="8"/>
      <c r="DG164" s="8"/>
      <c r="DH164" s="8"/>
      <c r="DI164" s="8"/>
      <c r="DJ164" s="8"/>
      <c r="DK164" s="8"/>
      <c r="DL164" s="8"/>
      <c r="DM164" s="8"/>
      <c r="DN164" s="8"/>
      <c r="DO164" s="8"/>
      <c r="DP164" s="8"/>
      <c r="DQ164" s="8"/>
      <c r="DR164" s="8"/>
      <c r="DS164" s="8"/>
      <c r="DT164" s="8"/>
      <c r="DU164" s="8"/>
      <c r="DV164" s="8"/>
      <c r="DW164" s="8"/>
      <c r="DX164" s="8"/>
      <c r="DY164" s="8"/>
      <c r="DZ164" s="8"/>
      <c r="EA164" s="8"/>
    </row>
    <row r="165" spans="2:131" x14ac:dyDescent="0.2">
      <c r="B165" s="1">
        <f>IFERROR(Calculations!M163/1000, "")</f>
        <v>55</v>
      </c>
      <c r="C165" s="1">
        <f>Calculations!N163</f>
        <v>650</v>
      </c>
      <c r="D165" s="58">
        <f>IFERROR(Calculations!$Q163,"")</f>
        <v>1.404214414192438</v>
      </c>
      <c r="E165" s="8">
        <f>IFERROR(Calculations!$S163, "")</f>
        <v>31.242837500687976</v>
      </c>
      <c r="F165" s="89"/>
      <c r="G165" s="89"/>
      <c r="H165" s="89"/>
      <c r="I165" s="89"/>
      <c r="J165" s="1" t="str">
        <f>IFERROR(Calculations!AC163, "")</f>
        <v/>
      </c>
      <c r="K165" s="1" t="str">
        <f>IFERROR(Calculations!AD163, "")</f>
        <v/>
      </c>
      <c r="L165" s="8">
        <f>IFERROR(Calculations!AE163,"")</f>
        <v>-52793.894737350842</v>
      </c>
      <c r="M165" s="8">
        <f>IFERROR(Calculations!AF163,"")</f>
        <v>-77810.33458476956</v>
      </c>
      <c r="N165" s="8" t="str">
        <f>IFERROR(Calculations!AG163,"")</f>
        <v/>
      </c>
      <c r="O165" s="8" t="str">
        <f>IFERROR(Calculations!AH163,"")</f>
        <v/>
      </c>
      <c r="P165" s="8" t="str">
        <f>IFERROR(Calculations!AI163,"")</f>
        <v/>
      </c>
      <c r="Q165" s="8" t="str">
        <f>IFERROR(Calculations!AJ163,"")</f>
        <v/>
      </c>
      <c r="R165" s="8" t="str">
        <f>IFERROR(Calculations!AK163,"")</f>
        <v/>
      </c>
      <c r="S165" s="89"/>
      <c r="T165" s="89"/>
      <c r="U165" s="89"/>
      <c r="V165" s="89"/>
      <c r="W165" s="1" t="str">
        <f>IFERROR(Calculations!AP163, "")</f>
        <v/>
      </c>
      <c r="X165" s="1" t="str">
        <f>IFERROR(Calculations!AQ163, "")</f>
        <v/>
      </c>
      <c r="Y165" s="8" t="str">
        <f>IFERROR(Calculations!AR163,"")</f>
        <v/>
      </c>
      <c r="Z165" s="8">
        <f>IFERROR(Calculations!AS163,"")</f>
        <v>0</v>
      </c>
      <c r="AA165" s="8">
        <f>IFERROR(Calculations!AT163,"")</f>
        <v>-118770.85992524968</v>
      </c>
      <c r="AB165" s="8" t="str">
        <f>IFERROR(Calculations!AU163,"")</f>
        <v/>
      </c>
      <c r="AC165" s="8" t="str">
        <f>IFERROR(Calculations!AV163,"")</f>
        <v/>
      </c>
      <c r="AD165" s="8" t="str">
        <f>IFERROR(Calculations!AW163,"")</f>
        <v/>
      </c>
      <c r="AE165" s="8" t="str">
        <f>IFERROR(Calculations!AX163,"")</f>
        <v/>
      </c>
      <c r="AF165" s="8">
        <f>IFERROR(IF(Calculations!AY163 &lt;&gt; 0, Calculations!AY163, ""),"")</f>
        <v>11833.369396870723</v>
      </c>
      <c r="AG165" s="42">
        <f>IFERROR(IF(Calculations!AZ163 &lt;&gt; 0, Calculations!AZ163, ""),"")</f>
        <v>-2.8032899589419586</v>
      </c>
      <c r="AH165" s="1">
        <f t="shared" si="10"/>
        <v>55</v>
      </c>
      <c r="AI165" s="1">
        <f t="shared" si="11"/>
        <v>650</v>
      </c>
      <c r="AJ165" s="89"/>
      <c r="AK165" s="89"/>
      <c r="AL165" s="89"/>
      <c r="AM165" s="89"/>
      <c r="AN165" s="8" t="str">
        <f>IFERROR(Calculations!BJ163, "")</f>
        <v/>
      </c>
      <c r="AO165" s="8" t="str">
        <f>IFERROR(Calculations!BK163, "")</f>
        <v/>
      </c>
      <c r="AP165" s="8">
        <f>IFERROR(Calculations!BL163, "")</f>
        <v>12.829436742650563</v>
      </c>
      <c r="AQ165" s="8">
        <f>IFERROR(Calculations!BM163, "")</f>
        <v>29.851800398443462</v>
      </c>
      <c r="AR165" s="8" t="str">
        <f>IFERROR(Calculations!BN163, "")</f>
        <v/>
      </c>
      <c r="AS165" s="8" t="str">
        <f>IFERROR(Calculations!BO163, "")</f>
        <v/>
      </c>
      <c r="AT165" s="8" t="str">
        <f>IFERROR(Calculations!BP163, "")</f>
        <v/>
      </c>
      <c r="AU165" s="8" t="str">
        <f>IFERROR(Calculations!BQ163, "")</f>
        <v/>
      </c>
      <c r="AV165" s="8" t="str">
        <f>IFERROR(Calculations!BR163, "")</f>
        <v/>
      </c>
      <c r="AW165" s="89"/>
      <c r="AX165" s="89"/>
      <c r="AY165" s="89"/>
      <c r="AZ165" s="89"/>
      <c r="BA165" s="8" t="str">
        <f>IFERROR(Calculations!BW163, "")</f>
        <v/>
      </c>
      <c r="BB165" s="8" t="str">
        <f>IFERROR(Calculations!BX163, "")</f>
        <v/>
      </c>
      <c r="BC165" s="8" t="str">
        <f>IFERROR(Calculations!BY163, "")</f>
        <v/>
      </c>
      <c r="BD165" s="8">
        <f>IFERROR(Calculations!BZ163, "")</f>
        <v>0</v>
      </c>
      <c r="BE165" s="8">
        <f>IFERROR(Calculations!CA163, "")</f>
        <v>31.43560332347386</v>
      </c>
      <c r="BF165" s="8" t="str">
        <f>IFERROR(Calculations!CB163, "")</f>
        <v/>
      </c>
      <c r="BG165" s="8" t="str">
        <f>IFERROR(Calculations!CC163, "")</f>
        <v/>
      </c>
      <c r="BH165" s="8" t="str">
        <f>IFERROR(Calculations!CD163, "")</f>
        <v/>
      </c>
      <c r="BI165" s="8" t="str">
        <f>IFERROR(Calculations!CE163, "")</f>
        <v/>
      </c>
      <c r="BJ165" s="8">
        <f>IFERROR(IF(Calculations!CF163 &lt;&gt; 0, Calculations!CF163, ""),"")</f>
        <v>-11.245633817620163</v>
      </c>
      <c r="BK165" s="1">
        <f t="shared" si="12"/>
        <v>650</v>
      </c>
      <c r="BL165" s="1">
        <f t="shared" si="13"/>
        <v>55</v>
      </c>
      <c r="CD165" s="8"/>
      <c r="CE165" s="8"/>
      <c r="CF165" s="8"/>
      <c r="CG165" s="8"/>
      <c r="CH165" s="8"/>
      <c r="CI165" s="8"/>
      <c r="CJ165" s="8"/>
      <c r="CK165" s="8"/>
      <c r="CL165" s="8"/>
      <c r="CM165" s="8"/>
      <c r="CN165" s="8"/>
      <c r="CO165" s="8"/>
      <c r="CP165" s="8"/>
      <c r="CQ165" s="8"/>
      <c r="CR165" s="8"/>
      <c r="CS165" s="8"/>
      <c r="CT165" s="8"/>
      <c r="CU165" s="8"/>
      <c r="CV165" s="8"/>
      <c r="CW165" s="8"/>
      <c r="CX165" s="8"/>
      <c r="CY165" s="8"/>
      <c r="CZ165" s="8"/>
      <c r="DA165" s="8"/>
      <c r="DB165" s="8"/>
      <c r="DC165" s="8"/>
      <c r="DD165" s="8"/>
      <c r="DE165" s="8"/>
      <c r="DF165" s="8"/>
      <c r="DG165" s="8"/>
      <c r="DH165" s="8"/>
      <c r="DI165" s="8"/>
      <c r="DJ165" s="8"/>
      <c r="DK165" s="8"/>
      <c r="DL165" s="8"/>
      <c r="DM165" s="8"/>
      <c r="DN165" s="8"/>
      <c r="DO165" s="8"/>
      <c r="DP165" s="8"/>
      <c r="DQ165" s="8"/>
      <c r="DR165" s="8"/>
      <c r="DS165" s="8"/>
      <c r="DT165" s="8"/>
      <c r="DU165" s="8"/>
      <c r="DV165" s="8"/>
      <c r="DW165" s="8"/>
      <c r="DX165" s="8"/>
      <c r="DY165" s="8"/>
      <c r="DZ165" s="8"/>
      <c r="EA165" s="8"/>
    </row>
    <row r="166" spans="2:131" x14ac:dyDescent="0.2">
      <c r="B166" s="1">
        <f>IFERROR(Calculations!M164/1000, "")</f>
        <v>55</v>
      </c>
      <c r="C166" s="1">
        <f>Calculations!N164</f>
        <v>700</v>
      </c>
      <c r="D166" s="58">
        <f>IFERROR(Calculations!$Q164,"")</f>
        <v>1.3914385077118872</v>
      </c>
      <c r="E166" s="8">
        <f>IFERROR(Calculations!$S164, "")</f>
        <v>28.612939073896776</v>
      </c>
      <c r="F166" s="89"/>
      <c r="G166" s="89"/>
      <c r="H166" s="89"/>
      <c r="I166" s="89"/>
      <c r="J166" s="1" t="str">
        <f>IFERROR(Calculations!AC164, "")</f>
        <v/>
      </c>
      <c r="K166" s="1" t="str">
        <f>IFERROR(Calculations!AD164, "")</f>
        <v/>
      </c>
      <c r="L166" s="8">
        <f>IFERROR(Calculations!AE164,"")</f>
        <v>-54225.336277371083</v>
      </c>
      <c r="M166" s="8">
        <f>IFERROR(Calculations!AF164,"")</f>
        <v>-80120.545655124995</v>
      </c>
      <c r="N166" s="8" t="str">
        <f>IFERROR(Calculations!AG164,"")</f>
        <v/>
      </c>
      <c r="O166" s="8" t="str">
        <f>IFERROR(Calculations!AH164,"")</f>
        <v/>
      </c>
      <c r="P166" s="8" t="str">
        <f>IFERROR(Calculations!AI164,"")</f>
        <v/>
      </c>
      <c r="Q166" s="8" t="str">
        <f>IFERROR(Calculations!AJ164,"")</f>
        <v/>
      </c>
      <c r="R166" s="8" t="str">
        <f>IFERROR(Calculations!AK164,"")</f>
        <v/>
      </c>
      <c r="S166" s="89"/>
      <c r="T166" s="89"/>
      <c r="U166" s="89"/>
      <c r="V166" s="89"/>
      <c r="W166" s="1" t="str">
        <f>IFERROR(Calculations!AP164, "")</f>
        <v/>
      </c>
      <c r="X166" s="1" t="str">
        <f>IFERROR(Calculations!AQ164, "")</f>
        <v/>
      </c>
      <c r="Y166" s="8" t="str">
        <f>IFERROR(Calculations!AR164,"")</f>
        <v/>
      </c>
      <c r="Z166" s="8">
        <f>IFERROR(Calculations!AS164,"")</f>
        <v>0</v>
      </c>
      <c r="AA166" s="8">
        <f>IFERROR(Calculations!AT164,"")</f>
        <v>-120508.54696804877</v>
      </c>
      <c r="AB166" s="8" t="str">
        <f>IFERROR(Calculations!AU164,"")</f>
        <v/>
      </c>
      <c r="AC166" s="8" t="str">
        <f>IFERROR(Calculations!AV164,"")</f>
        <v/>
      </c>
      <c r="AD166" s="8" t="str">
        <f>IFERROR(Calculations!AW164,"")</f>
        <v/>
      </c>
      <c r="AE166" s="8" t="str">
        <f>IFERROR(Calculations!AX164,"")</f>
        <v/>
      </c>
      <c r="AF166" s="8">
        <f>IFERROR(IF(Calculations!AY164 &lt;&gt; 0, Calculations!AY164, ""),"")</f>
        <v>13837.33496444732</v>
      </c>
      <c r="AG166" s="42">
        <f>IFERROR(IF(Calculations!AZ164 &lt;&gt; 0, Calculations!AZ164, ""),"")</f>
        <v>-3.1096000939206139</v>
      </c>
      <c r="AH166" s="1">
        <f t="shared" si="10"/>
        <v>55</v>
      </c>
      <c r="AI166" s="1">
        <f t="shared" si="11"/>
        <v>700</v>
      </c>
      <c r="AJ166" s="89"/>
      <c r="AK166" s="89"/>
      <c r="AL166" s="89"/>
      <c r="AM166" s="89"/>
      <c r="AN166" s="8" t="str">
        <f>IFERROR(Calculations!BJ164, "")</f>
        <v/>
      </c>
      <c r="AO166" s="8" t="str">
        <f>IFERROR(Calculations!BK164, "")</f>
        <v/>
      </c>
      <c r="AP166" s="8">
        <f>IFERROR(Calculations!BL164, "")</f>
        <v>12.947234031653137</v>
      </c>
      <c r="AQ166" s="8">
        <f>IFERROR(Calculations!BM164, "")</f>
        <v>29.869546715416366</v>
      </c>
      <c r="AR166" s="8" t="str">
        <f>IFERROR(Calculations!BN164, "")</f>
        <v/>
      </c>
      <c r="AS166" s="8" t="str">
        <f>IFERROR(Calculations!BO164, "")</f>
        <v/>
      </c>
      <c r="AT166" s="8" t="str">
        <f>IFERROR(Calculations!BP164, "")</f>
        <v/>
      </c>
      <c r="AU166" s="8" t="str">
        <f>IFERROR(Calculations!BQ164, "")</f>
        <v/>
      </c>
      <c r="AV166" s="8" t="str">
        <f>IFERROR(Calculations!BR164, "")</f>
        <v/>
      </c>
      <c r="AW166" s="89"/>
      <c r="AX166" s="89"/>
      <c r="AY166" s="89"/>
      <c r="AZ166" s="89"/>
      <c r="BA166" s="8" t="str">
        <f>IFERROR(Calculations!BW164, "")</f>
        <v/>
      </c>
      <c r="BB166" s="8" t="str">
        <f>IFERROR(Calculations!BX164, "")</f>
        <v/>
      </c>
      <c r="BC166" s="8" t="str">
        <f>IFERROR(Calculations!BY164, "")</f>
        <v/>
      </c>
      <c r="BD166" s="8">
        <f>IFERROR(Calculations!BZ164, "")</f>
        <v>0</v>
      </c>
      <c r="BE166" s="8">
        <f>IFERROR(Calculations!CA164, "")</f>
        <v>31.391668142385576</v>
      </c>
      <c r="BF166" s="8" t="str">
        <f>IFERROR(Calculations!CB164, "")</f>
        <v/>
      </c>
      <c r="BG166" s="8" t="str">
        <f>IFERROR(Calculations!CC164, "")</f>
        <v/>
      </c>
      <c r="BH166" s="8" t="str">
        <f>IFERROR(Calculations!CD164, "")</f>
        <v/>
      </c>
      <c r="BI166" s="8" t="str">
        <f>IFERROR(Calculations!CE164, "")</f>
        <v/>
      </c>
      <c r="BJ166" s="8">
        <f>IFERROR(IF(Calculations!CF164 &lt;&gt; 0, Calculations!CF164, ""),"")</f>
        <v>-11.425112604683925</v>
      </c>
      <c r="BK166" s="1">
        <f t="shared" si="12"/>
        <v>700</v>
      </c>
      <c r="BL166" s="1">
        <f t="shared" si="13"/>
        <v>55</v>
      </c>
      <c r="CD166" s="8"/>
      <c r="CE166" s="8"/>
      <c r="CF166" s="8"/>
      <c r="CG166" s="8"/>
      <c r="CH166" s="8"/>
      <c r="CI166" s="8"/>
      <c r="CJ166" s="8"/>
      <c r="CK166" s="8"/>
      <c r="CL166" s="8"/>
      <c r="CM166" s="8"/>
      <c r="CN166" s="8"/>
      <c r="CO166" s="8"/>
      <c r="CP166" s="8"/>
      <c r="CQ166" s="8"/>
      <c r="CR166" s="8"/>
      <c r="CS166" s="8"/>
      <c r="CT166" s="8"/>
      <c r="CU166" s="8"/>
      <c r="CV166" s="8"/>
      <c r="CW166" s="8"/>
      <c r="CX166" s="8"/>
      <c r="CY166" s="8"/>
      <c r="CZ166" s="8"/>
      <c r="DA166" s="8"/>
      <c r="DB166" s="8"/>
      <c r="DC166" s="8"/>
      <c r="DD166" s="8"/>
      <c r="DE166" s="8"/>
      <c r="DF166" s="8"/>
      <c r="DG166" s="8"/>
      <c r="DH166" s="8"/>
      <c r="DI166" s="8"/>
      <c r="DJ166" s="8"/>
      <c r="DK166" s="8"/>
      <c r="DL166" s="8"/>
      <c r="DM166" s="8"/>
      <c r="DN166" s="8"/>
      <c r="DO166" s="8"/>
      <c r="DP166" s="8"/>
      <c r="DQ166" s="8"/>
      <c r="DR166" s="8"/>
      <c r="DS166" s="8"/>
      <c r="DT166" s="8"/>
      <c r="DU166" s="8"/>
      <c r="DV166" s="8"/>
      <c r="DW166" s="8"/>
      <c r="DX166" s="8"/>
      <c r="DY166" s="8"/>
      <c r="DZ166" s="8"/>
      <c r="EA166" s="8"/>
    </row>
    <row r="167" spans="2:131" x14ac:dyDescent="0.2">
      <c r="B167" s="1">
        <f>IFERROR(Calculations!M165/1000, "")</f>
        <v>55</v>
      </c>
      <c r="C167" s="1">
        <f>Calculations!N165</f>
        <v>750</v>
      </c>
      <c r="D167" s="58">
        <f>IFERROR(Calculations!$Q165,"")</f>
        <v>1.3788782201713325</v>
      </c>
      <c r="E167" s="8">
        <f>IFERROR(Calculations!$S165, "")</f>
        <v>26.255027435476283</v>
      </c>
      <c r="F167" s="89"/>
      <c r="G167" s="89"/>
      <c r="H167" s="89"/>
      <c r="I167" s="89"/>
      <c r="J167" s="1" t="str">
        <f>IFERROR(Calculations!AC165, "")</f>
        <v/>
      </c>
      <c r="K167" s="1" t="str">
        <f>IFERROR(Calculations!AD165, "")</f>
        <v/>
      </c>
      <c r="L167" s="8">
        <f>IFERROR(Calculations!AE165,"")</f>
        <v>-55671.069421013453</v>
      </c>
      <c r="M167" s="8">
        <f>IFERROR(Calculations!AF165,"")</f>
        <v>-82468.04903444073</v>
      </c>
      <c r="N167" s="8" t="str">
        <f>IFERROR(Calculations!AG165,"")</f>
        <v/>
      </c>
      <c r="O167" s="8" t="str">
        <f>IFERROR(Calculations!AH165,"")</f>
        <v/>
      </c>
      <c r="P167" s="8" t="str">
        <f>IFERROR(Calculations!AI165,"")</f>
        <v/>
      </c>
      <c r="Q167" s="8" t="str">
        <f>IFERROR(Calculations!AJ165,"")</f>
        <v/>
      </c>
      <c r="R167" s="8" t="str">
        <f>IFERROR(Calculations!AK165,"")</f>
        <v/>
      </c>
      <c r="S167" s="89"/>
      <c r="T167" s="89"/>
      <c r="U167" s="89"/>
      <c r="V167" s="89"/>
      <c r="W167" s="1" t="str">
        <f>IFERROR(Calculations!AP165, "")</f>
        <v/>
      </c>
      <c r="X167" s="1" t="str">
        <f>IFERROR(Calculations!AQ165, "")</f>
        <v/>
      </c>
      <c r="Y167" s="8" t="str">
        <f>IFERROR(Calculations!AR165,"")</f>
        <v/>
      </c>
      <c r="Z167" s="8">
        <f>IFERROR(Calculations!AS165,"")</f>
        <v>0</v>
      </c>
      <c r="AA167" s="8">
        <f>IFERROR(Calculations!AT165,"")</f>
        <v>-122249.92582582289</v>
      </c>
      <c r="AB167" s="8" t="str">
        <f>IFERROR(Calculations!AU165,"")</f>
        <v/>
      </c>
      <c r="AC167" s="8" t="str">
        <f>IFERROR(Calculations!AV165,"")</f>
        <v/>
      </c>
      <c r="AD167" s="8" t="str">
        <f>IFERROR(Calculations!AW165,"")</f>
        <v/>
      </c>
      <c r="AE167" s="8" t="str">
        <f>IFERROR(Calculations!AX165,"")</f>
        <v/>
      </c>
      <c r="AF167" s="8">
        <f>IFERROR(IF(Calculations!AY165 &lt;&gt; 0, Calculations!AY165, ""),"")</f>
        <v>15889.192629631289</v>
      </c>
      <c r="AG167" s="42">
        <f>IFERROR(IF(Calculations!AZ165 &lt;&gt; 0, Calculations!AZ165, ""),"")</f>
        <v>-3.3962088952201479</v>
      </c>
      <c r="AH167" s="1">
        <f t="shared" si="10"/>
        <v>55</v>
      </c>
      <c r="AI167" s="1">
        <f t="shared" si="11"/>
        <v>750</v>
      </c>
      <c r="AJ167" s="89"/>
      <c r="AK167" s="89"/>
      <c r="AL167" s="89"/>
      <c r="AM167" s="89"/>
      <c r="AN167" s="8" t="str">
        <f>IFERROR(Calculations!BJ165, "")</f>
        <v/>
      </c>
      <c r="AO167" s="8" t="str">
        <f>IFERROR(Calculations!BK165, "")</f>
        <v/>
      </c>
      <c r="AP167" s="8">
        <f>IFERROR(Calculations!BL165, "")</f>
        <v>13.065171192392546</v>
      </c>
      <c r="AQ167" s="8">
        <f>IFERROR(Calculations!BM165, "")</f>
        <v>29.888809658779298</v>
      </c>
      <c r="AR167" s="8" t="str">
        <f>IFERROR(Calculations!BN165, "")</f>
        <v/>
      </c>
      <c r="AS167" s="8" t="str">
        <f>IFERROR(Calculations!BO165, "")</f>
        <v/>
      </c>
      <c r="AT167" s="8" t="str">
        <f>IFERROR(Calculations!BP165, "")</f>
        <v/>
      </c>
      <c r="AU167" s="8" t="str">
        <f>IFERROR(Calculations!BQ165, "")</f>
        <v/>
      </c>
      <c r="AV167" s="8" t="str">
        <f>IFERROR(Calculations!BR165, "")</f>
        <v/>
      </c>
      <c r="AW167" s="89"/>
      <c r="AX167" s="89"/>
      <c r="AY167" s="89"/>
      <c r="AZ167" s="89"/>
      <c r="BA167" s="8" t="str">
        <f>IFERROR(Calculations!BW165, "")</f>
        <v/>
      </c>
      <c r="BB167" s="8" t="str">
        <f>IFERROR(Calculations!BX165, "")</f>
        <v/>
      </c>
      <c r="BC167" s="8" t="str">
        <f>IFERROR(Calculations!BY165, "")</f>
        <v/>
      </c>
      <c r="BD167" s="8">
        <f>IFERROR(Calculations!BZ165, "")</f>
        <v>0</v>
      </c>
      <c r="BE167" s="8">
        <f>IFERROR(Calculations!CA165, "")</f>
        <v>31.34729223560846</v>
      </c>
      <c r="BF167" s="8" t="str">
        <f>IFERROR(Calculations!CB165, "")</f>
        <v/>
      </c>
      <c r="BG167" s="8" t="str">
        <f>IFERROR(Calculations!CC165, "")</f>
        <v/>
      </c>
      <c r="BH167" s="8" t="str">
        <f>IFERROR(Calculations!CD165, "")</f>
        <v/>
      </c>
      <c r="BI167" s="8" t="str">
        <f>IFERROR(Calculations!CE165, "")</f>
        <v/>
      </c>
      <c r="BJ167" s="8">
        <f>IFERROR(IF(Calculations!CF165 &lt;&gt; 0, Calculations!CF165, ""),"")</f>
        <v>-11.606688615563382</v>
      </c>
      <c r="BK167" s="1">
        <f t="shared" si="12"/>
        <v>750</v>
      </c>
      <c r="BL167" s="1">
        <f t="shared" si="13"/>
        <v>55</v>
      </c>
      <c r="CD167" s="8"/>
      <c r="CE167" s="8"/>
      <c r="CF167" s="8"/>
      <c r="CG167" s="8"/>
      <c r="CH167" s="8"/>
      <c r="CI167" s="8"/>
      <c r="CJ167" s="8"/>
      <c r="CK167" s="8"/>
      <c r="CL167" s="8"/>
      <c r="CM167" s="8"/>
      <c r="CN167" s="8"/>
      <c r="CO167" s="8"/>
      <c r="CP167" s="8"/>
      <c r="CQ167" s="8"/>
      <c r="CR167" s="8"/>
      <c r="CS167" s="8"/>
      <c r="CT167" s="8"/>
      <c r="CU167" s="8"/>
      <c r="CV167" s="8"/>
      <c r="CW167" s="8"/>
      <c r="CX167" s="8"/>
      <c r="CY167" s="8"/>
      <c r="CZ167" s="8"/>
      <c r="DA167" s="8"/>
      <c r="DB167" s="8"/>
      <c r="DC167" s="8"/>
      <c r="DD167" s="8"/>
      <c r="DE167" s="8"/>
      <c r="DF167" s="8"/>
      <c r="DG167" s="8"/>
      <c r="DH167" s="8"/>
      <c r="DI167" s="8"/>
      <c r="DJ167" s="8"/>
      <c r="DK167" s="8"/>
      <c r="DL167" s="8"/>
      <c r="DM167" s="8"/>
      <c r="DN167" s="8"/>
      <c r="DO167" s="8"/>
      <c r="DP167" s="8"/>
      <c r="DQ167" s="8"/>
      <c r="DR167" s="8"/>
      <c r="DS167" s="8"/>
      <c r="DT167" s="8"/>
      <c r="DU167" s="8"/>
      <c r="DV167" s="8"/>
      <c r="DW167" s="8"/>
      <c r="DX167" s="8"/>
      <c r="DY167" s="8"/>
      <c r="DZ167" s="8"/>
      <c r="EA167" s="8"/>
    </row>
    <row r="168" spans="2:131" x14ac:dyDescent="0.2">
      <c r="B168" s="1">
        <f>IFERROR(Calculations!M166/1000, "")</f>
        <v>55</v>
      </c>
      <c r="C168" s="1">
        <f>Calculations!N166</f>
        <v>800</v>
      </c>
      <c r="D168" s="58">
        <f>IFERROR(Calculations!$Q166,"")</f>
        <v>1.3665384689342976</v>
      </c>
      <c r="E168" s="8">
        <f>IFERROR(Calculations!$S166, "")</f>
        <v>24.135790318087299</v>
      </c>
      <c r="F168" s="89"/>
      <c r="G168" s="89"/>
      <c r="H168" s="89"/>
      <c r="I168" s="89"/>
      <c r="J168" s="1" t="str">
        <f>IFERROR(Calculations!AC166, "")</f>
        <v/>
      </c>
      <c r="K168" s="1" t="str">
        <f>IFERROR(Calculations!AD166, "")</f>
        <v/>
      </c>
      <c r="L168" s="8">
        <f>IFERROR(Calculations!AE166,"")</f>
        <v>-57181.184161021127</v>
      </c>
      <c r="M168" s="8">
        <f>IFERROR(Calculations!AF166,"")</f>
        <v>-84852.596114996762</v>
      </c>
      <c r="N168" s="8" t="str">
        <f>IFERROR(Calculations!AG166,"")</f>
        <v/>
      </c>
      <c r="O168" s="8" t="str">
        <f>IFERROR(Calculations!AH166,"")</f>
        <v/>
      </c>
      <c r="P168" s="8" t="str">
        <f>IFERROR(Calculations!AI166,"")</f>
        <v/>
      </c>
      <c r="Q168" s="8" t="str">
        <f>IFERROR(Calculations!AJ166,"")</f>
        <v/>
      </c>
      <c r="R168" s="8" t="str">
        <f>IFERROR(Calculations!AK166,"")</f>
        <v/>
      </c>
      <c r="S168" s="89"/>
      <c r="T168" s="89"/>
      <c r="U168" s="89"/>
      <c r="V168" s="89"/>
      <c r="W168" s="1" t="str">
        <f>IFERROR(Calculations!AP166, "")</f>
        <v/>
      </c>
      <c r="X168" s="1" t="str">
        <f>IFERROR(Calculations!AQ166, "")</f>
        <v/>
      </c>
      <c r="Y168" s="8" t="str">
        <f>IFERROR(Calculations!AR166,"")</f>
        <v/>
      </c>
      <c r="Z168" s="8">
        <f>IFERROR(Calculations!AS166,"")</f>
        <v>0</v>
      </c>
      <c r="AA168" s="8">
        <f>IFERROR(Calculations!AT166,"")</f>
        <v>-123992.41171878856</v>
      </c>
      <c r="AB168" s="8" t="str">
        <f>IFERROR(Calculations!AU166,"")</f>
        <v/>
      </c>
      <c r="AC168" s="8" t="str">
        <f>IFERROR(Calculations!AV166,"")</f>
        <v/>
      </c>
      <c r="AD168" s="8" t="str">
        <f>IFERROR(Calculations!AW166,"")</f>
        <v/>
      </c>
      <c r="AE168" s="8" t="str">
        <f>IFERROR(Calculations!AX166,"")</f>
        <v/>
      </c>
      <c r="AF168" s="8">
        <f>IFERROR(IF(Calculations!AY166 &lt;&gt; 0, Calculations!AY166, ""),"")</f>
        <v>18041.368557229347</v>
      </c>
      <c r="AG168" s="42">
        <f>IFERROR(IF(Calculations!AZ166 &lt;&gt; 0, Calculations!AZ166, ""),"")</f>
        <v>-3.6765537722285466</v>
      </c>
      <c r="AH168" s="1">
        <f t="shared" si="10"/>
        <v>55</v>
      </c>
      <c r="AI168" s="1">
        <f t="shared" si="11"/>
        <v>800</v>
      </c>
      <c r="AJ168" s="89"/>
      <c r="AK168" s="89"/>
      <c r="AL168" s="89"/>
      <c r="AM168" s="89"/>
      <c r="AN168" s="8" t="str">
        <f>IFERROR(Calculations!BJ166, "")</f>
        <v/>
      </c>
      <c r="AO168" s="8" t="str">
        <f>IFERROR(Calculations!BK166, "")</f>
        <v/>
      </c>
      <c r="AP168" s="8">
        <f>IFERROR(Calculations!BL166, "")</f>
        <v>13.183148816914985</v>
      </c>
      <c r="AQ168" s="8">
        <f>IFERROR(Calculations!BM166, "")</f>
        <v>29.909299299491995</v>
      </c>
      <c r="AR168" s="8" t="str">
        <f>IFERROR(Calculations!BN166, "")</f>
        <v/>
      </c>
      <c r="AS168" s="8" t="str">
        <f>IFERROR(Calculations!BO166, "")</f>
        <v/>
      </c>
      <c r="AT168" s="8" t="str">
        <f>IFERROR(Calculations!BP166, "")</f>
        <v/>
      </c>
      <c r="AU168" s="8" t="str">
        <f>IFERROR(Calculations!BQ166, "")</f>
        <v/>
      </c>
      <c r="AV168" s="8" t="str">
        <f>IFERROR(Calculations!BR166, "")</f>
        <v/>
      </c>
      <c r="AW168" s="89"/>
      <c r="AX168" s="89"/>
      <c r="AY168" s="89"/>
      <c r="AZ168" s="89"/>
      <c r="BA168" s="8" t="str">
        <f>IFERROR(Calculations!BW166, "")</f>
        <v/>
      </c>
      <c r="BB168" s="8" t="str">
        <f>IFERROR(Calculations!BX166, "")</f>
        <v/>
      </c>
      <c r="BC168" s="8" t="str">
        <f>IFERROR(Calculations!BY166, "")</f>
        <v/>
      </c>
      <c r="BD168" s="8">
        <f>IFERROR(Calculations!BZ166, "")</f>
        <v>0</v>
      </c>
      <c r="BE168" s="8">
        <f>IFERROR(Calculations!CA166, "")</f>
        <v>31.302586855903815</v>
      </c>
      <c r="BF168" s="8" t="str">
        <f>IFERROR(Calculations!CB166, "")</f>
        <v/>
      </c>
      <c r="BG168" s="8" t="str">
        <f>IFERROR(Calculations!CC166, "")</f>
        <v/>
      </c>
      <c r="BH168" s="8" t="str">
        <f>IFERROR(Calculations!CD166, "")</f>
        <v/>
      </c>
      <c r="BI168" s="8" t="str">
        <f>IFERROR(Calculations!CE166, "")</f>
        <v/>
      </c>
      <c r="BJ168" s="8">
        <f>IFERROR(IF(Calculations!CF166 &lt;&gt; 0, Calculations!CF166, ""),"")</f>
        <v>-11.789861260503162</v>
      </c>
      <c r="BK168" s="1">
        <f t="shared" si="12"/>
        <v>800</v>
      </c>
      <c r="BL168" s="1">
        <f t="shared" si="13"/>
        <v>55</v>
      </c>
      <c r="CD168" s="8"/>
      <c r="CE168" s="8"/>
      <c r="CF168" s="8"/>
      <c r="CG168" s="8"/>
      <c r="CH168" s="8"/>
      <c r="CI168" s="8"/>
      <c r="CJ168" s="8"/>
      <c r="CK168" s="8"/>
      <c r="CL168" s="8"/>
      <c r="CM168" s="8"/>
      <c r="CN168" s="8"/>
      <c r="CO168" s="8"/>
      <c r="CP168" s="8"/>
      <c r="CQ168" s="8"/>
      <c r="CR168" s="8"/>
      <c r="CS168" s="8"/>
      <c r="CT168" s="8"/>
      <c r="CU168" s="8"/>
      <c r="CV168" s="8"/>
      <c r="CW168" s="8"/>
      <c r="CX168" s="8"/>
      <c r="CY168" s="8"/>
      <c r="CZ168" s="8"/>
      <c r="DA168" s="8"/>
      <c r="DB168" s="8"/>
      <c r="DC168" s="8"/>
      <c r="DD168" s="8"/>
      <c r="DE168" s="8"/>
      <c r="DF168" s="8"/>
      <c r="DG168" s="8"/>
      <c r="DH168" s="8"/>
      <c r="DI168" s="8"/>
      <c r="DJ168" s="8"/>
      <c r="DK168" s="8"/>
      <c r="DL168" s="8"/>
      <c r="DM168" s="8"/>
      <c r="DN168" s="8"/>
      <c r="DO168" s="8"/>
      <c r="DP168" s="8"/>
      <c r="DQ168" s="8"/>
      <c r="DR168" s="8"/>
      <c r="DS168" s="8"/>
      <c r="DT168" s="8"/>
      <c r="DU168" s="8"/>
      <c r="DV168" s="8"/>
      <c r="DW168" s="8"/>
      <c r="DX168" s="8"/>
      <c r="DY168" s="8"/>
      <c r="DZ168" s="8"/>
      <c r="EA168" s="8"/>
    </row>
    <row r="169" spans="2:131" x14ac:dyDescent="0.2">
      <c r="B169" s="1">
        <f>IFERROR(Calculations!M167/1000, "")</f>
        <v>55</v>
      </c>
      <c r="C169" s="1">
        <f>Calculations!N167</f>
        <v>850</v>
      </c>
      <c r="D169" s="58">
        <f>IFERROR(Calculations!$Q167,"")</f>
        <v>1.3544247674083709</v>
      </c>
      <c r="E169" s="8">
        <f>IFERROR(Calculations!$S167, "")</f>
        <v>22.226831952879778</v>
      </c>
      <c r="F169" s="89"/>
      <c r="G169" s="89"/>
      <c r="H169" s="89"/>
      <c r="I169" s="89"/>
      <c r="J169" s="1" t="str">
        <f>IFERROR(Calculations!AC167, "")</f>
        <v/>
      </c>
      <c r="K169" s="1" t="str">
        <f>IFERROR(Calculations!AD167, "")</f>
        <v/>
      </c>
      <c r="L169" s="8">
        <f>IFERROR(Calculations!AE167,"")</f>
        <v>-58730.479917648554</v>
      </c>
      <c r="M169" s="8">
        <f>IFERROR(Calculations!AF167,"")</f>
        <v>-87273.990786042006</v>
      </c>
      <c r="N169" s="8" t="str">
        <f>IFERROR(Calculations!AG167,"")</f>
        <v/>
      </c>
      <c r="O169" s="8" t="str">
        <f>IFERROR(Calculations!AH167,"")</f>
        <v/>
      </c>
      <c r="P169" s="8" t="str">
        <f>IFERROR(Calculations!AI167,"")</f>
        <v/>
      </c>
      <c r="Q169" s="8" t="str">
        <f>IFERROR(Calculations!AJ167,"")</f>
        <v/>
      </c>
      <c r="R169" s="8" t="str">
        <f>IFERROR(Calculations!AK167,"")</f>
        <v/>
      </c>
      <c r="S169" s="89"/>
      <c r="T169" s="89"/>
      <c r="U169" s="89"/>
      <c r="V169" s="89"/>
      <c r="W169" s="1" t="str">
        <f>IFERROR(Calculations!AP167, "")</f>
        <v/>
      </c>
      <c r="X169" s="1" t="str">
        <f>IFERROR(Calculations!AQ167, "")</f>
        <v/>
      </c>
      <c r="Y169" s="8" t="str">
        <f>IFERROR(Calculations!AR167,"")</f>
        <v/>
      </c>
      <c r="Z169" s="8">
        <f>IFERROR(Calculations!AS167,"")</f>
        <v>0</v>
      </c>
      <c r="AA169" s="8">
        <f>IFERROR(Calculations!AT167,"")</f>
        <v>-125733.59609665435</v>
      </c>
      <c r="AB169" s="8" t="str">
        <f>IFERROR(Calculations!AU167,"")</f>
        <v/>
      </c>
      <c r="AC169" s="8" t="str">
        <f>IFERROR(Calculations!AV167,"")</f>
        <v/>
      </c>
      <c r="AD169" s="8" t="str">
        <f>IFERROR(Calculations!AW167,"")</f>
        <v/>
      </c>
      <c r="AE169" s="8" t="str">
        <f>IFERROR(Calculations!AX167,"")</f>
        <v/>
      </c>
      <c r="AF169" s="8">
        <f>IFERROR(IF(Calculations!AY167 &lt;&gt; 0, Calculations!AY167, ""),"")</f>
        <v>20270.874607036196</v>
      </c>
      <c r="AG169" s="42">
        <f>IFERROR(IF(Calculations!AZ167 &lt;&gt; 0, Calculations!AZ167, ""),"")</f>
        <v>-3.9469952094095802</v>
      </c>
      <c r="AH169" s="1">
        <f t="shared" si="10"/>
        <v>55</v>
      </c>
      <c r="AI169" s="1">
        <f t="shared" si="11"/>
        <v>850</v>
      </c>
      <c r="AJ169" s="89"/>
      <c r="AK169" s="89"/>
      <c r="AL169" s="89"/>
      <c r="AM169" s="89"/>
      <c r="AN169" s="8" t="str">
        <f>IFERROR(Calculations!BJ167, "")</f>
        <v/>
      </c>
      <c r="AO169" s="8" t="str">
        <f>IFERROR(Calculations!BK167, "")</f>
        <v/>
      </c>
      <c r="AP169" s="8">
        <f>IFERROR(Calculations!BL167, "")</f>
        <v>13.301056236937697</v>
      </c>
      <c r="AQ169" s="8">
        <f>IFERROR(Calculations!BM167, "")</f>
        <v>29.930765416373404</v>
      </c>
      <c r="AR169" s="8" t="str">
        <f>IFERROR(Calculations!BN167, "")</f>
        <v/>
      </c>
      <c r="AS169" s="8" t="str">
        <f>IFERROR(Calculations!BO167, "")</f>
        <v/>
      </c>
      <c r="AT169" s="8" t="str">
        <f>IFERROR(Calculations!BP167, "")</f>
        <v/>
      </c>
      <c r="AU169" s="8" t="str">
        <f>IFERROR(Calculations!BQ167, "")</f>
        <v/>
      </c>
      <c r="AV169" s="8" t="str">
        <f>IFERROR(Calculations!BR167, "")</f>
        <v/>
      </c>
      <c r="AW169" s="89"/>
      <c r="AX169" s="89"/>
      <c r="AY169" s="89"/>
      <c r="AZ169" s="89"/>
      <c r="BA169" s="8" t="str">
        <f>IFERROR(Calculations!BW167, "")</f>
        <v/>
      </c>
      <c r="BB169" s="8" t="str">
        <f>IFERROR(Calculations!BX167, "")</f>
        <v/>
      </c>
      <c r="BC169" s="8" t="str">
        <f>IFERROR(Calculations!BY167, "")</f>
        <v/>
      </c>
      <c r="BD169" s="8">
        <f>IFERROR(Calculations!BZ167, "")</f>
        <v>0</v>
      </c>
      <c r="BE169" s="8">
        <f>IFERROR(Calculations!CA167, "")</f>
        <v>31.257678301120745</v>
      </c>
      <c r="BF169" s="8" t="str">
        <f>IFERROR(Calculations!CB167, "")</f>
        <v/>
      </c>
      <c r="BG169" s="8" t="str">
        <f>IFERROR(Calculations!CC167, "")</f>
        <v/>
      </c>
      <c r="BH169" s="8" t="str">
        <f>IFERROR(Calculations!CD167, "")</f>
        <v/>
      </c>
      <c r="BI169" s="8" t="str">
        <f>IFERROR(Calculations!CE167, "")</f>
        <v/>
      </c>
      <c r="BJ169" s="8">
        <f>IFERROR(IF(Calculations!CF167 &lt;&gt; 0, Calculations!CF167, ""),"")</f>
        <v>-11.974143352190357</v>
      </c>
      <c r="BK169" s="1">
        <f t="shared" si="12"/>
        <v>850</v>
      </c>
      <c r="BL169" s="1">
        <f t="shared" si="13"/>
        <v>55</v>
      </c>
      <c r="CD169" s="8"/>
      <c r="CE169" s="8"/>
      <c r="CF169" s="8"/>
      <c r="CG169" s="8"/>
      <c r="CH169" s="8"/>
      <c r="CI169" s="8"/>
      <c r="CJ169" s="8"/>
      <c r="CK169" s="8"/>
      <c r="CL169" s="8"/>
      <c r="CM169" s="8"/>
      <c r="CN169" s="8"/>
      <c r="CO169" s="8"/>
      <c r="CP169" s="8"/>
      <c r="CQ169" s="8"/>
      <c r="CR169" s="8"/>
      <c r="CS169" s="8"/>
      <c r="CT169" s="8"/>
      <c r="CU169" s="8"/>
      <c r="CV169" s="8"/>
      <c r="CW169" s="8"/>
      <c r="CX169" s="8"/>
      <c r="CY169" s="8"/>
      <c r="CZ169" s="8"/>
      <c r="DA169" s="8"/>
      <c r="DB169" s="8"/>
      <c r="DC169" s="8"/>
      <c r="DD169" s="8"/>
      <c r="DE169" s="8"/>
      <c r="DF169" s="8"/>
      <c r="DG169" s="8"/>
      <c r="DH169" s="8"/>
      <c r="DI169" s="8"/>
      <c r="DJ169" s="8"/>
      <c r="DK169" s="8"/>
      <c r="DL169" s="8"/>
      <c r="DM169" s="8"/>
      <c r="DN169" s="8"/>
      <c r="DO169" s="8"/>
      <c r="DP169" s="8"/>
      <c r="DQ169" s="8"/>
      <c r="DR169" s="8"/>
      <c r="DS169" s="8"/>
      <c r="DT169" s="8"/>
      <c r="DU169" s="8"/>
      <c r="DV169" s="8"/>
      <c r="DW169" s="8"/>
      <c r="DX169" s="8"/>
      <c r="DY169" s="8"/>
      <c r="DZ169" s="8"/>
      <c r="EA169" s="8"/>
    </row>
    <row r="170" spans="2:131" x14ac:dyDescent="0.2">
      <c r="B170" s="1">
        <f>IFERROR(Calculations!M168/1000, "")</f>
        <v>55</v>
      </c>
      <c r="C170" s="1">
        <f>Calculations!N168</f>
        <v>900</v>
      </c>
      <c r="D170" s="58">
        <f>IFERROR(Calculations!$Q168,"")</f>
        <v>1.3425420329570774</v>
      </c>
      <c r="E170" s="8">
        <f>IFERROR(Calculations!$S168, "")</f>
        <v>20.503755436618672</v>
      </c>
      <c r="F170" s="89"/>
      <c r="G170" s="89"/>
      <c r="H170" s="89"/>
      <c r="I170" s="89"/>
      <c r="J170" s="1" t="str">
        <f>IFERROR(Calculations!AC168, "")</f>
        <v/>
      </c>
      <c r="K170" s="1" t="str">
        <f>IFERROR(Calculations!AD168, "")</f>
        <v/>
      </c>
      <c r="L170" s="8">
        <f>IFERROR(Calculations!AE168,"")</f>
        <v>-60327.237751621702</v>
      </c>
      <c r="M170" s="8">
        <f>IFERROR(Calculations!AF168,"")</f>
        <v>-89732.086213906558</v>
      </c>
      <c r="N170" s="8" t="str">
        <f>IFERROR(Calculations!AG168,"")</f>
        <v/>
      </c>
      <c r="O170" s="8" t="str">
        <f>IFERROR(Calculations!AH168,"")</f>
        <v/>
      </c>
      <c r="P170" s="8" t="str">
        <f>IFERROR(Calculations!AI168,"")</f>
        <v/>
      </c>
      <c r="Q170" s="8" t="str">
        <f>IFERROR(Calculations!AJ168,"")</f>
        <v/>
      </c>
      <c r="R170" s="8" t="str">
        <f>IFERROR(Calculations!AK168,"")</f>
        <v/>
      </c>
      <c r="S170" s="89"/>
      <c r="T170" s="89"/>
      <c r="U170" s="89"/>
      <c r="V170" s="89"/>
      <c r="W170" s="1" t="str">
        <f>IFERROR(Calculations!AP168, "")</f>
        <v/>
      </c>
      <c r="X170" s="1" t="str">
        <f>IFERROR(Calculations!AQ168, "")</f>
        <v/>
      </c>
      <c r="Y170" s="8" t="str">
        <f>IFERROR(Calculations!AR168,"")</f>
        <v/>
      </c>
      <c r="Z170" s="8">
        <f>IFERROR(Calculations!AS168,"")</f>
        <v>0</v>
      </c>
      <c r="AA170" s="8">
        <f>IFERROR(Calculations!AT168,"")</f>
        <v>-127471.22107337079</v>
      </c>
      <c r="AB170" s="8" t="str">
        <f>IFERROR(Calculations!AU168,"")</f>
        <v/>
      </c>
      <c r="AC170" s="8" t="str">
        <f>IFERROR(Calculations!AV168,"")</f>
        <v/>
      </c>
      <c r="AD170" s="8" t="str">
        <f>IFERROR(Calculations!AW168,"")</f>
        <v/>
      </c>
      <c r="AE170" s="8" t="str">
        <f>IFERROR(Calculations!AX168,"")</f>
        <v/>
      </c>
      <c r="AF170" s="8">
        <f>IFERROR(IF(Calculations!AY168 &lt;&gt; 0, Calculations!AY168, ""),"")</f>
        <v>22588.102892157462</v>
      </c>
      <c r="AG170" s="42">
        <f>IFERROR(IF(Calculations!AZ168 &lt;&gt; 0, Calculations!AZ168, ""),"")</f>
        <v>-4.210736703861782</v>
      </c>
      <c r="AH170" s="1">
        <f t="shared" si="10"/>
        <v>55</v>
      </c>
      <c r="AI170" s="1">
        <f t="shared" si="11"/>
        <v>900</v>
      </c>
      <c r="AJ170" s="89"/>
      <c r="AK170" s="89"/>
      <c r="AL170" s="89"/>
      <c r="AM170" s="89"/>
      <c r="AN170" s="8" t="str">
        <f>IFERROR(Calculations!BJ168, "")</f>
        <v/>
      </c>
      <c r="AO170" s="8" t="str">
        <f>IFERROR(Calculations!BK168, "")</f>
        <v/>
      </c>
      <c r="AP170" s="8">
        <f>IFERROR(Calculations!BL168, "")</f>
        <v>13.418782844600866</v>
      </c>
      <c r="AQ170" s="8">
        <f>IFERROR(Calculations!BM168, "")</f>
        <v>29.952984276222473</v>
      </c>
      <c r="AR170" s="8" t="str">
        <f>IFERROR(Calculations!BN168, "")</f>
        <v/>
      </c>
      <c r="AS170" s="8" t="str">
        <f>IFERROR(Calculations!BO168, "")</f>
        <v/>
      </c>
      <c r="AT170" s="8" t="str">
        <f>IFERROR(Calculations!BP168, "")</f>
        <v/>
      </c>
      <c r="AU170" s="8" t="str">
        <f>IFERROR(Calculations!BQ168, "")</f>
        <v/>
      </c>
      <c r="AV170" s="8" t="str">
        <f>IFERROR(Calculations!BR168, "")</f>
        <v/>
      </c>
      <c r="AW170" s="89"/>
      <c r="AX170" s="89"/>
      <c r="AY170" s="89"/>
      <c r="AZ170" s="89"/>
      <c r="BA170" s="8" t="str">
        <f>IFERROR(Calculations!BW168, "")</f>
        <v/>
      </c>
      <c r="BB170" s="8" t="str">
        <f>IFERROR(Calculations!BX168, "")</f>
        <v/>
      </c>
      <c r="BC170" s="8" t="str">
        <f>IFERROR(Calculations!BY168, "")</f>
        <v/>
      </c>
      <c r="BD170" s="8">
        <f>IFERROR(Calculations!BZ168, "")</f>
        <v>0</v>
      </c>
      <c r="BE170" s="8">
        <f>IFERROR(Calculations!CA168, "")</f>
        <v>31.212708258807133</v>
      </c>
      <c r="BF170" s="8" t="str">
        <f>IFERROR(Calculations!CB168, "")</f>
        <v/>
      </c>
      <c r="BG170" s="8" t="str">
        <f>IFERROR(Calculations!CC168, "")</f>
        <v/>
      </c>
      <c r="BH170" s="8" t="str">
        <f>IFERROR(Calculations!CD168, "")</f>
        <v/>
      </c>
      <c r="BI170" s="8" t="str">
        <f>IFERROR(Calculations!CE168, "")</f>
        <v/>
      </c>
      <c r="BJ170" s="8">
        <f>IFERROR(IF(Calculations!CF168 &lt;&gt; 0, Calculations!CF168, ""),"")</f>
        <v>-12.159058862016202</v>
      </c>
      <c r="BK170" s="1">
        <f t="shared" si="12"/>
        <v>900</v>
      </c>
      <c r="BL170" s="1">
        <f t="shared" si="13"/>
        <v>55</v>
      </c>
      <c r="CD170" s="8"/>
      <c r="CE170" s="8"/>
      <c r="CF170" s="8"/>
      <c r="CG170" s="8"/>
      <c r="CH170" s="8"/>
      <c r="CI170" s="8"/>
      <c r="CJ170" s="8"/>
      <c r="CK170" s="8"/>
      <c r="CL170" s="8"/>
      <c r="CM170" s="8"/>
      <c r="CN170" s="8"/>
      <c r="CO170" s="8"/>
      <c r="CP170" s="8"/>
      <c r="CQ170" s="8"/>
      <c r="CR170" s="8"/>
      <c r="CS170" s="8"/>
      <c r="CT170" s="8"/>
      <c r="CU170" s="8"/>
      <c r="CV170" s="8"/>
      <c r="CW170" s="8"/>
      <c r="CX170" s="8"/>
      <c r="CY170" s="8"/>
      <c r="CZ170" s="8"/>
      <c r="DA170" s="8"/>
      <c r="DB170" s="8"/>
      <c r="DC170" s="8"/>
      <c r="DD170" s="8"/>
      <c r="DE170" s="8"/>
      <c r="DF170" s="8"/>
      <c r="DG170" s="8"/>
      <c r="DH170" s="8"/>
      <c r="DI170" s="8"/>
      <c r="DJ170" s="8"/>
      <c r="DK170" s="8"/>
      <c r="DL170" s="8"/>
      <c r="DM170" s="8"/>
      <c r="DN170" s="8"/>
      <c r="DO170" s="8"/>
      <c r="DP170" s="8"/>
      <c r="DQ170" s="8"/>
      <c r="DR170" s="8"/>
      <c r="DS170" s="8"/>
      <c r="DT170" s="8"/>
      <c r="DU170" s="8"/>
      <c r="DV170" s="8"/>
      <c r="DW170" s="8"/>
      <c r="DX170" s="8"/>
      <c r="DY170" s="8"/>
      <c r="DZ170" s="8"/>
      <c r="EA170" s="8"/>
    </row>
    <row r="171" spans="2:131" x14ac:dyDescent="0.2">
      <c r="B171" s="1">
        <f>IFERROR(Calculations!M169/1000, "")</f>
        <v>55</v>
      </c>
      <c r="C171" s="1">
        <f>Calculations!N169</f>
        <v>950</v>
      </c>
      <c r="D171" s="58">
        <f>IFERROR(Calculations!$Q169,"")</f>
        <v>1.3308945868998765</v>
      </c>
      <c r="E171" s="8">
        <f>IFERROR(Calculations!$S169, "")</f>
        <v>18.945479528024428</v>
      </c>
      <c r="F171" s="89"/>
      <c r="G171" s="89"/>
      <c r="H171" s="89"/>
      <c r="I171" s="89"/>
      <c r="J171" s="1" t="str">
        <f>IFERROR(Calculations!AC169, "")</f>
        <v/>
      </c>
      <c r="K171" s="1" t="str">
        <f>IFERROR(Calculations!AD169, "")</f>
        <v/>
      </c>
      <c r="L171" s="8">
        <f>IFERROR(Calculations!AE169,"")</f>
        <v>-61919.939065190876</v>
      </c>
      <c r="M171" s="8">
        <f>IFERROR(Calculations!AF169,"")</f>
        <v>-92226.777966197275</v>
      </c>
      <c r="N171" s="8" t="str">
        <f>IFERROR(Calculations!AG169,"")</f>
        <v/>
      </c>
      <c r="O171" s="8" t="str">
        <f>IFERROR(Calculations!AH169,"")</f>
        <v/>
      </c>
      <c r="P171" s="8" t="str">
        <f>IFERROR(Calculations!AI169,"")</f>
        <v/>
      </c>
      <c r="Q171" s="8" t="str">
        <f>IFERROR(Calculations!AJ169,"")</f>
        <v/>
      </c>
      <c r="R171" s="8" t="str">
        <f>IFERROR(Calculations!AK169,"")</f>
        <v/>
      </c>
      <c r="S171" s="89"/>
      <c r="T171" s="89"/>
      <c r="U171" s="89"/>
      <c r="V171" s="89"/>
      <c r="W171" s="1" t="str">
        <f>IFERROR(Calculations!AP169, "")</f>
        <v/>
      </c>
      <c r="X171" s="1" t="str">
        <f>IFERROR(Calculations!AQ169, "")</f>
        <v/>
      </c>
      <c r="Y171" s="8" t="str">
        <f>IFERROR(Calculations!AR169,"")</f>
        <v/>
      </c>
      <c r="Z171" s="8">
        <f>IFERROR(Calculations!AS169,"")</f>
        <v>0</v>
      </c>
      <c r="AA171" s="8">
        <f>IFERROR(Calculations!AT169,"")</f>
        <v>-129203.16385967401</v>
      </c>
      <c r="AB171" s="8" t="str">
        <f>IFERROR(Calculations!AU169,"")</f>
        <v/>
      </c>
      <c r="AC171" s="8" t="str">
        <f>IFERROR(Calculations!AV169,"")</f>
        <v/>
      </c>
      <c r="AD171" s="8" t="str">
        <f>IFERROR(Calculations!AW169,"")</f>
        <v/>
      </c>
      <c r="AE171" s="8" t="str">
        <f>IFERROR(Calculations!AX169,"")</f>
        <v/>
      </c>
      <c r="AF171" s="8">
        <f>IFERROR(IF(Calculations!AY169 &lt;&gt; 0, Calculations!AY169, ""),"")</f>
        <v>24943.553171714128</v>
      </c>
      <c r="AG171" s="42">
        <f>IFERROR(IF(Calculations!AZ169 &lt;&gt; 0, Calculations!AZ169, ""),"")</f>
        <v>-4.459749567546182</v>
      </c>
      <c r="AH171" s="1">
        <f t="shared" si="10"/>
        <v>55</v>
      </c>
      <c r="AI171" s="1">
        <f t="shared" si="11"/>
        <v>950</v>
      </c>
      <c r="AJ171" s="89"/>
      <c r="AK171" s="89"/>
      <c r="AL171" s="89"/>
      <c r="AM171" s="89"/>
      <c r="AN171" s="8" t="str">
        <f>IFERROR(Calculations!BJ169, "")</f>
        <v/>
      </c>
      <c r="AO171" s="8" t="str">
        <f>IFERROR(Calculations!BK169, "")</f>
        <v/>
      </c>
      <c r="AP171" s="8">
        <f>IFERROR(Calculations!BL169, "")</f>
        <v>13.536218553539953</v>
      </c>
      <c r="AQ171" s="8">
        <f>IFERROR(Calculations!BM169, "")</f>
        <v>29.975747969620862</v>
      </c>
      <c r="AR171" s="8" t="str">
        <f>IFERROR(Calculations!BN169, "")</f>
        <v/>
      </c>
      <c r="AS171" s="8" t="str">
        <f>IFERROR(Calculations!BO169, "")</f>
        <v/>
      </c>
      <c r="AT171" s="8" t="str">
        <f>IFERROR(Calculations!BP169, "")</f>
        <v/>
      </c>
      <c r="AU171" s="8" t="str">
        <f>IFERROR(Calculations!BQ169, "")</f>
        <v/>
      </c>
      <c r="AV171" s="8" t="str">
        <f>IFERROR(Calculations!BR169, "")</f>
        <v/>
      </c>
      <c r="AW171" s="89"/>
      <c r="AX171" s="89"/>
      <c r="AY171" s="89"/>
      <c r="AZ171" s="89"/>
      <c r="BA171" s="8" t="str">
        <f>IFERROR(Calculations!BW169, "")</f>
        <v/>
      </c>
      <c r="BB171" s="8" t="str">
        <f>IFERROR(Calculations!BX169, "")</f>
        <v/>
      </c>
      <c r="BC171" s="8" t="str">
        <f>IFERROR(Calculations!BY169, "")</f>
        <v/>
      </c>
      <c r="BD171" s="8">
        <f>IFERROR(Calculations!BZ169, "")</f>
        <v>0</v>
      </c>
      <c r="BE171" s="8">
        <f>IFERROR(Calculations!CA169, "")</f>
        <v>31.167836322337443</v>
      </c>
      <c r="BF171" s="8" t="str">
        <f>IFERROR(Calculations!CB169, "")</f>
        <v/>
      </c>
      <c r="BG171" s="8" t="str">
        <f>IFERROR(Calculations!CC169, "")</f>
        <v/>
      </c>
      <c r="BH171" s="8" t="str">
        <f>IFERROR(Calculations!CD169, "")</f>
        <v/>
      </c>
      <c r="BI171" s="8" t="str">
        <f>IFERROR(Calculations!CE169, "")</f>
        <v/>
      </c>
      <c r="BJ171" s="8">
        <f>IFERROR(IF(Calculations!CF169 &lt;&gt; 0, Calculations!CF169, ""),"")</f>
        <v>-12.344130200823372</v>
      </c>
      <c r="BK171" s="1">
        <f t="shared" si="12"/>
        <v>950</v>
      </c>
      <c r="BL171" s="1">
        <f t="shared" si="13"/>
        <v>55</v>
      </c>
      <c r="CD171" s="8"/>
      <c r="CE171" s="8"/>
      <c r="CF171" s="8"/>
      <c r="CG171" s="8"/>
      <c r="CH171" s="8"/>
      <c r="CI171" s="8"/>
      <c r="CJ171" s="8"/>
      <c r="CK171" s="8"/>
      <c r="CL171" s="8"/>
      <c r="CM171" s="8"/>
      <c r="CN171" s="8"/>
      <c r="CO171" s="8"/>
      <c r="CP171" s="8"/>
      <c r="CQ171" s="8"/>
      <c r="CR171" s="8"/>
      <c r="CS171" s="8"/>
      <c r="CT171" s="8"/>
      <c r="CU171" s="8"/>
      <c r="CV171" s="8"/>
      <c r="CW171" s="8"/>
      <c r="CX171" s="8"/>
      <c r="CY171" s="8"/>
      <c r="CZ171" s="8"/>
      <c r="DA171" s="8"/>
      <c r="DB171" s="8"/>
      <c r="DC171" s="8"/>
      <c r="DD171" s="8"/>
      <c r="DE171" s="8"/>
      <c r="DF171" s="8"/>
      <c r="DG171" s="8"/>
      <c r="DH171" s="8"/>
      <c r="DI171" s="8"/>
      <c r="DJ171" s="8"/>
      <c r="DK171" s="8"/>
      <c r="DL171" s="8"/>
      <c r="DM171" s="8"/>
      <c r="DN171" s="8"/>
      <c r="DO171" s="8"/>
      <c r="DP171" s="8"/>
      <c r="DQ171" s="8"/>
      <c r="DR171" s="8"/>
      <c r="DS171" s="8"/>
      <c r="DT171" s="8"/>
      <c r="DU171" s="8"/>
      <c r="DV171" s="8"/>
      <c r="DW171" s="8"/>
      <c r="DX171" s="8"/>
      <c r="DY171" s="8"/>
      <c r="DZ171" s="8"/>
      <c r="EA171" s="8"/>
    </row>
    <row r="172" spans="2:131" x14ac:dyDescent="0.2">
      <c r="B172" s="1">
        <f>IFERROR(Calculations!M170/1000, "")</f>
        <v>55</v>
      </c>
      <c r="C172" s="1">
        <f>Calculations!N170</f>
        <v>1000</v>
      </c>
      <c r="D172" s="58">
        <f>IFERROR(Calculations!$Q170,"")</f>
        <v>1.3194848134130241</v>
      </c>
      <c r="E172" s="8">
        <f>IFERROR(Calculations!$S170, "")</f>
        <v>17.533674858064703</v>
      </c>
      <c r="F172" s="89"/>
      <c r="G172" s="89"/>
      <c r="H172" s="89"/>
      <c r="I172" s="89"/>
      <c r="J172" s="1" t="str">
        <f>IFERROR(Calculations!AC170, "")</f>
        <v/>
      </c>
      <c r="K172" s="1" t="str">
        <f>IFERROR(Calculations!AD170, "")</f>
        <v/>
      </c>
      <c r="L172" s="8">
        <f>IFERROR(Calculations!AE170,"")</f>
        <v>-63528.029135064091</v>
      </c>
      <c r="M172" s="8">
        <f>IFERROR(Calculations!AF170,"")</f>
        <v>-94758.003379802496</v>
      </c>
      <c r="N172" s="8" t="str">
        <f>IFERROR(Calculations!AG170,"")</f>
        <v/>
      </c>
      <c r="O172" s="8" t="str">
        <f>IFERROR(Calculations!AH170,"")</f>
        <v/>
      </c>
      <c r="P172" s="8" t="str">
        <f>IFERROR(Calculations!AI170,"")</f>
        <v/>
      </c>
      <c r="Q172" s="8" t="str">
        <f>IFERROR(Calculations!AJ170,"")</f>
        <v/>
      </c>
      <c r="R172" s="8" t="str">
        <f>IFERROR(Calculations!AK170,"")</f>
        <v/>
      </c>
      <c r="S172" s="89"/>
      <c r="T172" s="89"/>
      <c r="U172" s="89"/>
      <c r="V172" s="89"/>
      <c r="W172" s="1" t="str">
        <f>IFERROR(Calculations!AP170, "")</f>
        <v/>
      </c>
      <c r="X172" s="1" t="str">
        <f>IFERROR(Calculations!AQ170, "")</f>
        <v/>
      </c>
      <c r="Y172" s="8" t="str">
        <f>IFERROR(Calculations!AR170,"")</f>
        <v/>
      </c>
      <c r="Z172" s="8">
        <f>IFERROR(Calculations!AS170,"")</f>
        <v>0</v>
      </c>
      <c r="AA172" s="8">
        <f>IFERROR(Calculations!AT170,"")</f>
        <v>-130927.41489718473</v>
      </c>
      <c r="AB172" s="8" t="str">
        <f>IFERROR(Calculations!AU170,"")</f>
        <v/>
      </c>
      <c r="AC172" s="8" t="str">
        <f>IFERROR(Calculations!AV170,"")</f>
        <v/>
      </c>
      <c r="AD172" s="8" t="str">
        <f>IFERROR(Calculations!AW170,"")</f>
        <v/>
      </c>
      <c r="AE172" s="8" t="str">
        <f>IFERROR(Calculations!AX170,"")</f>
        <v/>
      </c>
      <c r="AF172" s="8">
        <f>IFERROR(IF(Calculations!AY170 &lt;&gt; 0, Calculations!AY170, ""),"")</f>
        <v>27358.617617681855</v>
      </c>
      <c r="AG172" s="42">
        <f>IFERROR(IF(Calculations!AZ170 &lt;&gt; 0, Calculations!AZ170, ""),"")</f>
        <v>-4.6994436739822047</v>
      </c>
      <c r="AH172" s="1">
        <f t="shared" si="10"/>
        <v>55</v>
      </c>
      <c r="AI172" s="1">
        <f t="shared" si="11"/>
        <v>1000</v>
      </c>
      <c r="AJ172" s="89"/>
      <c r="AK172" s="89"/>
      <c r="AL172" s="89"/>
      <c r="AM172" s="89"/>
      <c r="AN172" s="8" t="str">
        <f>IFERROR(Calculations!BJ170, "")</f>
        <v/>
      </c>
      <c r="AO172" s="8" t="str">
        <f>IFERROR(Calculations!BK170, "")</f>
        <v/>
      </c>
      <c r="AP172" s="8">
        <f>IFERROR(Calculations!BL170, "")</f>
        <v>13.653268167142498</v>
      </c>
      <c r="AQ172" s="8">
        <f>IFERROR(Calculations!BM170, "")</f>
        <v>29.998860410400805</v>
      </c>
      <c r="AR172" s="8" t="str">
        <f>IFERROR(Calculations!BN170, "")</f>
        <v/>
      </c>
      <c r="AS172" s="8" t="str">
        <f>IFERROR(Calculations!BO170, "")</f>
        <v/>
      </c>
      <c r="AT172" s="8" t="str">
        <f>IFERROR(Calculations!BP170, "")</f>
        <v/>
      </c>
      <c r="AU172" s="8" t="str">
        <f>IFERROR(Calculations!BQ170, "")</f>
        <v/>
      </c>
      <c r="AV172" s="8" t="str">
        <f>IFERROR(Calculations!BR170, "")</f>
        <v/>
      </c>
      <c r="AW172" s="89"/>
      <c r="AX172" s="89"/>
      <c r="AY172" s="89"/>
      <c r="AZ172" s="89"/>
      <c r="BA172" s="8" t="str">
        <f>IFERROR(Calculations!BW170, "")</f>
        <v/>
      </c>
      <c r="BB172" s="8" t="str">
        <f>IFERROR(Calculations!BX170, "")</f>
        <v/>
      </c>
      <c r="BC172" s="8" t="str">
        <f>IFERROR(Calculations!BY170, "")</f>
        <v/>
      </c>
      <c r="BD172" s="8">
        <f>IFERROR(Calculations!BZ170, "")</f>
        <v>0</v>
      </c>
      <c r="BE172" s="8">
        <f>IFERROR(Calculations!CA170, "")</f>
        <v>31.123236050802674</v>
      </c>
      <c r="BF172" s="8" t="str">
        <f>IFERROR(Calculations!CB170, "")</f>
        <v/>
      </c>
      <c r="BG172" s="8" t="str">
        <f>IFERROR(Calculations!CC170, "")</f>
        <v/>
      </c>
      <c r="BH172" s="8" t="str">
        <f>IFERROR(Calculations!CD170, "")</f>
        <v/>
      </c>
      <c r="BI172" s="8" t="str">
        <f>IFERROR(Calculations!CE170, "")</f>
        <v/>
      </c>
      <c r="BJ172" s="8">
        <f>IFERROR(IF(Calculations!CF170 &lt;&gt; 0, Calculations!CF170, ""),"")</f>
        <v>-12.528892526740627</v>
      </c>
      <c r="BK172" s="1">
        <f t="shared" si="12"/>
        <v>1000</v>
      </c>
      <c r="BL172" s="1">
        <f t="shared" si="13"/>
        <v>55</v>
      </c>
      <c r="CD172" s="8"/>
      <c r="CE172" s="8"/>
      <c r="CF172" s="8"/>
      <c r="CG172" s="8"/>
      <c r="CH172" s="8"/>
      <c r="CI172" s="8"/>
      <c r="CJ172" s="8"/>
      <c r="CK172" s="8"/>
      <c r="CL172" s="8"/>
      <c r="CM172" s="8"/>
      <c r="CN172" s="8"/>
      <c r="CO172" s="8"/>
      <c r="CP172" s="8"/>
      <c r="CQ172" s="8"/>
      <c r="CR172" s="8"/>
      <c r="CS172" s="8"/>
      <c r="CT172" s="8"/>
      <c r="CU172" s="8"/>
      <c r="CV172" s="8"/>
      <c r="CW172" s="8"/>
      <c r="CX172" s="8"/>
      <c r="CY172" s="8"/>
      <c r="CZ172" s="8"/>
      <c r="DA172" s="8"/>
      <c r="DB172" s="8"/>
      <c r="DC172" s="8"/>
      <c r="DD172" s="8"/>
      <c r="DE172" s="8"/>
      <c r="DF172" s="8"/>
      <c r="DG172" s="8"/>
      <c r="DH172" s="8"/>
      <c r="DI172" s="8"/>
      <c r="DJ172" s="8"/>
      <c r="DK172" s="8"/>
      <c r="DL172" s="8"/>
      <c r="DM172" s="8"/>
      <c r="DN172" s="8"/>
      <c r="DO172" s="8"/>
      <c r="DP172" s="8"/>
      <c r="DQ172" s="8"/>
      <c r="DR172" s="8"/>
      <c r="DS172" s="8"/>
      <c r="DT172" s="8"/>
      <c r="DU172" s="8"/>
      <c r="DV172" s="8"/>
      <c r="DW172" s="8"/>
      <c r="DX172" s="8"/>
      <c r="DY172" s="8"/>
      <c r="DZ172" s="8"/>
      <c r="EA172" s="8"/>
    </row>
    <row r="173" spans="2:131" x14ac:dyDescent="0.2">
      <c r="B173" s="1">
        <f>IFERROR(Calculations!M171/1000, "")</f>
        <v>60</v>
      </c>
      <c r="C173" s="1">
        <f>Calculations!N171</f>
        <v>300</v>
      </c>
      <c r="D173" s="58">
        <f>IFERROR(Calculations!$Q171,"")</f>
        <v>1.5289878197780253</v>
      </c>
      <c r="E173" s="8">
        <f>IFERROR(Calculations!$S171, "")</f>
        <v>63.707467459971035</v>
      </c>
      <c r="F173" s="89"/>
      <c r="G173" s="89"/>
      <c r="H173" s="89"/>
      <c r="I173" s="89"/>
      <c r="J173" s="1" t="str">
        <f>IFERROR(Calculations!AC171, "")</f>
        <v/>
      </c>
      <c r="K173" s="1" t="str">
        <f>IFERROR(Calculations!AD171, "")</f>
        <v/>
      </c>
      <c r="L173" s="8">
        <f>IFERROR(Calculations!AE171,"")</f>
        <v>-42592.99602458474</v>
      </c>
      <c r="M173" s="8">
        <f>IFERROR(Calculations!AF171,"")</f>
        <v>-59142.379003918941</v>
      </c>
      <c r="N173" s="8" t="str">
        <f>IFERROR(Calculations!AG171,"")</f>
        <v/>
      </c>
      <c r="O173" s="8" t="str">
        <f>IFERROR(Calculations!AH171,"")</f>
        <v/>
      </c>
      <c r="P173" s="8" t="str">
        <f>IFERROR(Calculations!AI171,"")</f>
        <v/>
      </c>
      <c r="Q173" s="8" t="str">
        <f>IFERROR(Calculations!AJ171,"")</f>
        <v/>
      </c>
      <c r="R173" s="8" t="str">
        <f>IFERROR(Calculations!AK171,"")</f>
        <v/>
      </c>
      <c r="S173" s="89"/>
      <c r="T173" s="89"/>
      <c r="U173" s="89"/>
      <c r="V173" s="89"/>
      <c r="W173" s="1" t="str">
        <f>IFERROR(Calculations!AP171, "")</f>
        <v/>
      </c>
      <c r="X173" s="1" t="str">
        <f>IFERROR(Calculations!AQ171, "")</f>
        <v/>
      </c>
      <c r="Y173" s="8" t="str">
        <f>IFERROR(Calculations!AR171,"")</f>
        <v/>
      </c>
      <c r="Z173" s="8">
        <f>IFERROR(Calculations!AS171,"")</f>
        <v>0</v>
      </c>
      <c r="AA173" s="8">
        <f>IFERROR(Calculations!AT171,"")</f>
        <v>-103206.68621057943</v>
      </c>
      <c r="AB173" s="8" t="str">
        <f>IFERROR(Calculations!AU171,"")</f>
        <v/>
      </c>
      <c r="AC173" s="8" t="str">
        <f>IFERROR(Calculations!AV171,"")</f>
        <v/>
      </c>
      <c r="AD173" s="8" t="str">
        <f>IFERROR(Calculations!AW171,"")</f>
        <v/>
      </c>
      <c r="AE173" s="8" t="str">
        <f>IFERROR(Calculations!AX171,"")</f>
        <v/>
      </c>
      <c r="AF173" s="8">
        <f>IFERROR(IF(Calculations!AY171 &lt;&gt; 0, Calculations!AY171, ""),"")</f>
        <v>-1471.3111820757476</v>
      </c>
      <c r="AG173" s="42">
        <f>IFERROR(IF(Calculations!AZ171 &lt;&gt; 0, Calculations!AZ171, ""),"")</f>
        <v>0.56139444693491303</v>
      </c>
      <c r="AH173" s="1">
        <f t="shared" si="10"/>
        <v>60</v>
      </c>
      <c r="AI173" s="1">
        <f t="shared" si="11"/>
        <v>300</v>
      </c>
      <c r="AJ173" s="89"/>
      <c r="AK173" s="89"/>
      <c r="AL173" s="89"/>
      <c r="AM173" s="89"/>
      <c r="AN173" s="8" t="str">
        <f>IFERROR(Calculations!BJ171, "")</f>
        <v/>
      </c>
      <c r="AO173" s="8" t="str">
        <f>IFERROR(Calculations!BK171, "")</f>
        <v/>
      </c>
      <c r="AP173" s="8">
        <f>IFERROR(Calculations!BL171, "")</f>
        <v>11.782487582285263</v>
      </c>
      <c r="AQ173" s="8">
        <f>IFERROR(Calculations!BM171, "")</f>
        <v>29.788659490653636</v>
      </c>
      <c r="AR173" s="8" t="str">
        <f>IFERROR(Calculations!BN171, "")</f>
        <v/>
      </c>
      <c r="AS173" s="8" t="str">
        <f>IFERROR(Calculations!BO171, "")</f>
        <v/>
      </c>
      <c r="AT173" s="8" t="str">
        <f>IFERROR(Calculations!BP171, "")</f>
        <v/>
      </c>
      <c r="AU173" s="8" t="str">
        <f>IFERROR(Calculations!BQ171, "")</f>
        <v/>
      </c>
      <c r="AV173" s="8" t="str">
        <f>IFERROR(Calculations!BR171, "")</f>
        <v/>
      </c>
      <c r="AW173" s="89"/>
      <c r="AX173" s="89"/>
      <c r="AY173" s="89"/>
      <c r="AZ173" s="89"/>
      <c r="BA173" s="8" t="str">
        <f>IFERROR(Calculations!BW171, "")</f>
        <v/>
      </c>
      <c r="BB173" s="8" t="str">
        <f>IFERROR(Calculations!BX171, "")</f>
        <v/>
      </c>
      <c r="BC173" s="8" t="str">
        <f>IFERROR(Calculations!BY171, "")</f>
        <v/>
      </c>
      <c r="BD173" s="8">
        <f>IFERROR(Calculations!BZ171, "")</f>
        <v>0</v>
      </c>
      <c r="BE173" s="8">
        <f>IFERROR(Calculations!CA171, "")</f>
        <v>31.758639846410727</v>
      </c>
      <c r="BF173" s="8" t="str">
        <f>IFERROR(Calculations!CB171, "")</f>
        <v/>
      </c>
      <c r="BG173" s="8" t="str">
        <f>IFERROR(Calculations!CC171, "")</f>
        <v/>
      </c>
      <c r="BH173" s="8" t="str">
        <f>IFERROR(Calculations!CD171, "")</f>
        <v/>
      </c>
      <c r="BI173" s="8" t="str">
        <f>IFERROR(Calculations!CE171, "")</f>
        <v/>
      </c>
      <c r="BJ173" s="8">
        <f>IFERROR(IF(Calculations!CF171 &lt;&gt; 0, Calculations!CF171, ""),"")</f>
        <v>-9.8125072265281723</v>
      </c>
      <c r="BK173" s="1">
        <f t="shared" si="12"/>
        <v>300</v>
      </c>
      <c r="BL173" s="1">
        <f t="shared" si="13"/>
        <v>60</v>
      </c>
      <c r="CD173" s="8"/>
      <c r="CE173" s="8"/>
      <c r="CF173" s="8"/>
      <c r="CG173" s="8"/>
      <c r="CH173" s="8"/>
      <c r="CI173" s="8"/>
      <c r="CJ173" s="8"/>
      <c r="CK173" s="8"/>
      <c r="CL173" s="8"/>
      <c r="CM173" s="8"/>
      <c r="CN173" s="8"/>
      <c r="CO173" s="8"/>
      <c r="CP173" s="8"/>
      <c r="CQ173" s="8"/>
      <c r="CR173" s="8"/>
      <c r="CS173" s="8"/>
      <c r="CT173" s="8"/>
      <c r="CU173" s="8"/>
      <c r="CV173" s="8"/>
      <c r="CW173" s="8"/>
      <c r="CX173" s="8"/>
      <c r="CY173" s="8"/>
      <c r="CZ173" s="8"/>
      <c r="DA173" s="8"/>
      <c r="DB173" s="8"/>
      <c r="DC173" s="8"/>
      <c r="DD173" s="8"/>
      <c r="DE173" s="8"/>
      <c r="DF173" s="8"/>
      <c r="DG173" s="8"/>
      <c r="DH173" s="8"/>
      <c r="DI173" s="8"/>
      <c r="DJ173" s="8"/>
      <c r="DK173" s="8"/>
      <c r="DL173" s="8"/>
      <c r="DM173" s="8"/>
      <c r="DN173" s="8"/>
      <c r="DO173" s="8"/>
      <c r="DP173" s="8"/>
      <c r="DQ173" s="8"/>
      <c r="DR173" s="8"/>
      <c r="DS173" s="8"/>
      <c r="DT173" s="8"/>
      <c r="DU173" s="8"/>
      <c r="DV173" s="8"/>
      <c r="DW173" s="8"/>
      <c r="DX173" s="8"/>
      <c r="DY173" s="8"/>
      <c r="DZ173" s="8"/>
      <c r="EA173" s="8"/>
    </row>
    <row r="174" spans="2:131" x14ac:dyDescent="0.2">
      <c r="B174" s="1">
        <f>IFERROR(Calculations!M172/1000, "")</f>
        <v>60</v>
      </c>
      <c r="C174" s="1">
        <f>Calculations!N172</f>
        <v>350</v>
      </c>
      <c r="D174" s="58">
        <f>IFERROR(Calculations!$Q172,"")</f>
        <v>1.5132449549600477</v>
      </c>
      <c r="E174" s="8">
        <f>IFERROR(Calculations!$S172, "")</f>
        <v>57.185769337071704</v>
      </c>
      <c r="F174" s="89"/>
      <c r="G174" s="89"/>
      <c r="H174" s="89"/>
      <c r="I174" s="89"/>
      <c r="J174" s="1" t="str">
        <f>IFERROR(Calculations!AC172, "")</f>
        <v/>
      </c>
      <c r="K174" s="1" t="str">
        <f>IFERROR(Calculations!AD172, "")</f>
        <v/>
      </c>
      <c r="L174" s="8">
        <f>IFERROR(Calculations!AE172,"")</f>
        <v>-43684.07114072617</v>
      </c>
      <c r="M174" s="8">
        <f>IFERROR(Calculations!AF172,"")</f>
        <v>-61182.556265655592</v>
      </c>
      <c r="N174" s="8" t="str">
        <f>IFERROR(Calculations!AG172,"")</f>
        <v/>
      </c>
      <c r="O174" s="8" t="str">
        <f>IFERROR(Calculations!AH172,"")</f>
        <v/>
      </c>
      <c r="P174" s="8" t="str">
        <f>IFERROR(Calculations!AI172,"")</f>
        <v/>
      </c>
      <c r="Q174" s="8" t="str">
        <f>IFERROR(Calculations!AJ172,"")</f>
        <v/>
      </c>
      <c r="R174" s="8" t="str">
        <f>IFERROR(Calculations!AK172,"")</f>
        <v/>
      </c>
      <c r="S174" s="89"/>
      <c r="T174" s="89"/>
      <c r="U174" s="89"/>
      <c r="V174" s="89"/>
      <c r="W174" s="1" t="str">
        <f>IFERROR(Calculations!AP172, "")</f>
        <v/>
      </c>
      <c r="X174" s="1" t="str">
        <f>IFERROR(Calculations!AQ172, "")</f>
        <v/>
      </c>
      <c r="Y174" s="8" t="str">
        <f>IFERROR(Calculations!AR172,"")</f>
        <v/>
      </c>
      <c r="Z174" s="8">
        <f>IFERROR(Calculations!AS172,"")</f>
        <v>0</v>
      </c>
      <c r="AA174" s="8">
        <f>IFERROR(Calculations!AT172,"")</f>
        <v>-104826.59049143615</v>
      </c>
      <c r="AB174" s="8" t="str">
        <f>IFERROR(Calculations!AU172,"")</f>
        <v/>
      </c>
      <c r="AC174" s="8" t="str">
        <f>IFERROR(Calculations!AV172,"")</f>
        <v/>
      </c>
      <c r="AD174" s="8" t="str">
        <f>IFERROR(Calculations!AW172,"")</f>
        <v/>
      </c>
      <c r="AE174" s="8" t="str">
        <f>IFERROR(Calculations!AX172,"")</f>
        <v/>
      </c>
      <c r="AF174" s="8">
        <f>IFERROR(IF(Calculations!AY172 &lt;&gt; 0, Calculations!AY172, ""),"")</f>
        <v>40.036914945623721</v>
      </c>
      <c r="AG174" s="42">
        <f>IFERROR(IF(Calculations!AZ172 &lt;&gt; 0, Calculations!AZ172, ""),"")</f>
        <v>-1.4050762068628873E-2</v>
      </c>
      <c r="AH174" s="1">
        <f t="shared" si="10"/>
        <v>60</v>
      </c>
      <c r="AI174" s="1">
        <f t="shared" si="11"/>
        <v>350</v>
      </c>
      <c r="AJ174" s="89"/>
      <c r="AK174" s="89"/>
      <c r="AL174" s="89"/>
      <c r="AM174" s="89"/>
      <c r="AN174" s="8" t="str">
        <f>IFERROR(Calculations!BJ172, "")</f>
        <v/>
      </c>
      <c r="AO174" s="8" t="str">
        <f>IFERROR(Calculations!BK172, "")</f>
        <v/>
      </c>
      <c r="AP174" s="8">
        <f>IFERROR(Calculations!BL172, "")</f>
        <v>11.905065297558275</v>
      </c>
      <c r="AQ174" s="8">
        <f>IFERROR(Calculations!BM172, "")</f>
        <v>29.772043915931</v>
      </c>
      <c r="AR174" s="8" t="str">
        <f>IFERROR(Calculations!BN172, "")</f>
        <v/>
      </c>
      <c r="AS174" s="8" t="str">
        <f>IFERROR(Calculations!BO172, "")</f>
        <v/>
      </c>
      <c r="AT174" s="8" t="str">
        <f>IFERROR(Calculations!BP172, "")</f>
        <v/>
      </c>
      <c r="AU174" s="8" t="str">
        <f>IFERROR(Calculations!BQ172, "")</f>
        <v/>
      </c>
      <c r="AV174" s="8" t="str">
        <f>IFERROR(Calculations!BR172, "")</f>
        <v/>
      </c>
      <c r="AW174" s="89"/>
      <c r="AX174" s="89"/>
      <c r="AY174" s="89"/>
      <c r="AZ174" s="89"/>
      <c r="BA174" s="8" t="str">
        <f>IFERROR(Calculations!BW172, "")</f>
        <v/>
      </c>
      <c r="BB174" s="8" t="str">
        <f>IFERROR(Calculations!BX172, "")</f>
        <v/>
      </c>
      <c r="BC174" s="8" t="str">
        <f>IFERROR(Calculations!BY172, "")</f>
        <v/>
      </c>
      <c r="BD174" s="8">
        <f>IFERROR(Calculations!BZ172, "")</f>
        <v>0</v>
      </c>
      <c r="BE174" s="8">
        <f>IFERROR(Calculations!CA172, "")</f>
        <v>31.723923047145675</v>
      </c>
      <c r="BF174" s="8" t="str">
        <f>IFERROR(Calculations!CB172, "")</f>
        <v/>
      </c>
      <c r="BG174" s="8" t="str">
        <f>IFERROR(Calculations!CC172, "")</f>
        <v/>
      </c>
      <c r="BH174" s="8" t="str">
        <f>IFERROR(Calculations!CD172, "")</f>
        <v/>
      </c>
      <c r="BI174" s="8" t="str">
        <f>IFERROR(Calculations!CE172, "")</f>
        <v/>
      </c>
      <c r="BJ174" s="8">
        <f>IFERROR(IF(Calculations!CF172 &lt;&gt; 0, Calculations!CF172, ""),"")</f>
        <v>-9.953186166343599</v>
      </c>
      <c r="BK174" s="1">
        <f t="shared" si="12"/>
        <v>350</v>
      </c>
      <c r="BL174" s="1">
        <f t="shared" si="13"/>
        <v>60</v>
      </c>
      <c r="CD174" s="8"/>
      <c r="CE174" s="8"/>
      <c r="CF174" s="8"/>
      <c r="CG174" s="8"/>
      <c r="CH174" s="8"/>
      <c r="CI174" s="8"/>
      <c r="CJ174" s="8"/>
      <c r="CK174" s="8"/>
      <c r="CL174" s="8"/>
      <c r="CM174" s="8"/>
      <c r="CN174" s="8"/>
      <c r="CO174" s="8"/>
      <c r="CP174" s="8"/>
      <c r="CQ174" s="8"/>
      <c r="CR174" s="8"/>
      <c r="CS174" s="8"/>
      <c r="CT174" s="8"/>
      <c r="CU174" s="8"/>
      <c r="CV174" s="8"/>
      <c r="CW174" s="8"/>
      <c r="CX174" s="8"/>
      <c r="CY174" s="8"/>
      <c r="CZ174" s="8"/>
      <c r="DA174" s="8"/>
      <c r="DB174" s="8"/>
      <c r="DC174" s="8"/>
      <c r="DD174" s="8"/>
      <c r="DE174" s="8"/>
      <c r="DF174" s="8"/>
      <c r="DG174" s="8"/>
      <c r="DH174" s="8"/>
      <c r="DI174" s="8"/>
      <c r="DJ174" s="8"/>
      <c r="DK174" s="8"/>
      <c r="DL174" s="8"/>
      <c r="DM174" s="8"/>
      <c r="DN174" s="8"/>
      <c r="DO174" s="8"/>
      <c r="DP174" s="8"/>
      <c r="DQ174" s="8"/>
      <c r="DR174" s="8"/>
      <c r="DS174" s="8"/>
      <c r="DT174" s="8"/>
      <c r="DU174" s="8"/>
      <c r="DV174" s="8"/>
      <c r="DW174" s="8"/>
      <c r="DX174" s="8"/>
      <c r="DY174" s="8"/>
      <c r="DZ174" s="8"/>
      <c r="EA174" s="8"/>
    </row>
    <row r="175" spans="2:131" x14ac:dyDescent="0.2">
      <c r="B175" s="1">
        <f>IFERROR(Calculations!M173/1000, "")</f>
        <v>60</v>
      </c>
      <c r="C175" s="1">
        <f>Calculations!N173</f>
        <v>400</v>
      </c>
      <c r="D175" s="58">
        <f>IFERROR(Calculations!$Q173,"")</f>
        <v>1.4985972466033699</v>
      </c>
      <c r="E175" s="8">
        <f>IFERROR(Calculations!$S173, "")</f>
        <v>51.566284738544141</v>
      </c>
      <c r="F175" s="89"/>
      <c r="G175" s="89"/>
      <c r="H175" s="89"/>
      <c r="I175" s="89"/>
      <c r="J175" s="1" t="str">
        <f>IFERROR(Calculations!AC173, "")</f>
        <v/>
      </c>
      <c r="K175" s="1" t="str">
        <f>IFERROR(Calculations!AD173, "")</f>
        <v/>
      </c>
      <c r="L175" s="8">
        <f>IFERROR(Calculations!AE173,"")</f>
        <v>-44834.9882046126</v>
      </c>
      <c r="M175" s="8">
        <f>IFERROR(Calculations!AF173,"")</f>
        <v>-63260.374754172422</v>
      </c>
      <c r="N175" s="8" t="str">
        <f>IFERROR(Calculations!AG173,"")</f>
        <v/>
      </c>
      <c r="O175" s="8" t="str">
        <f>IFERROR(Calculations!AH173,"")</f>
        <v/>
      </c>
      <c r="P175" s="8" t="str">
        <f>IFERROR(Calculations!AI173,"")</f>
        <v/>
      </c>
      <c r="Q175" s="8" t="str">
        <f>IFERROR(Calculations!AJ173,"")</f>
        <v/>
      </c>
      <c r="R175" s="8" t="str">
        <f>IFERROR(Calculations!AK173,"")</f>
        <v/>
      </c>
      <c r="S175" s="89"/>
      <c r="T175" s="89"/>
      <c r="U175" s="89"/>
      <c r="V175" s="89"/>
      <c r="W175" s="1" t="str">
        <f>IFERROR(Calculations!AP173, "")</f>
        <v/>
      </c>
      <c r="X175" s="1" t="str">
        <f>IFERROR(Calculations!AQ173, "")</f>
        <v/>
      </c>
      <c r="Y175" s="8" t="str">
        <f>IFERROR(Calculations!AR173,"")</f>
        <v/>
      </c>
      <c r="Z175" s="8">
        <f>IFERROR(Calculations!AS173,"")</f>
        <v>0</v>
      </c>
      <c r="AA175" s="8">
        <f>IFERROR(Calculations!AT173,"")</f>
        <v>-106479.39673681534</v>
      </c>
      <c r="AB175" s="8" t="str">
        <f>IFERROR(Calculations!AU173,"")</f>
        <v/>
      </c>
      <c r="AC175" s="8" t="str">
        <f>IFERROR(Calculations!AV173,"")</f>
        <v/>
      </c>
      <c r="AD175" s="8" t="str">
        <f>IFERROR(Calculations!AW173,"")</f>
        <v/>
      </c>
      <c r="AE175" s="8" t="str">
        <f>IFERROR(Calculations!AX173,"")</f>
        <v/>
      </c>
      <c r="AF175" s="8">
        <f>IFERROR(IF(Calculations!AY173 &lt;&gt; 0, Calculations!AY173, ""),"")</f>
        <v>1615.9662219696911</v>
      </c>
      <c r="AG175" s="42">
        <f>IFERROR(IF(Calculations!AZ173 &lt;&gt; 0, Calculations!AZ173, ""),"")</f>
        <v>-0.52499153642354679</v>
      </c>
      <c r="AH175" s="1">
        <f t="shared" si="10"/>
        <v>60</v>
      </c>
      <c r="AI175" s="1">
        <f t="shared" si="11"/>
        <v>400</v>
      </c>
      <c r="AJ175" s="89"/>
      <c r="AK175" s="89"/>
      <c r="AL175" s="89"/>
      <c r="AM175" s="89"/>
      <c r="AN175" s="8" t="str">
        <f>IFERROR(Calculations!BJ173, "")</f>
        <v/>
      </c>
      <c r="AO175" s="8" t="str">
        <f>IFERROR(Calculations!BK173, "")</f>
        <v/>
      </c>
      <c r="AP175" s="8">
        <f>IFERROR(Calculations!BL173, "")</f>
        <v>12.021428733325346</v>
      </c>
      <c r="AQ175" s="8">
        <f>IFERROR(Calculations!BM173, "")</f>
        <v>29.764450462611197</v>
      </c>
      <c r="AR175" s="8" t="str">
        <f>IFERROR(Calculations!BN173, "")</f>
        <v/>
      </c>
      <c r="AS175" s="8" t="str">
        <f>IFERROR(Calculations!BO173, "")</f>
        <v/>
      </c>
      <c r="AT175" s="8" t="str">
        <f>IFERROR(Calculations!BP173, "")</f>
        <v/>
      </c>
      <c r="AU175" s="8" t="str">
        <f>IFERROR(Calculations!BQ173, "")</f>
        <v/>
      </c>
      <c r="AV175" s="8" t="str">
        <f>IFERROR(Calculations!BR173, "")</f>
        <v/>
      </c>
      <c r="AW175" s="89"/>
      <c r="AX175" s="89"/>
      <c r="AY175" s="89"/>
      <c r="AZ175" s="89"/>
      <c r="BA175" s="8" t="str">
        <f>IFERROR(Calculations!BW173, "")</f>
        <v/>
      </c>
      <c r="BB175" s="8" t="str">
        <f>IFERROR(Calculations!BX173, "")</f>
        <v/>
      </c>
      <c r="BC175" s="8" t="str">
        <f>IFERROR(Calculations!BY173, "")</f>
        <v/>
      </c>
      <c r="BD175" s="8">
        <f>IFERROR(Calculations!BZ173, "")</f>
        <v>0</v>
      </c>
      <c r="BE175" s="8">
        <f>IFERROR(Calculations!CA173, "")</f>
        <v>31.688586178787261</v>
      </c>
      <c r="BF175" s="8" t="str">
        <f>IFERROR(Calculations!CB173, "")</f>
        <v/>
      </c>
      <c r="BG175" s="8" t="str">
        <f>IFERROR(Calculations!CC173, "")</f>
        <v/>
      </c>
      <c r="BH175" s="8" t="str">
        <f>IFERROR(Calculations!CD173, "")</f>
        <v/>
      </c>
      <c r="BI175" s="8" t="str">
        <f>IFERROR(Calculations!CE173, "")</f>
        <v/>
      </c>
      <c r="BJ175" s="8">
        <f>IFERROR(IF(Calculations!CF173 &lt;&gt; 0, Calculations!CF173, ""),"")</f>
        <v>-10.097293017149283</v>
      </c>
      <c r="BK175" s="1">
        <f t="shared" si="12"/>
        <v>400</v>
      </c>
      <c r="BL175" s="1">
        <f t="shared" si="13"/>
        <v>60</v>
      </c>
      <c r="CD175" s="8"/>
      <c r="CE175" s="8"/>
      <c r="CF175" s="8"/>
      <c r="CG175" s="8"/>
      <c r="CH175" s="8"/>
      <c r="CI175" s="8"/>
      <c r="CJ175" s="8"/>
      <c r="CK175" s="8"/>
      <c r="CL175" s="8"/>
      <c r="CM175" s="8"/>
      <c r="CN175" s="8"/>
      <c r="CO175" s="8"/>
      <c r="CP175" s="8"/>
      <c r="CQ175" s="8"/>
      <c r="CR175" s="8"/>
      <c r="CS175" s="8"/>
      <c r="CT175" s="8"/>
      <c r="CU175" s="8"/>
      <c r="CV175" s="8"/>
      <c r="CW175" s="8"/>
      <c r="CX175" s="8"/>
      <c r="CY175" s="8"/>
      <c r="CZ175" s="8"/>
      <c r="DA175" s="8"/>
      <c r="DB175" s="8"/>
      <c r="DC175" s="8"/>
      <c r="DD175" s="8"/>
      <c r="DE175" s="8"/>
      <c r="DF175" s="8"/>
      <c r="DG175" s="8"/>
      <c r="DH175" s="8"/>
      <c r="DI175" s="8"/>
      <c r="DJ175" s="8"/>
      <c r="DK175" s="8"/>
      <c r="DL175" s="8"/>
      <c r="DM175" s="8"/>
      <c r="DN175" s="8"/>
      <c r="DO175" s="8"/>
      <c r="DP175" s="8"/>
      <c r="DQ175" s="8"/>
      <c r="DR175" s="8"/>
      <c r="DS175" s="8"/>
      <c r="DT175" s="8"/>
      <c r="DU175" s="8"/>
      <c r="DV175" s="8"/>
      <c r="DW175" s="8"/>
      <c r="DX175" s="8"/>
      <c r="DY175" s="8"/>
      <c r="DZ175" s="8"/>
      <c r="EA175" s="8"/>
    </row>
    <row r="176" spans="2:131" x14ac:dyDescent="0.2">
      <c r="B176" s="1">
        <f>IFERROR(Calculations!M174/1000, "")</f>
        <v>60</v>
      </c>
      <c r="C176" s="1">
        <f>Calculations!N174</f>
        <v>450</v>
      </c>
      <c r="D176" s="58">
        <f>IFERROR(Calculations!$Q174,"")</f>
        <v>1.4846092845195531</v>
      </c>
      <c r="E176" s="8">
        <f>IFERROR(Calculations!$S174, "")</f>
        <v>46.667920868592368</v>
      </c>
      <c r="F176" s="89"/>
      <c r="G176" s="89"/>
      <c r="H176" s="89"/>
      <c r="I176" s="89"/>
      <c r="J176" s="1" t="str">
        <f>IFERROR(Calculations!AC174, "")</f>
        <v/>
      </c>
      <c r="K176" s="1" t="str">
        <f>IFERROR(Calculations!AD174, "")</f>
        <v/>
      </c>
      <c r="L176" s="8">
        <f>IFERROR(Calculations!AE174,"")</f>
        <v>-46044.278046656458</v>
      </c>
      <c r="M176" s="8">
        <f>IFERROR(Calculations!AF174,"")</f>
        <v>-65376.364252040526</v>
      </c>
      <c r="N176" s="8" t="str">
        <f>IFERROR(Calculations!AG174,"")</f>
        <v/>
      </c>
      <c r="O176" s="8" t="str">
        <f>IFERROR(Calculations!AH174,"")</f>
        <v/>
      </c>
      <c r="P176" s="8" t="str">
        <f>IFERROR(Calculations!AI174,"")</f>
        <v/>
      </c>
      <c r="Q176" s="8" t="str">
        <f>IFERROR(Calculations!AJ174,"")</f>
        <v/>
      </c>
      <c r="R176" s="8" t="str">
        <f>IFERROR(Calculations!AK174,"")</f>
        <v/>
      </c>
      <c r="S176" s="89"/>
      <c r="T176" s="89"/>
      <c r="U176" s="89"/>
      <c r="V176" s="89"/>
      <c r="W176" s="1" t="str">
        <f>IFERROR(Calculations!AP174, "")</f>
        <v/>
      </c>
      <c r="X176" s="1" t="str">
        <f>IFERROR(Calculations!AQ174, "")</f>
        <v/>
      </c>
      <c r="Y176" s="8" t="str">
        <f>IFERROR(Calculations!AR174,"")</f>
        <v/>
      </c>
      <c r="Z176" s="8">
        <f>IFERROR(Calculations!AS174,"")</f>
        <v>0</v>
      </c>
      <c r="AA176" s="8">
        <f>IFERROR(Calculations!AT174,"")</f>
        <v>-108158.92530158596</v>
      </c>
      <c r="AB176" s="8" t="str">
        <f>IFERROR(Calculations!AU174,"")</f>
        <v/>
      </c>
      <c r="AC176" s="8" t="str">
        <f>IFERROR(Calculations!AV174,"")</f>
        <v/>
      </c>
      <c r="AD176" s="8" t="str">
        <f>IFERROR(Calculations!AW174,"")</f>
        <v/>
      </c>
      <c r="AE176" s="8" t="str">
        <f>IFERROR(Calculations!AX174,"")</f>
        <v/>
      </c>
      <c r="AF176" s="8">
        <f>IFERROR(IF(Calculations!AY174 &lt;&gt; 0, Calculations!AY174, ""),"")</f>
        <v>3261.716997111027</v>
      </c>
      <c r="AG176" s="42">
        <f>IFERROR(IF(Calculations!AZ174 &lt;&gt; 0, Calculations!AZ174, ""),"")</f>
        <v>-0.98639249623077996</v>
      </c>
      <c r="AH176" s="1">
        <f t="shared" si="10"/>
        <v>60</v>
      </c>
      <c r="AI176" s="1">
        <f t="shared" si="11"/>
        <v>450</v>
      </c>
      <c r="AJ176" s="89"/>
      <c r="AK176" s="89"/>
      <c r="AL176" s="89"/>
      <c r="AM176" s="89"/>
      <c r="AN176" s="8" t="str">
        <f>IFERROR(Calculations!BJ174, "")</f>
        <v/>
      </c>
      <c r="AO176" s="8" t="str">
        <f>IFERROR(Calculations!BK174, "")</f>
        <v/>
      </c>
      <c r="AP176" s="8">
        <f>IFERROR(Calculations!BL174, "")</f>
        <v>12.134694419501812</v>
      </c>
      <c r="AQ176" s="8">
        <f>IFERROR(Calculations!BM174, "")</f>
        <v>29.763240555807638</v>
      </c>
      <c r="AR176" s="8" t="str">
        <f>IFERROR(Calculations!BN174, "")</f>
        <v/>
      </c>
      <c r="AS176" s="8" t="str">
        <f>IFERROR(Calculations!BO174, "")</f>
        <v/>
      </c>
      <c r="AT176" s="8" t="str">
        <f>IFERROR(Calculations!BP174, "")</f>
        <v/>
      </c>
      <c r="AU176" s="8" t="str">
        <f>IFERROR(Calculations!BQ174, "")</f>
        <v/>
      </c>
      <c r="AV176" s="8" t="str">
        <f>IFERROR(Calculations!BR174, "")</f>
        <v/>
      </c>
      <c r="AW176" s="89"/>
      <c r="AX176" s="89"/>
      <c r="AY176" s="89"/>
      <c r="AZ176" s="89"/>
      <c r="BA176" s="8" t="str">
        <f>IFERROR(Calculations!BW174, "")</f>
        <v/>
      </c>
      <c r="BB176" s="8" t="str">
        <f>IFERROR(Calculations!BX174, "")</f>
        <v/>
      </c>
      <c r="BC176" s="8" t="str">
        <f>IFERROR(Calculations!BY174, "")</f>
        <v/>
      </c>
      <c r="BD176" s="8">
        <f>IFERROR(Calculations!BZ174, "")</f>
        <v>0</v>
      </c>
      <c r="BE176" s="8">
        <f>IFERROR(Calculations!CA174, "")</f>
        <v>31.652666559277034</v>
      </c>
      <c r="BF176" s="8" t="str">
        <f>IFERROR(Calculations!CB174, "")</f>
        <v/>
      </c>
      <c r="BG176" s="8" t="str">
        <f>IFERROR(Calculations!CC174, "")</f>
        <v/>
      </c>
      <c r="BH176" s="8" t="str">
        <f>IFERROR(Calculations!CD174, "")</f>
        <v/>
      </c>
      <c r="BI176" s="8" t="str">
        <f>IFERROR(Calculations!CE174, "")</f>
        <v/>
      </c>
      <c r="BJ176" s="8">
        <f>IFERROR(IF(Calculations!CF174 &lt;&gt; 0, Calculations!CF174, ""),"")</f>
        <v>-10.24526841603242</v>
      </c>
      <c r="BK176" s="1">
        <f t="shared" si="12"/>
        <v>450</v>
      </c>
      <c r="BL176" s="1">
        <f t="shared" si="13"/>
        <v>60</v>
      </c>
      <c r="CD176" s="8"/>
      <c r="CE176" s="8"/>
      <c r="CF176" s="8"/>
      <c r="CG176" s="8"/>
      <c r="CH176" s="8"/>
      <c r="CI176" s="8"/>
      <c r="CJ176" s="8"/>
      <c r="CK176" s="8"/>
      <c r="CL176" s="8"/>
      <c r="CM176" s="8"/>
      <c r="CN176" s="8"/>
      <c r="CO176" s="8"/>
      <c r="CP176" s="8"/>
      <c r="CQ176" s="8"/>
      <c r="CR176" s="8"/>
      <c r="CS176" s="8"/>
      <c r="CT176" s="8"/>
      <c r="CU176" s="8"/>
      <c r="CV176" s="8"/>
      <c r="CW176" s="8"/>
      <c r="CX176" s="8"/>
      <c r="CY176" s="8"/>
      <c r="CZ176" s="8"/>
      <c r="DA176" s="8"/>
      <c r="DB176" s="8"/>
      <c r="DC176" s="8"/>
      <c r="DD176" s="8"/>
      <c r="DE176" s="8"/>
      <c r="DF176" s="8"/>
      <c r="DG176" s="8"/>
      <c r="DH176" s="8"/>
      <c r="DI176" s="8"/>
      <c r="DJ176" s="8"/>
      <c r="DK176" s="8"/>
      <c r="DL176" s="8"/>
      <c r="DM176" s="8"/>
      <c r="DN176" s="8"/>
      <c r="DO176" s="8"/>
      <c r="DP176" s="8"/>
      <c r="DQ176" s="8"/>
      <c r="DR176" s="8"/>
      <c r="DS176" s="8"/>
      <c r="DT176" s="8"/>
      <c r="DU176" s="8"/>
      <c r="DV176" s="8"/>
      <c r="DW176" s="8"/>
      <c r="DX176" s="8"/>
      <c r="DY176" s="8"/>
      <c r="DZ176" s="8"/>
      <c r="EA176" s="8"/>
    </row>
    <row r="177" spans="2:131" x14ac:dyDescent="0.2">
      <c r="B177" s="1">
        <f>IFERROR(Calculations!M175/1000, "")</f>
        <v>60</v>
      </c>
      <c r="C177" s="1">
        <f>Calculations!N175</f>
        <v>500</v>
      </c>
      <c r="D177" s="58">
        <f>IFERROR(Calculations!$Q175,"")</f>
        <v>1.471055242514014</v>
      </c>
      <c r="E177" s="8">
        <f>IFERROR(Calculations!$S175, "")</f>
        <v>42.362838175721393</v>
      </c>
      <c r="F177" s="89"/>
      <c r="G177" s="89"/>
      <c r="H177" s="89"/>
      <c r="I177" s="89"/>
      <c r="J177" s="1" t="str">
        <f>IFERROR(Calculations!AC175, "")</f>
        <v/>
      </c>
      <c r="K177" s="1" t="str">
        <f>IFERROR(Calculations!AD175, "")</f>
        <v/>
      </c>
      <c r="L177" s="8">
        <f>IFERROR(Calculations!AE175,"")</f>
        <v>-47300.457417318379</v>
      </c>
      <c r="M177" s="8">
        <f>IFERROR(Calculations!AF175,"")</f>
        <v>-67530.524259202299</v>
      </c>
      <c r="N177" s="8" t="str">
        <f>IFERROR(Calculations!AG175,"")</f>
        <v/>
      </c>
      <c r="O177" s="8" t="str">
        <f>IFERROR(Calculations!AH175,"")</f>
        <v/>
      </c>
      <c r="P177" s="8" t="str">
        <f>IFERROR(Calculations!AI175,"")</f>
        <v/>
      </c>
      <c r="Q177" s="8" t="str">
        <f>IFERROR(Calculations!AJ175,"")</f>
        <v/>
      </c>
      <c r="R177" s="8" t="str">
        <f>IFERROR(Calculations!AK175,"")</f>
        <v/>
      </c>
      <c r="S177" s="89"/>
      <c r="T177" s="89"/>
      <c r="U177" s="89"/>
      <c r="V177" s="89"/>
      <c r="W177" s="1" t="str">
        <f>IFERROR(Calculations!AP175, "")</f>
        <v/>
      </c>
      <c r="X177" s="1" t="str">
        <f>IFERROR(Calculations!AQ175, "")</f>
        <v/>
      </c>
      <c r="Y177" s="8" t="str">
        <f>IFERROR(Calculations!AR175,"")</f>
        <v/>
      </c>
      <c r="Z177" s="8">
        <f>IFERROR(Calculations!AS175,"")</f>
        <v>0</v>
      </c>
      <c r="AA177" s="8">
        <f>IFERROR(Calculations!AT175,"")</f>
        <v>-109860.11047675381</v>
      </c>
      <c r="AB177" s="8" t="str">
        <f>IFERROR(Calculations!AU175,"")</f>
        <v/>
      </c>
      <c r="AC177" s="8" t="str">
        <f>IFERROR(Calculations!AV175,"")</f>
        <v/>
      </c>
      <c r="AD177" s="8" t="str">
        <f>IFERROR(Calculations!AW175,"")</f>
        <v/>
      </c>
      <c r="AE177" s="8" t="str">
        <f>IFERROR(Calculations!AX175,"")</f>
        <v/>
      </c>
      <c r="AF177" s="8">
        <f>IFERROR(IF(Calculations!AY175 &lt;&gt; 0, Calculations!AY175, ""),"")</f>
        <v>4970.8711997668725</v>
      </c>
      <c r="AG177" s="42">
        <f>IFERROR(IF(Calculations!AZ175 &lt;&gt; 0, Calculations!AZ175, ""),"")</f>
        <v>-1.406049543129259</v>
      </c>
      <c r="AH177" s="1">
        <f t="shared" si="10"/>
        <v>60</v>
      </c>
      <c r="AI177" s="1">
        <f t="shared" si="11"/>
        <v>500</v>
      </c>
      <c r="AJ177" s="89"/>
      <c r="AK177" s="89"/>
      <c r="AL177" s="89"/>
      <c r="AM177" s="89"/>
      <c r="AN177" s="8" t="str">
        <f>IFERROR(Calculations!BJ175, "")</f>
        <v/>
      </c>
      <c r="AO177" s="8" t="str">
        <f>IFERROR(Calculations!BK175, "")</f>
        <v/>
      </c>
      <c r="AP177" s="8">
        <f>IFERROR(Calculations!BL175, "")</f>
        <v>12.246501340909621</v>
      </c>
      <c r="AQ177" s="8">
        <f>IFERROR(Calculations!BM175, "")</f>
        <v>29.766741610186379</v>
      </c>
      <c r="AR177" s="8" t="str">
        <f>IFERROR(Calculations!BN175, "")</f>
        <v/>
      </c>
      <c r="AS177" s="8" t="str">
        <f>IFERROR(Calculations!BO175, "")</f>
        <v/>
      </c>
      <c r="AT177" s="8" t="str">
        <f>IFERROR(Calculations!BP175, "")</f>
        <v/>
      </c>
      <c r="AU177" s="8" t="str">
        <f>IFERROR(Calculations!BQ175, "")</f>
        <v/>
      </c>
      <c r="AV177" s="8" t="str">
        <f>IFERROR(Calculations!BR175, "")</f>
        <v/>
      </c>
      <c r="AW177" s="89"/>
      <c r="AX177" s="89"/>
      <c r="AY177" s="89"/>
      <c r="AZ177" s="89"/>
      <c r="BA177" s="8" t="str">
        <f>IFERROR(Calculations!BW175, "")</f>
        <v/>
      </c>
      <c r="BB177" s="8" t="str">
        <f>IFERROR(Calculations!BX175, "")</f>
        <v/>
      </c>
      <c r="BC177" s="8" t="str">
        <f>IFERROR(Calculations!BY175, "")</f>
        <v/>
      </c>
      <c r="BD177" s="8">
        <f>IFERROR(Calculations!BZ175, "")</f>
        <v>0</v>
      </c>
      <c r="BE177" s="8">
        <f>IFERROR(Calculations!CA175, "")</f>
        <v>31.616191044091462</v>
      </c>
      <c r="BF177" s="8" t="str">
        <f>IFERROR(Calculations!CB175, "")</f>
        <v/>
      </c>
      <c r="BG177" s="8" t="str">
        <f>IFERROR(Calculations!CC175, "")</f>
        <v/>
      </c>
      <c r="BH177" s="8" t="str">
        <f>IFERROR(Calculations!CD175, "")</f>
        <v/>
      </c>
      <c r="BI177" s="8" t="str">
        <f>IFERROR(Calculations!CE175, "")</f>
        <v/>
      </c>
      <c r="BJ177" s="8">
        <f>IFERROR(IF(Calculations!CF175 &lt;&gt; 0, Calculations!CF175, ""),"")</f>
        <v>-10.397051907004542</v>
      </c>
      <c r="BK177" s="1">
        <f t="shared" si="12"/>
        <v>500</v>
      </c>
      <c r="BL177" s="1">
        <f t="shared" si="13"/>
        <v>60</v>
      </c>
      <c r="CD177" s="8"/>
      <c r="CE177" s="8"/>
      <c r="CF177" s="8"/>
      <c r="CG177" s="8"/>
      <c r="CH177" s="8"/>
      <c r="CI177" s="8"/>
      <c r="CJ177" s="8"/>
      <c r="CK177" s="8"/>
      <c r="CL177" s="8"/>
      <c r="CM177" s="8"/>
      <c r="CN177" s="8"/>
      <c r="CO177" s="8"/>
      <c r="CP177" s="8"/>
      <c r="CQ177" s="8"/>
      <c r="CR177" s="8"/>
      <c r="CS177" s="8"/>
      <c r="CT177" s="8"/>
      <c r="CU177" s="8"/>
      <c r="CV177" s="8"/>
      <c r="CW177" s="8"/>
      <c r="CX177" s="8"/>
      <c r="CY177" s="8"/>
      <c r="CZ177" s="8"/>
      <c r="DA177" s="8"/>
      <c r="DB177" s="8"/>
      <c r="DC177" s="8"/>
      <c r="DD177" s="8"/>
      <c r="DE177" s="8"/>
      <c r="DF177" s="8"/>
      <c r="DG177" s="8"/>
      <c r="DH177" s="8"/>
      <c r="DI177" s="8"/>
      <c r="DJ177" s="8"/>
      <c r="DK177" s="8"/>
      <c r="DL177" s="8"/>
      <c r="DM177" s="8"/>
      <c r="DN177" s="8"/>
      <c r="DO177" s="8"/>
      <c r="DP177" s="8"/>
      <c r="DQ177" s="8"/>
      <c r="DR177" s="8"/>
      <c r="DS177" s="8"/>
      <c r="DT177" s="8"/>
      <c r="DU177" s="8"/>
      <c r="DV177" s="8"/>
      <c r="DW177" s="8"/>
      <c r="DX177" s="8"/>
      <c r="DY177" s="8"/>
      <c r="DZ177" s="8"/>
      <c r="EA177" s="8"/>
    </row>
    <row r="178" spans="2:131" x14ac:dyDescent="0.2">
      <c r="B178" s="1">
        <f>IFERROR(Calculations!M176/1000, "")</f>
        <v>60</v>
      </c>
      <c r="C178" s="1">
        <f>Calculations!N176</f>
        <v>550</v>
      </c>
      <c r="D178" s="58">
        <f>IFERROR(Calculations!$Q176,"")</f>
        <v>1.4578171038621663</v>
      </c>
      <c r="E178" s="8">
        <f>IFERROR(Calculations!$S176, "")</f>
        <v>38.555875460961602</v>
      </c>
      <c r="F178" s="89"/>
      <c r="G178" s="89"/>
      <c r="H178" s="89"/>
      <c r="I178" s="89"/>
      <c r="J178" s="1" t="str">
        <f>IFERROR(Calculations!AC176, "")</f>
        <v/>
      </c>
      <c r="K178" s="1" t="str">
        <f>IFERROR(Calculations!AD176, "")</f>
        <v/>
      </c>
      <c r="L178" s="8">
        <f>IFERROR(Calculations!AE176,"")</f>
        <v>-48587.736976308515</v>
      </c>
      <c r="M178" s="8">
        <f>IFERROR(Calculations!AF176,"")</f>
        <v>-69722.624422307417</v>
      </c>
      <c r="N178" s="8" t="str">
        <f>IFERROR(Calculations!AG176,"")</f>
        <v/>
      </c>
      <c r="O178" s="8" t="str">
        <f>IFERROR(Calculations!AH176,"")</f>
        <v/>
      </c>
      <c r="P178" s="8" t="str">
        <f>IFERROR(Calculations!AI176,"")</f>
        <v/>
      </c>
      <c r="Q178" s="8" t="str">
        <f>IFERROR(Calculations!AJ176,"")</f>
        <v/>
      </c>
      <c r="R178" s="8" t="str">
        <f>IFERROR(Calculations!AK176,"")</f>
        <v/>
      </c>
      <c r="S178" s="89"/>
      <c r="T178" s="89"/>
      <c r="U178" s="89"/>
      <c r="V178" s="89"/>
      <c r="W178" s="1" t="str">
        <f>IFERROR(Calculations!AP176, "")</f>
        <v/>
      </c>
      <c r="X178" s="1" t="str">
        <f>IFERROR(Calculations!AQ176, "")</f>
        <v/>
      </c>
      <c r="Y178" s="8" t="str">
        <f>IFERROR(Calculations!AR176,"")</f>
        <v/>
      </c>
      <c r="Z178" s="8">
        <f>IFERROR(Calculations!AS176,"")</f>
        <v>0</v>
      </c>
      <c r="AA178" s="8">
        <f>IFERROR(Calculations!AT176,"")</f>
        <v>-111578.63866179973</v>
      </c>
      <c r="AB178" s="8" t="str">
        <f>IFERROR(Calculations!AU176,"")</f>
        <v/>
      </c>
      <c r="AC178" s="8" t="str">
        <f>IFERROR(Calculations!AV176,"")</f>
        <v/>
      </c>
      <c r="AD178" s="8" t="str">
        <f>IFERROR(Calculations!AW176,"")</f>
        <v/>
      </c>
      <c r="AE178" s="8" t="str">
        <f>IFERROR(Calculations!AX176,"")</f>
        <v/>
      </c>
      <c r="AF178" s="8">
        <f>IFERROR(IF(Calculations!AY176 &lt;&gt; 0, Calculations!AY176, ""),"")</f>
        <v>6731.7227368161984</v>
      </c>
      <c r="AG178" s="42">
        <f>IFERROR(IF(Calculations!AZ176 &lt;&gt; 0, Calculations!AZ176, ""),"")</f>
        <v>-1.7884595052165131</v>
      </c>
      <c r="AH178" s="1">
        <f t="shared" si="10"/>
        <v>60</v>
      </c>
      <c r="AI178" s="1">
        <f t="shared" si="11"/>
        <v>550</v>
      </c>
      <c r="AJ178" s="89"/>
      <c r="AK178" s="89"/>
      <c r="AL178" s="89"/>
      <c r="AM178" s="89"/>
      <c r="AN178" s="8" t="str">
        <f>IFERROR(Calculations!BJ176, "")</f>
        <v/>
      </c>
      <c r="AO178" s="8" t="str">
        <f>IFERROR(Calculations!BK176, "")</f>
        <v/>
      </c>
      <c r="AP178" s="8">
        <f>IFERROR(Calculations!BL176, "")</f>
        <v>12.357709312280994</v>
      </c>
      <c r="AQ178" s="8">
        <f>IFERROR(Calculations!BM176, "")</f>
        <v>29.773834938698233</v>
      </c>
      <c r="AR178" s="8" t="str">
        <f>IFERROR(Calculations!BN176, "")</f>
        <v/>
      </c>
      <c r="AS178" s="8" t="str">
        <f>IFERROR(Calculations!BO176, "")</f>
        <v/>
      </c>
      <c r="AT178" s="8" t="str">
        <f>IFERROR(Calculations!BP176, "")</f>
        <v/>
      </c>
      <c r="AU178" s="8" t="str">
        <f>IFERROR(Calculations!BQ176, "")</f>
        <v/>
      </c>
      <c r="AV178" s="8" t="str">
        <f>IFERROR(Calculations!BR176, "")</f>
        <v/>
      </c>
      <c r="AW178" s="89"/>
      <c r="AX178" s="89"/>
      <c r="AY178" s="89"/>
      <c r="AZ178" s="89"/>
      <c r="BA178" s="8" t="str">
        <f>IFERROR(Calculations!BW176, "")</f>
        <v/>
      </c>
      <c r="BB178" s="8" t="str">
        <f>IFERROR(Calculations!BX176, "")</f>
        <v/>
      </c>
      <c r="BC178" s="8" t="str">
        <f>IFERROR(Calculations!BY176, "")</f>
        <v/>
      </c>
      <c r="BD178" s="8">
        <f>IFERROR(Calculations!BZ176, "")</f>
        <v>0</v>
      </c>
      <c r="BE178" s="8">
        <f>IFERROR(Calculations!CA176, "")</f>
        <v>31.5791904731961</v>
      </c>
      <c r="BF178" s="8" t="str">
        <f>IFERROR(Calculations!CB176, "")</f>
        <v/>
      </c>
      <c r="BG178" s="8" t="str">
        <f>IFERROR(Calculations!CC176, "")</f>
        <v/>
      </c>
      <c r="BH178" s="8" t="str">
        <f>IFERROR(Calculations!CD176, "")</f>
        <v/>
      </c>
      <c r="BI178" s="8" t="str">
        <f>IFERROR(Calculations!CE176, "")</f>
        <v/>
      </c>
      <c r="BJ178" s="8">
        <f>IFERROR(IF(Calculations!CF176 &lt;&gt; 0, Calculations!CF176, ""),"")</f>
        <v>-10.552353777783125</v>
      </c>
      <c r="BK178" s="1">
        <f t="shared" si="12"/>
        <v>550</v>
      </c>
      <c r="BL178" s="1">
        <f t="shared" si="13"/>
        <v>60</v>
      </c>
      <c r="CD178" s="8"/>
      <c r="CE178" s="8"/>
      <c r="CF178" s="8"/>
      <c r="CG178" s="8"/>
      <c r="CH178" s="8"/>
      <c r="CI178" s="8"/>
      <c r="CJ178" s="8"/>
      <c r="CK178" s="8"/>
      <c r="CL178" s="8"/>
      <c r="CM178" s="8"/>
      <c r="CN178" s="8"/>
      <c r="CO178" s="8"/>
      <c r="CP178" s="8"/>
      <c r="CQ178" s="8"/>
      <c r="CR178" s="8"/>
      <c r="CS178" s="8"/>
      <c r="CT178" s="8"/>
      <c r="CU178" s="8"/>
      <c r="CV178" s="8"/>
      <c r="CW178" s="8"/>
      <c r="CX178" s="8"/>
      <c r="CY178" s="8"/>
      <c r="CZ178" s="8"/>
      <c r="DA178" s="8"/>
      <c r="DB178" s="8"/>
      <c r="DC178" s="8"/>
      <c r="DD178" s="8"/>
      <c r="DE178" s="8"/>
      <c r="DF178" s="8"/>
      <c r="DG178" s="8"/>
      <c r="DH178" s="8"/>
      <c r="DI178" s="8"/>
      <c r="DJ178" s="8"/>
      <c r="DK178" s="8"/>
      <c r="DL178" s="8"/>
      <c r="DM178" s="8"/>
      <c r="DN178" s="8"/>
      <c r="DO178" s="8"/>
      <c r="DP178" s="8"/>
      <c r="DQ178" s="8"/>
      <c r="DR178" s="8"/>
      <c r="DS178" s="8"/>
      <c r="DT178" s="8"/>
      <c r="DU178" s="8"/>
      <c r="DV178" s="8"/>
      <c r="DW178" s="8"/>
      <c r="DX178" s="8"/>
      <c r="DY178" s="8"/>
      <c r="DZ178" s="8"/>
      <c r="EA178" s="8"/>
    </row>
    <row r="179" spans="2:131" x14ac:dyDescent="0.2">
      <c r="B179" s="1">
        <f>IFERROR(Calculations!M177/1000, "")</f>
        <v>60</v>
      </c>
      <c r="C179" s="1">
        <f>Calculations!N177</f>
        <v>600</v>
      </c>
      <c r="D179" s="58">
        <f>IFERROR(Calculations!$Q177,"")</f>
        <v>1.4448348171246053</v>
      </c>
      <c r="E179" s="8">
        <f>IFERROR(Calculations!$S177, "")</f>
        <v>35.173309747635777</v>
      </c>
      <c r="F179" s="89"/>
      <c r="G179" s="89"/>
      <c r="H179" s="89"/>
      <c r="I179" s="89"/>
      <c r="J179" s="1" t="str">
        <f>IFERROR(Calculations!AC177, "")</f>
        <v/>
      </c>
      <c r="K179" s="1" t="str">
        <f>IFERROR(Calculations!AD177, "")</f>
        <v/>
      </c>
      <c r="L179" s="8">
        <f>IFERROR(Calculations!AE177,"")</f>
        <v>-49913.725745682284</v>
      </c>
      <c r="M179" s="8">
        <f>IFERROR(Calculations!AF177,"")</f>
        <v>-71952.350143730437</v>
      </c>
      <c r="N179" s="8" t="str">
        <f>IFERROR(Calculations!AG177,"")</f>
        <v/>
      </c>
      <c r="O179" s="8" t="str">
        <f>IFERROR(Calculations!AH177,"")</f>
        <v/>
      </c>
      <c r="P179" s="8" t="str">
        <f>IFERROR(Calculations!AI177,"")</f>
        <v/>
      </c>
      <c r="Q179" s="8" t="str">
        <f>IFERROR(Calculations!AJ177,"")</f>
        <v/>
      </c>
      <c r="R179" s="8" t="str">
        <f>IFERROR(Calculations!AK177,"")</f>
        <v/>
      </c>
      <c r="S179" s="89"/>
      <c r="T179" s="89"/>
      <c r="U179" s="89"/>
      <c r="V179" s="89"/>
      <c r="W179" s="1" t="str">
        <f>IFERROR(Calculations!AP177, "")</f>
        <v/>
      </c>
      <c r="X179" s="1" t="str">
        <f>IFERROR(Calculations!AQ177, "")</f>
        <v/>
      </c>
      <c r="Y179" s="8" t="str">
        <f>IFERROR(Calculations!AR177,"")</f>
        <v/>
      </c>
      <c r="Z179" s="8">
        <f>IFERROR(Calculations!AS177,"")</f>
        <v>0</v>
      </c>
      <c r="AA179" s="8">
        <f>IFERROR(Calculations!AT177,"")</f>
        <v>-113310.73544374955</v>
      </c>
      <c r="AB179" s="8" t="str">
        <f>IFERROR(Calculations!AU177,"")</f>
        <v/>
      </c>
      <c r="AC179" s="8" t="str">
        <f>IFERROR(Calculations!AV177,"")</f>
        <v/>
      </c>
      <c r="AD179" s="8" t="str">
        <f>IFERROR(Calculations!AW177,"")</f>
        <v/>
      </c>
      <c r="AE179" s="8" t="str">
        <f>IFERROR(Calculations!AX177,"")</f>
        <v/>
      </c>
      <c r="AF179" s="8">
        <f>IFERROR(IF(Calculations!AY177 &lt;&gt; 0, Calculations!AY177, ""),"")</f>
        <v>8555.3404456631688</v>
      </c>
      <c r="AG179" s="42">
        <f>IFERROR(IF(Calculations!AZ177 &lt;&gt; 0, Calculations!AZ177, ""),"")</f>
        <v>-2.1427934564322881</v>
      </c>
      <c r="AH179" s="1">
        <f t="shared" si="10"/>
        <v>60</v>
      </c>
      <c r="AI179" s="1">
        <f t="shared" si="11"/>
        <v>600</v>
      </c>
      <c r="AJ179" s="89"/>
      <c r="AK179" s="89"/>
      <c r="AL179" s="89"/>
      <c r="AM179" s="89"/>
      <c r="AN179" s="8" t="str">
        <f>IFERROR(Calculations!BJ177, "")</f>
        <v/>
      </c>
      <c r="AO179" s="8" t="str">
        <f>IFERROR(Calculations!BK177, "")</f>
        <v/>
      </c>
      <c r="AP179" s="8">
        <f>IFERROR(Calculations!BL177, "")</f>
        <v>12.468747144294717</v>
      </c>
      <c r="AQ179" s="8">
        <f>IFERROR(Calculations!BM177, "")</f>
        <v>29.78373682970782</v>
      </c>
      <c r="AR179" s="8" t="str">
        <f>IFERROR(Calculations!BN177, "")</f>
        <v/>
      </c>
      <c r="AS179" s="8" t="str">
        <f>IFERROR(Calculations!BO177, "")</f>
        <v/>
      </c>
      <c r="AT179" s="8" t="str">
        <f>IFERROR(Calculations!BP177, "")</f>
        <v/>
      </c>
      <c r="AU179" s="8" t="str">
        <f>IFERROR(Calculations!BQ177, "")</f>
        <v/>
      </c>
      <c r="AV179" s="8" t="str">
        <f>IFERROR(Calculations!BR177, "")</f>
        <v/>
      </c>
      <c r="AW179" s="89"/>
      <c r="AX179" s="89"/>
      <c r="AY179" s="89"/>
      <c r="AZ179" s="89"/>
      <c r="BA179" s="8" t="str">
        <f>IFERROR(Calculations!BW177, "")</f>
        <v/>
      </c>
      <c r="BB179" s="8" t="str">
        <f>IFERROR(Calculations!BX177, "")</f>
        <v/>
      </c>
      <c r="BC179" s="8" t="str">
        <f>IFERROR(Calculations!BY177, "")</f>
        <v/>
      </c>
      <c r="BD179" s="8">
        <f>IFERROR(Calculations!BZ177, "")</f>
        <v>0</v>
      </c>
      <c r="BE179" s="8">
        <f>IFERROR(Calculations!CA177, "")</f>
        <v>31.54170494480157</v>
      </c>
      <c r="BF179" s="8" t="str">
        <f>IFERROR(Calculations!CB177, "")</f>
        <v/>
      </c>
      <c r="BG179" s="8" t="str">
        <f>IFERROR(Calculations!CC177, "")</f>
        <v/>
      </c>
      <c r="BH179" s="8" t="str">
        <f>IFERROR(Calculations!CD177, "")</f>
        <v/>
      </c>
      <c r="BI179" s="8" t="str">
        <f>IFERROR(Calculations!CE177, "")</f>
        <v/>
      </c>
      <c r="BJ179" s="8">
        <f>IFERROR(IF(Calculations!CF177 &lt;&gt; 0, Calculations!CF177, ""),"")</f>
        <v>-10.710779029200967</v>
      </c>
      <c r="BK179" s="1">
        <f t="shared" si="12"/>
        <v>600</v>
      </c>
      <c r="BL179" s="1">
        <f t="shared" si="13"/>
        <v>60</v>
      </c>
      <c r="CD179" s="8"/>
      <c r="CE179" s="8"/>
      <c r="CF179" s="8"/>
      <c r="CG179" s="8"/>
      <c r="CH179" s="8"/>
      <c r="CI179" s="8"/>
      <c r="CJ179" s="8"/>
      <c r="CK179" s="8"/>
      <c r="CL179" s="8"/>
      <c r="CM179" s="8"/>
      <c r="CN179" s="8"/>
      <c r="CO179" s="8"/>
      <c r="CP179" s="8"/>
      <c r="CQ179" s="8"/>
      <c r="CR179" s="8"/>
      <c r="CS179" s="8"/>
      <c r="CT179" s="8"/>
      <c r="CU179" s="8"/>
      <c r="CV179" s="8"/>
      <c r="CW179" s="8"/>
      <c r="CX179" s="8"/>
      <c r="CY179" s="8"/>
      <c r="CZ179" s="8"/>
      <c r="DA179" s="8"/>
      <c r="DB179" s="8"/>
      <c r="DC179" s="8"/>
      <c r="DD179" s="8"/>
      <c r="DE179" s="8"/>
      <c r="DF179" s="8"/>
      <c r="DG179" s="8"/>
      <c r="DH179" s="8"/>
      <c r="DI179" s="8"/>
      <c r="DJ179" s="8"/>
      <c r="DK179" s="8"/>
      <c r="DL179" s="8"/>
      <c r="DM179" s="8"/>
      <c r="DN179" s="8"/>
      <c r="DO179" s="8"/>
      <c r="DP179" s="8"/>
      <c r="DQ179" s="8"/>
      <c r="DR179" s="8"/>
      <c r="DS179" s="8"/>
      <c r="DT179" s="8"/>
      <c r="DU179" s="8"/>
      <c r="DV179" s="8"/>
      <c r="DW179" s="8"/>
      <c r="DX179" s="8"/>
      <c r="DY179" s="8"/>
      <c r="DZ179" s="8"/>
      <c r="EA179" s="8"/>
    </row>
    <row r="180" spans="2:131" x14ac:dyDescent="0.2">
      <c r="B180" s="1">
        <f>IFERROR(Calculations!M178/1000, "")</f>
        <v>60</v>
      </c>
      <c r="C180" s="1">
        <f>Calculations!N178</f>
        <v>650</v>
      </c>
      <c r="D180" s="58">
        <f>IFERROR(Calculations!$Q178,"")</f>
        <v>1.4320802192193267</v>
      </c>
      <c r="E180" s="8">
        <f>IFERROR(Calculations!$S178, "")</f>
        <v>32.156267509764618</v>
      </c>
      <c r="F180" s="89"/>
      <c r="G180" s="89"/>
      <c r="H180" s="89"/>
      <c r="I180" s="89"/>
      <c r="J180" s="1" t="str">
        <f>IFERROR(Calculations!AC178, "")</f>
        <v/>
      </c>
      <c r="K180" s="1" t="str">
        <f>IFERROR(Calculations!AD178, "")</f>
        <v/>
      </c>
      <c r="L180" s="8">
        <f>IFERROR(Calculations!AE178,"")</f>
        <v>-51283.010604744071</v>
      </c>
      <c r="M180" s="8">
        <f>IFERROR(Calculations!AF178,"")</f>
        <v>-74219.3748055615</v>
      </c>
      <c r="N180" s="8" t="str">
        <f>IFERROR(Calculations!AG178,"")</f>
        <v/>
      </c>
      <c r="O180" s="8" t="str">
        <f>IFERROR(Calculations!AH178,"")</f>
        <v/>
      </c>
      <c r="P180" s="8" t="str">
        <f>IFERROR(Calculations!AI178,"")</f>
        <v/>
      </c>
      <c r="Q180" s="8" t="str">
        <f>IFERROR(Calculations!AJ178,"")</f>
        <v/>
      </c>
      <c r="R180" s="8" t="str">
        <f>IFERROR(Calculations!AK178,"")</f>
        <v/>
      </c>
      <c r="S180" s="89"/>
      <c r="T180" s="89"/>
      <c r="U180" s="89"/>
      <c r="V180" s="89"/>
      <c r="W180" s="1" t="str">
        <f>IFERROR(Calculations!AP178, "")</f>
        <v/>
      </c>
      <c r="X180" s="1" t="str">
        <f>IFERROR(Calculations!AQ178, "")</f>
        <v/>
      </c>
      <c r="Y180" s="8" t="str">
        <f>IFERROR(Calculations!AR178,"")</f>
        <v/>
      </c>
      <c r="Z180" s="8">
        <f>IFERROR(Calculations!AS178,"")</f>
        <v>0</v>
      </c>
      <c r="AA180" s="8">
        <f>IFERROR(Calculations!AT178,"")</f>
        <v>-115053.03123777994</v>
      </c>
      <c r="AB180" s="8" t="str">
        <f>IFERROR(Calculations!AU178,"")</f>
        <v/>
      </c>
      <c r="AC180" s="8" t="str">
        <f>IFERROR(Calculations!AV178,"")</f>
        <v/>
      </c>
      <c r="AD180" s="8" t="str">
        <f>IFERROR(Calculations!AW178,"")</f>
        <v/>
      </c>
      <c r="AE180" s="8" t="str">
        <f>IFERROR(Calculations!AX178,"")</f>
        <v/>
      </c>
      <c r="AF180" s="8">
        <f>IFERROR(IF(Calculations!AY178 &lt;&gt; 0, Calculations!AY178, ""),"")</f>
        <v>10449.354172525636</v>
      </c>
      <c r="AG180" s="42">
        <f>IFERROR(IF(Calculations!AZ178 &lt;&gt; 0, Calculations!AZ178, ""),"")</f>
        <v>-2.4754208752255846</v>
      </c>
      <c r="AH180" s="1">
        <f t="shared" si="10"/>
        <v>60</v>
      </c>
      <c r="AI180" s="1">
        <f t="shared" si="11"/>
        <v>650</v>
      </c>
      <c r="AJ180" s="89"/>
      <c r="AK180" s="89"/>
      <c r="AL180" s="89"/>
      <c r="AM180" s="89"/>
      <c r="AN180" s="8" t="str">
        <f>IFERROR(Calculations!BJ178, "")</f>
        <v/>
      </c>
      <c r="AO180" s="8" t="str">
        <f>IFERROR(Calculations!BK178, "")</f>
        <v/>
      </c>
      <c r="AP180" s="8">
        <f>IFERROR(Calculations!BL178, "")</f>
        <v>12.579798085487637</v>
      </c>
      <c r="AQ180" s="8">
        <f>IFERROR(Calculations!BM178, "")</f>
        <v>29.795874366016704</v>
      </c>
      <c r="AR180" s="8" t="str">
        <f>IFERROR(Calculations!BN178, "")</f>
        <v/>
      </c>
      <c r="AS180" s="8" t="str">
        <f>IFERROR(Calculations!BO178, "")</f>
        <v/>
      </c>
      <c r="AT180" s="8" t="str">
        <f>IFERROR(Calculations!BP178, "")</f>
        <v/>
      </c>
      <c r="AU180" s="8" t="str">
        <f>IFERROR(Calculations!BQ178, "")</f>
        <v/>
      </c>
      <c r="AV180" s="8" t="str">
        <f>IFERROR(Calculations!BR178, "")</f>
        <v/>
      </c>
      <c r="AW180" s="89"/>
      <c r="AX180" s="89"/>
      <c r="AY180" s="89"/>
      <c r="AZ180" s="89"/>
      <c r="BA180" s="8" t="str">
        <f>IFERROR(Calculations!BW178, "")</f>
        <v/>
      </c>
      <c r="BB180" s="8" t="str">
        <f>IFERROR(Calculations!BX178, "")</f>
        <v/>
      </c>
      <c r="BC180" s="8" t="str">
        <f>IFERROR(Calculations!BY178, "")</f>
        <v/>
      </c>
      <c r="BD180" s="8">
        <f>IFERROR(Calculations!BZ178, "")</f>
        <v>0</v>
      </c>
      <c r="BE180" s="8">
        <f>IFERROR(Calculations!CA178, "")</f>
        <v>31.50378639424693</v>
      </c>
      <c r="BF180" s="8" t="str">
        <f>IFERROR(Calculations!CB178, "")</f>
        <v/>
      </c>
      <c r="BG180" s="8" t="str">
        <f>IFERROR(Calculations!CC178, "")</f>
        <v/>
      </c>
      <c r="BH180" s="8" t="str">
        <f>IFERROR(Calculations!CD178, "")</f>
        <v/>
      </c>
      <c r="BI180" s="8" t="str">
        <f>IFERROR(Calculations!CE178, "")</f>
        <v/>
      </c>
      <c r="BJ180" s="8">
        <f>IFERROR(IF(Calculations!CF178 &lt;&gt; 0, Calculations!CF178, ""),"")</f>
        <v>-10.871886057257413</v>
      </c>
      <c r="BK180" s="1">
        <f t="shared" si="12"/>
        <v>650</v>
      </c>
      <c r="BL180" s="1">
        <f t="shared" si="13"/>
        <v>60</v>
      </c>
      <c r="CD180" s="8"/>
      <c r="CE180" s="8"/>
      <c r="CF180" s="8"/>
      <c r="CG180" s="8"/>
      <c r="CH180" s="8"/>
      <c r="CI180" s="8"/>
      <c r="CJ180" s="8"/>
      <c r="CK180" s="8"/>
      <c r="CL180" s="8"/>
      <c r="CM180" s="8"/>
      <c r="CN180" s="8"/>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c r="DM180" s="8"/>
      <c r="DN180" s="8"/>
      <c r="DO180" s="8"/>
      <c r="DP180" s="8"/>
      <c r="DQ180" s="8"/>
      <c r="DR180" s="8"/>
      <c r="DS180" s="8"/>
      <c r="DT180" s="8"/>
      <c r="DU180" s="8"/>
      <c r="DV180" s="8"/>
      <c r="DW180" s="8"/>
      <c r="DX180" s="8"/>
      <c r="DY180" s="8"/>
      <c r="DZ180" s="8"/>
      <c r="EA180" s="8"/>
    </row>
    <row r="181" spans="2:131" x14ac:dyDescent="0.2">
      <c r="B181" s="1">
        <f>IFERROR(Calculations!M179/1000, "")</f>
        <v>60</v>
      </c>
      <c r="C181" s="1">
        <f>Calculations!N179</f>
        <v>700</v>
      </c>
      <c r="D181" s="58">
        <f>IFERROR(Calculations!$Q179,"")</f>
        <v>1.4195422088256477</v>
      </c>
      <c r="E181" s="8">
        <f>IFERROR(Calculations!$S179, "")</f>
        <v>29.456617061742197</v>
      </c>
      <c r="F181" s="89"/>
      <c r="G181" s="89"/>
      <c r="H181" s="89"/>
      <c r="I181" s="89"/>
      <c r="J181" s="1" t="str">
        <f>IFERROR(Calculations!AC179, "")</f>
        <v/>
      </c>
      <c r="K181" s="1" t="str">
        <f>IFERROR(Calculations!AD179, "")</f>
        <v/>
      </c>
      <c r="L181" s="8">
        <f>IFERROR(Calculations!AE179,"")</f>
        <v>-52689.220103081818</v>
      </c>
      <c r="M181" s="8">
        <f>IFERROR(Calculations!AF179,"")</f>
        <v>-76523.396758386341</v>
      </c>
      <c r="N181" s="8" t="str">
        <f>IFERROR(Calculations!AG179,"")</f>
        <v/>
      </c>
      <c r="O181" s="8" t="str">
        <f>IFERROR(Calculations!AH179,"")</f>
        <v/>
      </c>
      <c r="P181" s="8" t="str">
        <f>IFERROR(Calculations!AI179,"")</f>
        <v/>
      </c>
      <c r="Q181" s="8" t="str">
        <f>IFERROR(Calculations!AJ179,"")</f>
        <v/>
      </c>
      <c r="R181" s="8" t="str">
        <f>IFERROR(Calculations!AK179,"")</f>
        <v/>
      </c>
      <c r="S181" s="89"/>
      <c r="T181" s="89"/>
      <c r="U181" s="89"/>
      <c r="V181" s="89"/>
      <c r="W181" s="1" t="str">
        <f>IFERROR(Calculations!AP179, "")</f>
        <v/>
      </c>
      <c r="X181" s="1" t="str">
        <f>IFERROR(Calculations!AQ179, "")</f>
        <v/>
      </c>
      <c r="Y181" s="8" t="str">
        <f>IFERROR(Calculations!AR179,"")</f>
        <v/>
      </c>
      <c r="Z181" s="8">
        <f>IFERROR(Calculations!AS179,"")</f>
        <v>0</v>
      </c>
      <c r="AA181" s="8">
        <f>IFERROR(Calculations!AT179,"")</f>
        <v>-116802.46943960224</v>
      </c>
      <c r="AB181" s="8" t="str">
        <f>IFERROR(Calculations!AU179,"")</f>
        <v/>
      </c>
      <c r="AC181" s="8" t="str">
        <f>IFERROR(Calculations!AV179,"")</f>
        <v/>
      </c>
      <c r="AD181" s="8" t="str">
        <f>IFERROR(Calculations!AW179,"")</f>
        <v/>
      </c>
      <c r="AE181" s="8" t="str">
        <f>IFERROR(Calculations!AX179,"")</f>
        <v/>
      </c>
      <c r="AF181" s="8">
        <f>IFERROR(IF(Calculations!AY179 &lt;&gt; 0, Calculations!AY179, ""),"")</f>
        <v>12410.147421865913</v>
      </c>
      <c r="AG181" s="42">
        <f>IFERROR(IF(Calculations!AZ179 &lt;&gt; 0, Calculations!AZ179, ""),"")</f>
        <v>-2.7888748583274805</v>
      </c>
      <c r="AH181" s="1">
        <f t="shared" si="10"/>
        <v>60</v>
      </c>
      <c r="AI181" s="1">
        <f t="shared" si="11"/>
        <v>700</v>
      </c>
      <c r="AJ181" s="89"/>
      <c r="AK181" s="89"/>
      <c r="AL181" s="89"/>
      <c r="AM181" s="89"/>
      <c r="AN181" s="8" t="str">
        <f>IFERROR(Calculations!BJ179, "")</f>
        <v/>
      </c>
      <c r="AO181" s="8" t="str">
        <f>IFERROR(Calculations!BK179, "")</f>
        <v/>
      </c>
      <c r="AP181" s="8">
        <f>IFERROR(Calculations!BL179, "")</f>
        <v>12.69090829986915</v>
      </c>
      <c r="AQ181" s="8">
        <f>IFERROR(Calculations!BM179, "")</f>
        <v>29.809812025166984</v>
      </c>
      <c r="AR181" s="8" t="str">
        <f>IFERROR(Calculations!BN179, "")</f>
        <v/>
      </c>
      <c r="AS181" s="8" t="str">
        <f>IFERROR(Calculations!BO179, "")</f>
        <v/>
      </c>
      <c r="AT181" s="8" t="str">
        <f>IFERROR(Calculations!BP179, "")</f>
        <v/>
      </c>
      <c r="AU181" s="8" t="str">
        <f>IFERROR(Calculations!BQ179, "")</f>
        <v/>
      </c>
      <c r="AV181" s="8" t="str">
        <f>IFERROR(Calculations!BR179, "")</f>
        <v/>
      </c>
      <c r="AW181" s="89"/>
      <c r="AX181" s="89"/>
      <c r="AY181" s="89"/>
      <c r="AZ181" s="89"/>
      <c r="BA181" s="8" t="str">
        <f>IFERROR(Calculations!BW179, "")</f>
        <v/>
      </c>
      <c r="BB181" s="8" t="str">
        <f>IFERROR(Calculations!BX179, "")</f>
        <v/>
      </c>
      <c r="BC181" s="8" t="str">
        <f>IFERROR(Calculations!BY179, "")</f>
        <v/>
      </c>
      <c r="BD181" s="8">
        <f>IFERROR(Calculations!BZ179, "")</f>
        <v>0</v>
      </c>
      <c r="BE181" s="8">
        <f>IFERROR(Calculations!CA179, "")</f>
        <v>31.465498884260121</v>
      </c>
      <c r="BF181" s="8" t="str">
        <f>IFERROR(Calculations!CB179, "")</f>
        <v/>
      </c>
      <c r="BG181" s="8" t="str">
        <f>IFERROR(Calculations!CC179, "")</f>
        <v/>
      </c>
      <c r="BH181" s="8" t="str">
        <f>IFERROR(Calculations!CD179, "")</f>
        <v/>
      </c>
      <c r="BI181" s="8" t="str">
        <f>IFERROR(Calculations!CE179, "")</f>
        <v/>
      </c>
      <c r="BJ181" s="8">
        <f>IFERROR(IF(Calculations!CF179 &lt;&gt; 0, Calculations!CF179, ""),"")</f>
        <v>-11.035221440776013</v>
      </c>
      <c r="BK181" s="1">
        <f t="shared" si="12"/>
        <v>700</v>
      </c>
      <c r="BL181" s="1">
        <f t="shared" si="13"/>
        <v>60</v>
      </c>
      <c r="CD181" s="8"/>
      <c r="CE181" s="8"/>
      <c r="CF181" s="8"/>
      <c r="CG181" s="8"/>
      <c r="CH181" s="8"/>
      <c r="CI181" s="8"/>
      <c r="CJ181" s="8"/>
      <c r="CK181" s="8"/>
      <c r="CL181" s="8"/>
      <c r="CM181" s="8"/>
      <c r="CN181" s="8"/>
      <c r="CO181" s="8"/>
      <c r="CP181" s="8"/>
      <c r="CQ181" s="8"/>
      <c r="CR181" s="8"/>
      <c r="CS181" s="8"/>
      <c r="CT181" s="8"/>
      <c r="CU181" s="8"/>
      <c r="CV181" s="8"/>
      <c r="CW181" s="8"/>
      <c r="CX181" s="8"/>
      <c r="CY181" s="8"/>
      <c r="CZ181" s="8"/>
      <c r="DA181" s="8"/>
      <c r="DB181" s="8"/>
      <c r="DC181" s="8"/>
      <c r="DD181" s="8"/>
      <c r="DE181" s="8"/>
      <c r="DF181" s="8"/>
      <c r="DG181" s="8"/>
      <c r="DH181" s="8"/>
      <c r="DI181" s="8"/>
      <c r="DJ181" s="8"/>
      <c r="DK181" s="8"/>
      <c r="DL181" s="8"/>
      <c r="DM181" s="8"/>
      <c r="DN181" s="8"/>
      <c r="DO181" s="8"/>
      <c r="DP181" s="8"/>
      <c r="DQ181" s="8"/>
      <c r="DR181" s="8"/>
      <c r="DS181" s="8"/>
      <c r="DT181" s="8"/>
      <c r="DU181" s="8"/>
      <c r="DV181" s="8"/>
      <c r="DW181" s="8"/>
      <c r="DX181" s="8"/>
      <c r="DY181" s="8"/>
      <c r="DZ181" s="8"/>
      <c r="EA181" s="8"/>
    </row>
    <row r="182" spans="2:131" x14ac:dyDescent="0.2">
      <c r="B182" s="1">
        <f>IFERROR(Calculations!M180/1000, "")</f>
        <v>60</v>
      </c>
      <c r="C182" s="1">
        <f>Calculations!N180</f>
        <v>750</v>
      </c>
      <c r="D182" s="58">
        <f>IFERROR(Calculations!$Q180,"")</f>
        <v>1.4072186252838375</v>
      </c>
      <c r="E182" s="8">
        <f>IFERROR(Calculations!$S180, "")</f>
        <v>27.034305424543483</v>
      </c>
      <c r="F182" s="89"/>
      <c r="G182" s="89"/>
      <c r="H182" s="89"/>
      <c r="I182" s="89"/>
      <c r="J182" s="1" t="str">
        <f>IFERROR(Calculations!AC180, "")</f>
        <v/>
      </c>
      <c r="K182" s="1" t="str">
        <f>IFERROR(Calculations!AD180, "")</f>
        <v/>
      </c>
      <c r="L182" s="8">
        <f>IFERROR(Calculations!AE180,"")</f>
        <v>-54123.91918718446</v>
      </c>
      <c r="M182" s="8">
        <f>IFERROR(Calculations!AF180,"")</f>
        <v>-78864.156493339862</v>
      </c>
      <c r="N182" s="8" t="str">
        <f>IFERROR(Calculations!AG180,"")</f>
        <v/>
      </c>
      <c r="O182" s="8" t="str">
        <f>IFERROR(Calculations!AH180,"")</f>
        <v/>
      </c>
      <c r="P182" s="8" t="str">
        <f>IFERROR(Calculations!AI180,"")</f>
        <v/>
      </c>
      <c r="Q182" s="8" t="str">
        <f>IFERROR(Calculations!AJ180,"")</f>
        <v/>
      </c>
      <c r="R182" s="8" t="str">
        <f>IFERROR(Calculations!AK180,"")</f>
        <v/>
      </c>
      <c r="S182" s="89"/>
      <c r="T182" s="89"/>
      <c r="U182" s="89"/>
      <c r="V182" s="89"/>
      <c r="W182" s="1" t="str">
        <f>IFERROR(Calculations!AP180, "")</f>
        <v/>
      </c>
      <c r="X182" s="1" t="str">
        <f>IFERROR(Calculations!AQ180, "")</f>
        <v/>
      </c>
      <c r="Y182" s="8" t="str">
        <f>IFERROR(Calculations!AR180,"")</f>
        <v/>
      </c>
      <c r="Z182" s="8">
        <f>IFERROR(Calculations!AS180,"")</f>
        <v>0</v>
      </c>
      <c r="AA182" s="8">
        <f>IFERROR(Calculations!AT180,"")</f>
        <v>-118556.24305562917</v>
      </c>
      <c r="AB182" s="8" t="str">
        <f>IFERROR(Calculations!AU180,"")</f>
        <v/>
      </c>
      <c r="AC182" s="8" t="str">
        <f>IFERROR(Calculations!AV180,"")</f>
        <v/>
      </c>
      <c r="AD182" s="8" t="str">
        <f>IFERROR(Calculations!AW180,"")</f>
        <v/>
      </c>
      <c r="AE182" s="8" t="str">
        <f>IFERROR(Calculations!AX180,"")</f>
        <v/>
      </c>
      <c r="AF182" s="8">
        <f>IFERROR(IF(Calculations!AY180 &lt;&gt; 0, Calculations!AY180, ""),"")</f>
        <v>14431.832624895149</v>
      </c>
      <c r="AG182" s="42">
        <f>IFERROR(IF(Calculations!AZ180 &lt;&gt; 0, Calculations!AZ180, ""),"")</f>
        <v>-3.0847079192427542</v>
      </c>
      <c r="AH182" s="1">
        <f t="shared" si="10"/>
        <v>60</v>
      </c>
      <c r="AI182" s="1">
        <f t="shared" si="11"/>
        <v>750</v>
      </c>
      <c r="AJ182" s="89"/>
      <c r="AK182" s="89"/>
      <c r="AL182" s="89"/>
      <c r="AM182" s="89"/>
      <c r="AN182" s="8" t="str">
        <f>IFERROR(Calculations!BJ180, "")</f>
        <v/>
      </c>
      <c r="AO182" s="8" t="str">
        <f>IFERROR(Calculations!BK180, "")</f>
        <v/>
      </c>
      <c r="AP182" s="8">
        <f>IFERROR(Calculations!BL180, "")</f>
        <v>12.802047724721026</v>
      </c>
      <c r="AQ182" s="8">
        <f>IFERROR(Calculations!BM180, "")</f>
        <v>29.825205671438436</v>
      </c>
      <c r="AR182" s="8" t="str">
        <f>IFERROR(Calculations!BN180, "")</f>
        <v/>
      </c>
      <c r="AS182" s="8" t="str">
        <f>IFERROR(Calculations!BO180, "")</f>
        <v/>
      </c>
      <c r="AT182" s="8" t="str">
        <f>IFERROR(Calculations!BP180, "")</f>
        <v/>
      </c>
      <c r="AU182" s="8" t="str">
        <f>IFERROR(Calculations!BQ180, "")</f>
        <v/>
      </c>
      <c r="AV182" s="8" t="str">
        <f>IFERROR(Calculations!BR180, "")</f>
        <v/>
      </c>
      <c r="AW182" s="89"/>
      <c r="AX182" s="89"/>
      <c r="AY182" s="89"/>
      <c r="AZ182" s="89"/>
      <c r="BA182" s="8" t="str">
        <f>IFERROR(Calculations!BW180, "")</f>
        <v/>
      </c>
      <c r="BB182" s="8" t="str">
        <f>IFERROR(Calculations!BX180, "")</f>
        <v/>
      </c>
      <c r="BC182" s="8" t="str">
        <f>IFERROR(Calculations!BY180, "")</f>
        <v/>
      </c>
      <c r="BD182" s="8">
        <f>IFERROR(Calculations!BZ180, "")</f>
        <v>0</v>
      </c>
      <c r="BE182" s="8">
        <f>IFERROR(Calculations!CA180, "")</f>
        <v>31.42691926491343</v>
      </c>
      <c r="BF182" s="8" t="str">
        <f>IFERROR(Calculations!CB180, "")</f>
        <v/>
      </c>
      <c r="BG182" s="8" t="str">
        <f>IFERROR(Calculations!CC180, "")</f>
        <v/>
      </c>
      <c r="BH182" s="8" t="str">
        <f>IFERROR(Calculations!CD180, "")</f>
        <v/>
      </c>
      <c r="BI182" s="8" t="str">
        <f>IFERROR(Calculations!CE180, "")</f>
        <v/>
      </c>
      <c r="BJ182" s="8">
        <f>IFERROR(IF(Calculations!CF180 &lt;&gt; 0, Calculations!CF180, ""),"")</f>
        <v>-11.200334131246031</v>
      </c>
      <c r="BK182" s="1">
        <f t="shared" si="12"/>
        <v>750</v>
      </c>
      <c r="BL182" s="1">
        <f t="shared" si="13"/>
        <v>60</v>
      </c>
      <c r="CD182" s="8"/>
      <c r="CE182" s="8"/>
      <c r="CF182" s="8"/>
      <c r="CG182" s="8"/>
      <c r="CH182" s="8"/>
      <c r="CI182" s="8"/>
      <c r="CJ182" s="8"/>
      <c r="CK182" s="8"/>
      <c r="CL182" s="8"/>
      <c r="CM182" s="8"/>
      <c r="CN182" s="8"/>
      <c r="CO182" s="8"/>
      <c r="CP182" s="8"/>
      <c r="CQ182" s="8"/>
      <c r="CR182" s="8"/>
      <c r="CS182" s="8"/>
      <c r="CT182" s="8"/>
      <c r="CU182" s="8"/>
      <c r="CV182" s="8"/>
      <c r="CW182" s="8"/>
      <c r="CX182" s="8"/>
      <c r="CY182" s="8"/>
      <c r="CZ182" s="8"/>
      <c r="DA182" s="8"/>
      <c r="DB182" s="8"/>
      <c r="DC182" s="8"/>
      <c r="DD182" s="8"/>
      <c r="DE182" s="8"/>
      <c r="DF182" s="8"/>
      <c r="DG182" s="8"/>
      <c r="DH182" s="8"/>
      <c r="DI182" s="8"/>
      <c r="DJ182" s="8"/>
      <c r="DK182" s="8"/>
      <c r="DL182" s="8"/>
      <c r="DM182" s="8"/>
      <c r="DN182" s="8"/>
      <c r="DO182" s="8"/>
      <c r="DP182" s="8"/>
      <c r="DQ182" s="8"/>
      <c r="DR182" s="8"/>
      <c r="DS182" s="8"/>
      <c r="DT182" s="8"/>
      <c r="DU182" s="8"/>
      <c r="DV182" s="8"/>
      <c r="DW182" s="8"/>
      <c r="DX182" s="8"/>
      <c r="DY182" s="8"/>
      <c r="DZ182" s="8"/>
      <c r="EA182" s="8"/>
    </row>
    <row r="183" spans="2:131" x14ac:dyDescent="0.2">
      <c r="B183" s="1">
        <f>IFERROR(Calculations!M181/1000, "")</f>
        <v>60</v>
      </c>
      <c r="C183" s="1">
        <f>Calculations!N181</f>
        <v>800</v>
      </c>
      <c r="D183" s="58">
        <f>IFERROR(Calculations!$Q181,"")</f>
        <v>1.3951117782646416</v>
      </c>
      <c r="E183" s="8">
        <f>IFERROR(Calculations!$S181, "")</f>
        <v>24.855551001360578</v>
      </c>
      <c r="F183" s="89"/>
      <c r="G183" s="89"/>
      <c r="H183" s="89"/>
      <c r="I183" s="89"/>
      <c r="J183" s="1" t="str">
        <f>IFERROR(Calculations!AC181, "")</f>
        <v/>
      </c>
      <c r="K183" s="1" t="str">
        <f>IFERROR(Calculations!AD181, "")</f>
        <v/>
      </c>
      <c r="L183" s="8">
        <f>IFERROR(Calculations!AE181,"")</f>
        <v>-55620.455469642169</v>
      </c>
      <c r="M183" s="8">
        <f>IFERROR(Calculations!AF181,"")</f>
        <v>-81241.443042912535</v>
      </c>
      <c r="N183" s="8" t="str">
        <f>IFERROR(Calculations!AG181,"")</f>
        <v/>
      </c>
      <c r="O183" s="8" t="str">
        <f>IFERROR(Calculations!AH181,"")</f>
        <v/>
      </c>
      <c r="P183" s="8" t="str">
        <f>IFERROR(Calculations!AI181,"")</f>
        <v/>
      </c>
      <c r="Q183" s="8" t="str">
        <f>IFERROR(Calculations!AJ181,"")</f>
        <v/>
      </c>
      <c r="R183" s="8" t="str">
        <f>IFERROR(Calculations!AK181,"")</f>
        <v/>
      </c>
      <c r="S183" s="89"/>
      <c r="T183" s="89"/>
      <c r="U183" s="89"/>
      <c r="V183" s="89"/>
      <c r="W183" s="1" t="str">
        <f>IFERROR(Calculations!AP181, "")</f>
        <v/>
      </c>
      <c r="X183" s="1" t="str">
        <f>IFERROR(Calculations!AQ181, "")</f>
        <v/>
      </c>
      <c r="Y183" s="8" t="str">
        <f>IFERROR(Calculations!AR181,"")</f>
        <v/>
      </c>
      <c r="Z183" s="8">
        <f>IFERROR(Calculations!AS181,"")</f>
        <v>0</v>
      </c>
      <c r="AA183" s="8">
        <f>IFERROR(Calculations!AT181,"")</f>
        <v>-120311.74981540069</v>
      </c>
      <c r="AB183" s="8" t="str">
        <f>IFERROR(Calculations!AU181,"")</f>
        <v/>
      </c>
      <c r="AC183" s="8" t="str">
        <f>IFERROR(Calculations!AV181,"")</f>
        <v/>
      </c>
      <c r="AD183" s="8" t="str">
        <f>IFERROR(Calculations!AW181,"")</f>
        <v/>
      </c>
      <c r="AE183" s="8" t="str">
        <f>IFERROR(Calculations!AX181,"")</f>
        <v/>
      </c>
      <c r="AF183" s="8">
        <f>IFERROR(IF(Calculations!AY181 &lt;&gt; 0, Calculations!AY181, ""),"")</f>
        <v>16550.148697154014</v>
      </c>
      <c r="AG183" s="42">
        <f>IFERROR(IF(Calculations!AZ181 &lt;&gt; 0, Calculations!AZ181, ""),"")</f>
        <v>-3.3726660718919121</v>
      </c>
      <c r="AH183" s="1">
        <f t="shared" si="10"/>
        <v>60</v>
      </c>
      <c r="AI183" s="1">
        <f t="shared" si="11"/>
        <v>800</v>
      </c>
      <c r="AJ183" s="89"/>
      <c r="AK183" s="89"/>
      <c r="AL183" s="89"/>
      <c r="AM183" s="89"/>
      <c r="AN183" s="8" t="str">
        <f>IFERROR(Calculations!BJ181, "")</f>
        <v/>
      </c>
      <c r="AO183" s="8" t="str">
        <f>IFERROR(Calculations!BK181, "")</f>
        <v/>
      </c>
      <c r="AP183" s="8">
        <f>IFERROR(Calculations!BL181, "")</f>
        <v>12.913144509760311</v>
      </c>
      <c r="AQ183" s="8">
        <f>IFERROR(Calculations!BM181, "")</f>
        <v>29.841772539750757</v>
      </c>
      <c r="AR183" s="8" t="str">
        <f>IFERROR(Calculations!BN181, "")</f>
        <v/>
      </c>
      <c r="AS183" s="8" t="str">
        <f>IFERROR(Calculations!BO181, "")</f>
        <v/>
      </c>
      <c r="AT183" s="8" t="str">
        <f>IFERROR(Calculations!BP181, "")</f>
        <v/>
      </c>
      <c r="AU183" s="8" t="str">
        <f>IFERROR(Calculations!BQ181, "")</f>
        <v/>
      </c>
      <c r="AV183" s="8" t="str">
        <f>IFERROR(Calculations!BR181, "")</f>
        <v/>
      </c>
      <c r="AW183" s="89"/>
      <c r="AX183" s="89"/>
      <c r="AY183" s="89"/>
      <c r="AZ183" s="89"/>
      <c r="BA183" s="8" t="str">
        <f>IFERROR(Calculations!BW181, "")</f>
        <v/>
      </c>
      <c r="BB183" s="8" t="str">
        <f>IFERROR(Calculations!BX181, "")</f>
        <v/>
      </c>
      <c r="BC183" s="8" t="str">
        <f>IFERROR(Calculations!BY181, "")</f>
        <v/>
      </c>
      <c r="BD183" s="8">
        <f>IFERROR(Calculations!BZ181, "")</f>
        <v>0</v>
      </c>
      <c r="BE183" s="8">
        <f>IFERROR(Calculations!CA181, "")</f>
        <v>31.388138139511035</v>
      </c>
      <c r="BF183" s="8" t="str">
        <f>IFERROR(Calculations!CB181, "")</f>
        <v/>
      </c>
      <c r="BG183" s="8" t="str">
        <f>IFERROR(Calculations!CC181, "")</f>
        <v/>
      </c>
      <c r="BH183" s="8" t="str">
        <f>IFERROR(Calculations!CD181, "")</f>
        <v/>
      </c>
      <c r="BI183" s="8" t="str">
        <f>IFERROR(Calculations!CE181, "")</f>
        <v/>
      </c>
      <c r="BJ183" s="8">
        <f>IFERROR(IF(Calculations!CF181 &lt;&gt; 0, Calculations!CF181, ""),"")</f>
        <v>-11.366778910000029</v>
      </c>
      <c r="BK183" s="1">
        <f t="shared" si="12"/>
        <v>800</v>
      </c>
      <c r="BL183" s="1">
        <f t="shared" si="13"/>
        <v>60</v>
      </c>
      <c r="CD183" s="8"/>
      <c r="CE183" s="8"/>
      <c r="CF183" s="8"/>
      <c r="CG183" s="8"/>
      <c r="CH183" s="8"/>
      <c r="CI183" s="8"/>
      <c r="CJ183" s="8"/>
      <c r="CK183" s="8"/>
      <c r="CL183" s="8"/>
      <c r="CM183" s="8"/>
      <c r="CN183" s="8"/>
      <c r="CO183" s="8"/>
      <c r="CP183" s="8"/>
      <c r="CQ183" s="8"/>
      <c r="CR183" s="8"/>
      <c r="CS183" s="8"/>
      <c r="CT183" s="8"/>
      <c r="CU183" s="8"/>
      <c r="CV183" s="8"/>
      <c r="CW183" s="8"/>
      <c r="CX183" s="8"/>
      <c r="CY183" s="8"/>
      <c r="CZ183" s="8"/>
      <c r="DA183" s="8"/>
      <c r="DB183" s="8"/>
      <c r="DC183" s="8"/>
      <c r="DD183" s="8"/>
      <c r="DE183" s="8"/>
      <c r="DF183" s="8"/>
      <c r="DG183" s="8"/>
      <c r="DH183" s="8"/>
      <c r="DI183" s="8"/>
      <c r="DJ183" s="8"/>
      <c r="DK183" s="8"/>
      <c r="DL183" s="8"/>
      <c r="DM183" s="8"/>
      <c r="DN183" s="8"/>
      <c r="DO183" s="8"/>
      <c r="DP183" s="8"/>
      <c r="DQ183" s="8"/>
      <c r="DR183" s="8"/>
      <c r="DS183" s="8"/>
      <c r="DT183" s="8"/>
      <c r="DU183" s="8"/>
      <c r="DV183" s="8"/>
      <c r="DW183" s="8"/>
      <c r="DX183" s="8"/>
      <c r="DY183" s="8"/>
      <c r="DZ183" s="8"/>
      <c r="EA183" s="8"/>
    </row>
    <row r="184" spans="2:131" x14ac:dyDescent="0.2">
      <c r="B184" s="1">
        <f>IFERROR(Calculations!M182/1000, "")</f>
        <v>60</v>
      </c>
      <c r="C184" s="1">
        <f>Calculations!N182</f>
        <v>850</v>
      </c>
      <c r="D184" s="58">
        <f>IFERROR(Calculations!$Q182,"")</f>
        <v>1.3832257655709985</v>
      </c>
      <c r="E184" s="8">
        <f>IFERROR(Calculations!$S182, "")</f>
        <v>22.891560073421086</v>
      </c>
      <c r="F184" s="89"/>
      <c r="G184" s="89"/>
      <c r="H184" s="89"/>
      <c r="I184" s="89"/>
      <c r="J184" s="1" t="str">
        <f>IFERROR(Calculations!AC182, "")</f>
        <v/>
      </c>
      <c r="K184" s="1" t="str">
        <f>IFERROR(Calculations!AD182, "")</f>
        <v/>
      </c>
      <c r="L184" s="8">
        <f>IFERROR(Calculations!AE182,"")</f>
        <v>-57128.139221827652</v>
      </c>
      <c r="M184" s="8">
        <f>IFERROR(Calculations!AF182,"")</f>
        <v>-83655.095295031293</v>
      </c>
      <c r="N184" s="8" t="str">
        <f>IFERROR(Calculations!AG182,"")</f>
        <v/>
      </c>
      <c r="O184" s="8" t="str">
        <f>IFERROR(Calculations!AH182,"")</f>
        <v/>
      </c>
      <c r="P184" s="8" t="str">
        <f>IFERROR(Calculations!AI182,"")</f>
        <v/>
      </c>
      <c r="Q184" s="8" t="str">
        <f>IFERROR(Calculations!AJ182,"")</f>
        <v/>
      </c>
      <c r="R184" s="8" t="str">
        <f>IFERROR(Calculations!AK182,"")</f>
        <v/>
      </c>
      <c r="S184" s="89"/>
      <c r="T184" s="89"/>
      <c r="U184" s="89"/>
      <c r="V184" s="89"/>
      <c r="W184" s="1" t="str">
        <f>IFERROR(Calculations!AP182, "")</f>
        <v/>
      </c>
      <c r="X184" s="1" t="str">
        <f>IFERROR(Calculations!AQ182, "")</f>
        <v/>
      </c>
      <c r="Y184" s="8" t="str">
        <f>IFERROR(Calculations!AR182,"")</f>
        <v/>
      </c>
      <c r="Z184" s="8">
        <f>IFERROR(Calculations!AS182,"")</f>
        <v>0</v>
      </c>
      <c r="AA184" s="8">
        <f>IFERROR(Calculations!AT182,"")</f>
        <v>-122066.55840488953</v>
      </c>
      <c r="AB184" s="8" t="str">
        <f>IFERROR(Calculations!AU182,"")</f>
        <v/>
      </c>
      <c r="AC184" s="8" t="str">
        <f>IFERROR(Calculations!AV182,"")</f>
        <v/>
      </c>
      <c r="AD184" s="8" t="str">
        <f>IFERROR(Calculations!AW182,"")</f>
        <v/>
      </c>
      <c r="AE184" s="8" t="str">
        <f>IFERROR(Calculations!AX182,"")</f>
        <v/>
      </c>
      <c r="AF184" s="8">
        <f>IFERROR(IF(Calculations!AY182 &lt;&gt; 0, Calculations!AY182, ""),"")</f>
        <v>18716.676111969413</v>
      </c>
      <c r="AG184" s="42">
        <f>IFERROR(IF(Calculations!AZ182 &lt;&gt; 0, Calculations!AZ182, ""),"")</f>
        <v>-3.6443731403859343</v>
      </c>
      <c r="AH184" s="1">
        <f t="shared" si="10"/>
        <v>60</v>
      </c>
      <c r="AI184" s="1">
        <f t="shared" si="11"/>
        <v>850</v>
      </c>
      <c r="AJ184" s="89"/>
      <c r="AK184" s="89"/>
      <c r="AL184" s="89"/>
      <c r="AM184" s="89"/>
      <c r="AN184" s="8" t="str">
        <f>IFERROR(Calculations!BJ182, "")</f>
        <v/>
      </c>
      <c r="AO184" s="8" t="str">
        <f>IFERROR(Calculations!BK182, "")</f>
        <v/>
      </c>
      <c r="AP184" s="8">
        <f>IFERROR(Calculations!BL182, "")</f>
        <v>13.024106728205178</v>
      </c>
      <c r="AQ184" s="8">
        <f>IFERROR(Calculations!BM182, "")</f>
        <v>29.859271443276569</v>
      </c>
      <c r="AR184" s="8" t="str">
        <f>IFERROR(Calculations!BN182, "")</f>
        <v/>
      </c>
      <c r="AS184" s="8" t="str">
        <f>IFERROR(Calculations!BO182, "")</f>
        <v/>
      </c>
      <c r="AT184" s="8" t="str">
        <f>IFERROR(Calculations!BP182, "")</f>
        <v/>
      </c>
      <c r="AU184" s="8" t="str">
        <f>IFERROR(Calculations!BQ182, "")</f>
        <v/>
      </c>
      <c r="AV184" s="8" t="str">
        <f>IFERROR(Calculations!BR182, "")</f>
        <v/>
      </c>
      <c r="AW184" s="89"/>
      <c r="AX184" s="89"/>
      <c r="AY184" s="89"/>
      <c r="AZ184" s="89"/>
      <c r="BA184" s="8" t="str">
        <f>IFERROR(Calculations!BW182, "")</f>
        <v/>
      </c>
      <c r="BB184" s="8" t="str">
        <f>IFERROR(Calculations!BX182, "")</f>
        <v/>
      </c>
      <c r="BC184" s="8" t="str">
        <f>IFERROR(Calculations!BY182, "")</f>
        <v/>
      </c>
      <c r="BD184" s="8">
        <f>IFERROR(Calculations!BZ182, "")</f>
        <v>0</v>
      </c>
      <c r="BE184" s="8">
        <f>IFERROR(Calculations!CA182, "")</f>
        <v>31.349260245528665</v>
      </c>
      <c r="BF184" s="8" t="str">
        <f>IFERROR(Calculations!CB182, "")</f>
        <v/>
      </c>
      <c r="BG184" s="8" t="str">
        <f>IFERROR(Calculations!CC182, "")</f>
        <v/>
      </c>
      <c r="BH184" s="8" t="str">
        <f>IFERROR(Calculations!CD182, "")</f>
        <v/>
      </c>
      <c r="BI184" s="8" t="str">
        <f>IFERROR(Calculations!CE182, "")</f>
        <v/>
      </c>
      <c r="BJ184" s="8">
        <f>IFERROR(IF(Calculations!CF182 &lt;&gt; 0, Calculations!CF182, ""),"")</f>
        <v>-11.53411792595308</v>
      </c>
      <c r="BK184" s="1">
        <f t="shared" si="12"/>
        <v>850</v>
      </c>
      <c r="BL184" s="1">
        <f t="shared" si="13"/>
        <v>60</v>
      </c>
      <c r="CD184" s="8"/>
      <c r="CE184" s="8"/>
      <c r="CF184" s="8"/>
      <c r="CG184" s="8"/>
      <c r="CH184" s="8"/>
      <c r="CI184" s="8"/>
      <c r="CJ184" s="8"/>
      <c r="CK184" s="8"/>
      <c r="CL184" s="8"/>
      <c r="CM184" s="8"/>
      <c r="CN184" s="8"/>
      <c r="CO184" s="8"/>
      <c r="CP184" s="8"/>
      <c r="CQ184" s="8"/>
      <c r="CR184" s="8"/>
      <c r="CS184" s="8"/>
      <c r="CT184" s="8"/>
      <c r="CU184" s="8"/>
      <c r="CV184" s="8"/>
      <c r="CW184" s="8"/>
      <c r="CX184" s="8"/>
      <c r="CY184" s="8"/>
      <c r="CZ184" s="8"/>
      <c r="DA184" s="8"/>
      <c r="DB184" s="8"/>
      <c r="DC184" s="8"/>
      <c r="DD184" s="8"/>
      <c r="DE184" s="8"/>
      <c r="DF184" s="8"/>
      <c r="DG184" s="8"/>
      <c r="DH184" s="8"/>
      <c r="DI184" s="8"/>
      <c r="DJ184" s="8"/>
      <c r="DK184" s="8"/>
      <c r="DL184" s="8"/>
      <c r="DM184" s="8"/>
      <c r="DN184" s="8"/>
      <c r="DO184" s="8"/>
      <c r="DP184" s="8"/>
      <c r="DQ184" s="8"/>
      <c r="DR184" s="8"/>
      <c r="DS184" s="8"/>
      <c r="DT184" s="8"/>
      <c r="DU184" s="8"/>
      <c r="DV184" s="8"/>
      <c r="DW184" s="8"/>
      <c r="DX184" s="8"/>
      <c r="DY184" s="8"/>
      <c r="DZ184" s="8"/>
      <c r="EA184" s="8"/>
    </row>
    <row r="185" spans="2:131" x14ac:dyDescent="0.2">
      <c r="B185" s="1">
        <f>IFERROR(Calculations!M183/1000, "")</f>
        <v>60</v>
      </c>
      <c r="C185" s="1">
        <f>Calculations!N183</f>
        <v>900</v>
      </c>
      <c r="D185" s="58">
        <f>IFERROR(Calculations!$Q183,"")</f>
        <v>1.3715643869838119</v>
      </c>
      <c r="E185" s="8">
        <f>IFERROR(Calculations!$S183, "")</f>
        <v>21.117575576219771</v>
      </c>
      <c r="F185" s="89"/>
      <c r="G185" s="89"/>
      <c r="H185" s="89"/>
      <c r="I185" s="89"/>
      <c r="J185" s="1" t="str">
        <f>IFERROR(Calculations!AC183, "")</f>
        <v/>
      </c>
      <c r="K185" s="1" t="str">
        <f>IFERROR(Calculations!AD183, "")</f>
        <v/>
      </c>
      <c r="L185" s="8">
        <f>IFERROR(Calculations!AE183,"")</f>
        <v>-58704.442054446408</v>
      </c>
      <c r="M185" s="8">
        <f>IFERROR(Calculations!AF183,"")</f>
        <v>-86105.002506635414</v>
      </c>
      <c r="N185" s="8" t="str">
        <f>IFERROR(Calculations!AG183,"")</f>
        <v/>
      </c>
      <c r="O185" s="8" t="str">
        <f>IFERROR(Calculations!AH183,"")</f>
        <v/>
      </c>
      <c r="P185" s="8" t="str">
        <f>IFERROR(Calculations!AI183,"")</f>
        <v/>
      </c>
      <c r="Q185" s="8" t="str">
        <f>IFERROR(Calculations!AJ183,"")</f>
        <v/>
      </c>
      <c r="R185" s="8" t="str">
        <f>IFERROR(Calculations!AK183,"")</f>
        <v/>
      </c>
      <c r="S185" s="89"/>
      <c r="T185" s="89"/>
      <c r="U185" s="89"/>
      <c r="V185" s="89"/>
      <c r="W185" s="1" t="str">
        <f>IFERROR(Calculations!AP183, "")</f>
        <v/>
      </c>
      <c r="X185" s="1" t="str">
        <f>IFERROR(Calculations!AQ183, "")</f>
        <v/>
      </c>
      <c r="Y185" s="8" t="str">
        <f>IFERROR(Calculations!AR183,"")</f>
        <v/>
      </c>
      <c r="Z185" s="8">
        <f>IFERROR(Calculations!AS183,"")</f>
        <v>0</v>
      </c>
      <c r="AA185" s="8">
        <f>IFERROR(Calculations!AT183,"")</f>
        <v>-123818.37946582389</v>
      </c>
      <c r="AB185" s="8" t="str">
        <f>IFERROR(Calculations!AU183,"")</f>
        <v/>
      </c>
      <c r="AC185" s="8" t="str">
        <f>IFERROR(Calculations!AV183,"")</f>
        <v/>
      </c>
      <c r="AD185" s="8" t="str">
        <f>IFERROR(Calculations!AW183,"")</f>
        <v/>
      </c>
      <c r="AE185" s="8" t="str">
        <f>IFERROR(Calculations!AX183,"")</f>
        <v/>
      </c>
      <c r="AF185" s="8">
        <f>IFERROR(IF(Calculations!AY183 &lt;&gt; 0, Calculations!AY183, ""),"")</f>
        <v>20991.065095257931</v>
      </c>
      <c r="AG185" s="42">
        <f>IFERROR(IF(Calculations!AZ183 &lt;&gt; 0, Calculations!AZ183, ""),"")</f>
        <v>-3.9130266349389857</v>
      </c>
      <c r="AH185" s="1">
        <f t="shared" si="10"/>
        <v>60</v>
      </c>
      <c r="AI185" s="1">
        <f t="shared" si="11"/>
        <v>900</v>
      </c>
      <c r="AJ185" s="89"/>
      <c r="AK185" s="89"/>
      <c r="AL185" s="89"/>
      <c r="AM185" s="89"/>
      <c r="AN185" s="8" t="str">
        <f>IFERROR(Calculations!BJ183, "")</f>
        <v/>
      </c>
      <c r="AO185" s="8" t="str">
        <f>IFERROR(Calculations!BK183, "")</f>
        <v/>
      </c>
      <c r="AP185" s="8">
        <f>IFERROR(Calculations!BL183, "")</f>
        <v>13.134840894795433</v>
      </c>
      <c r="AQ185" s="8">
        <f>IFERROR(Calculations!BM183, "")</f>
        <v>29.87749044172628</v>
      </c>
      <c r="AR185" s="8" t="str">
        <f>IFERROR(Calculations!BN183, "")</f>
        <v/>
      </c>
      <c r="AS185" s="8" t="str">
        <f>IFERROR(Calculations!BO183, "")</f>
        <v/>
      </c>
      <c r="AT185" s="8" t="str">
        <f>IFERROR(Calculations!BP183, "")</f>
        <v/>
      </c>
      <c r="AU185" s="8" t="str">
        <f>IFERROR(Calculations!BQ183, "")</f>
        <v/>
      </c>
      <c r="AV185" s="8" t="str">
        <f>IFERROR(Calculations!BR183, "")</f>
        <v/>
      </c>
      <c r="AW185" s="89"/>
      <c r="AX185" s="89"/>
      <c r="AY185" s="89"/>
      <c r="AZ185" s="89"/>
      <c r="BA185" s="8" t="str">
        <f>IFERROR(Calculations!BW183, "")</f>
        <v/>
      </c>
      <c r="BB185" s="8" t="str">
        <f>IFERROR(Calculations!BX183, "")</f>
        <v/>
      </c>
      <c r="BC185" s="8" t="str">
        <f>IFERROR(Calculations!BY183, "")</f>
        <v/>
      </c>
      <c r="BD185" s="8">
        <f>IFERROR(Calculations!BZ183, "")</f>
        <v>0</v>
      </c>
      <c r="BE185" s="8">
        <f>IFERROR(Calculations!CA183, "")</f>
        <v>31.310402839113312</v>
      </c>
      <c r="BF185" s="8" t="str">
        <f>IFERROR(Calculations!CB183, "")</f>
        <v/>
      </c>
      <c r="BG185" s="8" t="str">
        <f>IFERROR(Calculations!CC183, "")</f>
        <v/>
      </c>
      <c r="BH185" s="8" t="str">
        <f>IFERROR(Calculations!CD183, "")</f>
        <v/>
      </c>
      <c r="BI185" s="8" t="str">
        <f>IFERROR(Calculations!CE183, "")</f>
        <v/>
      </c>
      <c r="BJ185" s="8">
        <f>IFERROR(IF(Calculations!CF183 &lt;&gt; 0, Calculations!CF183, ""),"")</f>
        <v>-11.701928497408399</v>
      </c>
      <c r="BK185" s="1">
        <f t="shared" si="12"/>
        <v>900</v>
      </c>
      <c r="BL185" s="1">
        <f t="shared" si="13"/>
        <v>60</v>
      </c>
      <c r="CD185" s="8"/>
      <c r="CE185" s="8"/>
      <c r="CF185" s="8"/>
      <c r="CG185" s="8"/>
      <c r="CH185" s="8"/>
      <c r="CI185" s="8"/>
      <c r="CJ185" s="8"/>
      <c r="CK185" s="8"/>
      <c r="CL185" s="8"/>
      <c r="CM185" s="8"/>
      <c r="CN185" s="8"/>
      <c r="CO185" s="8"/>
      <c r="CP185" s="8"/>
      <c r="CQ185" s="8"/>
      <c r="CR185" s="8"/>
      <c r="CS185" s="8"/>
      <c r="CT185" s="8"/>
      <c r="CU185" s="8"/>
      <c r="CV185" s="8"/>
      <c r="CW185" s="8"/>
      <c r="CX185" s="8"/>
      <c r="CY185" s="8"/>
      <c r="CZ185" s="8"/>
      <c r="DA185" s="8"/>
      <c r="DB185" s="8"/>
      <c r="DC185" s="8"/>
      <c r="DD185" s="8"/>
      <c r="DE185" s="8"/>
      <c r="DF185" s="8"/>
      <c r="DG185" s="8"/>
      <c r="DH185" s="8"/>
      <c r="DI185" s="8"/>
      <c r="DJ185" s="8"/>
      <c r="DK185" s="8"/>
      <c r="DL185" s="8"/>
      <c r="DM185" s="8"/>
      <c r="DN185" s="8"/>
      <c r="DO185" s="8"/>
      <c r="DP185" s="8"/>
      <c r="DQ185" s="8"/>
      <c r="DR185" s="8"/>
      <c r="DS185" s="8"/>
      <c r="DT185" s="8"/>
      <c r="DU185" s="8"/>
      <c r="DV185" s="8"/>
      <c r="DW185" s="8"/>
      <c r="DX185" s="8"/>
      <c r="DY185" s="8"/>
      <c r="DZ185" s="8"/>
      <c r="EA185" s="8"/>
    </row>
    <row r="186" spans="2:131" x14ac:dyDescent="0.2">
      <c r="B186" s="1">
        <f>IFERROR(Calculations!M184/1000, "")</f>
        <v>60</v>
      </c>
      <c r="C186" s="1">
        <f>Calculations!N184</f>
        <v>950</v>
      </c>
      <c r="D186" s="58">
        <f>IFERROR(Calculations!$Q184,"")</f>
        <v>1.3601312932729719</v>
      </c>
      <c r="E186" s="8">
        <f>IFERROR(Calculations!$S184, "")</f>
        <v>19.512192924824511</v>
      </c>
      <c r="F186" s="89"/>
      <c r="G186" s="89"/>
      <c r="H186" s="89"/>
      <c r="I186" s="89"/>
      <c r="J186" s="1" t="str">
        <f>IFERROR(Calculations!AC184, "")</f>
        <v/>
      </c>
      <c r="K186" s="1" t="str">
        <f>IFERROR(Calculations!AD184, "")</f>
        <v/>
      </c>
      <c r="L186" s="8">
        <f>IFERROR(Calculations!AE184,"")</f>
        <v>-60280.155703448923</v>
      </c>
      <c r="M186" s="8">
        <f>IFERROR(Calculations!AF184,"")</f>
        <v>-88591.097906451323</v>
      </c>
      <c r="N186" s="8" t="str">
        <f>IFERROR(Calculations!AG184,"")</f>
        <v/>
      </c>
      <c r="O186" s="8" t="str">
        <f>IFERROR(Calculations!AH184,"")</f>
        <v/>
      </c>
      <c r="P186" s="8" t="str">
        <f>IFERROR(Calculations!AI184,"")</f>
        <v/>
      </c>
      <c r="Q186" s="8" t="str">
        <f>IFERROR(Calculations!AJ184,"")</f>
        <v/>
      </c>
      <c r="R186" s="8" t="str">
        <f>IFERROR(Calculations!AK184,"")</f>
        <v/>
      </c>
      <c r="S186" s="89"/>
      <c r="T186" s="89"/>
      <c r="U186" s="89"/>
      <c r="V186" s="89"/>
      <c r="W186" s="1" t="str">
        <f>IFERROR(Calculations!AP184, "")</f>
        <v/>
      </c>
      <c r="X186" s="1" t="str">
        <f>IFERROR(Calculations!AQ184, "")</f>
        <v/>
      </c>
      <c r="Y186" s="8" t="str">
        <f>IFERROR(Calculations!AR184,"")</f>
        <v/>
      </c>
      <c r="Z186" s="8">
        <f>IFERROR(Calculations!AS184,"")</f>
        <v>0</v>
      </c>
      <c r="AA186" s="8">
        <f>IFERROR(Calculations!AT184,"")</f>
        <v>-125565.05101764126</v>
      </c>
      <c r="AB186" s="8" t="str">
        <f>IFERROR(Calculations!AU184,"")</f>
        <v/>
      </c>
      <c r="AC186" s="8" t="str">
        <f>IFERROR(Calculations!AV184,"")</f>
        <v/>
      </c>
      <c r="AD186" s="8" t="str">
        <f>IFERROR(Calculations!AW184,"")</f>
        <v/>
      </c>
      <c r="AE186" s="8" t="str">
        <f>IFERROR(Calculations!AX184,"")</f>
        <v/>
      </c>
      <c r="AF186" s="8">
        <f>IFERROR(IF(Calculations!AY184 &lt;&gt; 0, Calculations!AY184, ""),"")</f>
        <v>23306.202592258982</v>
      </c>
      <c r="AG186" s="42">
        <f>IFERROR(IF(Calculations!AZ184 &lt;&gt; 0, Calculations!AZ184, ""),"")</f>
        <v>-4.1670016383166288</v>
      </c>
      <c r="AH186" s="1">
        <f t="shared" si="10"/>
        <v>60</v>
      </c>
      <c r="AI186" s="1">
        <f t="shared" si="11"/>
        <v>950</v>
      </c>
      <c r="AJ186" s="89"/>
      <c r="AK186" s="89"/>
      <c r="AL186" s="89"/>
      <c r="AM186" s="89"/>
      <c r="AN186" s="8" t="str">
        <f>IFERROR(Calculations!BJ184, "")</f>
        <v/>
      </c>
      <c r="AO186" s="8" t="str">
        <f>IFERROR(Calculations!BK184, "")</f>
        <v/>
      </c>
      <c r="AP186" s="8">
        <f>IFERROR(Calculations!BL184, "")</f>
        <v>13.245250726235897</v>
      </c>
      <c r="AQ186" s="8">
        <f>IFERROR(Calculations!BM184, "")</f>
        <v>29.896235677295667</v>
      </c>
      <c r="AR186" s="8" t="str">
        <f>IFERROR(Calculations!BN184, "")</f>
        <v/>
      </c>
      <c r="AS186" s="8" t="str">
        <f>IFERROR(Calculations!BO184, "")</f>
        <v/>
      </c>
      <c r="AT186" s="8" t="str">
        <f>IFERROR(Calculations!BP184, "")</f>
        <v/>
      </c>
      <c r="AU186" s="8" t="str">
        <f>IFERROR(Calculations!BQ184, "")</f>
        <v/>
      </c>
      <c r="AV186" s="8" t="str">
        <f>IFERROR(Calculations!BR184, "")</f>
        <v/>
      </c>
      <c r="AW186" s="89"/>
      <c r="AX186" s="89"/>
      <c r="AY186" s="89"/>
      <c r="AZ186" s="89"/>
      <c r="BA186" s="8" t="str">
        <f>IFERROR(Calculations!BW184, "")</f>
        <v/>
      </c>
      <c r="BB186" s="8" t="str">
        <f>IFERROR(Calculations!BX184, "")</f>
        <v/>
      </c>
      <c r="BC186" s="8" t="str">
        <f>IFERROR(Calculations!BY184, "")</f>
        <v/>
      </c>
      <c r="BD186" s="8">
        <f>IFERROR(Calculations!BZ184, "")</f>
        <v>0</v>
      </c>
      <c r="BE186" s="8">
        <f>IFERROR(Calculations!CA184, "")</f>
        <v>31.271698625051005</v>
      </c>
      <c r="BF186" s="8" t="str">
        <f>IFERROR(Calculations!CB184, "")</f>
        <v/>
      </c>
      <c r="BG186" s="8" t="str">
        <f>IFERROR(Calculations!CC184, "")</f>
        <v/>
      </c>
      <c r="BH186" s="8" t="str">
        <f>IFERROR(Calculations!CD184, "")</f>
        <v/>
      </c>
      <c r="BI186" s="8" t="str">
        <f>IFERROR(Calculations!CE184, "")</f>
        <v/>
      </c>
      <c r="BJ186" s="8">
        <f>IFERROR(IF(Calculations!CF184 &lt;&gt; 0, Calculations!CF184, ""),"")</f>
        <v>-11.869787778480561</v>
      </c>
      <c r="BK186" s="1">
        <f t="shared" si="12"/>
        <v>950</v>
      </c>
      <c r="BL186" s="1">
        <f t="shared" si="13"/>
        <v>60</v>
      </c>
      <c r="CD186" s="8"/>
      <c r="CE186" s="8"/>
      <c r="CF186" s="8"/>
      <c r="CG186" s="8"/>
      <c r="CH186" s="8"/>
      <c r="CI186" s="8"/>
      <c r="CJ186" s="8"/>
      <c r="CK186" s="8"/>
      <c r="CL186" s="8"/>
      <c r="CM186" s="8"/>
      <c r="CN186" s="8"/>
      <c r="CO186" s="8"/>
      <c r="CP186" s="8"/>
      <c r="CQ186" s="8"/>
      <c r="CR186" s="8"/>
      <c r="CS186" s="8"/>
      <c r="CT186" s="8"/>
      <c r="CU186" s="8"/>
      <c r="CV186" s="8"/>
      <c r="CW186" s="8"/>
      <c r="CX186" s="8"/>
      <c r="CY186" s="8"/>
      <c r="CZ186" s="8"/>
      <c r="DA186" s="8"/>
      <c r="DB186" s="8"/>
      <c r="DC186" s="8"/>
      <c r="DD186" s="8"/>
      <c r="DE186" s="8"/>
      <c r="DF186" s="8"/>
      <c r="DG186" s="8"/>
      <c r="DH186" s="8"/>
      <c r="DI186" s="8"/>
      <c r="DJ186" s="8"/>
      <c r="DK186" s="8"/>
      <c r="DL186" s="8"/>
      <c r="DM186" s="8"/>
      <c r="DN186" s="8"/>
      <c r="DO186" s="8"/>
      <c r="DP186" s="8"/>
      <c r="DQ186" s="8"/>
      <c r="DR186" s="8"/>
      <c r="DS186" s="8"/>
      <c r="DT186" s="8"/>
      <c r="DU186" s="8"/>
      <c r="DV186" s="8"/>
      <c r="DW186" s="8"/>
      <c r="DX186" s="8"/>
      <c r="DY186" s="8"/>
      <c r="DZ186" s="8"/>
      <c r="EA186" s="8"/>
    </row>
    <row r="187" spans="2:131" x14ac:dyDescent="0.2">
      <c r="B187" s="1">
        <f>IFERROR(Calculations!M185/1000, "")</f>
        <v>60</v>
      </c>
      <c r="C187" s="1">
        <f>Calculations!N185</f>
        <v>1000</v>
      </c>
      <c r="D187" s="58">
        <f>IFERROR(Calculations!$Q185,"")</f>
        <v>1.3489287196037174</v>
      </c>
      <c r="E187" s="8">
        <f>IFERROR(Calculations!$S185, "")</f>
        <v>18.056792477661176</v>
      </c>
      <c r="F187" s="89"/>
      <c r="G187" s="89"/>
      <c r="H187" s="89"/>
      <c r="I187" s="89"/>
      <c r="J187" s="1" t="str">
        <f>IFERROR(Calculations!AC185, "")</f>
        <v/>
      </c>
      <c r="K187" s="1" t="str">
        <f>IFERROR(Calculations!AD185, "")</f>
        <v/>
      </c>
      <c r="L187" s="8">
        <f>IFERROR(Calculations!AE185,"")</f>
        <v>-61898.16151583106</v>
      </c>
      <c r="M187" s="8">
        <f>IFERROR(Calculations!AF185,"")</f>
        <v>-91113.357928209065</v>
      </c>
      <c r="N187" s="8" t="str">
        <f>IFERROR(Calculations!AG185,"")</f>
        <v/>
      </c>
      <c r="O187" s="8" t="str">
        <f>IFERROR(Calculations!AH185,"")</f>
        <v/>
      </c>
      <c r="P187" s="8" t="str">
        <f>IFERROR(Calculations!AI185,"")</f>
        <v/>
      </c>
      <c r="Q187" s="8" t="str">
        <f>IFERROR(Calculations!AJ185,"")</f>
        <v/>
      </c>
      <c r="R187" s="8" t="str">
        <f>IFERROR(Calculations!AK185,"")</f>
        <v/>
      </c>
      <c r="S187" s="89"/>
      <c r="T187" s="89"/>
      <c r="U187" s="89"/>
      <c r="V187" s="89"/>
      <c r="W187" s="1" t="str">
        <f>IFERROR(Calculations!AP185, "")</f>
        <v/>
      </c>
      <c r="X187" s="1" t="str">
        <f>IFERROR(Calculations!AQ185, "")</f>
        <v/>
      </c>
      <c r="Y187" s="8" t="str">
        <f>IFERROR(Calculations!AR185,"")</f>
        <v/>
      </c>
      <c r="Z187" s="8">
        <f>IFERROR(Calculations!AS185,"")</f>
        <v>0</v>
      </c>
      <c r="AA187" s="8">
        <f>IFERROR(Calculations!AT185,"")</f>
        <v>-127304.51805460363</v>
      </c>
      <c r="AB187" s="8" t="str">
        <f>IFERROR(Calculations!AU185,"")</f>
        <v/>
      </c>
      <c r="AC187" s="8" t="str">
        <f>IFERROR(Calculations!AV185,"")</f>
        <v/>
      </c>
      <c r="AD187" s="8" t="str">
        <f>IFERROR(Calculations!AW185,"")</f>
        <v/>
      </c>
      <c r="AE187" s="8" t="str">
        <f>IFERROR(Calculations!AX185,"")</f>
        <v/>
      </c>
      <c r="AF187" s="8">
        <f>IFERROR(IF(Calculations!AY185 &lt;&gt; 0, Calculations!AY185, ""),"")</f>
        <v>25707.001389436511</v>
      </c>
      <c r="AG187" s="42">
        <f>IFERROR(IF(Calculations!AZ185 &lt;&gt; 0, Calculations!AZ185, ""),"")</f>
        <v>-4.4157422990027335</v>
      </c>
      <c r="AH187" s="1">
        <f t="shared" si="10"/>
        <v>60</v>
      </c>
      <c r="AI187" s="1">
        <f t="shared" si="11"/>
        <v>1000</v>
      </c>
      <c r="AJ187" s="89"/>
      <c r="AK187" s="89"/>
      <c r="AL187" s="89"/>
      <c r="AM187" s="89"/>
      <c r="AN187" s="8" t="str">
        <f>IFERROR(Calculations!BJ185, "")</f>
        <v/>
      </c>
      <c r="AO187" s="8" t="str">
        <f>IFERROR(Calculations!BK185, "")</f>
        <v/>
      </c>
      <c r="AP187" s="8">
        <f>IFERROR(Calculations!BL185, "")</f>
        <v>13.355249790583786</v>
      </c>
      <c r="AQ187" s="8">
        <f>IFERROR(Calculations!BM185, "")</f>
        <v>29.915326444301936</v>
      </c>
      <c r="AR187" s="8" t="str">
        <f>IFERROR(Calculations!BN185, "")</f>
        <v/>
      </c>
      <c r="AS187" s="8" t="str">
        <f>IFERROR(Calculations!BO185, "")</f>
        <v/>
      </c>
      <c r="AT187" s="8" t="str">
        <f>IFERROR(Calculations!BP185, "")</f>
        <v/>
      </c>
      <c r="AU187" s="8" t="str">
        <f>IFERROR(Calculations!BQ185, "")</f>
        <v/>
      </c>
      <c r="AV187" s="8" t="str">
        <f>IFERROR(Calculations!BR185, "")</f>
        <v/>
      </c>
      <c r="AW187" s="89"/>
      <c r="AX187" s="89"/>
      <c r="AY187" s="89"/>
      <c r="AZ187" s="89"/>
      <c r="BA187" s="8" t="str">
        <f>IFERROR(Calculations!BW185, "")</f>
        <v/>
      </c>
      <c r="BB187" s="8" t="str">
        <f>IFERROR(Calculations!BX185, "")</f>
        <v/>
      </c>
      <c r="BC187" s="8" t="str">
        <f>IFERROR(Calculations!BY185, "")</f>
        <v/>
      </c>
      <c r="BD187" s="8">
        <f>IFERROR(Calculations!BZ185, "")</f>
        <v>0</v>
      </c>
      <c r="BE187" s="8">
        <f>IFERROR(Calculations!CA185, "")</f>
        <v>31.233293024433593</v>
      </c>
      <c r="BF187" s="8" t="str">
        <f>IFERROR(Calculations!CB185, "")</f>
        <v/>
      </c>
      <c r="BG187" s="8" t="str">
        <f>IFERROR(Calculations!CC185, "")</f>
        <v/>
      </c>
      <c r="BH187" s="8" t="str">
        <f>IFERROR(Calculations!CD185, "")</f>
        <v/>
      </c>
      <c r="BI187" s="8" t="str">
        <f>IFERROR(Calculations!CE185, "")</f>
        <v/>
      </c>
      <c r="BJ187" s="8">
        <f>IFERROR(IF(Calculations!CF185 &lt;&gt; 0, Calculations!CF185, ""),"")</f>
        <v>-12.037283210452131</v>
      </c>
      <c r="BK187" s="1">
        <f t="shared" si="12"/>
        <v>1000</v>
      </c>
      <c r="BL187" s="1">
        <f t="shared" si="13"/>
        <v>60</v>
      </c>
      <c r="CD187" s="8"/>
      <c r="CE187" s="8"/>
      <c r="CF187" s="8"/>
      <c r="CG187" s="8"/>
      <c r="CH187" s="8"/>
      <c r="CI187" s="8"/>
      <c r="CJ187" s="8"/>
      <c r="CK187" s="8"/>
      <c r="CL187" s="8"/>
      <c r="CM187" s="8"/>
      <c r="CN187" s="8"/>
      <c r="CO187" s="8"/>
      <c r="CP187" s="8"/>
      <c r="CQ187" s="8"/>
      <c r="CR187" s="8"/>
      <c r="CS187" s="8"/>
      <c r="CT187" s="8"/>
      <c r="CU187" s="8"/>
      <c r="CV187" s="8"/>
      <c r="CW187" s="8"/>
      <c r="CX187" s="8"/>
      <c r="CY187" s="8"/>
      <c r="CZ187" s="8"/>
      <c r="DA187" s="8"/>
      <c r="DB187" s="8"/>
      <c r="DC187" s="8"/>
      <c r="DD187" s="8"/>
      <c r="DE187" s="8"/>
      <c r="DF187" s="8"/>
      <c r="DG187" s="8"/>
      <c r="DH187" s="8"/>
      <c r="DI187" s="8"/>
      <c r="DJ187" s="8"/>
      <c r="DK187" s="8"/>
      <c r="DL187" s="8"/>
      <c r="DM187" s="8"/>
      <c r="DN187" s="8"/>
      <c r="DO187" s="8"/>
      <c r="DP187" s="8"/>
      <c r="DQ187" s="8"/>
      <c r="DR187" s="8"/>
      <c r="DS187" s="8"/>
      <c r="DT187" s="8"/>
      <c r="DU187" s="8"/>
      <c r="DV187" s="8"/>
      <c r="DW187" s="8"/>
      <c r="DX187" s="8"/>
      <c r="DY187" s="8"/>
      <c r="DZ187" s="8"/>
      <c r="EA187" s="8"/>
    </row>
    <row r="188" spans="2:131" x14ac:dyDescent="0.2">
      <c r="B188" s="1" t="str">
        <f>IFERROR(Calculations!M186/1000, "")</f>
        <v/>
      </c>
      <c r="C188" s="1" t="str">
        <f>Calculations!N186</f>
        <v/>
      </c>
      <c r="D188" s="58" t="str">
        <f>IFERROR(Calculations!$Q186,"")</f>
        <v/>
      </c>
      <c r="E188" s="8" t="str">
        <f>IFERROR(Calculations!$S186, "")</f>
        <v/>
      </c>
      <c r="F188" s="89"/>
      <c r="G188" s="89"/>
      <c r="H188" s="89"/>
      <c r="I188" s="89"/>
      <c r="J188" s="1" t="str">
        <f>IFERROR(Calculations!AC186, "")</f>
        <v/>
      </c>
      <c r="K188" s="1" t="str">
        <f>IFERROR(Calculations!AD186, "")</f>
        <v/>
      </c>
      <c r="L188" s="8" t="str">
        <f>IFERROR(Calculations!AE186,"")</f>
        <v/>
      </c>
      <c r="M188" s="8" t="str">
        <f>IFERROR(Calculations!AF186,"")</f>
        <v/>
      </c>
      <c r="N188" s="8" t="str">
        <f>IFERROR(Calculations!AG186,"")</f>
        <v/>
      </c>
      <c r="O188" s="8" t="str">
        <f>IFERROR(Calculations!AH186,"")</f>
        <v/>
      </c>
      <c r="P188" s="8" t="str">
        <f>IFERROR(Calculations!AI186,"")</f>
        <v/>
      </c>
      <c r="Q188" s="8" t="str">
        <f>IFERROR(Calculations!AJ186,"")</f>
        <v/>
      </c>
      <c r="R188" s="8" t="str">
        <f>IFERROR(Calculations!AK186,"")</f>
        <v/>
      </c>
      <c r="S188" s="89"/>
      <c r="T188" s="89"/>
      <c r="U188" s="89"/>
      <c r="V188" s="89"/>
      <c r="W188" s="1" t="str">
        <f>IFERROR(Calculations!AP186, "")</f>
        <v/>
      </c>
      <c r="X188" s="1" t="str">
        <f>IFERROR(Calculations!AQ186, "")</f>
        <v/>
      </c>
      <c r="Y188" s="8" t="str">
        <f>IFERROR(Calculations!AR186,"")</f>
        <v/>
      </c>
      <c r="Z188" s="8" t="str">
        <f>IFERROR(Calculations!AS186,"")</f>
        <v/>
      </c>
      <c r="AA188" s="8" t="str">
        <f>IFERROR(Calculations!AT186,"")</f>
        <v/>
      </c>
      <c r="AB188" s="8" t="str">
        <f>IFERROR(Calculations!AU186,"")</f>
        <v/>
      </c>
      <c r="AC188" s="8" t="str">
        <f>IFERROR(Calculations!AV186,"")</f>
        <v/>
      </c>
      <c r="AD188" s="8" t="str">
        <f>IFERROR(Calculations!AW186,"")</f>
        <v/>
      </c>
      <c r="AE188" s="8" t="str">
        <f>IFERROR(Calculations!AX186,"")</f>
        <v/>
      </c>
      <c r="AF188" s="8" t="str">
        <f>IFERROR(IF(Calculations!AY186 &lt;&gt; 0, Calculations!AY186, ""),"")</f>
        <v/>
      </c>
      <c r="AG188" s="42" t="str">
        <f>IFERROR(IF(Calculations!AZ186 &lt;&gt; 0, Calculations!AZ186, ""),"")</f>
        <v/>
      </c>
      <c r="AH188" s="1" t="str">
        <f t="shared" si="10"/>
        <v/>
      </c>
      <c r="AI188" s="1" t="str">
        <f t="shared" si="11"/>
        <v/>
      </c>
      <c r="AJ188" s="89"/>
      <c r="AK188" s="89"/>
      <c r="AL188" s="89"/>
      <c r="AM188" s="89"/>
      <c r="AN188" s="8" t="str">
        <f>IFERROR(Calculations!BJ186, "")</f>
        <v/>
      </c>
      <c r="AO188" s="8" t="str">
        <f>IFERROR(Calculations!BK186, "")</f>
        <v/>
      </c>
      <c r="AP188" s="8" t="str">
        <f>IFERROR(Calculations!BL186, "")</f>
        <v/>
      </c>
      <c r="AQ188" s="8" t="str">
        <f>IFERROR(Calculations!BM186, "")</f>
        <v/>
      </c>
      <c r="AR188" s="8" t="str">
        <f>IFERROR(Calculations!BN186, "")</f>
        <v/>
      </c>
      <c r="AS188" s="8" t="str">
        <f>IFERROR(Calculations!BO186, "")</f>
        <v/>
      </c>
      <c r="AT188" s="8" t="str">
        <f>IFERROR(Calculations!BP186, "")</f>
        <v/>
      </c>
      <c r="AU188" s="8" t="str">
        <f>IFERROR(Calculations!BQ186, "")</f>
        <v/>
      </c>
      <c r="AV188" s="8" t="str">
        <f>IFERROR(Calculations!BR186, "")</f>
        <v/>
      </c>
      <c r="AW188" s="89"/>
      <c r="AX188" s="89"/>
      <c r="AY188" s="89"/>
      <c r="AZ188" s="89"/>
      <c r="BA188" s="8" t="str">
        <f>IFERROR(Calculations!BW186, "")</f>
        <v/>
      </c>
      <c r="BB188" s="8" t="str">
        <f>IFERROR(Calculations!BX186, "")</f>
        <v/>
      </c>
      <c r="BC188" s="8" t="str">
        <f>IFERROR(Calculations!BY186, "")</f>
        <v/>
      </c>
      <c r="BD188" s="8" t="str">
        <f>IFERROR(Calculations!BZ186, "")</f>
        <v/>
      </c>
      <c r="BE188" s="8" t="str">
        <f>IFERROR(Calculations!CA186, "")</f>
        <v/>
      </c>
      <c r="BF188" s="8" t="str">
        <f>IFERROR(Calculations!CB186, "")</f>
        <v/>
      </c>
      <c r="BG188" s="8" t="str">
        <f>IFERROR(Calculations!CC186, "")</f>
        <v/>
      </c>
      <c r="BH188" s="8" t="str">
        <f>IFERROR(Calculations!CD186, "")</f>
        <v/>
      </c>
      <c r="BI188" s="8" t="str">
        <f>IFERROR(Calculations!CE186, "")</f>
        <v/>
      </c>
      <c r="BJ188" s="8" t="str">
        <f>IFERROR(IF(Calculations!CF186 &lt;&gt; 0, Calculations!CF186, ""),"")</f>
        <v/>
      </c>
      <c r="BK188" s="1" t="str">
        <f t="shared" si="12"/>
        <v/>
      </c>
      <c r="BL188" s="1" t="str">
        <f t="shared" si="13"/>
        <v/>
      </c>
      <c r="CD188" s="8"/>
      <c r="CE188" s="8"/>
      <c r="CF188" s="8"/>
      <c r="CG188" s="8"/>
      <c r="CH188" s="8"/>
      <c r="CI188" s="8"/>
      <c r="CJ188" s="8"/>
      <c r="CK188" s="8"/>
      <c r="CL188" s="8"/>
      <c r="CM188" s="8"/>
      <c r="CN188" s="8"/>
      <c r="CO188" s="8"/>
      <c r="CP188" s="8"/>
      <c r="CQ188" s="8"/>
      <c r="CR188" s="8"/>
      <c r="CS188" s="8"/>
      <c r="CT188" s="8"/>
      <c r="CU188" s="8"/>
      <c r="CV188" s="8"/>
      <c r="CW188" s="8"/>
      <c r="CX188" s="8"/>
      <c r="CY188" s="8"/>
      <c r="CZ188" s="8"/>
      <c r="DA188" s="8"/>
      <c r="DB188" s="8"/>
      <c r="DC188" s="8"/>
      <c r="DD188" s="8"/>
      <c r="DE188" s="8"/>
      <c r="DF188" s="8"/>
      <c r="DG188" s="8"/>
      <c r="DH188" s="8"/>
      <c r="DI188" s="8"/>
      <c r="DJ188" s="8"/>
      <c r="DK188" s="8"/>
      <c r="DL188" s="8"/>
      <c r="DM188" s="8"/>
      <c r="DN188" s="8"/>
      <c r="DO188" s="8"/>
      <c r="DP188" s="8"/>
      <c r="DQ188" s="8"/>
      <c r="DR188" s="8"/>
      <c r="DS188" s="8"/>
      <c r="DT188" s="8"/>
      <c r="DU188" s="8"/>
      <c r="DV188" s="8"/>
      <c r="DW188" s="8"/>
      <c r="DX188" s="8"/>
      <c r="DY188" s="8"/>
      <c r="DZ188" s="8"/>
      <c r="EA188" s="8"/>
    </row>
    <row r="189" spans="2:131" x14ac:dyDescent="0.2">
      <c r="B189" s="1" t="str">
        <f>IFERROR(Calculations!M187/1000, "")</f>
        <v/>
      </c>
      <c r="C189" s="1" t="str">
        <f>Calculations!N187</f>
        <v/>
      </c>
      <c r="D189" s="58" t="str">
        <f>IFERROR(Calculations!$Q187,"")</f>
        <v/>
      </c>
      <c r="E189" s="8" t="str">
        <f>IFERROR(Calculations!$S187, "")</f>
        <v/>
      </c>
      <c r="F189" s="89"/>
      <c r="G189" s="89"/>
      <c r="H189" s="89"/>
      <c r="I189" s="89"/>
      <c r="J189" s="1" t="str">
        <f>IFERROR(Calculations!AC187, "")</f>
        <v/>
      </c>
      <c r="K189" s="1" t="str">
        <f>IFERROR(Calculations!AD187, "")</f>
        <v/>
      </c>
      <c r="L189" s="8" t="str">
        <f>IFERROR(Calculations!AE187,"")</f>
        <v/>
      </c>
      <c r="M189" s="8" t="str">
        <f>IFERROR(Calculations!AF187,"")</f>
        <v/>
      </c>
      <c r="N189" s="8" t="str">
        <f>IFERROR(Calculations!AG187,"")</f>
        <v/>
      </c>
      <c r="O189" s="8" t="str">
        <f>IFERROR(Calculations!AH187,"")</f>
        <v/>
      </c>
      <c r="P189" s="8" t="str">
        <f>IFERROR(Calculations!AI187,"")</f>
        <v/>
      </c>
      <c r="Q189" s="8" t="str">
        <f>IFERROR(Calculations!AJ187,"")</f>
        <v/>
      </c>
      <c r="R189" s="8" t="str">
        <f>IFERROR(Calculations!AK187,"")</f>
        <v/>
      </c>
      <c r="S189" s="89"/>
      <c r="T189" s="89"/>
      <c r="U189" s="89"/>
      <c r="V189" s="89"/>
      <c r="W189" s="1" t="str">
        <f>IFERROR(Calculations!AP187, "")</f>
        <v/>
      </c>
      <c r="X189" s="1" t="str">
        <f>IFERROR(Calculations!AQ187, "")</f>
        <v/>
      </c>
      <c r="Y189" s="8" t="str">
        <f>IFERROR(Calculations!AR187,"")</f>
        <v/>
      </c>
      <c r="Z189" s="8" t="str">
        <f>IFERROR(Calculations!AS187,"")</f>
        <v/>
      </c>
      <c r="AA189" s="8" t="str">
        <f>IFERROR(Calculations!AT187,"")</f>
        <v/>
      </c>
      <c r="AB189" s="8" t="str">
        <f>IFERROR(Calculations!AU187,"")</f>
        <v/>
      </c>
      <c r="AC189" s="8" t="str">
        <f>IFERROR(Calculations!AV187,"")</f>
        <v/>
      </c>
      <c r="AD189" s="8" t="str">
        <f>IFERROR(Calculations!AW187,"")</f>
        <v/>
      </c>
      <c r="AE189" s="8" t="str">
        <f>IFERROR(Calculations!AX187,"")</f>
        <v/>
      </c>
      <c r="AF189" s="8" t="str">
        <f>IFERROR(IF(Calculations!AY187 &lt;&gt; 0, Calculations!AY187, ""),"")</f>
        <v/>
      </c>
      <c r="AG189" s="42" t="str">
        <f>IFERROR(IF(Calculations!AZ187 &lt;&gt; 0, Calculations!AZ187, ""),"")</f>
        <v/>
      </c>
      <c r="AH189" s="1" t="str">
        <f t="shared" si="10"/>
        <v/>
      </c>
      <c r="AI189" s="1" t="str">
        <f t="shared" si="11"/>
        <v/>
      </c>
      <c r="AJ189" s="89"/>
      <c r="AK189" s="89"/>
      <c r="AL189" s="89"/>
      <c r="AM189" s="89"/>
      <c r="AN189" s="8" t="str">
        <f>IFERROR(Calculations!BJ187, "")</f>
        <v/>
      </c>
      <c r="AO189" s="8" t="str">
        <f>IFERROR(Calculations!BK187, "")</f>
        <v/>
      </c>
      <c r="AP189" s="8" t="str">
        <f>IFERROR(Calculations!BL187, "")</f>
        <v/>
      </c>
      <c r="AQ189" s="8" t="str">
        <f>IFERROR(Calculations!BM187, "")</f>
        <v/>
      </c>
      <c r="AR189" s="8" t="str">
        <f>IFERROR(Calculations!BN187, "")</f>
        <v/>
      </c>
      <c r="AS189" s="8" t="str">
        <f>IFERROR(Calculations!BO187, "")</f>
        <v/>
      </c>
      <c r="AT189" s="8" t="str">
        <f>IFERROR(Calculations!BP187, "")</f>
        <v/>
      </c>
      <c r="AU189" s="8" t="str">
        <f>IFERROR(Calculations!BQ187, "")</f>
        <v/>
      </c>
      <c r="AV189" s="8" t="str">
        <f>IFERROR(Calculations!BR187, "")</f>
        <v/>
      </c>
      <c r="AW189" s="89"/>
      <c r="AX189" s="89"/>
      <c r="AY189" s="89"/>
      <c r="AZ189" s="89"/>
      <c r="BA189" s="8" t="str">
        <f>IFERROR(Calculations!BW187, "")</f>
        <v/>
      </c>
      <c r="BB189" s="8" t="str">
        <f>IFERROR(Calculations!BX187, "")</f>
        <v/>
      </c>
      <c r="BC189" s="8" t="str">
        <f>IFERROR(Calculations!BY187, "")</f>
        <v/>
      </c>
      <c r="BD189" s="8" t="str">
        <f>IFERROR(Calculations!BZ187, "")</f>
        <v/>
      </c>
      <c r="BE189" s="8" t="str">
        <f>IFERROR(Calculations!CA187, "")</f>
        <v/>
      </c>
      <c r="BF189" s="8" t="str">
        <f>IFERROR(Calculations!CB187, "")</f>
        <v/>
      </c>
      <c r="BG189" s="8" t="str">
        <f>IFERROR(Calculations!CC187, "")</f>
        <v/>
      </c>
      <c r="BH189" s="8" t="str">
        <f>IFERROR(Calculations!CD187, "")</f>
        <v/>
      </c>
      <c r="BI189" s="8" t="str">
        <f>IFERROR(Calculations!CE187, "")</f>
        <v/>
      </c>
      <c r="BJ189" s="8" t="str">
        <f>IFERROR(IF(Calculations!CF187 &lt;&gt; 0, Calculations!CF187, ""),"")</f>
        <v/>
      </c>
      <c r="BK189" s="1" t="str">
        <f t="shared" si="12"/>
        <v/>
      </c>
      <c r="BL189" s="1" t="str">
        <f t="shared" si="13"/>
        <v/>
      </c>
      <c r="CD189" s="8"/>
      <c r="CE189" s="8"/>
      <c r="CF189" s="8"/>
      <c r="CG189" s="8"/>
      <c r="CH189" s="8"/>
      <c r="CI189" s="8"/>
      <c r="CJ189" s="8"/>
      <c r="CK189" s="8"/>
      <c r="CL189" s="8"/>
      <c r="CM189" s="8"/>
      <c r="CN189" s="8"/>
      <c r="CO189" s="8"/>
      <c r="CP189" s="8"/>
      <c r="CQ189" s="8"/>
      <c r="CR189" s="8"/>
      <c r="CS189" s="8"/>
      <c r="CT189" s="8"/>
      <c r="CU189" s="8"/>
      <c r="CV189" s="8"/>
      <c r="CW189" s="8"/>
      <c r="CX189" s="8"/>
      <c r="CY189" s="8"/>
      <c r="CZ189" s="8"/>
      <c r="DA189" s="8"/>
      <c r="DB189" s="8"/>
      <c r="DC189" s="8"/>
      <c r="DD189" s="8"/>
      <c r="DE189" s="8"/>
      <c r="DF189" s="8"/>
      <c r="DG189" s="8"/>
      <c r="DH189" s="8"/>
      <c r="DI189" s="8"/>
      <c r="DJ189" s="8"/>
      <c r="DK189" s="8"/>
      <c r="DL189" s="8"/>
      <c r="DM189" s="8"/>
      <c r="DN189" s="8"/>
      <c r="DO189" s="8"/>
      <c r="DP189" s="8"/>
      <c r="DQ189" s="8"/>
      <c r="DR189" s="8"/>
      <c r="DS189" s="8"/>
      <c r="DT189" s="8"/>
      <c r="DU189" s="8"/>
      <c r="DV189" s="8"/>
      <c r="DW189" s="8"/>
      <c r="DX189" s="8"/>
      <c r="DY189" s="8"/>
      <c r="DZ189" s="8"/>
      <c r="EA189" s="8"/>
    </row>
    <row r="190" spans="2:131" x14ac:dyDescent="0.2">
      <c r="B190" s="1" t="str">
        <f>IFERROR(Calculations!M188/1000, "")</f>
        <v/>
      </c>
      <c r="C190" s="1" t="str">
        <f>Calculations!N188</f>
        <v/>
      </c>
      <c r="D190" s="58" t="str">
        <f>IFERROR(Calculations!$Q188,"")</f>
        <v/>
      </c>
      <c r="E190" s="8" t="str">
        <f>IFERROR(Calculations!$S188, "")</f>
        <v/>
      </c>
      <c r="F190" s="89"/>
      <c r="G190" s="89"/>
      <c r="H190" s="89"/>
      <c r="I190" s="89"/>
      <c r="J190" s="1" t="str">
        <f>IFERROR(Calculations!AC188, "")</f>
        <v/>
      </c>
      <c r="K190" s="1" t="str">
        <f>IFERROR(Calculations!AD188, "")</f>
        <v/>
      </c>
      <c r="L190" s="8" t="str">
        <f>IFERROR(Calculations!AE188,"")</f>
        <v/>
      </c>
      <c r="M190" s="8" t="str">
        <f>IFERROR(Calculations!AF188,"")</f>
        <v/>
      </c>
      <c r="N190" s="8" t="str">
        <f>IFERROR(Calculations!AG188,"")</f>
        <v/>
      </c>
      <c r="O190" s="8" t="str">
        <f>IFERROR(Calculations!AH188,"")</f>
        <v/>
      </c>
      <c r="P190" s="8" t="str">
        <f>IFERROR(Calculations!AI188,"")</f>
        <v/>
      </c>
      <c r="Q190" s="8" t="str">
        <f>IFERROR(Calculations!AJ188,"")</f>
        <v/>
      </c>
      <c r="R190" s="8" t="str">
        <f>IFERROR(Calculations!AK188,"")</f>
        <v/>
      </c>
      <c r="S190" s="89"/>
      <c r="T190" s="89"/>
      <c r="U190" s="89"/>
      <c r="V190" s="89"/>
      <c r="W190" s="1" t="str">
        <f>IFERROR(Calculations!AP188, "")</f>
        <v/>
      </c>
      <c r="X190" s="1" t="str">
        <f>IFERROR(Calculations!AQ188, "")</f>
        <v/>
      </c>
      <c r="Y190" s="8" t="str">
        <f>IFERROR(Calculations!AR188,"")</f>
        <v/>
      </c>
      <c r="Z190" s="8" t="str">
        <f>IFERROR(Calculations!AS188,"")</f>
        <v/>
      </c>
      <c r="AA190" s="8" t="str">
        <f>IFERROR(Calculations!AT188,"")</f>
        <v/>
      </c>
      <c r="AB190" s="8" t="str">
        <f>IFERROR(Calculations!AU188,"")</f>
        <v/>
      </c>
      <c r="AC190" s="8" t="str">
        <f>IFERROR(Calculations!AV188,"")</f>
        <v/>
      </c>
      <c r="AD190" s="8" t="str">
        <f>IFERROR(Calculations!AW188,"")</f>
        <v/>
      </c>
      <c r="AE190" s="8" t="str">
        <f>IFERROR(Calculations!AX188,"")</f>
        <v/>
      </c>
      <c r="AF190" s="8" t="str">
        <f>IFERROR(IF(Calculations!AY188 &lt;&gt; 0, Calculations!AY188, ""),"")</f>
        <v/>
      </c>
      <c r="AG190" s="42" t="str">
        <f>IFERROR(IF(Calculations!AZ188 &lt;&gt; 0, Calculations!AZ188, ""),"")</f>
        <v/>
      </c>
      <c r="AH190" s="1" t="str">
        <f t="shared" si="10"/>
        <v/>
      </c>
      <c r="AI190" s="1" t="str">
        <f t="shared" si="11"/>
        <v/>
      </c>
      <c r="AJ190" s="89"/>
      <c r="AK190" s="89"/>
      <c r="AL190" s="89"/>
      <c r="AM190" s="89"/>
      <c r="AN190" s="8" t="str">
        <f>IFERROR(Calculations!BJ188, "")</f>
        <v/>
      </c>
      <c r="AO190" s="8" t="str">
        <f>IFERROR(Calculations!BK188, "")</f>
        <v/>
      </c>
      <c r="AP190" s="8" t="str">
        <f>IFERROR(Calculations!BL188, "")</f>
        <v/>
      </c>
      <c r="AQ190" s="8" t="str">
        <f>IFERROR(Calculations!BM188, "")</f>
        <v/>
      </c>
      <c r="AR190" s="8" t="str">
        <f>IFERROR(Calculations!BN188, "")</f>
        <v/>
      </c>
      <c r="AS190" s="8" t="str">
        <f>IFERROR(Calculations!BO188, "")</f>
        <v/>
      </c>
      <c r="AT190" s="8" t="str">
        <f>IFERROR(Calculations!BP188, "")</f>
        <v/>
      </c>
      <c r="AU190" s="8" t="str">
        <f>IFERROR(Calculations!BQ188, "")</f>
        <v/>
      </c>
      <c r="AV190" s="8" t="str">
        <f>IFERROR(Calculations!BR188, "")</f>
        <v/>
      </c>
      <c r="AW190" s="89"/>
      <c r="AX190" s="89"/>
      <c r="AY190" s="89"/>
      <c r="AZ190" s="89"/>
      <c r="BA190" s="8" t="str">
        <f>IFERROR(Calculations!BW188, "")</f>
        <v/>
      </c>
      <c r="BB190" s="8" t="str">
        <f>IFERROR(Calculations!BX188, "")</f>
        <v/>
      </c>
      <c r="BC190" s="8" t="str">
        <f>IFERROR(Calculations!BY188, "")</f>
        <v/>
      </c>
      <c r="BD190" s="8" t="str">
        <f>IFERROR(Calculations!BZ188, "")</f>
        <v/>
      </c>
      <c r="BE190" s="8" t="str">
        <f>IFERROR(Calculations!CA188, "")</f>
        <v/>
      </c>
      <c r="BF190" s="8" t="str">
        <f>IFERROR(Calculations!CB188, "")</f>
        <v/>
      </c>
      <c r="BG190" s="8" t="str">
        <f>IFERROR(Calculations!CC188, "")</f>
        <v/>
      </c>
      <c r="BH190" s="8" t="str">
        <f>IFERROR(Calculations!CD188, "")</f>
        <v/>
      </c>
      <c r="BI190" s="8" t="str">
        <f>IFERROR(Calculations!CE188, "")</f>
        <v/>
      </c>
      <c r="BJ190" s="8" t="str">
        <f>IFERROR(IF(Calculations!CF188 &lt;&gt; 0, Calculations!CF188, ""),"")</f>
        <v/>
      </c>
      <c r="BK190" s="1" t="str">
        <f t="shared" si="12"/>
        <v/>
      </c>
      <c r="BL190" s="1" t="str">
        <f t="shared" si="13"/>
        <v/>
      </c>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8"/>
      <c r="DE190" s="8"/>
      <c r="DF190" s="8"/>
      <c r="DG190" s="8"/>
      <c r="DH190" s="8"/>
      <c r="DI190" s="8"/>
      <c r="DJ190" s="8"/>
      <c r="DK190" s="8"/>
      <c r="DL190" s="8"/>
      <c r="DM190" s="8"/>
      <c r="DN190" s="8"/>
      <c r="DO190" s="8"/>
      <c r="DP190" s="8"/>
      <c r="DQ190" s="8"/>
      <c r="DR190" s="8"/>
      <c r="DS190" s="8"/>
      <c r="DT190" s="8"/>
      <c r="DU190" s="8"/>
      <c r="DV190" s="8"/>
      <c r="DW190" s="8"/>
      <c r="DX190" s="8"/>
      <c r="DY190" s="8"/>
      <c r="DZ190" s="8"/>
      <c r="EA190" s="8"/>
    </row>
    <row r="191" spans="2:131" x14ac:dyDescent="0.2">
      <c r="B191" s="1" t="str">
        <f>IFERROR(Calculations!M189/1000, "")</f>
        <v/>
      </c>
      <c r="C191" s="1" t="str">
        <f>Calculations!N189</f>
        <v/>
      </c>
      <c r="D191" s="58" t="str">
        <f>IFERROR(Calculations!$Q189,"")</f>
        <v/>
      </c>
      <c r="E191" s="8" t="str">
        <f>IFERROR(Calculations!$S189, "")</f>
        <v/>
      </c>
      <c r="F191" s="89"/>
      <c r="G191" s="89"/>
      <c r="H191" s="89"/>
      <c r="I191" s="89"/>
      <c r="J191" s="1" t="str">
        <f>IFERROR(Calculations!AC189, "")</f>
        <v/>
      </c>
      <c r="K191" s="1" t="str">
        <f>IFERROR(Calculations!AD189, "")</f>
        <v/>
      </c>
      <c r="L191" s="8" t="str">
        <f>IFERROR(Calculations!AE189,"")</f>
        <v/>
      </c>
      <c r="M191" s="8" t="str">
        <f>IFERROR(Calculations!AF189,"")</f>
        <v/>
      </c>
      <c r="N191" s="8" t="str">
        <f>IFERROR(Calculations!AG189,"")</f>
        <v/>
      </c>
      <c r="O191" s="8" t="str">
        <f>IFERROR(Calculations!AH189,"")</f>
        <v/>
      </c>
      <c r="P191" s="8" t="str">
        <f>IFERROR(Calculations!AI189,"")</f>
        <v/>
      </c>
      <c r="Q191" s="8" t="str">
        <f>IFERROR(Calculations!AJ189,"")</f>
        <v/>
      </c>
      <c r="R191" s="8" t="str">
        <f>IFERROR(Calculations!AK189,"")</f>
        <v/>
      </c>
      <c r="S191" s="89"/>
      <c r="T191" s="89"/>
      <c r="U191" s="89"/>
      <c r="V191" s="89"/>
      <c r="W191" s="1" t="str">
        <f>IFERROR(Calculations!AP189, "")</f>
        <v/>
      </c>
      <c r="X191" s="1" t="str">
        <f>IFERROR(Calculations!AQ189, "")</f>
        <v/>
      </c>
      <c r="Y191" s="8" t="str">
        <f>IFERROR(Calculations!AR189,"")</f>
        <v/>
      </c>
      <c r="Z191" s="8" t="str">
        <f>IFERROR(Calculations!AS189,"")</f>
        <v/>
      </c>
      <c r="AA191" s="8" t="str">
        <f>IFERROR(Calculations!AT189,"")</f>
        <v/>
      </c>
      <c r="AB191" s="8" t="str">
        <f>IFERROR(Calculations!AU189,"")</f>
        <v/>
      </c>
      <c r="AC191" s="8" t="str">
        <f>IFERROR(Calculations!AV189,"")</f>
        <v/>
      </c>
      <c r="AD191" s="8" t="str">
        <f>IFERROR(Calculations!AW189,"")</f>
        <v/>
      </c>
      <c r="AE191" s="8" t="str">
        <f>IFERROR(Calculations!AX189,"")</f>
        <v/>
      </c>
      <c r="AF191" s="8" t="str">
        <f>IFERROR(IF(Calculations!AY189 &lt;&gt; 0, Calculations!AY189, ""),"")</f>
        <v/>
      </c>
      <c r="AG191" s="42" t="str">
        <f>IFERROR(IF(Calculations!AZ189 &lt;&gt; 0, Calculations!AZ189, ""),"")</f>
        <v/>
      </c>
      <c r="AH191" s="1" t="str">
        <f t="shared" si="10"/>
        <v/>
      </c>
      <c r="AI191" s="1" t="str">
        <f t="shared" si="11"/>
        <v/>
      </c>
      <c r="AJ191" s="89"/>
      <c r="AK191" s="89"/>
      <c r="AL191" s="89"/>
      <c r="AM191" s="89"/>
      <c r="AN191" s="8" t="str">
        <f>IFERROR(Calculations!BJ189, "")</f>
        <v/>
      </c>
      <c r="AO191" s="8" t="str">
        <f>IFERROR(Calculations!BK189, "")</f>
        <v/>
      </c>
      <c r="AP191" s="8" t="str">
        <f>IFERROR(Calculations!BL189, "")</f>
        <v/>
      </c>
      <c r="AQ191" s="8" t="str">
        <f>IFERROR(Calculations!BM189, "")</f>
        <v/>
      </c>
      <c r="AR191" s="8" t="str">
        <f>IFERROR(Calculations!BN189, "")</f>
        <v/>
      </c>
      <c r="AS191" s="8" t="str">
        <f>IFERROR(Calculations!BO189, "")</f>
        <v/>
      </c>
      <c r="AT191" s="8" t="str">
        <f>IFERROR(Calculations!BP189, "")</f>
        <v/>
      </c>
      <c r="AU191" s="8" t="str">
        <f>IFERROR(Calculations!BQ189, "")</f>
        <v/>
      </c>
      <c r="AV191" s="8" t="str">
        <f>IFERROR(Calculations!BR189, "")</f>
        <v/>
      </c>
      <c r="AW191" s="89"/>
      <c r="AX191" s="89"/>
      <c r="AY191" s="89"/>
      <c r="AZ191" s="89"/>
      <c r="BA191" s="8" t="str">
        <f>IFERROR(Calculations!BW189, "")</f>
        <v/>
      </c>
      <c r="BB191" s="8" t="str">
        <f>IFERROR(Calculations!BX189, "")</f>
        <v/>
      </c>
      <c r="BC191" s="8" t="str">
        <f>IFERROR(Calculations!BY189, "")</f>
        <v/>
      </c>
      <c r="BD191" s="8" t="str">
        <f>IFERROR(Calculations!BZ189, "")</f>
        <v/>
      </c>
      <c r="BE191" s="8" t="str">
        <f>IFERROR(Calculations!CA189, "")</f>
        <v/>
      </c>
      <c r="BF191" s="8" t="str">
        <f>IFERROR(Calculations!CB189, "")</f>
        <v/>
      </c>
      <c r="BG191" s="8" t="str">
        <f>IFERROR(Calculations!CC189, "")</f>
        <v/>
      </c>
      <c r="BH191" s="8" t="str">
        <f>IFERROR(Calculations!CD189, "")</f>
        <v/>
      </c>
      <c r="BI191" s="8" t="str">
        <f>IFERROR(Calculations!CE189, "")</f>
        <v/>
      </c>
      <c r="BJ191" s="8" t="str">
        <f>IFERROR(IF(Calculations!CF189 &lt;&gt; 0, Calculations!CF189, ""),"")</f>
        <v/>
      </c>
      <c r="BK191" s="1" t="str">
        <f t="shared" si="12"/>
        <v/>
      </c>
      <c r="BL191" s="1" t="str">
        <f t="shared" si="13"/>
        <v/>
      </c>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8"/>
      <c r="DK191" s="8"/>
      <c r="DL191" s="8"/>
      <c r="DM191" s="8"/>
      <c r="DN191" s="8"/>
      <c r="DO191" s="8"/>
      <c r="DP191" s="8"/>
      <c r="DQ191" s="8"/>
      <c r="DR191" s="8"/>
      <c r="DS191" s="8"/>
      <c r="DT191" s="8"/>
      <c r="DU191" s="8"/>
      <c r="DV191" s="8"/>
      <c r="DW191" s="8"/>
      <c r="DX191" s="8"/>
      <c r="DY191" s="8"/>
      <c r="DZ191" s="8"/>
      <c r="EA191" s="8"/>
    </row>
    <row r="192" spans="2:131" x14ac:dyDescent="0.2">
      <c r="B192" s="1" t="str">
        <f>IFERROR(Calculations!M190/1000, "")</f>
        <v/>
      </c>
      <c r="C192" s="1" t="str">
        <f>Calculations!N190</f>
        <v/>
      </c>
      <c r="D192" s="58" t="str">
        <f>IFERROR(Calculations!$Q190,"")</f>
        <v/>
      </c>
      <c r="E192" s="8" t="str">
        <f>IFERROR(Calculations!$S190, "")</f>
        <v/>
      </c>
      <c r="F192" s="89"/>
      <c r="G192" s="89"/>
      <c r="H192" s="89"/>
      <c r="I192" s="89"/>
      <c r="J192" s="1" t="str">
        <f>IFERROR(Calculations!AC190, "")</f>
        <v/>
      </c>
      <c r="K192" s="1" t="str">
        <f>IFERROR(Calculations!AD190, "")</f>
        <v/>
      </c>
      <c r="L192" s="8" t="str">
        <f>IFERROR(Calculations!AE190,"")</f>
        <v/>
      </c>
      <c r="M192" s="8" t="str">
        <f>IFERROR(Calculations!AF190,"")</f>
        <v/>
      </c>
      <c r="N192" s="8" t="str">
        <f>IFERROR(Calculations!AG190,"")</f>
        <v/>
      </c>
      <c r="O192" s="8" t="str">
        <f>IFERROR(Calculations!AH190,"")</f>
        <v/>
      </c>
      <c r="P192" s="8" t="str">
        <f>IFERROR(Calculations!AI190,"")</f>
        <v/>
      </c>
      <c r="Q192" s="8" t="str">
        <f>IFERROR(Calculations!AJ190,"")</f>
        <v/>
      </c>
      <c r="R192" s="8" t="str">
        <f>IFERROR(Calculations!AK190,"")</f>
        <v/>
      </c>
      <c r="S192" s="89"/>
      <c r="T192" s="89"/>
      <c r="U192" s="89"/>
      <c r="V192" s="89"/>
      <c r="W192" s="1" t="str">
        <f>IFERROR(Calculations!AP190, "")</f>
        <v/>
      </c>
      <c r="X192" s="1" t="str">
        <f>IFERROR(Calculations!AQ190, "")</f>
        <v/>
      </c>
      <c r="Y192" s="8" t="str">
        <f>IFERROR(Calculations!AR190,"")</f>
        <v/>
      </c>
      <c r="Z192" s="8" t="str">
        <f>IFERROR(Calculations!AS190,"")</f>
        <v/>
      </c>
      <c r="AA192" s="8" t="str">
        <f>IFERROR(Calculations!AT190,"")</f>
        <v/>
      </c>
      <c r="AB192" s="8" t="str">
        <f>IFERROR(Calculations!AU190,"")</f>
        <v/>
      </c>
      <c r="AC192" s="8" t="str">
        <f>IFERROR(Calculations!AV190,"")</f>
        <v/>
      </c>
      <c r="AD192" s="8" t="str">
        <f>IFERROR(Calculations!AW190,"")</f>
        <v/>
      </c>
      <c r="AE192" s="8" t="str">
        <f>IFERROR(Calculations!AX190,"")</f>
        <v/>
      </c>
      <c r="AF192" s="8" t="str">
        <f>IFERROR(IF(Calculations!AY190 &lt;&gt; 0, Calculations!AY190, ""),"")</f>
        <v/>
      </c>
      <c r="AG192" s="42" t="str">
        <f>IFERROR(IF(Calculations!AZ190 &lt;&gt; 0, Calculations!AZ190, ""),"")</f>
        <v/>
      </c>
      <c r="AH192" s="1" t="str">
        <f t="shared" si="10"/>
        <v/>
      </c>
      <c r="AI192" s="1" t="str">
        <f t="shared" si="11"/>
        <v/>
      </c>
      <c r="AJ192" s="89"/>
      <c r="AK192" s="89"/>
      <c r="AL192" s="89"/>
      <c r="AM192" s="89"/>
      <c r="AN192" s="8" t="str">
        <f>IFERROR(Calculations!BJ190, "")</f>
        <v/>
      </c>
      <c r="AO192" s="8" t="str">
        <f>IFERROR(Calculations!BK190, "")</f>
        <v/>
      </c>
      <c r="AP192" s="8" t="str">
        <f>IFERROR(Calculations!BL190, "")</f>
        <v/>
      </c>
      <c r="AQ192" s="8" t="str">
        <f>IFERROR(Calculations!BM190, "")</f>
        <v/>
      </c>
      <c r="AR192" s="8" t="str">
        <f>IFERROR(Calculations!BN190, "")</f>
        <v/>
      </c>
      <c r="AS192" s="8" t="str">
        <f>IFERROR(Calculations!BO190, "")</f>
        <v/>
      </c>
      <c r="AT192" s="8" t="str">
        <f>IFERROR(Calculations!BP190, "")</f>
        <v/>
      </c>
      <c r="AU192" s="8" t="str">
        <f>IFERROR(Calculations!BQ190, "")</f>
        <v/>
      </c>
      <c r="AV192" s="8" t="str">
        <f>IFERROR(Calculations!BR190, "")</f>
        <v/>
      </c>
      <c r="AW192" s="89"/>
      <c r="AX192" s="89"/>
      <c r="AY192" s="89"/>
      <c r="AZ192" s="89"/>
      <c r="BA192" s="8" t="str">
        <f>IFERROR(Calculations!BW190, "")</f>
        <v/>
      </c>
      <c r="BB192" s="8" t="str">
        <f>IFERROR(Calculations!BX190, "")</f>
        <v/>
      </c>
      <c r="BC192" s="8" t="str">
        <f>IFERROR(Calculations!BY190, "")</f>
        <v/>
      </c>
      <c r="BD192" s="8" t="str">
        <f>IFERROR(Calculations!BZ190, "")</f>
        <v/>
      </c>
      <c r="BE192" s="8" t="str">
        <f>IFERROR(Calculations!CA190, "")</f>
        <v/>
      </c>
      <c r="BF192" s="8" t="str">
        <f>IFERROR(Calculations!CB190, "")</f>
        <v/>
      </c>
      <c r="BG192" s="8" t="str">
        <f>IFERROR(Calculations!CC190, "")</f>
        <v/>
      </c>
      <c r="BH192" s="8" t="str">
        <f>IFERROR(Calculations!CD190, "")</f>
        <v/>
      </c>
      <c r="BI192" s="8" t="str">
        <f>IFERROR(Calculations!CE190, "")</f>
        <v/>
      </c>
      <c r="BJ192" s="8" t="str">
        <f>IFERROR(IF(Calculations!CF190 &lt;&gt; 0, Calculations!CF190, ""),"")</f>
        <v/>
      </c>
      <c r="BK192" s="1" t="str">
        <f t="shared" si="12"/>
        <v/>
      </c>
      <c r="BL192" s="1" t="str">
        <f t="shared" si="13"/>
        <v/>
      </c>
      <c r="CD192" s="8"/>
      <c r="CE192" s="8"/>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c r="DK192" s="8"/>
      <c r="DL192" s="8"/>
      <c r="DM192" s="8"/>
      <c r="DN192" s="8"/>
      <c r="DO192" s="8"/>
      <c r="DP192" s="8"/>
      <c r="DQ192" s="8"/>
      <c r="DR192" s="8"/>
      <c r="DS192" s="8"/>
      <c r="DT192" s="8"/>
      <c r="DU192" s="8"/>
      <c r="DV192" s="8"/>
      <c r="DW192" s="8"/>
      <c r="DX192" s="8"/>
      <c r="DY192" s="8"/>
      <c r="DZ192" s="8"/>
      <c r="EA192" s="8"/>
    </row>
    <row r="193" spans="2:131" x14ac:dyDescent="0.2">
      <c r="B193" s="1" t="str">
        <f>IFERROR(Calculations!M191/1000, "")</f>
        <v/>
      </c>
      <c r="C193" s="1" t="str">
        <f>Calculations!N191</f>
        <v/>
      </c>
      <c r="D193" s="58" t="str">
        <f>IFERROR(Calculations!$Q191,"")</f>
        <v/>
      </c>
      <c r="E193" s="8" t="str">
        <f>IFERROR(Calculations!$S191, "")</f>
        <v/>
      </c>
      <c r="F193" s="89"/>
      <c r="G193" s="89"/>
      <c r="H193" s="89"/>
      <c r="I193" s="89"/>
      <c r="J193" s="1" t="str">
        <f>IFERROR(Calculations!AC191, "")</f>
        <v/>
      </c>
      <c r="K193" s="1" t="str">
        <f>IFERROR(Calculations!AD191, "")</f>
        <v/>
      </c>
      <c r="L193" s="8" t="str">
        <f>IFERROR(Calculations!AE191,"")</f>
        <v/>
      </c>
      <c r="M193" s="8" t="str">
        <f>IFERROR(Calculations!AF191,"")</f>
        <v/>
      </c>
      <c r="N193" s="8" t="str">
        <f>IFERROR(Calculations!AG191,"")</f>
        <v/>
      </c>
      <c r="O193" s="8" t="str">
        <f>IFERROR(Calculations!AH191,"")</f>
        <v/>
      </c>
      <c r="P193" s="8" t="str">
        <f>IFERROR(Calculations!AI191,"")</f>
        <v/>
      </c>
      <c r="Q193" s="8" t="str">
        <f>IFERROR(Calculations!AJ191,"")</f>
        <v/>
      </c>
      <c r="R193" s="8" t="str">
        <f>IFERROR(Calculations!AK191,"")</f>
        <v/>
      </c>
      <c r="S193" s="89"/>
      <c r="T193" s="89"/>
      <c r="U193" s="89"/>
      <c r="V193" s="89"/>
      <c r="W193" s="1" t="str">
        <f>IFERROR(Calculations!AP191, "")</f>
        <v/>
      </c>
      <c r="X193" s="1" t="str">
        <f>IFERROR(Calculations!AQ191, "")</f>
        <v/>
      </c>
      <c r="Y193" s="8" t="str">
        <f>IFERROR(Calculations!AR191,"")</f>
        <v/>
      </c>
      <c r="Z193" s="8" t="str">
        <f>IFERROR(Calculations!AS191,"")</f>
        <v/>
      </c>
      <c r="AA193" s="8" t="str">
        <f>IFERROR(Calculations!AT191,"")</f>
        <v/>
      </c>
      <c r="AB193" s="8" t="str">
        <f>IFERROR(Calculations!AU191,"")</f>
        <v/>
      </c>
      <c r="AC193" s="8" t="str">
        <f>IFERROR(Calculations!AV191,"")</f>
        <v/>
      </c>
      <c r="AD193" s="8" t="str">
        <f>IFERROR(Calculations!AW191,"")</f>
        <v/>
      </c>
      <c r="AE193" s="8" t="str">
        <f>IFERROR(Calculations!AX191,"")</f>
        <v/>
      </c>
      <c r="AF193" s="8" t="str">
        <f>IFERROR(IF(Calculations!AY191 &lt;&gt; 0, Calculations!AY191, ""),"")</f>
        <v/>
      </c>
      <c r="AG193" s="42" t="str">
        <f>IFERROR(IF(Calculations!AZ191 &lt;&gt; 0, Calculations!AZ191, ""),"")</f>
        <v/>
      </c>
      <c r="AH193" s="1" t="str">
        <f t="shared" si="10"/>
        <v/>
      </c>
      <c r="AI193" s="1" t="str">
        <f t="shared" si="11"/>
        <v/>
      </c>
      <c r="AJ193" s="89"/>
      <c r="AK193" s="89"/>
      <c r="AL193" s="89"/>
      <c r="AM193" s="89"/>
      <c r="AN193" s="8" t="str">
        <f>IFERROR(Calculations!BJ191, "")</f>
        <v/>
      </c>
      <c r="AO193" s="8" t="str">
        <f>IFERROR(Calculations!BK191, "")</f>
        <v/>
      </c>
      <c r="AP193" s="8" t="str">
        <f>IFERROR(Calculations!BL191, "")</f>
        <v/>
      </c>
      <c r="AQ193" s="8" t="str">
        <f>IFERROR(Calculations!BM191, "")</f>
        <v/>
      </c>
      <c r="AR193" s="8" t="str">
        <f>IFERROR(Calculations!BN191, "")</f>
        <v/>
      </c>
      <c r="AS193" s="8" t="str">
        <f>IFERROR(Calculations!BO191, "")</f>
        <v/>
      </c>
      <c r="AT193" s="8" t="str">
        <f>IFERROR(Calculations!BP191, "")</f>
        <v/>
      </c>
      <c r="AU193" s="8" t="str">
        <f>IFERROR(Calculations!BQ191, "")</f>
        <v/>
      </c>
      <c r="AV193" s="8" t="str">
        <f>IFERROR(Calculations!BR191, "")</f>
        <v/>
      </c>
      <c r="AW193" s="89"/>
      <c r="AX193" s="89"/>
      <c r="AY193" s="89"/>
      <c r="AZ193" s="89"/>
      <c r="BA193" s="8" t="str">
        <f>IFERROR(Calculations!BW191, "")</f>
        <v/>
      </c>
      <c r="BB193" s="8" t="str">
        <f>IFERROR(Calculations!BX191, "")</f>
        <v/>
      </c>
      <c r="BC193" s="8" t="str">
        <f>IFERROR(Calculations!BY191, "")</f>
        <v/>
      </c>
      <c r="BD193" s="8" t="str">
        <f>IFERROR(Calculations!BZ191, "")</f>
        <v/>
      </c>
      <c r="BE193" s="8" t="str">
        <f>IFERROR(Calculations!CA191, "")</f>
        <v/>
      </c>
      <c r="BF193" s="8" t="str">
        <f>IFERROR(Calculations!CB191, "")</f>
        <v/>
      </c>
      <c r="BG193" s="8" t="str">
        <f>IFERROR(Calculations!CC191, "")</f>
        <v/>
      </c>
      <c r="BH193" s="8" t="str">
        <f>IFERROR(Calculations!CD191, "")</f>
        <v/>
      </c>
      <c r="BI193" s="8" t="str">
        <f>IFERROR(Calculations!CE191, "")</f>
        <v/>
      </c>
      <c r="BJ193" s="8" t="str">
        <f>IFERROR(IF(Calculations!CF191 &lt;&gt; 0, Calculations!CF191, ""),"")</f>
        <v/>
      </c>
      <c r="BK193" s="1" t="str">
        <f t="shared" si="12"/>
        <v/>
      </c>
      <c r="BL193" s="1" t="str">
        <f t="shared" si="13"/>
        <v/>
      </c>
      <c r="CD193" s="8"/>
      <c r="CE193" s="8"/>
      <c r="CF193" s="8"/>
      <c r="CG193" s="8"/>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c r="DK193" s="8"/>
      <c r="DL193" s="8"/>
      <c r="DM193" s="8"/>
      <c r="DN193" s="8"/>
      <c r="DO193" s="8"/>
      <c r="DP193" s="8"/>
      <c r="DQ193" s="8"/>
      <c r="DR193" s="8"/>
      <c r="DS193" s="8"/>
      <c r="DT193" s="8"/>
      <c r="DU193" s="8"/>
      <c r="DV193" s="8"/>
      <c r="DW193" s="8"/>
      <c r="DX193" s="8"/>
      <c r="DY193" s="8"/>
      <c r="DZ193" s="8"/>
      <c r="EA193" s="8"/>
    </row>
    <row r="194" spans="2:131" x14ac:dyDescent="0.2">
      <c r="B194" s="1" t="str">
        <f>IFERROR(Calculations!M192/1000, "")</f>
        <v/>
      </c>
      <c r="C194" s="1" t="str">
        <f>Calculations!N192</f>
        <v/>
      </c>
      <c r="D194" s="58" t="str">
        <f>IFERROR(Calculations!$Q192,"")</f>
        <v/>
      </c>
      <c r="E194" s="8" t="str">
        <f>IFERROR(Calculations!$S192, "")</f>
        <v/>
      </c>
      <c r="F194" s="89"/>
      <c r="G194" s="89"/>
      <c r="H194" s="89"/>
      <c r="I194" s="89"/>
      <c r="J194" s="1" t="str">
        <f>IFERROR(Calculations!AC192, "")</f>
        <v/>
      </c>
      <c r="K194" s="1" t="str">
        <f>IFERROR(Calculations!AD192, "")</f>
        <v/>
      </c>
      <c r="L194" s="8" t="str">
        <f>IFERROR(Calculations!AE192,"")</f>
        <v/>
      </c>
      <c r="M194" s="8" t="str">
        <f>IFERROR(Calculations!AF192,"")</f>
        <v/>
      </c>
      <c r="N194" s="8" t="str">
        <f>IFERROR(Calculations!AG192,"")</f>
        <v/>
      </c>
      <c r="O194" s="8" t="str">
        <f>IFERROR(Calculations!AH192,"")</f>
        <v/>
      </c>
      <c r="P194" s="8" t="str">
        <f>IFERROR(Calculations!AI192,"")</f>
        <v/>
      </c>
      <c r="Q194" s="8" t="str">
        <f>IFERROR(Calculations!AJ192,"")</f>
        <v/>
      </c>
      <c r="R194" s="8" t="str">
        <f>IFERROR(Calculations!AK192,"")</f>
        <v/>
      </c>
      <c r="S194" s="89"/>
      <c r="T194" s="89"/>
      <c r="U194" s="89"/>
      <c r="V194" s="89"/>
      <c r="W194" s="1" t="str">
        <f>IFERROR(Calculations!AP192, "")</f>
        <v/>
      </c>
      <c r="X194" s="1" t="str">
        <f>IFERROR(Calculations!AQ192, "")</f>
        <v/>
      </c>
      <c r="Y194" s="8" t="str">
        <f>IFERROR(Calculations!AR192,"")</f>
        <v/>
      </c>
      <c r="Z194" s="8" t="str">
        <f>IFERROR(Calculations!AS192,"")</f>
        <v/>
      </c>
      <c r="AA194" s="8" t="str">
        <f>IFERROR(Calculations!AT192,"")</f>
        <v/>
      </c>
      <c r="AB194" s="8" t="str">
        <f>IFERROR(Calculations!AU192,"")</f>
        <v/>
      </c>
      <c r="AC194" s="8" t="str">
        <f>IFERROR(Calculations!AV192,"")</f>
        <v/>
      </c>
      <c r="AD194" s="8" t="str">
        <f>IFERROR(Calculations!AW192,"")</f>
        <v/>
      </c>
      <c r="AE194" s="8" t="str">
        <f>IFERROR(Calculations!AX192,"")</f>
        <v/>
      </c>
      <c r="AF194" s="8" t="str">
        <f>IFERROR(IF(Calculations!AY192 &lt;&gt; 0, Calculations!AY192, ""),"")</f>
        <v/>
      </c>
      <c r="AG194" s="42" t="str">
        <f>IFERROR(IF(Calculations!AZ192 &lt;&gt; 0, Calculations!AZ192, ""),"")</f>
        <v/>
      </c>
      <c r="AH194" s="1" t="str">
        <f t="shared" si="10"/>
        <v/>
      </c>
      <c r="AI194" s="1" t="str">
        <f t="shared" si="11"/>
        <v/>
      </c>
      <c r="AJ194" s="89"/>
      <c r="AK194" s="89"/>
      <c r="AL194" s="89"/>
      <c r="AM194" s="89"/>
      <c r="AN194" s="8" t="str">
        <f>IFERROR(Calculations!BJ192, "")</f>
        <v/>
      </c>
      <c r="AO194" s="8" t="str">
        <f>IFERROR(Calculations!BK192, "")</f>
        <v/>
      </c>
      <c r="AP194" s="8" t="str">
        <f>IFERROR(Calculations!BL192, "")</f>
        <v/>
      </c>
      <c r="AQ194" s="8" t="str">
        <f>IFERROR(Calculations!BM192, "")</f>
        <v/>
      </c>
      <c r="AR194" s="8" t="str">
        <f>IFERROR(Calculations!BN192, "")</f>
        <v/>
      </c>
      <c r="AS194" s="8" t="str">
        <f>IFERROR(Calculations!BO192, "")</f>
        <v/>
      </c>
      <c r="AT194" s="8" t="str">
        <f>IFERROR(Calculations!BP192, "")</f>
        <v/>
      </c>
      <c r="AU194" s="8" t="str">
        <f>IFERROR(Calculations!BQ192, "")</f>
        <v/>
      </c>
      <c r="AV194" s="8" t="str">
        <f>IFERROR(Calculations!BR192, "")</f>
        <v/>
      </c>
      <c r="AW194" s="89"/>
      <c r="AX194" s="89"/>
      <c r="AY194" s="89"/>
      <c r="AZ194" s="89"/>
      <c r="BA194" s="8" t="str">
        <f>IFERROR(Calculations!BW192, "")</f>
        <v/>
      </c>
      <c r="BB194" s="8" t="str">
        <f>IFERROR(Calculations!BX192, "")</f>
        <v/>
      </c>
      <c r="BC194" s="8" t="str">
        <f>IFERROR(Calculations!BY192, "")</f>
        <v/>
      </c>
      <c r="BD194" s="8" t="str">
        <f>IFERROR(Calculations!BZ192, "")</f>
        <v/>
      </c>
      <c r="BE194" s="8" t="str">
        <f>IFERROR(Calculations!CA192, "")</f>
        <v/>
      </c>
      <c r="BF194" s="8" t="str">
        <f>IFERROR(Calculations!CB192, "")</f>
        <v/>
      </c>
      <c r="BG194" s="8" t="str">
        <f>IFERROR(Calculations!CC192, "")</f>
        <v/>
      </c>
      <c r="BH194" s="8" t="str">
        <f>IFERROR(Calculations!CD192, "")</f>
        <v/>
      </c>
      <c r="BI194" s="8" t="str">
        <f>IFERROR(Calculations!CE192, "")</f>
        <v/>
      </c>
      <c r="BJ194" s="8" t="str">
        <f>IFERROR(IF(Calculations!CF192 &lt;&gt; 0, Calculations!CF192, ""),"")</f>
        <v/>
      </c>
      <c r="BK194" s="1" t="str">
        <f t="shared" si="12"/>
        <v/>
      </c>
      <c r="BL194" s="1" t="str">
        <f t="shared" si="13"/>
        <v/>
      </c>
      <c r="CD194" s="8"/>
      <c r="CE194" s="8"/>
      <c r="CF194" s="8"/>
      <c r="CG194" s="8"/>
      <c r="CH194" s="8"/>
      <c r="CI194" s="8"/>
      <c r="CJ194" s="8"/>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c r="DK194" s="8"/>
      <c r="DL194" s="8"/>
      <c r="DM194" s="8"/>
      <c r="DN194" s="8"/>
      <c r="DO194" s="8"/>
      <c r="DP194" s="8"/>
      <c r="DQ194" s="8"/>
      <c r="DR194" s="8"/>
      <c r="DS194" s="8"/>
      <c r="DT194" s="8"/>
      <c r="DU194" s="8"/>
      <c r="DV194" s="8"/>
      <c r="DW194" s="8"/>
      <c r="DX194" s="8"/>
      <c r="DY194" s="8"/>
      <c r="DZ194" s="8"/>
      <c r="EA194" s="8"/>
    </row>
    <row r="195" spans="2:131" x14ac:dyDescent="0.2">
      <c r="B195" s="1" t="str">
        <f>IFERROR(Calculations!M193/1000, "")</f>
        <v/>
      </c>
      <c r="C195" s="1" t="str">
        <f>Calculations!N193</f>
        <v/>
      </c>
      <c r="D195" s="58" t="str">
        <f>IFERROR(Calculations!$Q193,"")</f>
        <v/>
      </c>
      <c r="E195" s="8" t="str">
        <f>IFERROR(Calculations!$S193, "")</f>
        <v/>
      </c>
      <c r="F195" s="89"/>
      <c r="G195" s="89"/>
      <c r="H195" s="89"/>
      <c r="I195" s="89"/>
      <c r="J195" s="1" t="str">
        <f>IFERROR(Calculations!AC193, "")</f>
        <v/>
      </c>
      <c r="K195" s="1" t="str">
        <f>IFERROR(Calculations!AD193, "")</f>
        <v/>
      </c>
      <c r="L195" s="8" t="str">
        <f>IFERROR(Calculations!AE193,"")</f>
        <v/>
      </c>
      <c r="M195" s="8" t="str">
        <f>IFERROR(Calculations!AF193,"")</f>
        <v/>
      </c>
      <c r="N195" s="8" t="str">
        <f>IFERROR(Calculations!AG193,"")</f>
        <v/>
      </c>
      <c r="O195" s="8" t="str">
        <f>IFERROR(Calculations!AH193,"")</f>
        <v/>
      </c>
      <c r="P195" s="8" t="str">
        <f>IFERROR(Calculations!AI193,"")</f>
        <v/>
      </c>
      <c r="Q195" s="8" t="str">
        <f>IFERROR(Calculations!AJ193,"")</f>
        <v/>
      </c>
      <c r="R195" s="8" t="str">
        <f>IFERROR(Calculations!AK193,"")</f>
        <v/>
      </c>
      <c r="S195" s="89"/>
      <c r="T195" s="89"/>
      <c r="U195" s="89"/>
      <c r="V195" s="89"/>
      <c r="W195" s="1" t="str">
        <f>IFERROR(Calculations!AP193, "")</f>
        <v/>
      </c>
      <c r="X195" s="1" t="str">
        <f>IFERROR(Calculations!AQ193, "")</f>
        <v/>
      </c>
      <c r="Y195" s="8" t="str">
        <f>IFERROR(Calculations!AR193,"")</f>
        <v/>
      </c>
      <c r="Z195" s="8" t="str">
        <f>IFERROR(Calculations!AS193,"")</f>
        <v/>
      </c>
      <c r="AA195" s="8" t="str">
        <f>IFERROR(Calculations!AT193,"")</f>
        <v/>
      </c>
      <c r="AB195" s="8" t="str">
        <f>IFERROR(Calculations!AU193,"")</f>
        <v/>
      </c>
      <c r="AC195" s="8" t="str">
        <f>IFERROR(Calculations!AV193,"")</f>
        <v/>
      </c>
      <c r="AD195" s="8" t="str">
        <f>IFERROR(Calculations!AW193,"")</f>
        <v/>
      </c>
      <c r="AE195" s="8" t="str">
        <f>IFERROR(Calculations!AX193,"")</f>
        <v/>
      </c>
      <c r="AF195" s="8" t="str">
        <f>IFERROR(IF(Calculations!AY193 &lt;&gt; 0, Calculations!AY193, ""),"")</f>
        <v/>
      </c>
      <c r="AG195" s="42" t="str">
        <f>IFERROR(IF(Calculations!AZ193 &lt;&gt; 0, Calculations!AZ193, ""),"")</f>
        <v/>
      </c>
      <c r="AH195" s="1" t="str">
        <f t="shared" si="10"/>
        <v/>
      </c>
      <c r="AI195" s="1" t="str">
        <f t="shared" si="11"/>
        <v/>
      </c>
      <c r="AJ195" s="89"/>
      <c r="AK195" s="89"/>
      <c r="AL195" s="89"/>
      <c r="AM195" s="89"/>
      <c r="AN195" s="8" t="str">
        <f>IFERROR(Calculations!BJ193, "")</f>
        <v/>
      </c>
      <c r="AO195" s="8" t="str">
        <f>IFERROR(Calculations!BK193, "")</f>
        <v/>
      </c>
      <c r="AP195" s="8" t="str">
        <f>IFERROR(Calculations!BL193, "")</f>
        <v/>
      </c>
      <c r="AQ195" s="8" t="str">
        <f>IFERROR(Calculations!BM193, "")</f>
        <v/>
      </c>
      <c r="AR195" s="8" t="str">
        <f>IFERROR(Calculations!BN193, "")</f>
        <v/>
      </c>
      <c r="AS195" s="8" t="str">
        <f>IFERROR(Calculations!BO193, "")</f>
        <v/>
      </c>
      <c r="AT195" s="8" t="str">
        <f>IFERROR(Calculations!BP193, "")</f>
        <v/>
      </c>
      <c r="AU195" s="8" t="str">
        <f>IFERROR(Calculations!BQ193, "")</f>
        <v/>
      </c>
      <c r="AV195" s="8" t="str">
        <f>IFERROR(Calculations!BR193, "")</f>
        <v/>
      </c>
      <c r="AW195" s="89"/>
      <c r="AX195" s="89"/>
      <c r="AY195" s="89"/>
      <c r="AZ195" s="89"/>
      <c r="BA195" s="8" t="str">
        <f>IFERROR(Calculations!BW193, "")</f>
        <v/>
      </c>
      <c r="BB195" s="8" t="str">
        <f>IFERROR(Calculations!BX193, "")</f>
        <v/>
      </c>
      <c r="BC195" s="8" t="str">
        <f>IFERROR(Calculations!BY193, "")</f>
        <v/>
      </c>
      <c r="BD195" s="8" t="str">
        <f>IFERROR(Calculations!BZ193, "")</f>
        <v/>
      </c>
      <c r="BE195" s="8" t="str">
        <f>IFERROR(Calculations!CA193, "")</f>
        <v/>
      </c>
      <c r="BF195" s="8" t="str">
        <f>IFERROR(Calculations!CB193, "")</f>
        <v/>
      </c>
      <c r="BG195" s="8" t="str">
        <f>IFERROR(Calculations!CC193, "")</f>
        <v/>
      </c>
      <c r="BH195" s="8" t="str">
        <f>IFERROR(Calculations!CD193, "")</f>
        <v/>
      </c>
      <c r="BI195" s="8" t="str">
        <f>IFERROR(Calculations!CE193, "")</f>
        <v/>
      </c>
      <c r="BJ195" s="8" t="str">
        <f>IFERROR(IF(Calculations!CF193 &lt;&gt; 0, Calculations!CF193, ""),"")</f>
        <v/>
      </c>
      <c r="BK195" s="1" t="str">
        <f t="shared" si="12"/>
        <v/>
      </c>
      <c r="BL195" s="1" t="str">
        <f t="shared" si="13"/>
        <v/>
      </c>
      <c r="CD195" s="8"/>
      <c r="CE195" s="8"/>
      <c r="CF195" s="8"/>
      <c r="CG195" s="8"/>
      <c r="CH195" s="8"/>
      <c r="CI195" s="8"/>
      <c r="CJ195" s="8"/>
      <c r="CK195" s="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c r="DK195" s="8"/>
      <c r="DL195" s="8"/>
      <c r="DM195" s="8"/>
      <c r="DN195" s="8"/>
      <c r="DO195" s="8"/>
      <c r="DP195" s="8"/>
      <c r="DQ195" s="8"/>
      <c r="DR195" s="8"/>
      <c r="DS195" s="8"/>
      <c r="DT195" s="8"/>
      <c r="DU195" s="8"/>
      <c r="DV195" s="8"/>
      <c r="DW195" s="8"/>
      <c r="DX195" s="8"/>
      <c r="DY195" s="8"/>
      <c r="DZ195" s="8"/>
      <c r="EA195" s="8"/>
    </row>
    <row r="196" spans="2:131" x14ac:dyDescent="0.2">
      <c r="B196" s="1" t="str">
        <f>IFERROR(Calculations!M194/1000, "")</f>
        <v/>
      </c>
      <c r="C196" s="1" t="str">
        <f>Calculations!N194</f>
        <v/>
      </c>
      <c r="D196" s="58" t="str">
        <f>IFERROR(Calculations!$Q194,"")</f>
        <v/>
      </c>
      <c r="E196" s="8" t="str">
        <f>IFERROR(Calculations!$S194, "")</f>
        <v/>
      </c>
      <c r="F196" s="89"/>
      <c r="G196" s="89"/>
      <c r="H196" s="89"/>
      <c r="I196" s="89"/>
      <c r="J196" s="1" t="str">
        <f>IFERROR(Calculations!AC194, "")</f>
        <v/>
      </c>
      <c r="K196" s="1" t="str">
        <f>IFERROR(Calculations!AD194, "")</f>
        <v/>
      </c>
      <c r="L196" s="8" t="str">
        <f>IFERROR(Calculations!AE194,"")</f>
        <v/>
      </c>
      <c r="M196" s="8" t="str">
        <f>IFERROR(Calculations!AF194,"")</f>
        <v/>
      </c>
      <c r="N196" s="8" t="str">
        <f>IFERROR(Calculations!AG194,"")</f>
        <v/>
      </c>
      <c r="O196" s="8" t="str">
        <f>IFERROR(Calculations!AH194,"")</f>
        <v/>
      </c>
      <c r="P196" s="8" t="str">
        <f>IFERROR(Calculations!AI194,"")</f>
        <v/>
      </c>
      <c r="Q196" s="8" t="str">
        <f>IFERROR(Calculations!AJ194,"")</f>
        <v/>
      </c>
      <c r="R196" s="8" t="str">
        <f>IFERROR(Calculations!AK194,"")</f>
        <v/>
      </c>
      <c r="S196" s="89"/>
      <c r="T196" s="89"/>
      <c r="U196" s="89"/>
      <c r="V196" s="89"/>
      <c r="W196" s="1" t="str">
        <f>IFERROR(Calculations!AP194, "")</f>
        <v/>
      </c>
      <c r="X196" s="1" t="str">
        <f>IFERROR(Calculations!AQ194, "")</f>
        <v/>
      </c>
      <c r="Y196" s="8" t="str">
        <f>IFERROR(Calculations!AR194,"")</f>
        <v/>
      </c>
      <c r="Z196" s="8" t="str">
        <f>IFERROR(Calculations!AS194,"")</f>
        <v/>
      </c>
      <c r="AA196" s="8" t="str">
        <f>IFERROR(Calculations!AT194,"")</f>
        <v/>
      </c>
      <c r="AB196" s="8" t="str">
        <f>IFERROR(Calculations!AU194,"")</f>
        <v/>
      </c>
      <c r="AC196" s="8" t="str">
        <f>IFERROR(Calculations!AV194,"")</f>
        <v/>
      </c>
      <c r="AD196" s="8" t="str">
        <f>IFERROR(Calculations!AW194,"")</f>
        <v/>
      </c>
      <c r="AE196" s="8" t="str">
        <f>IFERROR(Calculations!AX194,"")</f>
        <v/>
      </c>
      <c r="AF196" s="8" t="str">
        <f>IFERROR(IF(Calculations!AY194 &lt;&gt; 0, Calculations!AY194, ""),"")</f>
        <v/>
      </c>
      <c r="AG196" s="42" t="str">
        <f>IFERROR(IF(Calculations!AZ194 &lt;&gt; 0, Calculations!AZ194, ""),"")</f>
        <v/>
      </c>
      <c r="AH196" s="1" t="str">
        <f t="shared" si="10"/>
        <v/>
      </c>
      <c r="AI196" s="1" t="str">
        <f t="shared" si="11"/>
        <v/>
      </c>
      <c r="AJ196" s="89"/>
      <c r="AK196" s="89"/>
      <c r="AL196" s="89"/>
      <c r="AM196" s="89"/>
      <c r="AN196" s="8" t="str">
        <f>IFERROR(Calculations!BJ194, "")</f>
        <v/>
      </c>
      <c r="AO196" s="8" t="str">
        <f>IFERROR(Calculations!BK194, "")</f>
        <v/>
      </c>
      <c r="AP196" s="8" t="str">
        <f>IFERROR(Calculations!BL194, "")</f>
        <v/>
      </c>
      <c r="AQ196" s="8" t="str">
        <f>IFERROR(Calculations!BM194, "")</f>
        <v/>
      </c>
      <c r="AR196" s="8" t="str">
        <f>IFERROR(Calculations!BN194, "")</f>
        <v/>
      </c>
      <c r="AS196" s="8" t="str">
        <f>IFERROR(Calculations!BO194, "")</f>
        <v/>
      </c>
      <c r="AT196" s="8" t="str">
        <f>IFERROR(Calculations!BP194, "")</f>
        <v/>
      </c>
      <c r="AU196" s="8" t="str">
        <f>IFERROR(Calculations!BQ194, "")</f>
        <v/>
      </c>
      <c r="AV196" s="8" t="str">
        <f>IFERROR(Calculations!BR194, "")</f>
        <v/>
      </c>
      <c r="AW196" s="89"/>
      <c r="AX196" s="89"/>
      <c r="AY196" s="89"/>
      <c r="AZ196" s="89"/>
      <c r="BA196" s="8" t="str">
        <f>IFERROR(Calculations!BW194, "")</f>
        <v/>
      </c>
      <c r="BB196" s="8" t="str">
        <f>IFERROR(Calculations!BX194, "")</f>
        <v/>
      </c>
      <c r="BC196" s="8" t="str">
        <f>IFERROR(Calculations!BY194, "")</f>
        <v/>
      </c>
      <c r="BD196" s="8" t="str">
        <f>IFERROR(Calculations!BZ194, "")</f>
        <v/>
      </c>
      <c r="BE196" s="8" t="str">
        <f>IFERROR(Calculations!CA194, "")</f>
        <v/>
      </c>
      <c r="BF196" s="8" t="str">
        <f>IFERROR(Calculations!CB194, "")</f>
        <v/>
      </c>
      <c r="BG196" s="8" t="str">
        <f>IFERROR(Calculations!CC194, "")</f>
        <v/>
      </c>
      <c r="BH196" s="8" t="str">
        <f>IFERROR(Calculations!CD194, "")</f>
        <v/>
      </c>
      <c r="BI196" s="8" t="str">
        <f>IFERROR(Calculations!CE194, "")</f>
        <v/>
      </c>
      <c r="BJ196" s="8" t="str">
        <f>IFERROR(IF(Calculations!CF194 &lt;&gt; 0, Calculations!CF194, ""),"")</f>
        <v/>
      </c>
      <c r="BK196" s="1" t="str">
        <f t="shared" si="12"/>
        <v/>
      </c>
      <c r="BL196" s="1" t="str">
        <f t="shared" si="13"/>
        <v/>
      </c>
      <c r="CD196" s="8"/>
      <c r="CE196" s="8"/>
      <c r="CF196" s="8"/>
      <c r="CG196" s="8"/>
      <c r="CH196" s="8"/>
      <c r="CI196" s="8"/>
      <c r="CJ196" s="8"/>
      <c r="CK196" s="8"/>
      <c r="CL196" s="8"/>
      <c r="CM196" s="8"/>
      <c r="CN196" s="8"/>
      <c r="CO196" s="8"/>
      <c r="CP196" s="8"/>
      <c r="CQ196" s="8"/>
      <c r="CR196" s="8"/>
      <c r="CS196" s="8"/>
      <c r="CT196" s="8"/>
      <c r="CU196" s="8"/>
      <c r="CV196" s="8"/>
      <c r="CW196" s="8"/>
      <c r="CX196" s="8"/>
      <c r="CY196" s="8"/>
      <c r="CZ196" s="8"/>
      <c r="DA196" s="8"/>
      <c r="DB196" s="8"/>
      <c r="DC196" s="8"/>
      <c r="DD196" s="8"/>
      <c r="DE196" s="8"/>
      <c r="DF196" s="8"/>
      <c r="DG196" s="8"/>
      <c r="DH196" s="8"/>
      <c r="DI196" s="8"/>
      <c r="DJ196" s="8"/>
      <c r="DK196" s="8"/>
      <c r="DL196" s="8"/>
      <c r="DM196" s="8"/>
      <c r="DN196" s="8"/>
      <c r="DO196" s="8"/>
      <c r="DP196" s="8"/>
      <c r="DQ196" s="8"/>
      <c r="DR196" s="8"/>
      <c r="DS196" s="8"/>
      <c r="DT196" s="8"/>
      <c r="DU196" s="8"/>
      <c r="DV196" s="8"/>
      <c r="DW196" s="8"/>
      <c r="DX196" s="8"/>
      <c r="DY196" s="8"/>
      <c r="DZ196" s="8"/>
      <c r="EA196" s="8"/>
    </row>
    <row r="197" spans="2:131" x14ac:dyDescent="0.2">
      <c r="B197" s="1" t="str">
        <f>IFERROR(Calculations!M195/1000, "")</f>
        <v/>
      </c>
      <c r="C197" s="1" t="str">
        <f>Calculations!N195</f>
        <v/>
      </c>
      <c r="D197" s="58" t="str">
        <f>IFERROR(Calculations!$Q195,"")</f>
        <v/>
      </c>
      <c r="E197" s="8" t="str">
        <f>IFERROR(Calculations!$S195, "")</f>
        <v/>
      </c>
      <c r="F197" s="89"/>
      <c r="G197" s="89"/>
      <c r="H197" s="89"/>
      <c r="I197" s="89"/>
      <c r="J197" s="1" t="str">
        <f>IFERROR(Calculations!AC195, "")</f>
        <v/>
      </c>
      <c r="K197" s="1" t="str">
        <f>IFERROR(Calculations!AD195, "")</f>
        <v/>
      </c>
      <c r="L197" s="8" t="str">
        <f>IFERROR(Calculations!AE195,"")</f>
        <v/>
      </c>
      <c r="M197" s="8" t="str">
        <f>IFERROR(Calculations!AF195,"")</f>
        <v/>
      </c>
      <c r="N197" s="8" t="str">
        <f>IFERROR(Calculations!AG195,"")</f>
        <v/>
      </c>
      <c r="O197" s="8" t="str">
        <f>IFERROR(Calculations!AH195,"")</f>
        <v/>
      </c>
      <c r="P197" s="8" t="str">
        <f>IFERROR(Calculations!AI195,"")</f>
        <v/>
      </c>
      <c r="Q197" s="8" t="str">
        <f>IFERROR(Calculations!AJ195,"")</f>
        <v/>
      </c>
      <c r="R197" s="8" t="str">
        <f>IFERROR(Calculations!AK195,"")</f>
        <v/>
      </c>
      <c r="S197" s="89"/>
      <c r="T197" s="89"/>
      <c r="U197" s="89"/>
      <c r="V197" s="89"/>
      <c r="W197" s="1" t="str">
        <f>IFERROR(Calculations!AP195, "")</f>
        <v/>
      </c>
      <c r="X197" s="1" t="str">
        <f>IFERROR(Calculations!AQ195, "")</f>
        <v/>
      </c>
      <c r="Y197" s="8" t="str">
        <f>IFERROR(Calculations!AR195,"")</f>
        <v/>
      </c>
      <c r="Z197" s="8" t="str">
        <f>IFERROR(Calculations!AS195,"")</f>
        <v/>
      </c>
      <c r="AA197" s="8" t="str">
        <f>IFERROR(Calculations!AT195,"")</f>
        <v/>
      </c>
      <c r="AB197" s="8" t="str">
        <f>IFERROR(Calculations!AU195,"")</f>
        <v/>
      </c>
      <c r="AC197" s="8" t="str">
        <f>IFERROR(Calculations!AV195,"")</f>
        <v/>
      </c>
      <c r="AD197" s="8" t="str">
        <f>IFERROR(Calculations!AW195,"")</f>
        <v/>
      </c>
      <c r="AE197" s="8" t="str">
        <f>IFERROR(Calculations!AX195,"")</f>
        <v/>
      </c>
      <c r="AF197" s="8" t="str">
        <f>IFERROR(IF(Calculations!AY195 &lt;&gt; 0, Calculations!AY195, ""),"")</f>
        <v/>
      </c>
      <c r="AG197" s="42" t="str">
        <f>IFERROR(IF(Calculations!AZ195 &lt;&gt; 0, Calculations!AZ195, ""),"")</f>
        <v/>
      </c>
      <c r="AH197" s="1" t="str">
        <f t="shared" si="10"/>
        <v/>
      </c>
      <c r="AI197" s="1" t="str">
        <f t="shared" si="11"/>
        <v/>
      </c>
      <c r="AJ197" s="89"/>
      <c r="AK197" s="89"/>
      <c r="AL197" s="89"/>
      <c r="AM197" s="89"/>
      <c r="AN197" s="8" t="str">
        <f>IFERROR(Calculations!BJ195, "")</f>
        <v/>
      </c>
      <c r="AO197" s="8" t="str">
        <f>IFERROR(Calculations!BK195, "")</f>
        <v/>
      </c>
      <c r="AP197" s="8" t="str">
        <f>IFERROR(Calculations!BL195, "")</f>
        <v/>
      </c>
      <c r="AQ197" s="8" t="str">
        <f>IFERROR(Calculations!BM195, "")</f>
        <v/>
      </c>
      <c r="AR197" s="8" t="str">
        <f>IFERROR(Calculations!BN195, "")</f>
        <v/>
      </c>
      <c r="AS197" s="8" t="str">
        <f>IFERROR(Calculations!BO195, "")</f>
        <v/>
      </c>
      <c r="AT197" s="8" t="str">
        <f>IFERROR(Calculations!BP195, "")</f>
        <v/>
      </c>
      <c r="AU197" s="8" t="str">
        <f>IFERROR(Calculations!BQ195, "")</f>
        <v/>
      </c>
      <c r="AV197" s="8" t="str">
        <f>IFERROR(Calculations!BR195, "")</f>
        <v/>
      </c>
      <c r="AW197" s="89"/>
      <c r="AX197" s="89"/>
      <c r="AY197" s="89"/>
      <c r="AZ197" s="89"/>
      <c r="BA197" s="8" t="str">
        <f>IFERROR(Calculations!BW195, "")</f>
        <v/>
      </c>
      <c r="BB197" s="8" t="str">
        <f>IFERROR(Calculations!BX195, "")</f>
        <v/>
      </c>
      <c r="BC197" s="8" t="str">
        <f>IFERROR(Calculations!BY195, "")</f>
        <v/>
      </c>
      <c r="BD197" s="8" t="str">
        <f>IFERROR(Calculations!BZ195, "")</f>
        <v/>
      </c>
      <c r="BE197" s="8" t="str">
        <f>IFERROR(Calculations!CA195, "")</f>
        <v/>
      </c>
      <c r="BF197" s="8" t="str">
        <f>IFERROR(Calculations!CB195, "")</f>
        <v/>
      </c>
      <c r="BG197" s="8" t="str">
        <f>IFERROR(Calculations!CC195, "")</f>
        <v/>
      </c>
      <c r="BH197" s="8" t="str">
        <f>IFERROR(Calculations!CD195, "")</f>
        <v/>
      </c>
      <c r="BI197" s="8" t="str">
        <f>IFERROR(Calculations!CE195, "")</f>
        <v/>
      </c>
      <c r="BJ197" s="8" t="str">
        <f>IFERROR(IF(Calculations!CF195 &lt;&gt; 0, Calculations!CF195, ""),"")</f>
        <v/>
      </c>
      <c r="BK197" s="1" t="str">
        <f t="shared" si="12"/>
        <v/>
      </c>
      <c r="BL197" s="1" t="str">
        <f t="shared" si="13"/>
        <v/>
      </c>
      <c r="CD197" s="8"/>
      <c r="CE197" s="8"/>
      <c r="CF197" s="8"/>
      <c r="CG197" s="8"/>
      <c r="CH197" s="8"/>
      <c r="CI197" s="8"/>
      <c r="CJ197" s="8"/>
      <c r="CK197" s="8"/>
      <c r="CL197" s="8"/>
      <c r="CM197" s="8"/>
      <c r="CN197" s="8"/>
      <c r="CO197" s="8"/>
      <c r="CP197" s="8"/>
      <c r="CQ197" s="8"/>
      <c r="CR197" s="8"/>
      <c r="CS197" s="8"/>
      <c r="CT197" s="8"/>
      <c r="CU197" s="8"/>
      <c r="CV197" s="8"/>
      <c r="CW197" s="8"/>
      <c r="CX197" s="8"/>
      <c r="CY197" s="8"/>
      <c r="CZ197" s="8"/>
      <c r="DA197" s="8"/>
      <c r="DB197" s="8"/>
      <c r="DC197" s="8"/>
      <c r="DD197" s="8"/>
      <c r="DE197" s="8"/>
      <c r="DF197" s="8"/>
      <c r="DG197" s="8"/>
      <c r="DH197" s="8"/>
      <c r="DI197" s="8"/>
      <c r="DJ197" s="8"/>
      <c r="DK197" s="8"/>
      <c r="DL197" s="8"/>
      <c r="DM197" s="8"/>
      <c r="DN197" s="8"/>
      <c r="DO197" s="8"/>
      <c r="DP197" s="8"/>
      <c r="DQ197" s="8"/>
      <c r="DR197" s="8"/>
      <c r="DS197" s="8"/>
      <c r="DT197" s="8"/>
      <c r="DU197" s="8"/>
      <c r="DV197" s="8"/>
      <c r="DW197" s="8"/>
      <c r="DX197" s="8"/>
      <c r="DY197" s="8"/>
      <c r="DZ197" s="8"/>
      <c r="EA197" s="8"/>
    </row>
    <row r="198" spans="2:131" x14ac:dyDescent="0.2">
      <c r="B198" s="1" t="str">
        <f>IFERROR(Calculations!M196/1000, "")</f>
        <v/>
      </c>
      <c r="C198" s="1" t="str">
        <f>Calculations!N196</f>
        <v/>
      </c>
      <c r="D198" s="58" t="str">
        <f>IFERROR(Calculations!$Q196,"")</f>
        <v/>
      </c>
      <c r="E198" s="8" t="str">
        <f>IFERROR(Calculations!$S196, "")</f>
        <v/>
      </c>
      <c r="F198" s="89"/>
      <c r="G198" s="89"/>
      <c r="H198" s="89"/>
      <c r="I198" s="89"/>
      <c r="J198" s="1" t="str">
        <f>IFERROR(Calculations!AC196, "")</f>
        <v/>
      </c>
      <c r="K198" s="1" t="str">
        <f>IFERROR(Calculations!AD196, "")</f>
        <v/>
      </c>
      <c r="L198" s="8" t="str">
        <f>IFERROR(Calculations!AE196,"")</f>
        <v/>
      </c>
      <c r="M198" s="8" t="str">
        <f>IFERROR(Calculations!AF196,"")</f>
        <v/>
      </c>
      <c r="N198" s="8" t="str">
        <f>IFERROR(Calculations!AG196,"")</f>
        <v/>
      </c>
      <c r="O198" s="8" t="str">
        <f>IFERROR(Calculations!AH196,"")</f>
        <v/>
      </c>
      <c r="P198" s="8" t="str">
        <f>IFERROR(Calculations!AI196,"")</f>
        <v/>
      </c>
      <c r="Q198" s="8" t="str">
        <f>IFERROR(Calculations!AJ196,"")</f>
        <v/>
      </c>
      <c r="R198" s="8" t="str">
        <f>IFERROR(Calculations!AK196,"")</f>
        <v/>
      </c>
      <c r="S198" s="89"/>
      <c r="T198" s="89"/>
      <c r="U198" s="89"/>
      <c r="V198" s="89"/>
      <c r="W198" s="1" t="str">
        <f>IFERROR(Calculations!AP196, "")</f>
        <v/>
      </c>
      <c r="X198" s="1" t="str">
        <f>IFERROR(Calculations!AQ196, "")</f>
        <v/>
      </c>
      <c r="Y198" s="8" t="str">
        <f>IFERROR(Calculations!AR196,"")</f>
        <v/>
      </c>
      <c r="Z198" s="8" t="str">
        <f>IFERROR(Calculations!AS196,"")</f>
        <v/>
      </c>
      <c r="AA198" s="8" t="str">
        <f>IFERROR(Calculations!AT196,"")</f>
        <v/>
      </c>
      <c r="AB198" s="8" t="str">
        <f>IFERROR(Calculations!AU196,"")</f>
        <v/>
      </c>
      <c r="AC198" s="8" t="str">
        <f>IFERROR(Calculations!AV196,"")</f>
        <v/>
      </c>
      <c r="AD198" s="8" t="str">
        <f>IFERROR(Calculations!AW196,"")</f>
        <v/>
      </c>
      <c r="AE198" s="8" t="str">
        <f>IFERROR(Calculations!AX196,"")</f>
        <v/>
      </c>
      <c r="AF198" s="8" t="str">
        <f>IFERROR(IF(Calculations!AY196 &lt;&gt; 0, Calculations!AY196, ""),"")</f>
        <v/>
      </c>
      <c r="AG198" s="42" t="str">
        <f>IFERROR(IF(Calculations!AZ196 &lt;&gt; 0, Calculations!AZ196, ""),"")</f>
        <v/>
      </c>
      <c r="AH198" s="1" t="str">
        <f t="shared" si="10"/>
        <v/>
      </c>
      <c r="AI198" s="1" t="str">
        <f t="shared" si="11"/>
        <v/>
      </c>
      <c r="AJ198" s="89"/>
      <c r="AK198" s="89"/>
      <c r="AL198" s="89"/>
      <c r="AM198" s="89"/>
      <c r="AN198" s="8" t="str">
        <f>IFERROR(Calculations!BJ196, "")</f>
        <v/>
      </c>
      <c r="AO198" s="8" t="str">
        <f>IFERROR(Calculations!BK196, "")</f>
        <v/>
      </c>
      <c r="AP198" s="8" t="str">
        <f>IFERROR(Calculations!BL196, "")</f>
        <v/>
      </c>
      <c r="AQ198" s="8" t="str">
        <f>IFERROR(Calculations!BM196, "")</f>
        <v/>
      </c>
      <c r="AR198" s="8" t="str">
        <f>IFERROR(Calculations!BN196, "")</f>
        <v/>
      </c>
      <c r="AS198" s="8" t="str">
        <f>IFERROR(Calculations!BO196, "")</f>
        <v/>
      </c>
      <c r="AT198" s="8" t="str">
        <f>IFERROR(Calculations!BP196, "")</f>
        <v/>
      </c>
      <c r="AU198" s="8" t="str">
        <f>IFERROR(Calculations!BQ196, "")</f>
        <v/>
      </c>
      <c r="AV198" s="8" t="str">
        <f>IFERROR(Calculations!BR196, "")</f>
        <v/>
      </c>
      <c r="AW198" s="89"/>
      <c r="AX198" s="89"/>
      <c r="AY198" s="89"/>
      <c r="AZ198" s="89"/>
      <c r="BA198" s="8" t="str">
        <f>IFERROR(Calculations!BW196, "")</f>
        <v/>
      </c>
      <c r="BB198" s="8" t="str">
        <f>IFERROR(Calculations!BX196, "")</f>
        <v/>
      </c>
      <c r="BC198" s="8" t="str">
        <f>IFERROR(Calculations!BY196, "")</f>
        <v/>
      </c>
      <c r="BD198" s="8" t="str">
        <f>IFERROR(Calculations!BZ196, "")</f>
        <v/>
      </c>
      <c r="BE198" s="8" t="str">
        <f>IFERROR(Calculations!CA196, "")</f>
        <v/>
      </c>
      <c r="BF198" s="8" t="str">
        <f>IFERROR(Calculations!CB196, "")</f>
        <v/>
      </c>
      <c r="BG198" s="8" t="str">
        <f>IFERROR(Calculations!CC196, "")</f>
        <v/>
      </c>
      <c r="BH198" s="8" t="str">
        <f>IFERROR(Calculations!CD196, "")</f>
        <v/>
      </c>
      <c r="BI198" s="8" t="str">
        <f>IFERROR(Calculations!CE196, "")</f>
        <v/>
      </c>
      <c r="BJ198" s="8" t="str">
        <f>IFERROR(IF(Calculations!CF196 &lt;&gt; 0, Calculations!CF196, ""),"")</f>
        <v/>
      </c>
      <c r="BK198" s="1" t="str">
        <f t="shared" si="12"/>
        <v/>
      </c>
      <c r="BL198" s="1" t="str">
        <f t="shared" si="13"/>
        <v/>
      </c>
      <c r="CD198" s="8"/>
      <c r="CE198" s="8"/>
      <c r="CF198" s="8"/>
      <c r="CG198" s="8"/>
      <c r="CH198" s="8"/>
      <c r="CI198" s="8"/>
      <c r="CJ198" s="8"/>
      <c r="CK198" s="8"/>
      <c r="CL198" s="8"/>
      <c r="CM198" s="8"/>
      <c r="CN198" s="8"/>
      <c r="CO198" s="8"/>
      <c r="CP198" s="8"/>
      <c r="CQ198" s="8"/>
      <c r="CR198" s="8"/>
      <c r="CS198" s="8"/>
      <c r="CT198" s="8"/>
      <c r="CU198" s="8"/>
      <c r="CV198" s="8"/>
      <c r="CW198" s="8"/>
      <c r="CX198" s="8"/>
      <c r="CY198" s="8"/>
      <c r="CZ198" s="8"/>
      <c r="DA198" s="8"/>
      <c r="DB198" s="8"/>
      <c r="DC198" s="8"/>
      <c r="DD198" s="8"/>
      <c r="DE198" s="8"/>
      <c r="DF198" s="8"/>
      <c r="DG198" s="8"/>
      <c r="DH198" s="8"/>
      <c r="DI198" s="8"/>
      <c r="DJ198" s="8"/>
      <c r="DK198" s="8"/>
      <c r="DL198" s="8"/>
      <c r="DM198" s="8"/>
      <c r="DN198" s="8"/>
      <c r="DO198" s="8"/>
      <c r="DP198" s="8"/>
      <c r="DQ198" s="8"/>
      <c r="DR198" s="8"/>
      <c r="DS198" s="8"/>
      <c r="DT198" s="8"/>
      <c r="DU198" s="8"/>
      <c r="DV198" s="8"/>
      <c r="DW198" s="8"/>
      <c r="DX198" s="8"/>
      <c r="DY198" s="8"/>
      <c r="DZ198" s="8"/>
      <c r="EA198" s="8"/>
    </row>
    <row r="199" spans="2:131" x14ac:dyDescent="0.2">
      <c r="B199" s="1" t="str">
        <f>IFERROR(Calculations!M197/1000, "")</f>
        <v/>
      </c>
      <c r="C199" s="1" t="str">
        <f>Calculations!N197</f>
        <v/>
      </c>
      <c r="D199" s="58" t="str">
        <f>IFERROR(Calculations!$Q197,"")</f>
        <v/>
      </c>
      <c r="E199" s="8" t="str">
        <f>IFERROR(Calculations!$S197, "")</f>
        <v/>
      </c>
      <c r="F199" s="89"/>
      <c r="G199" s="89"/>
      <c r="H199" s="89"/>
      <c r="I199" s="89"/>
      <c r="J199" s="1" t="str">
        <f>IFERROR(Calculations!AC197, "")</f>
        <v/>
      </c>
      <c r="K199" s="1" t="str">
        <f>IFERROR(Calculations!AD197, "")</f>
        <v/>
      </c>
      <c r="L199" s="8" t="str">
        <f>IFERROR(Calculations!AE197,"")</f>
        <v/>
      </c>
      <c r="M199" s="8" t="str">
        <f>IFERROR(Calculations!AF197,"")</f>
        <v/>
      </c>
      <c r="N199" s="8" t="str">
        <f>IFERROR(Calculations!AG197,"")</f>
        <v/>
      </c>
      <c r="O199" s="8" t="str">
        <f>IFERROR(Calculations!AH197,"")</f>
        <v/>
      </c>
      <c r="P199" s="8" t="str">
        <f>IFERROR(Calculations!AI197,"")</f>
        <v/>
      </c>
      <c r="Q199" s="8" t="str">
        <f>IFERROR(Calculations!AJ197,"")</f>
        <v/>
      </c>
      <c r="R199" s="8" t="str">
        <f>IFERROR(Calculations!AK197,"")</f>
        <v/>
      </c>
      <c r="S199" s="89"/>
      <c r="T199" s="89"/>
      <c r="U199" s="89"/>
      <c r="V199" s="89"/>
      <c r="W199" s="1" t="str">
        <f>IFERROR(Calculations!AP197, "")</f>
        <v/>
      </c>
      <c r="X199" s="1" t="str">
        <f>IFERROR(Calculations!AQ197, "")</f>
        <v/>
      </c>
      <c r="Y199" s="8" t="str">
        <f>IFERROR(Calculations!AR197,"")</f>
        <v/>
      </c>
      <c r="Z199" s="8" t="str">
        <f>IFERROR(Calculations!AS197,"")</f>
        <v/>
      </c>
      <c r="AA199" s="8" t="str">
        <f>IFERROR(Calculations!AT197,"")</f>
        <v/>
      </c>
      <c r="AB199" s="8" t="str">
        <f>IFERROR(Calculations!AU197,"")</f>
        <v/>
      </c>
      <c r="AC199" s="8" t="str">
        <f>IFERROR(Calculations!AV197,"")</f>
        <v/>
      </c>
      <c r="AD199" s="8" t="str">
        <f>IFERROR(Calculations!AW197,"")</f>
        <v/>
      </c>
      <c r="AE199" s="8" t="str">
        <f>IFERROR(Calculations!AX197,"")</f>
        <v/>
      </c>
      <c r="AF199" s="8" t="str">
        <f>IFERROR(IF(Calculations!AY197 &lt;&gt; 0, Calculations!AY197, ""),"")</f>
        <v/>
      </c>
      <c r="AG199" s="42" t="str">
        <f>IFERROR(IF(Calculations!AZ197 &lt;&gt; 0, Calculations!AZ197, ""),"")</f>
        <v/>
      </c>
      <c r="AH199" s="1" t="str">
        <f t="shared" si="10"/>
        <v/>
      </c>
      <c r="AI199" s="1" t="str">
        <f t="shared" si="11"/>
        <v/>
      </c>
      <c r="AJ199" s="89"/>
      <c r="AK199" s="89"/>
      <c r="AL199" s="89"/>
      <c r="AM199" s="89"/>
      <c r="AN199" s="8" t="str">
        <f>IFERROR(Calculations!BJ197, "")</f>
        <v/>
      </c>
      <c r="AO199" s="8" t="str">
        <f>IFERROR(Calculations!BK197, "")</f>
        <v/>
      </c>
      <c r="AP199" s="8" t="str">
        <f>IFERROR(Calculations!BL197, "")</f>
        <v/>
      </c>
      <c r="AQ199" s="8" t="str">
        <f>IFERROR(Calculations!BM197, "")</f>
        <v/>
      </c>
      <c r="AR199" s="8" t="str">
        <f>IFERROR(Calculations!BN197, "")</f>
        <v/>
      </c>
      <c r="AS199" s="8" t="str">
        <f>IFERROR(Calculations!BO197, "")</f>
        <v/>
      </c>
      <c r="AT199" s="8" t="str">
        <f>IFERROR(Calculations!BP197, "")</f>
        <v/>
      </c>
      <c r="AU199" s="8" t="str">
        <f>IFERROR(Calculations!BQ197, "")</f>
        <v/>
      </c>
      <c r="AV199" s="8" t="str">
        <f>IFERROR(Calculations!BR197, "")</f>
        <v/>
      </c>
      <c r="AW199" s="89"/>
      <c r="AX199" s="89"/>
      <c r="AY199" s="89"/>
      <c r="AZ199" s="89"/>
      <c r="BA199" s="8" t="str">
        <f>IFERROR(Calculations!BW197, "")</f>
        <v/>
      </c>
      <c r="BB199" s="8" t="str">
        <f>IFERROR(Calculations!BX197, "")</f>
        <v/>
      </c>
      <c r="BC199" s="8" t="str">
        <f>IFERROR(Calculations!BY197, "")</f>
        <v/>
      </c>
      <c r="BD199" s="8" t="str">
        <f>IFERROR(Calculations!BZ197, "")</f>
        <v/>
      </c>
      <c r="BE199" s="8" t="str">
        <f>IFERROR(Calculations!CA197, "")</f>
        <v/>
      </c>
      <c r="BF199" s="8" t="str">
        <f>IFERROR(Calculations!CB197, "")</f>
        <v/>
      </c>
      <c r="BG199" s="8" t="str">
        <f>IFERROR(Calculations!CC197, "")</f>
        <v/>
      </c>
      <c r="BH199" s="8" t="str">
        <f>IFERROR(Calculations!CD197, "")</f>
        <v/>
      </c>
      <c r="BI199" s="8" t="str">
        <f>IFERROR(Calculations!CE197, "")</f>
        <v/>
      </c>
      <c r="BJ199" s="8" t="str">
        <f>IFERROR(IF(Calculations!CF197 &lt;&gt; 0, Calculations!CF197, ""),"")</f>
        <v/>
      </c>
      <c r="BK199" s="1" t="str">
        <f t="shared" si="12"/>
        <v/>
      </c>
      <c r="BL199" s="1" t="str">
        <f t="shared" si="13"/>
        <v/>
      </c>
      <c r="CD199" s="8"/>
      <c r="CE199" s="8"/>
      <c r="CF199" s="8"/>
      <c r="CG199" s="8"/>
      <c r="CH199" s="8"/>
      <c r="CI199" s="8"/>
      <c r="CJ199" s="8"/>
      <c r="CK199" s="8"/>
      <c r="CL199" s="8"/>
      <c r="CM199" s="8"/>
      <c r="CN199" s="8"/>
      <c r="CO199" s="8"/>
      <c r="CP199" s="8"/>
      <c r="CQ199" s="8"/>
      <c r="CR199" s="8"/>
      <c r="CS199" s="8"/>
      <c r="CT199" s="8"/>
      <c r="CU199" s="8"/>
      <c r="CV199" s="8"/>
      <c r="CW199" s="8"/>
      <c r="CX199" s="8"/>
      <c r="CY199" s="8"/>
      <c r="CZ199" s="8"/>
      <c r="DA199" s="8"/>
      <c r="DB199" s="8"/>
      <c r="DC199" s="8"/>
      <c r="DD199" s="8"/>
      <c r="DE199" s="8"/>
      <c r="DF199" s="8"/>
      <c r="DG199" s="8"/>
      <c r="DH199" s="8"/>
      <c r="DI199" s="8"/>
      <c r="DJ199" s="8"/>
      <c r="DK199" s="8"/>
      <c r="DL199" s="8"/>
      <c r="DM199" s="8"/>
      <c r="DN199" s="8"/>
      <c r="DO199" s="8"/>
      <c r="DP199" s="8"/>
      <c r="DQ199" s="8"/>
      <c r="DR199" s="8"/>
      <c r="DS199" s="8"/>
      <c r="DT199" s="8"/>
      <c r="DU199" s="8"/>
      <c r="DV199" s="8"/>
      <c r="DW199" s="8"/>
      <c r="DX199" s="8"/>
      <c r="DY199" s="8"/>
      <c r="DZ199" s="8"/>
      <c r="EA199" s="8"/>
    </row>
    <row r="200" spans="2:131" x14ac:dyDescent="0.2">
      <c r="B200" s="1" t="str">
        <f>IFERROR(Calculations!M198/1000, "")</f>
        <v/>
      </c>
      <c r="C200" s="1" t="str">
        <f>Calculations!N198</f>
        <v/>
      </c>
      <c r="D200" s="58" t="str">
        <f>IFERROR(Calculations!$Q198,"")</f>
        <v/>
      </c>
      <c r="E200" s="8" t="str">
        <f>IFERROR(Calculations!$S198, "")</f>
        <v/>
      </c>
      <c r="F200" s="89"/>
      <c r="G200" s="89"/>
      <c r="H200" s="89"/>
      <c r="I200" s="89"/>
      <c r="J200" s="1" t="str">
        <f>IFERROR(Calculations!AC198, "")</f>
        <v/>
      </c>
      <c r="K200" s="1" t="str">
        <f>IFERROR(Calculations!AD198, "")</f>
        <v/>
      </c>
      <c r="L200" s="8" t="str">
        <f>IFERROR(Calculations!AE198,"")</f>
        <v/>
      </c>
      <c r="M200" s="8" t="str">
        <f>IFERROR(Calculations!AF198,"")</f>
        <v/>
      </c>
      <c r="N200" s="8" t="str">
        <f>IFERROR(Calculations!AG198,"")</f>
        <v/>
      </c>
      <c r="O200" s="8" t="str">
        <f>IFERROR(Calculations!AH198,"")</f>
        <v/>
      </c>
      <c r="P200" s="8" t="str">
        <f>IFERROR(Calculations!AI198,"")</f>
        <v/>
      </c>
      <c r="Q200" s="8" t="str">
        <f>IFERROR(Calculations!AJ198,"")</f>
        <v/>
      </c>
      <c r="R200" s="8" t="str">
        <f>IFERROR(Calculations!AK198,"")</f>
        <v/>
      </c>
      <c r="S200" s="89"/>
      <c r="T200" s="89"/>
      <c r="U200" s="89"/>
      <c r="V200" s="89"/>
      <c r="W200" s="1" t="str">
        <f>IFERROR(Calculations!AP198, "")</f>
        <v/>
      </c>
      <c r="X200" s="1" t="str">
        <f>IFERROR(Calculations!AQ198, "")</f>
        <v/>
      </c>
      <c r="Y200" s="8" t="str">
        <f>IFERROR(Calculations!AR198,"")</f>
        <v/>
      </c>
      <c r="Z200" s="8" t="str">
        <f>IFERROR(Calculations!AS198,"")</f>
        <v/>
      </c>
      <c r="AA200" s="8" t="str">
        <f>IFERROR(Calculations!AT198,"")</f>
        <v/>
      </c>
      <c r="AB200" s="8" t="str">
        <f>IFERROR(Calculations!AU198,"")</f>
        <v/>
      </c>
      <c r="AC200" s="8" t="str">
        <f>IFERROR(Calculations!AV198,"")</f>
        <v/>
      </c>
      <c r="AD200" s="8" t="str">
        <f>IFERROR(Calculations!AW198,"")</f>
        <v/>
      </c>
      <c r="AE200" s="8" t="str">
        <f>IFERROR(Calculations!AX198,"")</f>
        <v/>
      </c>
      <c r="AF200" s="8" t="str">
        <f>IFERROR(IF(Calculations!AY198 &lt;&gt; 0, Calculations!AY198, ""),"")</f>
        <v/>
      </c>
      <c r="AG200" s="42" t="str">
        <f>IFERROR(IF(Calculations!AZ198 &lt;&gt; 0, Calculations!AZ198, ""),"")</f>
        <v/>
      </c>
      <c r="AH200" s="1" t="str">
        <f t="shared" si="10"/>
        <v/>
      </c>
      <c r="AI200" s="1" t="str">
        <f t="shared" si="11"/>
        <v/>
      </c>
      <c r="AJ200" s="89"/>
      <c r="AK200" s="89"/>
      <c r="AL200" s="89"/>
      <c r="AM200" s="89"/>
      <c r="AN200" s="8" t="str">
        <f>IFERROR(Calculations!BJ198, "")</f>
        <v/>
      </c>
      <c r="AO200" s="8" t="str">
        <f>IFERROR(Calculations!BK198, "")</f>
        <v/>
      </c>
      <c r="AP200" s="8" t="str">
        <f>IFERROR(Calculations!BL198, "")</f>
        <v/>
      </c>
      <c r="AQ200" s="8" t="str">
        <f>IFERROR(Calculations!BM198, "")</f>
        <v/>
      </c>
      <c r="AR200" s="8" t="str">
        <f>IFERROR(Calculations!BN198, "")</f>
        <v/>
      </c>
      <c r="AS200" s="8" t="str">
        <f>IFERROR(Calculations!BO198, "")</f>
        <v/>
      </c>
      <c r="AT200" s="8" t="str">
        <f>IFERROR(Calculations!BP198, "")</f>
        <v/>
      </c>
      <c r="AU200" s="8" t="str">
        <f>IFERROR(Calculations!BQ198, "")</f>
        <v/>
      </c>
      <c r="AV200" s="8" t="str">
        <f>IFERROR(Calculations!BR198, "")</f>
        <v/>
      </c>
      <c r="AW200" s="89"/>
      <c r="AX200" s="89"/>
      <c r="AY200" s="89"/>
      <c r="AZ200" s="89"/>
      <c r="BA200" s="8" t="str">
        <f>IFERROR(Calculations!BW198, "")</f>
        <v/>
      </c>
      <c r="BB200" s="8" t="str">
        <f>IFERROR(Calculations!BX198, "")</f>
        <v/>
      </c>
      <c r="BC200" s="8" t="str">
        <f>IFERROR(Calculations!BY198, "")</f>
        <v/>
      </c>
      <c r="BD200" s="8" t="str">
        <f>IFERROR(Calculations!BZ198, "")</f>
        <v/>
      </c>
      <c r="BE200" s="8" t="str">
        <f>IFERROR(Calculations!CA198, "")</f>
        <v/>
      </c>
      <c r="BF200" s="8" t="str">
        <f>IFERROR(Calculations!CB198, "")</f>
        <v/>
      </c>
      <c r="BG200" s="8" t="str">
        <f>IFERROR(Calculations!CC198, "")</f>
        <v/>
      </c>
      <c r="BH200" s="8" t="str">
        <f>IFERROR(Calculations!CD198, "")</f>
        <v/>
      </c>
      <c r="BI200" s="8" t="str">
        <f>IFERROR(Calculations!CE198, "")</f>
        <v/>
      </c>
      <c r="BJ200" s="8" t="str">
        <f>IFERROR(IF(Calculations!CF198 &lt;&gt; 0, Calculations!CF198, ""),"")</f>
        <v/>
      </c>
      <c r="BK200" s="1" t="str">
        <f t="shared" si="12"/>
        <v/>
      </c>
      <c r="BL200" s="1" t="str">
        <f t="shared" si="13"/>
        <v/>
      </c>
      <c r="CD200" s="8"/>
      <c r="CE200" s="8"/>
      <c r="CF200" s="8"/>
      <c r="CG200" s="8"/>
      <c r="CH200" s="8"/>
      <c r="CI200" s="8"/>
      <c r="CJ200" s="8"/>
      <c r="CK200" s="8"/>
      <c r="CL200" s="8"/>
      <c r="CM200" s="8"/>
      <c r="CN200" s="8"/>
      <c r="CO200" s="8"/>
      <c r="CP200" s="8"/>
      <c r="CQ200" s="8"/>
      <c r="CR200" s="8"/>
      <c r="CS200" s="8"/>
      <c r="CT200" s="8"/>
      <c r="CU200" s="8"/>
      <c r="CV200" s="8"/>
      <c r="CW200" s="8"/>
      <c r="CX200" s="8"/>
      <c r="CY200" s="8"/>
      <c r="CZ200" s="8"/>
      <c r="DA200" s="8"/>
      <c r="DB200" s="8"/>
      <c r="DC200" s="8"/>
      <c r="DD200" s="8"/>
      <c r="DE200" s="8"/>
      <c r="DF200" s="8"/>
      <c r="DG200" s="8"/>
      <c r="DH200" s="8"/>
      <c r="DI200" s="8"/>
      <c r="DJ200" s="8"/>
      <c r="DK200" s="8"/>
      <c r="DL200" s="8"/>
      <c r="DM200" s="8"/>
      <c r="DN200" s="8"/>
      <c r="DO200" s="8"/>
      <c r="DP200" s="8"/>
      <c r="DQ200" s="8"/>
      <c r="DR200" s="8"/>
      <c r="DS200" s="8"/>
      <c r="DT200" s="8"/>
      <c r="DU200" s="8"/>
      <c r="DV200" s="8"/>
      <c r="DW200" s="8"/>
      <c r="DX200" s="8"/>
      <c r="DY200" s="8"/>
      <c r="DZ200" s="8"/>
      <c r="EA200" s="8"/>
    </row>
    <row r="201" spans="2:131" x14ac:dyDescent="0.2">
      <c r="B201" s="1" t="str">
        <f>IFERROR(Calculations!M199/1000, "")</f>
        <v/>
      </c>
      <c r="C201" s="1" t="str">
        <f>Calculations!N199</f>
        <v/>
      </c>
      <c r="D201" s="58" t="str">
        <f>IFERROR(Calculations!$Q199,"")</f>
        <v/>
      </c>
      <c r="E201" s="8" t="str">
        <f>IFERROR(Calculations!$S199, "")</f>
        <v/>
      </c>
      <c r="F201" s="89"/>
      <c r="G201" s="89"/>
      <c r="H201" s="89"/>
      <c r="I201" s="89"/>
      <c r="J201" s="1" t="str">
        <f>IFERROR(Calculations!AC199, "")</f>
        <v/>
      </c>
      <c r="K201" s="1" t="str">
        <f>IFERROR(Calculations!AD199, "")</f>
        <v/>
      </c>
      <c r="L201" s="8" t="str">
        <f>IFERROR(Calculations!AE199,"")</f>
        <v/>
      </c>
      <c r="M201" s="8" t="str">
        <f>IFERROR(Calculations!AF199,"")</f>
        <v/>
      </c>
      <c r="N201" s="8" t="str">
        <f>IFERROR(Calculations!AG199,"")</f>
        <v/>
      </c>
      <c r="O201" s="8" t="str">
        <f>IFERROR(Calculations!AH199,"")</f>
        <v/>
      </c>
      <c r="P201" s="8" t="str">
        <f>IFERROR(Calculations!AI199,"")</f>
        <v/>
      </c>
      <c r="Q201" s="8" t="str">
        <f>IFERROR(Calculations!AJ199,"")</f>
        <v/>
      </c>
      <c r="R201" s="8" t="str">
        <f>IFERROR(Calculations!AK199,"")</f>
        <v/>
      </c>
      <c r="S201" s="89"/>
      <c r="T201" s="89"/>
      <c r="U201" s="89"/>
      <c r="V201" s="89"/>
      <c r="W201" s="1" t="str">
        <f>IFERROR(Calculations!AP199, "")</f>
        <v/>
      </c>
      <c r="X201" s="1" t="str">
        <f>IFERROR(Calculations!AQ199, "")</f>
        <v/>
      </c>
      <c r="Y201" s="8" t="str">
        <f>IFERROR(Calculations!AR199,"")</f>
        <v/>
      </c>
      <c r="Z201" s="8" t="str">
        <f>IFERROR(Calculations!AS199,"")</f>
        <v/>
      </c>
      <c r="AA201" s="8" t="str">
        <f>IFERROR(Calculations!AT199,"")</f>
        <v/>
      </c>
      <c r="AB201" s="8" t="str">
        <f>IFERROR(Calculations!AU199,"")</f>
        <v/>
      </c>
      <c r="AC201" s="8" t="str">
        <f>IFERROR(Calculations!AV199,"")</f>
        <v/>
      </c>
      <c r="AD201" s="8" t="str">
        <f>IFERROR(Calculations!AW199,"")</f>
        <v/>
      </c>
      <c r="AE201" s="8" t="str">
        <f>IFERROR(Calculations!AX199,"")</f>
        <v/>
      </c>
      <c r="AF201" s="8" t="str">
        <f>IFERROR(IF(Calculations!AY199 &lt;&gt; 0, Calculations!AY199, ""),"")</f>
        <v/>
      </c>
      <c r="AG201" s="42" t="str">
        <f>IFERROR(IF(Calculations!AZ199 &lt;&gt; 0, Calculations!AZ199, ""),"")</f>
        <v/>
      </c>
      <c r="AH201" s="1" t="str">
        <f t="shared" ref="AH201:AH207" si="14">$B201</f>
        <v/>
      </c>
      <c r="AI201" s="1" t="str">
        <f t="shared" ref="AI201:AI207" si="15">$C201</f>
        <v/>
      </c>
      <c r="AJ201" s="89"/>
      <c r="AK201" s="89"/>
      <c r="AL201" s="89"/>
      <c r="AM201" s="89"/>
      <c r="AN201" s="8" t="str">
        <f>IFERROR(Calculations!BJ199, "")</f>
        <v/>
      </c>
      <c r="AO201" s="8" t="str">
        <f>IFERROR(Calculations!BK199, "")</f>
        <v/>
      </c>
      <c r="AP201" s="8" t="str">
        <f>IFERROR(Calculations!BL199, "")</f>
        <v/>
      </c>
      <c r="AQ201" s="8" t="str">
        <f>IFERROR(Calculations!BM199, "")</f>
        <v/>
      </c>
      <c r="AR201" s="8" t="str">
        <f>IFERROR(Calculations!BN199, "")</f>
        <v/>
      </c>
      <c r="AS201" s="8" t="str">
        <f>IFERROR(Calculations!BO199, "")</f>
        <v/>
      </c>
      <c r="AT201" s="8" t="str">
        <f>IFERROR(Calculations!BP199, "")</f>
        <v/>
      </c>
      <c r="AU201" s="8" t="str">
        <f>IFERROR(Calculations!BQ199, "")</f>
        <v/>
      </c>
      <c r="AV201" s="8" t="str">
        <f>IFERROR(Calculations!BR199, "")</f>
        <v/>
      </c>
      <c r="AW201" s="89"/>
      <c r="AX201" s="89"/>
      <c r="AY201" s="89"/>
      <c r="AZ201" s="89"/>
      <c r="BA201" s="8" t="str">
        <f>IFERROR(Calculations!BW199, "")</f>
        <v/>
      </c>
      <c r="BB201" s="8" t="str">
        <f>IFERROR(Calculations!BX199, "")</f>
        <v/>
      </c>
      <c r="BC201" s="8" t="str">
        <f>IFERROR(Calculations!BY199, "")</f>
        <v/>
      </c>
      <c r="BD201" s="8" t="str">
        <f>IFERROR(Calculations!BZ199, "")</f>
        <v/>
      </c>
      <c r="BE201" s="8" t="str">
        <f>IFERROR(Calculations!CA199, "")</f>
        <v/>
      </c>
      <c r="BF201" s="8" t="str">
        <f>IFERROR(Calculations!CB199, "")</f>
        <v/>
      </c>
      <c r="BG201" s="8" t="str">
        <f>IFERROR(Calculations!CC199, "")</f>
        <v/>
      </c>
      <c r="BH201" s="8" t="str">
        <f>IFERROR(Calculations!CD199, "")</f>
        <v/>
      </c>
      <c r="BI201" s="8" t="str">
        <f>IFERROR(Calculations!CE199, "")</f>
        <v/>
      </c>
      <c r="BJ201" s="8" t="str">
        <f>IFERROR(IF(Calculations!CF199 &lt;&gt; 0, Calculations!CF199, ""),"")</f>
        <v/>
      </c>
      <c r="BK201" s="1" t="str">
        <f t="shared" ref="BK201:BK207" si="16">$C201</f>
        <v/>
      </c>
      <c r="BL201" s="1" t="str">
        <f t="shared" ref="BL201:BL207" si="17">$B201</f>
        <v/>
      </c>
      <c r="CD201" s="8"/>
      <c r="CE201" s="8"/>
      <c r="CF201" s="8"/>
      <c r="CG201" s="8"/>
      <c r="CH201" s="8"/>
      <c r="CI201" s="8"/>
      <c r="CJ201" s="8"/>
      <c r="CK201" s="8"/>
      <c r="CL201" s="8"/>
      <c r="CM201" s="8"/>
      <c r="CN201" s="8"/>
      <c r="CO201" s="8"/>
      <c r="CP201" s="8"/>
      <c r="CQ201" s="8"/>
      <c r="CR201" s="8"/>
      <c r="CS201" s="8"/>
      <c r="CT201" s="8"/>
      <c r="CU201" s="8"/>
      <c r="CV201" s="8"/>
      <c r="CW201" s="8"/>
      <c r="CX201" s="8"/>
      <c r="CY201" s="8"/>
      <c r="CZ201" s="8"/>
      <c r="DA201" s="8"/>
      <c r="DB201" s="8"/>
      <c r="DC201" s="8"/>
      <c r="DD201" s="8"/>
      <c r="DE201" s="8"/>
      <c r="DF201" s="8"/>
      <c r="DG201" s="8"/>
      <c r="DH201" s="8"/>
      <c r="DI201" s="8"/>
      <c r="DJ201" s="8"/>
      <c r="DK201" s="8"/>
      <c r="DL201" s="8"/>
      <c r="DM201" s="8"/>
      <c r="DN201" s="8"/>
      <c r="DO201" s="8"/>
      <c r="DP201" s="8"/>
      <c r="DQ201" s="8"/>
      <c r="DR201" s="8"/>
      <c r="DS201" s="8"/>
      <c r="DT201" s="8"/>
      <c r="DU201" s="8"/>
      <c r="DV201" s="8"/>
      <c r="DW201" s="8"/>
      <c r="DX201" s="8"/>
      <c r="DY201" s="8"/>
      <c r="DZ201" s="8"/>
      <c r="EA201" s="8"/>
    </row>
    <row r="202" spans="2:131" x14ac:dyDescent="0.2">
      <c r="B202" s="1" t="str">
        <f>IFERROR(Calculations!M200/1000, "")</f>
        <v/>
      </c>
      <c r="C202" s="1" t="str">
        <f>Calculations!N200</f>
        <v/>
      </c>
      <c r="D202" s="58" t="str">
        <f>IFERROR(Calculations!$Q200,"")</f>
        <v/>
      </c>
      <c r="E202" s="8" t="str">
        <f>IFERROR(Calculations!$S200, "")</f>
        <v/>
      </c>
      <c r="F202" s="89"/>
      <c r="G202" s="89"/>
      <c r="H202" s="89"/>
      <c r="I202" s="89"/>
      <c r="J202" s="1" t="str">
        <f>IFERROR(Calculations!AC200, "")</f>
        <v/>
      </c>
      <c r="K202" s="1" t="str">
        <f>IFERROR(Calculations!AD200, "")</f>
        <v/>
      </c>
      <c r="L202" s="8" t="str">
        <f>IFERROR(Calculations!AE200,"")</f>
        <v/>
      </c>
      <c r="M202" s="8" t="str">
        <f>IFERROR(Calculations!AF200,"")</f>
        <v/>
      </c>
      <c r="N202" s="8" t="str">
        <f>IFERROR(Calculations!AG200,"")</f>
        <v/>
      </c>
      <c r="O202" s="8" t="str">
        <f>IFERROR(Calculations!AH200,"")</f>
        <v/>
      </c>
      <c r="P202" s="8" t="str">
        <f>IFERROR(Calculations!AI200,"")</f>
        <v/>
      </c>
      <c r="Q202" s="8" t="str">
        <f>IFERROR(Calculations!AJ200,"")</f>
        <v/>
      </c>
      <c r="R202" s="8" t="str">
        <f>IFERROR(Calculations!AK200,"")</f>
        <v/>
      </c>
      <c r="S202" s="89"/>
      <c r="T202" s="89"/>
      <c r="U202" s="89"/>
      <c r="V202" s="89"/>
      <c r="W202" s="1" t="str">
        <f>IFERROR(Calculations!AP200, "")</f>
        <v/>
      </c>
      <c r="X202" s="1" t="str">
        <f>IFERROR(Calculations!AQ200, "")</f>
        <v/>
      </c>
      <c r="Y202" s="8" t="str">
        <f>IFERROR(Calculations!AR200,"")</f>
        <v/>
      </c>
      <c r="Z202" s="8" t="str">
        <f>IFERROR(Calculations!AS200,"")</f>
        <v/>
      </c>
      <c r="AA202" s="8" t="str">
        <f>IFERROR(Calculations!AT200,"")</f>
        <v/>
      </c>
      <c r="AB202" s="8" t="str">
        <f>IFERROR(Calculations!AU200,"")</f>
        <v/>
      </c>
      <c r="AC202" s="8" t="str">
        <f>IFERROR(Calculations!AV200,"")</f>
        <v/>
      </c>
      <c r="AD202" s="8" t="str">
        <f>IFERROR(Calculations!AW200,"")</f>
        <v/>
      </c>
      <c r="AE202" s="8" t="str">
        <f>IFERROR(Calculations!AX200,"")</f>
        <v/>
      </c>
      <c r="AF202" s="8" t="str">
        <f>IFERROR(IF(Calculations!AY200 &lt;&gt; 0, Calculations!AY200, ""),"")</f>
        <v/>
      </c>
      <c r="AG202" s="42" t="str">
        <f>IFERROR(IF(Calculations!AZ200 &lt;&gt; 0, Calculations!AZ200, ""),"")</f>
        <v/>
      </c>
      <c r="AH202" s="1" t="str">
        <f t="shared" si="14"/>
        <v/>
      </c>
      <c r="AI202" s="1" t="str">
        <f t="shared" si="15"/>
        <v/>
      </c>
      <c r="AJ202" s="89"/>
      <c r="AK202" s="89"/>
      <c r="AL202" s="89"/>
      <c r="AM202" s="89"/>
      <c r="AN202" s="8" t="str">
        <f>IFERROR(Calculations!BJ200, "")</f>
        <v/>
      </c>
      <c r="AO202" s="8" t="str">
        <f>IFERROR(Calculations!BK200, "")</f>
        <v/>
      </c>
      <c r="AP202" s="8" t="str">
        <f>IFERROR(Calculations!BL200, "")</f>
        <v/>
      </c>
      <c r="AQ202" s="8" t="str">
        <f>IFERROR(Calculations!BM200, "")</f>
        <v/>
      </c>
      <c r="AR202" s="8" t="str">
        <f>IFERROR(Calculations!BN200, "")</f>
        <v/>
      </c>
      <c r="AS202" s="8" t="str">
        <f>IFERROR(Calculations!BO200, "")</f>
        <v/>
      </c>
      <c r="AT202" s="8" t="str">
        <f>IFERROR(Calculations!BP200, "")</f>
        <v/>
      </c>
      <c r="AU202" s="8" t="str">
        <f>IFERROR(Calculations!BQ200, "")</f>
        <v/>
      </c>
      <c r="AV202" s="8" t="str">
        <f>IFERROR(Calculations!BR200, "")</f>
        <v/>
      </c>
      <c r="AW202" s="89"/>
      <c r="AX202" s="89"/>
      <c r="AY202" s="89"/>
      <c r="AZ202" s="89"/>
      <c r="BA202" s="8" t="str">
        <f>IFERROR(Calculations!BW200, "")</f>
        <v/>
      </c>
      <c r="BB202" s="8" t="str">
        <f>IFERROR(Calculations!BX200, "")</f>
        <v/>
      </c>
      <c r="BC202" s="8" t="str">
        <f>IFERROR(Calculations!BY200, "")</f>
        <v/>
      </c>
      <c r="BD202" s="8" t="str">
        <f>IFERROR(Calculations!BZ200, "")</f>
        <v/>
      </c>
      <c r="BE202" s="8" t="str">
        <f>IFERROR(Calculations!CA200, "")</f>
        <v/>
      </c>
      <c r="BF202" s="8" t="str">
        <f>IFERROR(Calculations!CB200, "")</f>
        <v/>
      </c>
      <c r="BG202" s="8" t="str">
        <f>IFERROR(Calculations!CC200, "")</f>
        <v/>
      </c>
      <c r="BH202" s="8" t="str">
        <f>IFERROR(Calculations!CD200, "")</f>
        <v/>
      </c>
      <c r="BI202" s="8" t="str">
        <f>IFERROR(Calculations!CE200, "")</f>
        <v/>
      </c>
      <c r="BJ202" s="8" t="str">
        <f>IFERROR(IF(Calculations!CF200 &lt;&gt; 0, Calculations!CF200, ""),"")</f>
        <v/>
      </c>
      <c r="BK202" s="1" t="str">
        <f t="shared" si="16"/>
        <v/>
      </c>
      <c r="BL202" s="1" t="str">
        <f t="shared" si="17"/>
        <v/>
      </c>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row>
    <row r="203" spans="2:131" x14ac:dyDescent="0.2">
      <c r="B203" s="1" t="str">
        <f>IFERROR(Calculations!M201/1000, "")</f>
        <v/>
      </c>
      <c r="C203" s="1" t="str">
        <f>Calculations!N201</f>
        <v/>
      </c>
      <c r="D203" s="58" t="str">
        <f>IFERROR(Calculations!$Q201,"")</f>
        <v/>
      </c>
      <c r="E203" s="8" t="str">
        <f>IFERROR(Calculations!$S201, "")</f>
        <v/>
      </c>
      <c r="F203" s="89"/>
      <c r="G203" s="89"/>
      <c r="H203" s="89"/>
      <c r="I203" s="89"/>
      <c r="J203" s="1" t="str">
        <f>IFERROR(Calculations!AC201, "")</f>
        <v/>
      </c>
      <c r="K203" s="1" t="str">
        <f>IFERROR(Calculations!AD201, "")</f>
        <v/>
      </c>
      <c r="L203" s="8" t="str">
        <f>IFERROR(Calculations!AE201,"")</f>
        <v/>
      </c>
      <c r="M203" s="8" t="str">
        <f>IFERROR(Calculations!AF201,"")</f>
        <v/>
      </c>
      <c r="N203" s="8" t="str">
        <f>IFERROR(Calculations!AG201,"")</f>
        <v/>
      </c>
      <c r="O203" s="8" t="str">
        <f>IFERROR(Calculations!AH201,"")</f>
        <v/>
      </c>
      <c r="P203" s="8" t="str">
        <f>IFERROR(Calculations!AI201,"")</f>
        <v/>
      </c>
      <c r="Q203" s="8" t="str">
        <f>IFERROR(Calculations!AJ201,"")</f>
        <v/>
      </c>
      <c r="R203" s="8" t="str">
        <f>IFERROR(Calculations!AK201,"")</f>
        <v/>
      </c>
      <c r="S203" s="89"/>
      <c r="T203" s="89"/>
      <c r="U203" s="89"/>
      <c r="V203" s="89"/>
      <c r="W203" s="1" t="str">
        <f>IFERROR(Calculations!AP201, "")</f>
        <v/>
      </c>
      <c r="X203" s="1" t="str">
        <f>IFERROR(Calculations!AQ201, "")</f>
        <v/>
      </c>
      <c r="Y203" s="8" t="str">
        <f>IFERROR(Calculations!AR201,"")</f>
        <v/>
      </c>
      <c r="Z203" s="8" t="str">
        <f>IFERROR(Calculations!AS201,"")</f>
        <v/>
      </c>
      <c r="AA203" s="8" t="str">
        <f>IFERROR(Calculations!AT201,"")</f>
        <v/>
      </c>
      <c r="AB203" s="8" t="str">
        <f>IFERROR(Calculations!AU201,"")</f>
        <v/>
      </c>
      <c r="AC203" s="8" t="str">
        <f>IFERROR(Calculations!AV201,"")</f>
        <v/>
      </c>
      <c r="AD203" s="8" t="str">
        <f>IFERROR(Calculations!AW201,"")</f>
        <v/>
      </c>
      <c r="AE203" s="8" t="str">
        <f>IFERROR(Calculations!AX201,"")</f>
        <v/>
      </c>
      <c r="AF203" s="8" t="str">
        <f>IFERROR(IF(Calculations!AY201 &lt;&gt; 0, Calculations!AY201, ""),"")</f>
        <v/>
      </c>
      <c r="AG203" s="42" t="str">
        <f>IFERROR(IF(Calculations!AZ201 &lt;&gt; 0, Calculations!AZ201, ""),"")</f>
        <v/>
      </c>
      <c r="AH203" s="1" t="str">
        <f t="shared" si="14"/>
        <v/>
      </c>
      <c r="AI203" s="1" t="str">
        <f t="shared" si="15"/>
        <v/>
      </c>
      <c r="AJ203" s="89"/>
      <c r="AK203" s="89"/>
      <c r="AL203" s="89"/>
      <c r="AM203" s="89"/>
      <c r="AN203" s="8" t="str">
        <f>IFERROR(Calculations!BJ201, "")</f>
        <v/>
      </c>
      <c r="AO203" s="8" t="str">
        <f>IFERROR(Calculations!BK201, "")</f>
        <v/>
      </c>
      <c r="AP203" s="8" t="str">
        <f>IFERROR(Calculations!BL201, "")</f>
        <v/>
      </c>
      <c r="AQ203" s="8" t="str">
        <f>IFERROR(Calculations!BM201, "")</f>
        <v/>
      </c>
      <c r="AR203" s="8" t="str">
        <f>IFERROR(Calculations!BN201, "")</f>
        <v/>
      </c>
      <c r="AS203" s="8" t="str">
        <f>IFERROR(Calculations!BO201, "")</f>
        <v/>
      </c>
      <c r="AT203" s="8" t="str">
        <f>IFERROR(Calculations!BP201, "")</f>
        <v/>
      </c>
      <c r="AU203" s="8" t="str">
        <f>IFERROR(Calculations!BQ201, "")</f>
        <v/>
      </c>
      <c r="AV203" s="8" t="str">
        <f>IFERROR(Calculations!BR201, "")</f>
        <v/>
      </c>
      <c r="AW203" s="89"/>
      <c r="AX203" s="89"/>
      <c r="AY203" s="89"/>
      <c r="AZ203" s="89"/>
      <c r="BA203" s="8" t="str">
        <f>IFERROR(Calculations!BW201, "")</f>
        <v/>
      </c>
      <c r="BB203" s="8" t="str">
        <f>IFERROR(Calculations!BX201, "")</f>
        <v/>
      </c>
      <c r="BC203" s="8" t="str">
        <f>IFERROR(Calculations!BY201, "")</f>
        <v/>
      </c>
      <c r="BD203" s="8" t="str">
        <f>IFERROR(Calculations!BZ201, "")</f>
        <v/>
      </c>
      <c r="BE203" s="8" t="str">
        <f>IFERROR(Calculations!CA201, "")</f>
        <v/>
      </c>
      <c r="BF203" s="8" t="str">
        <f>IFERROR(Calculations!CB201, "")</f>
        <v/>
      </c>
      <c r="BG203" s="8" t="str">
        <f>IFERROR(Calculations!CC201, "")</f>
        <v/>
      </c>
      <c r="BH203" s="8" t="str">
        <f>IFERROR(Calculations!CD201, "")</f>
        <v/>
      </c>
      <c r="BI203" s="8" t="str">
        <f>IFERROR(Calculations!CE201, "")</f>
        <v/>
      </c>
      <c r="BJ203" s="8" t="str">
        <f>IFERROR(IF(Calculations!CF201 &lt;&gt; 0, Calculations!CF201, ""),"")</f>
        <v/>
      </c>
      <c r="BK203" s="1" t="str">
        <f t="shared" si="16"/>
        <v/>
      </c>
      <c r="BL203" s="1" t="str">
        <f t="shared" si="17"/>
        <v/>
      </c>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row>
    <row r="204" spans="2:131" x14ac:dyDescent="0.2">
      <c r="B204" s="1" t="str">
        <f>IFERROR(Calculations!M202/1000, "")</f>
        <v/>
      </c>
      <c r="C204" s="1" t="str">
        <f>Calculations!N202</f>
        <v/>
      </c>
      <c r="D204" s="58" t="str">
        <f>IFERROR(Calculations!$Q202,"")</f>
        <v/>
      </c>
      <c r="E204" s="8" t="str">
        <f>IFERROR(Calculations!$S202, "")</f>
        <v/>
      </c>
      <c r="F204" s="89"/>
      <c r="G204" s="89"/>
      <c r="H204" s="89"/>
      <c r="I204" s="89"/>
      <c r="J204" s="1" t="str">
        <f>IFERROR(Calculations!AC202, "")</f>
        <v/>
      </c>
      <c r="K204" s="1" t="str">
        <f>IFERROR(Calculations!AD202, "")</f>
        <v/>
      </c>
      <c r="L204" s="8" t="str">
        <f>IFERROR(Calculations!AE202,"")</f>
        <v/>
      </c>
      <c r="M204" s="8" t="str">
        <f>IFERROR(Calculations!AF202,"")</f>
        <v/>
      </c>
      <c r="N204" s="8" t="str">
        <f>IFERROR(Calculations!AG202,"")</f>
        <v/>
      </c>
      <c r="O204" s="8" t="str">
        <f>IFERROR(Calculations!AH202,"")</f>
        <v/>
      </c>
      <c r="P204" s="8" t="str">
        <f>IFERROR(Calculations!AI202,"")</f>
        <v/>
      </c>
      <c r="Q204" s="8" t="str">
        <f>IFERROR(Calculations!AJ202,"")</f>
        <v/>
      </c>
      <c r="R204" s="8" t="str">
        <f>IFERROR(Calculations!AK202,"")</f>
        <v/>
      </c>
      <c r="S204" s="89"/>
      <c r="T204" s="89"/>
      <c r="U204" s="89"/>
      <c r="V204" s="89"/>
      <c r="W204" s="1" t="str">
        <f>IFERROR(Calculations!AP202, "")</f>
        <v/>
      </c>
      <c r="X204" s="1" t="str">
        <f>IFERROR(Calculations!AQ202, "")</f>
        <v/>
      </c>
      <c r="Y204" s="8" t="str">
        <f>IFERROR(Calculations!AR202,"")</f>
        <v/>
      </c>
      <c r="Z204" s="8" t="str">
        <f>IFERROR(Calculations!AS202,"")</f>
        <v/>
      </c>
      <c r="AA204" s="8" t="str">
        <f>IFERROR(Calculations!AT202,"")</f>
        <v/>
      </c>
      <c r="AB204" s="8" t="str">
        <f>IFERROR(Calculations!AU202,"")</f>
        <v/>
      </c>
      <c r="AC204" s="8" t="str">
        <f>IFERROR(Calculations!AV202,"")</f>
        <v/>
      </c>
      <c r="AD204" s="8" t="str">
        <f>IFERROR(Calculations!AW202,"")</f>
        <v/>
      </c>
      <c r="AE204" s="8" t="str">
        <f>IFERROR(Calculations!AX202,"")</f>
        <v/>
      </c>
      <c r="AF204" s="8" t="str">
        <f>IFERROR(IF(Calculations!AY202 &lt;&gt; 0, Calculations!AY202, ""),"")</f>
        <v/>
      </c>
      <c r="AG204" s="42" t="str">
        <f>IFERROR(IF(Calculations!AZ202 &lt;&gt; 0, Calculations!AZ202, ""),"")</f>
        <v/>
      </c>
      <c r="AH204" s="1" t="str">
        <f t="shared" si="14"/>
        <v/>
      </c>
      <c r="AI204" s="1" t="str">
        <f t="shared" si="15"/>
        <v/>
      </c>
      <c r="AJ204" s="89"/>
      <c r="AK204" s="89"/>
      <c r="AL204" s="89"/>
      <c r="AM204" s="89"/>
      <c r="AN204" s="8" t="str">
        <f>IFERROR(Calculations!BJ202, "")</f>
        <v/>
      </c>
      <c r="AO204" s="8" t="str">
        <f>IFERROR(Calculations!BK202, "")</f>
        <v/>
      </c>
      <c r="AP204" s="8" t="str">
        <f>IFERROR(Calculations!BL202, "")</f>
        <v/>
      </c>
      <c r="AQ204" s="8" t="str">
        <f>IFERROR(Calculations!BM202, "")</f>
        <v/>
      </c>
      <c r="AR204" s="8" t="str">
        <f>IFERROR(Calculations!BN202, "")</f>
        <v/>
      </c>
      <c r="AS204" s="8" t="str">
        <f>IFERROR(Calculations!BO202, "")</f>
        <v/>
      </c>
      <c r="AT204" s="8" t="str">
        <f>IFERROR(Calculations!BP202, "")</f>
        <v/>
      </c>
      <c r="AU204" s="8" t="str">
        <f>IFERROR(Calculations!BQ202, "")</f>
        <v/>
      </c>
      <c r="AV204" s="8" t="str">
        <f>IFERROR(Calculations!BR202, "")</f>
        <v/>
      </c>
      <c r="AW204" s="89"/>
      <c r="AX204" s="89"/>
      <c r="AY204" s="89"/>
      <c r="AZ204" s="89"/>
      <c r="BA204" s="8" t="str">
        <f>IFERROR(Calculations!BW202, "")</f>
        <v/>
      </c>
      <c r="BB204" s="8" t="str">
        <f>IFERROR(Calculations!BX202, "")</f>
        <v/>
      </c>
      <c r="BC204" s="8" t="str">
        <f>IFERROR(Calculations!BY202, "")</f>
        <v/>
      </c>
      <c r="BD204" s="8" t="str">
        <f>IFERROR(Calculations!BZ202, "")</f>
        <v/>
      </c>
      <c r="BE204" s="8" t="str">
        <f>IFERROR(Calculations!CA202, "")</f>
        <v/>
      </c>
      <c r="BF204" s="8" t="str">
        <f>IFERROR(Calculations!CB202, "")</f>
        <v/>
      </c>
      <c r="BG204" s="8" t="str">
        <f>IFERROR(Calculations!CC202, "")</f>
        <v/>
      </c>
      <c r="BH204" s="8" t="str">
        <f>IFERROR(Calculations!CD202, "")</f>
        <v/>
      </c>
      <c r="BI204" s="8" t="str">
        <f>IFERROR(Calculations!CE202, "")</f>
        <v/>
      </c>
      <c r="BJ204" s="8" t="str">
        <f>IFERROR(IF(Calculations!CF202 &lt;&gt; 0, Calculations!CF202, ""),"")</f>
        <v/>
      </c>
      <c r="BK204" s="1" t="str">
        <f t="shared" si="16"/>
        <v/>
      </c>
      <c r="BL204" s="1" t="str">
        <f t="shared" si="17"/>
        <v/>
      </c>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row>
    <row r="205" spans="2:131" x14ac:dyDescent="0.2">
      <c r="B205" s="1" t="str">
        <f>IFERROR(Calculations!M203/1000, "")</f>
        <v/>
      </c>
      <c r="C205" s="1" t="str">
        <f>Calculations!N203</f>
        <v/>
      </c>
      <c r="D205" s="58" t="str">
        <f>IFERROR(Calculations!$Q203,"")</f>
        <v/>
      </c>
      <c r="E205" s="8" t="str">
        <f>IFERROR(Calculations!$S203, "")</f>
        <v/>
      </c>
      <c r="F205" s="89"/>
      <c r="G205" s="89"/>
      <c r="H205" s="89"/>
      <c r="I205" s="89"/>
      <c r="J205" s="1" t="str">
        <f>IFERROR(Calculations!AC203, "")</f>
        <v/>
      </c>
      <c r="K205" s="1" t="str">
        <f>IFERROR(Calculations!AD203, "")</f>
        <v/>
      </c>
      <c r="L205" s="8" t="str">
        <f>IFERROR(Calculations!AE203,"")</f>
        <v/>
      </c>
      <c r="M205" s="8" t="str">
        <f>IFERROR(Calculations!AF203,"")</f>
        <v/>
      </c>
      <c r="N205" s="8" t="str">
        <f>IFERROR(Calculations!AG203,"")</f>
        <v/>
      </c>
      <c r="O205" s="8" t="str">
        <f>IFERROR(Calculations!AH203,"")</f>
        <v/>
      </c>
      <c r="P205" s="8" t="str">
        <f>IFERROR(Calculations!AI203,"")</f>
        <v/>
      </c>
      <c r="Q205" s="8" t="str">
        <f>IFERROR(Calculations!AJ203,"")</f>
        <v/>
      </c>
      <c r="R205" s="8" t="str">
        <f>IFERROR(Calculations!AK203,"")</f>
        <v/>
      </c>
      <c r="S205" s="89"/>
      <c r="T205" s="89"/>
      <c r="U205" s="89"/>
      <c r="V205" s="89"/>
      <c r="W205" s="1" t="str">
        <f>IFERROR(Calculations!AP203, "")</f>
        <v/>
      </c>
      <c r="X205" s="1" t="str">
        <f>IFERROR(Calculations!AQ203, "")</f>
        <v/>
      </c>
      <c r="Y205" s="8" t="str">
        <f>IFERROR(Calculations!AR203,"")</f>
        <v/>
      </c>
      <c r="Z205" s="8" t="str">
        <f>IFERROR(Calculations!AS203,"")</f>
        <v/>
      </c>
      <c r="AA205" s="8" t="str">
        <f>IFERROR(Calculations!AT203,"")</f>
        <v/>
      </c>
      <c r="AB205" s="8" t="str">
        <f>IFERROR(Calculations!AU203,"")</f>
        <v/>
      </c>
      <c r="AC205" s="8" t="str">
        <f>IFERROR(Calculations!AV203,"")</f>
        <v/>
      </c>
      <c r="AD205" s="8" t="str">
        <f>IFERROR(Calculations!AW203,"")</f>
        <v/>
      </c>
      <c r="AE205" s="8" t="str">
        <f>IFERROR(Calculations!AX203,"")</f>
        <v/>
      </c>
      <c r="AF205" s="8" t="str">
        <f>IFERROR(IF(Calculations!AY203 &lt;&gt; 0, Calculations!AY203, ""),"")</f>
        <v/>
      </c>
      <c r="AG205" s="42" t="str">
        <f>IFERROR(IF(Calculations!AZ203 &lt;&gt; 0, Calculations!AZ203, ""),"")</f>
        <v/>
      </c>
      <c r="AH205" s="1" t="str">
        <f t="shared" si="14"/>
        <v/>
      </c>
      <c r="AI205" s="1" t="str">
        <f t="shared" si="15"/>
        <v/>
      </c>
      <c r="AJ205" s="89"/>
      <c r="AK205" s="89"/>
      <c r="AL205" s="89"/>
      <c r="AM205" s="89"/>
      <c r="AN205" s="8" t="str">
        <f>IFERROR(Calculations!BJ203, "")</f>
        <v/>
      </c>
      <c r="AO205" s="8" t="str">
        <f>IFERROR(Calculations!BK203, "")</f>
        <v/>
      </c>
      <c r="AP205" s="8" t="str">
        <f>IFERROR(Calculations!BL203, "")</f>
        <v/>
      </c>
      <c r="AQ205" s="8" t="str">
        <f>IFERROR(Calculations!BM203, "")</f>
        <v/>
      </c>
      <c r="AR205" s="8" t="str">
        <f>IFERROR(Calculations!BN203, "")</f>
        <v/>
      </c>
      <c r="AS205" s="8" t="str">
        <f>IFERROR(Calculations!BO203, "")</f>
        <v/>
      </c>
      <c r="AT205" s="8" t="str">
        <f>IFERROR(Calculations!BP203, "")</f>
        <v/>
      </c>
      <c r="AU205" s="8" t="str">
        <f>IFERROR(Calculations!BQ203, "")</f>
        <v/>
      </c>
      <c r="AV205" s="8" t="str">
        <f>IFERROR(Calculations!BR203, "")</f>
        <v/>
      </c>
      <c r="AW205" s="89"/>
      <c r="AX205" s="89"/>
      <c r="AY205" s="89"/>
      <c r="AZ205" s="89"/>
      <c r="BA205" s="8" t="str">
        <f>IFERROR(Calculations!BW203, "")</f>
        <v/>
      </c>
      <c r="BB205" s="8" t="str">
        <f>IFERROR(Calculations!BX203, "")</f>
        <v/>
      </c>
      <c r="BC205" s="8" t="str">
        <f>IFERROR(Calculations!BY203, "")</f>
        <v/>
      </c>
      <c r="BD205" s="8" t="str">
        <f>IFERROR(Calculations!BZ203, "")</f>
        <v/>
      </c>
      <c r="BE205" s="8" t="str">
        <f>IFERROR(Calculations!CA203, "")</f>
        <v/>
      </c>
      <c r="BF205" s="8" t="str">
        <f>IFERROR(Calculations!CB203, "")</f>
        <v/>
      </c>
      <c r="BG205" s="8" t="str">
        <f>IFERROR(Calculations!CC203, "")</f>
        <v/>
      </c>
      <c r="BH205" s="8" t="str">
        <f>IFERROR(Calculations!CD203, "")</f>
        <v/>
      </c>
      <c r="BI205" s="8" t="str">
        <f>IFERROR(Calculations!CE203, "")</f>
        <v/>
      </c>
      <c r="BJ205" s="8" t="str">
        <f>IFERROR(IF(Calculations!CF203 &lt;&gt; 0, Calculations!CF203, ""),"")</f>
        <v/>
      </c>
      <c r="BK205" s="1" t="str">
        <f t="shared" si="16"/>
        <v/>
      </c>
      <c r="BL205" s="1" t="str">
        <f t="shared" si="17"/>
        <v/>
      </c>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row>
    <row r="206" spans="2:131" x14ac:dyDescent="0.2">
      <c r="B206" s="1" t="str">
        <f>IFERROR(Calculations!M204/1000, "")</f>
        <v/>
      </c>
      <c r="C206" s="1" t="str">
        <f>Calculations!N204</f>
        <v/>
      </c>
      <c r="D206" s="58" t="str">
        <f>IFERROR(Calculations!$Q204,"")</f>
        <v/>
      </c>
      <c r="E206" s="8" t="str">
        <f>IFERROR(Calculations!$S204, "")</f>
        <v/>
      </c>
      <c r="F206" s="89"/>
      <c r="G206" s="89"/>
      <c r="H206" s="89"/>
      <c r="I206" s="89"/>
      <c r="J206" s="1" t="str">
        <f>IFERROR(Calculations!AC204, "")</f>
        <v/>
      </c>
      <c r="K206" s="1" t="str">
        <f>IFERROR(Calculations!AD204, "")</f>
        <v/>
      </c>
      <c r="L206" s="8" t="str">
        <f>IFERROR(Calculations!AE204,"")</f>
        <v/>
      </c>
      <c r="M206" s="8" t="str">
        <f>IFERROR(Calculations!AF204,"")</f>
        <v/>
      </c>
      <c r="N206" s="8" t="str">
        <f>IFERROR(Calculations!AG204,"")</f>
        <v/>
      </c>
      <c r="O206" s="8" t="str">
        <f>IFERROR(Calculations!AH204,"")</f>
        <v/>
      </c>
      <c r="P206" s="8" t="str">
        <f>IFERROR(Calculations!AI204,"")</f>
        <v/>
      </c>
      <c r="Q206" s="8" t="str">
        <f>IFERROR(Calculations!AJ204,"")</f>
        <v/>
      </c>
      <c r="R206" s="8" t="str">
        <f>IFERROR(Calculations!AK204,"")</f>
        <v/>
      </c>
      <c r="S206" s="89"/>
      <c r="T206" s="89"/>
      <c r="U206" s="89"/>
      <c r="V206" s="89"/>
      <c r="W206" s="1" t="str">
        <f>IFERROR(Calculations!AP204, "")</f>
        <v/>
      </c>
      <c r="X206" s="1" t="str">
        <f>IFERROR(Calculations!AQ204, "")</f>
        <v/>
      </c>
      <c r="Y206" s="8" t="str">
        <f>IFERROR(Calculations!AR204,"")</f>
        <v/>
      </c>
      <c r="Z206" s="8" t="str">
        <f>IFERROR(Calculations!AS204,"")</f>
        <v/>
      </c>
      <c r="AA206" s="8" t="str">
        <f>IFERROR(Calculations!AT204,"")</f>
        <v/>
      </c>
      <c r="AB206" s="8" t="str">
        <f>IFERROR(Calculations!AU204,"")</f>
        <v/>
      </c>
      <c r="AC206" s="8" t="str">
        <f>IFERROR(Calculations!AV204,"")</f>
        <v/>
      </c>
      <c r="AD206" s="8" t="str">
        <f>IFERROR(Calculations!AW204,"")</f>
        <v/>
      </c>
      <c r="AE206" s="8" t="str">
        <f>IFERROR(Calculations!AX204,"")</f>
        <v/>
      </c>
      <c r="AF206" s="8" t="str">
        <f>IFERROR(IF(Calculations!AY204 &lt;&gt; 0, Calculations!AY204, ""),"")</f>
        <v/>
      </c>
      <c r="AG206" s="42" t="str">
        <f>IFERROR(IF(Calculations!AZ204 &lt;&gt; 0, Calculations!AZ204, ""),"")</f>
        <v/>
      </c>
      <c r="AH206" s="1" t="str">
        <f t="shared" si="14"/>
        <v/>
      </c>
      <c r="AI206" s="1" t="str">
        <f t="shared" si="15"/>
        <v/>
      </c>
      <c r="AJ206" s="89"/>
      <c r="AK206" s="89"/>
      <c r="AL206" s="89"/>
      <c r="AM206" s="89"/>
      <c r="AN206" s="8" t="str">
        <f>IFERROR(Calculations!BJ204, "")</f>
        <v/>
      </c>
      <c r="AO206" s="8" t="str">
        <f>IFERROR(Calculations!BK204, "")</f>
        <v/>
      </c>
      <c r="AP206" s="8" t="str">
        <f>IFERROR(Calculations!BL204, "")</f>
        <v/>
      </c>
      <c r="AQ206" s="8" t="str">
        <f>IFERROR(Calculations!BM204, "")</f>
        <v/>
      </c>
      <c r="AR206" s="8" t="str">
        <f>IFERROR(Calculations!BN204, "")</f>
        <v/>
      </c>
      <c r="AS206" s="8" t="str">
        <f>IFERROR(Calculations!BO204, "")</f>
        <v/>
      </c>
      <c r="AT206" s="8" t="str">
        <f>IFERROR(Calculations!BP204, "")</f>
        <v/>
      </c>
      <c r="AU206" s="8" t="str">
        <f>IFERROR(Calculations!BQ204, "")</f>
        <v/>
      </c>
      <c r="AV206" s="8" t="str">
        <f>IFERROR(Calculations!BR204, "")</f>
        <v/>
      </c>
      <c r="AW206" s="89"/>
      <c r="AX206" s="89"/>
      <c r="AY206" s="89"/>
      <c r="AZ206" s="89"/>
      <c r="BA206" s="8" t="str">
        <f>IFERROR(Calculations!BW204, "")</f>
        <v/>
      </c>
      <c r="BB206" s="8" t="str">
        <f>IFERROR(Calculations!BX204, "")</f>
        <v/>
      </c>
      <c r="BC206" s="8" t="str">
        <f>IFERROR(Calculations!BY204, "")</f>
        <v/>
      </c>
      <c r="BD206" s="8" t="str">
        <f>IFERROR(Calculations!BZ204, "")</f>
        <v/>
      </c>
      <c r="BE206" s="8" t="str">
        <f>IFERROR(Calculations!CA204, "")</f>
        <v/>
      </c>
      <c r="BF206" s="8" t="str">
        <f>IFERROR(Calculations!CB204, "")</f>
        <v/>
      </c>
      <c r="BG206" s="8" t="str">
        <f>IFERROR(Calculations!CC204, "")</f>
        <v/>
      </c>
      <c r="BH206" s="8" t="str">
        <f>IFERROR(Calculations!CD204, "")</f>
        <v/>
      </c>
      <c r="BI206" s="8" t="str">
        <f>IFERROR(Calculations!CE204, "")</f>
        <v/>
      </c>
      <c r="BJ206" s="8" t="str">
        <f>IFERROR(IF(Calculations!CF204 &lt;&gt; 0, Calculations!CF204, ""),"")</f>
        <v/>
      </c>
      <c r="BK206" s="1" t="str">
        <f t="shared" si="16"/>
        <v/>
      </c>
      <c r="BL206" s="1" t="str">
        <f t="shared" si="17"/>
        <v/>
      </c>
      <c r="CD206" s="8"/>
      <c r="CE206" s="8"/>
      <c r="CF206" s="8"/>
      <c r="CG206" s="8"/>
      <c r="CH206" s="8"/>
      <c r="CI206" s="8"/>
      <c r="CJ206" s="8"/>
      <c r="CK206" s="8"/>
      <c r="CL206" s="8"/>
      <c r="CM206" s="8"/>
      <c r="CN206" s="8"/>
      <c r="CO206" s="8"/>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row>
    <row r="207" spans="2:131" x14ac:dyDescent="0.2">
      <c r="B207" s="68" t="str">
        <f>IFERROR(Calculations!M205/1000, "")</f>
        <v/>
      </c>
      <c r="C207" s="68" t="str">
        <f>Calculations!N205</f>
        <v/>
      </c>
      <c r="D207" s="59" t="str">
        <f>IFERROR(Calculations!$Q205,"")</f>
        <v/>
      </c>
      <c r="E207" s="26" t="str">
        <f>IFERROR(Calculations!$S205, "")</f>
        <v/>
      </c>
      <c r="F207" s="90"/>
      <c r="G207" s="90"/>
      <c r="H207" s="90"/>
      <c r="I207" s="90"/>
      <c r="J207" s="68" t="str">
        <f>IFERROR(Calculations!AC205, "")</f>
        <v/>
      </c>
      <c r="K207" s="68" t="str">
        <f>IFERROR(Calculations!AD205, "")</f>
        <v/>
      </c>
      <c r="L207" s="26" t="str">
        <f>IFERROR(Calculations!AE205,"")</f>
        <v/>
      </c>
      <c r="M207" s="26" t="str">
        <f>IFERROR(Calculations!AF205,"")</f>
        <v/>
      </c>
      <c r="N207" s="26" t="str">
        <f>IFERROR(Calculations!AG205,"")</f>
        <v/>
      </c>
      <c r="O207" s="26" t="str">
        <f>IFERROR(Calculations!AH205,"")</f>
        <v/>
      </c>
      <c r="P207" s="26" t="str">
        <f>IFERROR(Calculations!AI205,"")</f>
        <v/>
      </c>
      <c r="Q207" s="26" t="str">
        <f>IFERROR(Calculations!AJ205,"")</f>
        <v/>
      </c>
      <c r="R207" s="26" t="str">
        <f>IFERROR(Calculations!AK205,"")</f>
        <v/>
      </c>
      <c r="S207" s="90"/>
      <c r="T207" s="90"/>
      <c r="U207" s="90"/>
      <c r="V207" s="90"/>
      <c r="W207" s="68" t="str">
        <f>IFERROR(Calculations!AP205, "")</f>
        <v/>
      </c>
      <c r="X207" s="68" t="str">
        <f>IFERROR(Calculations!AQ205, "")</f>
        <v/>
      </c>
      <c r="Y207" s="26" t="str">
        <f>IFERROR(Calculations!AR205,"")</f>
        <v/>
      </c>
      <c r="Z207" s="26" t="str">
        <f>IFERROR(Calculations!AS205,"")</f>
        <v/>
      </c>
      <c r="AA207" s="26" t="str">
        <f>IFERROR(Calculations!AT205,"")</f>
        <v/>
      </c>
      <c r="AB207" s="26" t="str">
        <f>IFERROR(Calculations!AU205,"")</f>
        <v/>
      </c>
      <c r="AC207" s="26" t="str">
        <f>IFERROR(Calculations!AV205,"")</f>
        <v/>
      </c>
      <c r="AD207" s="26" t="str">
        <f>IFERROR(Calculations!AW205,"")</f>
        <v/>
      </c>
      <c r="AE207" s="26" t="str">
        <f>IFERROR(Calculations!AX205,"")</f>
        <v/>
      </c>
      <c r="AF207" s="26" t="str">
        <f>IFERROR(IF(Calculations!AY205 &lt;&gt; 0, Calculations!AY205, ""),"")</f>
        <v/>
      </c>
      <c r="AG207" s="53" t="str">
        <f>IFERROR(IF(Calculations!AZ205 &lt;&gt; 0, Calculations!AZ205, ""),"")</f>
        <v/>
      </c>
      <c r="AH207" s="68" t="str">
        <f t="shared" si="14"/>
        <v/>
      </c>
      <c r="AI207" s="68" t="str">
        <f t="shared" si="15"/>
        <v/>
      </c>
      <c r="AJ207" s="90"/>
      <c r="AK207" s="90"/>
      <c r="AL207" s="90"/>
      <c r="AM207" s="90"/>
      <c r="AN207" s="26" t="str">
        <f>IFERROR(Calculations!BJ205, "")</f>
        <v/>
      </c>
      <c r="AO207" s="26" t="str">
        <f>IFERROR(Calculations!BK205, "")</f>
        <v/>
      </c>
      <c r="AP207" s="26" t="str">
        <f>IFERROR(Calculations!BL205, "")</f>
        <v/>
      </c>
      <c r="AQ207" s="26" t="str">
        <f>IFERROR(Calculations!BM205, "")</f>
        <v/>
      </c>
      <c r="AR207" s="26" t="str">
        <f>IFERROR(Calculations!BN205, "")</f>
        <v/>
      </c>
      <c r="AS207" s="26" t="str">
        <f>IFERROR(Calculations!BO205, "")</f>
        <v/>
      </c>
      <c r="AT207" s="26" t="str">
        <f>IFERROR(Calculations!BP205, "")</f>
        <v/>
      </c>
      <c r="AU207" s="26" t="str">
        <f>IFERROR(Calculations!BQ205, "")</f>
        <v/>
      </c>
      <c r="AV207" s="26" t="str">
        <f>IFERROR(Calculations!BR205, "")</f>
        <v/>
      </c>
      <c r="AW207" s="90"/>
      <c r="AX207" s="90"/>
      <c r="AY207" s="90"/>
      <c r="AZ207" s="90"/>
      <c r="BA207" s="26" t="str">
        <f>IFERROR(Calculations!BW205, "")</f>
        <v/>
      </c>
      <c r="BB207" s="26" t="str">
        <f>IFERROR(Calculations!BX205, "")</f>
        <v/>
      </c>
      <c r="BC207" s="26" t="str">
        <f>IFERROR(Calculations!BY205, "")</f>
        <v/>
      </c>
      <c r="BD207" s="26" t="str">
        <f>IFERROR(Calculations!BZ205, "")</f>
        <v/>
      </c>
      <c r="BE207" s="26" t="str">
        <f>IFERROR(Calculations!CA205, "")</f>
        <v/>
      </c>
      <c r="BF207" s="26" t="str">
        <f>IFERROR(Calculations!CB205, "")</f>
        <v/>
      </c>
      <c r="BG207" s="26" t="str">
        <f>IFERROR(Calculations!CC205, "")</f>
        <v/>
      </c>
      <c r="BH207" s="26" t="str">
        <f>IFERROR(Calculations!CD205, "")</f>
        <v/>
      </c>
      <c r="BI207" s="26" t="str">
        <f>IFERROR(Calculations!CE205, "")</f>
        <v/>
      </c>
      <c r="BJ207" s="26" t="str">
        <f>IFERROR(IF(Calculations!CF205 &lt;&gt; 0, Calculations!CF205, ""),"")</f>
        <v/>
      </c>
      <c r="BK207" s="68" t="str">
        <f t="shared" si="16"/>
        <v/>
      </c>
      <c r="BL207" s="68" t="str">
        <f t="shared" si="17"/>
        <v/>
      </c>
      <c r="CD207" s="8"/>
      <c r="CE207" s="8"/>
      <c r="CF207" s="8"/>
      <c r="CG207" s="8"/>
      <c r="CH207" s="8"/>
      <c r="CI207" s="8"/>
      <c r="CJ207" s="8"/>
      <c r="CK207" s="8"/>
      <c r="CL207" s="8"/>
      <c r="CM207" s="8"/>
      <c r="CN207" s="8"/>
      <c r="CO207" s="8"/>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row>
  </sheetData>
  <sheetProtection sheet="1" objects="1" scenarios="1" formatColumns="0"/>
  <mergeCells count="10">
    <mergeCell ref="BT3:BV3"/>
    <mergeCell ref="CD6:CE6"/>
    <mergeCell ref="CB8:CB13"/>
    <mergeCell ref="BJ6:BJ7"/>
    <mergeCell ref="E6:E7"/>
    <mergeCell ref="AF6:AF7"/>
    <mergeCell ref="AG6:AG7"/>
    <mergeCell ref="CB6:CC7"/>
    <mergeCell ref="F6:AE6"/>
    <mergeCell ref="AJ6:BI6"/>
  </mergeCells>
  <phoneticPr fontId="71" type="noConversion"/>
  <pageMargins left="0.7" right="0.7" top="0.75" bottom="0.75" header="0.3" footer="0.3"/>
  <pageSetup scale="16" orientation="landscape"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50" r:id="rId3" name="Drop Down 2">
              <controlPr locked="0" defaultSize="0" autoLine="0" autoPict="0" macro="[0]!UpdateGraph">
                <anchor moveWithCells="1">
                  <from>
                    <xdr:col>71</xdr:col>
                    <xdr:colOff>0</xdr:colOff>
                    <xdr:row>3</xdr:row>
                    <xdr:rowOff>0</xdr:rowOff>
                  </from>
                  <to>
                    <xdr:col>74</xdr:col>
                    <xdr:colOff>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3" id="{FBBE0152-A874-40E5-9D58-9694BC60C42F}">
            <xm:f>IF(NOT(ISNA('Reaction Information'!$D$5)), IF('Reaction Information'!$D$5 &lt;&gt; "", AND($C8 &gt; ('Reaction Information'!$L$5 - 273.15), $C8 &lt;&gt; ""), FALSE), FALSE)</xm:f>
            <x14:dxf>
              <fill>
                <patternFill>
                  <bgColor rgb="FFFF4B4B"/>
                </patternFill>
              </fill>
            </x14:dxf>
          </x14:cfRule>
          <xm:sqref>J8:J207</xm:sqref>
        </x14:conditionalFormatting>
        <x14:conditionalFormatting xmlns:xm="http://schemas.microsoft.com/office/excel/2006/main">
          <x14:cfRule type="expression" priority="22" id="{4A35AD1F-B397-4D08-8FD7-893C6C545439}">
            <xm:f>IF(NOT(ISNA('Reaction Information'!$D$9)), IF('Reaction Information'!$D$9 &lt;&gt; "", AND($C8 &gt; ('Reaction Information'!$L$9 - 273.15), $C8 &lt;&gt; ""), FALSE), FALSE)</xm:f>
            <x14:dxf>
              <fill>
                <patternFill>
                  <bgColor rgb="FFFF4B4B"/>
                </patternFill>
              </fill>
            </x14:dxf>
          </x14:cfRule>
          <xm:sqref>K8:K207</xm:sqref>
        </x14:conditionalFormatting>
        <x14:conditionalFormatting xmlns:xm="http://schemas.microsoft.com/office/excel/2006/main">
          <x14:cfRule type="expression" priority="21" id="{1F183755-014F-4630-97FE-71965335D28B}">
            <xm:f>IF(NOT(ISNA('Reaction Information'!$D$38)), IF('Reaction Information'!$D$38 &lt;&gt; "", AND($C8 &gt; ('Reaction Information'!$L$38 - 273.15), $C8 &lt;&gt; ""), FALSE), FALSE)</xm:f>
            <x14:dxf>
              <fill>
                <patternFill>
                  <bgColor rgb="FFFF4B4B"/>
                </patternFill>
              </fill>
            </x14:dxf>
          </x14:cfRule>
          <xm:sqref>W8:W207</xm:sqref>
        </x14:conditionalFormatting>
        <x14:conditionalFormatting xmlns:xm="http://schemas.microsoft.com/office/excel/2006/main">
          <x14:cfRule type="expression" priority="20" id="{58CD7E47-E426-44B2-9941-D07BEEA4CE00}">
            <xm:f>IF(NOT(ISNA('Reaction Information'!$D$42)), IF('Reaction Information'!$D$42 &lt;&gt; "", AND($C8 &gt; ('Reaction Information'!$L$42 - 273.15), $C8 &lt;&gt; ""), FALSE), FALSE)</xm:f>
            <x14:dxf>
              <fill>
                <patternFill>
                  <bgColor rgb="FFFF4B4B"/>
                </patternFill>
              </fill>
            </x14:dxf>
          </x14:cfRule>
          <xm:sqref>X8:X207</xm:sqref>
        </x14:conditionalFormatting>
        <x14:conditionalFormatting xmlns:xm="http://schemas.microsoft.com/office/excel/2006/main">
          <x14:cfRule type="expression" priority="38" id="{6359B13A-3005-4A09-8CCD-F3C79F87A1E2}">
            <xm:f>OR(IF(NOT(ISNA('Reaction Information'!$D$5)), IF('Reaction Information'!$D$5 &lt;&gt; "", AND($C8 &gt; ('Reaction Information'!$L$5 - 273.15), $C8 &lt;&gt; ""), FALSE), FALSE), IF(NOT(ISNA('Reaction Information'!$D$9)), IF('Reaction Information'!$D$9 &lt;&gt; "", AND($C8 &gt; ('Reaction Information'!$L$9 - 273.15), $C8 &lt;&gt; ""), FALSE), FALSE), IF(NOT(ISNA('Reaction Information'!$D$38)), IF('Reaction Information'!$D$38 &lt;&gt; "", AND($C8 &gt; ('Reaction Information'!$L$38 - 273.15), $C8 &lt;&gt; ""), FALSE), FALSE), IF(NOT(ISNA('Reaction Information'!$D$42)), IF('Reaction Information'!$D$42 &lt;&gt; "", AND($C8 &gt; ('Reaction Information'!$L$42 - 273.15), $C8 &lt;&gt; ""), FALSE), FALSE))</xm:f>
            <x14:dxf>
              <fill>
                <patternFill>
                  <bgColor rgb="FFFF4B4B"/>
                </patternFill>
              </fill>
            </x14:dxf>
          </x14:cfRule>
          <xm:sqref>AF8:AG207</xm:sqref>
        </x14:conditionalFormatting>
        <x14:conditionalFormatting xmlns:xm="http://schemas.microsoft.com/office/excel/2006/main">
          <x14:cfRule type="expression" priority="73" id="{82600B9D-7681-48F0-9431-F44BA831334B}">
            <xm:f>OR(IF(NOT(ISNA('Reaction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 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 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 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 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 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 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 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 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 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 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AF8:AG207 BJ8:BJ207</xm:sqref>
        </x14:conditionalFormatting>
        <x14:conditionalFormatting xmlns:xm="http://schemas.microsoft.com/office/excel/2006/main">
          <x14:cfRule type="expression" priority="75" id="{A11759C1-9A58-4CD5-8BAF-3E4C1AFD05D8}">
            <xm:f>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xm:f>
            <x14:dxf>
              <fill>
                <patternFill>
                  <bgColor rgb="FFFF4B4B"/>
                </patternFill>
              </fill>
            </x14:dxf>
          </x14:cfRule>
          <xm:sqref>Z8:Z207 BD8:BD207</xm:sqref>
        </x14:conditionalFormatting>
        <x14:conditionalFormatting xmlns:xm="http://schemas.microsoft.com/office/excel/2006/main">
          <x14:cfRule type="expression" priority="77" id="{3F8B4BAD-F1CF-4A73-B873-E4C19C7D479E}">
            <xm:f>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xm:f>
            <x14:dxf>
              <fill>
                <patternFill>
                  <bgColor rgb="FFFF4B4B"/>
                </patternFill>
              </fill>
            </x14:dxf>
          </x14:cfRule>
          <xm:sqref>AA8:AA207 BE8:BE207</xm:sqref>
        </x14:conditionalFormatting>
        <x14:conditionalFormatting xmlns:xm="http://schemas.microsoft.com/office/excel/2006/main">
          <x14:cfRule type="expression" priority="79" id="{16936DAF-6F6F-4030-8576-05D233E9767E}">
            <xm:f>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xm:f>
            <x14:dxf>
              <fill>
                <patternFill>
                  <bgColor rgb="FFFF4B4B"/>
                </patternFill>
              </fill>
            </x14:dxf>
          </x14:cfRule>
          <xm:sqref>AB8:AB207 BF8:BF207</xm:sqref>
        </x14:conditionalFormatting>
        <x14:conditionalFormatting xmlns:xm="http://schemas.microsoft.com/office/excel/2006/main">
          <x14:cfRule type="expression" priority="81" id="{3A408AEA-FAE4-47C3-A7CE-030B4000D6A5}">
            <xm:f>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xm:f>
            <x14:dxf>
              <fill>
                <patternFill>
                  <bgColor rgb="FFFF4B4B"/>
                </patternFill>
              </fill>
            </x14:dxf>
          </x14:cfRule>
          <xm:sqref>AC8:AC207 BG8:BG207</xm:sqref>
        </x14:conditionalFormatting>
        <x14:conditionalFormatting xmlns:xm="http://schemas.microsoft.com/office/excel/2006/main">
          <x14:cfRule type="expression" priority="83" id="{1506014E-F381-49B1-AA0D-AE2322F0364E}">
            <xm:f>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xm:f>
            <x14:dxf>
              <fill>
                <patternFill>
                  <bgColor rgb="FFFF4B4B"/>
                </patternFill>
              </fill>
            </x14:dxf>
          </x14:cfRule>
          <xm:sqref>M8:M207 AQ8:AQ207</xm:sqref>
        </x14:conditionalFormatting>
        <x14:conditionalFormatting xmlns:xm="http://schemas.microsoft.com/office/excel/2006/main">
          <x14:cfRule type="expression" priority="85" id="{5DC6E304-B69E-4F9B-9689-67D87D155021}">
            <xm:f>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xm:f>
            <x14:dxf>
              <fill>
                <patternFill>
                  <bgColor rgb="FFFF4B4B"/>
                </patternFill>
              </fill>
            </x14:dxf>
          </x14:cfRule>
          <xm:sqref>N8:N207 AR8:AR207</xm:sqref>
        </x14:conditionalFormatting>
        <x14:conditionalFormatting xmlns:xm="http://schemas.microsoft.com/office/excel/2006/main">
          <x14:cfRule type="expression" priority="87" id="{6C1DF2C5-F92D-4371-A5A3-BB6DA0D32F60}">
            <xm:f>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xm:f>
            <x14:dxf>
              <fill>
                <patternFill>
                  <bgColor rgb="FFFF4B4B"/>
                </patternFill>
              </fill>
            </x14:dxf>
          </x14:cfRule>
          <xm:sqref>O8:O207 AS8:AS207</xm:sqref>
        </x14:conditionalFormatting>
        <x14:conditionalFormatting xmlns:xm="http://schemas.microsoft.com/office/excel/2006/main">
          <x14:cfRule type="expression" priority="89" id="{2169F11E-5B06-4E26-8C80-1C5B34D7840D}">
            <xm:f>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xm:f>
            <x14:dxf>
              <fill>
                <patternFill>
                  <bgColor rgb="FFFF4B4B"/>
                </patternFill>
              </fill>
            </x14:dxf>
          </x14:cfRule>
          <xm:sqref>R8:R207 AV8:AV207</xm:sqref>
        </x14:conditionalFormatting>
        <x14:conditionalFormatting xmlns:xm="http://schemas.microsoft.com/office/excel/2006/main">
          <x14:cfRule type="expression" priority="91" id="{B7812B41-E2A0-4BCB-9B2E-AEA23660F3ED}">
            <xm:f>IF(NOT(ISNA('Reaction Information'!$D$25)), IF('Reaction Information'!$D$25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Information'!$Q$25 &lt;&gt; 0)), FALSE), FALSE), FALSE)</xm:f>
            <x14:dxf>
              <fill>
                <patternFill>
                  <bgColor rgb="FFFF4B4B"/>
                </patternFill>
              </fill>
            </x14:dxf>
          </x14:cfRule>
          <xm:sqref>P8:P207 AT8:AT207</xm:sqref>
        </x14:conditionalFormatting>
        <x14:conditionalFormatting xmlns:xm="http://schemas.microsoft.com/office/excel/2006/main">
          <x14:cfRule type="expression" priority="93" id="{469889E1-FE75-474A-B70E-FF2FB9C38A17}">
            <xm:f>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xm:f>
            <x14:dxf>
              <fill>
                <patternFill>
                  <bgColor rgb="FFFF4B4B"/>
                </patternFill>
              </fill>
            </x14:dxf>
          </x14:cfRule>
          <xm:sqref>Q8:Q207 AU8:AU207</xm:sqref>
        </x14:conditionalFormatting>
        <x14:conditionalFormatting xmlns:xm="http://schemas.microsoft.com/office/excel/2006/main">
          <x14:cfRule type="expression" priority="95" id="{EFECEA89-51BD-4885-AD59-B7CD1B826A1C}">
            <xm:f>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xm:f>
            <x14:dxf>
              <fill>
                <patternFill>
                  <bgColor rgb="FFFF4B4B"/>
                </patternFill>
              </fill>
            </x14:dxf>
          </x14:cfRule>
          <xm:sqref>AD8:AD207 BH8:BH207</xm:sqref>
        </x14:conditionalFormatting>
        <x14:conditionalFormatting xmlns:xm="http://schemas.microsoft.com/office/excel/2006/main">
          <x14:cfRule type="expression" priority="97" id="{874B6267-DF52-457B-9799-F02F02DC2F15}">
            <xm:f>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AE8:AE207 BI8:BI207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002060"/>
  </sheetPr>
  <dimension ref="A1:AA700"/>
  <sheetViews>
    <sheetView zoomScale="150" zoomScaleNormal="150" zoomScalePageLayoutView="150" workbookViewId="0">
      <pane xSplit="3" ySplit="4" topLeftCell="Q219" activePane="bottomRight" state="frozen"/>
      <selection pane="topRight" activeCell="D1" sqref="D1"/>
      <selection pane="bottomLeft" activeCell="A5" sqref="A5"/>
      <selection pane="bottomRight" activeCell="T233" sqref="T233"/>
    </sheetView>
  </sheetViews>
  <sheetFormatPr baseColWidth="10" defaultColWidth="8.83203125" defaultRowHeight="15" x14ac:dyDescent="0.2"/>
  <cols>
    <col min="1" max="1" width="2.83203125" customWidth="1"/>
    <col min="2" max="3" width="20.6640625" customWidth="1"/>
    <col min="4" max="6" width="17.6640625" customWidth="1"/>
    <col min="7" max="7" width="17.6640625" style="230" customWidth="1"/>
    <col min="8" max="10" width="17.6640625" customWidth="1"/>
    <col min="11" max="13" width="27" customWidth="1"/>
    <col min="14" max="19" width="17.6640625" customWidth="1"/>
    <col min="20" max="20" width="37.83203125" customWidth="1"/>
    <col min="22" max="27" width="9.5" customWidth="1"/>
  </cols>
  <sheetData>
    <row r="1" spans="1:27" ht="15" customHeight="1" x14ac:dyDescent="0.2">
      <c r="V1" s="258" t="s">
        <v>610</v>
      </c>
      <c r="W1" s="258"/>
      <c r="X1" s="258"/>
      <c r="Y1" s="258"/>
      <c r="Z1" s="258"/>
      <c r="AA1" s="258"/>
    </row>
    <row r="2" spans="1:27" ht="30" customHeight="1" x14ac:dyDescent="0.2">
      <c r="K2" s="10" t="s">
        <v>600</v>
      </c>
      <c r="L2" s="11" t="s">
        <v>604</v>
      </c>
      <c r="M2" s="11" t="s">
        <v>605</v>
      </c>
      <c r="V2" s="258" t="s">
        <v>611</v>
      </c>
      <c r="W2" s="258"/>
      <c r="X2" s="258"/>
      <c r="Y2" s="258"/>
      <c r="Z2" s="258" t="s">
        <v>612</v>
      </c>
      <c r="AA2" s="258"/>
    </row>
    <row r="3" spans="1:27" ht="22.5" customHeight="1" x14ac:dyDescent="0.2">
      <c r="B3" s="281" t="s">
        <v>0</v>
      </c>
      <c r="C3" s="281"/>
      <c r="D3" s="10" t="s">
        <v>445</v>
      </c>
      <c r="E3" s="14" t="s">
        <v>447</v>
      </c>
      <c r="F3" s="10" t="s">
        <v>446</v>
      </c>
      <c r="G3" s="231" t="s">
        <v>448</v>
      </c>
      <c r="H3" s="10" t="s">
        <v>599</v>
      </c>
      <c r="I3" s="14" t="s">
        <v>524</v>
      </c>
      <c r="J3" s="10" t="s">
        <v>3</v>
      </c>
      <c r="K3" s="127" t="s">
        <v>601</v>
      </c>
      <c r="L3" s="128" t="s">
        <v>601</v>
      </c>
      <c r="M3" s="125" t="s">
        <v>602</v>
      </c>
      <c r="N3" s="123" t="s">
        <v>517</v>
      </c>
      <c r="O3" s="10" t="s">
        <v>519</v>
      </c>
      <c r="P3" s="10" t="s">
        <v>4</v>
      </c>
      <c r="Q3" s="10" t="s">
        <v>521</v>
      </c>
      <c r="R3" s="10" t="s">
        <v>5</v>
      </c>
      <c r="S3" s="10" t="s">
        <v>522</v>
      </c>
      <c r="T3" s="282" t="s">
        <v>637</v>
      </c>
      <c r="V3" s="20" t="s">
        <v>676</v>
      </c>
      <c r="W3" s="186" t="s">
        <v>675</v>
      </c>
      <c r="X3" s="186" t="s">
        <v>674</v>
      </c>
      <c r="Y3" s="20" t="s">
        <v>673</v>
      </c>
      <c r="Z3" s="20" t="s">
        <v>671</v>
      </c>
      <c r="AA3" s="20" t="s">
        <v>672</v>
      </c>
    </row>
    <row r="4" spans="1:27" ht="22.5" customHeight="1" x14ac:dyDescent="0.2">
      <c r="B4" s="3" t="s">
        <v>7</v>
      </c>
      <c r="C4" s="3" t="s">
        <v>6</v>
      </c>
      <c r="D4" s="71" t="s">
        <v>512</v>
      </c>
      <c r="E4" s="72" t="s">
        <v>513</v>
      </c>
      <c r="F4" s="72" t="s">
        <v>514</v>
      </c>
      <c r="G4" s="232" t="s">
        <v>598</v>
      </c>
      <c r="H4" s="72" t="s">
        <v>514</v>
      </c>
      <c r="I4" s="72" t="s">
        <v>513</v>
      </c>
      <c r="J4" s="15"/>
      <c r="K4" s="129" t="s">
        <v>606</v>
      </c>
      <c r="L4" s="130" t="s">
        <v>606</v>
      </c>
      <c r="M4" s="126" t="s">
        <v>603</v>
      </c>
      <c r="N4" s="124" t="s">
        <v>518</v>
      </c>
      <c r="O4" s="71" t="s">
        <v>520</v>
      </c>
      <c r="P4" s="71" t="s">
        <v>515</v>
      </c>
      <c r="Q4" s="71" t="s">
        <v>523</v>
      </c>
      <c r="R4" s="71" t="s">
        <v>516</v>
      </c>
      <c r="S4" s="71" t="s">
        <v>523</v>
      </c>
      <c r="T4" s="282"/>
      <c r="V4" s="7">
        <v>1.304E-2</v>
      </c>
      <c r="W4" s="88">
        <v>-2.1700000000000001E-3</v>
      </c>
      <c r="X4" s="88">
        <v>0.14566999999999999</v>
      </c>
      <c r="Y4" s="7">
        <v>6.1870000000000001E-2</v>
      </c>
      <c r="Z4" s="7">
        <v>1.9421000000000001E-2</v>
      </c>
      <c r="AA4" s="7">
        <v>0.15204000000000001</v>
      </c>
    </row>
    <row r="5" spans="1:27" x14ac:dyDescent="0.2">
      <c r="B5" s="110" t="s">
        <v>13</v>
      </c>
      <c r="C5" s="110" t="s">
        <v>14</v>
      </c>
      <c r="D5" s="134">
        <v>-88270</v>
      </c>
      <c r="E5" s="111">
        <v>-116180</v>
      </c>
      <c r="F5" s="144">
        <v>20.6</v>
      </c>
      <c r="G5" s="144">
        <v>40.499925956875529</v>
      </c>
      <c r="H5" s="120">
        <v>6.3117426074730005</v>
      </c>
      <c r="I5" s="112">
        <v>1.3182</v>
      </c>
      <c r="J5" s="89">
        <v>-1</v>
      </c>
      <c r="K5" s="89">
        <v>0</v>
      </c>
      <c r="L5" s="89">
        <v>0</v>
      </c>
      <c r="M5" s="89">
        <v>0</v>
      </c>
      <c r="N5" s="112">
        <v>10.018000000000001</v>
      </c>
      <c r="O5" s="112">
        <v>2.8090000000000002</v>
      </c>
      <c r="P5" s="112">
        <v>6.72</v>
      </c>
      <c r="Q5" s="112">
        <v>-2.8940999999999999</v>
      </c>
      <c r="R5" s="112">
        <v>26.3</v>
      </c>
      <c r="S5" s="112">
        <v>-3.86</v>
      </c>
      <c r="T5" s="150" t="s">
        <v>779</v>
      </c>
      <c r="U5" t="s">
        <v>613</v>
      </c>
    </row>
    <row r="6" spans="1:27" x14ac:dyDescent="0.2">
      <c r="B6" s="110" t="s">
        <v>15</v>
      </c>
      <c r="C6" s="110" t="s">
        <v>16</v>
      </c>
      <c r="D6" s="133">
        <v>-94760</v>
      </c>
      <c r="E6" s="89">
        <v>-116100</v>
      </c>
      <c r="F6" s="145">
        <v>42.7</v>
      </c>
      <c r="G6" s="145">
        <v>52.010021627669609</v>
      </c>
      <c r="H6" s="121">
        <v>41.083551599392024</v>
      </c>
      <c r="I6" s="113">
        <v>-7.5999999999999998E-2</v>
      </c>
      <c r="J6" s="89">
        <v>0</v>
      </c>
      <c r="K6" s="89">
        <v>0</v>
      </c>
      <c r="L6" s="89">
        <v>0</v>
      </c>
      <c r="M6" s="89">
        <v>0</v>
      </c>
      <c r="N6" s="113">
        <v>11.5</v>
      </c>
      <c r="O6" s="113">
        <v>5.5</v>
      </c>
      <c r="P6" s="113">
        <v>1.67</v>
      </c>
      <c r="Q6" s="113">
        <v>-2.87</v>
      </c>
      <c r="R6" s="113">
        <v>44.9</v>
      </c>
      <c r="S6" s="113">
        <v>-2.63</v>
      </c>
      <c r="T6" s="150" t="s">
        <v>702</v>
      </c>
      <c r="U6" t="s">
        <v>613</v>
      </c>
    </row>
    <row r="7" spans="1:27" x14ac:dyDescent="0.2">
      <c r="B7" s="110" t="s">
        <v>17</v>
      </c>
      <c r="C7" s="110" t="s">
        <v>18</v>
      </c>
      <c r="D7" s="133">
        <v>18427</v>
      </c>
      <c r="E7" s="89">
        <v>25275</v>
      </c>
      <c r="F7" s="145">
        <v>17.54</v>
      </c>
      <c r="G7" s="145">
        <v>-0.80007791831864883</v>
      </c>
      <c r="H7" s="121">
        <v>7.8996751450662721</v>
      </c>
      <c r="I7" s="113">
        <v>0.216</v>
      </c>
      <c r="J7" s="89">
        <v>1</v>
      </c>
      <c r="K7" s="89">
        <v>0</v>
      </c>
      <c r="L7" s="89">
        <v>1</v>
      </c>
      <c r="M7" s="89">
        <v>0</v>
      </c>
      <c r="N7" s="113">
        <v>1.7284999999999999</v>
      </c>
      <c r="O7" s="113">
        <v>-3.5608</v>
      </c>
      <c r="P7" s="113">
        <v>7.1496000000000004</v>
      </c>
      <c r="Q7" s="113">
        <v>-2.6318000000000001</v>
      </c>
      <c r="R7" s="113">
        <v>12.786199999999999</v>
      </c>
      <c r="S7" s="113">
        <v>-1.4254</v>
      </c>
      <c r="T7" s="150" t="s">
        <v>703</v>
      </c>
      <c r="U7" t="s">
        <v>613</v>
      </c>
    </row>
    <row r="8" spans="1:27" x14ac:dyDescent="0.2">
      <c r="B8" s="110" t="s">
        <v>19</v>
      </c>
      <c r="C8" s="110" t="s">
        <v>20</v>
      </c>
      <c r="D8" s="133">
        <v>-17450</v>
      </c>
      <c r="E8" s="89">
        <v>-18270</v>
      </c>
      <c r="F8" s="145">
        <v>34.1</v>
      </c>
      <c r="G8" s="145">
        <v>27</v>
      </c>
      <c r="H8" s="121">
        <v>6.7000936926835664</v>
      </c>
      <c r="I8" s="113">
        <v>-3.7999999999999999E-2</v>
      </c>
      <c r="J8" s="89">
        <v>0</v>
      </c>
      <c r="K8" s="89">
        <v>0</v>
      </c>
      <c r="L8" s="89">
        <v>1</v>
      </c>
      <c r="M8" s="89">
        <v>1</v>
      </c>
      <c r="N8" s="113">
        <v>5.2004999999999999</v>
      </c>
      <c r="O8" s="113">
        <v>4.9183000000000003</v>
      </c>
      <c r="P8" s="113">
        <v>3.8136000000000001</v>
      </c>
      <c r="Q8" s="113">
        <v>-2.9822000000000002</v>
      </c>
      <c r="R8" s="113">
        <v>9.7430000000000003</v>
      </c>
      <c r="S8" s="113">
        <v>-1.6697</v>
      </c>
      <c r="T8" s="150" t="s">
        <v>704</v>
      </c>
      <c r="U8" t="s">
        <v>613</v>
      </c>
    </row>
    <row r="9" spans="1:27" x14ac:dyDescent="0.2">
      <c r="B9" s="110" t="s">
        <v>21</v>
      </c>
      <c r="C9" s="110" t="s">
        <v>22</v>
      </c>
      <c r="D9" s="133">
        <v>-51560</v>
      </c>
      <c r="E9" s="89">
        <v>-61130</v>
      </c>
      <c r="F9" s="145">
        <v>47</v>
      </c>
      <c r="G9" s="145">
        <v>53</v>
      </c>
      <c r="H9" s="121">
        <v>7.6998959146029584</v>
      </c>
      <c r="I9" s="113">
        <v>0.91690000000000005</v>
      </c>
      <c r="J9" s="89">
        <v>-1</v>
      </c>
      <c r="K9" s="89">
        <v>0</v>
      </c>
      <c r="L9" s="89">
        <v>1</v>
      </c>
      <c r="M9" s="89">
        <v>1</v>
      </c>
      <c r="N9" s="113">
        <v>9.6023999999999994</v>
      </c>
      <c r="O9" s="113">
        <v>15.6624</v>
      </c>
      <c r="P9" s="113">
        <v>-0.39989999999999998</v>
      </c>
      <c r="Q9" s="113">
        <v>-3.4264000000000001</v>
      </c>
      <c r="R9" s="113">
        <v>19.126200000000001</v>
      </c>
      <c r="S9" s="113">
        <v>-1.466</v>
      </c>
      <c r="T9" s="150" t="s">
        <v>704</v>
      </c>
      <c r="U9" t="s">
        <v>613</v>
      </c>
    </row>
    <row r="10" spans="1:27" x14ac:dyDescent="0.2">
      <c r="B10" s="110" t="s">
        <v>866</v>
      </c>
      <c r="C10" s="110" t="s">
        <v>867</v>
      </c>
      <c r="D10" s="133">
        <v>-165475</v>
      </c>
      <c r="E10" s="89">
        <v>-183300</v>
      </c>
      <c r="F10" s="145">
        <v>-44.2</v>
      </c>
      <c r="G10" s="145">
        <v>-9.75</v>
      </c>
      <c r="H10" s="121">
        <v>13.2</v>
      </c>
      <c r="I10" s="113">
        <v>1.7246999999999999</v>
      </c>
      <c r="J10" s="89">
        <v>2</v>
      </c>
      <c r="K10" s="89">
        <v>1</v>
      </c>
      <c r="L10" s="89">
        <v>1</v>
      </c>
      <c r="M10" s="89">
        <v>1</v>
      </c>
      <c r="N10" s="113"/>
      <c r="O10" s="113"/>
      <c r="P10" s="113"/>
      <c r="Q10" s="113"/>
      <c r="R10" s="113"/>
      <c r="S10" s="113"/>
      <c r="T10" s="150" t="s">
        <v>868</v>
      </c>
      <c r="U10" t="s">
        <v>613</v>
      </c>
    </row>
    <row r="11" spans="1:27" x14ac:dyDescent="0.2">
      <c r="B11" s="110" t="s">
        <v>23</v>
      </c>
      <c r="C11" s="110" t="s">
        <v>24</v>
      </c>
      <c r="D11" s="133">
        <v>-115609</v>
      </c>
      <c r="E11" s="89">
        <v>-126834</v>
      </c>
      <c r="F11" s="145">
        <v>-77.7</v>
      </c>
      <c r="G11" s="145">
        <v>-44.400017036427499</v>
      </c>
      <c r="H11" s="121">
        <v>-32.5</v>
      </c>
      <c r="I11" s="113">
        <v>2.7530000000000001</v>
      </c>
      <c r="J11" s="89">
        <v>3</v>
      </c>
      <c r="K11" s="89">
        <v>0</v>
      </c>
      <c r="L11" s="89">
        <v>0</v>
      </c>
      <c r="M11" s="89">
        <v>0</v>
      </c>
      <c r="N11" s="113">
        <v>-3.3801999999999999</v>
      </c>
      <c r="O11" s="113">
        <v>-17.007100000000001</v>
      </c>
      <c r="P11" s="113">
        <v>14.5185</v>
      </c>
      <c r="Q11" s="113">
        <v>-2.0758000000000001</v>
      </c>
      <c r="R11" s="113">
        <v>10.7</v>
      </c>
      <c r="S11" s="113">
        <v>-8.06</v>
      </c>
      <c r="T11" s="150" t="s">
        <v>705</v>
      </c>
      <c r="U11" t="s">
        <v>613</v>
      </c>
    </row>
    <row r="12" spans="1:27" x14ac:dyDescent="0.2">
      <c r="B12" s="110" t="s">
        <v>618</v>
      </c>
      <c r="C12" s="110" t="s">
        <v>619</v>
      </c>
      <c r="D12" s="133">
        <v>-198693</v>
      </c>
      <c r="E12" s="89">
        <v>-222125</v>
      </c>
      <c r="F12" s="145">
        <v>-7.22</v>
      </c>
      <c r="G12" s="145">
        <v>10</v>
      </c>
      <c r="H12" s="121">
        <v>-11.9</v>
      </c>
      <c r="I12" s="113">
        <v>1.7418</v>
      </c>
      <c r="J12" s="89">
        <v>-1</v>
      </c>
      <c r="K12" s="89">
        <v>0</v>
      </c>
      <c r="L12" s="89">
        <v>0</v>
      </c>
      <c r="M12" s="89">
        <v>1</v>
      </c>
      <c r="N12" s="113">
        <v>4.298</v>
      </c>
      <c r="O12" s="113">
        <v>2.4975999999999998</v>
      </c>
      <c r="P12" s="113">
        <v>-1.8258000000000001</v>
      </c>
      <c r="Q12" s="113">
        <v>-2.8822999999999999</v>
      </c>
      <c r="R12" s="113">
        <v>19.100000000000001</v>
      </c>
      <c r="S12" s="113">
        <v>-6.2</v>
      </c>
      <c r="T12" s="150" t="s">
        <v>706</v>
      </c>
      <c r="U12" t="s">
        <v>613</v>
      </c>
    </row>
    <row r="13" spans="1:27" x14ac:dyDescent="0.2">
      <c r="B13" s="110" t="s">
        <v>801</v>
      </c>
      <c r="C13" s="110" t="s">
        <v>801</v>
      </c>
      <c r="D13" s="133">
        <v>-403500</v>
      </c>
      <c r="E13" s="89">
        <v>-440456</v>
      </c>
      <c r="F13" s="145">
        <v>4</v>
      </c>
      <c r="G13" s="145">
        <v>34.799999999999997</v>
      </c>
      <c r="H13" s="121">
        <v>32</v>
      </c>
      <c r="I13" s="113">
        <v>1.5685</v>
      </c>
      <c r="J13" s="89">
        <v>-1</v>
      </c>
      <c r="K13" s="89">
        <v>1</v>
      </c>
      <c r="L13" s="89">
        <v>1</v>
      </c>
      <c r="M13" s="89">
        <v>1</v>
      </c>
      <c r="N13" s="113"/>
      <c r="O13" s="113"/>
      <c r="P13" s="113"/>
      <c r="Q13" s="113"/>
      <c r="R13" s="113"/>
      <c r="S13" s="113"/>
      <c r="T13" s="229" t="s">
        <v>817</v>
      </c>
      <c r="U13" t="s">
        <v>613</v>
      </c>
    </row>
    <row r="14" spans="1:27" x14ac:dyDescent="0.2">
      <c r="B14" s="110" t="s">
        <v>25</v>
      </c>
      <c r="C14" s="110" t="s">
        <v>26</v>
      </c>
      <c r="D14" s="133">
        <v>3900</v>
      </c>
      <c r="E14" s="89">
        <v>-2870</v>
      </c>
      <c r="F14" s="145">
        <v>14.3</v>
      </c>
      <c r="G14" s="145">
        <v>31.709837012547897</v>
      </c>
      <c r="H14" s="121">
        <v>53.345033192928895</v>
      </c>
      <c r="I14" s="113">
        <v>-0.30730000000000002</v>
      </c>
      <c r="J14" s="89">
        <v>0</v>
      </c>
      <c r="K14" s="89">
        <v>0</v>
      </c>
      <c r="L14" s="89">
        <v>0</v>
      </c>
      <c r="M14" s="89">
        <v>0</v>
      </c>
      <c r="N14" s="113">
        <v>6.0003000000000002</v>
      </c>
      <c r="O14" s="113">
        <v>6.8697999999999997</v>
      </c>
      <c r="P14" s="113">
        <v>3.0499000000000001</v>
      </c>
      <c r="Q14" s="113">
        <v>-3.0630000000000002</v>
      </c>
      <c r="R14" s="113">
        <v>35.647100000000002</v>
      </c>
      <c r="S14" s="113">
        <v>7.3159999999999998</v>
      </c>
      <c r="T14" s="150" t="s">
        <v>707</v>
      </c>
      <c r="U14" t="s">
        <v>613</v>
      </c>
    </row>
    <row r="15" spans="1:27" x14ac:dyDescent="0.2">
      <c r="B15" s="110" t="s">
        <v>27</v>
      </c>
      <c r="C15" s="110" t="s">
        <v>28</v>
      </c>
      <c r="D15" s="133">
        <v>39000</v>
      </c>
      <c r="E15" s="89">
        <v>47580</v>
      </c>
      <c r="F15" s="145">
        <v>24.5</v>
      </c>
      <c r="G15" s="145">
        <v>11.100324833471493</v>
      </c>
      <c r="H15" s="121">
        <v>0.60020747308475664</v>
      </c>
      <c r="I15" s="113">
        <v>0.18</v>
      </c>
      <c r="J15" s="89">
        <v>1</v>
      </c>
      <c r="K15" s="89">
        <v>0</v>
      </c>
      <c r="L15" s="89">
        <v>1</v>
      </c>
      <c r="M15" s="89">
        <v>0</v>
      </c>
      <c r="N15" s="113">
        <v>3.3448000000000002</v>
      </c>
      <c r="O15" s="113">
        <v>0.3856</v>
      </c>
      <c r="P15" s="113">
        <v>5.5984999999999996</v>
      </c>
      <c r="Q15" s="113">
        <v>-2.7949000000000002</v>
      </c>
      <c r="R15" s="113">
        <v>8.1768000000000001</v>
      </c>
      <c r="S15" s="113">
        <v>-2.9123999999999999</v>
      </c>
      <c r="T15" s="150" t="s">
        <v>703</v>
      </c>
      <c r="U15" t="s">
        <v>613</v>
      </c>
    </row>
    <row r="16" spans="1:27" x14ac:dyDescent="0.2">
      <c r="B16" s="110" t="s">
        <v>29</v>
      </c>
      <c r="C16" s="110" t="s">
        <v>30</v>
      </c>
      <c r="D16" s="133">
        <v>103600</v>
      </c>
      <c r="E16" s="89">
        <v>96930</v>
      </c>
      <c r="F16" s="145">
        <v>-57.9</v>
      </c>
      <c r="G16" s="145">
        <v>-41.300343488716095</v>
      </c>
      <c r="H16" s="121">
        <v>-36.1998871338686</v>
      </c>
      <c r="I16" s="113">
        <v>2.4554</v>
      </c>
      <c r="J16" s="89">
        <v>3</v>
      </c>
      <c r="K16" s="89">
        <v>0</v>
      </c>
      <c r="L16" s="89">
        <v>1</v>
      </c>
      <c r="M16" s="89">
        <v>0</v>
      </c>
      <c r="N16" s="113">
        <v>-3.0567000000000002</v>
      </c>
      <c r="O16" s="113">
        <v>-15.244999999999999</v>
      </c>
      <c r="P16" s="113">
        <v>11.741899999999999</v>
      </c>
      <c r="Q16" s="113">
        <v>-2.1488</v>
      </c>
      <c r="R16" s="113">
        <v>7.5724</v>
      </c>
      <c r="S16" s="113">
        <v>-10.4085</v>
      </c>
      <c r="T16" s="150" t="s">
        <v>703</v>
      </c>
      <c r="U16" t="s">
        <v>613</v>
      </c>
    </row>
    <row r="17" spans="2:21" x14ac:dyDescent="0.2">
      <c r="B17" s="110" t="s">
        <v>31</v>
      </c>
      <c r="C17" s="110" t="s">
        <v>32</v>
      </c>
      <c r="D17" s="133">
        <v>-231540</v>
      </c>
      <c r="E17" s="89">
        <v>-256820</v>
      </c>
      <c r="F17" s="145">
        <v>37</v>
      </c>
      <c r="G17" s="145">
        <v>39.219941654439609</v>
      </c>
      <c r="H17" s="121">
        <v>12.000022758025896</v>
      </c>
      <c r="I17" s="113">
        <v>-0.2</v>
      </c>
      <c r="J17" s="89">
        <v>0</v>
      </c>
      <c r="K17" s="89">
        <v>0</v>
      </c>
      <c r="L17" s="89">
        <v>0</v>
      </c>
      <c r="M17" s="89">
        <v>0</v>
      </c>
      <c r="N17" s="113">
        <v>7.0643000000000002</v>
      </c>
      <c r="O17" s="113">
        <v>8.8546999999999993</v>
      </c>
      <c r="P17" s="113">
        <v>3.5844</v>
      </c>
      <c r="Q17" s="113">
        <v>-3.1450999999999998</v>
      </c>
      <c r="R17" s="113">
        <v>11.3568</v>
      </c>
      <c r="S17" s="113">
        <v>-0.59019999999999995</v>
      </c>
      <c r="T17" s="150" t="s">
        <v>658</v>
      </c>
      <c r="U17" t="s">
        <v>613</v>
      </c>
    </row>
    <row r="18" spans="2:21" x14ac:dyDescent="0.2">
      <c r="B18" s="110" t="s">
        <v>36</v>
      </c>
      <c r="C18" s="110" t="s">
        <v>37</v>
      </c>
      <c r="D18" s="133">
        <v>-134030</v>
      </c>
      <c r="E18" s="89">
        <v>-128500</v>
      </c>
      <c r="F18" s="145">
        <v>2.2999999999999998</v>
      </c>
      <c r="G18" s="145">
        <v>-12.599841165212119</v>
      </c>
      <c r="H18" s="121">
        <v>-12.285380588877757</v>
      </c>
      <c r="I18" s="113">
        <v>0.98499999999999999</v>
      </c>
      <c r="J18" s="89">
        <v>2</v>
      </c>
      <c r="K18" s="89">
        <v>0</v>
      </c>
      <c r="L18" s="89">
        <v>1</v>
      </c>
      <c r="M18" s="89">
        <v>0</v>
      </c>
      <c r="N18" s="113">
        <v>2.7383000000000002</v>
      </c>
      <c r="O18" s="113">
        <v>-10.0565</v>
      </c>
      <c r="P18" s="113">
        <v>-4.7E-2</v>
      </c>
      <c r="Q18" s="113">
        <v>-2.3633000000000002</v>
      </c>
      <c r="R18" s="113">
        <v>3.8</v>
      </c>
      <c r="S18" s="113">
        <v>-3.45</v>
      </c>
      <c r="T18" s="150" t="s">
        <v>703</v>
      </c>
      <c r="U18" t="s">
        <v>613</v>
      </c>
    </row>
    <row r="19" spans="2:21" x14ac:dyDescent="0.2">
      <c r="B19" s="110" t="s">
        <v>38</v>
      </c>
      <c r="C19" s="110" t="s">
        <v>39</v>
      </c>
      <c r="D19" s="133">
        <v>-164730</v>
      </c>
      <c r="E19" s="89">
        <v>-165770</v>
      </c>
      <c r="F19" s="145">
        <v>22.5</v>
      </c>
      <c r="G19" s="145">
        <v>16.8</v>
      </c>
      <c r="H19" s="121">
        <v>6.1795580630575788</v>
      </c>
      <c r="I19" s="113">
        <v>0.21260000000000001</v>
      </c>
      <c r="J19" s="89">
        <v>1</v>
      </c>
      <c r="K19" s="89">
        <v>0</v>
      </c>
      <c r="L19" s="89">
        <v>1</v>
      </c>
      <c r="M19" s="89">
        <v>1</v>
      </c>
      <c r="N19" s="113">
        <v>3.5733000000000001</v>
      </c>
      <c r="O19" s="113">
        <v>0.94469999999999998</v>
      </c>
      <c r="P19" s="113">
        <v>5.3765999999999998</v>
      </c>
      <c r="Q19" s="113">
        <v>-2.8180000000000001</v>
      </c>
      <c r="R19" s="113">
        <v>11.7464</v>
      </c>
      <c r="S19" s="113">
        <v>-1.7756000000000001</v>
      </c>
      <c r="T19" s="150" t="s">
        <v>708</v>
      </c>
      <c r="U19" t="s">
        <v>613</v>
      </c>
    </row>
    <row r="20" spans="2:21" x14ac:dyDescent="0.2">
      <c r="B20" s="110" t="s">
        <v>40</v>
      </c>
      <c r="C20" s="110" t="s">
        <v>41</v>
      </c>
      <c r="D20" s="133">
        <v>-83500</v>
      </c>
      <c r="E20" s="89">
        <v>-91500</v>
      </c>
      <c r="F20" s="145">
        <v>-55.7</v>
      </c>
      <c r="G20" s="145">
        <v>-25.400190859694312</v>
      </c>
      <c r="H20" s="121">
        <v>-1.3003396389719626</v>
      </c>
      <c r="I20" s="113">
        <v>1.9007000000000001</v>
      </c>
      <c r="J20" s="89">
        <v>2</v>
      </c>
      <c r="K20" s="89">
        <v>0</v>
      </c>
      <c r="L20" s="89">
        <v>1</v>
      </c>
      <c r="M20" s="89">
        <v>0</v>
      </c>
      <c r="N20" s="113">
        <v>-1.0684</v>
      </c>
      <c r="O20" s="113">
        <v>-10.3901</v>
      </c>
      <c r="P20" s="113">
        <v>9.8338000000000001</v>
      </c>
      <c r="Q20" s="113">
        <v>-2.3494999999999999</v>
      </c>
      <c r="R20" s="113">
        <v>22.915199999999999</v>
      </c>
      <c r="S20" s="113">
        <v>-3.2993999999999999</v>
      </c>
      <c r="T20" s="150" t="s">
        <v>703</v>
      </c>
      <c r="U20" t="s">
        <v>613</v>
      </c>
    </row>
    <row r="21" spans="2:21" x14ac:dyDescent="0.2">
      <c r="B21" s="110" t="s">
        <v>33</v>
      </c>
      <c r="C21" s="110" t="s">
        <v>709</v>
      </c>
      <c r="D21" s="133">
        <v>32000</v>
      </c>
      <c r="E21" s="89">
        <v>12230</v>
      </c>
      <c r="F21" s="145">
        <v>35.700000000000003</v>
      </c>
      <c r="G21" s="145">
        <v>83</v>
      </c>
      <c r="H21" s="121">
        <v>88.4</v>
      </c>
      <c r="I21" s="113">
        <v>-0.25</v>
      </c>
      <c r="J21" s="89">
        <v>0</v>
      </c>
      <c r="K21" s="89">
        <v>0</v>
      </c>
      <c r="L21" s="89">
        <v>0</v>
      </c>
      <c r="M21" s="89">
        <v>0</v>
      </c>
      <c r="N21" s="113">
        <v>17.519916303739855</v>
      </c>
      <c r="O21" s="113">
        <v>12.397562049745821</v>
      </c>
      <c r="P21" s="113">
        <v>-5.5571375408812642</v>
      </c>
      <c r="Q21" s="113">
        <v>-3.2915152151364921</v>
      </c>
      <c r="R21" s="113">
        <v>66.900000000000006</v>
      </c>
      <c r="S21" s="113">
        <v>9.8000000000000007</v>
      </c>
      <c r="T21" s="150" t="s">
        <v>710</v>
      </c>
      <c r="U21" t="s">
        <v>613</v>
      </c>
    </row>
    <row r="22" spans="2:21" x14ac:dyDescent="0.2">
      <c r="B22" s="110" t="s">
        <v>802</v>
      </c>
      <c r="C22" s="110"/>
      <c r="D22" s="133">
        <v>174.64</v>
      </c>
      <c r="E22" s="89"/>
      <c r="F22" s="145">
        <v>22</v>
      </c>
      <c r="G22" s="145"/>
      <c r="H22" s="121"/>
      <c r="I22" s="113">
        <v>-0.36799999999999999</v>
      </c>
      <c r="J22" s="89">
        <v>0</v>
      </c>
      <c r="K22" s="89">
        <v>0</v>
      </c>
      <c r="L22" s="89">
        <v>0</v>
      </c>
      <c r="M22" s="89">
        <v>0</v>
      </c>
      <c r="N22" s="113">
        <v>0.30055999999999999</v>
      </c>
      <c r="O22" s="113">
        <v>-2.0255000000000001</v>
      </c>
      <c r="P22" s="113">
        <v>-2.9091999999999998</v>
      </c>
      <c r="Q22" s="113">
        <v>2.0301999999999998</v>
      </c>
      <c r="R22" s="113">
        <v>-1.5</v>
      </c>
      <c r="S22" s="113">
        <v>5.33</v>
      </c>
      <c r="T22" s="150" t="s">
        <v>803</v>
      </c>
      <c r="U22" t="s">
        <v>613</v>
      </c>
    </row>
    <row r="23" spans="2:21" x14ac:dyDescent="0.2">
      <c r="B23" s="110" t="s">
        <v>711</v>
      </c>
      <c r="C23" s="110" t="s">
        <v>712</v>
      </c>
      <c r="D23" s="133">
        <v>-174854</v>
      </c>
      <c r="E23" s="89">
        <v>-188505</v>
      </c>
      <c r="F23" s="145">
        <v>24</v>
      </c>
      <c r="G23" s="145">
        <v>20.2</v>
      </c>
      <c r="H23" s="121">
        <v>3.8</v>
      </c>
      <c r="I23" s="113">
        <v>0.1</v>
      </c>
      <c r="J23" s="89">
        <v>0</v>
      </c>
      <c r="K23" s="89">
        <v>0</v>
      </c>
      <c r="L23" s="89">
        <v>0</v>
      </c>
      <c r="M23" s="89">
        <v>0</v>
      </c>
      <c r="N23" s="113">
        <v>5.54</v>
      </c>
      <c r="O23" s="113">
        <v>1.38</v>
      </c>
      <c r="P23" s="113">
        <v>3.1</v>
      </c>
      <c r="Q23" s="113">
        <v>-2.84</v>
      </c>
      <c r="R23" s="113">
        <v>25</v>
      </c>
      <c r="S23" s="113">
        <v>-10</v>
      </c>
      <c r="T23" s="150" t="s">
        <v>713</v>
      </c>
      <c r="U23" t="s">
        <v>613</v>
      </c>
    </row>
    <row r="24" spans="2:21" x14ac:dyDescent="0.2">
      <c r="B24" s="110" t="s">
        <v>34</v>
      </c>
      <c r="C24" s="110" t="s">
        <v>35</v>
      </c>
      <c r="D24" s="133">
        <v>-162240</v>
      </c>
      <c r="E24" s="89">
        <v>-184600</v>
      </c>
      <c r="F24" s="145">
        <v>-8.9</v>
      </c>
      <c r="G24" s="145">
        <v>-16</v>
      </c>
      <c r="H24" s="121">
        <v>-9</v>
      </c>
      <c r="I24" s="113">
        <v>1.7595000000000001</v>
      </c>
      <c r="J24" s="89">
        <v>-1</v>
      </c>
      <c r="K24" s="89">
        <v>0</v>
      </c>
      <c r="L24" s="89">
        <v>0</v>
      </c>
      <c r="M24" s="89">
        <v>0</v>
      </c>
      <c r="N24" s="113">
        <v>-0.85499999999999998</v>
      </c>
      <c r="O24" s="113">
        <v>-2.5960000000000001</v>
      </c>
      <c r="P24" s="113">
        <v>3.7</v>
      </c>
      <c r="Q24" s="113">
        <v>-2.6717</v>
      </c>
      <c r="R24" s="113">
        <v>17.102</v>
      </c>
      <c r="S24" s="113">
        <v>-4.8678999999999997</v>
      </c>
      <c r="T24" s="150" t="s">
        <v>714</v>
      </c>
      <c r="U24" t="s">
        <v>613</v>
      </c>
    </row>
    <row r="25" spans="2:21" x14ac:dyDescent="0.2">
      <c r="B25" s="110" t="s">
        <v>42</v>
      </c>
      <c r="C25" s="110" t="s">
        <v>43</v>
      </c>
      <c r="D25" s="133">
        <v>-24870</v>
      </c>
      <c r="E25" s="89">
        <v>-29040</v>
      </c>
      <c r="F25" s="145">
        <v>19.8</v>
      </c>
      <c r="G25" s="145">
        <v>24.85246395657062</v>
      </c>
      <c r="H25" s="121">
        <v>-30.407766248397515</v>
      </c>
      <c r="I25" s="113">
        <v>1.3857999999999999</v>
      </c>
      <c r="J25" s="89">
        <v>-1</v>
      </c>
      <c r="K25" s="89">
        <v>0</v>
      </c>
      <c r="L25" s="89">
        <v>0</v>
      </c>
      <c r="M25" s="89">
        <v>0</v>
      </c>
      <c r="N25" s="113">
        <v>5.2690000000000001</v>
      </c>
      <c r="O25" s="113">
        <v>6.5940000000000003</v>
      </c>
      <c r="P25" s="113">
        <v>4.7450000000000001</v>
      </c>
      <c r="Q25" s="113">
        <v>-3.1429999999999998</v>
      </c>
      <c r="R25" s="113">
        <v>-3.8</v>
      </c>
      <c r="S25" s="113">
        <v>-6.8109999999999999</v>
      </c>
      <c r="T25" s="150" t="s">
        <v>715</v>
      </c>
      <c r="U25" t="s">
        <v>613</v>
      </c>
    </row>
    <row r="26" spans="2:21" x14ac:dyDescent="0.2">
      <c r="B26" s="110" t="s">
        <v>830</v>
      </c>
      <c r="C26" s="110" t="s">
        <v>835</v>
      </c>
      <c r="D26" s="133">
        <v>-221660</v>
      </c>
      <c r="E26" s="89">
        <v>-245620</v>
      </c>
      <c r="F26" s="145">
        <v>12.5</v>
      </c>
      <c r="G26" s="145">
        <v>41.5</v>
      </c>
      <c r="H26" s="121">
        <v>83.1</v>
      </c>
      <c r="I26" s="113">
        <v>0.36359999999999998</v>
      </c>
      <c r="J26" s="89">
        <v>1</v>
      </c>
      <c r="K26" s="89">
        <v>1</v>
      </c>
      <c r="L26" s="89">
        <v>1</v>
      </c>
      <c r="M26" s="89">
        <v>1</v>
      </c>
      <c r="N26" s="113">
        <v>5.9001999999999999</v>
      </c>
      <c r="O26" s="113">
        <v>6.6231999999999998</v>
      </c>
      <c r="P26" s="113">
        <v>3.1505000000000001</v>
      </c>
      <c r="Q26" s="113">
        <v>-3.0527000000000002</v>
      </c>
      <c r="R26" s="113">
        <v>58.197600000000001</v>
      </c>
      <c r="S26" s="113">
        <v>13.8857</v>
      </c>
      <c r="T26" s="150" t="s">
        <v>836</v>
      </c>
      <c r="U26" t="s">
        <v>613</v>
      </c>
    </row>
    <row r="27" spans="2:21" x14ac:dyDescent="0.2">
      <c r="B27" s="110" t="s">
        <v>831</v>
      </c>
      <c r="C27" s="110" t="s">
        <v>834</v>
      </c>
      <c r="D27" s="133">
        <v>-311570</v>
      </c>
      <c r="E27" s="89">
        <v>-362650</v>
      </c>
      <c r="F27" s="145">
        <v>32.299999999999997</v>
      </c>
      <c r="G27" s="145">
        <v>94</v>
      </c>
      <c r="H27" s="121">
        <v>187.7</v>
      </c>
      <c r="I27" s="113">
        <v>0.3</v>
      </c>
      <c r="J27" s="89">
        <v>0</v>
      </c>
      <c r="K27" s="89">
        <v>1</v>
      </c>
      <c r="L27" s="89">
        <v>1</v>
      </c>
      <c r="M27" s="89">
        <v>1</v>
      </c>
      <c r="N27" s="113">
        <v>12.991099999999999</v>
      </c>
      <c r="O27" s="113">
        <v>23.937899999999999</v>
      </c>
      <c r="P27" s="113">
        <v>-3.6556000000000002</v>
      </c>
      <c r="Q27" s="113">
        <v>-3.7685</v>
      </c>
      <c r="R27" s="113">
        <v>115.9068</v>
      </c>
      <c r="S27" s="113">
        <v>35.204300000000003</v>
      </c>
      <c r="T27" s="150" t="s">
        <v>836</v>
      </c>
      <c r="U27" t="s">
        <v>613</v>
      </c>
    </row>
    <row r="28" spans="2:21" x14ac:dyDescent="0.2">
      <c r="B28" s="110" t="s">
        <v>832</v>
      </c>
      <c r="C28" s="110" t="s">
        <v>833</v>
      </c>
      <c r="D28" s="133"/>
      <c r="E28" s="89"/>
      <c r="F28" s="145"/>
      <c r="G28" s="145"/>
      <c r="H28" s="121"/>
      <c r="I28" s="113"/>
      <c r="J28" s="89"/>
      <c r="K28" s="89"/>
      <c r="L28" s="89"/>
      <c r="M28" s="89"/>
      <c r="N28" s="113"/>
      <c r="O28" s="113"/>
      <c r="P28" s="113"/>
      <c r="Q28" s="113"/>
      <c r="R28" s="113"/>
      <c r="S28" s="113"/>
      <c r="T28" s="150"/>
      <c r="U28" t="s">
        <v>613</v>
      </c>
    </row>
    <row r="29" spans="2:21" x14ac:dyDescent="0.2">
      <c r="B29" s="110" t="s">
        <v>52</v>
      </c>
      <c r="C29" s="110" t="s">
        <v>53</v>
      </c>
      <c r="D29" s="133">
        <v>-273830</v>
      </c>
      <c r="E29" s="89">
        <v>-294350</v>
      </c>
      <c r="F29" s="145">
        <v>26</v>
      </c>
      <c r="G29" s="145">
        <v>30</v>
      </c>
      <c r="H29" s="121">
        <v>51</v>
      </c>
      <c r="I29" s="113">
        <v>0.158</v>
      </c>
      <c r="J29" s="89">
        <v>1</v>
      </c>
      <c r="K29" s="89">
        <v>1</v>
      </c>
      <c r="L29" s="89">
        <v>1</v>
      </c>
      <c r="M29" s="89">
        <v>1</v>
      </c>
      <c r="N29" s="113">
        <v>9.14</v>
      </c>
      <c r="O29" s="113">
        <v>4.42</v>
      </c>
      <c r="P29" s="113">
        <v>1.1299999999999999</v>
      </c>
      <c r="Q29" s="113">
        <v>-2.96</v>
      </c>
      <c r="R29" s="113">
        <v>65.900000000000006</v>
      </c>
      <c r="S29" s="113">
        <v>15.5</v>
      </c>
      <c r="T29" s="150" t="s">
        <v>817</v>
      </c>
      <c r="U29" t="s">
        <v>613</v>
      </c>
    </row>
    <row r="30" spans="2:21" x14ac:dyDescent="0.2">
      <c r="B30" s="110" t="s">
        <v>809</v>
      </c>
      <c r="C30" s="110" t="s">
        <v>809</v>
      </c>
      <c r="D30" s="133">
        <v>-217930</v>
      </c>
      <c r="E30" s="89">
        <v>-232236</v>
      </c>
      <c r="F30" s="145">
        <v>11</v>
      </c>
      <c r="G30" s="145">
        <v>17.5</v>
      </c>
      <c r="H30" s="121">
        <v>68</v>
      </c>
      <c r="I30" s="113">
        <v>0.3851</v>
      </c>
      <c r="J30" s="89">
        <v>1</v>
      </c>
      <c r="K30" s="89">
        <v>1</v>
      </c>
      <c r="L30" s="89">
        <v>1</v>
      </c>
      <c r="M30" s="89">
        <v>1</v>
      </c>
      <c r="N30" s="113"/>
      <c r="O30" s="113"/>
      <c r="P30" s="113"/>
      <c r="Q30" s="113"/>
      <c r="R30" s="113"/>
      <c r="S30" s="113"/>
      <c r="T30" s="150" t="s">
        <v>817</v>
      </c>
      <c r="U30" t="s">
        <v>613</v>
      </c>
    </row>
    <row r="31" spans="2:21" x14ac:dyDescent="0.2">
      <c r="B31" s="110" t="s">
        <v>808</v>
      </c>
      <c r="C31" s="110" t="s">
        <v>808</v>
      </c>
      <c r="D31" s="133">
        <v>-376299</v>
      </c>
      <c r="E31" s="89">
        <v>-397525</v>
      </c>
      <c r="F31" s="145">
        <v>16.8</v>
      </c>
      <c r="G31" s="145">
        <v>36</v>
      </c>
      <c r="H31" s="121">
        <v>72</v>
      </c>
      <c r="I31" s="113">
        <v>0.29730000000000001</v>
      </c>
      <c r="J31" s="89">
        <v>1</v>
      </c>
      <c r="K31" s="89">
        <v>1</v>
      </c>
      <c r="L31" s="89">
        <v>1</v>
      </c>
      <c r="M31" s="89">
        <v>1</v>
      </c>
      <c r="N31" s="113"/>
      <c r="O31" s="113"/>
      <c r="P31" s="113"/>
      <c r="Q31" s="113"/>
      <c r="R31" s="113"/>
      <c r="S31" s="113"/>
      <c r="T31" s="150" t="s">
        <v>817</v>
      </c>
      <c r="U31" t="s">
        <v>613</v>
      </c>
    </row>
    <row r="32" spans="2:21" x14ac:dyDescent="0.2">
      <c r="B32" s="110" t="s">
        <v>856</v>
      </c>
      <c r="C32" s="110" t="s">
        <v>857</v>
      </c>
      <c r="D32" s="133">
        <v>-314200</v>
      </c>
      <c r="E32" s="89">
        <v>-338235</v>
      </c>
      <c r="F32" s="145">
        <v>35</v>
      </c>
      <c r="G32" s="145">
        <v>37</v>
      </c>
      <c r="H32" s="121">
        <v>70</v>
      </c>
      <c r="I32" s="113">
        <v>0.02</v>
      </c>
      <c r="J32" s="89">
        <v>1</v>
      </c>
      <c r="K32" s="89">
        <v>0</v>
      </c>
      <c r="L32" s="89">
        <v>1</v>
      </c>
      <c r="M32" s="89">
        <v>1</v>
      </c>
      <c r="N32" s="113"/>
      <c r="O32" s="113"/>
      <c r="P32" s="113"/>
      <c r="Q32" s="113"/>
      <c r="R32" s="113"/>
      <c r="S32" s="113"/>
      <c r="T32" s="150" t="s">
        <v>855</v>
      </c>
      <c r="U32" t="s">
        <v>613</v>
      </c>
    </row>
    <row r="33" spans="2:21" x14ac:dyDescent="0.2">
      <c r="B33" s="110" t="s">
        <v>62</v>
      </c>
      <c r="C33" s="110" t="s">
        <v>63</v>
      </c>
      <c r="D33" s="133">
        <v>-171300</v>
      </c>
      <c r="E33" s="89">
        <v>-179600</v>
      </c>
      <c r="F33" s="145">
        <v>6.7</v>
      </c>
      <c r="G33" s="145">
        <v>1.9</v>
      </c>
      <c r="H33" s="121">
        <v>1.4</v>
      </c>
      <c r="I33" s="113">
        <v>0.4496</v>
      </c>
      <c r="J33" s="89">
        <v>1</v>
      </c>
      <c r="K33" s="89">
        <v>0</v>
      </c>
      <c r="L33" s="89">
        <v>1</v>
      </c>
      <c r="M33" s="89">
        <v>1</v>
      </c>
      <c r="N33" s="113">
        <v>-0.80530000000000002</v>
      </c>
      <c r="O33" s="113">
        <v>-9.7447999999999997</v>
      </c>
      <c r="P33" s="113">
        <v>9.5731999999999999</v>
      </c>
      <c r="Q33" s="113">
        <v>-2.3761000000000001</v>
      </c>
      <c r="R33" s="113">
        <v>8.3597999999999999</v>
      </c>
      <c r="S33" s="113">
        <v>-3.8492999999999999</v>
      </c>
      <c r="T33" s="150" t="s">
        <v>666</v>
      </c>
      <c r="U33" t="s">
        <v>613</v>
      </c>
    </row>
    <row r="34" spans="2:21" x14ac:dyDescent="0.2">
      <c r="B34" s="110" t="s">
        <v>54</v>
      </c>
      <c r="C34" s="110" t="s">
        <v>55</v>
      </c>
      <c r="D34" s="133">
        <v>-132120</v>
      </c>
      <c r="E34" s="89">
        <v>-129800</v>
      </c>
      <c r="F34" s="145">
        <v>-13.5</v>
      </c>
      <c r="G34" s="145">
        <v>-18.100000000000001</v>
      </c>
      <c r="H34" s="121">
        <v>-7.5175429271448397</v>
      </c>
      <c r="I34" s="113">
        <v>1.2365999999999999</v>
      </c>
      <c r="J34" s="89">
        <v>2</v>
      </c>
      <c r="K34" s="89">
        <v>0</v>
      </c>
      <c r="L34" s="89">
        <v>0</v>
      </c>
      <c r="M34" s="89">
        <v>0</v>
      </c>
      <c r="N34" s="113">
        <v>-0.245</v>
      </c>
      <c r="O34" s="113">
        <v>-7.2519999999999998</v>
      </c>
      <c r="P34" s="113">
        <v>5</v>
      </c>
      <c r="Q34" s="113">
        <v>-2.48</v>
      </c>
      <c r="R34" s="113">
        <v>9</v>
      </c>
      <c r="S34" s="113">
        <v>-2.52</v>
      </c>
      <c r="T34" s="150" t="s">
        <v>716</v>
      </c>
      <c r="U34" t="s">
        <v>613</v>
      </c>
    </row>
    <row r="35" spans="2:21" x14ac:dyDescent="0.2">
      <c r="B35" s="110" t="s">
        <v>58</v>
      </c>
      <c r="C35" s="110" t="s">
        <v>59</v>
      </c>
      <c r="D35" s="133">
        <v>-163100</v>
      </c>
      <c r="E35" s="89">
        <v>-168607</v>
      </c>
      <c r="F35" s="145">
        <v>4.5</v>
      </c>
      <c r="G35" s="145">
        <v>11.3</v>
      </c>
      <c r="H35" s="121">
        <v>17.5</v>
      </c>
      <c r="I35" s="113">
        <v>0.46750000000000003</v>
      </c>
      <c r="J35" s="89">
        <v>1</v>
      </c>
      <c r="K35" s="89">
        <v>0</v>
      </c>
      <c r="L35" s="89">
        <v>1</v>
      </c>
      <c r="M35" s="89">
        <v>1</v>
      </c>
      <c r="N35" s="113">
        <v>2.8639999999999999</v>
      </c>
      <c r="O35" s="113">
        <v>-0.78490000000000004</v>
      </c>
      <c r="P35" s="113">
        <v>6.0514999999999999</v>
      </c>
      <c r="Q35" s="113">
        <v>-2.7465000000000002</v>
      </c>
      <c r="R35" s="113">
        <v>21.3855</v>
      </c>
      <c r="S35" s="113">
        <v>0.41199999999999998</v>
      </c>
      <c r="T35" s="150" t="s">
        <v>708</v>
      </c>
      <c r="U35" t="s">
        <v>613</v>
      </c>
    </row>
    <row r="36" spans="2:21" x14ac:dyDescent="0.2">
      <c r="B36" s="110" t="s">
        <v>60</v>
      </c>
      <c r="C36" s="110" t="s">
        <v>61</v>
      </c>
      <c r="D36" s="133">
        <v>-193000</v>
      </c>
      <c r="E36" s="89">
        <v>-211060</v>
      </c>
      <c r="F36" s="145">
        <v>19</v>
      </c>
      <c r="G36" s="145">
        <v>30</v>
      </c>
      <c r="H36" s="121">
        <v>18</v>
      </c>
      <c r="I36" s="113">
        <v>1.2</v>
      </c>
      <c r="J36" s="89">
        <v>0</v>
      </c>
      <c r="K36" s="89">
        <v>0</v>
      </c>
      <c r="L36" s="89">
        <v>1</v>
      </c>
      <c r="M36" s="89">
        <v>1</v>
      </c>
      <c r="N36" s="113">
        <v>6.4184000000000001</v>
      </c>
      <c r="O36" s="113">
        <v>7.8925999999999998</v>
      </c>
      <c r="P36" s="113">
        <v>2.6433</v>
      </c>
      <c r="Q36" s="113">
        <v>-3.1052</v>
      </c>
      <c r="R36" s="113">
        <v>23.2638</v>
      </c>
      <c r="S36" s="113">
        <v>3.0295000000000001</v>
      </c>
      <c r="T36" s="150" t="s">
        <v>855</v>
      </c>
      <c r="U36" t="s">
        <v>613</v>
      </c>
    </row>
    <row r="37" spans="2:21" x14ac:dyDescent="0.2">
      <c r="B37" s="110" t="s">
        <v>56</v>
      </c>
      <c r="C37" s="110" t="s">
        <v>57</v>
      </c>
      <c r="D37" s="133">
        <v>-262750</v>
      </c>
      <c r="E37" s="89">
        <v>-287390</v>
      </c>
      <c r="F37" s="145">
        <v>0</v>
      </c>
      <c r="G37" s="145">
        <v>21.5</v>
      </c>
      <c r="H37" s="121">
        <v>14</v>
      </c>
      <c r="I37" s="113">
        <v>2</v>
      </c>
      <c r="J37" s="89">
        <v>0</v>
      </c>
      <c r="K37" s="89">
        <v>0</v>
      </c>
      <c r="L37" s="89">
        <v>0</v>
      </c>
      <c r="M37" s="89">
        <v>0</v>
      </c>
      <c r="N37" s="113">
        <v>6.66</v>
      </c>
      <c r="O37" s="113">
        <v>2.0499999999999998</v>
      </c>
      <c r="P37" s="113">
        <v>3.12</v>
      </c>
      <c r="Q37" s="113">
        <v>-2.86</v>
      </c>
      <c r="R37" s="113">
        <v>32.799999999999997</v>
      </c>
      <c r="S37" s="113">
        <v>-0.18</v>
      </c>
      <c r="T37" s="150" t="s">
        <v>716</v>
      </c>
      <c r="U37" t="s">
        <v>613</v>
      </c>
    </row>
    <row r="38" spans="2:21" x14ac:dyDescent="0.2">
      <c r="B38" s="110" t="s">
        <v>804</v>
      </c>
      <c r="C38" s="110" t="s">
        <v>805</v>
      </c>
      <c r="D38" s="133">
        <v>-152800</v>
      </c>
      <c r="E38" s="89"/>
      <c r="F38" s="145">
        <v>16</v>
      </c>
      <c r="G38" s="145">
        <v>5.5</v>
      </c>
      <c r="H38" s="121">
        <v>12</v>
      </c>
      <c r="I38" s="113">
        <v>-0.1</v>
      </c>
      <c r="J38" s="89">
        <v>0</v>
      </c>
      <c r="K38" s="89">
        <v>0</v>
      </c>
      <c r="L38" s="89">
        <v>1</v>
      </c>
      <c r="M38" s="89">
        <v>1</v>
      </c>
      <c r="N38" s="113"/>
      <c r="O38" s="113"/>
      <c r="P38" s="113"/>
      <c r="Q38" s="113"/>
      <c r="R38" s="113"/>
      <c r="S38" s="113"/>
      <c r="T38" s="150" t="s">
        <v>806</v>
      </c>
      <c r="U38" t="s">
        <v>613</v>
      </c>
    </row>
    <row r="39" spans="2:21" x14ac:dyDescent="0.2">
      <c r="B39" s="110" t="s">
        <v>64</v>
      </c>
      <c r="C39" s="110" t="s">
        <v>65</v>
      </c>
      <c r="D39" s="133">
        <v>-312930</v>
      </c>
      <c r="E39" s="89">
        <v>-345900</v>
      </c>
      <c r="F39" s="145">
        <v>5</v>
      </c>
      <c r="G39" s="145">
        <v>33</v>
      </c>
      <c r="H39" s="121">
        <v>-25</v>
      </c>
      <c r="I39" s="113">
        <v>0.3</v>
      </c>
      <c r="J39" s="89">
        <v>0</v>
      </c>
      <c r="K39" s="89">
        <v>0</v>
      </c>
      <c r="L39" s="89">
        <v>1</v>
      </c>
      <c r="M39" s="89">
        <v>1</v>
      </c>
      <c r="N39" s="113">
        <v>2.7785000000000002</v>
      </c>
      <c r="O39" s="113">
        <v>-0.99770000000000003</v>
      </c>
      <c r="P39" s="113">
        <v>6.1428000000000003</v>
      </c>
      <c r="Q39" s="113">
        <v>-2.7376999999999998</v>
      </c>
      <c r="R39" s="113">
        <v>-8.8350000000000009</v>
      </c>
      <c r="S39" s="113">
        <v>-8.1270000000000007</v>
      </c>
      <c r="T39" s="150" t="s">
        <v>855</v>
      </c>
      <c r="U39" t="s">
        <v>613</v>
      </c>
    </row>
    <row r="40" spans="2:21" x14ac:dyDescent="0.2">
      <c r="B40" s="110" t="s">
        <v>66</v>
      </c>
      <c r="C40" s="110" t="s">
        <v>67</v>
      </c>
      <c r="D40" s="133">
        <v>-18560</v>
      </c>
      <c r="E40" s="89">
        <v>-18140</v>
      </c>
      <c r="F40" s="145">
        <v>-17.399999999999999</v>
      </c>
      <c r="G40" s="145">
        <v>-15.599943640757889</v>
      </c>
      <c r="H40" s="121">
        <v>-3.5000301678748649</v>
      </c>
      <c r="I40" s="113">
        <v>1.2527999999999999</v>
      </c>
      <c r="J40" s="89">
        <v>2</v>
      </c>
      <c r="K40" s="89">
        <v>0</v>
      </c>
      <c r="L40" s="89">
        <v>1</v>
      </c>
      <c r="M40" s="89">
        <v>0</v>
      </c>
      <c r="N40" s="113">
        <v>5.3699999999999998E-2</v>
      </c>
      <c r="O40" s="113">
        <v>-10.708</v>
      </c>
      <c r="P40" s="113">
        <v>16.517600000000002</v>
      </c>
      <c r="Q40" s="113">
        <v>-2.3363</v>
      </c>
      <c r="R40" s="113">
        <v>15.657299999999999</v>
      </c>
      <c r="S40" s="113">
        <v>-3.7475999999999998</v>
      </c>
      <c r="T40" s="150" t="s">
        <v>703</v>
      </c>
      <c r="U40" t="s">
        <v>613</v>
      </c>
    </row>
    <row r="41" spans="2:21" x14ac:dyDescent="0.2">
      <c r="B41" s="110" t="s">
        <v>851</v>
      </c>
      <c r="C41" s="110" t="s">
        <v>852</v>
      </c>
      <c r="D41" s="133">
        <v>-52627</v>
      </c>
      <c r="E41" s="89">
        <v>-59392</v>
      </c>
      <c r="F41" s="145">
        <v>0.75</v>
      </c>
      <c r="G41" s="145">
        <v>8.42</v>
      </c>
      <c r="H41" s="121">
        <v>26.47</v>
      </c>
      <c r="I41" s="113">
        <v>0.53939999999999999</v>
      </c>
      <c r="J41" s="89">
        <v>1</v>
      </c>
      <c r="K41" s="89">
        <v>0</v>
      </c>
      <c r="L41" s="89">
        <v>1</v>
      </c>
      <c r="M41" s="89">
        <v>1</v>
      </c>
      <c r="N41" s="113"/>
      <c r="O41" s="113"/>
      <c r="P41" s="113"/>
      <c r="Q41" s="113"/>
      <c r="R41" s="113"/>
      <c r="S41" s="113"/>
      <c r="T41" s="150" t="s">
        <v>846</v>
      </c>
      <c r="U41" t="s">
        <v>613</v>
      </c>
    </row>
    <row r="42" spans="2:21" x14ac:dyDescent="0.2">
      <c r="B42" s="110" t="s">
        <v>853</v>
      </c>
      <c r="C42" s="110" t="s">
        <v>854</v>
      </c>
      <c r="D42" s="133">
        <v>-84851</v>
      </c>
      <c r="E42" s="89">
        <v>-101362</v>
      </c>
      <c r="F42" s="145">
        <v>10.31</v>
      </c>
      <c r="G42" s="145">
        <v>35.619999999999997</v>
      </c>
      <c r="H42" s="121">
        <v>48.52</v>
      </c>
      <c r="I42" s="113">
        <v>-3.7999999999999999E-2</v>
      </c>
      <c r="J42" s="89">
        <v>0</v>
      </c>
      <c r="K42" s="89">
        <v>0</v>
      </c>
      <c r="L42" s="89">
        <v>1</v>
      </c>
      <c r="M42" s="89">
        <v>1</v>
      </c>
      <c r="N42" s="113"/>
      <c r="O42" s="113"/>
      <c r="P42" s="113"/>
      <c r="Q42" s="113"/>
      <c r="R42" s="113"/>
      <c r="S42" s="113"/>
      <c r="T42" s="150" t="s">
        <v>846</v>
      </c>
      <c r="U42" t="s">
        <v>613</v>
      </c>
    </row>
    <row r="43" spans="2:21" x14ac:dyDescent="0.2">
      <c r="B43" s="110" t="s">
        <v>68</v>
      </c>
      <c r="C43" s="110" t="s">
        <v>69</v>
      </c>
      <c r="D43" s="133">
        <v>-161600</v>
      </c>
      <c r="E43" s="89">
        <v>-167400</v>
      </c>
      <c r="F43" s="145">
        <v>-49</v>
      </c>
      <c r="G43" s="145">
        <v>-39.79980594873031</v>
      </c>
      <c r="H43" s="121">
        <v>-38.599563947535216</v>
      </c>
      <c r="I43" s="113">
        <v>2.2250999999999999</v>
      </c>
      <c r="J43" s="89">
        <v>3</v>
      </c>
      <c r="K43" s="89">
        <v>0</v>
      </c>
      <c r="L43" s="89">
        <v>1</v>
      </c>
      <c r="M43" s="89">
        <v>0</v>
      </c>
      <c r="N43" s="113">
        <v>-2.9291999999999998</v>
      </c>
      <c r="O43" s="113">
        <v>-14.9338</v>
      </c>
      <c r="P43" s="113">
        <v>11.6196</v>
      </c>
      <c r="Q43" s="113">
        <v>-2.1616</v>
      </c>
      <c r="R43" s="113">
        <v>4.0445000000000002</v>
      </c>
      <c r="S43" s="113">
        <v>-10.897399999999999</v>
      </c>
      <c r="T43" s="150" t="s">
        <v>703</v>
      </c>
      <c r="U43" t="s">
        <v>613</v>
      </c>
    </row>
    <row r="44" spans="2:21" x14ac:dyDescent="0.2">
      <c r="B44" s="110" t="s">
        <v>70</v>
      </c>
      <c r="C44" s="110" t="s">
        <v>71</v>
      </c>
      <c r="D44" s="133">
        <v>-121300</v>
      </c>
      <c r="E44" s="89">
        <v>-137700</v>
      </c>
      <c r="F44" s="145">
        <v>-100.1</v>
      </c>
      <c r="G44" s="145">
        <v>-53.300070926169553</v>
      </c>
      <c r="H44" s="121">
        <v>9.9730112075675947E-2</v>
      </c>
      <c r="I44" s="113">
        <v>3.6964000000000001</v>
      </c>
      <c r="J44" s="89">
        <v>4</v>
      </c>
      <c r="K44" s="89">
        <v>0</v>
      </c>
      <c r="L44" s="89">
        <v>1</v>
      </c>
      <c r="M44" s="89">
        <v>0</v>
      </c>
      <c r="N44" s="113">
        <v>-4.2792000000000003</v>
      </c>
      <c r="O44" s="113">
        <v>-18.224699999999999</v>
      </c>
      <c r="P44" s="113">
        <v>12.8996</v>
      </c>
      <c r="Q44" s="113">
        <v>-2.0255000000000001</v>
      </c>
      <c r="R44" s="113">
        <v>40.279000000000003</v>
      </c>
      <c r="S44" s="113">
        <v>-3.0141</v>
      </c>
      <c r="T44" s="150" t="s">
        <v>703</v>
      </c>
      <c r="U44" t="s">
        <v>613</v>
      </c>
    </row>
    <row r="45" spans="2:21" x14ac:dyDescent="0.2">
      <c r="B45" s="110" t="s">
        <v>72</v>
      </c>
      <c r="C45" s="110" t="s">
        <v>73</v>
      </c>
      <c r="D45" s="133">
        <v>-31379</v>
      </c>
      <c r="E45" s="89">
        <v>-39933</v>
      </c>
      <c r="F45" s="145">
        <v>13.56</v>
      </c>
      <c r="G45" s="145">
        <v>17.785995151106043</v>
      </c>
      <c r="H45" s="121">
        <v>-29.425295754984795</v>
      </c>
      <c r="I45" s="113">
        <v>1.456</v>
      </c>
      <c r="J45" s="89">
        <v>-1</v>
      </c>
      <c r="K45" s="89">
        <v>0</v>
      </c>
      <c r="L45" s="89">
        <v>0</v>
      </c>
      <c r="M45" s="89">
        <v>0</v>
      </c>
      <c r="N45" s="113">
        <v>4.032</v>
      </c>
      <c r="O45" s="113">
        <v>4.8010000000000002</v>
      </c>
      <c r="P45" s="113">
        <v>5.5629999999999997</v>
      </c>
      <c r="Q45" s="113">
        <v>-2.847</v>
      </c>
      <c r="R45" s="113">
        <v>-4.4000000000000004</v>
      </c>
      <c r="S45" s="113">
        <v>-5.7140000000000004</v>
      </c>
      <c r="T45" s="150" t="s">
        <v>715</v>
      </c>
      <c r="U45" t="s">
        <v>613</v>
      </c>
    </row>
    <row r="46" spans="2:21" x14ac:dyDescent="0.2">
      <c r="B46" s="110" t="s">
        <v>44</v>
      </c>
      <c r="C46" s="110" t="s">
        <v>45</v>
      </c>
      <c r="D46" s="133">
        <v>41200</v>
      </c>
      <c r="E46" s="89">
        <v>36000</v>
      </c>
      <c r="F46" s="145">
        <v>22.5</v>
      </c>
      <c r="G46" s="145">
        <v>24.199865062568378</v>
      </c>
      <c r="H46" s="121">
        <v>-32.700466557800929</v>
      </c>
      <c r="I46" s="113">
        <v>1.29</v>
      </c>
      <c r="J46" s="89">
        <v>-1</v>
      </c>
      <c r="K46" s="89">
        <v>0</v>
      </c>
      <c r="L46" s="89">
        <v>1</v>
      </c>
      <c r="M46" s="89">
        <v>0</v>
      </c>
      <c r="N46" s="113">
        <v>5.5125000000000002</v>
      </c>
      <c r="O46" s="113">
        <v>5.6786000000000003</v>
      </c>
      <c r="P46" s="113">
        <v>3.5181</v>
      </c>
      <c r="Q46" s="113">
        <v>-3.0137999999999998</v>
      </c>
      <c r="R46" s="113">
        <v>-1.1134999999999999</v>
      </c>
      <c r="S46" s="113">
        <v>-9.6956000000000007</v>
      </c>
      <c r="T46" s="150" t="s">
        <v>703</v>
      </c>
      <c r="U46" t="s">
        <v>613</v>
      </c>
    </row>
    <row r="47" spans="2:21" x14ac:dyDescent="0.2">
      <c r="B47" s="110" t="s">
        <v>46</v>
      </c>
      <c r="C47" s="110" t="s">
        <v>47</v>
      </c>
      <c r="D47" s="133">
        <v>-28682</v>
      </c>
      <c r="E47" s="89">
        <v>-28910</v>
      </c>
      <c r="F47" s="145">
        <v>24.53</v>
      </c>
      <c r="G47" s="145">
        <v>33.799999999999997</v>
      </c>
      <c r="H47" s="121">
        <v>64.5</v>
      </c>
      <c r="I47" s="113">
        <v>-0.3715</v>
      </c>
      <c r="J47" s="89">
        <v>0</v>
      </c>
      <c r="K47" s="89">
        <v>0</v>
      </c>
      <c r="L47" s="89">
        <v>1</v>
      </c>
      <c r="M47" s="89">
        <v>1</v>
      </c>
      <c r="N47" s="113">
        <v>6.2373000000000003</v>
      </c>
      <c r="O47" s="113">
        <v>7.4497999999999998</v>
      </c>
      <c r="P47" s="113">
        <v>2.8184</v>
      </c>
      <c r="Q47" s="113">
        <v>-3.0869</v>
      </c>
      <c r="R47" s="113">
        <v>40.252299999999998</v>
      </c>
      <c r="S47" s="113">
        <v>10.0022</v>
      </c>
      <c r="T47" s="150" t="s">
        <v>717</v>
      </c>
      <c r="U47" t="s">
        <v>613</v>
      </c>
    </row>
    <row r="48" spans="2:21" x14ac:dyDescent="0.2">
      <c r="B48" s="110" t="s">
        <v>74</v>
      </c>
      <c r="C48" s="110" t="s">
        <v>75</v>
      </c>
      <c r="D48" s="133">
        <v>-13000</v>
      </c>
      <c r="E48" s="89">
        <v>-13900</v>
      </c>
      <c r="F48" s="145">
        <v>-27</v>
      </c>
      <c r="G48" s="145">
        <v>-24.400262614870208</v>
      </c>
      <c r="H48" s="121">
        <v>-7.8004411330982109</v>
      </c>
      <c r="I48" s="113">
        <v>1.4769000000000001</v>
      </c>
      <c r="J48" s="89">
        <v>2</v>
      </c>
      <c r="K48" s="89">
        <v>0</v>
      </c>
      <c r="L48" s="89">
        <v>1</v>
      </c>
      <c r="M48" s="89">
        <v>0</v>
      </c>
      <c r="N48" s="113">
        <v>-1.0748</v>
      </c>
      <c r="O48" s="113">
        <v>-12.9948</v>
      </c>
      <c r="P48" s="113">
        <v>16.411200000000001</v>
      </c>
      <c r="Q48" s="113">
        <v>-2.2418</v>
      </c>
      <c r="R48" s="113">
        <v>15.2014</v>
      </c>
      <c r="S48" s="113">
        <v>-4.6234999999999999</v>
      </c>
      <c r="T48" s="150" t="s">
        <v>703</v>
      </c>
      <c r="U48" t="s">
        <v>613</v>
      </c>
    </row>
    <row r="49" spans="2:21" x14ac:dyDescent="0.2">
      <c r="B49" s="110" t="s">
        <v>76</v>
      </c>
      <c r="C49" s="110" t="s">
        <v>77</v>
      </c>
      <c r="D49" s="133">
        <v>32000</v>
      </c>
      <c r="E49" s="89">
        <v>22000</v>
      </c>
      <c r="F49" s="145">
        <v>-73</v>
      </c>
      <c r="G49" s="145">
        <v>-43.899845623366943</v>
      </c>
      <c r="H49" s="121">
        <v>-32.299640445473095</v>
      </c>
      <c r="I49" s="113">
        <v>2.7149999999999999</v>
      </c>
      <c r="J49" s="89">
        <v>3</v>
      </c>
      <c r="K49" s="89">
        <v>0</v>
      </c>
      <c r="L49" s="89">
        <v>1</v>
      </c>
      <c r="M49" s="89">
        <v>0</v>
      </c>
      <c r="N49" s="113">
        <v>-3.3247</v>
      </c>
      <c r="O49" s="113">
        <v>-15.8994</v>
      </c>
      <c r="P49" s="113">
        <v>11.9992</v>
      </c>
      <c r="Q49" s="113">
        <v>-2.1217000000000001</v>
      </c>
      <c r="R49" s="113">
        <v>12.25</v>
      </c>
      <c r="S49" s="113">
        <v>-9.6141000000000005</v>
      </c>
      <c r="T49" s="150" t="s">
        <v>703</v>
      </c>
      <c r="U49" t="s">
        <v>613</v>
      </c>
    </row>
    <row r="50" spans="2:21" x14ac:dyDescent="0.2">
      <c r="B50" s="110" t="s">
        <v>48</v>
      </c>
      <c r="C50" s="110" t="s">
        <v>49</v>
      </c>
      <c r="D50" s="133">
        <v>-92200</v>
      </c>
      <c r="E50" s="89"/>
      <c r="F50" s="145">
        <v>35.799999999999997</v>
      </c>
      <c r="G50" s="145">
        <v>30</v>
      </c>
      <c r="H50" s="121">
        <v>16.899999999999999</v>
      </c>
      <c r="I50" s="113">
        <v>-0.8</v>
      </c>
      <c r="J50" s="89">
        <v>0</v>
      </c>
      <c r="K50" s="89">
        <v>0</v>
      </c>
      <c r="L50" s="89">
        <v>1</v>
      </c>
      <c r="M50" s="89">
        <v>1</v>
      </c>
      <c r="N50" s="113">
        <v>7.79</v>
      </c>
      <c r="O50" s="113">
        <v>3.14</v>
      </c>
      <c r="P50" s="113">
        <v>2.21</v>
      </c>
      <c r="Q50" s="113">
        <v>-2.91</v>
      </c>
      <c r="R50" s="113">
        <v>37</v>
      </c>
      <c r="S50" s="113">
        <v>6.5</v>
      </c>
      <c r="T50" s="150" t="s">
        <v>882</v>
      </c>
      <c r="U50" t="s">
        <v>613</v>
      </c>
    </row>
    <row r="51" spans="2:21" x14ac:dyDescent="0.2">
      <c r="B51" s="110" t="s">
        <v>50</v>
      </c>
      <c r="C51" s="110" t="s">
        <v>51</v>
      </c>
      <c r="D51" s="133">
        <v>-126191</v>
      </c>
      <c r="E51" s="89">
        <v>-161385</v>
      </c>
      <c r="F51" s="145">
        <v>-12.95</v>
      </c>
      <c r="G51" s="145">
        <v>-5</v>
      </c>
      <c r="H51" s="121">
        <v>-65</v>
      </c>
      <c r="I51" s="113">
        <v>4.5999999999999996</v>
      </c>
      <c r="J51" s="89">
        <v>-2</v>
      </c>
      <c r="K51" s="89">
        <v>0</v>
      </c>
      <c r="L51" s="89">
        <v>0</v>
      </c>
      <c r="M51" s="89">
        <v>0</v>
      </c>
      <c r="N51" s="113">
        <v>5.8</v>
      </c>
      <c r="O51" s="113">
        <v>5</v>
      </c>
      <c r="P51" s="113">
        <v>-2</v>
      </c>
      <c r="Q51" s="113">
        <v>-10.8</v>
      </c>
      <c r="R51" s="113">
        <v>18</v>
      </c>
      <c r="S51" s="113">
        <v>-20</v>
      </c>
      <c r="T51" s="150" t="s">
        <v>716</v>
      </c>
      <c r="U51" t="s">
        <v>613</v>
      </c>
    </row>
    <row r="52" spans="2:21" x14ac:dyDescent="0.2">
      <c r="B52" s="110" t="s">
        <v>718</v>
      </c>
      <c r="C52" s="110" t="s">
        <v>719</v>
      </c>
      <c r="D52" s="133">
        <v>-39400</v>
      </c>
      <c r="E52" s="89">
        <v>-39000</v>
      </c>
      <c r="F52" s="145">
        <v>-24.2</v>
      </c>
      <c r="G52" s="145">
        <v>-22.3</v>
      </c>
      <c r="H52" s="121">
        <v>-7.3</v>
      </c>
      <c r="I52" s="113">
        <v>1.4287000000000001</v>
      </c>
      <c r="J52" s="89">
        <v>2</v>
      </c>
      <c r="K52" s="89">
        <v>0</v>
      </c>
      <c r="L52" s="89">
        <v>1</v>
      </c>
      <c r="M52" s="89">
        <v>0</v>
      </c>
      <c r="N52" s="113">
        <v>-0.80359999999999998</v>
      </c>
      <c r="O52" s="113">
        <v>-9.74</v>
      </c>
      <c r="P52" s="113">
        <v>9.5687999999999995</v>
      </c>
      <c r="Q52" s="113">
        <v>-2.3761999999999999</v>
      </c>
      <c r="R52" s="113">
        <v>15.0502</v>
      </c>
      <c r="S52" s="113">
        <v>-4.5214999999999996</v>
      </c>
      <c r="T52" s="150" t="s">
        <v>720</v>
      </c>
      <c r="U52" t="s">
        <v>613</v>
      </c>
    </row>
    <row r="53" spans="2:21" x14ac:dyDescent="0.2">
      <c r="B53" s="110" t="s">
        <v>78</v>
      </c>
      <c r="C53" s="110" t="s">
        <v>79</v>
      </c>
      <c r="D53" s="133">
        <v>-49300</v>
      </c>
      <c r="E53" s="89">
        <v>-60000</v>
      </c>
      <c r="F53" s="145">
        <v>-77</v>
      </c>
      <c r="G53" s="145">
        <v>-39.999995068836505</v>
      </c>
      <c r="H53" s="121">
        <v>-22.900060703070334</v>
      </c>
      <c r="I53" s="113">
        <v>2.7403</v>
      </c>
      <c r="J53" s="89">
        <v>3</v>
      </c>
      <c r="K53" s="89">
        <v>0</v>
      </c>
      <c r="L53" s="89">
        <v>1</v>
      </c>
      <c r="M53" s="89">
        <v>0</v>
      </c>
      <c r="N53" s="113">
        <v>-7.1043000000000003</v>
      </c>
      <c r="O53" s="113">
        <v>-3.3344999999999998</v>
      </c>
      <c r="P53" s="113">
        <v>13.265499999999999</v>
      </c>
      <c r="Q53" s="113">
        <v>-2.6412</v>
      </c>
      <c r="R53" s="113">
        <v>17.991399999999999</v>
      </c>
      <c r="S53" s="113">
        <v>-7.6992000000000003</v>
      </c>
      <c r="T53" s="150" t="s">
        <v>720</v>
      </c>
      <c r="U53" t="s">
        <v>613</v>
      </c>
    </row>
    <row r="54" spans="2:21" x14ac:dyDescent="0.2">
      <c r="B54" s="110" t="s">
        <v>80</v>
      </c>
      <c r="C54" s="110" t="s">
        <v>81</v>
      </c>
      <c r="D54" s="133">
        <v>-311000</v>
      </c>
      <c r="E54" s="89">
        <v>-356200</v>
      </c>
      <c r="F54" s="145">
        <v>62.6</v>
      </c>
      <c r="G54" s="145">
        <v>73.000200778376239</v>
      </c>
      <c r="H54" s="121">
        <v>-20.399744267722458</v>
      </c>
      <c r="I54" s="113">
        <v>2.2654000000000001</v>
      </c>
      <c r="J54" s="89">
        <v>-2</v>
      </c>
      <c r="K54" s="89">
        <v>0</v>
      </c>
      <c r="L54" s="89">
        <v>1</v>
      </c>
      <c r="M54" s="89">
        <v>1</v>
      </c>
      <c r="N54" s="113">
        <v>12.52</v>
      </c>
      <c r="O54" s="113">
        <v>22.788900000000002</v>
      </c>
      <c r="P54" s="113">
        <v>-3.2069999999999999</v>
      </c>
      <c r="Q54" s="113">
        <v>-3.7210999999999999</v>
      </c>
      <c r="R54" s="113">
        <v>15.082000000000001</v>
      </c>
      <c r="S54" s="113">
        <v>-7.1901000000000002</v>
      </c>
      <c r="T54" s="150" t="s">
        <v>720</v>
      </c>
      <c r="U54" t="s">
        <v>613</v>
      </c>
    </row>
    <row r="55" spans="2:21" x14ac:dyDescent="0.2">
      <c r="B55" s="110" t="s">
        <v>82</v>
      </c>
      <c r="C55" s="110" t="s">
        <v>83</v>
      </c>
      <c r="D55" s="133">
        <v>-174800</v>
      </c>
      <c r="E55" s="89">
        <v>-210930</v>
      </c>
      <c r="F55" s="145">
        <v>13.8</v>
      </c>
      <c r="G55" s="145">
        <v>19.799937438243095</v>
      </c>
      <c r="H55" s="121">
        <v>-62.600318105300204</v>
      </c>
      <c r="I55" s="113">
        <v>3.0024000000000002</v>
      </c>
      <c r="J55" s="89">
        <v>-2</v>
      </c>
      <c r="K55" s="89">
        <v>0</v>
      </c>
      <c r="L55" s="89">
        <v>1</v>
      </c>
      <c r="M55" s="89">
        <v>0</v>
      </c>
      <c r="N55" s="113">
        <v>5.4890999999999996</v>
      </c>
      <c r="O55" s="113">
        <v>5.6223000000000001</v>
      </c>
      <c r="P55" s="113">
        <v>3.5383</v>
      </c>
      <c r="Q55" s="113">
        <v>-3.0112999999999999</v>
      </c>
      <c r="R55" s="113">
        <v>-2.8607999999999998</v>
      </c>
      <c r="S55" s="113">
        <v>-15.786099999999999</v>
      </c>
      <c r="T55" s="150" t="s">
        <v>720</v>
      </c>
      <c r="U55" t="s">
        <v>613</v>
      </c>
    </row>
    <row r="56" spans="2:21" x14ac:dyDescent="0.2">
      <c r="B56" s="110" t="s">
        <v>84</v>
      </c>
      <c r="C56" s="110" t="s">
        <v>85</v>
      </c>
      <c r="D56" s="133">
        <v>-69710</v>
      </c>
      <c r="E56" s="89">
        <v>-61670</v>
      </c>
      <c r="F56" s="145">
        <v>31.75</v>
      </c>
      <c r="G56" s="145">
        <v>21.420141142941581</v>
      </c>
      <c r="H56" s="121">
        <v>-6.2834442800732866</v>
      </c>
      <c r="I56" s="113">
        <v>9.74E-2</v>
      </c>
      <c r="J56" s="89">
        <v>1</v>
      </c>
      <c r="K56" s="89">
        <v>0</v>
      </c>
      <c r="L56" s="89">
        <v>0</v>
      </c>
      <c r="M56" s="89">
        <v>0</v>
      </c>
      <c r="N56" s="113">
        <v>6.1475</v>
      </c>
      <c r="O56" s="113">
        <v>-0.13089999999999999</v>
      </c>
      <c r="P56" s="113">
        <v>4.2093999999999996</v>
      </c>
      <c r="Q56" s="113">
        <v>-2.7736000000000001</v>
      </c>
      <c r="R56" s="113">
        <v>6.27</v>
      </c>
      <c r="S56" s="113">
        <v>-5.7359999999999998</v>
      </c>
      <c r="T56" s="150" t="s">
        <v>715</v>
      </c>
      <c r="U56" t="s">
        <v>613</v>
      </c>
    </row>
    <row r="57" spans="2:21" x14ac:dyDescent="0.2">
      <c r="B57" s="110" t="s">
        <v>86</v>
      </c>
      <c r="C57" s="110" t="s">
        <v>87</v>
      </c>
      <c r="D57" s="133">
        <v>11950</v>
      </c>
      <c r="E57" s="89">
        <v>17132</v>
      </c>
      <c r="F57" s="145">
        <v>9.6999999999999993</v>
      </c>
      <c r="G57" s="145">
        <v>-8.0000338774825117</v>
      </c>
      <c r="H57" s="121">
        <v>13.700250288318903</v>
      </c>
      <c r="I57" s="113">
        <v>0.33510000000000001</v>
      </c>
      <c r="J57" s="89">
        <v>1</v>
      </c>
      <c r="K57" s="89">
        <v>0</v>
      </c>
      <c r="L57" s="89">
        <v>1</v>
      </c>
      <c r="M57" s="89">
        <v>0</v>
      </c>
      <c r="N57" s="113">
        <v>0.78349999999999997</v>
      </c>
      <c r="O57" s="113">
        <v>-5.8681999999999999</v>
      </c>
      <c r="P57" s="113">
        <v>8.0564999999999998</v>
      </c>
      <c r="Q57" s="113">
        <v>-2.5364</v>
      </c>
      <c r="R57" s="113">
        <v>17.283100000000001</v>
      </c>
      <c r="S57" s="113">
        <v>-0.24390000000000001</v>
      </c>
      <c r="T57" s="150" t="s">
        <v>720</v>
      </c>
      <c r="U57" t="s">
        <v>613</v>
      </c>
    </row>
    <row r="58" spans="2:21" x14ac:dyDescent="0.2">
      <c r="B58" s="110" t="s">
        <v>88</v>
      </c>
      <c r="C58" s="110" t="s">
        <v>89</v>
      </c>
      <c r="D58" s="133">
        <v>15675</v>
      </c>
      <c r="E58" s="89">
        <v>15700</v>
      </c>
      <c r="F58" s="145">
        <v>-23.2</v>
      </c>
      <c r="G58" s="145">
        <v>-24.600086775300493</v>
      </c>
      <c r="H58" s="121">
        <v>-2.2273462491589466</v>
      </c>
      <c r="I58" s="113">
        <v>1.4769000000000001</v>
      </c>
      <c r="J58" s="89">
        <v>2</v>
      </c>
      <c r="K58" s="89">
        <v>0</v>
      </c>
      <c r="L58" s="89">
        <v>1</v>
      </c>
      <c r="M58" s="89">
        <v>0</v>
      </c>
      <c r="N58" s="113">
        <v>-1.1021000000000001</v>
      </c>
      <c r="O58" s="113">
        <v>-10.4726</v>
      </c>
      <c r="P58" s="113">
        <v>9.8661999999999992</v>
      </c>
      <c r="Q58" s="113">
        <v>-2.3460999999999999</v>
      </c>
      <c r="R58" s="113">
        <v>20.3</v>
      </c>
      <c r="S58" s="113">
        <v>-4.3899999999999997</v>
      </c>
      <c r="T58" s="150" t="s">
        <v>720</v>
      </c>
      <c r="U58" t="s">
        <v>613</v>
      </c>
    </row>
    <row r="59" spans="2:21" x14ac:dyDescent="0.2">
      <c r="B59" s="110" t="s">
        <v>842</v>
      </c>
      <c r="C59" s="110" t="s">
        <v>844</v>
      </c>
      <c r="D59" s="133">
        <v>-22608</v>
      </c>
      <c r="E59" s="89">
        <v>-26338</v>
      </c>
      <c r="F59" s="145">
        <v>22.06</v>
      </c>
      <c r="G59" s="145">
        <v>17.22</v>
      </c>
      <c r="H59" s="121">
        <v>19.64</v>
      </c>
      <c r="I59" s="113">
        <v>-3.7999999999999999E-2</v>
      </c>
      <c r="J59" s="89">
        <v>0</v>
      </c>
      <c r="K59" s="89">
        <v>0</v>
      </c>
      <c r="L59" s="89">
        <v>1</v>
      </c>
      <c r="M59" s="89">
        <v>1</v>
      </c>
      <c r="N59" s="113"/>
      <c r="O59" s="113"/>
      <c r="P59" s="113"/>
      <c r="Q59" s="113"/>
      <c r="R59" s="113"/>
      <c r="S59" s="113"/>
      <c r="T59" s="150" t="s">
        <v>846</v>
      </c>
      <c r="U59" t="s">
        <v>613</v>
      </c>
    </row>
    <row r="60" spans="2:21" x14ac:dyDescent="0.2">
      <c r="B60" s="110" t="s">
        <v>847</v>
      </c>
      <c r="C60" s="110" t="s">
        <v>849</v>
      </c>
      <c r="D60" s="133">
        <v>-16250</v>
      </c>
      <c r="E60" s="89">
        <v>-23847</v>
      </c>
      <c r="F60" s="145">
        <v>-6.51</v>
      </c>
      <c r="G60" s="145">
        <v>-1.72</v>
      </c>
      <c r="H60" s="121">
        <v>29.39</v>
      </c>
      <c r="I60" s="113">
        <v>0.6472</v>
      </c>
      <c r="J60" s="89">
        <v>1</v>
      </c>
      <c r="K60" s="89">
        <v>0</v>
      </c>
      <c r="L60" s="89">
        <v>1</v>
      </c>
      <c r="M60" s="89">
        <v>1</v>
      </c>
      <c r="N60" s="113"/>
      <c r="O60" s="113"/>
      <c r="P60" s="113"/>
      <c r="Q60" s="113"/>
      <c r="R60" s="113"/>
      <c r="S60" s="113"/>
      <c r="T60" s="150" t="s">
        <v>846</v>
      </c>
      <c r="U60" t="s">
        <v>613</v>
      </c>
    </row>
    <row r="61" spans="2:21" x14ac:dyDescent="0.2">
      <c r="B61" s="110" t="s">
        <v>843</v>
      </c>
      <c r="C61" s="110" t="s">
        <v>845</v>
      </c>
      <c r="D61" s="133">
        <v>-58038</v>
      </c>
      <c r="E61" s="89">
        <v>-72903</v>
      </c>
      <c r="F61" s="145">
        <v>26.96</v>
      </c>
      <c r="G61" s="145">
        <v>45.53</v>
      </c>
      <c r="H61" s="121">
        <v>32.99</v>
      </c>
      <c r="I61" s="113">
        <v>1.2219</v>
      </c>
      <c r="J61" s="89">
        <v>-1</v>
      </c>
      <c r="K61" s="89">
        <v>0</v>
      </c>
      <c r="L61" s="89">
        <v>1</v>
      </c>
      <c r="M61" s="89">
        <v>1</v>
      </c>
      <c r="N61" s="113"/>
      <c r="O61" s="113"/>
      <c r="P61" s="113"/>
      <c r="Q61" s="113"/>
      <c r="R61" s="113"/>
      <c r="S61" s="113"/>
      <c r="T61" s="150" t="s">
        <v>846</v>
      </c>
      <c r="U61" t="s">
        <v>613</v>
      </c>
    </row>
    <row r="62" spans="2:21" x14ac:dyDescent="0.2">
      <c r="B62" s="110" t="s">
        <v>848</v>
      </c>
      <c r="C62" s="110" t="s">
        <v>850</v>
      </c>
      <c r="D62" s="133">
        <v>-46142</v>
      </c>
      <c r="E62" s="89">
        <v>-64160</v>
      </c>
      <c r="F62" s="145">
        <v>0.78</v>
      </c>
      <c r="G62" s="145">
        <v>24.32</v>
      </c>
      <c r="H62" s="121">
        <v>54.22</v>
      </c>
      <c r="I62" s="113">
        <v>-3.7999999999999999E-2</v>
      </c>
      <c r="J62" s="89">
        <v>0</v>
      </c>
      <c r="K62" s="89">
        <v>0</v>
      </c>
      <c r="L62" s="89">
        <v>1</v>
      </c>
      <c r="M62" s="89">
        <v>1</v>
      </c>
      <c r="N62" s="113"/>
      <c r="O62" s="113"/>
      <c r="P62" s="113"/>
      <c r="Q62" s="113"/>
      <c r="R62" s="113"/>
      <c r="S62" s="113"/>
      <c r="T62" s="150" t="s">
        <v>846</v>
      </c>
      <c r="U62" t="s">
        <v>613</v>
      </c>
    </row>
    <row r="63" spans="2:21" x14ac:dyDescent="0.2">
      <c r="B63" s="110" t="s">
        <v>90</v>
      </c>
      <c r="C63" s="110" t="s">
        <v>91</v>
      </c>
      <c r="D63" s="223">
        <v>-119100</v>
      </c>
      <c r="E63" s="224">
        <v>0</v>
      </c>
      <c r="F63" s="225">
        <v>74.3</v>
      </c>
      <c r="G63" s="225">
        <v>76.3</v>
      </c>
      <c r="H63" s="226">
        <v>27.9</v>
      </c>
      <c r="I63" s="227">
        <v>-1.1000000000000001</v>
      </c>
      <c r="J63" s="89">
        <v>0</v>
      </c>
      <c r="K63" s="89">
        <v>0</v>
      </c>
      <c r="L63" s="89">
        <v>0</v>
      </c>
      <c r="M63" s="89">
        <v>0</v>
      </c>
      <c r="N63" s="113">
        <v>15.81</v>
      </c>
      <c r="O63" s="113">
        <v>10.77</v>
      </c>
      <c r="P63" s="113">
        <v>-4.1900000000000004</v>
      </c>
      <c r="Q63" s="113">
        <v>-3.22</v>
      </c>
      <c r="R63" s="113">
        <v>41.1</v>
      </c>
      <c r="S63" s="113">
        <v>-11.5</v>
      </c>
      <c r="T63" s="150" t="s">
        <v>761</v>
      </c>
      <c r="U63" t="s">
        <v>613</v>
      </c>
    </row>
    <row r="64" spans="2:21" x14ac:dyDescent="0.2">
      <c r="B64" s="110" t="s">
        <v>92</v>
      </c>
      <c r="C64" s="110" t="s">
        <v>93</v>
      </c>
      <c r="D64" s="133">
        <v>-62500</v>
      </c>
      <c r="E64" s="89">
        <v>0</v>
      </c>
      <c r="F64" s="145">
        <v>63</v>
      </c>
      <c r="G64" s="145">
        <v>76.730003275900486</v>
      </c>
      <c r="H64" s="121">
        <v>17.000136376097618</v>
      </c>
      <c r="I64" s="113">
        <v>-0.47020000000000001</v>
      </c>
      <c r="J64" s="89">
        <v>0</v>
      </c>
      <c r="K64" s="89">
        <v>0</v>
      </c>
      <c r="L64" s="89">
        <v>1</v>
      </c>
      <c r="M64" s="89">
        <v>1</v>
      </c>
      <c r="N64" s="113">
        <v>16.2</v>
      </c>
      <c r="O64" s="113">
        <v>11.14</v>
      </c>
      <c r="P64" s="113">
        <v>-4.5</v>
      </c>
      <c r="Q64" s="113">
        <v>-3.24</v>
      </c>
      <c r="R64" s="113">
        <v>11.8</v>
      </c>
      <c r="S64" s="113">
        <v>0.42799999999999999</v>
      </c>
      <c r="T64" s="150" t="s">
        <v>768</v>
      </c>
      <c r="U64" t="s">
        <v>613</v>
      </c>
    </row>
    <row r="65" spans="2:21" x14ac:dyDescent="0.2">
      <c r="B65" s="110" t="s">
        <v>94</v>
      </c>
      <c r="C65" s="110" t="s">
        <v>95</v>
      </c>
      <c r="D65" s="133">
        <v>-158700</v>
      </c>
      <c r="E65" s="89">
        <v>-166500</v>
      </c>
      <c r="F65" s="145">
        <v>-55.2</v>
      </c>
      <c r="G65" s="145">
        <v>-40.700109236579323</v>
      </c>
      <c r="H65" s="121">
        <v>-31.700048076381538</v>
      </c>
      <c r="I65" s="113">
        <v>2.3792</v>
      </c>
      <c r="J65" s="89">
        <v>3</v>
      </c>
      <c r="K65" s="89">
        <v>0</v>
      </c>
      <c r="L65" s="89">
        <v>1</v>
      </c>
      <c r="M65" s="89">
        <v>0</v>
      </c>
      <c r="N65" s="113">
        <v>-3.0003000000000002</v>
      </c>
      <c r="O65" s="113">
        <v>-15.1074</v>
      </c>
      <c r="P65" s="113">
        <v>11.687900000000001</v>
      </c>
      <c r="Q65" s="113">
        <v>-2.1545000000000001</v>
      </c>
      <c r="R65" s="113">
        <v>9.5076000000000001</v>
      </c>
      <c r="S65" s="113">
        <v>-9.4918999999999993</v>
      </c>
      <c r="T65" s="150" t="s">
        <v>720</v>
      </c>
      <c r="U65" t="s">
        <v>613</v>
      </c>
    </row>
    <row r="66" spans="2:21" x14ac:dyDescent="0.2">
      <c r="B66" s="110" t="s">
        <v>102</v>
      </c>
      <c r="C66" s="110" t="s">
        <v>103</v>
      </c>
      <c r="D66" s="133">
        <v>-159900</v>
      </c>
      <c r="E66" s="89">
        <v>-168500</v>
      </c>
      <c r="F66" s="145">
        <v>-58.3</v>
      </c>
      <c r="G66" s="145">
        <v>-42.999953994110861</v>
      </c>
      <c r="H66" s="121">
        <v>-34.299921749811872</v>
      </c>
      <c r="I66" s="113">
        <v>2.4115000000000002</v>
      </c>
      <c r="J66" s="89">
        <v>3</v>
      </c>
      <c r="K66" s="89">
        <v>0</v>
      </c>
      <c r="L66" s="89">
        <v>1</v>
      </c>
      <c r="M66" s="89">
        <v>0</v>
      </c>
      <c r="N66" s="113">
        <v>-3.3041</v>
      </c>
      <c r="O66" s="113">
        <v>-15.8492</v>
      </c>
      <c r="P66" s="113">
        <v>11.9794</v>
      </c>
      <c r="Q66" s="113">
        <v>-2.1238000000000001</v>
      </c>
      <c r="R66" s="113">
        <v>8.2814999999999994</v>
      </c>
      <c r="S66" s="113">
        <v>-10.0215</v>
      </c>
      <c r="T66" s="150" t="s">
        <v>720</v>
      </c>
      <c r="U66" t="s">
        <v>613</v>
      </c>
    </row>
    <row r="67" spans="2:21" x14ac:dyDescent="0.2">
      <c r="B67" s="110" t="s">
        <v>96</v>
      </c>
      <c r="C67" s="110" t="s">
        <v>97</v>
      </c>
      <c r="D67" s="133">
        <v>-3886</v>
      </c>
      <c r="E67" s="89">
        <v>-24650</v>
      </c>
      <c r="F67" s="145">
        <v>26.81</v>
      </c>
      <c r="G67" s="145">
        <v>51.200016666614502</v>
      </c>
      <c r="H67" s="121">
        <v>88.300043575945409</v>
      </c>
      <c r="I67" s="113">
        <v>-0.40600000000000003</v>
      </c>
      <c r="J67" s="89">
        <v>0</v>
      </c>
      <c r="K67" s="89">
        <v>0</v>
      </c>
      <c r="L67" s="89">
        <v>1</v>
      </c>
      <c r="M67" s="89">
        <v>1</v>
      </c>
      <c r="N67" s="113">
        <v>8.6340000000000003</v>
      </c>
      <c r="O67" s="113">
        <v>13.3011</v>
      </c>
      <c r="P67" s="113">
        <v>0.52049999999999996</v>
      </c>
      <c r="Q67" s="113">
        <v>-3.3288000000000002</v>
      </c>
      <c r="R67" s="113">
        <v>54.1755</v>
      </c>
      <c r="S67" s="113">
        <v>14.9521</v>
      </c>
      <c r="T67" s="150" t="s">
        <v>721</v>
      </c>
      <c r="U67" t="s">
        <v>613</v>
      </c>
    </row>
    <row r="68" spans="2:21" x14ac:dyDescent="0.2">
      <c r="B68" s="110" t="s">
        <v>98</v>
      </c>
      <c r="C68" s="110" t="s">
        <v>99</v>
      </c>
      <c r="D68" s="133">
        <v>-43330</v>
      </c>
      <c r="E68" s="89">
        <v>-68650</v>
      </c>
      <c r="F68" s="145">
        <v>35.9</v>
      </c>
      <c r="G68" s="145">
        <v>55.080070558532036</v>
      </c>
      <c r="H68" s="121">
        <v>62.200391658706195</v>
      </c>
      <c r="I68" s="113">
        <v>-0.20369999999999999</v>
      </c>
      <c r="J68" s="89">
        <v>0</v>
      </c>
      <c r="K68" s="89">
        <v>0</v>
      </c>
      <c r="L68" s="89">
        <v>0</v>
      </c>
      <c r="M68" s="89">
        <v>0</v>
      </c>
      <c r="N68" s="113">
        <v>9.2332999999999998</v>
      </c>
      <c r="O68" s="113">
        <v>9.9581</v>
      </c>
      <c r="P68" s="113">
        <v>12.144500000000001</v>
      </c>
      <c r="Q68" s="113">
        <v>-3.1905999999999999</v>
      </c>
      <c r="R68" s="113">
        <v>60.017499999999998</v>
      </c>
      <c r="S68" s="113">
        <v>0.1507</v>
      </c>
      <c r="T68" s="150" t="s">
        <v>702</v>
      </c>
      <c r="U68" t="s">
        <v>613</v>
      </c>
    </row>
    <row r="69" spans="2:21" x14ac:dyDescent="0.2">
      <c r="B69" s="110" t="s">
        <v>100</v>
      </c>
      <c r="C69" s="110" t="s">
        <v>101</v>
      </c>
      <c r="D69" s="133">
        <v>19450</v>
      </c>
      <c r="E69" s="89">
        <v>8570</v>
      </c>
      <c r="F69" s="145">
        <v>28.6</v>
      </c>
      <c r="G69" s="145">
        <v>46</v>
      </c>
      <c r="H69" s="121">
        <v>66.900000000000006</v>
      </c>
      <c r="I69" s="113">
        <v>-0.31</v>
      </c>
      <c r="J69" s="89">
        <v>0</v>
      </c>
      <c r="K69" s="89">
        <v>0</v>
      </c>
      <c r="L69" s="89">
        <v>1</v>
      </c>
      <c r="M69" s="89">
        <v>1</v>
      </c>
      <c r="N69" s="113">
        <v>10.305367016637419</v>
      </c>
      <c r="O69" s="113">
        <v>5.5285954451935648</v>
      </c>
      <c r="P69" s="113">
        <v>0.20242586158126663</v>
      </c>
      <c r="Q69" s="113">
        <v>-3.007552135704302</v>
      </c>
      <c r="R69" s="113">
        <v>44</v>
      </c>
      <c r="S69" s="113">
        <v>12.9</v>
      </c>
      <c r="T69" s="150" t="s">
        <v>710</v>
      </c>
      <c r="U69" t="s">
        <v>613</v>
      </c>
    </row>
    <row r="70" spans="2:21" x14ac:dyDescent="0.2">
      <c r="B70" s="110" t="s">
        <v>104</v>
      </c>
      <c r="C70" s="110" t="s">
        <v>105</v>
      </c>
      <c r="D70" s="133">
        <v>-129200</v>
      </c>
      <c r="E70" s="89">
        <v>-126150</v>
      </c>
      <c r="F70" s="145">
        <v>-2.4</v>
      </c>
      <c r="G70" s="145">
        <v>-15.300001424806071</v>
      </c>
      <c r="H70" s="121">
        <v>-11.400146749647535</v>
      </c>
      <c r="I70" s="113">
        <v>1.0929</v>
      </c>
      <c r="J70" s="89">
        <v>2</v>
      </c>
      <c r="K70" s="89">
        <v>0</v>
      </c>
      <c r="L70" s="89">
        <v>1</v>
      </c>
      <c r="M70" s="89">
        <v>0</v>
      </c>
      <c r="N70" s="113">
        <v>4.07E-2</v>
      </c>
      <c r="O70" s="113">
        <v>-7.6776</v>
      </c>
      <c r="P70" s="113">
        <v>8.7577999999999996</v>
      </c>
      <c r="Q70" s="113">
        <v>-2.4615</v>
      </c>
      <c r="R70" s="113">
        <v>9.5539000000000005</v>
      </c>
      <c r="S70" s="113">
        <v>-5.3567</v>
      </c>
      <c r="T70" s="150" t="s">
        <v>720</v>
      </c>
      <c r="U70" t="s">
        <v>613</v>
      </c>
    </row>
    <row r="71" spans="2:21" x14ac:dyDescent="0.2">
      <c r="B71" s="110" t="s">
        <v>106</v>
      </c>
      <c r="C71" s="110" t="s">
        <v>107</v>
      </c>
      <c r="D71" s="133">
        <v>-137300</v>
      </c>
      <c r="E71" s="89">
        <v>-144700</v>
      </c>
      <c r="F71" s="145">
        <v>-53</v>
      </c>
      <c r="G71" s="145">
        <v>-41.299809954205777</v>
      </c>
      <c r="H71" s="121">
        <v>-36.599755205696439</v>
      </c>
      <c r="I71" s="113">
        <v>2.3161</v>
      </c>
      <c r="J71" s="89">
        <v>3</v>
      </c>
      <c r="K71" s="89">
        <v>0</v>
      </c>
      <c r="L71" s="89">
        <v>1</v>
      </c>
      <c r="M71" s="89">
        <v>0</v>
      </c>
      <c r="N71" s="113">
        <v>-3.1036999999999999</v>
      </c>
      <c r="O71" s="113">
        <v>-15.3599</v>
      </c>
      <c r="P71" s="113">
        <v>11.787100000000001</v>
      </c>
      <c r="Q71" s="113">
        <v>-2.1440000000000001</v>
      </c>
      <c r="R71" s="113">
        <v>6.0548000000000002</v>
      </c>
      <c r="S71" s="113">
        <v>-10.49</v>
      </c>
      <c r="T71" s="150" t="s">
        <v>720</v>
      </c>
      <c r="U71" t="s">
        <v>613</v>
      </c>
    </row>
    <row r="72" spans="2:21" x14ac:dyDescent="0.2">
      <c r="B72" s="110" t="s">
        <v>108</v>
      </c>
      <c r="C72" s="110" t="s">
        <v>109</v>
      </c>
      <c r="D72" s="133">
        <v>-67340</v>
      </c>
      <c r="E72" s="89">
        <v>-80150</v>
      </c>
      <c r="F72" s="145">
        <v>-3.15</v>
      </c>
      <c r="G72" s="145">
        <v>-1.3198710849504034</v>
      </c>
      <c r="H72" s="121">
        <v>-27.21968599912077</v>
      </c>
      <c r="I72" s="113">
        <v>1.7869999999999999</v>
      </c>
      <c r="J72" s="89">
        <v>-1</v>
      </c>
      <c r="K72" s="89">
        <v>0</v>
      </c>
      <c r="L72" s="89">
        <v>0</v>
      </c>
      <c r="M72" s="89">
        <v>0</v>
      </c>
      <c r="N72" s="113">
        <v>0.68700000000000006</v>
      </c>
      <c r="O72" s="113">
        <v>1.3588</v>
      </c>
      <c r="P72" s="113">
        <v>7.6032999999999999</v>
      </c>
      <c r="Q72" s="113">
        <v>-2.8351999999999999</v>
      </c>
      <c r="R72" s="113">
        <v>4.46</v>
      </c>
      <c r="S72" s="113">
        <v>-7.4880000000000004</v>
      </c>
      <c r="T72" s="150" t="s">
        <v>715</v>
      </c>
      <c r="U72" t="s">
        <v>613</v>
      </c>
    </row>
    <row r="73" spans="2:21" x14ac:dyDescent="0.2">
      <c r="B73" s="110" t="s">
        <v>114</v>
      </c>
      <c r="C73" s="110" t="s">
        <v>115</v>
      </c>
      <c r="D73" s="133">
        <v>-111900</v>
      </c>
      <c r="E73" s="89">
        <v>-139060</v>
      </c>
      <c r="F73" s="145">
        <v>-1.5</v>
      </c>
      <c r="G73" s="145">
        <v>25.2</v>
      </c>
      <c r="H73" s="121">
        <v>81.199801396727622</v>
      </c>
      <c r="I73" s="113">
        <v>0.5756</v>
      </c>
      <c r="J73" s="89">
        <v>1</v>
      </c>
      <c r="K73" s="89">
        <v>0</v>
      </c>
      <c r="L73" s="89">
        <v>1</v>
      </c>
      <c r="M73" s="89">
        <v>1</v>
      </c>
      <c r="N73" s="113">
        <v>3.9314</v>
      </c>
      <c r="O73" s="113">
        <v>1.8161</v>
      </c>
      <c r="P73" s="113">
        <v>5.0397999999999996</v>
      </c>
      <c r="Q73" s="113">
        <v>-2.8540000000000001</v>
      </c>
      <c r="R73" s="113">
        <v>59.057600000000001</v>
      </c>
      <c r="S73" s="113">
        <v>13.505800000000001</v>
      </c>
      <c r="T73" s="150" t="s">
        <v>722</v>
      </c>
      <c r="U73" t="s">
        <v>613</v>
      </c>
    </row>
    <row r="74" spans="2:21" x14ac:dyDescent="0.2">
      <c r="B74" s="110" t="s">
        <v>116</v>
      </c>
      <c r="C74" s="110" t="s">
        <v>117</v>
      </c>
      <c r="D74" s="133">
        <v>-201800</v>
      </c>
      <c r="E74" s="89">
        <v>-259100</v>
      </c>
      <c r="F74" s="145">
        <v>11.53</v>
      </c>
      <c r="G74" s="145">
        <v>66.900000000000006</v>
      </c>
      <c r="H74" s="121">
        <v>184.20004838492494</v>
      </c>
      <c r="I74" s="113">
        <v>-3.7999999999999999E-2</v>
      </c>
      <c r="J74" s="89">
        <v>0</v>
      </c>
      <c r="K74" s="89">
        <v>0</v>
      </c>
      <c r="L74" s="89">
        <v>1</v>
      </c>
      <c r="M74" s="89">
        <v>1</v>
      </c>
      <c r="N74" s="113">
        <v>10.947800000000001</v>
      </c>
      <c r="O74" s="113">
        <v>18.951499999999999</v>
      </c>
      <c r="P74" s="113">
        <v>-1.7016</v>
      </c>
      <c r="Q74" s="113">
        <v>-3.5623999999999998</v>
      </c>
      <c r="R74" s="113">
        <v>113.7692</v>
      </c>
      <c r="S74" s="113">
        <v>34.486899999999999</v>
      </c>
      <c r="T74" s="150" t="s">
        <v>722</v>
      </c>
      <c r="U74" t="s">
        <v>613</v>
      </c>
    </row>
    <row r="75" spans="2:21" x14ac:dyDescent="0.2">
      <c r="B75" s="110" t="s">
        <v>813</v>
      </c>
      <c r="C75" s="110" t="s">
        <v>813</v>
      </c>
      <c r="D75" s="133">
        <v>-111800</v>
      </c>
      <c r="E75" s="89">
        <v>-112263</v>
      </c>
      <c r="F75" s="145">
        <v>59</v>
      </c>
      <c r="G75" s="145">
        <v>27</v>
      </c>
      <c r="H75" s="121">
        <v>30</v>
      </c>
      <c r="I75" s="113">
        <v>-0.34179999999999999</v>
      </c>
      <c r="J75" s="89">
        <v>1</v>
      </c>
      <c r="K75" s="89">
        <v>1</v>
      </c>
      <c r="L75" s="89">
        <v>1</v>
      </c>
      <c r="M75" s="89">
        <v>1</v>
      </c>
      <c r="N75" s="113"/>
      <c r="O75" s="113"/>
      <c r="P75" s="113"/>
      <c r="Q75" s="113"/>
      <c r="R75" s="113"/>
      <c r="S75" s="113"/>
      <c r="T75" s="229" t="s">
        <v>817</v>
      </c>
      <c r="U75" t="s">
        <v>613</v>
      </c>
    </row>
    <row r="76" spans="2:21" x14ac:dyDescent="0.2">
      <c r="B76" s="110" t="s">
        <v>812</v>
      </c>
      <c r="C76" s="110" t="s">
        <v>812</v>
      </c>
      <c r="D76" s="133">
        <v>-277500</v>
      </c>
      <c r="E76" s="89">
        <v>-298539</v>
      </c>
      <c r="F76" s="145">
        <v>14</v>
      </c>
      <c r="G76" s="145">
        <v>38.200000000000003</v>
      </c>
      <c r="H76" s="121">
        <v>77</v>
      </c>
      <c r="I76" s="113">
        <v>0.3397</v>
      </c>
      <c r="J76" s="89">
        <v>1</v>
      </c>
      <c r="K76" s="89">
        <v>1</v>
      </c>
      <c r="L76" s="89">
        <v>1</v>
      </c>
      <c r="M76" s="89">
        <v>1</v>
      </c>
      <c r="N76" s="113"/>
      <c r="O76" s="113"/>
      <c r="P76" s="113"/>
      <c r="Q76" s="113"/>
      <c r="R76" s="113"/>
      <c r="S76" s="113"/>
      <c r="T76" s="229" t="s">
        <v>817</v>
      </c>
      <c r="U76" t="s">
        <v>613</v>
      </c>
    </row>
    <row r="77" spans="2:21" x14ac:dyDescent="0.2">
      <c r="B77" s="110" t="s">
        <v>793</v>
      </c>
      <c r="C77" s="110" t="s">
        <v>795</v>
      </c>
      <c r="D77" s="133">
        <v>-65850</v>
      </c>
      <c r="E77" s="89">
        <v>0</v>
      </c>
      <c r="F77" s="145">
        <v>-10</v>
      </c>
      <c r="G77" s="145">
        <v>2</v>
      </c>
      <c r="H77" s="121">
        <v>15</v>
      </c>
      <c r="I77" s="113"/>
      <c r="J77" s="89">
        <v>1</v>
      </c>
      <c r="K77" s="89">
        <v>1</v>
      </c>
      <c r="L77" s="89">
        <v>1</v>
      </c>
      <c r="M77" s="89">
        <v>1</v>
      </c>
      <c r="N77" s="113"/>
      <c r="O77" s="113"/>
      <c r="P77" s="113"/>
      <c r="Q77" s="113"/>
      <c r="R77" s="113"/>
      <c r="S77" s="113"/>
      <c r="T77" s="150" t="s">
        <v>792</v>
      </c>
      <c r="U77" t="s">
        <v>613</v>
      </c>
    </row>
    <row r="78" spans="2:21" x14ac:dyDescent="0.2">
      <c r="B78" s="110" t="s">
        <v>118</v>
      </c>
      <c r="C78" s="110" t="s">
        <v>119</v>
      </c>
      <c r="D78" s="133">
        <v>-21870</v>
      </c>
      <c r="E78" s="89"/>
      <c r="F78" s="145">
        <v>-25.3</v>
      </c>
      <c r="G78" s="145">
        <v>-22.200111111436492</v>
      </c>
      <c r="H78" s="121">
        <v>-7.9002424400798663</v>
      </c>
      <c r="I78" s="113">
        <v>1.4574</v>
      </c>
      <c r="J78" s="89">
        <v>2</v>
      </c>
      <c r="K78" s="89">
        <v>0</v>
      </c>
      <c r="L78" s="89">
        <v>1</v>
      </c>
      <c r="M78" s="89">
        <v>0</v>
      </c>
      <c r="N78" s="113">
        <v>-0.78029999999999999</v>
      </c>
      <c r="O78" s="113">
        <v>-9.6867000000000001</v>
      </c>
      <c r="P78" s="113">
        <v>9.5572999999999997</v>
      </c>
      <c r="Q78" s="113">
        <v>-2.3786</v>
      </c>
      <c r="R78" s="113">
        <v>14.963200000000001</v>
      </c>
      <c r="S78" s="113">
        <v>-4.6437999999999997</v>
      </c>
      <c r="T78" s="150" t="s">
        <v>720</v>
      </c>
      <c r="U78" t="s">
        <v>613</v>
      </c>
    </row>
    <row r="79" spans="2:21" x14ac:dyDescent="0.2">
      <c r="B79" s="110" t="s">
        <v>120</v>
      </c>
      <c r="C79" s="110" t="s">
        <v>121</v>
      </c>
      <c r="D79" s="133">
        <v>-4120</v>
      </c>
      <c r="E79" s="89">
        <v>-11850</v>
      </c>
      <c r="F79" s="145">
        <v>-66.3</v>
      </c>
      <c r="G79" s="145">
        <v>-36.999988512098852</v>
      </c>
      <c r="H79" s="121">
        <v>-18.599884012846992</v>
      </c>
      <c r="I79" s="113">
        <v>2.5811999999999999</v>
      </c>
      <c r="J79" s="89">
        <v>3</v>
      </c>
      <c r="K79" s="89">
        <v>0</v>
      </c>
      <c r="L79" s="89">
        <v>1</v>
      </c>
      <c r="M79" s="89">
        <v>0</v>
      </c>
      <c r="N79" s="113">
        <v>-2.4256000000000002</v>
      </c>
      <c r="O79" s="113">
        <v>-13.696099999999999</v>
      </c>
      <c r="P79" s="113">
        <v>11.114100000000001</v>
      </c>
      <c r="Q79" s="113">
        <v>-2.2126999999999999</v>
      </c>
      <c r="R79" s="113">
        <v>19.0459</v>
      </c>
      <c r="S79" s="113">
        <v>-6.8232999999999997</v>
      </c>
      <c r="T79" s="150" t="s">
        <v>720</v>
      </c>
      <c r="U79" t="s">
        <v>613</v>
      </c>
    </row>
    <row r="80" spans="2:21" x14ac:dyDescent="0.2">
      <c r="B80" s="110" t="s">
        <v>122</v>
      </c>
      <c r="C80" s="110" t="s">
        <v>123</v>
      </c>
      <c r="D80" s="133">
        <v>-53030</v>
      </c>
      <c r="E80" s="89">
        <v>-61260</v>
      </c>
      <c r="F80" s="145">
        <v>-10.06</v>
      </c>
      <c r="G80" s="145">
        <v>5.8</v>
      </c>
      <c r="H80" s="121">
        <v>20.570040893148047</v>
      </c>
      <c r="I80" s="113">
        <v>0.70030000000000003</v>
      </c>
      <c r="J80" s="89">
        <v>1</v>
      </c>
      <c r="K80" s="89">
        <v>0</v>
      </c>
      <c r="L80" s="89">
        <v>1</v>
      </c>
      <c r="M80" s="89">
        <v>1</v>
      </c>
      <c r="N80" s="113">
        <v>2.0756000000000001</v>
      </c>
      <c r="O80" s="113">
        <v>-2.7128999999999999</v>
      </c>
      <c r="P80" s="113">
        <v>6.8144</v>
      </c>
      <c r="Q80" s="113">
        <v>-2.6667000000000001</v>
      </c>
      <c r="R80" s="113">
        <v>24.6737</v>
      </c>
      <c r="S80" s="113">
        <v>1.1555</v>
      </c>
      <c r="T80" s="150" t="s">
        <v>722</v>
      </c>
      <c r="U80" t="s">
        <v>613</v>
      </c>
    </row>
    <row r="81" spans="2:21" x14ac:dyDescent="0.2">
      <c r="B81" s="110" t="s">
        <v>126</v>
      </c>
      <c r="C81" s="110" t="s">
        <v>723</v>
      </c>
      <c r="D81" s="133">
        <v>-37573</v>
      </c>
      <c r="E81" s="89">
        <v>-50875</v>
      </c>
      <c r="F81" s="145">
        <v>-28.7</v>
      </c>
      <c r="G81" s="145">
        <v>-19</v>
      </c>
      <c r="H81" s="121">
        <v>3.3</v>
      </c>
      <c r="I81" s="113">
        <v>1.4966999999999999</v>
      </c>
      <c r="J81" s="89">
        <v>2</v>
      </c>
      <c r="K81" s="89">
        <v>1</v>
      </c>
      <c r="L81" s="89">
        <v>1</v>
      </c>
      <c r="M81" s="89">
        <v>1</v>
      </c>
      <c r="N81" s="113">
        <v>-0.71909999999999996</v>
      </c>
      <c r="O81" s="113">
        <v>-9.5343</v>
      </c>
      <c r="P81" s="113">
        <v>9.4903999999999993</v>
      </c>
      <c r="Q81" s="113">
        <v>-2.3847999999999998</v>
      </c>
      <c r="R81" s="113">
        <v>21.771799999999999</v>
      </c>
      <c r="S81" s="113">
        <v>-2.4030999999999998</v>
      </c>
      <c r="T81" s="150" t="s">
        <v>780</v>
      </c>
      <c r="U81" t="s">
        <v>613</v>
      </c>
    </row>
    <row r="82" spans="2:21" x14ac:dyDescent="0.2">
      <c r="B82" s="110" t="s">
        <v>124</v>
      </c>
      <c r="C82" s="110" t="s">
        <v>125</v>
      </c>
      <c r="D82" s="133">
        <v>-73480</v>
      </c>
      <c r="E82" s="89">
        <v>-78490</v>
      </c>
      <c r="F82" s="145">
        <v>43</v>
      </c>
      <c r="G82" s="145">
        <v>28.4</v>
      </c>
      <c r="H82" s="121">
        <v>28.140072095850797</v>
      </c>
      <c r="I82" s="113">
        <v>-3.7999999999999999E-2</v>
      </c>
      <c r="J82" s="89">
        <v>0</v>
      </c>
      <c r="K82" s="89">
        <v>0</v>
      </c>
      <c r="L82" s="89">
        <v>1</v>
      </c>
      <c r="M82" s="89">
        <v>1</v>
      </c>
      <c r="N82" s="113">
        <v>5.7149999999999999</v>
      </c>
      <c r="O82" s="113">
        <v>6.1723999999999997</v>
      </c>
      <c r="P82" s="113">
        <v>3.3258000000000001</v>
      </c>
      <c r="Q82" s="113">
        <v>-3.0341</v>
      </c>
      <c r="R82" s="113">
        <v>22.308399999999999</v>
      </c>
      <c r="S82" s="113">
        <v>2.6974999999999998</v>
      </c>
      <c r="T82" s="150" t="s">
        <v>722</v>
      </c>
      <c r="U82" t="s">
        <v>613</v>
      </c>
    </row>
    <row r="83" spans="2:21" x14ac:dyDescent="0.2">
      <c r="B83" s="110" t="s">
        <v>781</v>
      </c>
      <c r="C83" s="110" t="s">
        <v>784</v>
      </c>
      <c r="D83" s="133">
        <v>-69429</v>
      </c>
      <c r="E83" s="89">
        <v>-91824</v>
      </c>
      <c r="F83" s="145">
        <v>-2</v>
      </c>
      <c r="G83" s="145">
        <v>8</v>
      </c>
      <c r="H83" s="121">
        <v>5.0999999999999996</v>
      </c>
      <c r="I83" s="113">
        <v>0.58309999999999995</v>
      </c>
      <c r="J83" s="89">
        <v>1</v>
      </c>
      <c r="K83" s="89">
        <v>0</v>
      </c>
      <c r="L83" s="89">
        <v>1</v>
      </c>
      <c r="M83" s="89">
        <v>1</v>
      </c>
      <c r="N83" s="113"/>
      <c r="O83" s="113"/>
      <c r="P83" s="113"/>
      <c r="Q83" s="113"/>
      <c r="R83" s="113"/>
      <c r="S83" s="113"/>
      <c r="T83" s="150" t="s">
        <v>787</v>
      </c>
      <c r="U83" t="s">
        <v>613</v>
      </c>
    </row>
    <row r="84" spans="2:21" x14ac:dyDescent="0.2">
      <c r="B84" s="110" t="s">
        <v>782</v>
      </c>
      <c r="C84" s="110" t="s">
        <v>785</v>
      </c>
      <c r="D84" s="133">
        <v>-99307</v>
      </c>
      <c r="E84" s="89">
        <v>-134400</v>
      </c>
      <c r="F84" s="145">
        <v>18</v>
      </c>
      <c r="G84" s="145">
        <v>37.4</v>
      </c>
      <c r="H84" s="121">
        <v>-28</v>
      </c>
      <c r="I84" s="113">
        <v>0.3</v>
      </c>
      <c r="J84" s="89">
        <v>0</v>
      </c>
      <c r="K84" s="89">
        <v>0</v>
      </c>
      <c r="L84" s="89">
        <v>1</v>
      </c>
      <c r="M84" s="89">
        <v>1</v>
      </c>
      <c r="N84" s="113"/>
      <c r="O84" s="113"/>
      <c r="P84" s="113"/>
      <c r="Q84" s="113"/>
      <c r="R84" s="113"/>
      <c r="S84" s="113"/>
      <c r="T84" s="150" t="s">
        <v>788</v>
      </c>
      <c r="U84" t="s">
        <v>613</v>
      </c>
    </row>
    <row r="85" spans="2:21" x14ac:dyDescent="0.2">
      <c r="B85" s="110" t="s">
        <v>783</v>
      </c>
      <c r="C85" s="110" t="s">
        <v>786</v>
      </c>
      <c r="D85" s="133">
        <v>-127917</v>
      </c>
      <c r="E85" s="89">
        <v>-180057</v>
      </c>
      <c r="F85" s="145">
        <v>26</v>
      </c>
      <c r="G85" s="145">
        <v>55.8</v>
      </c>
      <c r="H85" s="121">
        <v>-95.9</v>
      </c>
      <c r="I85" s="113">
        <v>1.2363</v>
      </c>
      <c r="J85" s="89">
        <v>-1</v>
      </c>
      <c r="K85" s="89">
        <v>0</v>
      </c>
      <c r="L85" s="89">
        <v>1</v>
      </c>
      <c r="M85" s="89">
        <v>1</v>
      </c>
      <c r="N85" s="113"/>
      <c r="O85" s="113"/>
      <c r="P85" s="113"/>
      <c r="Q85" s="113"/>
      <c r="R85" s="113"/>
      <c r="S85" s="113"/>
      <c r="T85" s="150" t="s">
        <v>789</v>
      </c>
      <c r="U85" t="s">
        <v>613</v>
      </c>
    </row>
    <row r="86" spans="2:21" x14ac:dyDescent="0.2">
      <c r="B86" s="110" t="s">
        <v>790</v>
      </c>
      <c r="C86" s="110" t="s">
        <v>791</v>
      </c>
      <c r="D86" s="133">
        <v>-50720</v>
      </c>
      <c r="E86" s="89"/>
      <c r="F86" s="145">
        <v>-10</v>
      </c>
      <c r="G86" s="145">
        <v>3</v>
      </c>
      <c r="H86" s="121">
        <v>0</v>
      </c>
      <c r="I86" s="113">
        <v>0.3</v>
      </c>
      <c r="J86" s="89">
        <v>0</v>
      </c>
      <c r="K86" s="89"/>
      <c r="L86" s="89">
        <v>1</v>
      </c>
      <c r="M86" s="89">
        <v>1</v>
      </c>
      <c r="N86" s="113"/>
      <c r="O86" s="113"/>
      <c r="P86" s="113"/>
      <c r="Q86" s="113"/>
      <c r="R86" s="113"/>
      <c r="S86" s="113"/>
      <c r="T86" s="150" t="s">
        <v>792</v>
      </c>
      <c r="U86" t="s">
        <v>613</v>
      </c>
    </row>
    <row r="87" spans="2:21" x14ac:dyDescent="0.2">
      <c r="B87" s="110" t="s">
        <v>110</v>
      </c>
      <c r="C87" s="110" t="s">
        <v>111</v>
      </c>
      <c r="D87" s="133">
        <v>-83862</v>
      </c>
      <c r="E87" s="89">
        <v>-101680</v>
      </c>
      <c r="F87" s="145">
        <v>21.7</v>
      </c>
      <c r="G87" s="145">
        <v>26.159971565219035</v>
      </c>
      <c r="H87" s="121">
        <v>-22</v>
      </c>
      <c r="I87" s="113">
        <v>1.3003</v>
      </c>
      <c r="J87" s="89">
        <v>-1</v>
      </c>
      <c r="K87" s="89">
        <v>0</v>
      </c>
      <c r="L87" s="89">
        <v>0</v>
      </c>
      <c r="M87" s="89">
        <v>0</v>
      </c>
      <c r="N87" s="113">
        <v>5.2683669094923946</v>
      </c>
      <c r="O87" s="113">
        <v>7.6836443146635105</v>
      </c>
      <c r="P87" s="113">
        <v>3.4705805840890083</v>
      </c>
      <c r="Q87" s="113">
        <v>-3.0966418559681896</v>
      </c>
      <c r="R87" s="113">
        <v>17</v>
      </c>
      <c r="S87" s="113">
        <v>-12.4</v>
      </c>
      <c r="T87" s="150" t="s">
        <v>724</v>
      </c>
      <c r="U87" t="s">
        <v>613</v>
      </c>
    </row>
    <row r="88" spans="2:21" x14ac:dyDescent="0.2">
      <c r="B88" s="110" t="s">
        <v>112</v>
      </c>
      <c r="C88" s="110" t="s">
        <v>113</v>
      </c>
      <c r="D88" s="133">
        <v>-88982</v>
      </c>
      <c r="E88" s="89">
        <v>-101680</v>
      </c>
      <c r="F88" s="145">
        <v>38.9</v>
      </c>
      <c r="G88" s="145">
        <v>34.690014309712879</v>
      </c>
      <c r="H88" s="121">
        <v>19.024124873651285</v>
      </c>
      <c r="I88" s="113">
        <v>-0.34420000000000001</v>
      </c>
      <c r="J88" s="89">
        <v>0</v>
      </c>
      <c r="K88" s="89">
        <v>0</v>
      </c>
      <c r="L88" s="89">
        <v>0</v>
      </c>
      <c r="M88" s="89">
        <v>0</v>
      </c>
      <c r="N88" s="113">
        <v>8.0924505020783677</v>
      </c>
      <c r="O88" s="113">
        <v>3.4216794020330656</v>
      </c>
      <c r="P88" s="113">
        <v>1.9690549970623223</v>
      </c>
      <c r="Q88" s="113">
        <v>-2.9204522264800472</v>
      </c>
      <c r="R88" s="113">
        <v>22.192399999999999</v>
      </c>
      <c r="S88" s="113">
        <v>-3.1196000000000002</v>
      </c>
      <c r="T88" s="150" t="s">
        <v>721</v>
      </c>
      <c r="U88" t="s">
        <v>613</v>
      </c>
    </row>
    <row r="89" spans="2:21" x14ac:dyDescent="0.2">
      <c r="B89" s="110" t="s">
        <v>143</v>
      </c>
      <c r="C89" s="110" t="s">
        <v>144</v>
      </c>
      <c r="D89" s="133">
        <v>-38000</v>
      </c>
      <c r="E89" s="89">
        <v>-50600</v>
      </c>
      <c r="F89" s="145">
        <v>-79</v>
      </c>
      <c r="G89" s="145">
        <v>-44.900021278327145</v>
      </c>
      <c r="H89" s="121">
        <v>-30.799816226244204</v>
      </c>
      <c r="I89" s="113">
        <v>2.7275999999999998</v>
      </c>
      <c r="J89" s="89">
        <v>3</v>
      </c>
      <c r="K89" s="89">
        <v>0</v>
      </c>
      <c r="L89" s="89">
        <v>1</v>
      </c>
      <c r="M89" s="89">
        <v>0</v>
      </c>
      <c r="N89" s="113">
        <v>-3.4573</v>
      </c>
      <c r="O89" s="113">
        <v>-16.223199999999999</v>
      </c>
      <c r="P89" s="113">
        <v>12.1264</v>
      </c>
      <c r="Q89" s="113">
        <v>-2.1082999999999998</v>
      </c>
      <c r="R89" s="113">
        <v>13.245100000000001</v>
      </c>
      <c r="S89" s="113">
        <v>-9.3086000000000002</v>
      </c>
      <c r="T89" s="150" t="s">
        <v>720</v>
      </c>
      <c r="U89" t="s">
        <v>613</v>
      </c>
    </row>
    <row r="90" spans="2:21" x14ac:dyDescent="0.2">
      <c r="B90" s="110" t="s">
        <v>145</v>
      </c>
      <c r="C90" s="110" t="s">
        <v>146</v>
      </c>
      <c r="D90" s="133">
        <v>-158600</v>
      </c>
      <c r="E90" s="89">
        <v>-164200</v>
      </c>
      <c r="F90" s="145">
        <v>-49.2</v>
      </c>
      <c r="G90" s="145">
        <v>-40.400091694714845</v>
      </c>
      <c r="H90" s="121">
        <v>-35.899991514322814</v>
      </c>
      <c r="I90" s="113">
        <v>2.3264999999999998</v>
      </c>
      <c r="J90" s="89">
        <v>3</v>
      </c>
      <c r="K90" s="89">
        <v>0</v>
      </c>
      <c r="L90" s="89">
        <v>1</v>
      </c>
      <c r="M90" s="89">
        <v>0</v>
      </c>
      <c r="N90" s="113">
        <v>-2.9771000000000001</v>
      </c>
      <c r="O90" s="113">
        <v>-15.050599999999999</v>
      </c>
      <c r="P90" s="113">
        <v>11.6656</v>
      </c>
      <c r="Q90" s="113">
        <v>-2.1568000000000001</v>
      </c>
      <c r="R90" s="113">
        <v>6.5606</v>
      </c>
      <c r="S90" s="113">
        <v>-10.3474</v>
      </c>
      <c r="T90" s="150" t="s">
        <v>720</v>
      </c>
      <c r="U90" t="s">
        <v>613</v>
      </c>
    </row>
    <row r="91" spans="2:21" x14ac:dyDescent="0.2">
      <c r="B91" s="110" t="s">
        <v>129</v>
      </c>
      <c r="C91" s="110" t="s">
        <v>130</v>
      </c>
      <c r="D91" s="133">
        <v>-167258</v>
      </c>
      <c r="E91" s="89">
        <v>0</v>
      </c>
      <c r="F91" s="145">
        <v>44.4</v>
      </c>
      <c r="G91" s="145">
        <v>79.7</v>
      </c>
      <c r="H91" s="121">
        <v>11.2</v>
      </c>
      <c r="I91" s="113">
        <v>0.95689999999999997</v>
      </c>
      <c r="J91" s="89">
        <v>-1</v>
      </c>
      <c r="K91" s="89">
        <v>0</v>
      </c>
      <c r="L91" s="89">
        <v>0</v>
      </c>
      <c r="M91" s="89">
        <v>0</v>
      </c>
      <c r="N91" s="113">
        <v>17.46</v>
      </c>
      <c r="O91" s="113">
        <v>12.34</v>
      </c>
      <c r="P91" s="113">
        <v>-5.51</v>
      </c>
      <c r="Q91" s="113">
        <v>-3.29</v>
      </c>
      <c r="R91" s="113">
        <v>50</v>
      </c>
      <c r="S91" s="113">
        <v>-14.8</v>
      </c>
      <c r="T91" s="150" t="s">
        <v>759</v>
      </c>
      <c r="U91" t="s">
        <v>613</v>
      </c>
    </row>
    <row r="92" spans="2:21" x14ac:dyDescent="0.2">
      <c r="B92" s="110" t="s">
        <v>767</v>
      </c>
      <c r="C92" s="110" t="s">
        <v>128</v>
      </c>
      <c r="D92" s="133">
        <v>-173050</v>
      </c>
      <c r="E92" s="89">
        <v>-234820</v>
      </c>
      <c r="F92" s="145">
        <v>61.2</v>
      </c>
      <c r="G92" s="145">
        <v>90.1</v>
      </c>
      <c r="H92" s="121">
        <v>44.1</v>
      </c>
      <c r="I92" s="113">
        <v>0.7</v>
      </c>
      <c r="J92" s="89">
        <v>0</v>
      </c>
      <c r="K92" s="89">
        <v>0</v>
      </c>
      <c r="L92" s="89">
        <v>0</v>
      </c>
      <c r="M92" s="89">
        <v>0</v>
      </c>
      <c r="N92" s="113">
        <v>19.3</v>
      </c>
      <c r="O92" s="113">
        <v>13.3</v>
      </c>
      <c r="P92" s="113">
        <v>-4.4000000000000004</v>
      </c>
      <c r="Q92" s="113">
        <v>-3.33</v>
      </c>
      <c r="R92" s="113">
        <v>69.2</v>
      </c>
      <c r="S92" s="113">
        <v>-9.2200000000000006</v>
      </c>
      <c r="T92" s="150" t="s">
        <v>760</v>
      </c>
      <c r="U92" t="s">
        <v>613</v>
      </c>
    </row>
    <row r="93" spans="2:21" x14ac:dyDescent="0.2">
      <c r="B93" s="110" t="s">
        <v>133</v>
      </c>
      <c r="C93" s="110" t="s">
        <v>134</v>
      </c>
      <c r="D93" s="133">
        <v>-126280</v>
      </c>
      <c r="E93" s="89">
        <v>-191860</v>
      </c>
      <c r="F93" s="145">
        <v>62.41</v>
      </c>
      <c r="G93" s="145">
        <v>93.7168584488672</v>
      </c>
      <c r="H93" s="121">
        <v>43.775772454143052</v>
      </c>
      <c r="I93" s="113">
        <v>0.18</v>
      </c>
      <c r="J93" s="89">
        <v>0</v>
      </c>
      <c r="K93" s="89">
        <v>0</v>
      </c>
      <c r="L93" s="89">
        <v>1</v>
      </c>
      <c r="M93" s="89">
        <v>1</v>
      </c>
      <c r="N93" s="113">
        <v>23.22</v>
      </c>
      <c r="O93" s="113">
        <v>3.58</v>
      </c>
      <c r="P93" s="113">
        <v>5.44</v>
      </c>
      <c r="Q93" s="113">
        <v>-5.23</v>
      </c>
      <c r="R93" s="113">
        <v>68.599999999999994</v>
      </c>
      <c r="S93" s="113">
        <v>-11.4</v>
      </c>
      <c r="T93" s="150" t="s">
        <v>721</v>
      </c>
      <c r="U93" t="s">
        <v>613</v>
      </c>
    </row>
    <row r="94" spans="2:21" x14ac:dyDescent="0.2">
      <c r="B94" s="110" t="s">
        <v>135</v>
      </c>
      <c r="C94" s="110" t="s">
        <v>136</v>
      </c>
      <c r="D94" s="133">
        <v>-170860</v>
      </c>
      <c r="E94" s="89">
        <v>-223570</v>
      </c>
      <c r="F94" s="145">
        <v>52.9</v>
      </c>
      <c r="G94" s="145">
        <v>85.909059482449251</v>
      </c>
      <c r="H94" s="121">
        <v>20.108795607973001</v>
      </c>
      <c r="I94" s="113">
        <v>0.82789999999999997</v>
      </c>
      <c r="J94" s="89">
        <v>-1</v>
      </c>
      <c r="K94" s="89">
        <v>0</v>
      </c>
      <c r="L94" s="89">
        <v>1</v>
      </c>
      <c r="M94" s="89">
        <v>1</v>
      </c>
      <c r="N94" s="113">
        <v>13.8</v>
      </c>
      <c r="O94" s="113">
        <v>24.55</v>
      </c>
      <c r="P94" s="113">
        <v>-0.98</v>
      </c>
      <c r="Q94" s="113">
        <v>-3.79</v>
      </c>
      <c r="R94" s="113">
        <v>35.58</v>
      </c>
      <c r="S94" s="113">
        <v>-3.86</v>
      </c>
      <c r="T94" s="150" t="s">
        <v>721</v>
      </c>
      <c r="U94" t="s">
        <v>613</v>
      </c>
    </row>
    <row r="95" spans="2:21" x14ac:dyDescent="0.2">
      <c r="B95" s="110" t="s">
        <v>131</v>
      </c>
      <c r="C95" s="110" t="s">
        <v>132</v>
      </c>
      <c r="D95" s="133">
        <v>-176780</v>
      </c>
      <c r="E95" s="89">
        <v>-223440</v>
      </c>
      <c r="F95" s="145">
        <v>73.2</v>
      </c>
      <c r="G95" s="145">
        <v>99.0911049024688</v>
      </c>
      <c r="H95" s="121">
        <v>64.105257765510871</v>
      </c>
      <c r="I95" s="113">
        <v>-0.1</v>
      </c>
      <c r="J95" s="89">
        <v>0</v>
      </c>
      <c r="K95" s="89">
        <v>0</v>
      </c>
      <c r="L95" s="89">
        <v>1</v>
      </c>
      <c r="M95" s="89">
        <v>1</v>
      </c>
      <c r="N95" s="113">
        <v>15.3</v>
      </c>
      <c r="O95" s="113">
        <v>27.9</v>
      </c>
      <c r="P95" s="113">
        <v>-1.74</v>
      </c>
      <c r="Q95" s="113">
        <v>-3.93</v>
      </c>
      <c r="R95" s="113">
        <v>60.4</v>
      </c>
      <c r="S95" s="113">
        <v>1.37</v>
      </c>
      <c r="T95" s="150" t="s">
        <v>721</v>
      </c>
      <c r="U95" t="s">
        <v>613</v>
      </c>
    </row>
    <row r="96" spans="2:21" x14ac:dyDescent="0.2">
      <c r="B96" s="110" t="s">
        <v>799</v>
      </c>
      <c r="C96" s="110"/>
      <c r="D96" s="133">
        <v>-77610</v>
      </c>
      <c r="E96" s="89">
        <v>-114190</v>
      </c>
      <c r="F96" s="145">
        <v>30.07</v>
      </c>
      <c r="G96" s="145">
        <v>43.77</v>
      </c>
      <c r="H96" s="121">
        <v>-6.6</v>
      </c>
      <c r="I96" s="113"/>
      <c r="J96" s="89">
        <v>-1</v>
      </c>
      <c r="K96" s="89">
        <v>1</v>
      </c>
      <c r="L96" s="89">
        <v>1</v>
      </c>
      <c r="M96" s="89">
        <v>1</v>
      </c>
      <c r="N96" s="113"/>
      <c r="O96" s="113"/>
      <c r="P96" s="113"/>
      <c r="Q96" s="113"/>
      <c r="R96" s="113"/>
      <c r="S96" s="113"/>
      <c r="T96" s="150" t="s">
        <v>800</v>
      </c>
      <c r="U96" t="s">
        <v>613</v>
      </c>
    </row>
    <row r="97" spans="2:21" x14ac:dyDescent="0.2">
      <c r="B97" s="110" t="s">
        <v>137</v>
      </c>
      <c r="C97" s="110" t="s">
        <v>138</v>
      </c>
      <c r="D97" s="133">
        <v>-90950</v>
      </c>
      <c r="E97" s="89">
        <v>-124780</v>
      </c>
      <c r="F97" s="145">
        <v>39.299999999999997</v>
      </c>
      <c r="G97" s="145">
        <v>43.1</v>
      </c>
      <c r="H97" s="121">
        <v>9.8000000000000007</v>
      </c>
      <c r="I97" s="113">
        <v>0.2</v>
      </c>
      <c r="J97" s="89">
        <v>0</v>
      </c>
      <c r="K97" s="89">
        <v>0</v>
      </c>
      <c r="L97" s="89">
        <v>0</v>
      </c>
      <c r="M97" s="89">
        <v>0</v>
      </c>
      <c r="N97" s="113">
        <v>10.8</v>
      </c>
      <c r="O97" s="113">
        <v>1.3</v>
      </c>
      <c r="P97" s="113">
        <v>7.6</v>
      </c>
      <c r="Q97" s="113">
        <v>-3.5</v>
      </c>
      <c r="R97" s="113">
        <v>28</v>
      </c>
      <c r="S97" s="113">
        <v>-8.1999999999999993</v>
      </c>
      <c r="T97" s="150" t="s">
        <v>702</v>
      </c>
      <c r="U97" t="s">
        <v>613</v>
      </c>
    </row>
    <row r="98" spans="2:21" x14ac:dyDescent="0.2">
      <c r="B98" s="110" t="s">
        <v>139</v>
      </c>
      <c r="C98" s="110" t="s">
        <v>140</v>
      </c>
      <c r="D98" s="133">
        <v>-121170</v>
      </c>
      <c r="E98" s="89">
        <v>-154700</v>
      </c>
      <c r="F98" s="145">
        <v>26.2</v>
      </c>
      <c r="G98" s="145">
        <v>39.849961091675077</v>
      </c>
      <c r="H98" s="121">
        <v>6.4997274390008322</v>
      </c>
      <c r="I98" s="113">
        <v>1.2334000000000001</v>
      </c>
      <c r="J98" s="89">
        <v>-1</v>
      </c>
      <c r="K98" s="89">
        <v>0</v>
      </c>
      <c r="L98" s="89">
        <v>1</v>
      </c>
      <c r="M98" s="89">
        <v>0</v>
      </c>
      <c r="N98" s="113">
        <v>7.6349</v>
      </c>
      <c r="O98" s="113">
        <v>11.057</v>
      </c>
      <c r="P98" s="113">
        <v>0.98340000000000005</v>
      </c>
      <c r="Q98" s="113">
        <v>-3.2360000000000002</v>
      </c>
      <c r="R98" s="113">
        <v>26.046299999999999</v>
      </c>
      <c r="S98" s="113">
        <v>-4.0270999999999999</v>
      </c>
      <c r="T98" s="150" t="s">
        <v>721</v>
      </c>
      <c r="U98" t="s">
        <v>613</v>
      </c>
    </row>
    <row r="99" spans="2:21" x14ac:dyDescent="0.2">
      <c r="B99" s="110" t="s">
        <v>141</v>
      </c>
      <c r="C99" s="110" t="s">
        <v>142</v>
      </c>
      <c r="D99" s="133">
        <v>-126400</v>
      </c>
      <c r="E99" s="89">
        <v>-154890</v>
      </c>
      <c r="F99" s="145">
        <v>43.1</v>
      </c>
      <c r="G99" s="145">
        <v>51.750113330887849</v>
      </c>
      <c r="H99" s="121">
        <v>45.50047069862751</v>
      </c>
      <c r="I99" s="113">
        <v>-0.30170000000000002</v>
      </c>
      <c r="J99" s="89">
        <v>0</v>
      </c>
      <c r="K99" s="89">
        <v>0</v>
      </c>
      <c r="L99" s="89">
        <v>1</v>
      </c>
      <c r="M99" s="89">
        <v>1</v>
      </c>
      <c r="N99" s="113">
        <v>8.7445000000000004</v>
      </c>
      <c r="O99" s="113">
        <v>12.1496</v>
      </c>
      <c r="P99" s="113">
        <v>4.0221999999999998</v>
      </c>
      <c r="Q99" s="113">
        <v>-3.2812000000000001</v>
      </c>
      <c r="R99" s="113">
        <v>43.666899999999998</v>
      </c>
      <c r="S99" s="113">
        <v>-0.46550000000000002</v>
      </c>
      <c r="T99" s="150" t="s">
        <v>721</v>
      </c>
      <c r="U99" t="s">
        <v>613</v>
      </c>
    </row>
    <row r="100" spans="2:21" x14ac:dyDescent="0.2">
      <c r="B100" s="110" t="s">
        <v>149</v>
      </c>
      <c r="C100" s="110" t="s">
        <v>150</v>
      </c>
      <c r="D100" s="133">
        <v>-172060</v>
      </c>
      <c r="E100" s="89">
        <v>-217350</v>
      </c>
      <c r="F100" s="145">
        <v>45.2</v>
      </c>
      <c r="G100" s="145">
        <v>69.990077113880361</v>
      </c>
      <c r="H100" s="121">
        <v>9.2999823093371994</v>
      </c>
      <c r="I100" s="113">
        <v>0.9446</v>
      </c>
      <c r="J100" s="89">
        <v>-1</v>
      </c>
      <c r="K100" s="89">
        <v>0</v>
      </c>
      <c r="L100" s="89">
        <v>1</v>
      </c>
      <c r="M100" s="89">
        <v>1</v>
      </c>
      <c r="N100" s="113">
        <v>11.6617</v>
      </c>
      <c r="O100" s="113">
        <v>19.7057</v>
      </c>
      <c r="P100" s="113">
        <v>0.1226</v>
      </c>
      <c r="Q100" s="113">
        <v>-3.5935000000000001</v>
      </c>
      <c r="R100" s="113">
        <v>26.117000000000001</v>
      </c>
      <c r="S100" s="113">
        <v>-3.9931999999999999</v>
      </c>
      <c r="T100" s="150" t="s">
        <v>721</v>
      </c>
      <c r="U100" t="s">
        <v>613</v>
      </c>
    </row>
    <row r="101" spans="2:21" x14ac:dyDescent="0.2">
      <c r="B101" s="110" t="s">
        <v>147</v>
      </c>
      <c r="C101" s="110" t="s">
        <v>148</v>
      </c>
      <c r="D101" s="133">
        <v>0</v>
      </c>
      <c r="E101" s="89">
        <v>0</v>
      </c>
      <c r="F101" s="145">
        <v>0</v>
      </c>
      <c r="G101" s="145">
        <v>0</v>
      </c>
      <c r="H101" s="121">
        <v>0</v>
      </c>
      <c r="I101" s="113">
        <v>0</v>
      </c>
      <c r="J101" s="89">
        <v>1</v>
      </c>
      <c r="K101" s="89">
        <v>0</v>
      </c>
      <c r="L101" s="89">
        <v>0</v>
      </c>
      <c r="M101" s="89">
        <v>0</v>
      </c>
      <c r="N101" s="113">
        <v>0</v>
      </c>
      <c r="O101" s="113">
        <v>0</v>
      </c>
      <c r="P101" s="113">
        <v>0</v>
      </c>
      <c r="Q101" s="113">
        <v>0</v>
      </c>
      <c r="R101" s="113">
        <v>0</v>
      </c>
      <c r="S101" s="113">
        <v>0</v>
      </c>
      <c r="T101" s="150" t="s">
        <v>725</v>
      </c>
      <c r="U101" t="s">
        <v>613</v>
      </c>
    </row>
    <row r="102" spans="2:21" x14ac:dyDescent="0.2">
      <c r="B102" s="110" t="s">
        <v>151</v>
      </c>
      <c r="C102" s="110" t="s">
        <v>152</v>
      </c>
      <c r="D102" s="133">
        <v>4236</v>
      </c>
      <c r="E102" s="89">
        <v>-1000</v>
      </c>
      <c r="F102" s="145">
        <v>13.8</v>
      </c>
      <c r="G102" s="145">
        <v>25.199980771681883</v>
      </c>
      <c r="H102" s="121">
        <v>39.90005764948679</v>
      </c>
      <c r="I102" s="113">
        <v>-0.20899999999999999</v>
      </c>
      <c r="J102" s="89">
        <v>0</v>
      </c>
      <c r="K102" s="89">
        <v>0</v>
      </c>
      <c r="L102" s="89">
        <v>0</v>
      </c>
      <c r="M102" s="89">
        <v>0</v>
      </c>
      <c r="N102" s="113">
        <v>5.1426999999999996</v>
      </c>
      <c r="O102" s="113">
        <v>4.7758000000000003</v>
      </c>
      <c r="P102" s="113">
        <v>3.8729</v>
      </c>
      <c r="Q102" s="113">
        <v>-2.9763999999999999</v>
      </c>
      <c r="R102" s="113">
        <v>27.6251</v>
      </c>
      <c r="S102" s="113">
        <v>5.093</v>
      </c>
      <c r="T102" s="150" t="s">
        <v>707</v>
      </c>
      <c r="U102" t="s">
        <v>613</v>
      </c>
    </row>
    <row r="103" spans="2:21" x14ac:dyDescent="0.2">
      <c r="B103" s="110" t="s">
        <v>153</v>
      </c>
      <c r="C103" s="110" t="s">
        <v>154</v>
      </c>
      <c r="D103" s="133">
        <v>-140330</v>
      </c>
      <c r="E103" s="89">
        <v>-170840</v>
      </c>
      <c r="F103" s="145">
        <v>26.4</v>
      </c>
      <c r="G103" s="145">
        <v>26.399881711344126</v>
      </c>
      <c r="H103" s="121">
        <v>-2.9001583614829087</v>
      </c>
      <c r="I103" s="113">
        <v>1.2304999999999999</v>
      </c>
      <c r="J103" s="89">
        <v>-1</v>
      </c>
      <c r="K103" s="89">
        <v>0</v>
      </c>
      <c r="L103" s="89">
        <v>1</v>
      </c>
      <c r="M103" s="89">
        <v>1</v>
      </c>
      <c r="N103" s="113">
        <v>5.7934000000000001</v>
      </c>
      <c r="O103" s="113">
        <v>6.3646000000000003</v>
      </c>
      <c r="P103" s="113">
        <v>3.2484999999999999</v>
      </c>
      <c r="Q103" s="113">
        <v>-3.0421</v>
      </c>
      <c r="R103" s="113">
        <v>15.8032</v>
      </c>
      <c r="S103" s="113">
        <v>-3.6253000000000002</v>
      </c>
      <c r="T103" s="150" t="s">
        <v>726</v>
      </c>
      <c r="U103" t="s">
        <v>613</v>
      </c>
    </row>
    <row r="104" spans="2:21" x14ac:dyDescent="0.2">
      <c r="B104" s="110" t="s">
        <v>155</v>
      </c>
      <c r="C104" s="110" t="s">
        <v>156</v>
      </c>
      <c r="D104" s="133">
        <v>-180010</v>
      </c>
      <c r="E104" s="89">
        <v>-217390</v>
      </c>
      <c r="F104" s="145">
        <v>28</v>
      </c>
      <c r="G104" s="145">
        <v>35.100100834909682</v>
      </c>
      <c r="H104" s="121">
        <v>-0.70025437088040832</v>
      </c>
      <c r="I104" s="113">
        <v>1.2055</v>
      </c>
      <c r="J104" s="89">
        <v>-1</v>
      </c>
      <c r="K104" s="89">
        <v>0</v>
      </c>
      <c r="L104" s="89">
        <v>1</v>
      </c>
      <c r="M104" s="89">
        <v>1</v>
      </c>
      <c r="N104" s="113">
        <v>6.9755000000000003</v>
      </c>
      <c r="O104" s="113">
        <v>9.2508999999999997</v>
      </c>
      <c r="P104" s="113">
        <v>2.1139999999999999</v>
      </c>
      <c r="Q104" s="113">
        <v>-3.1614</v>
      </c>
      <c r="R104" s="113">
        <v>16.862200000000001</v>
      </c>
      <c r="S104" s="113">
        <v>-3.1772</v>
      </c>
      <c r="T104" s="110" t="s">
        <v>726</v>
      </c>
      <c r="U104" t="s">
        <v>613</v>
      </c>
    </row>
    <row r="105" spans="2:21" x14ac:dyDescent="0.2">
      <c r="B105" s="110" t="s">
        <v>807</v>
      </c>
      <c r="C105" s="110"/>
      <c r="D105" s="133">
        <v>-145400</v>
      </c>
      <c r="E105" s="89">
        <v>-164229</v>
      </c>
      <c r="F105" s="145">
        <v>43</v>
      </c>
      <c r="G105" s="145">
        <v>46</v>
      </c>
      <c r="H105" s="121">
        <v>86.5</v>
      </c>
      <c r="I105" s="113">
        <v>-0.3</v>
      </c>
      <c r="J105" s="89">
        <v>0</v>
      </c>
      <c r="K105" s="89">
        <v>0</v>
      </c>
      <c r="L105" s="89">
        <v>1</v>
      </c>
      <c r="M105" s="89">
        <v>1</v>
      </c>
      <c r="N105" s="113">
        <v>10.3102</v>
      </c>
      <c r="O105" s="113">
        <v>5.5331999999999999</v>
      </c>
      <c r="P105" s="113">
        <v>0.1986</v>
      </c>
      <c r="Q105" s="113">
        <v>-3.0076999999999998</v>
      </c>
      <c r="R105" s="113">
        <v>54.097099999999998</v>
      </c>
      <c r="S105" s="113">
        <v>14.5855</v>
      </c>
      <c r="T105" s="150" t="s">
        <v>817</v>
      </c>
      <c r="U105" t="s">
        <v>613</v>
      </c>
    </row>
    <row r="106" spans="2:21" x14ac:dyDescent="0.2">
      <c r="B106" s="110" t="s">
        <v>157</v>
      </c>
      <c r="C106" s="110" t="s">
        <v>158</v>
      </c>
      <c r="D106" s="133">
        <v>-480400</v>
      </c>
      <c r="E106" s="89">
        <v>-544600</v>
      </c>
      <c r="F106" s="145">
        <v>39</v>
      </c>
      <c r="G106" s="145">
        <v>52.400027441768785</v>
      </c>
      <c r="H106" s="121">
        <v>-20.299643862440398</v>
      </c>
      <c r="I106" s="113">
        <v>2.6217999999999999</v>
      </c>
      <c r="J106" s="89">
        <v>-2</v>
      </c>
      <c r="K106" s="89">
        <v>0</v>
      </c>
      <c r="L106" s="89">
        <v>1</v>
      </c>
      <c r="M106" s="89">
        <v>1</v>
      </c>
      <c r="N106" s="113">
        <v>9.8215000000000003</v>
      </c>
      <c r="O106" s="113">
        <v>16.2</v>
      </c>
      <c r="P106" s="113">
        <v>-0.61729999999999996</v>
      </c>
      <c r="Q106" s="113">
        <v>-3.4487000000000001</v>
      </c>
      <c r="R106" s="113">
        <v>18.424099999999999</v>
      </c>
      <c r="S106" s="113">
        <v>-7.1696999999999997</v>
      </c>
      <c r="T106" s="150" t="s">
        <v>726</v>
      </c>
      <c r="U106" t="s">
        <v>613</v>
      </c>
    </row>
    <row r="107" spans="2:21" x14ac:dyDescent="0.2">
      <c r="B107" s="110" t="s">
        <v>159</v>
      </c>
      <c r="C107" s="110" t="s">
        <v>160</v>
      </c>
      <c r="D107" s="133">
        <v>-270140</v>
      </c>
      <c r="E107" s="89">
        <v>-309820</v>
      </c>
      <c r="F107" s="145">
        <v>21.6</v>
      </c>
      <c r="G107" s="145">
        <v>31.299704419202733</v>
      </c>
      <c r="H107" s="121">
        <v>-7.0001224974425362</v>
      </c>
      <c r="I107" s="113">
        <v>1.3003</v>
      </c>
      <c r="J107" s="89">
        <v>-1</v>
      </c>
      <c r="K107" s="89">
        <v>0</v>
      </c>
      <c r="L107" s="89">
        <v>1</v>
      </c>
      <c r="M107" s="89">
        <v>1</v>
      </c>
      <c r="N107" s="113">
        <v>6.4874999999999998</v>
      </c>
      <c r="O107" s="113">
        <v>8.0594000000000001</v>
      </c>
      <c r="P107" s="113">
        <v>2.5823</v>
      </c>
      <c r="Q107" s="113">
        <v>-3.1122000000000001</v>
      </c>
      <c r="R107" s="113">
        <v>14.0435</v>
      </c>
      <c r="S107" s="113">
        <v>-4.4604999999999997</v>
      </c>
      <c r="T107" s="150" t="s">
        <v>726</v>
      </c>
      <c r="U107" t="s">
        <v>613</v>
      </c>
    </row>
    <row r="108" spans="2:21" x14ac:dyDescent="0.2">
      <c r="B108" s="110" t="s">
        <v>161</v>
      </c>
      <c r="C108" s="110" t="s">
        <v>162</v>
      </c>
      <c r="D108" s="133">
        <v>-6673</v>
      </c>
      <c r="E108" s="89">
        <v>-9001</v>
      </c>
      <c r="F108" s="145">
        <v>30</v>
      </c>
      <c r="G108" s="145">
        <v>34.920046426392013</v>
      </c>
      <c r="H108" s="121">
        <v>42.833107059026609</v>
      </c>
      <c r="I108" s="113">
        <v>-0.1</v>
      </c>
      <c r="J108" s="89">
        <v>0</v>
      </c>
      <c r="K108" s="89">
        <v>0</v>
      </c>
      <c r="L108" s="89">
        <v>1</v>
      </c>
      <c r="M108" s="89">
        <v>1</v>
      </c>
      <c r="N108" s="113">
        <v>6.5096999999999996</v>
      </c>
      <c r="O108" s="113">
        <v>6.7724000000000002</v>
      </c>
      <c r="P108" s="113">
        <v>5.9645999999999999</v>
      </c>
      <c r="Q108" s="113">
        <v>-3.0590000000000002</v>
      </c>
      <c r="R108" s="113">
        <v>32.299999999999997</v>
      </c>
      <c r="S108" s="113">
        <v>4.7300000000000004</v>
      </c>
      <c r="T108" s="150" t="s">
        <v>855</v>
      </c>
      <c r="U108" t="s">
        <v>613</v>
      </c>
    </row>
    <row r="109" spans="2:21" x14ac:dyDescent="0.2">
      <c r="B109" s="110" t="s">
        <v>862</v>
      </c>
      <c r="C109" s="110" t="s">
        <v>863</v>
      </c>
      <c r="D109" s="133">
        <v>-123800</v>
      </c>
      <c r="E109" s="89">
        <v>-159845</v>
      </c>
      <c r="F109" s="145">
        <v>16</v>
      </c>
      <c r="G109" s="145">
        <v>38</v>
      </c>
      <c r="H109" s="121">
        <v>20</v>
      </c>
      <c r="I109" s="113">
        <v>0.1</v>
      </c>
      <c r="J109" s="89">
        <v>0</v>
      </c>
      <c r="K109" s="89">
        <v>0</v>
      </c>
      <c r="L109" s="89">
        <v>1</v>
      </c>
      <c r="M109" s="89">
        <v>1</v>
      </c>
      <c r="N109" s="113"/>
      <c r="O109" s="113"/>
      <c r="P109" s="113"/>
      <c r="Q109" s="113"/>
      <c r="R109" s="113"/>
      <c r="S109" s="113"/>
      <c r="T109" s="150" t="s">
        <v>855</v>
      </c>
      <c r="U109" t="s">
        <v>613</v>
      </c>
    </row>
    <row r="110" spans="2:21" x14ac:dyDescent="0.2">
      <c r="B110" s="110" t="s">
        <v>163</v>
      </c>
      <c r="C110" s="110" t="s">
        <v>164</v>
      </c>
      <c r="D110" s="133">
        <v>-244000</v>
      </c>
      <c r="E110" s="89">
        <v>-280600</v>
      </c>
      <c r="F110" s="145">
        <v>29</v>
      </c>
      <c r="G110" s="145">
        <v>29.000135951263612</v>
      </c>
      <c r="H110" s="121">
        <v>0.59978669008475904</v>
      </c>
      <c r="I110" s="113">
        <v>1.1898</v>
      </c>
      <c r="J110" s="89">
        <v>-1</v>
      </c>
      <c r="K110" s="89">
        <v>0</v>
      </c>
      <c r="L110" s="89">
        <v>1</v>
      </c>
      <c r="M110" s="89">
        <v>1</v>
      </c>
      <c r="N110" s="113">
        <v>6.1355000000000004</v>
      </c>
      <c r="O110" s="113">
        <v>7.1997</v>
      </c>
      <c r="P110" s="113">
        <v>2.9201999999999999</v>
      </c>
      <c r="Q110" s="113">
        <v>-3.0766</v>
      </c>
      <c r="R110" s="113">
        <v>17.479500000000002</v>
      </c>
      <c r="S110" s="113">
        <v>-2.9123999999999999</v>
      </c>
      <c r="T110" s="150" t="s">
        <v>726</v>
      </c>
      <c r="U110" t="s">
        <v>613</v>
      </c>
    </row>
    <row r="111" spans="2:21" x14ac:dyDescent="0.2">
      <c r="B111" s="110" t="s">
        <v>165</v>
      </c>
      <c r="C111" s="110" t="s">
        <v>166</v>
      </c>
      <c r="D111" s="133">
        <v>-483600</v>
      </c>
      <c r="E111" s="89">
        <v>-544100</v>
      </c>
      <c r="F111" s="145">
        <v>51</v>
      </c>
      <c r="G111" s="145">
        <v>50.999858157206482</v>
      </c>
      <c r="H111" s="121">
        <v>29.599573284247107</v>
      </c>
      <c r="I111" s="113">
        <v>0.85680000000000001</v>
      </c>
      <c r="J111" s="89">
        <v>-1</v>
      </c>
      <c r="K111" s="89">
        <v>0</v>
      </c>
      <c r="L111" s="89">
        <v>1</v>
      </c>
      <c r="M111" s="89">
        <v>1</v>
      </c>
      <c r="N111" s="113">
        <v>9.0334000000000003</v>
      </c>
      <c r="O111" s="113">
        <v>14.275700000000001</v>
      </c>
      <c r="P111" s="113">
        <v>0.1391</v>
      </c>
      <c r="Q111" s="113">
        <v>-3.3692000000000002</v>
      </c>
      <c r="R111" s="113">
        <v>31.4072</v>
      </c>
      <c r="S111" s="113">
        <v>2.9948999999999999</v>
      </c>
      <c r="T111" s="150" t="s">
        <v>726</v>
      </c>
      <c r="U111" t="s">
        <v>613</v>
      </c>
    </row>
    <row r="112" spans="2:21" x14ac:dyDescent="0.2">
      <c r="B112" s="110" t="s">
        <v>167</v>
      </c>
      <c r="C112" s="110" t="s">
        <v>168</v>
      </c>
      <c r="D112" s="133">
        <v>-273100</v>
      </c>
      <c r="E112" s="89">
        <v>-307920</v>
      </c>
      <c r="F112" s="145">
        <v>38</v>
      </c>
      <c r="G112" s="145">
        <v>48.100146731576729</v>
      </c>
      <c r="H112" s="121">
        <v>23.599923831730756</v>
      </c>
      <c r="I112" s="113">
        <v>-0.22</v>
      </c>
      <c r="J112" s="89">
        <v>0</v>
      </c>
      <c r="K112" s="89">
        <v>0</v>
      </c>
      <c r="L112" s="89">
        <v>1</v>
      </c>
      <c r="M112" s="89">
        <v>1</v>
      </c>
      <c r="N112" s="113">
        <v>8.2727000000000004</v>
      </c>
      <c r="O112" s="113">
        <v>12.418200000000001</v>
      </c>
      <c r="P112" s="113">
        <v>0.86909999999999998</v>
      </c>
      <c r="Q112" s="113">
        <v>-3.2924000000000002</v>
      </c>
      <c r="R112" s="113">
        <v>17.970800000000001</v>
      </c>
      <c r="S112" s="113">
        <v>1.7726999999999999</v>
      </c>
      <c r="T112" s="150" t="s">
        <v>727</v>
      </c>
      <c r="U112" t="s">
        <v>613</v>
      </c>
    </row>
    <row r="113" spans="2:21" x14ac:dyDescent="0.2">
      <c r="B113" s="110" t="s">
        <v>621</v>
      </c>
      <c r="C113" s="110" t="s">
        <v>620</v>
      </c>
      <c r="D113" s="133">
        <v>-207500</v>
      </c>
      <c r="E113" s="89">
        <v>-230730</v>
      </c>
      <c r="F113" s="145">
        <v>-6.5</v>
      </c>
      <c r="G113" s="145">
        <v>13</v>
      </c>
      <c r="H113" s="121">
        <v>47.5</v>
      </c>
      <c r="I113" s="113">
        <v>0.5</v>
      </c>
      <c r="J113" s="89">
        <v>0</v>
      </c>
      <c r="K113" s="89">
        <v>0</v>
      </c>
      <c r="L113" s="89">
        <v>0</v>
      </c>
      <c r="M113" s="89">
        <v>1</v>
      </c>
      <c r="N113" s="113">
        <v>4.2849573925202957</v>
      </c>
      <c r="O113" s="113">
        <v>-0.20343174155179186</v>
      </c>
      <c r="P113" s="113">
        <v>5.0086763366992475</v>
      </c>
      <c r="Q113" s="113">
        <v>-2.7705901318042487</v>
      </c>
      <c r="R113" s="113">
        <v>38.610949840585718</v>
      </c>
      <c r="S113" s="113">
        <v>6.6411499999999988</v>
      </c>
      <c r="T113" s="150" t="s">
        <v>706</v>
      </c>
      <c r="U113" t="s">
        <v>613</v>
      </c>
    </row>
    <row r="114" spans="2:21" x14ac:dyDescent="0.2">
      <c r="B114" s="110" t="s">
        <v>169</v>
      </c>
      <c r="C114" s="110" t="s">
        <v>170</v>
      </c>
      <c r="D114" s="133">
        <v>-170790</v>
      </c>
      <c r="E114" s="89">
        <v>-216620</v>
      </c>
      <c r="F114" s="145">
        <v>-0.4</v>
      </c>
      <c r="G114" s="145">
        <v>13.000048067928327</v>
      </c>
      <c r="H114" s="121">
        <v>-51.800257961551424</v>
      </c>
      <c r="I114" s="113">
        <v>3.2197</v>
      </c>
      <c r="J114" s="89">
        <v>-2</v>
      </c>
      <c r="K114" s="89">
        <v>0</v>
      </c>
      <c r="L114" s="89">
        <v>1</v>
      </c>
      <c r="M114" s="89">
        <v>1</v>
      </c>
      <c r="N114" s="113">
        <v>4.6321000000000003</v>
      </c>
      <c r="O114" s="113">
        <v>3.5287999999999999</v>
      </c>
      <c r="P114" s="113">
        <v>4.3630000000000004</v>
      </c>
      <c r="Q114" s="113">
        <v>-2.9249000000000001</v>
      </c>
      <c r="R114" s="113">
        <v>5.4710000000000001</v>
      </c>
      <c r="S114" s="113">
        <v>-13.5863</v>
      </c>
      <c r="T114" s="150" t="s">
        <v>726</v>
      </c>
      <c r="U114" t="s">
        <v>613</v>
      </c>
    </row>
    <row r="115" spans="2:21" x14ac:dyDescent="0.2">
      <c r="B115" s="110" t="s">
        <v>171</v>
      </c>
      <c r="C115" s="110" t="s">
        <v>172</v>
      </c>
      <c r="D115" s="133">
        <v>-30410</v>
      </c>
      <c r="E115" s="89">
        <v>-42054</v>
      </c>
      <c r="F115" s="145">
        <v>3.2</v>
      </c>
      <c r="G115" s="145">
        <v>15</v>
      </c>
      <c r="H115" s="121">
        <v>39</v>
      </c>
      <c r="I115" s="113">
        <v>-0.2</v>
      </c>
      <c r="J115" s="89">
        <v>0</v>
      </c>
      <c r="K115" s="89">
        <v>0</v>
      </c>
      <c r="L115" s="89">
        <v>1</v>
      </c>
      <c r="M115" s="89">
        <v>1</v>
      </c>
      <c r="N115" s="113">
        <v>1.2546999999999999</v>
      </c>
      <c r="O115" s="113">
        <v>-4.7176999999999998</v>
      </c>
      <c r="P115" s="113">
        <v>7.6043000000000003</v>
      </c>
      <c r="Q115" s="113">
        <v>-2.5840000000000001</v>
      </c>
      <c r="R115" s="113">
        <v>16.7134</v>
      </c>
      <c r="S115" s="113">
        <v>2.8727</v>
      </c>
      <c r="T115" s="150" t="s">
        <v>797</v>
      </c>
      <c r="U115" t="s">
        <v>613</v>
      </c>
    </row>
    <row r="116" spans="2:21" x14ac:dyDescent="0.2">
      <c r="B116" s="110" t="s">
        <v>728</v>
      </c>
      <c r="C116" s="110" t="s">
        <v>729</v>
      </c>
      <c r="D116" s="133">
        <v>28600</v>
      </c>
      <c r="E116" s="89">
        <v>26500</v>
      </c>
      <c r="F116" s="145">
        <v>29.8</v>
      </c>
      <c r="G116" s="145">
        <v>45.9</v>
      </c>
      <c r="H116" s="121">
        <v>40.700000000000003</v>
      </c>
      <c r="I116" s="113">
        <v>-0.1113</v>
      </c>
      <c r="J116" s="89">
        <v>0</v>
      </c>
      <c r="K116" s="89">
        <v>0</v>
      </c>
      <c r="L116" s="89">
        <v>1</v>
      </c>
      <c r="M116" s="89">
        <v>1</v>
      </c>
      <c r="N116" s="113">
        <v>8.0083000000000002</v>
      </c>
      <c r="O116" s="113">
        <v>11.7705</v>
      </c>
      <c r="P116" s="113">
        <v>1.1286</v>
      </c>
      <c r="Q116" s="113">
        <v>-3.2654999999999998</v>
      </c>
      <c r="R116" s="113">
        <v>28.9941</v>
      </c>
      <c r="S116" s="113">
        <v>5.2560000000000002</v>
      </c>
      <c r="T116" s="150" t="s">
        <v>717</v>
      </c>
      <c r="U116" t="s">
        <v>613</v>
      </c>
    </row>
    <row r="117" spans="2:21" x14ac:dyDescent="0.2">
      <c r="B117" s="110" t="s">
        <v>173</v>
      </c>
      <c r="C117" s="110" t="s">
        <v>174</v>
      </c>
      <c r="D117" s="133">
        <v>-140282</v>
      </c>
      <c r="E117" s="89">
        <v>-164898</v>
      </c>
      <c r="F117" s="145">
        <v>23.53</v>
      </c>
      <c r="G117" s="145">
        <v>24.2</v>
      </c>
      <c r="H117" s="121">
        <v>-8.5</v>
      </c>
      <c r="I117" s="113">
        <v>1.2733000000000001</v>
      </c>
      <c r="J117" s="89">
        <v>-1</v>
      </c>
      <c r="K117" s="89">
        <v>0</v>
      </c>
      <c r="L117" s="89">
        <v>0</v>
      </c>
      <c r="M117" s="89">
        <v>0</v>
      </c>
      <c r="N117" s="113">
        <v>7.65</v>
      </c>
      <c r="O117" s="113">
        <v>0.92</v>
      </c>
      <c r="P117" s="113">
        <v>0.6</v>
      </c>
      <c r="Q117" s="113">
        <v>-2.82</v>
      </c>
      <c r="R117" s="113">
        <v>11</v>
      </c>
      <c r="S117" s="113">
        <v>-3.8</v>
      </c>
      <c r="T117" s="150" t="s">
        <v>716</v>
      </c>
      <c r="U117" t="s">
        <v>613</v>
      </c>
    </row>
    <row r="118" spans="2:21" x14ac:dyDescent="0.2">
      <c r="B118" s="110" t="s">
        <v>175</v>
      </c>
      <c r="C118" s="110" t="s">
        <v>176</v>
      </c>
      <c r="D118" s="133">
        <v>-182800</v>
      </c>
      <c r="E118" s="89">
        <v>-209900</v>
      </c>
      <c r="F118" s="145">
        <v>44</v>
      </c>
      <c r="G118" s="145">
        <v>44.0002332549264</v>
      </c>
      <c r="H118" s="121">
        <v>20.400388815708865</v>
      </c>
      <c r="I118" s="113">
        <v>0.96220000000000006</v>
      </c>
      <c r="J118" s="89">
        <v>-1</v>
      </c>
      <c r="K118" s="89">
        <v>0</v>
      </c>
      <c r="L118" s="89">
        <v>1</v>
      </c>
      <c r="M118" s="89">
        <v>1</v>
      </c>
      <c r="N118" s="113">
        <v>8.1112000000000002</v>
      </c>
      <c r="O118" s="113">
        <v>12.023899999999999</v>
      </c>
      <c r="P118" s="113">
        <v>1.0241</v>
      </c>
      <c r="Q118" s="113">
        <v>-3.2761</v>
      </c>
      <c r="R118" s="113">
        <v>26.987200000000001</v>
      </c>
      <c r="S118" s="113">
        <v>1.1209</v>
      </c>
      <c r="T118" s="150" t="s">
        <v>726</v>
      </c>
      <c r="U118" t="s">
        <v>613</v>
      </c>
    </row>
    <row r="119" spans="2:21" x14ac:dyDescent="0.2">
      <c r="B119" s="110" t="s">
        <v>198</v>
      </c>
      <c r="C119" s="110" t="s">
        <v>199</v>
      </c>
      <c r="D119" s="133">
        <v>4658</v>
      </c>
      <c r="E119" s="89">
        <v>-150</v>
      </c>
      <c r="F119" s="145">
        <v>14.02</v>
      </c>
      <c r="G119" s="145">
        <v>13.000157183830472</v>
      </c>
      <c r="H119" s="121">
        <v>37.299860902056452</v>
      </c>
      <c r="I119" s="113">
        <v>-0.21229999999999999</v>
      </c>
      <c r="J119" s="89">
        <v>0</v>
      </c>
      <c r="K119" s="89">
        <v>0</v>
      </c>
      <c r="L119" s="89">
        <v>0</v>
      </c>
      <c r="M119" s="89">
        <v>0</v>
      </c>
      <c r="N119" s="113">
        <v>3.4722</v>
      </c>
      <c r="O119" s="113">
        <v>0.69669999999999999</v>
      </c>
      <c r="P119" s="113">
        <v>5.4762000000000004</v>
      </c>
      <c r="Q119" s="113">
        <v>-2.8077999999999999</v>
      </c>
      <c r="R119" s="113">
        <v>26.070699999999999</v>
      </c>
      <c r="S119" s="113">
        <v>4.5633999999999997</v>
      </c>
      <c r="T119" s="150" t="s">
        <v>707</v>
      </c>
      <c r="U119" t="s">
        <v>613</v>
      </c>
    </row>
    <row r="120" spans="2:21" x14ac:dyDescent="0.2">
      <c r="B120" s="110" t="s">
        <v>488</v>
      </c>
      <c r="C120" s="110" t="s">
        <v>254</v>
      </c>
      <c r="D120" s="133">
        <v>4420</v>
      </c>
      <c r="E120" s="89">
        <v>-47400</v>
      </c>
      <c r="F120" s="145">
        <v>53.2</v>
      </c>
      <c r="G120" s="145">
        <v>114</v>
      </c>
      <c r="H120" s="121">
        <v>158</v>
      </c>
      <c r="I120" s="113">
        <v>-0.47</v>
      </c>
      <c r="J120" s="89">
        <v>0</v>
      </c>
      <c r="K120" s="89">
        <v>0</v>
      </c>
      <c r="L120" s="89">
        <v>0</v>
      </c>
      <c r="M120" s="89">
        <v>0</v>
      </c>
      <c r="N120" s="113">
        <v>23.434902251030923</v>
      </c>
      <c r="O120" s="113">
        <v>18.029215438124901</v>
      </c>
      <c r="P120" s="113">
        <v>-10.279225537286145</v>
      </c>
      <c r="Q120" s="113">
        <v>-3.5243277662120835</v>
      </c>
      <c r="R120" s="113">
        <v>108</v>
      </c>
      <c r="S120" s="113">
        <v>23</v>
      </c>
      <c r="T120" s="150" t="s">
        <v>710</v>
      </c>
      <c r="U120" t="s">
        <v>613</v>
      </c>
    </row>
    <row r="121" spans="2:21" x14ac:dyDescent="0.2">
      <c r="B121" s="110" t="s">
        <v>794</v>
      </c>
      <c r="C121" s="110" t="s">
        <v>796</v>
      </c>
      <c r="D121" s="133">
        <v>-94400</v>
      </c>
      <c r="E121" s="89"/>
      <c r="F121" s="145">
        <v>-15</v>
      </c>
      <c r="G121" s="145">
        <v>20</v>
      </c>
      <c r="H121" s="121">
        <v>22</v>
      </c>
      <c r="I121" s="113"/>
      <c r="J121" s="89">
        <v>-1</v>
      </c>
      <c r="K121" s="89">
        <v>1</v>
      </c>
      <c r="L121" s="89">
        <v>1</v>
      </c>
      <c r="M121" s="89">
        <v>1</v>
      </c>
      <c r="N121" s="113"/>
      <c r="O121" s="113"/>
      <c r="P121" s="113"/>
      <c r="Q121" s="113"/>
      <c r="R121" s="113"/>
      <c r="S121" s="113"/>
      <c r="T121" s="150" t="s">
        <v>792</v>
      </c>
      <c r="U121" t="s">
        <v>613</v>
      </c>
    </row>
    <row r="122" spans="2:21" x14ac:dyDescent="0.2">
      <c r="B122" s="110" t="s">
        <v>200</v>
      </c>
      <c r="C122" s="110" t="s">
        <v>201</v>
      </c>
      <c r="D122" s="133">
        <v>39360</v>
      </c>
      <c r="E122" s="89">
        <v>40670</v>
      </c>
      <c r="F122" s="145">
        <v>-8.68</v>
      </c>
      <c r="G122" s="145">
        <v>-19.600010995812212</v>
      </c>
      <c r="H122" s="121">
        <v>2.1994628605957036</v>
      </c>
      <c r="I122" s="113">
        <v>1.1512</v>
      </c>
      <c r="J122" s="89">
        <v>2</v>
      </c>
      <c r="K122" s="89">
        <v>0</v>
      </c>
      <c r="L122" s="89">
        <v>1</v>
      </c>
      <c r="M122" s="89">
        <v>0</v>
      </c>
      <c r="N122" s="113">
        <v>-0.52800000000000002</v>
      </c>
      <c r="O122" s="113">
        <v>-9.0707000000000004</v>
      </c>
      <c r="P122" s="113">
        <v>9.3152000000000008</v>
      </c>
      <c r="Q122" s="113">
        <v>-2.4039999999999999</v>
      </c>
      <c r="R122" s="113">
        <v>18.061299999999999</v>
      </c>
      <c r="S122" s="113">
        <v>-2.5865</v>
      </c>
      <c r="T122" s="150" t="s">
        <v>720</v>
      </c>
      <c r="U122" t="s">
        <v>613</v>
      </c>
    </row>
    <row r="123" spans="2:21" x14ac:dyDescent="0.2">
      <c r="B123" s="110" t="s">
        <v>202</v>
      </c>
      <c r="C123" s="110" t="s">
        <v>203</v>
      </c>
      <c r="D123" s="133">
        <v>36710</v>
      </c>
      <c r="E123" s="89">
        <v>39870</v>
      </c>
      <c r="F123" s="145">
        <v>-15.66</v>
      </c>
      <c r="G123" s="145">
        <v>14.399640599138547</v>
      </c>
      <c r="H123" s="121">
        <v>17.099656390904919</v>
      </c>
      <c r="I123" s="113">
        <v>0.82010000000000005</v>
      </c>
      <c r="J123" s="89">
        <v>2</v>
      </c>
      <c r="K123" s="89">
        <v>0</v>
      </c>
      <c r="L123" s="89">
        <v>1</v>
      </c>
      <c r="M123" s="89">
        <v>1</v>
      </c>
      <c r="N123" s="113">
        <v>4.0125999999999999</v>
      </c>
      <c r="O123" s="113">
        <v>2.0164</v>
      </c>
      <c r="P123" s="113">
        <v>4.9574999999999996</v>
      </c>
      <c r="Q123" s="113">
        <v>-2.8624000000000001</v>
      </c>
      <c r="R123" s="113">
        <v>23.743300000000001</v>
      </c>
      <c r="S123" s="113">
        <v>0.44869999999999999</v>
      </c>
      <c r="T123" s="150" t="s">
        <v>726</v>
      </c>
      <c r="U123" t="s">
        <v>613</v>
      </c>
    </row>
    <row r="124" spans="2:21" x14ac:dyDescent="0.2">
      <c r="B124" s="110" t="s">
        <v>204</v>
      </c>
      <c r="C124" s="110" t="s">
        <v>205</v>
      </c>
      <c r="D124" s="133">
        <v>-161400</v>
      </c>
      <c r="E124" s="89">
        <v>-169000</v>
      </c>
      <c r="F124" s="145">
        <v>-54.3</v>
      </c>
      <c r="G124" s="145">
        <v>-41.599744425547541</v>
      </c>
      <c r="H124" s="121">
        <v>-33.299886150392481</v>
      </c>
      <c r="I124" s="113">
        <v>2.3898999999999999</v>
      </c>
      <c r="J124" s="89">
        <v>3</v>
      </c>
      <c r="K124" s="89">
        <v>0</v>
      </c>
      <c r="L124" s="89">
        <v>1</v>
      </c>
      <c r="M124" s="89">
        <v>0</v>
      </c>
      <c r="N124" s="113">
        <v>-3.1198000000000001</v>
      </c>
      <c r="O124" s="113">
        <v>-15.3992</v>
      </c>
      <c r="P124" s="113">
        <v>11.8026</v>
      </c>
      <c r="Q124" s="113">
        <v>-2.1423999999999999</v>
      </c>
      <c r="R124" s="113">
        <v>8.6685999999999996</v>
      </c>
      <c r="S124" s="113">
        <v>-9.8178000000000001</v>
      </c>
      <c r="T124" s="150" t="s">
        <v>720</v>
      </c>
      <c r="U124" t="s">
        <v>613</v>
      </c>
    </row>
    <row r="125" spans="2:21" x14ac:dyDescent="0.2">
      <c r="B125" s="110" t="s">
        <v>177</v>
      </c>
      <c r="C125" s="110" t="s">
        <v>178</v>
      </c>
      <c r="D125" s="133">
        <v>-16100</v>
      </c>
      <c r="E125" s="89">
        <v>-38320</v>
      </c>
      <c r="F125" s="145">
        <v>5.7</v>
      </c>
      <c r="G125" s="145">
        <v>5.6999261368646055</v>
      </c>
      <c r="H125" s="121">
        <v>-30.199670685852247</v>
      </c>
      <c r="I125" s="113">
        <v>1.5448999999999999</v>
      </c>
      <c r="J125" s="89">
        <v>-1</v>
      </c>
      <c r="K125" s="89">
        <v>0</v>
      </c>
      <c r="L125" s="89">
        <v>1</v>
      </c>
      <c r="M125" s="89">
        <v>1</v>
      </c>
      <c r="N125" s="113">
        <v>3.0670999999999999</v>
      </c>
      <c r="O125" s="113">
        <v>-0.29239999999999999</v>
      </c>
      <c r="P125" s="113">
        <v>5.8648999999999996</v>
      </c>
      <c r="Q125" s="113">
        <v>-2.7669000000000001</v>
      </c>
      <c r="R125" s="113">
        <v>2.7006999999999999</v>
      </c>
      <c r="S125" s="113">
        <v>-9.1862999999999992</v>
      </c>
      <c r="T125" s="150" t="s">
        <v>726</v>
      </c>
      <c r="U125" t="s">
        <v>613</v>
      </c>
    </row>
    <row r="126" spans="2:21" x14ac:dyDescent="0.2">
      <c r="B126" s="110" t="s">
        <v>179</v>
      </c>
      <c r="C126" s="110" t="s">
        <v>180</v>
      </c>
      <c r="D126" s="133">
        <v>-260310</v>
      </c>
      <c r="E126" s="89">
        <v>-308815</v>
      </c>
      <c r="F126" s="145">
        <v>-8</v>
      </c>
      <c r="G126" s="145">
        <v>5.4000453544615912</v>
      </c>
      <c r="H126" s="121">
        <v>-58.300272279877262</v>
      </c>
      <c r="I126" s="113">
        <v>3.3363</v>
      </c>
      <c r="J126" s="89">
        <v>-2</v>
      </c>
      <c r="K126" s="89">
        <v>0</v>
      </c>
      <c r="L126" s="89">
        <v>1</v>
      </c>
      <c r="M126" s="89">
        <v>1</v>
      </c>
      <c r="N126" s="113">
        <v>3.6315</v>
      </c>
      <c r="O126" s="113">
        <v>1.0857000000000001</v>
      </c>
      <c r="P126" s="113">
        <v>5.3232999999999997</v>
      </c>
      <c r="Q126" s="113">
        <v>-2.8239000000000001</v>
      </c>
      <c r="R126" s="113">
        <v>2.7357</v>
      </c>
      <c r="S126" s="113">
        <v>-14.910299999999999</v>
      </c>
      <c r="T126" s="150" t="s">
        <v>726</v>
      </c>
      <c r="U126" t="s">
        <v>613</v>
      </c>
    </row>
    <row r="127" spans="2:21" x14ac:dyDescent="0.2">
      <c r="B127" s="110" t="s">
        <v>181</v>
      </c>
      <c r="C127" s="110" t="s">
        <v>182</v>
      </c>
      <c r="D127" s="133">
        <v>2860</v>
      </c>
      <c r="E127" s="89">
        <v>-3850</v>
      </c>
      <c r="F127" s="145">
        <v>16.3</v>
      </c>
      <c r="G127" s="145">
        <v>20.649993647767907</v>
      </c>
      <c r="H127" s="121">
        <v>-22.596949720221318</v>
      </c>
      <c r="I127" s="113">
        <v>1.4410000000000001</v>
      </c>
      <c r="J127" s="89">
        <v>-1</v>
      </c>
      <c r="K127" s="89">
        <v>0</v>
      </c>
      <c r="L127" s="89">
        <v>1</v>
      </c>
      <c r="M127" s="89">
        <v>1</v>
      </c>
      <c r="N127" s="113">
        <v>5.0118999999999998</v>
      </c>
      <c r="O127" s="113">
        <v>4.9798999999999998</v>
      </c>
      <c r="P127" s="113">
        <v>3.4765000000000001</v>
      </c>
      <c r="Q127" s="113">
        <v>-2.9849000000000001</v>
      </c>
      <c r="R127" s="113">
        <v>3.42</v>
      </c>
      <c r="S127" s="113">
        <v>-6.27</v>
      </c>
      <c r="T127" s="150" t="s">
        <v>855</v>
      </c>
      <c r="U127" t="s">
        <v>613</v>
      </c>
    </row>
    <row r="128" spans="2:21" x14ac:dyDescent="0.2">
      <c r="B128" s="110" t="s">
        <v>189</v>
      </c>
      <c r="C128" s="110" t="s">
        <v>190</v>
      </c>
      <c r="D128" s="133">
        <v>10500</v>
      </c>
      <c r="E128" s="89">
        <v>3800</v>
      </c>
      <c r="F128" s="145">
        <v>19</v>
      </c>
      <c r="G128" s="145">
        <v>18.999925721536577</v>
      </c>
      <c r="H128" s="121">
        <v>-12.600256508131048</v>
      </c>
      <c r="I128" s="113">
        <v>1.3408</v>
      </c>
      <c r="J128" s="89">
        <v>-1</v>
      </c>
      <c r="K128" s="89">
        <v>0</v>
      </c>
      <c r="L128" s="89">
        <v>1</v>
      </c>
      <c r="M128" s="89">
        <v>1</v>
      </c>
      <c r="N128" s="113">
        <v>4.8181000000000003</v>
      </c>
      <c r="O128" s="113">
        <v>3.9830999999999999</v>
      </c>
      <c r="P128" s="113">
        <v>4.1844999999999999</v>
      </c>
      <c r="Q128" s="113">
        <v>-2.9437000000000002</v>
      </c>
      <c r="R128" s="113">
        <v>11.134499999999999</v>
      </c>
      <c r="S128" s="113">
        <v>-5.6012000000000004</v>
      </c>
      <c r="T128" s="150" t="s">
        <v>726</v>
      </c>
      <c r="U128" t="s">
        <v>613</v>
      </c>
    </row>
    <row r="129" spans="2:21" x14ac:dyDescent="0.2">
      <c r="B129" s="110" t="s">
        <v>191</v>
      </c>
      <c r="C129" s="110" t="s">
        <v>192</v>
      </c>
      <c r="D129" s="133">
        <v>-98340</v>
      </c>
      <c r="E129" s="89">
        <v>-122980</v>
      </c>
      <c r="F129" s="145">
        <v>32.299999999999997</v>
      </c>
      <c r="G129" s="145">
        <v>32.300250999119342</v>
      </c>
      <c r="H129" s="121">
        <v>4.9003579478080983</v>
      </c>
      <c r="I129" s="113">
        <v>1.1402000000000001</v>
      </c>
      <c r="J129" s="89">
        <v>-1</v>
      </c>
      <c r="K129" s="89">
        <v>0</v>
      </c>
      <c r="L129" s="89">
        <v>1</v>
      </c>
      <c r="M129" s="89">
        <v>1</v>
      </c>
      <c r="N129" s="113">
        <v>6.5702999999999996</v>
      </c>
      <c r="O129" s="113">
        <v>8.2614999999999998</v>
      </c>
      <c r="P129" s="113">
        <v>2.5028999999999999</v>
      </c>
      <c r="Q129" s="113">
        <v>-3.1204999999999998</v>
      </c>
      <c r="R129" s="113">
        <v>19.543199999999999</v>
      </c>
      <c r="S129" s="113">
        <v>-2.0365000000000002</v>
      </c>
      <c r="T129" s="150" t="s">
        <v>726</v>
      </c>
      <c r="U129" t="s">
        <v>613</v>
      </c>
    </row>
    <row r="130" spans="2:21" x14ac:dyDescent="0.2">
      <c r="B130" s="110" t="s">
        <v>193</v>
      </c>
      <c r="C130" s="110" t="s">
        <v>194</v>
      </c>
      <c r="D130" s="133">
        <v>-108100</v>
      </c>
      <c r="E130" s="89">
        <v>-139000</v>
      </c>
      <c r="F130" s="145">
        <v>35.700000000000003</v>
      </c>
      <c r="G130" s="145">
        <v>30.999945707315852</v>
      </c>
      <c r="H130" s="121">
        <v>-41.900331964839168</v>
      </c>
      <c r="I130" s="113">
        <v>1.0885</v>
      </c>
      <c r="J130" s="89">
        <v>-1</v>
      </c>
      <c r="K130" s="89">
        <v>0</v>
      </c>
      <c r="L130" s="89">
        <v>1</v>
      </c>
      <c r="M130" s="89">
        <v>1</v>
      </c>
      <c r="N130" s="113">
        <v>6.3749000000000002</v>
      </c>
      <c r="O130" s="113">
        <v>7.7843999999999998</v>
      </c>
      <c r="P130" s="113">
        <v>2.6903999999999999</v>
      </c>
      <c r="Q130" s="113">
        <v>-3.1008</v>
      </c>
      <c r="R130" s="113">
        <v>-8.3615999999999993</v>
      </c>
      <c r="S130" s="113">
        <v>-11.569599999999999</v>
      </c>
      <c r="T130" s="150" t="s">
        <v>726</v>
      </c>
      <c r="U130" t="s">
        <v>613</v>
      </c>
    </row>
    <row r="131" spans="2:21" x14ac:dyDescent="0.2">
      <c r="B131" s="110" t="s">
        <v>730</v>
      </c>
      <c r="C131" s="110" t="s">
        <v>195</v>
      </c>
      <c r="D131" s="133">
        <v>-242855</v>
      </c>
      <c r="E131" s="89">
        <v>-276479</v>
      </c>
      <c r="F131" s="145">
        <v>-3.5</v>
      </c>
      <c r="G131" s="145">
        <v>21.2</v>
      </c>
      <c r="H131" s="121">
        <v>16</v>
      </c>
      <c r="I131" s="113">
        <v>1.6820999999999999</v>
      </c>
      <c r="J131" s="89">
        <v>-1</v>
      </c>
      <c r="K131" s="89">
        <v>1</v>
      </c>
      <c r="L131" s="89">
        <v>1</v>
      </c>
      <c r="M131" s="89">
        <v>1</v>
      </c>
      <c r="N131" s="113">
        <v>3.6324999999999998</v>
      </c>
      <c r="O131" s="113">
        <v>1.0891</v>
      </c>
      <c r="P131" s="113">
        <v>5.3190999999999997</v>
      </c>
      <c r="Q131" s="113">
        <v>-2.8239000000000001</v>
      </c>
      <c r="R131" s="113">
        <v>0.43099999999999999</v>
      </c>
      <c r="S131" s="113">
        <v>-9.7566000000000006</v>
      </c>
      <c r="T131" s="150" t="s">
        <v>817</v>
      </c>
      <c r="U131" t="s">
        <v>613</v>
      </c>
    </row>
    <row r="132" spans="2:21" x14ac:dyDescent="0.2">
      <c r="B132" s="110" t="s">
        <v>183</v>
      </c>
      <c r="C132" s="110" t="s">
        <v>184</v>
      </c>
      <c r="D132" s="133">
        <v>-126130</v>
      </c>
      <c r="E132" s="89">
        <v>-149670</v>
      </c>
      <c r="F132" s="145">
        <v>33.4</v>
      </c>
      <c r="G132" s="145">
        <v>33.299883324899049</v>
      </c>
      <c r="H132" s="121">
        <v>-1.4000365092540239</v>
      </c>
      <c r="I132" s="113">
        <v>1.1233</v>
      </c>
      <c r="J132" s="89">
        <v>-1</v>
      </c>
      <c r="K132" s="89">
        <v>0</v>
      </c>
      <c r="L132" s="89">
        <v>0</v>
      </c>
      <c r="M132" s="89">
        <v>0</v>
      </c>
      <c r="N132" s="113">
        <v>6.7013999999999996</v>
      </c>
      <c r="O132" s="113">
        <v>8.5815999999999999</v>
      </c>
      <c r="P132" s="113">
        <v>2.3771</v>
      </c>
      <c r="Q132" s="113">
        <v>-3.1337999999999999</v>
      </c>
      <c r="R132" s="113">
        <v>15.694900000000001</v>
      </c>
      <c r="S132" s="113">
        <v>-3.3197999999999999</v>
      </c>
      <c r="T132" s="150" t="s">
        <v>731</v>
      </c>
      <c r="U132" t="s">
        <v>613</v>
      </c>
    </row>
    <row r="133" spans="2:21" x14ac:dyDescent="0.2">
      <c r="B133" s="110" t="s">
        <v>185</v>
      </c>
      <c r="C133" s="110" t="s">
        <v>186</v>
      </c>
      <c r="D133" s="133">
        <v>-180630</v>
      </c>
      <c r="E133" s="89">
        <v>-212500</v>
      </c>
      <c r="F133" s="145">
        <v>30</v>
      </c>
      <c r="G133" s="145">
        <v>35.199933611817556</v>
      </c>
      <c r="H133" s="121">
        <v>5.3001098441359353</v>
      </c>
      <c r="I133" s="113">
        <v>1.1748000000000001</v>
      </c>
      <c r="J133" s="89">
        <v>-1</v>
      </c>
      <c r="K133" s="89">
        <v>0</v>
      </c>
      <c r="L133" s="89">
        <v>1</v>
      </c>
      <c r="M133" s="89">
        <v>1</v>
      </c>
      <c r="N133" s="113">
        <v>6.9787999999999997</v>
      </c>
      <c r="O133" s="113">
        <v>9.2590000000000003</v>
      </c>
      <c r="P133" s="113">
        <v>2.1107999999999998</v>
      </c>
      <c r="Q133" s="113">
        <v>-3.1617999999999999</v>
      </c>
      <c r="R133" s="113">
        <v>20.0961</v>
      </c>
      <c r="S133" s="113">
        <v>-1.9550000000000001</v>
      </c>
      <c r="T133" s="150" t="s">
        <v>855</v>
      </c>
      <c r="U133" t="s">
        <v>613</v>
      </c>
    </row>
    <row r="134" spans="2:21" x14ac:dyDescent="0.2">
      <c r="B134" s="110" t="s">
        <v>187</v>
      </c>
      <c r="C134" s="110" t="s">
        <v>188</v>
      </c>
      <c r="D134" s="133">
        <v>-152370</v>
      </c>
      <c r="E134" s="89">
        <v>-185380</v>
      </c>
      <c r="F134" s="145">
        <v>50.7</v>
      </c>
      <c r="G134" s="145">
        <v>50.69984077367306</v>
      </c>
      <c r="H134" s="121">
        <v>29.199742106419265</v>
      </c>
      <c r="I134" s="113">
        <v>0.86109999999999998</v>
      </c>
      <c r="J134" s="89">
        <v>-1</v>
      </c>
      <c r="K134" s="89">
        <v>0</v>
      </c>
      <c r="L134" s="89">
        <v>1</v>
      </c>
      <c r="M134" s="89">
        <v>1</v>
      </c>
      <c r="N134" s="113">
        <v>8.9938000000000002</v>
      </c>
      <c r="O134" s="113">
        <v>14.179</v>
      </c>
      <c r="P134" s="113">
        <v>0.17710000000000001</v>
      </c>
      <c r="Q134" s="113">
        <v>-3.3652000000000002</v>
      </c>
      <c r="R134" s="113">
        <v>31.212599999999998</v>
      </c>
      <c r="S134" s="113">
        <v>2.9134000000000002</v>
      </c>
      <c r="T134" s="150" t="s">
        <v>726</v>
      </c>
      <c r="U134" t="s">
        <v>613</v>
      </c>
    </row>
    <row r="135" spans="2:21" x14ac:dyDescent="0.2">
      <c r="B135" s="110" t="s">
        <v>196</v>
      </c>
      <c r="C135" s="110" t="s">
        <v>197</v>
      </c>
      <c r="D135" s="133">
        <v>-233000</v>
      </c>
      <c r="E135" s="89">
        <v>-277000</v>
      </c>
      <c r="F135" s="145">
        <v>4</v>
      </c>
      <c r="G135" s="145">
        <v>17.399862168169946</v>
      </c>
      <c r="H135" s="121">
        <v>-48.299612139683347</v>
      </c>
      <c r="I135" s="113">
        <v>3.1526999999999998</v>
      </c>
      <c r="J135" s="89">
        <v>-2</v>
      </c>
      <c r="K135" s="89">
        <v>0</v>
      </c>
      <c r="L135" s="89">
        <v>1</v>
      </c>
      <c r="M135" s="89">
        <v>1</v>
      </c>
      <c r="N135" s="113">
        <v>5.2115</v>
      </c>
      <c r="O135" s="113">
        <v>4.9436999999999998</v>
      </c>
      <c r="P135" s="113">
        <v>3.8069000000000002</v>
      </c>
      <c r="Q135" s="113">
        <v>-2.9834000000000001</v>
      </c>
      <c r="R135" s="113">
        <v>6.9055</v>
      </c>
      <c r="S135" s="113">
        <v>-12.8733</v>
      </c>
      <c r="T135" s="150" t="s">
        <v>726</v>
      </c>
      <c r="U135" t="s">
        <v>613</v>
      </c>
    </row>
    <row r="136" spans="2:21" x14ac:dyDescent="0.2">
      <c r="B136" s="110" t="s">
        <v>206</v>
      </c>
      <c r="C136" s="110" t="s">
        <v>207</v>
      </c>
      <c r="D136" s="133">
        <v>-12410</v>
      </c>
      <c r="E136" s="89">
        <v>-13600</v>
      </c>
      <c r="F136" s="145">
        <v>25.5</v>
      </c>
      <c r="G136" s="145">
        <v>36.309920432501357</v>
      </c>
      <c r="H136" s="121">
        <v>-28.232573320887433</v>
      </c>
      <c r="I136" s="113">
        <v>1.2934000000000001</v>
      </c>
      <c r="J136" s="89">
        <v>-1</v>
      </c>
      <c r="K136" s="89">
        <v>0</v>
      </c>
      <c r="L136" s="89">
        <v>0</v>
      </c>
      <c r="M136" s="89">
        <v>0</v>
      </c>
      <c r="N136" s="113">
        <v>7.7622999999999998</v>
      </c>
      <c r="O136" s="113">
        <v>8.2761999999999993</v>
      </c>
      <c r="P136" s="113">
        <v>1.4609000000000001</v>
      </c>
      <c r="Q136" s="113">
        <v>-3.1211000000000002</v>
      </c>
      <c r="R136" s="113">
        <v>-6.27</v>
      </c>
      <c r="S136" s="113">
        <v>-4.944</v>
      </c>
      <c r="T136" s="150" t="s">
        <v>715</v>
      </c>
      <c r="U136" t="s">
        <v>613</v>
      </c>
    </row>
    <row r="137" spans="2:21" x14ac:dyDescent="0.2">
      <c r="B137" s="110" t="s">
        <v>209</v>
      </c>
      <c r="C137" s="110" t="s">
        <v>210</v>
      </c>
      <c r="D137" s="133">
        <v>-23400</v>
      </c>
      <c r="E137" s="89">
        <v>-25000</v>
      </c>
      <c r="F137" s="145">
        <v>-63</v>
      </c>
      <c r="G137" s="145">
        <v>-42.199861621477424</v>
      </c>
      <c r="H137" s="121">
        <v>-34.900243873903435</v>
      </c>
      <c r="I137" s="113">
        <v>2.5003000000000002</v>
      </c>
      <c r="J137" s="89">
        <v>3</v>
      </c>
      <c r="K137" s="89">
        <v>0</v>
      </c>
      <c r="L137" s="89">
        <v>1</v>
      </c>
      <c r="M137" s="89">
        <v>0</v>
      </c>
      <c r="N137" s="113">
        <v>-3.1646000000000001</v>
      </c>
      <c r="O137" s="113">
        <v>-15.508599999999999</v>
      </c>
      <c r="P137" s="113">
        <v>11.845599999999999</v>
      </c>
      <c r="Q137" s="113">
        <v>-2.1379000000000001</v>
      </c>
      <c r="R137" s="113">
        <v>8.7476000000000003</v>
      </c>
      <c r="S137" s="113">
        <v>-10.143700000000001</v>
      </c>
      <c r="T137" s="150" t="s">
        <v>720</v>
      </c>
      <c r="U137" t="s">
        <v>613</v>
      </c>
    </row>
    <row r="138" spans="2:21" x14ac:dyDescent="0.2">
      <c r="B138" s="110" t="s">
        <v>776</v>
      </c>
      <c r="C138" s="110" t="s">
        <v>777</v>
      </c>
      <c r="D138" s="133">
        <v>36</v>
      </c>
      <c r="E138" s="89">
        <v>-36230</v>
      </c>
      <c r="F138" s="145">
        <v>40.020000000000003</v>
      </c>
      <c r="G138" s="145">
        <v>82.8</v>
      </c>
      <c r="H138" s="121">
        <v>133.9</v>
      </c>
      <c r="I138" s="113">
        <v>-0.3</v>
      </c>
      <c r="J138" s="89">
        <v>0</v>
      </c>
      <c r="K138" s="89">
        <v>0</v>
      </c>
      <c r="L138" s="89">
        <v>0</v>
      </c>
      <c r="M138" s="89">
        <v>0</v>
      </c>
      <c r="N138" s="113">
        <v>17.46</v>
      </c>
      <c r="O138" s="113">
        <v>12.34</v>
      </c>
      <c r="P138" s="113">
        <v>-5.51</v>
      </c>
      <c r="Q138" s="113">
        <v>-3.29</v>
      </c>
      <c r="R138" s="113">
        <v>92.3</v>
      </c>
      <c r="S138" s="113">
        <v>19.12</v>
      </c>
      <c r="T138" s="150" t="s">
        <v>778</v>
      </c>
      <c r="U138" t="s">
        <v>613</v>
      </c>
    </row>
    <row r="139" spans="2:21" x14ac:dyDescent="0.2">
      <c r="B139" s="110" t="s">
        <v>211</v>
      </c>
      <c r="C139" s="110" t="s">
        <v>212</v>
      </c>
      <c r="D139" s="133">
        <v>-67510</v>
      </c>
      <c r="E139" s="89">
        <v>-60270</v>
      </c>
      <c r="F139" s="145">
        <v>24.15</v>
      </c>
      <c r="G139" s="145">
        <v>9.0680195409697575</v>
      </c>
      <c r="H139" s="121">
        <v>1.9851991702956326</v>
      </c>
      <c r="I139" s="113">
        <v>0.19270000000000001</v>
      </c>
      <c r="J139" s="89">
        <v>1</v>
      </c>
      <c r="K139" s="89">
        <v>0</v>
      </c>
      <c r="L139" s="89">
        <v>0</v>
      </c>
      <c r="M139" s="89">
        <v>0</v>
      </c>
      <c r="N139" s="113">
        <v>3.5590000000000002</v>
      </c>
      <c r="O139" s="113">
        <v>-1.4730000000000001</v>
      </c>
      <c r="P139" s="113">
        <v>5.4349999999999996</v>
      </c>
      <c r="Q139" s="113">
        <v>-2.7120000000000002</v>
      </c>
      <c r="R139" s="113">
        <v>7.4</v>
      </c>
      <c r="S139" s="113">
        <v>-1.7909999999999999</v>
      </c>
      <c r="T139" s="150" t="s">
        <v>715</v>
      </c>
      <c r="U139" t="s">
        <v>613</v>
      </c>
    </row>
    <row r="140" spans="2:21" x14ac:dyDescent="0.2">
      <c r="B140" s="110" t="s">
        <v>213</v>
      </c>
      <c r="C140" s="110" t="s">
        <v>214</v>
      </c>
      <c r="D140" s="133">
        <v>-98850</v>
      </c>
      <c r="E140" s="89"/>
      <c r="F140" s="145">
        <v>34</v>
      </c>
      <c r="G140" s="145">
        <v>34</v>
      </c>
      <c r="H140" s="121">
        <v>-1.5</v>
      </c>
      <c r="I140" s="113">
        <v>0.1</v>
      </c>
      <c r="J140" s="89">
        <v>0</v>
      </c>
      <c r="K140" s="89">
        <v>0</v>
      </c>
      <c r="L140" s="89">
        <v>1</v>
      </c>
      <c r="M140" s="89">
        <v>1</v>
      </c>
      <c r="N140" s="113">
        <v>4.3479999999999999</v>
      </c>
      <c r="O140" s="113">
        <v>2.8353999999999999</v>
      </c>
      <c r="P140" s="113">
        <v>4.6356000000000002</v>
      </c>
      <c r="Q140" s="113">
        <v>-2.8961999999999999</v>
      </c>
      <c r="R140" s="113">
        <v>-2.4988999999999999</v>
      </c>
      <c r="S140" s="113">
        <v>-5.8863000000000003</v>
      </c>
      <c r="T140" s="150" t="s">
        <v>798</v>
      </c>
      <c r="U140" t="s">
        <v>613</v>
      </c>
    </row>
    <row r="141" spans="2:21" x14ac:dyDescent="0.2">
      <c r="B141" s="110" t="s">
        <v>663</v>
      </c>
      <c r="C141" s="110" t="s">
        <v>664</v>
      </c>
      <c r="D141" s="133">
        <v>-102800</v>
      </c>
      <c r="E141" s="89">
        <v>-180000</v>
      </c>
      <c r="F141" s="145">
        <v>36.299999999999997</v>
      </c>
      <c r="G141" s="145">
        <v>20.3</v>
      </c>
      <c r="H141" s="121">
        <v>-6.5</v>
      </c>
      <c r="I141" s="113">
        <v>0.48</v>
      </c>
      <c r="J141" s="89">
        <v>0</v>
      </c>
      <c r="K141" s="89">
        <v>0</v>
      </c>
      <c r="L141" s="89">
        <v>1</v>
      </c>
      <c r="M141" s="89">
        <v>1</v>
      </c>
      <c r="N141" s="113">
        <v>5.9071999999999996</v>
      </c>
      <c r="O141" s="113">
        <v>1.3411</v>
      </c>
      <c r="P141" s="113">
        <v>3.7136</v>
      </c>
      <c r="Q141" s="113">
        <v>-2.8344</v>
      </c>
      <c r="R141" s="113">
        <v>1.9399</v>
      </c>
      <c r="S141" s="113">
        <v>-5.7846000000000002</v>
      </c>
      <c r="T141" s="150" t="s">
        <v>732</v>
      </c>
      <c r="U141" t="s">
        <v>613</v>
      </c>
    </row>
    <row r="142" spans="2:21" x14ac:dyDescent="0.2">
      <c r="B142" s="110" t="s">
        <v>217</v>
      </c>
      <c r="C142" s="110" t="s">
        <v>218</v>
      </c>
      <c r="D142" s="133">
        <v>3554</v>
      </c>
      <c r="E142" s="89">
        <v>-3650</v>
      </c>
      <c r="F142" s="145">
        <v>15.06</v>
      </c>
      <c r="G142" s="145">
        <v>33.500341404615675</v>
      </c>
      <c r="H142" s="121">
        <v>57.600252151490054</v>
      </c>
      <c r="I142" s="113">
        <v>-0.2281</v>
      </c>
      <c r="J142" s="89">
        <v>0</v>
      </c>
      <c r="K142" s="89">
        <v>0</v>
      </c>
      <c r="L142" s="89">
        <v>0</v>
      </c>
      <c r="M142" s="89">
        <v>0</v>
      </c>
      <c r="N142" s="113">
        <v>6.2721</v>
      </c>
      <c r="O142" s="113">
        <v>7.5332999999999997</v>
      </c>
      <c r="P142" s="113">
        <v>2.7890999999999999</v>
      </c>
      <c r="Q142" s="113">
        <v>-3.0903999999999998</v>
      </c>
      <c r="R142" s="113">
        <v>37.822600000000001</v>
      </c>
      <c r="S142" s="113">
        <v>8.6984999999999992</v>
      </c>
      <c r="T142" s="150" t="s">
        <v>707</v>
      </c>
      <c r="U142" t="s">
        <v>613</v>
      </c>
    </row>
    <row r="143" spans="2:21" x14ac:dyDescent="0.2">
      <c r="B143" s="110" t="s">
        <v>215</v>
      </c>
      <c r="C143" s="110" t="s">
        <v>216</v>
      </c>
      <c r="D143" s="133">
        <v>-246570</v>
      </c>
      <c r="E143" s="89">
        <v>-276980</v>
      </c>
      <c r="F143" s="145">
        <v>34</v>
      </c>
      <c r="G143" s="145">
        <v>50.7</v>
      </c>
      <c r="H143" s="121">
        <v>-22</v>
      </c>
      <c r="I143" s="113">
        <v>1.0995999999999999</v>
      </c>
      <c r="J143" s="89">
        <v>-1</v>
      </c>
      <c r="K143" s="89">
        <v>0</v>
      </c>
      <c r="L143" s="89">
        <v>1</v>
      </c>
      <c r="M143" s="89">
        <v>1</v>
      </c>
      <c r="N143" s="113">
        <v>6.0776000000000003</v>
      </c>
      <c r="O143" s="113">
        <v>7.0570000000000004</v>
      </c>
      <c r="P143" s="113">
        <v>2.9790999999999999</v>
      </c>
      <c r="Q143" s="113">
        <v>-3.0706000000000002</v>
      </c>
      <c r="R143" s="113">
        <v>9.8501999999999992</v>
      </c>
      <c r="S143" s="113">
        <v>-5.2751999999999999</v>
      </c>
      <c r="T143" s="150" t="s">
        <v>733</v>
      </c>
      <c r="U143" t="s">
        <v>613</v>
      </c>
    </row>
    <row r="144" spans="2:21" x14ac:dyDescent="0.2">
      <c r="B144" s="110" t="s">
        <v>224</v>
      </c>
      <c r="C144" s="110" t="s">
        <v>225</v>
      </c>
      <c r="D144" s="133">
        <v>-164000</v>
      </c>
      <c r="E144" s="89">
        <v>-169600</v>
      </c>
      <c r="F144" s="145">
        <v>-52</v>
      </c>
      <c r="G144" s="145">
        <v>-38.599928869122692</v>
      </c>
      <c r="H144" s="121">
        <v>-37.199558100287987</v>
      </c>
      <c r="I144" s="113">
        <v>2.1572</v>
      </c>
      <c r="J144" s="89">
        <v>3</v>
      </c>
      <c r="K144" s="89">
        <v>0</v>
      </c>
      <c r="L144" s="89">
        <v>1</v>
      </c>
      <c r="M144" s="89">
        <v>0</v>
      </c>
      <c r="N144" s="113">
        <v>-2.7879999999999998</v>
      </c>
      <c r="O144" s="113">
        <v>-14.382400000000001</v>
      </c>
      <c r="P144" s="113">
        <v>10.9602</v>
      </c>
      <c r="Q144" s="113">
        <v>-2.1844000000000001</v>
      </c>
      <c r="R144" s="113">
        <v>4.2393999999999998</v>
      </c>
      <c r="S144" s="113">
        <v>-10.6122</v>
      </c>
      <c r="T144" s="150" t="s">
        <v>720</v>
      </c>
      <c r="U144" t="s">
        <v>613</v>
      </c>
    </row>
    <row r="145" spans="2:21" x14ac:dyDescent="0.2">
      <c r="B145" s="110" t="s">
        <v>219</v>
      </c>
      <c r="C145" s="110" t="s">
        <v>220</v>
      </c>
      <c r="D145" s="133">
        <v>-122530</v>
      </c>
      <c r="E145" s="89">
        <v>-164070</v>
      </c>
      <c r="F145" s="145">
        <v>31.9</v>
      </c>
      <c r="G145" s="145">
        <v>56.249903920926513</v>
      </c>
      <c r="H145" s="121">
        <v>26.699595257885552</v>
      </c>
      <c r="I145" s="113">
        <v>1.1469</v>
      </c>
      <c r="J145" s="89">
        <v>-1</v>
      </c>
      <c r="K145" s="89">
        <v>0</v>
      </c>
      <c r="L145" s="89">
        <v>1</v>
      </c>
      <c r="M145" s="89">
        <v>0</v>
      </c>
      <c r="N145" s="113">
        <v>9.8498000000000001</v>
      </c>
      <c r="O145" s="113">
        <v>12.824400000000001</v>
      </c>
      <c r="P145" s="113">
        <v>8.0990000000000002</v>
      </c>
      <c r="Q145" s="113">
        <v>-3.3090999999999999</v>
      </c>
      <c r="R145" s="113">
        <v>44.951799999999999</v>
      </c>
      <c r="S145" s="113">
        <v>-3.7823000000000002</v>
      </c>
      <c r="T145" s="150" t="s">
        <v>724</v>
      </c>
      <c r="U145" t="s">
        <v>613</v>
      </c>
    </row>
    <row r="146" spans="2:21" x14ac:dyDescent="0.2">
      <c r="B146" s="110" t="s">
        <v>221</v>
      </c>
      <c r="C146" s="110" t="s">
        <v>222</v>
      </c>
      <c r="D146" s="133">
        <v>-127800</v>
      </c>
      <c r="E146" s="89">
        <v>-164000</v>
      </c>
      <c r="F146" s="145">
        <v>49.8</v>
      </c>
      <c r="G146" s="145">
        <v>69.379922065364269</v>
      </c>
      <c r="H146" s="121">
        <v>66.699728810552728</v>
      </c>
      <c r="I146" s="113">
        <v>-0.25719999999999998</v>
      </c>
      <c r="J146" s="89">
        <v>0</v>
      </c>
      <c r="K146" s="89">
        <v>0</v>
      </c>
      <c r="L146" s="89">
        <v>1</v>
      </c>
      <c r="M146" s="89">
        <v>1</v>
      </c>
      <c r="N146" s="113">
        <v>11.172000000000001</v>
      </c>
      <c r="O146" s="113">
        <v>17.243200000000002</v>
      </c>
      <c r="P146" s="113">
        <v>3.8083</v>
      </c>
      <c r="Q146" s="113">
        <v>-3.4916999999999998</v>
      </c>
      <c r="R146" s="113">
        <v>61.0199</v>
      </c>
      <c r="S146" s="113">
        <v>1.629</v>
      </c>
      <c r="T146" s="150" t="s">
        <v>721</v>
      </c>
      <c r="U146" t="s">
        <v>613</v>
      </c>
    </row>
    <row r="147" spans="2:21" x14ac:dyDescent="0.2">
      <c r="B147" s="110" t="s">
        <v>223</v>
      </c>
      <c r="C147" s="110" t="s">
        <v>208</v>
      </c>
      <c r="D147" s="133">
        <v>-82000</v>
      </c>
      <c r="E147" s="89">
        <v>-151070</v>
      </c>
      <c r="F147" s="145">
        <v>51.5</v>
      </c>
      <c r="G147" s="145">
        <v>107.56995202352142</v>
      </c>
      <c r="H147" s="121">
        <v>95.099952456452726</v>
      </c>
      <c r="I147" s="113">
        <v>-0.43990000000000001</v>
      </c>
      <c r="J147" s="89">
        <v>0</v>
      </c>
      <c r="K147" s="89">
        <v>0</v>
      </c>
      <c r="L147" s="89">
        <v>1</v>
      </c>
      <c r="M147" s="89">
        <v>1</v>
      </c>
      <c r="N147" s="113">
        <v>16.336200000000002</v>
      </c>
      <c r="O147" s="113">
        <v>24.531199999999998</v>
      </c>
      <c r="P147" s="113">
        <v>12.358700000000001</v>
      </c>
      <c r="Q147" s="113">
        <v>-3.7930000000000001</v>
      </c>
      <c r="R147" s="113">
        <v>86.221400000000003</v>
      </c>
      <c r="S147" s="113">
        <v>2.3748</v>
      </c>
      <c r="T147" s="150" t="s">
        <v>721</v>
      </c>
      <c r="U147" t="s">
        <v>613</v>
      </c>
    </row>
    <row r="148" spans="2:21" x14ac:dyDescent="0.2">
      <c r="B148" s="110" t="s">
        <v>226</v>
      </c>
      <c r="C148" s="110" t="s">
        <v>227</v>
      </c>
      <c r="D148" s="133">
        <v>-69933</v>
      </c>
      <c r="E148" s="89">
        <v>-66552</v>
      </c>
      <c r="F148" s="145">
        <v>2.7</v>
      </c>
      <c r="G148" s="145">
        <v>-0.87011783134525389</v>
      </c>
      <c r="H148" s="121">
        <v>14.23301610203459</v>
      </c>
      <c r="I148" s="113">
        <v>0.48620000000000002</v>
      </c>
      <c r="J148" s="89">
        <v>1</v>
      </c>
      <c r="K148" s="89">
        <v>0</v>
      </c>
      <c r="L148" s="89">
        <v>0</v>
      </c>
      <c r="M148" s="89">
        <v>0</v>
      </c>
      <c r="N148" s="113">
        <v>-2.3699999999999999E-2</v>
      </c>
      <c r="O148" s="113">
        <v>-6.9000000000000006E-2</v>
      </c>
      <c r="P148" s="113">
        <v>11.58</v>
      </c>
      <c r="Q148" s="113">
        <v>-2.7761</v>
      </c>
      <c r="R148" s="113">
        <v>19.2</v>
      </c>
      <c r="S148" s="113">
        <v>-0.24</v>
      </c>
      <c r="T148" s="150" t="s">
        <v>715</v>
      </c>
      <c r="U148" t="s">
        <v>613</v>
      </c>
    </row>
    <row r="149" spans="2:21" x14ac:dyDescent="0.2">
      <c r="B149" s="110" t="s">
        <v>228</v>
      </c>
      <c r="C149" s="110" t="s">
        <v>229</v>
      </c>
      <c r="D149" s="133">
        <v>-159400</v>
      </c>
      <c r="E149" s="89">
        <v>-167900</v>
      </c>
      <c r="F149" s="145">
        <v>-63.1</v>
      </c>
      <c r="G149" s="145">
        <v>-45.000161448395531</v>
      </c>
      <c r="H149" s="121">
        <v>-32.800059266082989</v>
      </c>
      <c r="I149" s="113">
        <v>2.4554</v>
      </c>
      <c r="J149" s="89">
        <v>3</v>
      </c>
      <c r="K149" s="89">
        <v>0</v>
      </c>
      <c r="L149" s="89">
        <v>1</v>
      </c>
      <c r="M149" s="89">
        <v>0</v>
      </c>
      <c r="N149" s="113">
        <v>-3.5630000000000002</v>
      </c>
      <c r="O149" s="113">
        <v>-16.481200000000001</v>
      </c>
      <c r="P149" s="113">
        <v>12.2279</v>
      </c>
      <c r="Q149" s="113">
        <v>-2.0977000000000001</v>
      </c>
      <c r="R149" s="113">
        <v>9.5649999999999995</v>
      </c>
      <c r="S149" s="113">
        <v>-9.7159999999999993</v>
      </c>
      <c r="T149" s="150" t="s">
        <v>734</v>
      </c>
      <c r="U149" t="s">
        <v>613</v>
      </c>
    </row>
    <row r="150" spans="2:21" x14ac:dyDescent="0.2">
      <c r="B150" s="110" t="s">
        <v>230</v>
      </c>
      <c r="C150" s="110" t="s">
        <v>231</v>
      </c>
      <c r="D150" s="133">
        <v>-8234</v>
      </c>
      <c r="E150" s="89">
        <v>-21010</v>
      </c>
      <c r="F150" s="145">
        <v>20.99</v>
      </c>
      <c r="G150" s="145">
        <v>36</v>
      </c>
      <c r="H150" s="121">
        <v>60.2</v>
      </c>
      <c r="I150" s="113">
        <v>-0.4</v>
      </c>
      <c r="J150" s="89">
        <v>0</v>
      </c>
      <c r="K150" s="89">
        <v>0</v>
      </c>
      <c r="L150" s="89">
        <v>0</v>
      </c>
      <c r="M150" s="89">
        <v>0</v>
      </c>
      <c r="N150" s="113">
        <v>8.32</v>
      </c>
      <c r="O150" s="113">
        <v>3.64</v>
      </c>
      <c r="P150" s="113">
        <v>1.79</v>
      </c>
      <c r="Q150" s="113">
        <v>-2.93</v>
      </c>
      <c r="R150" s="113">
        <v>40.9</v>
      </c>
      <c r="S150" s="113">
        <v>6.45</v>
      </c>
      <c r="T150" s="150" t="s">
        <v>710</v>
      </c>
      <c r="U150" t="s">
        <v>613</v>
      </c>
    </row>
    <row r="151" spans="2:21" x14ac:dyDescent="0.2">
      <c r="B151" s="110" t="s">
        <v>232</v>
      </c>
      <c r="C151" s="110" t="s">
        <v>233</v>
      </c>
      <c r="D151" s="133">
        <v>-42050</v>
      </c>
      <c r="E151" s="89">
        <v>-58870</v>
      </c>
      <c r="F151" s="145">
        <v>31.6</v>
      </c>
      <c r="G151" s="145">
        <v>38.169919033536047</v>
      </c>
      <c r="H151" s="121">
        <v>37.799712377171822</v>
      </c>
      <c r="I151" s="113">
        <v>-0.15</v>
      </c>
      <c r="J151" s="89">
        <v>0</v>
      </c>
      <c r="K151" s="89">
        <v>0</v>
      </c>
      <c r="L151" s="89">
        <v>0</v>
      </c>
      <c r="M151" s="89">
        <v>0</v>
      </c>
      <c r="N151" s="113">
        <v>8.4</v>
      </c>
      <c r="O151" s="113">
        <v>4.0999999999999996</v>
      </c>
      <c r="P151" s="113">
        <v>-0.24</v>
      </c>
      <c r="Q151" s="113">
        <v>-1.43</v>
      </c>
      <c r="R151" s="113">
        <v>34.4</v>
      </c>
      <c r="S151" s="113">
        <v>0.96</v>
      </c>
      <c r="T151" s="150" t="s">
        <v>702</v>
      </c>
      <c r="U151" t="s">
        <v>613</v>
      </c>
    </row>
    <row r="152" spans="2:21" x14ac:dyDescent="0.2">
      <c r="B152" s="110" t="s">
        <v>234</v>
      </c>
      <c r="C152" s="110" t="s">
        <v>235</v>
      </c>
      <c r="D152" s="133">
        <v>-250280</v>
      </c>
      <c r="E152" s="89">
        <v>-275750</v>
      </c>
      <c r="F152" s="145">
        <v>-5</v>
      </c>
      <c r="G152" s="145">
        <v>25.9</v>
      </c>
      <c r="H152" s="121">
        <v>59</v>
      </c>
      <c r="I152" s="113">
        <v>0.62739999999999996</v>
      </c>
      <c r="J152" s="89">
        <v>1</v>
      </c>
      <c r="K152" s="89">
        <v>1</v>
      </c>
      <c r="L152" s="89">
        <v>1</v>
      </c>
      <c r="M152" s="89">
        <v>1</v>
      </c>
      <c r="N152" s="113">
        <v>6.85</v>
      </c>
      <c r="O152" s="113">
        <v>2.2400000000000002</v>
      </c>
      <c r="P152" s="113">
        <v>2.96</v>
      </c>
      <c r="Q152" s="113">
        <v>-2.87</v>
      </c>
      <c r="R152" s="113">
        <v>46.52</v>
      </c>
      <c r="S152" s="113">
        <v>8.98</v>
      </c>
      <c r="T152" s="150" t="s">
        <v>763</v>
      </c>
      <c r="U152" t="s">
        <v>613</v>
      </c>
    </row>
    <row r="153" spans="2:21" x14ac:dyDescent="0.2">
      <c r="B153" s="110" t="s">
        <v>736</v>
      </c>
      <c r="C153" s="110" t="s">
        <v>737</v>
      </c>
      <c r="D153" s="133">
        <v>-353025</v>
      </c>
      <c r="E153" s="89">
        <v>-385700</v>
      </c>
      <c r="F153" s="145">
        <v>-23.78</v>
      </c>
      <c r="G153" s="145">
        <v>2.5</v>
      </c>
      <c r="H153" s="121">
        <v>37.82</v>
      </c>
      <c r="I153" s="113">
        <v>0.91769999999999996</v>
      </c>
      <c r="J153" s="89">
        <v>1</v>
      </c>
      <c r="K153" s="89">
        <v>1</v>
      </c>
      <c r="L153" s="89">
        <v>1</v>
      </c>
      <c r="M153" s="89">
        <v>1</v>
      </c>
      <c r="N153" s="113">
        <v>0.62890000000000001</v>
      </c>
      <c r="O153" s="113">
        <v>-6.2427999999999999</v>
      </c>
      <c r="P153" s="113">
        <v>8.1966999999999999</v>
      </c>
      <c r="Q153" s="113">
        <v>-2.5209000000000001</v>
      </c>
      <c r="R153" s="113">
        <v>36.788200000000003</v>
      </c>
      <c r="S153" s="113">
        <v>4.6702000000000004</v>
      </c>
      <c r="T153" s="150" t="s">
        <v>738</v>
      </c>
      <c r="U153" t="s">
        <v>613</v>
      </c>
    </row>
    <row r="154" spans="2:21" x14ac:dyDescent="0.2">
      <c r="B154" s="110" t="s">
        <v>816</v>
      </c>
      <c r="C154" s="110" t="s">
        <v>810</v>
      </c>
      <c r="D154" s="133">
        <v>-454300</v>
      </c>
      <c r="E154" s="89">
        <v>-479123</v>
      </c>
      <c r="F154" s="145">
        <v>48</v>
      </c>
      <c r="G154" s="145">
        <v>53.5</v>
      </c>
      <c r="H154" s="121">
        <v>78.5</v>
      </c>
      <c r="I154" s="113">
        <v>-0.17519999999999999</v>
      </c>
      <c r="J154" s="89">
        <v>1</v>
      </c>
      <c r="K154" s="89">
        <v>1</v>
      </c>
      <c r="L154" s="89">
        <v>1</v>
      </c>
      <c r="M154" s="89">
        <v>1</v>
      </c>
      <c r="N154" s="113"/>
      <c r="O154" s="113"/>
      <c r="P154" s="113"/>
      <c r="Q154" s="113"/>
      <c r="R154" s="113"/>
      <c r="S154" s="113"/>
      <c r="T154" s="150" t="s">
        <v>817</v>
      </c>
      <c r="U154" t="s">
        <v>613</v>
      </c>
    </row>
    <row r="155" spans="2:21" x14ac:dyDescent="0.2">
      <c r="B155" s="110" t="s">
        <v>236</v>
      </c>
      <c r="C155" s="110" t="s">
        <v>237</v>
      </c>
      <c r="D155" s="133">
        <v>-108505</v>
      </c>
      <c r="E155" s="89">
        <v>-111367</v>
      </c>
      <c r="F155" s="145">
        <v>-33</v>
      </c>
      <c r="G155" s="145">
        <v>-21.543104970647136</v>
      </c>
      <c r="H155" s="121">
        <v>-5.3350914017007991</v>
      </c>
      <c r="I155" s="113">
        <v>1.5371999999999999</v>
      </c>
      <c r="J155" s="89">
        <v>2</v>
      </c>
      <c r="K155" s="89">
        <v>0</v>
      </c>
      <c r="L155" s="89">
        <v>0</v>
      </c>
      <c r="M155" s="89">
        <v>0</v>
      </c>
      <c r="N155" s="113">
        <v>-0.82169999999999999</v>
      </c>
      <c r="O155" s="113">
        <v>-8.5990000000000002</v>
      </c>
      <c r="P155" s="113">
        <v>8.39</v>
      </c>
      <c r="Q155" s="113">
        <v>-2.39</v>
      </c>
      <c r="R155" s="113">
        <v>20.8</v>
      </c>
      <c r="S155" s="113">
        <v>-5.8920000000000003</v>
      </c>
      <c r="T155" s="150" t="s">
        <v>715</v>
      </c>
      <c r="U155" t="s">
        <v>613</v>
      </c>
    </row>
    <row r="156" spans="2:21" x14ac:dyDescent="0.2">
      <c r="B156" s="110" t="s">
        <v>240</v>
      </c>
      <c r="C156" s="110" t="s">
        <v>241</v>
      </c>
      <c r="D156" s="133">
        <v>-139700</v>
      </c>
      <c r="E156" s="89">
        <v>-150933</v>
      </c>
      <c r="F156" s="145">
        <v>-19</v>
      </c>
      <c r="G156" s="145">
        <v>1.3</v>
      </c>
      <c r="H156" s="121">
        <v>25</v>
      </c>
      <c r="I156" s="113">
        <v>0.84489999999999998</v>
      </c>
      <c r="J156" s="89">
        <v>1</v>
      </c>
      <c r="K156" s="89">
        <v>0</v>
      </c>
      <c r="L156" s="89">
        <v>0</v>
      </c>
      <c r="M156" s="89">
        <v>0</v>
      </c>
      <c r="N156" s="113">
        <v>3.21</v>
      </c>
      <c r="O156" s="113">
        <v>-4.92</v>
      </c>
      <c r="P156" s="113">
        <v>6.27</v>
      </c>
      <c r="Q156" s="113">
        <v>-2.58</v>
      </c>
      <c r="R156" s="113">
        <v>28.6</v>
      </c>
      <c r="S156" s="113">
        <v>2.0579999999999998</v>
      </c>
      <c r="T156" s="150" t="s">
        <v>735</v>
      </c>
      <c r="U156" t="s">
        <v>613</v>
      </c>
    </row>
    <row r="157" spans="2:21" x14ac:dyDescent="0.2">
      <c r="B157" s="110" t="s">
        <v>238</v>
      </c>
      <c r="C157" s="110" t="s">
        <v>239</v>
      </c>
      <c r="D157" s="133">
        <v>-238760</v>
      </c>
      <c r="E157" s="89">
        <v>-270570</v>
      </c>
      <c r="F157" s="145">
        <v>-24</v>
      </c>
      <c r="G157" s="145">
        <v>17.899999999999999</v>
      </c>
      <c r="H157" s="121">
        <v>-24.8</v>
      </c>
      <c r="I157" s="113">
        <v>0.3</v>
      </c>
      <c r="J157" s="89">
        <v>0</v>
      </c>
      <c r="K157" s="89">
        <v>0</v>
      </c>
      <c r="L157" s="89">
        <v>1</v>
      </c>
      <c r="M157" s="89">
        <v>1</v>
      </c>
      <c r="N157" s="113">
        <v>5.14</v>
      </c>
      <c r="O157" s="113">
        <v>0.61</v>
      </c>
      <c r="P157" s="113">
        <v>4.33</v>
      </c>
      <c r="Q157" s="113">
        <v>-2.8</v>
      </c>
      <c r="R157" s="113">
        <v>-5.6</v>
      </c>
      <c r="S157" s="113">
        <v>-8.09</v>
      </c>
      <c r="T157" s="150" t="s">
        <v>764</v>
      </c>
      <c r="U157" t="s">
        <v>613</v>
      </c>
    </row>
    <row r="158" spans="2:21" x14ac:dyDescent="0.2">
      <c r="B158" s="110" t="s">
        <v>811</v>
      </c>
      <c r="C158" s="110" t="s">
        <v>811</v>
      </c>
      <c r="D158" s="133">
        <v>-137500</v>
      </c>
      <c r="E158" s="89">
        <v>-139804</v>
      </c>
      <c r="F158" s="145">
        <v>24.6</v>
      </c>
      <c r="G158" s="145">
        <v>6.2</v>
      </c>
      <c r="H158" s="121">
        <v>-24.5</v>
      </c>
      <c r="I158" s="113">
        <v>0.3</v>
      </c>
      <c r="J158" s="89">
        <v>0</v>
      </c>
      <c r="K158" s="89">
        <v>0</v>
      </c>
      <c r="L158" s="89">
        <v>1</v>
      </c>
      <c r="M158" s="89">
        <v>1</v>
      </c>
      <c r="N158" s="113"/>
      <c r="O158" s="113"/>
      <c r="P158" s="113"/>
      <c r="Q158" s="113"/>
      <c r="R158" s="113"/>
      <c r="S158" s="113"/>
      <c r="T158" s="229" t="s">
        <v>817</v>
      </c>
      <c r="U158" t="s">
        <v>613</v>
      </c>
    </row>
    <row r="159" spans="2:21" x14ac:dyDescent="0.2">
      <c r="B159" s="110" t="s">
        <v>489</v>
      </c>
      <c r="C159" s="110" t="s">
        <v>490</v>
      </c>
      <c r="D159" s="133">
        <v>-149225</v>
      </c>
      <c r="E159" s="89">
        <v>-152955</v>
      </c>
      <c r="F159" s="145">
        <v>-18</v>
      </c>
      <c r="G159" s="145">
        <v>2</v>
      </c>
      <c r="H159" s="121">
        <v>40</v>
      </c>
      <c r="I159" s="113">
        <v>0.84489999999999998</v>
      </c>
      <c r="J159" s="89">
        <v>1</v>
      </c>
      <c r="K159" s="89">
        <v>0</v>
      </c>
      <c r="L159" s="89">
        <v>1</v>
      </c>
      <c r="M159" s="89">
        <v>1</v>
      </c>
      <c r="N159" s="113">
        <v>2.3105000000000002</v>
      </c>
      <c r="O159" s="113">
        <v>-2.1364999999999998</v>
      </c>
      <c r="P159" s="113">
        <v>6.5827</v>
      </c>
      <c r="Q159" s="113">
        <v>-2.6905999999999999</v>
      </c>
      <c r="R159" s="113">
        <v>32.000799999999998</v>
      </c>
      <c r="S159" s="113">
        <v>3.2393999999999998</v>
      </c>
      <c r="T159" s="150" t="s">
        <v>818</v>
      </c>
      <c r="U159" t="s">
        <v>613</v>
      </c>
    </row>
    <row r="160" spans="2:21" x14ac:dyDescent="0.2">
      <c r="B160" s="110" t="s">
        <v>491</v>
      </c>
      <c r="C160" s="110" t="s">
        <v>492</v>
      </c>
      <c r="D160" s="133">
        <v>-289449</v>
      </c>
      <c r="E160" s="89">
        <v>-327449</v>
      </c>
      <c r="F160" s="145">
        <v>-1</v>
      </c>
      <c r="G160" s="145">
        <v>35</v>
      </c>
      <c r="H160" s="121">
        <v>20</v>
      </c>
      <c r="I160" s="113">
        <v>0.05</v>
      </c>
      <c r="J160" s="89">
        <v>0</v>
      </c>
      <c r="K160" s="89">
        <v>0</v>
      </c>
      <c r="L160" s="89">
        <v>1</v>
      </c>
      <c r="M160" s="89">
        <v>1</v>
      </c>
      <c r="N160" s="113">
        <v>1.9369000000000001</v>
      </c>
      <c r="O160" s="113">
        <v>-3.0547</v>
      </c>
      <c r="P160" s="113">
        <v>6.9554</v>
      </c>
      <c r="Q160" s="113">
        <v>-2.6526000000000001</v>
      </c>
      <c r="R160" s="113">
        <v>-6.8390000000000004</v>
      </c>
      <c r="S160" s="113">
        <v>-7.4588999999999999</v>
      </c>
      <c r="T160" s="150" t="s">
        <v>739</v>
      </c>
      <c r="U160" t="s">
        <v>613</v>
      </c>
    </row>
    <row r="161" spans="2:21" x14ac:dyDescent="0.2">
      <c r="B161" s="110" t="s">
        <v>242</v>
      </c>
      <c r="C161" s="110" t="s">
        <v>243</v>
      </c>
      <c r="D161" s="133">
        <v>-54500</v>
      </c>
      <c r="E161" s="89">
        <v>-52724</v>
      </c>
      <c r="F161" s="145">
        <v>-17.600000000000001</v>
      </c>
      <c r="G161" s="145">
        <v>-17.099974699534506</v>
      </c>
      <c r="H161" s="121">
        <v>-4.0999095569664199</v>
      </c>
      <c r="I161" s="113">
        <v>1.4006000000000001</v>
      </c>
      <c r="J161" s="89">
        <v>2</v>
      </c>
      <c r="K161" s="89">
        <v>0</v>
      </c>
      <c r="L161" s="89">
        <v>1</v>
      </c>
      <c r="M161" s="89">
        <v>1</v>
      </c>
      <c r="N161" s="113">
        <v>-0.1016</v>
      </c>
      <c r="O161" s="113">
        <v>-8.0295000000000005</v>
      </c>
      <c r="P161" s="113">
        <v>8.9060000000000006</v>
      </c>
      <c r="Q161" s="113">
        <v>-2.4470999999999998</v>
      </c>
      <c r="R161" s="113">
        <v>16.667400000000001</v>
      </c>
      <c r="S161" s="113">
        <v>-3.8698000000000001</v>
      </c>
      <c r="T161" s="150" t="s">
        <v>720</v>
      </c>
      <c r="U161" t="s">
        <v>613</v>
      </c>
    </row>
    <row r="162" spans="2:21" x14ac:dyDescent="0.2">
      <c r="B162" s="110" t="s">
        <v>244</v>
      </c>
      <c r="C162" s="110" t="s">
        <v>245</v>
      </c>
      <c r="D162" s="133">
        <v>-86290</v>
      </c>
      <c r="E162" s="89">
        <v>-88280</v>
      </c>
      <c r="F162" s="145">
        <v>12</v>
      </c>
      <c r="G162" s="145">
        <v>6.3</v>
      </c>
      <c r="H162" s="121">
        <v>24.629583311974685</v>
      </c>
      <c r="I162" s="113">
        <v>0.36859999999999998</v>
      </c>
      <c r="J162" s="89">
        <v>1</v>
      </c>
      <c r="K162" s="89">
        <v>0</v>
      </c>
      <c r="L162" s="89">
        <v>1</v>
      </c>
      <c r="M162" s="89">
        <v>1</v>
      </c>
      <c r="N162" s="113">
        <v>2.9405000000000001</v>
      </c>
      <c r="O162" s="113">
        <v>-0.59850000000000003</v>
      </c>
      <c r="P162" s="113">
        <v>5.9783999999999997</v>
      </c>
      <c r="Q162" s="113">
        <v>-2.7542</v>
      </c>
      <c r="R162" s="113">
        <v>23.9968</v>
      </c>
      <c r="S162" s="113">
        <v>1.9824999999999999</v>
      </c>
      <c r="T162" s="150" t="s">
        <v>740</v>
      </c>
      <c r="U162" t="s">
        <v>613</v>
      </c>
    </row>
    <row r="163" spans="2:21" x14ac:dyDescent="0.2">
      <c r="B163" s="110" t="s">
        <v>246</v>
      </c>
      <c r="C163" s="110" t="s">
        <v>247</v>
      </c>
      <c r="D163" s="133">
        <v>-106900</v>
      </c>
      <c r="E163" s="89">
        <v>-129400</v>
      </c>
      <c r="F163" s="145">
        <v>45.7</v>
      </c>
      <c r="G163" s="145">
        <v>41.999968542567288</v>
      </c>
      <c r="H163" s="121">
        <v>-1.7996587690818622</v>
      </c>
      <c r="I163" s="113">
        <v>0.93679999999999997</v>
      </c>
      <c r="J163" s="89">
        <v>-1</v>
      </c>
      <c r="K163" s="89">
        <v>0</v>
      </c>
      <c r="L163" s="89">
        <v>1</v>
      </c>
      <c r="M163" s="89">
        <v>0</v>
      </c>
      <c r="N163" s="113">
        <v>7.8289</v>
      </c>
      <c r="O163" s="113">
        <v>11.3346</v>
      </c>
      <c r="P163" s="113">
        <v>1.2949999999999999</v>
      </c>
      <c r="Q163" s="113">
        <v>-3.2475999999999998</v>
      </c>
      <c r="R163" s="113">
        <v>13.742699999999999</v>
      </c>
      <c r="S163" s="113">
        <v>-3.4013</v>
      </c>
      <c r="T163" s="150" t="s">
        <v>734</v>
      </c>
      <c r="U163" t="s">
        <v>613</v>
      </c>
    </row>
    <row r="164" spans="2:21" x14ac:dyDescent="0.2">
      <c r="B164" s="110" t="s">
        <v>248</v>
      </c>
      <c r="C164" s="110" t="s">
        <v>249</v>
      </c>
      <c r="D164" s="133">
        <v>-119700</v>
      </c>
      <c r="E164" s="89">
        <v>-156000</v>
      </c>
      <c r="F164" s="145">
        <v>14</v>
      </c>
      <c r="G164" s="145">
        <v>27.399796901522667</v>
      </c>
      <c r="H164" s="121">
        <v>-59.30044503679666</v>
      </c>
      <c r="I164" s="113">
        <v>3.0024000000000002</v>
      </c>
      <c r="J164" s="89">
        <v>-2</v>
      </c>
      <c r="K164" s="89">
        <v>0</v>
      </c>
      <c r="L164" s="89">
        <v>1</v>
      </c>
      <c r="M164" s="89">
        <v>0</v>
      </c>
      <c r="N164" s="113">
        <v>6.5290999999999997</v>
      </c>
      <c r="O164" s="113">
        <v>8.1608999999999998</v>
      </c>
      <c r="P164" s="113">
        <v>2.5424000000000002</v>
      </c>
      <c r="Q164" s="113">
        <v>-3.1164000000000001</v>
      </c>
      <c r="R164" s="113">
        <v>-0.92669999999999997</v>
      </c>
      <c r="S164" s="113">
        <v>-15.114000000000001</v>
      </c>
      <c r="T164" s="150" t="s">
        <v>734</v>
      </c>
      <c r="U164" t="s">
        <v>613</v>
      </c>
    </row>
    <row r="165" spans="2:21" x14ac:dyDescent="0.2">
      <c r="B165" s="110" t="s">
        <v>250</v>
      </c>
      <c r="C165" s="110" t="s">
        <v>251</v>
      </c>
      <c r="D165" s="133">
        <v>-235640</v>
      </c>
      <c r="E165" s="89">
        <v>-266750</v>
      </c>
      <c r="F165" s="145">
        <v>5</v>
      </c>
      <c r="G165" s="145">
        <v>29.2</v>
      </c>
      <c r="H165" s="121">
        <v>-21.479758479807018</v>
      </c>
      <c r="I165" s="113">
        <v>-3.7999999999999999E-2</v>
      </c>
      <c r="J165" s="89">
        <v>0</v>
      </c>
      <c r="K165" s="89">
        <v>0</v>
      </c>
      <c r="L165" s="89">
        <v>1</v>
      </c>
      <c r="M165" s="89">
        <v>1</v>
      </c>
      <c r="N165" s="113">
        <v>2.3241999999999998</v>
      </c>
      <c r="O165" s="113">
        <v>-2.1038000000000001</v>
      </c>
      <c r="P165" s="113">
        <v>6.5702999999999996</v>
      </c>
      <c r="Q165" s="113">
        <v>-2.6919</v>
      </c>
      <c r="R165" s="113">
        <v>-6.7720000000000002</v>
      </c>
      <c r="S165" s="113">
        <v>-7.41</v>
      </c>
      <c r="T165" s="150" t="s">
        <v>740</v>
      </c>
      <c r="U165" t="s">
        <v>613</v>
      </c>
    </row>
    <row r="166" spans="2:21" x14ac:dyDescent="0.2">
      <c r="B166" s="110" t="s">
        <v>252</v>
      </c>
      <c r="C166" s="110" t="s">
        <v>253</v>
      </c>
      <c r="D166" s="133">
        <v>-199900</v>
      </c>
      <c r="E166" s="89">
        <v>-238500</v>
      </c>
      <c r="F166" s="145">
        <v>6.5</v>
      </c>
      <c r="G166" s="145">
        <v>30.400121462842691</v>
      </c>
      <c r="H166" s="121">
        <v>-47.499549868027678</v>
      </c>
      <c r="I166" s="113">
        <v>3.1145</v>
      </c>
      <c r="J166" s="89">
        <v>-2</v>
      </c>
      <c r="K166" s="89">
        <v>0</v>
      </c>
      <c r="L166" s="89">
        <v>1</v>
      </c>
      <c r="M166" s="89">
        <v>0</v>
      </c>
      <c r="N166" s="113">
        <v>6.9775</v>
      </c>
      <c r="O166" s="113">
        <v>9.2559000000000005</v>
      </c>
      <c r="P166" s="113">
        <v>2.1120999999999999</v>
      </c>
      <c r="Q166" s="113">
        <v>-3.1616</v>
      </c>
      <c r="R166" s="113">
        <v>7.0224000000000002</v>
      </c>
      <c r="S166" s="113">
        <v>-12.7103</v>
      </c>
      <c r="T166" s="150" t="s">
        <v>734</v>
      </c>
      <c r="U166" t="s">
        <v>613</v>
      </c>
    </row>
    <row r="167" spans="2:21" x14ac:dyDescent="0.2">
      <c r="B167" s="110" t="s">
        <v>255</v>
      </c>
      <c r="C167" s="110" t="s">
        <v>256</v>
      </c>
      <c r="D167" s="133">
        <v>4347</v>
      </c>
      <c r="E167" s="89">
        <v>-2495</v>
      </c>
      <c r="F167" s="145">
        <v>22.9</v>
      </c>
      <c r="G167" s="145">
        <v>33.300234717032126</v>
      </c>
      <c r="H167" s="121">
        <v>56.000054926479109</v>
      </c>
      <c r="I167" s="113">
        <v>-0.3468</v>
      </c>
      <c r="J167" s="89">
        <v>0</v>
      </c>
      <c r="K167" s="89">
        <v>0</v>
      </c>
      <c r="L167" s="89">
        <v>1</v>
      </c>
      <c r="M167" s="89">
        <v>1</v>
      </c>
      <c r="N167" s="113">
        <v>6.2046000000000001</v>
      </c>
      <c r="O167" s="113">
        <v>7.3685</v>
      </c>
      <c r="P167" s="113">
        <v>2.8538999999999999</v>
      </c>
      <c r="Q167" s="113">
        <v>-3.0836000000000001</v>
      </c>
      <c r="R167" s="113">
        <v>35.7911</v>
      </c>
      <c r="S167" s="113">
        <v>8.3726000000000003</v>
      </c>
      <c r="T167" s="150" t="s">
        <v>741</v>
      </c>
      <c r="U167" t="s">
        <v>613</v>
      </c>
    </row>
    <row r="168" spans="2:21" x14ac:dyDescent="0.2">
      <c r="B168" s="110" t="s">
        <v>774</v>
      </c>
      <c r="C168" s="110" t="s">
        <v>772</v>
      </c>
      <c r="D168" s="133">
        <v>-150720</v>
      </c>
      <c r="E168" s="89">
        <v>-173540</v>
      </c>
      <c r="F168" s="145">
        <v>34.200000000000003</v>
      </c>
      <c r="G168" s="145">
        <v>49</v>
      </c>
      <c r="H168" s="121">
        <v>75.099999999999994</v>
      </c>
      <c r="I168" s="113">
        <v>0.3</v>
      </c>
      <c r="J168" s="89">
        <v>0</v>
      </c>
      <c r="K168" s="89">
        <v>0</v>
      </c>
      <c r="L168" s="89">
        <v>1</v>
      </c>
      <c r="M168" s="89">
        <v>1</v>
      </c>
      <c r="N168" s="113"/>
      <c r="O168" s="113"/>
      <c r="P168" s="113"/>
      <c r="Q168" s="113"/>
      <c r="R168" s="113"/>
      <c r="S168" s="113"/>
      <c r="T168" s="150" t="s">
        <v>775</v>
      </c>
      <c r="U168" t="s">
        <v>613</v>
      </c>
    </row>
    <row r="169" spans="2:21" x14ac:dyDescent="0.2">
      <c r="B169" s="110" t="s">
        <v>771</v>
      </c>
      <c r="C169" s="110" t="s">
        <v>773</v>
      </c>
      <c r="D169" s="133">
        <v>-238470</v>
      </c>
      <c r="E169" s="89">
        <v>-292400</v>
      </c>
      <c r="F169" s="145">
        <v>44</v>
      </c>
      <c r="G169" s="145">
        <v>103.2</v>
      </c>
      <c r="H169" s="121">
        <v>170</v>
      </c>
      <c r="I169" s="113">
        <v>0.96279999999999999</v>
      </c>
      <c r="J169" s="89">
        <v>-1</v>
      </c>
      <c r="K169" s="89">
        <v>1</v>
      </c>
      <c r="L169" s="89">
        <v>1</v>
      </c>
      <c r="M169" s="89">
        <v>1</v>
      </c>
      <c r="N169" s="113"/>
      <c r="O169" s="113"/>
      <c r="P169" s="113"/>
      <c r="Q169" s="113"/>
      <c r="R169" s="113"/>
      <c r="S169" s="113"/>
      <c r="T169" s="150" t="s">
        <v>775</v>
      </c>
      <c r="U169" t="s">
        <v>613</v>
      </c>
    </row>
    <row r="170" spans="2:21" x14ac:dyDescent="0.2">
      <c r="B170" s="110" t="s">
        <v>864</v>
      </c>
      <c r="C170" s="110" t="s">
        <v>865</v>
      </c>
      <c r="D170" s="133">
        <v>-244000</v>
      </c>
      <c r="E170" s="89">
        <v>-271575</v>
      </c>
      <c r="F170" s="145">
        <v>37</v>
      </c>
      <c r="G170" s="145">
        <v>47.7</v>
      </c>
      <c r="H170" s="121">
        <v>73.5</v>
      </c>
      <c r="I170" s="113">
        <v>-0.04</v>
      </c>
      <c r="J170" s="89">
        <v>0</v>
      </c>
      <c r="K170" s="89">
        <v>0</v>
      </c>
      <c r="L170" s="89">
        <v>1</v>
      </c>
      <c r="M170" s="89">
        <v>1</v>
      </c>
      <c r="N170" s="113"/>
      <c r="O170" s="113"/>
      <c r="P170" s="113"/>
      <c r="Q170" s="113"/>
      <c r="R170" s="113"/>
      <c r="S170" s="113"/>
      <c r="T170" s="150" t="s">
        <v>855</v>
      </c>
      <c r="U170" t="s">
        <v>613</v>
      </c>
    </row>
    <row r="171" spans="2:21" x14ac:dyDescent="0.2">
      <c r="B171" s="110" t="s">
        <v>265</v>
      </c>
      <c r="C171" s="110" t="s">
        <v>266</v>
      </c>
      <c r="D171" s="133">
        <v>-62591</v>
      </c>
      <c r="E171" s="89">
        <v>-57433</v>
      </c>
      <c r="F171" s="145">
        <v>13.96</v>
      </c>
      <c r="G171" s="145">
        <v>-1.1068086918389906</v>
      </c>
      <c r="H171" s="121">
        <v>9.0765525990088101</v>
      </c>
      <c r="I171" s="113">
        <v>0.3306</v>
      </c>
      <c r="J171" s="89">
        <v>1</v>
      </c>
      <c r="K171" s="89">
        <v>0</v>
      </c>
      <c r="L171" s="89">
        <v>0</v>
      </c>
      <c r="M171" s="89">
        <v>0</v>
      </c>
      <c r="N171" s="113">
        <v>1.839</v>
      </c>
      <c r="O171" s="113">
        <v>-2.2850000000000001</v>
      </c>
      <c r="P171" s="113">
        <v>3.2559999999999998</v>
      </c>
      <c r="Q171" s="113">
        <v>-2.726</v>
      </c>
      <c r="R171" s="113">
        <v>18.18</v>
      </c>
      <c r="S171" s="113">
        <v>-2.9809999999999999</v>
      </c>
      <c r="T171" s="150" t="s">
        <v>715</v>
      </c>
      <c r="U171" t="s">
        <v>613</v>
      </c>
    </row>
    <row r="172" spans="2:21" x14ac:dyDescent="0.2">
      <c r="B172" s="110" t="s">
        <v>860</v>
      </c>
      <c r="C172" s="110" t="s">
        <v>861</v>
      </c>
      <c r="D172" s="133">
        <v>-305500</v>
      </c>
      <c r="E172" s="89">
        <v>-279585</v>
      </c>
      <c r="F172" s="145">
        <v>27</v>
      </c>
      <c r="G172" s="145">
        <v>54</v>
      </c>
      <c r="H172" s="121">
        <v>95</v>
      </c>
      <c r="I172" s="113">
        <v>0.3</v>
      </c>
      <c r="J172" s="89">
        <v>0</v>
      </c>
      <c r="K172" s="89">
        <v>0</v>
      </c>
      <c r="L172" s="89">
        <v>1</v>
      </c>
      <c r="M172" s="89">
        <v>1</v>
      </c>
      <c r="N172" s="113"/>
      <c r="O172" s="113"/>
      <c r="P172" s="113"/>
      <c r="Q172" s="113"/>
      <c r="R172" s="113"/>
      <c r="S172" s="113"/>
      <c r="T172" s="150" t="s">
        <v>855</v>
      </c>
      <c r="U172" t="s">
        <v>613</v>
      </c>
    </row>
    <row r="173" spans="2:21" x14ac:dyDescent="0.2">
      <c r="B173" s="110" t="s">
        <v>267</v>
      </c>
      <c r="C173" s="110" t="s">
        <v>127</v>
      </c>
      <c r="D173" s="133">
        <v>-92910</v>
      </c>
      <c r="E173" s="89">
        <v>-96120</v>
      </c>
      <c r="F173" s="145">
        <v>28</v>
      </c>
      <c r="G173" s="145">
        <v>24.00006579374395</v>
      </c>
      <c r="H173" s="121">
        <v>8.5083603247707007</v>
      </c>
      <c r="I173" s="113">
        <v>-3.7999999999999999E-2</v>
      </c>
      <c r="J173" s="89">
        <v>0</v>
      </c>
      <c r="K173" s="89">
        <v>0</v>
      </c>
      <c r="L173" s="89">
        <v>1</v>
      </c>
      <c r="M173" s="89">
        <v>1</v>
      </c>
      <c r="N173" s="113">
        <v>5.0362999999999998</v>
      </c>
      <c r="O173" s="113">
        <v>4.7365000000000004</v>
      </c>
      <c r="P173" s="113">
        <v>3.4154</v>
      </c>
      <c r="Q173" s="113">
        <v>-2.9748000000000001</v>
      </c>
      <c r="R173" s="113">
        <v>10.8</v>
      </c>
      <c r="S173" s="113">
        <v>-1.3</v>
      </c>
      <c r="T173" s="150" t="s">
        <v>742</v>
      </c>
      <c r="U173" t="s">
        <v>613</v>
      </c>
    </row>
    <row r="174" spans="2:21" x14ac:dyDescent="0.2">
      <c r="B174" s="110" t="s">
        <v>743</v>
      </c>
      <c r="C174" s="110" t="s">
        <v>744</v>
      </c>
      <c r="D174" s="133">
        <v>-190562</v>
      </c>
      <c r="E174" s="89"/>
      <c r="F174" s="145">
        <v>8</v>
      </c>
      <c r="G174" s="145">
        <v>27.8</v>
      </c>
      <c r="H174" s="121">
        <v>-1</v>
      </c>
      <c r="I174" s="113">
        <v>1.2944</v>
      </c>
      <c r="J174" s="89">
        <v>-1</v>
      </c>
      <c r="K174" s="89">
        <v>1</v>
      </c>
      <c r="L174" s="89">
        <v>1</v>
      </c>
      <c r="M174" s="89">
        <v>1</v>
      </c>
      <c r="N174" s="113">
        <v>7.6426999999999996</v>
      </c>
      <c r="O174" s="113">
        <v>2.9935</v>
      </c>
      <c r="P174" s="113">
        <v>2.3281000000000001</v>
      </c>
      <c r="Q174" s="113">
        <v>-2.9028</v>
      </c>
      <c r="R174" s="113">
        <v>19.472999999999999</v>
      </c>
      <c r="S174" s="113">
        <v>-3.2383000000000002</v>
      </c>
      <c r="T174" s="150" t="s">
        <v>745</v>
      </c>
      <c r="U174" t="s">
        <v>613</v>
      </c>
    </row>
    <row r="175" spans="2:21" x14ac:dyDescent="0.2">
      <c r="B175" s="110" t="s">
        <v>746</v>
      </c>
      <c r="C175" s="110" t="s">
        <v>496</v>
      </c>
      <c r="D175" s="133">
        <v>-203100</v>
      </c>
      <c r="E175" s="89">
        <v>-219552</v>
      </c>
      <c r="F175" s="145">
        <v>32</v>
      </c>
      <c r="G175" s="145">
        <v>39</v>
      </c>
      <c r="H175" s="121">
        <v>62</v>
      </c>
      <c r="I175" s="113">
        <v>0.8</v>
      </c>
      <c r="J175" s="89">
        <v>0</v>
      </c>
      <c r="K175" s="89">
        <v>0</v>
      </c>
      <c r="L175" s="89">
        <v>1</v>
      </c>
      <c r="M175" s="89">
        <v>1</v>
      </c>
      <c r="N175" s="113">
        <v>9.61</v>
      </c>
      <c r="O175" s="113">
        <v>2.56</v>
      </c>
      <c r="P175" s="113">
        <v>1.01</v>
      </c>
      <c r="Q175" s="113">
        <v>-2.88</v>
      </c>
      <c r="R175" s="113">
        <v>55.5</v>
      </c>
      <c r="S175" s="113">
        <v>12</v>
      </c>
      <c r="T175" s="150" t="s">
        <v>817</v>
      </c>
      <c r="U175" t="s">
        <v>613</v>
      </c>
    </row>
    <row r="176" spans="2:21" x14ac:dyDescent="0.2">
      <c r="B176" s="110" t="s">
        <v>268</v>
      </c>
      <c r="C176" s="110" t="s">
        <v>269</v>
      </c>
      <c r="D176" s="133">
        <v>-307140</v>
      </c>
      <c r="E176" s="89">
        <v>-333044</v>
      </c>
      <c r="F176" s="145">
        <v>19</v>
      </c>
      <c r="G176" s="145">
        <v>18.7</v>
      </c>
      <c r="H176" s="121">
        <v>2.3400874553111497</v>
      </c>
      <c r="I176" s="113">
        <v>-3.7999999999999999E-2</v>
      </c>
      <c r="J176" s="89">
        <v>0</v>
      </c>
      <c r="K176" s="89">
        <v>0</v>
      </c>
      <c r="L176" s="89">
        <v>1</v>
      </c>
      <c r="M176" s="89">
        <v>1</v>
      </c>
      <c r="N176" s="113">
        <v>4.1756000000000002</v>
      </c>
      <c r="O176" s="113">
        <v>2.4117999999999999</v>
      </c>
      <c r="P176" s="113">
        <v>4.8068999999999997</v>
      </c>
      <c r="Q176" s="113">
        <v>-2.8786</v>
      </c>
      <c r="R176" s="113">
        <v>7.1877000000000004</v>
      </c>
      <c r="S176" s="113">
        <v>-2.5577999999999999</v>
      </c>
      <c r="T176" s="150" t="s">
        <v>740</v>
      </c>
      <c r="U176" t="s">
        <v>613</v>
      </c>
    </row>
    <row r="177" spans="2:21" x14ac:dyDescent="0.2">
      <c r="B177" s="110" t="s">
        <v>493</v>
      </c>
      <c r="C177" s="110" t="s">
        <v>494</v>
      </c>
      <c r="D177" s="133">
        <v>-100900</v>
      </c>
      <c r="E177" s="89"/>
      <c r="F177" s="145">
        <v>6.5</v>
      </c>
      <c r="G177" s="145">
        <v>12</v>
      </c>
      <c r="H177" s="121">
        <v>42</v>
      </c>
      <c r="I177" s="113">
        <v>0.2</v>
      </c>
      <c r="J177" s="89">
        <v>0</v>
      </c>
      <c r="K177" s="89">
        <v>0</v>
      </c>
      <c r="L177" s="89">
        <v>1</v>
      </c>
      <c r="M177" s="89">
        <v>1</v>
      </c>
      <c r="N177" s="113">
        <v>3.9468509570081185</v>
      </c>
      <c r="O177" s="113">
        <v>-0.52534260831504176</v>
      </c>
      <c r="P177" s="113">
        <v>5.2785955478125821</v>
      </c>
      <c r="Q177" s="113">
        <v>-2.7572823365722563</v>
      </c>
      <c r="R177" s="113">
        <v>32.623760339392369</v>
      </c>
      <c r="S177" s="113">
        <v>5.5207999999999986</v>
      </c>
      <c r="T177" s="150" t="s">
        <v>732</v>
      </c>
      <c r="U177" t="s">
        <v>613</v>
      </c>
    </row>
    <row r="178" spans="2:21" x14ac:dyDescent="0.2">
      <c r="B178" s="110" t="s">
        <v>858</v>
      </c>
      <c r="C178" s="110" t="s">
        <v>859</v>
      </c>
      <c r="D178" s="133">
        <v>-241780</v>
      </c>
      <c r="E178" s="89">
        <v>-275480</v>
      </c>
      <c r="F178" s="145">
        <v>20.399999999999999</v>
      </c>
      <c r="G178" s="145">
        <v>41</v>
      </c>
      <c r="H178" s="121">
        <v>5</v>
      </c>
      <c r="I178" s="113">
        <v>1.32</v>
      </c>
      <c r="J178" s="89">
        <v>-1</v>
      </c>
      <c r="K178" s="89">
        <v>0</v>
      </c>
      <c r="L178" s="89">
        <v>1</v>
      </c>
      <c r="M178" s="89">
        <v>1</v>
      </c>
      <c r="N178" s="113"/>
      <c r="O178" s="113"/>
      <c r="P178" s="113"/>
      <c r="Q178" s="113"/>
      <c r="R178" s="113"/>
      <c r="S178" s="113"/>
      <c r="T178" s="150" t="s">
        <v>855</v>
      </c>
      <c r="U178" t="s">
        <v>613</v>
      </c>
    </row>
    <row r="179" spans="2:21" x14ac:dyDescent="0.2">
      <c r="B179" s="110" t="s">
        <v>822</v>
      </c>
      <c r="C179" s="110" t="s">
        <v>823</v>
      </c>
      <c r="D179" s="133">
        <v>-699000</v>
      </c>
      <c r="E179" s="89"/>
      <c r="F179" s="145">
        <v>40</v>
      </c>
      <c r="G179" s="145">
        <v>71</v>
      </c>
      <c r="H179" s="121">
        <v>60</v>
      </c>
      <c r="I179" s="113"/>
      <c r="J179" s="89">
        <v>-1</v>
      </c>
      <c r="K179" s="89">
        <v>1</v>
      </c>
      <c r="L179" s="89">
        <v>1</v>
      </c>
      <c r="M179" s="89">
        <v>1</v>
      </c>
      <c r="N179" s="113"/>
      <c r="O179" s="113"/>
      <c r="P179" s="113"/>
      <c r="Q179" s="113"/>
      <c r="R179" s="113"/>
      <c r="S179" s="113"/>
      <c r="T179" s="150" t="s">
        <v>824</v>
      </c>
      <c r="U179" t="s">
        <v>613</v>
      </c>
    </row>
    <row r="180" spans="2:21" x14ac:dyDescent="0.2">
      <c r="B180" s="110" t="s">
        <v>825</v>
      </c>
      <c r="C180" s="110" t="s">
        <v>826</v>
      </c>
      <c r="D180" s="133">
        <v>-725800</v>
      </c>
      <c r="E180" s="89"/>
      <c r="F180" s="145">
        <v>40</v>
      </c>
      <c r="G180" s="145">
        <v>73.5</v>
      </c>
      <c r="H180" s="121">
        <v>85</v>
      </c>
      <c r="I180" s="113"/>
      <c r="J180" s="89">
        <v>-1</v>
      </c>
      <c r="K180" s="89">
        <v>1</v>
      </c>
      <c r="L180" s="89">
        <v>1</v>
      </c>
      <c r="M180" s="89">
        <v>1</v>
      </c>
      <c r="N180" s="113"/>
      <c r="O180" s="113"/>
      <c r="P180" s="113"/>
      <c r="Q180" s="113"/>
      <c r="R180" s="113"/>
      <c r="S180" s="113"/>
      <c r="T180" s="150" t="s">
        <v>824</v>
      </c>
      <c r="U180" t="s">
        <v>613</v>
      </c>
    </row>
    <row r="181" spans="2:21" x14ac:dyDescent="0.2">
      <c r="B181" s="110" t="s">
        <v>270</v>
      </c>
      <c r="C181" s="110" t="s">
        <v>271</v>
      </c>
      <c r="D181" s="133">
        <v>-160600</v>
      </c>
      <c r="E181" s="89">
        <v>-166500</v>
      </c>
      <c r="F181" s="145">
        <v>-49.5</v>
      </c>
      <c r="G181" s="145">
        <v>-43.099991355666702</v>
      </c>
      <c r="H181" s="121">
        <v>-43.200003543804335</v>
      </c>
      <c r="I181" s="113">
        <v>2.2549999999999999</v>
      </c>
      <c r="J181" s="89">
        <v>3</v>
      </c>
      <c r="K181" s="89">
        <v>0</v>
      </c>
      <c r="L181" s="89">
        <v>1</v>
      </c>
      <c r="M181" s="89">
        <v>0</v>
      </c>
      <c r="N181" s="113">
        <v>-3.3706999999999998</v>
      </c>
      <c r="O181" s="113">
        <v>-14.545199999999999</v>
      </c>
      <c r="P181" s="113">
        <v>8.3210999999999995</v>
      </c>
      <c r="Q181" s="113">
        <v>-2.1777000000000002</v>
      </c>
      <c r="R181" s="113">
        <v>1.6235999999999999</v>
      </c>
      <c r="S181" s="113">
        <v>-11.8344</v>
      </c>
      <c r="T181" s="150" t="s">
        <v>720</v>
      </c>
      <c r="U181" t="s">
        <v>613</v>
      </c>
    </row>
    <row r="182" spans="2:21" x14ac:dyDescent="0.2">
      <c r="B182" s="110" t="s">
        <v>272</v>
      </c>
      <c r="C182" s="110" t="s">
        <v>273</v>
      </c>
      <c r="D182" s="133">
        <v>4565</v>
      </c>
      <c r="E182" s="89">
        <v>-870</v>
      </c>
      <c r="F182" s="145">
        <v>16.739999999999998</v>
      </c>
      <c r="G182" s="145">
        <v>20.40012216831747</v>
      </c>
      <c r="H182" s="121">
        <v>39.699922418223075</v>
      </c>
      <c r="I182" s="113">
        <v>-0.2535</v>
      </c>
      <c r="J182" s="89">
        <v>0</v>
      </c>
      <c r="K182" s="89">
        <v>0</v>
      </c>
      <c r="L182" s="89">
        <v>0</v>
      </c>
      <c r="M182" s="89">
        <v>0</v>
      </c>
      <c r="N182" s="113">
        <v>4.4709000000000003</v>
      </c>
      <c r="O182" s="113">
        <v>3.1352000000000002</v>
      </c>
      <c r="P182" s="113">
        <v>4.5176999999999996</v>
      </c>
      <c r="Q182" s="113">
        <v>-2.9085999999999999</v>
      </c>
      <c r="R182" s="113">
        <v>27.0977</v>
      </c>
      <c r="S182" s="113">
        <v>5.0522999999999998</v>
      </c>
      <c r="T182" s="150" t="s">
        <v>707</v>
      </c>
      <c r="U182" t="s">
        <v>613</v>
      </c>
    </row>
    <row r="183" spans="2:21" x14ac:dyDescent="0.2">
      <c r="B183" s="110" t="s">
        <v>257</v>
      </c>
      <c r="C183" s="110" t="s">
        <v>258</v>
      </c>
      <c r="D183" s="133">
        <v>-6383</v>
      </c>
      <c r="E183" s="89">
        <v>-19440</v>
      </c>
      <c r="F183" s="145">
        <v>25.77</v>
      </c>
      <c r="G183" s="145">
        <v>24.430058147431339</v>
      </c>
      <c r="H183" s="121">
        <v>18.383087085293631</v>
      </c>
      <c r="I183" s="113">
        <v>-0.05</v>
      </c>
      <c r="J183" s="89">
        <v>0</v>
      </c>
      <c r="K183" s="89">
        <v>0</v>
      </c>
      <c r="L183" s="89">
        <v>1</v>
      </c>
      <c r="M183" s="89">
        <v>1</v>
      </c>
      <c r="N183" s="113">
        <v>5.0911</v>
      </c>
      <c r="O183" s="113">
        <v>2.7970000000000002</v>
      </c>
      <c r="P183" s="113">
        <v>8.6248000000000005</v>
      </c>
      <c r="Q183" s="113">
        <v>-2.8946000000000001</v>
      </c>
      <c r="R183" s="113">
        <v>20.3</v>
      </c>
      <c r="S183" s="113">
        <v>-1.17</v>
      </c>
      <c r="T183" s="150" t="s">
        <v>667</v>
      </c>
      <c r="U183" t="s">
        <v>613</v>
      </c>
    </row>
    <row r="184" spans="2:21" x14ac:dyDescent="0.2">
      <c r="B184" s="110" t="s">
        <v>259</v>
      </c>
      <c r="C184" s="110" t="s">
        <v>260</v>
      </c>
      <c r="D184" s="133">
        <v>-18990</v>
      </c>
      <c r="E184" s="89">
        <v>-31850</v>
      </c>
      <c r="F184" s="145">
        <v>26.57</v>
      </c>
      <c r="G184" s="145">
        <v>18.130099154302023</v>
      </c>
      <c r="H184" s="121">
        <v>16.023558124915528</v>
      </c>
      <c r="I184" s="113">
        <v>0.1502</v>
      </c>
      <c r="J184" s="89">
        <v>1</v>
      </c>
      <c r="K184" s="89">
        <v>0</v>
      </c>
      <c r="L184" s="89">
        <v>1</v>
      </c>
      <c r="M184" s="89">
        <v>1</v>
      </c>
      <c r="N184" s="113">
        <v>3.8763000000000001</v>
      </c>
      <c r="O184" s="113">
        <v>2.3448000000000002</v>
      </c>
      <c r="P184" s="113">
        <v>8.5604999999999993</v>
      </c>
      <c r="Q184" s="113">
        <v>-2.8759000000000001</v>
      </c>
      <c r="R184" s="113">
        <v>17.45</v>
      </c>
      <c r="S184" s="113">
        <v>-2.1000000000000001E-2</v>
      </c>
      <c r="T184" s="150" t="s">
        <v>668</v>
      </c>
      <c r="U184" t="s">
        <v>613</v>
      </c>
    </row>
    <row r="185" spans="2:21" x14ac:dyDescent="0.2">
      <c r="B185" s="110" t="s">
        <v>274</v>
      </c>
      <c r="C185" s="110" t="s">
        <v>275</v>
      </c>
      <c r="D185" s="133">
        <v>-10900</v>
      </c>
      <c r="E185" s="89">
        <v>-12900</v>
      </c>
      <c r="F185" s="145">
        <v>-30.8</v>
      </c>
      <c r="G185" s="145">
        <v>-29.00018616213362</v>
      </c>
      <c r="H185" s="121">
        <v>-11.700182270493716</v>
      </c>
      <c r="I185" s="113">
        <v>1.5066999999999999</v>
      </c>
      <c r="J185" s="89">
        <v>2</v>
      </c>
      <c r="K185" s="89">
        <v>0</v>
      </c>
      <c r="L185" s="89">
        <v>1</v>
      </c>
      <c r="M185" s="89">
        <v>0</v>
      </c>
      <c r="N185" s="113">
        <v>-1.6941999999999999</v>
      </c>
      <c r="O185" s="113">
        <v>-11.918100000000001</v>
      </c>
      <c r="P185" s="113">
        <v>10.4344</v>
      </c>
      <c r="Q185" s="113">
        <v>-2.2863000000000002</v>
      </c>
      <c r="R185" s="113">
        <v>13.1905</v>
      </c>
      <c r="S185" s="113">
        <v>-5.4179000000000004</v>
      </c>
      <c r="T185" s="150" t="s">
        <v>747</v>
      </c>
      <c r="U185" t="s">
        <v>613</v>
      </c>
    </row>
    <row r="186" spans="2:21" x14ac:dyDescent="0.2">
      <c r="B186" s="110" t="s">
        <v>261</v>
      </c>
      <c r="C186" s="110" t="s">
        <v>262</v>
      </c>
      <c r="D186" s="133">
        <v>-7700</v>
      </c>
      <c r="E186" s="89">
        <v>-25000</v>
      </c>
      <c r="F186" s="145">
        <v>29.4</v>
      </c>
      <c r="G186" s="145">
        <v>25.00005814048389</v>
      </c>
      <c r="H186" s="121">
        <v>-23.299793774198573</v>
      </c>
      <c r="I186" s="113">
        <v>1.1847000000000001</v>
      </c>
      <c r="J186" s="89">
        <v>-1</v>
      </c>
      <c r="K186" s="89">
        <v>0</v>
      </c>
      <c r="L186" s="89">
        <v>1</v>
      </c>
      <c r="M186" s="89">
        <v>0</v>
      </c>
      <c r="N186" s="113">
        <v>5.5864000000000003</v>
      </c>
      <c r="O186" s="113">
        <v>5.859</v>
      </c>
      <c r="P186" s="113">
        <v>3.4472</v>
      </c>
      <c r="Q186" s="113">
        <v>-3.0211999999999999</v>
      </c>
      <c r="R186" s="113">
        <v>3.4260000000000002</v>
      </c>
      <c r="S186" s="113">
        <v>-7.7808000000000002</v>
      </c>
      <c r="T186" s="150" t="s">
        <v>747</v>
      </c>
      <c r="U186" t="s">
        <v>613</v>
      </c>
    </row>
    <row r="187" spans="2:21" x14ac:dyDescent="0.2">
      <c r="B187" s="110" t="s">
        <v>263</v>
      </c>
      <c r="C187" s="110" t="s">
        <v>264</v>
      </c>
      <c r="D187" s="133">
        <v>-26507</v>
      </c>
      <c r="E187" s="89">
        <v>-49429</v>
      </c>
      <c r="F187" s="145">
        <v>35.119999999999997</v>
      </c>
      <c r="G187" s="145">
        <v>29.000102966778783</v>
      </c>
      <c r="H187" s="121">
        <v>-16.078788056551574</v>
      </c>
      <c r="I187" s="113">
        <v>1.0976999999999999</v>
      </c>
      <c r="J187" s="89">
        <v>-1</v>
      </c>
      <c r="K187" s="89">
        <v>0</v>
      </c>
      <c r="L187" s="89">
        <v>1</v>
      </c>
      <c r="M187" s="89">
        <v>0</v>
      </c>
      <c r="N187" s="113">
        <v>7.3160999999999996</v>
      </c>
      <c r="O187" s="113">
        <v>6.7824</v>
      </c>
      <c r="P187" s="113">
        <v>-4.6837999999999997</v>
      </c>
      <c r="Q187" s="113">
        <v>-3.0594000000000001</v>
      </c>
      <c r="R187" s="113">
        <v>7.7</v>
      </c>
      <c r="S187" s="113">
        <v>-6.7249999999999996</v>
      </c>
      <c r="T187" s="150" t="s">
        <v>747</v>
      </c>
      <c r="U187" t="s">
        <v>613</v>
      </c>
    </row>
    <row r="188" spans="2:21" x14ac:dyDescent="0.2">
      <c r="B188" s="110" t="s">
        <v>276</v>
      </c>
      <c r="C188" s="110" t="s">
        <v>277</v>
      </c>
      <c r="D188" s="133">
        <v>3954</v>
      </c>
      <c r="E188" s="89">
        <v>-2900</v>
      </c>
      <c r="F188" s="145">
        <v>26.04</v>
      </c>
      <c r="G188" s="145">
        <v>30.379730047010501</v>
      </c>
      <c r="H188" s="121">
        <v>55.999564588979112</v>
      </c>
      <c r="I188" s="113">
        <v>-0.39429999999999998</v>
      </c>
      <c r="J188" s="89">
        <v>0</v>
      </c>
      <c r="K188" s="89">
        <v>0</v>
      </c>
      <c r="L188" s="89">
        <v>0</v>
      </c>
      <c r="M188" s="89">
        <v>0</v>
      </c>
      <c r="N188" s="113">
        <v>5.7888999999999999</v>
      </c>
      <c r="O188" s="113">
        <v>6.3536000000000001</v>
      </c>
      <c r="P188" s="113">
        <v>3.2528000000000001</v>
      </c>
      <c r="Q188" s="113">
        <v>-3.0417000000000001</v>
      </c>
      <c r="R188" s="113">
        <v>35.353000000000002</v>
      </c>
      <c r="S188" s="113">
        <v>8.3726000000000003</v>
      </c>
      <c r="T188" s="150" t="s">
        <v>707</v>
      </c>
      <c r="U188" t="s">
        <v>613</v>
      </c>
    </row>
    <row r="189" spans="2:21" x14ac:dyDescent="0.2">
      <c r="B189" s="110" t="s">
        <v>278</v>
      </c>
      <c r="C189" s="110" t="s">
        <v>279</v>
      </c>
      <c r="D189" s="133">
        <v>-37595</v>
      </c>
      <c r="E189" s="89">
        <v>-54977</v>
      </c>
      <c r="F189" s="145">
        <v>-5</v>
      </c>
      <c r="G189" s="145">
        <v>-9.1</v>
      </c>
      <c r="H189" s="121">
        <v>-19</v>
      </c>
      <c r="I189" s="113">
        <v>1.72</v>
      </c>
      <c r="J189" s="89">
        <v>-1</v>
      </c>
      <c r="K189" s="89">
        <v>0</v>
      </c>
      <c r="L189" s="89">
        <v>0</v>
      </c>
      <c r="M189" s="89">
        <v>0</v>
      </c>
      <c r="N189" s="113">
        <v>2.1</v>
      </c>
      <c r="O189" s="113">
        <v>-5</v>
      </c>
      <c r="P189" s="113">
        <v>1</v>
      </c>
      <c r="Q189" s="113">
        <v>-2.7</v>
      </c>
      <c r="R189" s="113">
        <v>12.12</v>
      </c>
      <c r="S189" s="113">
        <v>-7.52</v>
      </c>
      <c r="T189" s="150" t="s">
        <v>748</v>
      </c>
      <c r="U189" t="s">
        <v>613</v>
      </c>
    </row>
    <row r="190" spans="2:21" x14ac:dyDescent="0.2">
      <c r="B190" s="110" t="s">
        <v>285</v>
      </c>
      <c r="C190" s="110" t="s">
        <v>286</v>
      </c>
      <c r="D190" s="133">
        <v>-5710</v>
      </c>
      <c r="E190" s="89">
        <v>220</v>
      </c>
      <c r="F190" s="145">
        <v>4.2</v>
      </c>
      <c r="G190" s="145">
        <v>-15.599941356891893</v>
      </c>
      <c r="H190" s="121">
        <v>-12.700048537413105</v>
      </c>
      <c r="I190" s="113">
        <v>1.0788</v>
      </c>
      <c r="J190" s="89">
        <v>2</v>
      </c>
      <c r="K190" s="89">
        <v>0</v>
      </c>
      <c r="L190" s="89">
        <v>1</v>
      </c>
      <c r="M190" s="89">
        <v>0</v>
      </c>
      <c r="N190" s="113">
        <v>-5.1000000000000004E-3</v>
      </c>
      <c r="O190" s="113">
        <v>-7.7938999999999998</v>
      </c>
      <c r="P190" s="113">
        <v>8.8133999999999997</v>
      </c>
      <c r="Q190" s="113">
        <v>-2.4567999999999999</v>
      </c>
      <c r="R190" s="113">
        <v>8.6623999999999999</v>
      </c>
      <c r="S190" s="113">
        <v>-5.6215999999999999</v>
      </c>
      <c r="T190" s="150" t="s">
        <v>747</v>
      </c>
      <c r="U190" t="s">
        <v>613</v>
      </c>
    </row>
    <row r="191" spans="2:21" x14ac:dyDescent="0.2">
      <c r="B191" s="110" t="s">
        <v>287</v>
      </c>
      <c r="C191" s="110" t="s">
        <v>288</v>
      </c>
      <c r="D191" s="133">
        <v>-39050</v>
      </c>
      <c r="E191" s="89">
        <v>-38630</v>
      </c>
      <c r="F191" s="145">
        <v>28</v>
      </c>
      <c r="G191" s="145">
        <v>13.8</v>
      </c>
      <c r="H191" s="121">
        <v>4.899771461108501</v>
      </c>
      <c r="I191" s="113">
        <v>0.12809999999999999</v>
      </c>
      <c r="J191" s="89">
        <v>1</v>
      </c>
      <c r="K191" s="89">
        <v>0</v>
      </c>
      <c r="L191" s="89">
        <v>1</v>
      </c>
      <c r="M191" s="89">
        <v>1</v>
      </c>
      <c r="N191" s="113">
        <v>2.8934000000000002</v>
      </c>
      <c r="O191" s="113">
        <v>-0.71840000000000004</v>
      </c>
      <c r="P191" s="113">
        <v>6.0362999999999998</v>
      </c>
      <c r="Q191" s="113">
        <v>-2.7492000000000001</v>
      </c>
      <c r="R191" s="113">
        <v>10.2181</v>
      </c>
      <c r="S191" s="113">
        <v>-2.0364</v>
      </c>
      <c r="T191" s="150" t="s">
        <v>740</v>
      </c>
      <c r="U191" t="s">
        <v>613</v>
      </c>
    </row>
    <row r="192" spans="2:21" x14ac:dyDescent="0.2">
      <c r="B192" s="110" t="s">
        <v>289</v>
      </c>
      <c r="C192" s="110" t="s">
        <v>290</v>
      </c>
      <c r="D192" s="133">
        <v>-71200</v>
      </c>
      <c r="E192" s="89">
        <v>-77700</v>
      </c>
      <c r="F192" s="145">
        <v>47</v>
      </c>
      <c r="G192" s="145">
        <v>34.970003558009111</v>
      </c>
      <c r="H192" s="121">
        <v>2.0000630636323868</v>
      </c>
      <c r="I192" s="113">
        <v>-3.7999999999999999E-2</v>
      </c>
      <c r="J192" s="89">
        <v>0</v>
      </c>
      <c r="K192" s="89">
        <v>0</v>
      </c>
      <c r="L192" s="89">
        <v>1</v>
      </c>
      <c r="M192" s="89">
        <v>1</v>
      </c>
      <c r="N192" s="113">
        <v>6.5374999999999996</v>
      </c>
      <c r="O192" s="113">
        <v>8.1796000000000006</v>
      </c>
      <c r="P192" s="113">
        <v>2.5377999999999998</v>
      </c>
      <c r="Q192" s="113">
        <v>-3.117</v>
      </c>
      <c r="R192" s="113">
        <v>6.9885000000000002</v>
      </c>
      <c r="S192" s="113">
        <v>-2.6271</v>
      </c>
      <c r="T192" s="150" t="s">
        <v>740</v>
      </c>
      <c r="U192" t="s">
        <v>613</v>
      </c>
    </row>
    <row r="193" spans="2:21" x14ac:dyDescent="0.2">
      <c r="B193" s="110" t="s">
        <v>291</v>
      </c>
      <c r="C193" s="110" t="s">
        <v>292</v>
      </c>
      <c r="D193" s="133">
        <v>-102150</v>
      </c>
      <c r="E193" s="89">
        <v>-117700</v>
      </c>
      <c r="F193" s="145">
        <v>59</v>
      </c>
      <c r="G193" s="145">
        <v>53.8</v>
      </c>
      <c r="H193" s="121">
        <v>-11.999523180239091</v>
      </c>
      <c r="I193" s="113">
        <v>0.73560000000000003</v>
      </c>
      <c r="J193" s="89">
        <v>-1</v>
      </c>
      <c r="K193" s="89">
        <v>0</v>
      </c>
      <c r="L193" s="89">
        <v>1</v>
      </c>
      <c r="M193" s="89">
        <v>1</v>
      </c>
      <c r="N193" s="113">
        <v>11.0396</v>
      </c>
      <c r="O193" s="113">
        <v>19.172799999999999</v>
      </c>
      <c r="P193" s="113">
        <v>-1.7828999999999999</v>
      </c>
      <c r="Q193" s="113">
        <v>-3.5714999999999999</v>
      </c>
      <c r="R193" s="113">
        <v>5.9111000000000002</v>
      </c>
      <c r="S193" s="113">
        <v>-5.4789000000000003</v>
      </c>
      <c r="T193" s="150" t="s">
        <v>740</v>
      </c>
      <c r="U193" t="s">
        <v>613</v>
      </c>
    </row>
    <row r="194" spans="2:21" x14ac:dyDescent="0.2">
      <c r="B194" s="110" t="s">
        <v>293</v>
      </c>
      <c r="C194" s="110" t="s">
        <v>294</v>
      </c>
      <c r="D194" s="133">
        <v>45204</v>
      </c>
      <c r="E194" s="89">
        <v>49375</v>
      </c>
      <c r="F194" s="145">
        <v>-8.23</v>
      </c>
      <c r="G194" s="145">
        <v>-16.079999999999998</v>
      </c>
      <c r="H194" s="121">
        <v>-1.48</v>
      </c>
      <c r="I194" s="113">
        <v>1.2128000000000001</v>
      </c>
      <c r="J194" s="89">
        <v>2</v>
      </c>
      <c r="K194" s="89">
        <v>1</v>
      </c>
      <c r="L194" s="89">
        <v>1</v>
      </c>
      <c r="M194" s="89">
        <v>0</v>
      </c>
      <c r="N194" s="113"/>
      <c r="O194" s="113"/>
      <c r="P194" s="113"/>
      <c r="Q194" s="113"/>
      <c r="R194" s="113"/>
      <c r="S194" s="113"/>
      <c r="T194" s="150" t="s">
        <v>841</v>
      </c>
      <c r="U194" t="s">
        <v>613</v>
      </c>
    </row>
    <row r="195" spans="2:21" x14ac:dyDescent="0.2">
      <c r="B195" s="110" t="s">
        <v>837</v>
      </c>
      <c r="C195" s="110" t="s">
        <v>839</v>
      </c>
      <c r="D195" s="133">
        <v>6974</v>
      </c>
      <c r="E195" s="89">
        <v>3839</v>
      </c>
      <c r="F195" s="145">
        <v>9.5399999999999991</v>
      </c>
      <c r="G195" s="145">
        <v>9.1199999999999992</v>
      </c>
      <c r="H195" s="121">
        <v>30.29</v>
      </c>
      <c r="I195" s="113">
        <v>0.39960000000000001</v>
      </c>
      <c r="J195" s="89">
        <v>1</v>
      </c>
      <c r="K195" s="89">
        <v>1</v>
      </c>
      <c r="L195" s="89">
        <v>1</v>
      </c>
      <c r="M195" s="89">
        <v>1</v>
      </c>
      <c r="N195" s="113"/>
      <c r="O195" s="113"/>
      <c r="P195" s="113"/>
      <c r="Q195" s="113"/>
      <c r="R195" s="113"/>
      <c r="S195" s="113"/>
      <c r="T195" s="150" t="s">
        <v>841</v>
      </c>
      <c r="U195" t="s">
        <v>613</v>
      </c>
    </row>
    <row r="196" spans="2:21" x14ac:dyDescent="0.2">
      <c r="B196" s="110" t="s">
        <v>838</v>
      </c>
      <c r="C196" s="110" t="s">
        <v>840</v>
      </c>
      <c r="D196" s="133">
        <v>-29095</v>
      </c>
      <c r="E196" s="89">
        <v>-39319</v>
      </c>
      <c r="F196" s="145">
        <v>28.04</v>
      </c>
      <c r="G196" s="145">
        <v>37.020000000000003</v>
      </c>
      <c r="H196" s="121">
        <v>55.78</v>
      </c>
      <c r="I196" s="113">
        <v>0.3</v>
      </c>
      <c r="J196" s="89">
        <v>0</v>
      </c>
      <c r="K196" s="89">
        <v>1</v>
      </c>
      <c r="L196" s="89">
        <v>1</v>
      </c>
      <c r="M196" s="89">
        <v>1</v>
      </c>
      <c r="N196" s="113"/>
      <c r="O196" s="113"/>
      <c r="P196" s="113"/>
      <c r="Q196" s="113"/>
      <c r="R196" s="113"/>
      <c r="S196" s="113"/>
      <c r="T196" s="150" t="s">
        <v>841</v>
      </c>
      <c r="U196" t="s">
        <v>613</v>
      </c>
    </row>
    <row r="197" spans="2:21" x14ac:dyDescent="0.2">
      <c r="B197" s="110" t="s">
        <v>280</v>
      </c>
      <c r="C197" s="110" t="s">
        <v>281</v>
      </c>
      <c r="D197" s="133">
        <v>-243500</v>
      </c>
      <c r="E197" s="89">
        <v>-305300</v>
      </c>
      <c r="F197" s="145">
        <v>-53</v>
      </c>
      <c r="G197" s="145">
        <v>-30.600095804682038</v>
      </c>
      <c r="H197" s="121">
        <v>-114.89996391595473</v>
      </c>
      <c r="I197" s="113">
        <v>5.6113999999999997</v>
      </c>
      <c r="J197" s="89">
        <v>-3</v>
      </c>
      <c r="K197" s="89">
        <v>0</v>
      </c>
      <c r="L197" s="89">
        <v>1</v>
      </c>
      <c r="M197" s="89">
        <v>0</v>
      </c>
      <c r="N197" s="113">
        <v>-0.52590000000000003</v>
      </c>
      <c r="O197" s="113">
        <v>-9.0654000000000003</v>
      </c>
      <c r="P197" s="113">
        <v>9.3131000000000004</v>
      </c>
      <c r="Q197" s="113">
        <v>-2.4041999999999999</v>
      </c>
      <c r="R197" s="113">
        <v>-9.4749999999999996</v>
      </c>
      <c r="S197" s="113">
        <v>-26.439699999999998</v>
      </c>
      <c r="T197" s="150" t="s">
        <v>747</v>
      </c>
      <c r="U197" t="s">
        <v>613</v>
      </c>
    </row>
    <row r="198" spans="2:21" x14ac:dyDescent="0.2">
      <c r="B198" s="110" t="s">
        <v>295</v>
      </c>
      <c r="C198" s="110" t="s">
        <v>296</v>
      </c>
      <c r="D198" s="133">
        <v>-162600</v>
      </c>
      <c r="E198" s="89">
        <v>-168800</v>
      </c>
      <c r="F198" s="145">
        <v>-50</v>
      </c>
      <c r="G198" s="145">
        <v>-42.099993786987611</v>
      </c>
      <c r="H198" s="121">
        <v>-47.69967108409179</v>
      </c>
      <c r="I198" s="113">
        <v>2.2349999999999999</v>
      </c>
      <c r="J198" s="89">
        <v>3</v>
      </c>
      <c r="K198" s="89">
        <v>0</v>
      </c>
      <c r="L198" s="89">
        <v>1</v>
      </c>
      <c r="M198" s="89">
        <v>0</v>
      </c>
      <c r="N198" s="113">
        <v>-3.2406000000000001</v>
      </c>
      <c r="O198" s="113">
        <v>-14.1998</v>
      </c>
      <c r="P198" s="113">
        <v>8.1257000000000001</v>
      </c>
      <c r="Q198" s="113">
        <v>-2.1920000000000002</v>
      </c>
      <c r="R198" s="113">
        <v>-1.1975</v>
      </c>
      <c r="S198" s="113">
        <v>-12.751099999999999</v>
      </c>
      <c r="T198" s="150" t="s">
        <v>747</v>
      </c>
      <c r="U198" t="s">
        <v>613</v>
      </c>
    </row>
    <row r="199" spans="2:21" x14ac:dyDescent="0.2">
      <c r="B199" s="110" t="s">
        <v>282</v>
      </c>
      <c r="C199" s="110" t="s">
        <v>283</v>
      </c>
      <c r="D199" s="133">
        <v>-1963</v>
      </c>
      <c r="E199" s="89">
        <v>-30490</v>
      </c>
      <c r="F199" s="145">
        <v>33.369999999999997</v>
      </c>
      <c r="G199" s="145">
        <v>66.999936220908978</v>
      </c>
      <c r="H199" s="121">
        <v>110.59958327471779</v>
      </c>
      <c r="I199" s="113">
        <v>-0.50529999999999997</v>
      </c>
      <c r="J199" s="89">
        <v>0</v>
      </c>
      <c r="K199" s="89">
        <v>0</v>
      </c>
      <c r="L199" s="89">
        <v>1</v>
      </c>
      <c r="M199" s="89">
        <v>1</v>
      </c>
      <c r="N199" s="113">
        <v>10.762499999999999</v>
      </c>
      <c r="O199" s="113">
        <v>18.494800000000001</v>
      </c>
      <c r="P199" s="113">
        <v>-1.5133000000000001</v>
      </c>
      <c r="Q199" s="113">
        <v>-3.5434999999999999</v>
      </c>
      <c r="R199" s="113">
        <v>66.329400000000007</v>
      </c>
      <c r="S199" s="113">
        <v>19.494599999999998</v>
      </c>
      <c r="T199" s="150" t="s">
        <v>749</v>
      </c>
      <c r="U199" t="s">
        <v>613</v>
      </c>
    </row>
    <row r="200" spans="2:21" x14ac:dyDescent="0.2">
      <c r="B200" s="110" t="s">
        <v>8</v>
      </c>
      <c r="C200" s="110" t="s">
        <v>284</v>
      </c>
      <c r="D200" s="133">
        <v>-86770</v>
      </c>
      <c r="E200" s="89">
        <v>-122630</v>
      </c>
      <c r="F200" s="145">
        <v>26.5</v>
      </c>
      <c r="G200" s="145">
        <v>54.950066467724966</v>
      </c>
      <c r="H200" s="121">
        <v>32.45551213710533</v>
      </c>
      <c r="I200" s="113">
        <v>1.2276</v>
      </c>
      <c r="J200" s="89">
        <v>-1</v>
      </c>
      <c r="K200" s="89">
        <v>0</v>
      </c>
      <c r="L200" s="89">
        <v>0</v>
      </c>
      <c r="M200" s="89">
        <v>0</v>
      </c>
      <c r="N200" s="113">
        <v>8.378618967437145</v>
      </c>
      <c r="O200" s="113">
        <v>19.336508942277082</v>
      </c>
      <c r="P200" s="113">
        <v>4.597812207649099E-2</v>
      </c>
      <c r="Q200" s="113">
        <v>-3.5783712796737346</v>
      </c>
      <c r="R200" s="113">
        <v>52.3</v>
      </c>
      <c r="S200" s="113">
        <v>-4.2</v>
      </c>
      <c r="T200" s="150" t="s">
        <v>750</v>
      </c>
      <c r="U200" t="s">
        <v>613</v>
      </c>
    </row>
    <row r="201" spans="2:21" x14ac:dyDescent="0.2">
      <c r="B201" s="110" t="s">
        <v>9</v>
      </c>
      <c r="C201" s="110" t="s">
        <v>10</v>
      </c>
      <c r="D201" s="133">
        <v>-93450</v>
      </c>
      <c r="E201" s="89">
        <v>-122470</v>
      </c>
      <c r="F201" s="145">
        <v>49.4</v>
      </c>
      <c r="G201" s="145">
        <v>68</v>
      </c>
      <c r="H201" s="121">
        <v>60.9</v>
      </c>
      <c r="I201" s="113">
        <v>-0.09</v>
      </c>
      <c r="J201" s="89">
        <v>0</v>
      </c>
      <c r="K201" s="89">
        <v>0</v>
      </c>
      <c r="L201" s="89">
        <v>0</v>
      </c>
      <c r="M201" s="89">
        <v>0</v>
      </c>
      <c r="N201" s="113">
        <v>14.6</v>
      </c>
      <c r="O201" s="113">
        <v>7.9</v>
      </c>
      <c r="P201" s="113">
        <v>6.9</v>
      </c>
      <c r="Q201" s="113">
        <v>-4.3</v>
      </c>
      <c r="R201" s="113">
        <v>63.3</v>
      </c>
      <c r="S201" s="113">
        <v>-1.4</v>
      </c>
      <c r="T201" s="150" t="s">
        <v>702</v>
      </c>
      <c r="U201" t="s">
        <v>613</v>
      </c>
    </row>
    <row r="202" spans="2:21" x14ac:dyDescent="0.2">
      <c r="B202" s="110" t="s">
        <v>11</v>
      </c>
      <c r="C202" s="110" t="s">
        <v>12</v>
      </c>
      <c r="D202" s="133">
        <v>-41910</v>
      </c>
      <c r="E202" s="89">
        <v>-75320</v>
      </c>
      <c r="F202" s="145">
        <v>40.6</v>
      </c>
      <c r="G202" s="145">
        <v>70.699844096086338</v>
      </c>
      <c r="H202" s="121">
        <v>84.8</v>
      </c>
      <c r="I202" s="113">
        <v>-0.2</v>
      </c>
      <c r="J202" s="89">
        <v>0</v>
      </c>
      <c r="K202" s="89">
        <v>0</v>
      </c>
      <c r="L202" s="89">
        <v>0</v>
      </c>
      <c r="M202" s="89">
        <v>0</v>
      </c>
      <c r="N202" s="113">
        <v>14.6</v>
      </c>
      <c r="O202" s="113">
        <v>9.1</v>
      </c>
      <c r="P202" s="113">
        <v>12.2</v>
      </c>
      <c r="Q202" s="113">
        <v>-5.5</v>
      </c>
      <c r="R202" s="113">
        <v>74.3</v>
      </c>
      <c r="S202" s="113">
        <v>3.3</v>
      </c>
      <c r="T202" s="150" t="s">
        <v>702</v>
      </c>
      <c r="U202" t="s">
        <v>613</v>
      </c>
    </row>
    <row r="203" spans="2:21" x14ac:dyDescent="0.2">
      <c r="B203" s="110" t="s">
        <v>869</v>
      </c>
      <c r="C203" s="110" t="s">
        <v>870</v>
      </c>
      <c r="D203" s="133">
        <v>53870</v>
      </c>
      <c r="E203" s="89">
        <v>53388</v>
      </c>
      <c r="F203" s="145">
        <v>-22.9</v>
      </c>
      <c r="G203" s="145">
        <v>-21.1</v>
      </c>
      <c r="H203" s="121">
        <v>-7</v>
      </c>
      <c r="I203" s="113"/>
      <c r="J203" s="89">
        <v>2</v>
      </c>
      <c r="K203" s="89">
        <v>1</v>
      </c>
      <c r="L203" s="89">
        <v>1</v>
      </c>
      <c r="M203" s="89">
        <v>1</v>
      </c>
      <c r="N203" s="113"/>
      <c r="O203" s="113"/>
      <c r="P203" s="113"/>
      <c r="Q203" s="113"/>
      <c r="R203" s="113"/>
      <c r="S203" s="113"/>
      <c r="T203" s="150" t="s">
        <v>880</v>
      </c>
      <c r="U203" t="s">
        <v>613</v>
      </c>
    </row>
    <row r="204" spans="2:21" x14ac:dyDescent="0.2">
      <c r="B204" s="110" t="s">
        <v>871</v>
      </c>
      <c r="C204" s="110" t="s">
        <v>875</v>
      </c>
      <c r="D204" s="133">
        <v>14606</v>
      </c>
      <c r="E204" s="89">
        <v>6524</v>
      </c>
      <c r="F204" s="145">
        <v>-6.1</v>
      </c>
      <c r="G204" s="145">
        <v>3</v>
      </c>
      <c r="H204" s="121">
        <v>18.399999999999999</v>
      </c>
      <c r="I204" s="113"/>
      <c r="J204" s="89">
        <v>1</v>
      </c>
      <c r="K204" s="89">
        <v>1</v>
      </c>
      <c r="L204" s="89">
        <v>1</v>
      </c>
      <c r="M204" s="89">
        <v>1</v>
      </c>
      <c r="N204" s="113"/>
      <c r="O204" s="113"/>
      <c r="P204" s="113"/>
      <c r="Q204" s="113"/>
      <c r="R204" s="113"/>
      <c r="S204" s="113"/>
      <c r="T204" s="150" t="s">
        <v>881</v>
      </c>
      <c r="U204" t="s">
        <v>613</v>
      </c>
    </row>
    <row r="205" spans="2:21" x14ac:dyDescent="0.2">
      <c r="B205" s="110" t="s">
        <v>872</v>
      </c>
      <c r="C205" s="110" t="s">
        <v>876</v>
      </c>
      <c r="D205" s="133">
        <v>-22694</v>
      </c>
      <c r="E205" s="89">
        <v>-41162</v>
      </c>
      <c r="F205" s="145">
        <v>1.3</v>
      </c>
      <c r="G205" s="145">
        <v>26</v>
      </c>
      <c r="H205" s="121">
        <v>32.700000000000003</v>
      </c>
      <c r="I205" s="113">
        <v>0.3</v>
      </c>
      <c r="J205" s="89">
        <v>0</v>
      </c>
      <c r="K205" s="89">
        <v>0</v>
      </c>
      <c r="L205" s="89">
        <v>1</v>
      </c>
      <c r="M205" s="89">
        <v>1</v>
      </c>
      <c r="N205" s="113"/>
      <c r="O205" s="113"/>
      <c r="P205" s="113"/>
      <c r="Q205" s="113"/>
      <c r="R205" s="113"/>
      <c r="S205" s="113"/>
      <c r="T205" s="150" t="s">
        <v>881</v>
      </c>
      <c r="U205" t="s">
        <v>613</v>
      </c>
    </row>
    <row r="206" spans="2:21" x14ac:dyDescent="0.2">
      <c r="B206" s="110" t="s">
        <v>873</v>
      </c>
      <c r="C206" s="110" t="s">
        <v>877</v>
      </c>
      <c r="D206" s="133">
        <v>-58220</v>
      </c>
      <c r="E206" s="89">
        <v>-90124</v>
      </c>
      <c r="F206" s="145">
        <v>-1.5</v>
      </c>
      <c r="G206" s="145">
        <v>43</v>
      </c>
      <c r="H206" s="121">
        <v>36</v>
      </c>
      <c r="I206" s="113"/>
      <c r="J206" s="89">
        <v>-1</v>
      </c>
      <c r="K206" s="89">
        <v>1</v>
      </c>
      <c r="L206" s="89">
        <v>1</v>
      </c>
      <c r="M206" s="89">
        <v>1</v>
      </c>
      <c r="N206" s="113"/>
      <c r="O206" s="113"/>
      <c r="P206" s="113"/>
      <c r="Q206" s="113"/>
      <c r="R206" s="113"/>
      <c r="S206" s="113"/>
      <c r="T206" s="150" t="s">
        <v>881</v>
      </c>
      <c r="U206" t="s">
        <v>613</v>
      </c>
    </row>
    <row r="207" spans="2:21" x14ac:dyDescent="0.2">
      <c r="B207" s="110" t="s">
        <v>874</v>
      </c>
      <c r="C207" s="110" t="s">
        <v>878</v>
      </c>
      <c r="D207" s="133">
        <v>-91659</v>
      </c>
      <c r="E207" s="89">
        <v>-140922</v>
      </c>
      <c r="F207" s="145">
        <v>-17.5</v>
      </c>
      <c r="G207" s="145">
        <v>73.3</v>
      </c>
      <c r="H207" s="121">
        <v>28.3</v>
      </c>
      <c r="I207" s="113"/>
      <c r="J207" s="89">
        <v>-2</v>
      </c>
      <c r="K207" s="89">
        <v>1</v>
      </c>
      <c r="L207" s="89">
        <v>1</v>
      </c>
      <c r="M207" s="89">
        <v>1</v>
      </c>
      <c r="N207" s="113"/>
      <c r="O207" s="113"/>
      <c r="P207" s="113"/>
      <c r="Q207" s="113"/>
      <c r="R207" s="113"/>
      <c r="S207" s="113"/>
      <c r="T207" s="150" t="s">
        <v>879</v>
      </c>
      <c r="U207" t="s">
        <v>613</v>
      </c>
    </row>
    <row r="208" spans="2:21" x14ac:dyDescent="0.2">
      <c r="B208" s="110" t="s">
        <v>297</v>
      </c>
      <c r="C208" s="110" t="s">
        <v>298</v>
      </c>
      <c r="D208" s="133">
        <v>-134200</v>
      </c>
      <c r="E208" s="89">
        <v>-126100</v>
      </c>
      <c r="F208" s="145">
        <v>13</v>
      </c>
      <c r="G208" s="145">
        <v>-10.599992895812941</v>
      </c>
      <c r="H208" s="121">
        <v>-14.400281393206109</v>
      </c>
      <c r="I208" s="113">
        <v>0.92900000000000005</v>
      </c>
      <c r="J208" s="89">
        <v>2</v>
      </c>
      <c r="K208" s="89">
        <v>0</v>
      </c>
      <c r="L208" s="89">
        <v>1</v>
      </c>
      <c r="M208" s="89">
        <v>0</v>
      </c>
      <c r="N208" s="113">
        <v>0.62849999999999995</v>
      </c>
      <c r="O208" s="113">
        <v>-6.2469000000000001</v>
      </c>
      <c r="P208" s="113">
        <v>8.2052999999999994</v>
      </c>
      <c r="Q208" s="113">
        <v>-2.5207999999999999</v>
      </c>
      <c r="R208" s="113">
        <v>6.2858000000000001</v>
      </c>
      <c r="S208" s="113">
        <v>-5.9679000000000002</v>
      </c>
      <c r="T208" s="150" t="s">
        <v>747</v>
      </c>
      <c r="U208" t="s">
        <v>613</v>
      </c>
    </row>
    <row r="209" spans="2:21" x14ac:dyDescent="0.2">
      <c r="B209" s="110" t="s">
        <v>299</v>
      </c>
      <c r="C209" s="110" t="s">
        <v>300</v>
      </c>
      <c r="D209" s="133">
        <v>-67800</v>
      </c>
      <c r="E209" s="89">
        <v>-60020</v>
      </c>
      <c r="F209" s="145">
        <v>28.8</v>
      </c>
      <c r="G209" s="145">
        <v>14.260278765069316</v>
      </c>
      <c r="H209" s="121">
        <v>-2.9998875102649709</v>
      </c>
      <c r="I209" s="113">
        <v>0.1502</v>
      </c>
      <c r="J209" s="89">
        <v>1</v>
      </c>
      <c r="K209" s="89">
        <v>0</v>
      </c>
      <c r="L209" s="89">
        <v>0</v>
      </c>
      <c r="M209" s="89">
        <v>0</v>
      </c>
      <c r="N209" s="113">
        <v>4.2912999999999997</v>
      </c>
      <c r="O209" s="113">
        <v>-0.90410000000000001</v>
      </c>
      <c r="P209" s="113">
        <v>7.407</v>
      </c>
      <c r="Q209" s="113">
        <v>-2.7416</v>
      </c>
      <c r="R209" s="113">
        <v>5.7923</v>
      </c>
      <c r="S209" s="113">
        <v>-3.6457000000000002</v>
      </c>
      <c r="T209" s="150" t="s">
        <v>715</v>
      </c>
      <c r="U209" t="s">
        <v>613</v>
      </c>
    </row>
    <row r="210" spans="2:21" x14ac:dyDescent="0.2">
      <c r="B210" s="110" t="s">
        <v>301</v>
      </c>
      <c r="C210" s="110" t="s">
        <v>302</v>
      </c>
      <c r="D210" s="133">
        <v>-166000</v>
      </c>
      <c r="E210" s="89">
        <v>-188200</v>
      </c>
      <c r="F210" s="145">
        <v>48.1</v>
      </c>
      <c r="G210" s="145">
        <v>48.100009435886363</v>
      </c>
      <c r="H210" s="121">
        <v>-0.19974762577051308</v>
      </c>
      <c r="I210" s="113">
        <v>0.90039999999999998</v>
      </c>
      <c r="J210" s="89">
        <v>-1</v>
      </c>
      <c r="K210" s="89">
        <v>0</v>
      </c>
      <c r="L210" s="89">
        <v>1</v>
      </c>
      <c r="M210" s="89">
        <v>0</v>
      </c>
      <c r="N210" s="113">
        <v>8.6513000000000009</v>
      </c>
      <c r="O210" s="113">
        <v>13.3428</v>
      </c>
      <c r="P210" s="113">
        <v>0.50570000000000004</v>
      </c>
      <c r="Q210" s="113">
        <v>-3.3306</v>
      </c>
      <c r="R210" s="113">
        <v>14.344799999999999</v>
      </c>
      <c r="S210" s="113">
        <v>-3.0752999999999999</v>
      </c>
      <c r="T210" s="150" t="s">
        <v>747</v>
      </c>
      <c r="U210" t="s">
        <v>613</v>
      </c>
    </row>
    <row r="211" spans="2:21" x14ac:dyDescent="0.2">
      <c r="B211" s="110" t="s">
        <v>303</v>
      </c>
      <c r="C211" s="110" t="s">
        <v>304</v>
      </c>
      <c r="D211" s="133">
        <v>2790</v>
      </c>
      <c r="E211" s="89">
        <v>-5000</v>
      </c>
      <c r="F211" s="145">
        <v>16</v>
      </c>
      <c r="G211" s="145">
        <v>54.100091845361042</v>
      </c>
      <c r="H211" s="121">
        <v>82.999949481302679</v>
      </c>
      <c r="I211" s="113">
        <v>-0.24229999999999999</v>
      </c>
      <c r="J211" s="89">
        <v>0</v>
      </c>
      <c r="K211" s="89">
        <v>0</v>
      </c>
      <c r="L211" s="89">
        <v>0</v>
      </c>
      <c r="M211" s="89">
        <v>0</v>
      </c>
      <c r="N211" s="113">
        <v>9.0861999999999998</v>
      </c>
      <c r="O211" s="113">
        <v>14.404500000000001</v>
      </c>
      <c r="P211" s="113">
        <v>8.8400000000000006E-2</v>
      </c>
      <c r="Q211" s="113">
        <v>-3.3744999999999998</v>
      </c>
      <c r="R211" s="113">
        <v>52.577399999999997</v>
      </c>
      <c r="S211" s="113">
        <v>13.8725</v>
      </c>
      <c r="T211" s="150" t="s">
        <v>707</v>
      </c>
      <c r="U211" t="s">
        <v>613</v>
      </c>
    </row>
    <row r="212" spans="2:21" x14ac:dyDescent="0.2">
      <c r="B212" s="110" t="s">
        <v>305</v>
      </c>
      <c r="C212" s="110" t="s">
        <v>306</v>
      </c>
      <c r="D212" s="133">
        <v>19000</v>
      </c>
      <c r="E212" s="89">
        <v>7200</v>
      </c>
      <c r="F212" s="145">
        <v>6.8</v>
      </c>
      <c r="G212" s="145">
        <v>20.200210252653573</v>
      </c>
      <c r="H212" s="121">
        <v>-65.099908055049283</v>
      </c>
      <c r="I212" s="113">
        <v>3.1082999999999998</v>
      </c>
      <c r="J212" s="89">
        <v>-2</v>
      </c>
      <c r="K212" s="89">
        <v>0</v>
      </c>
      <c r="L212" s="89">
        <v>1</v>
      </c>
      <c r="M212" s="89">
        <v>0</v>
      </c>
      <c r="N212" s="113">
        <v>5.5796999999999999</v>
      </c>
      <c r="O212" s="113">
        <v>5.8426</v>
      </c>
      <c r="P212" s="113">
        <v>3.4535999999999998</v>
      </c>
      <c r="Q212" s="113">
        <v>-3.0205000000000002</v>
      </c>
      <c r="R212" s="113">
        <v>-3.3496000000000001</v>
      </c>
      <c r="S212" s="113">
        <v>-16.295500000000001</v>
      </c>
      <c r="T212" s="150" t="s">
        <v>747</v>
      </c>
      <c r="U212" t="s">
        <v>613</v>
      </c>
    </row>
    <row r="213" spans="2:21" x14ac:dyDescent="0.2">
      <c r="B213" s="110" t="s">
        <v>307</v>
      </c>
      <c r="C213" s="110" t="s">
        <v>308</v>
      </c>
      <c r="D213" s="133">
        <v>-124900</v>
      </c>
      <c r="E213" s="89">
        <v>-155000</v>
      </c>
      <c r="F213" s="145">
        <v>16</v>
      </c>
      <c r="G213" s="145">
        <v>28.500185532561733</v>
      </c>
      <c r="H213" s="121">
        <v>-57.299544754957878</v>
      </c>
      <c r="I213" s="113">
        <v>2.9693999999999998</v>
      </c>
      <c r="J213" s="89">
        <v>-2</v>
      </c>
      <c r="K213" s="89">
        <v>0</v>
      </c>
      <c r="L213" s="89">
        <v>1</v>
      </c>
      <c r="M213" s="89">
        <v>0</v>
      </c>
      <c r="N213" s="113">
        <v>6.6684999999999999</v>
      </c>
      <c r="O213" s="113">
        <v>12.495100000000001</v>
      </c>
      <c r="P213" s="113">
        <v>-7.7281000000000004</v>
      </c>
      <c r="Q213" s="113">
        <v>-3.2955000000000001</v>
      </c>
      <c r="R213" s="113">
        <v>-5.7700000000000001E-2</v>
      </c>
      <c r="S213" s="113">
        <v>-14.7066</v>
      </c>
      <c r="T213" s="150" t="s">
        <v>747</v>
      </c>
      <c r="U213" t="s">
        <v>613</v>
      </c>
    </row>
    <row r="214" spans="2:21" x14ac:dyDescent="0.2">
      <c r="B214" s="110" t="s">
        <v>309</v>
      </c>
      <c r="C214" s="110" t="s">
        <v>310</v>
      </c>
      <c r="D214" s="133">
        <v>-143500</v>
      </c>
      <c r="E214" s="89">
        <v>-180100</v>
      </c>
      <c r="F214" s="145">
        <v>22</v>
      </c>
      <c r="G214" s="145">
        <v>35.399847803481798</v>
      </c>
      <c r="H214" s="121">
        <v>-52.900351926952467</v>
      </c>
      <c r="I214" s="113">
        <v>2.8772000000000002</v>
      </c>
      <c r="J214" s="89">
        <v>-2</v>
      </c>
      <c r="K214" s="89">
        <v>0</v>
      </c>
      <c r="L214" s="89">
        <v>1</v>
      </c>
      <c r="M214" s="89">
        <v>0</v>
      </c>
      <c r="N214" s="113">
        <v>7.5815000000000001</v>
      </c>
      <c r="O214" s="113">
        <v>10.730600000000001</v>
      </c>
      <c r="P214" s="113">
        <v>1.5324</v>
      </c>
      <c r="Q214" s="113">
        <v>-3.2225999999999999</v>
      </c>
      <c r="R214" s="113">
        <v>1.6707000000000001</v>
      </c>
      <c r="S214" s="113">
        <v>-13.8103</v>
      </c>
      <c r="T214" s="150" t="s">
        <v>747</v>
      </c>
      <c r="U214" t="s">
        <v>613</v>
      </c>
    </row>
    <row r="215" spans="2:21" x14ac:dyDescent="0.2">
      <c r="B215" s="110" t="s">
        <v>311</v>
      </c>
      <c r="C215" s="110" t="s">
        <v>312</v>
      </c>
      <c r="D215" s="133">
        <v>-189000</v>
      </c>
      <c r="E215" s="89">
        <v>-232000</v>
      </c>
      <c r="F215" s="145">
        <v>25</v>
      </c>
      <c r="G215" s="145">
        <v>38.399774661428161</v>
      </c>
      <c r="H215" s="121">
        <v>-50.500131801086255</v>
      </c>
      <c r="I215" s="113">
        <v>2.8342999999999998</v>
      </c>
      <c r="J215" s="89">
        <v>-2</v>
      </c>
      <c r="K215" s="89">
        <v>0</v>
      </c>
      <c r="L215" s="89">
        <v>1</v>
      </c>
      <c r="M215" s="89">
        <v>0</v>
      </c>
      <c r="N215" s="113">
        <v>7.9775</v>
      </c>
      <c r="O215" s="113">
        <v>11.6976</v>
      </c>
      <c r="P215" s="113">
        <v>1.1524000000000001</v>
      </c>
      <c r="Q215" s="113">
        <v>-3.2625999999999999</v>
      </c>
      <c r="R215" s="113">
        <v>2.6823999999999999</v>
      </c>
      <c r="S215" s="113">
        <v>-13.3215</v>
      </c>
      <c r="T215" s="150" t="s">
        <v>747</v>
      </c>
      <c r="U215" t="s">
        <v>613</v>
      </c>
    </row>
    <row r="216" spans="2:21" x14ac:dyDescent="0.2">
      <c r="B216" s="110" t="s">
        <v>313</v>
      </c>
      <c r="C216" s="110" t="s">
        <v>314</v>
      </c>
      <c r="D216" s="133">
        <v>-231000</v>
      </c>
      <c r="E216" s="89">
        <v>-280400</v>
      </c>
      <c r="F216" s="145">
        <v>30</v>
      </c>
      <c r="G216" s="145">
        <v>43.299857952621963</v>
      </c>
      <c r="H216" s="121">
        <v>-46.499984811608293</v>
      </c>
      <c r="I216" s="113">
        <v>2.7587000000000002</v>
      </c>
      <c r="J216" s="89">
        <v>-2</v>
      </c>
      <c r="K216" s="89">
        <v>0</v>
      </c>
      <c r="L216" s="89">
        <v>1</v>
      </c>
      <c r="M216" s="89">
        <v>0</v>
      </c>
      <c r="N216" s="113">
        <v>8.6225000000000005</v>
      </c>
      <c r="O216" s="113">
        <v>13.272399999999999</v>
      </c>
      <c r="P216" s="113">
        <v>0.53339999999999999</v>
      </c>
      <c r="Q216" s="113">
        <v>-3.3277000000000001</v>
      </c>
      <c r="R216" s="113">
        <v>4.3300999999999998</v>
      </c>
      <c r="S216" s="113">
        <v>-12.506600000000001</v>
      </c>
      <c r="T216" s="150" t="s">
        <v>747</v>
      </c>
      <c r="U216" t="s">
        <v>613</v>
      </c>
    </row>
    <row r="217" spans="2:21" x14ac:dyDescent="0.2">
      <c r="B217" s="110" t="s">
        <v>315</v>
      </c>
      <c r="C217" s="110" t="s">
        <v>316</v>
      </c>
      <c r="D217" s="133">
        <v>-266500</v>
      </c>
      <c r="E217" s="89">
        <v>-321400</v>
      </c>
      <c r="F217" s="145">
        <v>58.4</v>
      </c>
      <c r="G217" s="145">
        <v>79.000105328955286</v>
      </c>
      <c r="H217" s="121">
        <v>-25.000264851991577</v>
      </c>
      <c r="I217" s="113">
        <v>2.3281000000000001</v>
      </c>
      <c r="J217" s="89">
        <v>-2</v>
      </c>
      <c r="K217" s="89">
        <v>0</v>
      </c>
      <c r="L217" s="89">
        <v>1</v>
      </c>
      <c r="M217" s="89">
        <v>0</v>
      </c>
      <c r="N217" s="113">
        <v>13.3622</v>
      </c>
      <c r="O217" s="113">
        <v>24.845400000000001</v>
      </c>
      <c r="P217" s="113">
        <v>-4.0152999999999999</v>
      </c>
      <c r="Q217" s="113">
        <v>-3.8060999999999998</v>
      </c>
      <c r="R217" s="113">
        <v>12.963200000000001</v>
      </c>
      <c r="S217" s="113">
        <v>-8.1271000000000004</v>
      </c>
      <c r="T217" s="150" t="s">
        <v>747</v>
      </c>
      <c r="U217" t="s">
        <v>613</v>
      </c>
    </row>
    <row r="218" spans="2:21" x14ac:dyDescent="0.2">
      <c r="B218" s="110" t="s">
        <v>769</v>
      </c>
      <c r="C218" s="110" t="s">
        <v>770</v>
      </c>
      <c r="D218" s="133">
        <v>13160</v>
      </c>
      <c r="E218" s="89">
        <v>0</v>
      </c>
      <c r="F218" s="145">
        <v>23</v>
      </c>
      <c r="G218" s="145">
        <v>77</v>
      </c>
      <c r="H218" s="121">
        <v>95</v>
      </c>
      <c r="I218" s="113">
        <v>1.6</v>
      </c>
      <c r="J218" s="89">
        <v>-1</v>
      </c>
      <c r="K218" s="89">
        <v>0</v>
      </c>
      <c r="L218" s="89">
        <v>1</v>
      </c>
      <c r="M218" s="89">
        <v>1</v>
      </c>
      <c r="N218" s="113">
        <v>17.242000000000001</v>
      </c>
      <c r="O218" s="113">
        <v>12.132999999999999</v>
      </c>
      <c r="P218" s="113">
        <v>-5.3353000000000002</v>
      </c>
      <c r="Q218" s="113">
        <v>-3.2806000000000002</v>
      </c>
      <c r="R218" s="113">
        <v>76.582999999999998</v>
      </c>
      <c r="S218" s="113">
        <v>16.3169</v>
      </c>
      <c r="T218" s="150" t="s">
        <v>855</v>
      </c>
      <c r="U218" t="s">
        <v>613</v>
      </c>
    </row>
    <row r="219" spans="2:21" x14ac:dyDescent="0.2">
      <c r="B219" s="110" t="s">
        <v>317</v>
      </c>
      <c r="C219" s="110" t="s">
        <v>318</v>
      </c>
      <c r="D219" s="133">
        <v>17600</v>
      </c>
      <c r="E219" s="89">
        <v>6200</v>
      </c>
      <c r="F219" s="145">
        <v>15.8</v>
      </c>
      <c r="G219" s="145">
        <v>29.199763744824732</v>
      </c>
      <c r="H219" s="121">
        <v>-57.900337723549427</v>
      </c>
      <c r="I219" s="113">
        <v>2.9748999999999999</v>
      </c>
      <c r="J219" s="89">
        <v>-2</v>
      </c>
      <c r="K219" s="89">
        <v>0</v>
      </c>
      <c r="L219" s="89">
        <v>1</v>
      </c>
      <c r="M219" s="89">
        <v>0</v>
      </c>
      <c r="N219" s="113">
        <v>6.7660999999999998</v>
      </c>
      <c r="O219" s="113">
        <v>8.7395999999999994</v>
      </c>
      <c r="P219" s="113">
        <v>2.3149999999999999</v>
      </c>
      <c r="Q219" s="113">
        <v>-3.1402999999999999</v>
      </c>
      <c r="R219" s="113">
        <v>-0.35949999999999999</v>
      </c>
      <c r="S219" s="113">
        <v>-14.828799999999999</v>
      </c>
      <c r="T219" s="150" t="s">
        <v>747</v>
      </c>
      <c r="U219" t="s">
        <v>613</v>
      </c>
    </row>
    <row r="220" spans="2:21" x14ac:dyDescent="0.2">
      <c r="B220" s="110" t="s">
        <v>319</v>
      </c>
      <c r="C220" s="110" t="s">
        <v>320</v>
      </c>
      <c r="D220" s="133">
        <v>-229000</v>
      </c>
      <c r="E220" s="89">
        <v>-279000</v>
      </c>
      <c r="F220" s="145">
        <v>33</v>
      </c>
      <c r="G220" s="145">
        <v>46.400047997667656</v>
      </c>
      <c r="H220" s="121">
        <v>-44.099790031242065</v>
      </c>
      <c r="I220" s="113">
        <v>2.7130999999999998</v>
      </c>
      <c r="J220" s="89">
        <v>-2</v>
      </c>
      <c r="K220" s="89">
        <v>0</v>
      </c>
      <c r="L220" s="89">
        <v>1</v>
      </c>
      <c r="M220" s="89">
        <v>0</v>
      </c>
      <c r="N220" s="113">
        <v>9.0312999999999999</v>
      </c>
      <c r="O220" s="113">
        <v>14.2706</v>
      </c>
      <c r="P220" s="113">
        <v>0.14099999999999999</v>
      </c>
      <c r="Q220" s="113">
        <v>-3.3689</v>
      </c>
      <c r="R220" s="113">
        <v>5.3169000000000004</v>
      </c>
      <c r="S220" s="113">
        <v>-12.017799999999999</v>
      </c>
      <c r="T220" s="150" t="s">
        <v>747</v>
      </c>
      <c r="U220" t="s">
        <v>613</v>
      </c>
    </row>
    <row r="221" spans="2:21" x14ac:dyDescent="0.2">
      <c r="B221" s="110" t="s">
        <v>321</v>
      </c>
      <c r="C221" s="110" t="s">
        <v>322</v>
      </c>
      <c r="D221" s="133">
        <v>16500</v>
      </c>
      <c r="E221" s="89">
        <v>5500</v>
      </c>
      <c r="F221" s="145">
        <v>24.7</v>
      </c>
      <c r="G221" s="145">
        <v>38.099969444645097</v>
      </c>
      <c r="H221" s="121">
        <v>-50.700438514349969</v>
      </c>
      <c r="I221" s="113">
        <v>2.839</v>
      </c>
      <c r="J221" s="89">
        <v>-2</v>
      </c>
      <c r="K221" s="89">
        <v>0</v>
      </c>
      <c r="L221" s="89">
        <v>1</v>
      </c>
      <c r="M221" s="89">
        <v>0</v>
      </c>
      <c r="N221" s="113">
        <v>7.9381000000000004</v>
      </c>
      <c r="O221" s="113">
        <v>11.6012</v>
      </c>
      <c r="P221" s="113">
        <v>1.1901999999999999</v>
      </c>
      <c r="Q221" s="113">
        <v>-3.2585999999999999</v>
      </c>
      <c r="R221" s="113">
        <v>2.6080999999999999</v>
      </c>
      <c r="S221" s="113">
        <v>-13.3622</v>
      </c>
      <c r="T221" s="150" t="s">
        <v>747</v>
      </c>
      <c r="U221" t="s">
        <v>613</v>
      </c>
    </row>
    <row r="222" spans="2:21" x14ac:dyDescent="0.2">
      <c r="B222" s="110" t="s">
        <v>323</v>
      </c>
      <c r="C222" s="110" t="s">
        <v>324</v>
      </c>
      <c r="D222" s="133">
        <v>-248700</v>
      </c>
      <c r="E222" s="89">
        <v>-292600</v>
      </c>
      <c r="F222" s="145">
        <v>61.5</v>
      </c>
      <c r="G222" s="145">
        <v>74.899700839425066</v>
      </c>
      <c r="H222" s="121">
        <v>-21.300041640359787</v>
      </c>
      <c r="I222" s="113">
        <v>2.2805</v>
      </c>
      <c r="J222" s="89">
        <v>-2</v>
      </c>
      <c r="K222" s="89">
        <v>0</v>
      </c>
      <c r="L222" s="89">
        <v>1</v>
      </c>
      <c r="M222" s="89">
        <v>0</v>
      </c>
      <c r="N222" s="113">
        <v>12.785</v>
      </c>
      <c r="O222" s="113">
        <v>23.436199999999999</v>
      </c>
      <c r="P222" s="113">
        <v>-3.4613999999999998</v>
      </c>
      <c r="Q222" s="113">
        <v>-3.7479</v>
      </c>
      <c r="R222" s="113">
        <v>14.693300000000001</v>
      </c>
      <c r="S222" s="113">
        <v>-7.3734000000000002</v>
      </c>
      <c r="T222" s="150" t="s">
        <v>747</v>
      </c>
      <c r="U222" t="s">
        <v>613</v>
      </c>
    </row>
    <row r="223" spans="2:21" x14ac:dyDescent="0.2">
      <c r="B223" s="110" t="s">
        <v>325</v>
      </c>
      <c r="C223" s="110" t="s">
        <v>326</v>
      </c>
      <c r="D223" s="133">
        <v>15700</v>
      </c>
      <c r="E223" s="89">
        <v>5100</v>
      </c>
      <c r="F223" s="145">
        <v>33.6</v>
      </c>
      <c r="G223" s="145">
        <v>46.999953029855078</v>
      </c>
      <c r="H223" s="121">
        <v>-43.599816564632178</v>
      </c>
      <c r="I223" s="113">
        <v>2.7050999999999998</v>
      </c>
      <c r="J223" s="89">
        <v>-2</v>
      </c>
      <c r="K223" s="89">
        <v>0</v>
      </c>
      <c r="L223" s="89">
        <v>1</v>
      </c>
      <c r="M223" s="89">
        <v>0</v>
      </c>
      <c r="N223" s="113">
        <v>9.1106999999999996</v>
      </c>
      <c r="O223" s="113">
        <v>14.464499999999999</v>
      </c>
      <c r="P223" s="113">
        <v>6.4899999999999999E-2</v>
      </c>
      <c r="Q223" s="113">
        <v>-3.3769999999999998</v>
      </c>
      <c r="R223" s="113">
        <v>5.5361000000000002</v>
      </c>
      <c r="S223" s="113">
        <v>-11.915900000000001</v>
      </c>
      <c r="T223" s="150" t="s">
        <v>747</v>
      </c>
      <c r="U223" t="s">
        <v>613</v>
      </c>
    </row>
    <row r="224" spans="2:21" x14ac:dyDescent="0.2">
      <c r="B224" s="110" t="s">
        <v>327</v>
      </c>
      <c r="C224" s="110" t="s">
        <v>328</v>
      </c>
      <c r="D224" s="133">
        <v>-229000</v>
      </c>
      <c r="E224" s="89">
        <v>-281000</v>
      </c>
      <c r="F224" s="145">
        <v>40</v>
      </c>
      <c r="G224" s="145">
        <v>53.399919877335606</v>
      </c>
      <c r="H224" s="121">
        <v>-38.49991853575316</v>
      </c>
      <c r="I224" s="113">
        <v>2.6076000000000001</v>
      </c>
      <c r="J224" s="89">
        <v>-2</v>
      </c>
      <c r="K224" s="89">
        <v>0</v>
      </c>
      <c r="L224" s="89">
        <v>1</v>
      </c>
      <c r="M224" s="89">
        <v>0</v>
      </c>
      <c r="N224" s="113">
        <v>9.9535</v>
      </c>
      <c r="O224" s="113">
        <v>16.522400000000001</v>
      </c>
      <c r="P224" s="113">
        <v>-0.74399999999999999</v>
      </c>
      <c r="Q224" s="113">
        <v>-3.4620000000000002</v>
      </c>
      <c r="R224" s="113">
        <v>7.6265999999999998</v>
      </c>
      <c r="S224" s="113">
        <v>-10.877000000000001</v>
      </c>
      <c r="T224" s="150" t="s">
        <v>747</v>
      </c>
      <c r="U224" t="s">
        <v>613</v>
      </c>
    </row>
    <row r="225" spans="2:21" x14ac:dyDescent="0.2">
      <c r="B225" s="110" t="s">
        <v>335</v>
      </c>
      <c r="C225" s="110" t="s">
        <v>336</v>
      </c>
      <c r="D225" s="133">
        <v>-140200</v>
      </c>
      <c r="E225" s="89">
        <v>-146800</v>
      </c>
      <c r="F225" s="145">
        <v>-61</v>
      </c>
      <c r="G225" s="145">
        <v>-41.900041018795427</v>
      </c>
      <c r="H225" s="121">
        <v>-35.400314660513331</v>
      </c>
      <c r="I225" s="113">
        <v>2.5003000000000002</v>
      </c>
      <c r="J225" s="89">
        <v>3</v>
      </c>
      <c r="K225" s="89">
        <v>0</v>
      </c>
      <c r="L225" s="89">
        <v>1</v>
      </c>
      <c r="M225" s="89">
        <v>0</v>
      </c>
      <c r="N225" s="113">
        <v>-3.1236000000000002</v>
      </c>
      <c r="O225" s="113">
        <v>-15.4084</v>
      </c>
      <c r="P225" s="113">
        <v>11.8062</v>
      </c>
      <c r="Q225" s="113">
        <v>-2.1419999999999999</v>
      </c>
      <c r="R225" s="113">
        <v>8.4545999999999992</v>
      </c>
      <c r="S225" s="113">
        <v>-10.2456</v>
      </c>
      <c r="T225" s="150" t="s">
        <v>747</v>
      </c>
      <c r="U225" t="s">
        <v>613</v>
      </c>
    </row>
    <row r="226" spans="2:21" x14ac:dyDescent="0.2">
      <c r="B226" s="110" t="s">
        <v>337</v>
      </c>
      <c r="C226" s="110" t="s">
        <v>338</v>
      </c>
      <c r="D226" s="133">
        <v>-88400</v>
      </c>
      <c r="E226" s="89">
        <v>-121700</v>
      </c>
      <c r="F226" s="145">
        <v>3</v>
      </c>
      <c r="G226" s="145">
        <v>16.400033062227077</v>
      </c>
      <c r="H226" s="121">
        <v>-68.100161157807463</v>
      </c>
      <c r="I226" s="113">
        <v>3.1657999999999999</v>
      </c>
      <c r="J226" s="89">
        <v>-2</v>
      </c>
      <c r="K226" s="89">
        <v>0</v>
      </c>
      <c r="L226" s="89">
        <v>1</v>
      </c>
      <c r="M226" s="89">
        <v>0</v>
      </c>
      <c r="N226" s="113">
        <v>5.0791000000000004</v>
      </c>
      <c r="O226" s="113">
        <v>4.6204000000000001</v>
      </c>
      <c r="P226" s="113">
        <v>3.9340000000000002</v>
      </c>
      <c r="Q226" s="113">
        <v>-2.97</v>
      </c>
      <c r="R226" s="113">
        <v>-4.5782999999999996</v>
      </c>
      <c r="S226" s="113">
        <v>-16.906600000000001</v>
      </c>
      <c r="T226" s="150" t="s">
        <v>747</v>
      </c>
      <c r="U226" t="s">
        <v>613</v>
      </c>
    </row>
    <row r="227" spans="2:21" x14ac:dyDescent="0.2">
      <c r="B227" s="110" t="s">
        <v>339</v>
      </c>
      <c r="C227" s="110" t="s">
        <v>340</v>
      </c>
      <c r="D227" s="133">
        <v>-105500</v>
      </c>
      <c r="E227" s="89">
        <v>-143200</v>
      </c>
      <c r="F227" s="145">
        <v>12.9</v>
      </c>
      <c r="G227" s="145">
        <v>20.700183756115845</v>
      </c>
      <c r="H227" s="121">
        <v>-60.199604228933985</v>
      </c>
      <c r="I227" s="113">
        <v>3.0192000000000001</v>
      </c>
      <c r="J227" s="89">
        <v>-2</v>
      </c>
      <c r="K227" s="89">
        <v>0</v>
      </c>
      <c r="L227" s="89">
        <v>1</v>
      </c>
      <c r="M227" s="89">
        <v>0</v>
      </c>
      <c r="N227" s="113">
        <v>5.6180000000000003</v>
      </c>
      <c r="O227" s="113">
        <v>5.9362000000000004</v>
      </c>
      <c r="P227" s="113">
        <v>3.4167999999999998</v>
      </c>
      <c r="Q227" s="113">
        <v>-3.0244</v>
      </c>
      <c r="R227" s="113">
        <v>-1.2986</v>
      </c>
      <c r="S227" s="113">
        <v>-15.2973</v>
      </c>
      <c r="T227" s="150" t="s">
        <v>747</v>
      </c>
      <c r="U227" t="s">
        <v>613</v>
      </c>
    </row>
    <row r="228" spans="2:21" x14ac:dyDescent="0.2">
      <c r="B228" s="110" t="s">
        <v>576</v>
      </c>
      <c r="C228" s="110" t="s">
        <v>577</v>
      </c>
      <c r="D228" s="133">
        <v>-400751</v>
      </c>
      <c r="E228" s="89">
        <v>-427304</v>
      </c>
      <c r="F228" s="145">
        <v>18</v>
      </c>
      <c r="G228" s="145">
        <v>40.000241679068168</v>
      </c>
      <c r="H228" s="121">
        <v>48.999999179543373</v>
      </c>
      <c r="I228" s="113">
        <v>0.1</v>
      </c>
      <c r="J228" s="89">
        <v>0</v>
      </c>
      <c r="K228" s="89">
        <v>0</v>
      </c>
      <c r="L228" s="89">
        <v>0</v>
      </c>
      <c r="M228" s="89">
        <v>1</v>
      </c>
      <c r="N228" s="113">
        <v>10.0724</v>
      </c>
      <c r="O228" s="113">
        <v>2.6930999999999998</v>
      </c>
      <c r="P228" s="113">
        <v>0.67149999999999999</v>
      </c>
      <c r="Q228" s="113">
        <v>-2.8902999999999999</v>
      </c>
      <c r="R228" s="113">
        <v>35.804900000000004</v>
      </c>
      <c r="S228" s="113">
        <v>6.9466999999999999</v>
      </c>
      <c r="T228" s="150" t="s">
        <v>751</v>
      </c>
      <c r="U228" t="s">
        <v>613</v>
      </c>
    </row>
    <row r="229" spans="2:21" x14ac:dyDescent="0.2">
      <c r="B229" s="110" t="s">
        <v>814</v>
      </c>
      <c r="C229" s="110" t="s">
        <v>815</v>
      </c>
      <c r="D229" s="133">
        <v>-590200</v>
      </c>
      <c r="E229" s="89">
        <v>-656130</v>
      </c>
      <c r="F229" s="145">
        <v>13</v>
      </c>
      <c r="G229" s="145">
        <v>67.7</v>
      </c>
      <c r="H229" s="121">
        <v>119</v>
      </c>
      <c r="I229" s="113">
        <v>1</v>
      </c>
      <c r="J229" s="89">
        <v>0</v>
      </c>
      <c r="K229" s="89">
        <v>0</v>
      </c>
      <c r="L229" s="89">
        <v>1</v>
      </c>
      <c r="M229" s="89">
        <v>1</v>
      </c>
      <c r="N229" s="113"/>
      <c r="O229" s="113"/>
      <c r="P229" s="113"/>
      <c r="Q229" s="113"/>
      <c r="R229" s="113"/>
      <c r="S229" s="113"/>
      <c r="T229" s="150" t="s">
        <v>817</v>
      </c>
      <c r="U229" t="s">
        <v>613</v>
      </c>
    </row>
    <row r="230" spans="2:21" x14ac:dyDescent="0.2">
      <c r="B230" s="110" t="s">
        <v>341</v>
      </c>
      <c r="C230" s="110" t="s">
        <v>342</v>
      </c>
      <c r="D230" s="133">
        <v>-199557</v>
      </c>
      <c r="E230" s="89">
        <v>-213937</v>
      </c>
      <c r="F230" s="145">
        <v>5.3</v>
      </c>
      <c r="G230" s="145">
        <v>18</v>
      </c>
      <c r="H230" s="121">
        <v>27.699987784690379</v>
      </c>
      <c r="I230" s="113">
        <v>0.36</v>
      </c>
      <c r="J230" s="89">
        <v>0</v>
      </c>
      <c r="K230" s="89">
        <v>0</v>
      </c>
      <c r="L230" s="89">
        <v>0</v>
      </c>
      <c r="M230" s="89">
        <v>1</v>
      </c>
      <c r="N230" s="113">
        <v>4.8997999999999999</v>
      </c>
      <c r="O230" s="113">
        <v>1.409</v>
      </c>
      <c r="P230" s="113">
        <v>4.4066000000000001</v>
      </c>
      <c r="Q230" s="113">
        <v>-2.8372000000000002</v>
      </c>
      <c r="R230" s="113">
        <v>25.717099999999999</v>
      </c>
      <c r="S230" s="113">
        <v>2.6078999999999999</v>
      </c>
      <c r="T230" s="150" t="s">
        <v>751</v>
      </c>
      <c r="U230" t="s">
        <v>613</v>
      </c>
    </row>
    <row r="231" spans="2:21" x14ac:dyDescent="0.2">
      <c r="B231" s="110" t="s">
        <v>343</v>
      </c>
      <c r="C231" s="110" t="s">
        <v>344</v>
      </c>
      <c r="D231" s="133">
        <v>-123000</v>
      </c>
      <c r="E231" s="89">
        <v>-120500</v>
      </c>
      <c r="F231" s="145">
        <v>-6.2</v>
      </c>
      <c r="G231" s="145">
        <v>-5.7000765528745809</v>
      </c>
      <c r="H231" s="121">
        <v>3.700319865124996</v>
      </c>
      <c r="I231" s="113">
        <v>1.2284999999999999</v>
      </c>
      <c r="J231" s="89">
        <v>2</v>
      </c>
      <c r="K231" s="89">
        <v>0</v>
      </c>
      <c r="L231" s="89">
        <v>1</v>
      </c>
      <c r="M231" s="89">
        <v>0</v>
      </c>
      <c r="N231" s="113">
        <v>1.4001999999999999</v>
      </c>
      <c r="O231" s="113">
        <v>-4.3624999999999998</v>
      </c>
      <c r="P231" s="113">
        <v>7.4646999999999997</v>
      </c>
      <c r="Q231" s="113">
        <v>-2.5987</v>
      </c>
      <c r="R231" s="113">
        <v>19.653300000000002</v>
      </c>
      <c r="S231" s="113">
        <v>-2.2808999999999999</v>
      </c>
      <c r="T231" s="150" t="s">
        <v>747</v>
      </c>
      <c r="U231" t="s">
        <v>613</v>
      </c>
    </row>
    <row r="232" spans="2:21" x14ac:dyDescent="0.2">
      <c r="B232" s="110" t="s">
        <v>345</v>
      </c>
      <c r="C232" s="110" t="s">
        <v>346</v>
      </c>
      <c r="D232" s="133">
        <v>-159100</v>
      </c>
      <c r="E232" s="89">
        <v>-165200</v>
      </c>
      <c r="F232" s="145">
        <v>-50.7</v>
      </c>
      <c r="G232" s="145">
        <v>-42.000208436189837</v>
      </c>
      <c r="H232" s="121">
        <v>-43.299678160586396</v>
      </c>
      <c r="I232" s="113">
        <v>2.2955000000000001</v>
      </c>
      <c r="J232" s="89">
        <v>3</v>
      </c>
      <c r="K232" s="89">
        <v>0</v>
      </c>
      <c r="L232" s="89">
        <v>1</v>
      </c>
      <c r="M232" s="89">
        <v>0</v>
      </c>
      <c r="N232" s="113">
        <v>-3.2065000000000001</v>
      </c>
      <c r="O232" s="113">
        <v>-15.610799999999999</v>
      </c>
      <c r="P232" s="113">
        <v>11.8857</v>
      </c>
      <c r="Q232" s="113">
        <v>-2.1337000000000002</v>
      </c>
      <c r="R232" s="113">
        <v>1.9384999999999999</v>
      </c>
      <c r="S232" s="113">
        <v>-11.854799999999999</v>
      </c>
      <c r="T232" s="150" t="s">
        <v>747</v>
      </c>
      <c r="U232" t="s">
        <v>613</v>
      </c>
    </row>
    <row r="233" spans="2:21" x14ac:dyDescent="0.2">
      <c r="B233" s="110" t="s">
        <v>347</v>
      </c>
      <c r="C233" s="110" t="s">
        <v>348</v>
      </c>
      <c r="D233" s="133">
        <v>-6630</v>
      </c>
      <c r="E233" s="89">
        <v>-2100</v>
      </c>
      <c r="F233" s="145">
        <v>-3.8</v>
      </c>
      <c r="G233" s="145">
        <v>-15.499903172603366</v>
      </c>
      <c r="H233" s="121">
        <v>-11.200138799383817</v>
      </c>
      <c r="I233" s="113">
        <v>1.286</v>
      </c>
      <c r="J233" s="89">
        <v>2</v>
      </c>
      <c r="K233" s="89">
        <v>0</v>
      </c>
      <c r="L233" s="89">
        <v>1</v>
      </c>
      <c r="M233" s="89">
        <v>0</v>
      </c>
      <c r="N233" s="113">
        <v>7.8600000000000003E-2</v>
      </c>
      <c r="O233" s="113">
        <v>-7.5895000000000001</v>
      </c>
      <c r="P233" s="113">
        <v>8.7330000000000005</v>
      </c>
      <c r="Q233" s="113">
        <v>-2.4651999999999998</v>
      </c>
      <c r="R233" s="113">
        <v>11.450200000000001</v>
      </c>
      <c r="S233" s="113">
        <v>-5.3159999999999998</v>
      </c>
      <c r="T233" s="150" t="s">
        <v>747</v>
      </c>
      <c r="U233" t="s">
        <v>613</v>
      </c>
    </row>
    <row r="234" spans="2:21" x14ac:dyDescent="0.2">
      <c r="B234" s="110" t="s">
        <v>329</v>
      </c>
      <c r="C234" s="110" t="s">
        <v>330</v>
      </c>
      <c r="D234" s="133">
        <v>-71980</v>
      </c>
      <c r="E234" s="89">
        <v>-77194</v>
      </c>
      <c r="F234" s="145">
        <v>38.700000000000003</v>
      </c>
      <c r="G234" s="145">
        <v>38.500025567387873</v>
      </c>
      <c r="H234" s="121">
        <v>46.600261183876754</v>
      </c>
      <c r="I234" s="113">
        <v>-0.24610000000000001</v>
      </c>
      <c r="J234" s="89">
        <v>0</v>
      </c>
      <c r="K234" s="89">
        <v>0</v>
      </c>
      <c r="L234" s="89">
        <v>1</v>
      </c>
      <c r="M234" s="89">
        <v>1</v>
      </c>
      <c r="N234" s="113">
        <v>6.9501999999999997</v>
      </c>
      <c r="O234" s="113">
        <v>9.1890000000000001</v>
      </c>
      <c r="P234" s="113">
        <v>2.1383000000000001</v>
      </c>
      <c r="Q234" s="113">
        <v>-3.1589</v>
      </c>
      <c r="R234" s="113">
        <v>31.210100000000001</v>
      </c>
      <c r="S234" s="113">
        <v>6.4577999999999998</v>
      </c>
      <c r="T234" s="150" t="s">
        <v>752</v>
      </c>
      <c r="U234" t="s">
        <v>613</v>
      </c>
    </row>
    <row r="235" spans="2:21" x14ac:dyDescent="0.2">
      <c r="B235" s="110" t="s">
        <v>331</v>
      </c>
      <c r="C235" s="110" t="s">
        <v>332</v>
      </c>
      <c r="D235" s="133">
        <v>-116300</v>
      </c>
      <c r="E235" s="89">
        <v>-151900</v>
      </c>
      <c r="F235" s="145">
        <v>-7</v>
      </c>
      <c r="G235" s="145">
        <v>5.6000958060462365</v>
      </c>
      <c r="H235" s="121">
        <v>-76.100000057162589</v>
      </c>
      <c r="I235" s="113">
        <v>3.3210000000000002</v>
      </c>
      <c r="J235" s="89">
        <v>-2</v>
      </c>
      <c r="K235" s="89">
        <v>0</v>
      </c>
      <c r="L235" s="89">
        <v>1</v>
      </c>
      <c r="M235" s="89">
        <v>0</v>
      </c>
      <c r="N235" s="113">
        <v>3.6537000000000002</v>
      </c>
      <c r="O235" s="113">
        <v>0.31909999999999999</v>
      </c>
      <c r="P235" s="113">
        <v>7.3853</v>
      </c>
      <c r="Q235" s="113">
        <v>-2.7921999999999998</v>
      </c>
      <c r="R235" s="113">
        <v>-7.8368000000000002</v>
      </c>
      <c r="S235" s="113">
        <v>-18.536200000000001</v>
      </c>
      <c r="T235" s="150" t="s">
        <v>747</v>
      </c>
      <c r="U235" t="s">
        <v>613</v>
      </c>
    </row>
    <row r="236" spans="2:21" x14ac:dyDescent="0.2">
      <c r="B236" s="110" t="s">
        <v>333</v>
      </c>
      <c r="C236" s="110" t="s">
        <v>334</v>
      </c>
      <c r="D236" s="133">
        <v>-177930</v>
      </c>
      <c r="E236" s="89">
        <v>-217400</v>
      </c>
      <c r="F236" s="145">
        <v>4.5</v>
      </c>
      <c r="G236" s="145">
        <v>13.879913272326535</v>
      </c>
      <c r="H236" s="121">
        <v>-63.920042636897662</v>
      </c>
      <c r="I236" s="113">
        <v>3.1463000000000001</v>
      </c>
      <c r="J236" s="89">
        <v>-2</v>
      </c>
      <c r="K236" s="89">
        <v>0</v>
      </c>
      <c r="L236" s="89">
        <v>0</v>
      </c>
      <c r="M236" s="89">
        <v>0</v>
      </c>
      <c r="N236" s="113">
        <v>8.3013999999999992</v>
      </c>
      <c r="O236" s="113">
        <v>-1.9845999999999999</v>
      </c>
      <c r="P236" s="113">
        <v>-6.2122000000000002</v>
      </c>
      <c r="Q236" s="113">
        <v>-2.6970000000000001</v>
      </c>
      <c r="R236" s="113">
        <v>1.64</v>
      </c>
      <c r="S236" s="113">
        <v>-17.998000000000001</v>
      </c>
      <c r="T236" s="150" t="s">
        <v>715</v>
      </c>
      <c r="U236" t="s">
        <v>613</v>
      </c>
    </row>
    <row r="237" spans="2:21" x14ac:dyDescent="0.2">
      <c r="B237" s="110" t="s">
        <v>349</v>
      </c>
      <c r="C237" s="110" t="s">
        <v>350</v>
      </c>
      <c r="D237" s="133">
        <v>-134760</v>
      </c>
      <c r="E237" s="89">
        <v>-131670</v>
      </c>
      <c r="F237" s="145">
        <v>-7.53</v>
      </c>
      <c r="G237" s="145">
        <v>-17.410037205641839</v>
      </c>
      <c r="H237" s="121">
        <v>-10.05006004734174</v>
      </c>
      <c r="I237" s="113">
        <v>1.1363000000000001</v>
      </c>
      <c r="J237" s="89">
        <v>2</v>
      </c>
      <c r="K237" s="89">
        <v>0</v>
      </c>
      <c r="L237" s="89">
        <v>1</v>
      </c>
      <c r="M237" s="89">
        <v>0</v>
      </c>
      <c r="N237" s="113">
        <v>0.70709999999999995</v>
      </c>
      <c r="O237" s="113">
        <v>-10.1508</v>
      </c>
      <c r="P237" s="113">
        <v>7.0026999999999999</v>
      </c>
      <c r="Q237" s="113">
        <v>-2.3593999999999999</v>
      </c>
      <c r="R237" s="113">
        <v>10.745200000000001</v>
      </c>
      <c r="S237" s="113">
        <v>-5.0818000000000003</v>
      </c>
      <c r="T237" s="150" t="s">
        <v>747</v>
      </c>
      <c r="U237" t="s">
        <v>613</v>
      </c>
    </row>
    <row r="238" spans="2:21" x14ac:dyDescent="0.2">
      <c r="B238" s="110" t="s">
        <v>351</v>
      </c>
      <c r="C238" s="110" t="s">
        <v>352</v>
      </c>
      <c r="D238" s="133">
        <v>-165800</v>
      </c>
      <c r="E238" s="89">
        <v>-169790</v>
      </c>
      <c r="F238" s="145">
        <v>11</v>
      </c>
      <c r="G238" s="145">
        <v>11.1</v>
      </c>
      <c r="H238" s="121">
        <v>11.249789603311655</v>
      </c>
      <c r="I238" s="113">
        <v>0.38369999999999999</v>
      </c>
      <c r="J238" s="89">
        <v>1</v>
      </c>
      <c r="K238" s="89">
        <v>0</v>
      </c>
      <c r="L238" s="89">
        <v>1</v>
      </c>
      <c r="M238" s="89">
        <v>1</v>
      </c>
      <c r="N238" s="113">
        <v>2.8990999999999998</v>
      </c>
      <c r="O238" s="113">
        <v>-0.70220000000000005</v>
      </c>
      <c r="P238" s="113">
        <v>6.0246000000000004</v>
      </c>
      <c r="Q238" s="113">
        <v>-2.7498999999999998</v>
      </c>
      <c r="R238" s="113">
        <v>16.2944</v>
      </c>
      <c r="S238" s="113">
        <v>-0.7429</v>
      </c>
      <c r="T238" s="150" t="s">
        <v>740</v>
      </c>
      <c r="U238" t="s">
        <v>613</v>
      </c>
    </row>
    <row r="239" spans="2:21" x14ac:dyDescent="0.2">
      <c r="B239" s="110" t="s">
        <v>355</v>
      </c>
      <c r="C239" s="110" t="s">
        <v>356</v>
      </c>
      <c r="D239" s="133">
        <v>-159500</v>
      </c>
      <c r="E239" s="89">
        <v>-166900</v>
      </c>
      <c r="F239" s="145">
        <v>-54</v>
      </c>
      <c r="G239" s="145">
        <v>-40.19992759586701</v>
      </c>
      <c r="H239" s="121">
        <v>-40.499406414091936</v>
      </c>
      <c r="I239" s="113">
        <v>2.3685</v>
      </c>
      <c r="J239" s="89">
        <v>3</v>
      </c>
      <c r="K239" s="89">
        <v>0</v>
      </c>
      <c r="L239" s="89">
        <v>1</v>
      </c>
      <c r="M239" s="89">
        <v>0</v>
      </c>
      <c r="N239" s="113">
        <v>-2.9355000000000002</v>
      </c>
      <c r="O239" s="113">
        <v>-14.9491</v>
      </c>
      <c r="P239" s="113">
        <v>11.6257</v>
      </c>
      <c r="Q239" s="113">
        <v>-2.161</v>
      </c>
      <c r="R239" s="113">
        <v>4.2522000000000002</v>
      </c>
      <c r="S239" s="113">
        <v>-11.2844</v>
      </c>
      <c r="T239" s="150" t="s">
        <v>747</v>
      </c>
      <c r="U239" t="s">
        <v>613</v>
      </c>
    </row>
    <row r="240" spans="2:21" x14ac:dyDescent="0.2">
      <c r="B240" s="110" t="s">
        <v>819</v>
      </c>
      <c r="C240" s="110" t="s">
        <v>820</v>
      </c>
      <c r="D240" s="133">
        <v>-195000</v>
      </c>
      <c r="E240" s="89"/>
      <c r="F240" s="145">
        <v>-1.5</v>
      </c>
      <c r="G240" s="145">
        <v>11</v>
      </c>
      <c r="H240" s="121">
        <v>40</v>
      </c>
      <c r="I240" s="113">
        <v>0.3</v>
      </c>
      <c r="J240" s="89">
        <v>0</v>
      </c>
      <c r="K240" s="89">
        <v>0</v>
      </c>
      <c r="L240" s="89">
        <v>1</v>
      </c>
      <c r="M240" s="89">
        <v>1</v>
      </c>
      <c r="N240" s="113"/>
      <c r="O240" s="113"/>
      <c r="P240" s="113"/>
      <c r="Q240" s="113"/>
      <c r="R240" s="113"/>
      <c r="S240" s="113"/>
      <c r="T240" s="150" t="s">
        <v>821</v>
      </c>
      <c r="U240" t="s">
        <v>613</v>
      </c>
    </row>
    <row r="241" spans="2:21" x14ac:dyDescent="0.2">
      <c r="B241" s="110" t="s">
        <v>357</v>
      </c>
      <c r="C241" s="110" t="s">
        <v>358</v>
      </c>
      <c r="D241" s="133">
        <v>-7740</v>
      </c>
      <c r="E241" s="89">
        <v>1280</v>
      </c>
      <c r="F241" s="145">
        <v>30</v>
      </c>
      <c r="G241" s="145">
        <v>18.200209424471126</v>
      </c>
      <c r="H241" s="121">
        <v>-4.1998322624480791</v>
      </c>
      <c r="I241" s="113">
        <v>0.1502</v>
      </c>
      <c r="J241" s="89">
        <v>1</v>
      </c>
      <c r="K241" s="89">
        <v>0</v>
      </c>
      <c r="L241" s="89">
        <v>1</v>
      </c>
      <c r="M241" s="89">
        <v>0</v>
      </c>
      <c r="N241" s="113">
        <v>4.3063000000000002</v>
      </c>
      <c r="O241" s="113">
        <v>2.7332999999999998</v>
      </c>
      <c r="P241" s="113">
        <v>4.6757</v>
      </c>
      <c r="Q241" s="113">
        <v>-2.8919999999999999</v>
      </c>
      <c r="R241" s="113">
        <v>5.0890000000000004</v>
      </c>
      <c r="S241" s="113">
        <v>-3.8900999999999999</v>
      </c>
      <c r="T241" s="150" t="s">
        <v>747</v>
      </c>
      <c r="U241" t="s">
        <v>613</v>
      </c>
    </row>
    <row r="242" spans="2:21" x14ac:dyDescent="0.2">
      <c r="B242" s="110" t="s">
        <v>359</v>
      </c>
      <c r="C242" s="110" t="s">
        <v>360</v>
      </c>
      <c r="D242" s="133">
        <v>51300</v>
      </c>
      <c r="E242" s="89">
        <v>47000</v>
      </c>
      <c r="F242" s="145">
        <v>-46</v>
      </c>
      <c r="G242" s="145">
        <v>-39.300038054820646</v>
      </c>
      <c r="H242" s="121">
        <v>-39.299870843408826</v>
      </c>
      <c r="I242" s="113">
        <v>2.3473999999999999</v>
      </c>
      <c r="J242" s="89">
        <v>3</v>
      </c>
      <c r="K242" s="89">
        <v>0</v>
      </c>
      <c r="L242" s="89">
        <v>1</v>
      </c>
      <c r="M242" s="89">
        <v>0</v>
      </c>
      <c r="N242" s="113">
        <v>-2.8195000000000001</v>
      </c>
      <c r="O242" s="113">
        <v>-14.665800000000001</v>
      </c>
      <c r="P242" s="113">
        <v>11.5143</v>
      </c>
      <c r="Q242" s="113">
        <v>-2.1726999999999999</v>
      </c>
      <c r="R242" s="113">
        <v>4.7606999999999999</v>
      </c>
      <c r="S242" s="113">
        <v>-11.04</v>
      </c>
      <c r="T242" s="150" t="s">
        <v>747</v>
      </c>
      <c r="U242" t="s">
        <v>613</v>
      </c>
    </row>
    <row r="243" spans="2:21" x14ac:dyDescent="0.2">
      <c r="B243" s="110" t="s">
        <v>361</v>
      </c>
      <c r="C243" s="110" t="s">
        <v>362</v>
      </c>
      <c r="D243" s="133">
        <v>-159900</v>
      </c>
      <c r="E243" s="89">
        <v>-168500</v>
      </c>
      <c r="F243" s="145">
        <v>-58.1</v>
      </c>
      <c r="G243" s="145">
        <v>-42.99965957896957</v>
      </c>
      <c r="H243" s="121">
        <v>-34.299661552811877</v>
      </c>
      <c r="I243" s="113">
        <v>2.4333</v>
      </c>
      <c r="J243" s="89">
        <v>3</v>
      </c>
      <c r="K243" s="89">
        <v>0</v>
      </c>
      <c r="L243" s="89">
        <v>1</v>
      </c>
      <c r="M243" s="89">
        <v>0</v>
      </c>
      <c r="N243" s="113">
        <v>-3.2967</v>
      </c>
      <c r="O243" s="113">
        <v>-15.831200000000001</v>
      </c>
      <c r="P243" s="113">
        <v>11.9724</v>
      </c>
      <c r="Q243" s="113">
        <v>-2.1244999999999998</v>
      </c>
      <c r="R243" s="113">
        <v>8.4825999999999997</v>
      </c>
      <c r="S243" s="113">
        <v>-10.0215</v>
      </c>
      <c r="T243" s="150" t="s">
        <v>747</v>
      </c>
      <c r="U243" t="s">
        <v>613</v>
      </c>
    </row>
    <row r="244" spans="2:21" x14ac:dyDescent="0.2">
      <c r="B244" s="110" t="s">
        <v>353</v>
      </c>
      <c r="C244" s="110" t="s">
        <v>354</v>
      </c>
      <c r="D244" s="133">
        <v>30260</v>
      </c>
      <c r="E244" s="89">
        <v>3280</v>
      </c>
      <c r="F244" s="145">
        <v>44</v>
      </c>
      <c r="G244" s="145">
        <v>97.5</v>
      </c>
      <c r="H244" s="121">
        <v>109</v>
      </c>
      <c r="I244" s="113">
        <v>-0.28999999999999998</v>
      </c>
      <c r="J244" s="89">
        <v>0</v>
      </c>
      <c r="K244" s="89">
        <v>0</v>
      </c>
      <c r="L244" s="89">
        <v>1</v>
      </c>
      <c r="M244" s="89">
        <v>1</v>
      </c>
      <c r="N244" s="113">
        <v>20.316775112338231</v>
      </c>
      <c r="O244" s="113">
        <v>15.060449083902592</v>
      </c>
      <c r="P244" s="113">
        <v>-7.7899430835166132</v>
      </c>
      <c r="Q244" s="113">
        <v>-3.401598965128533</v>
      </c>
      <c r="R244" s="113">
        <v>81.7</v>
      </c>
      <c r="S244" s="113">
        <v>14.3</v>
      </c>
      <c r="T244" s="150" t="s">
        <v>753</v>
      </c>
      <c r="U244" t="s">
        <v>613</v>
      </c>
    </row>
    <row r="245" spans="2:21" x14ac:dyDescent="0.2">
      <c r="B245" s="110" t="s">
        <v>365</v>
      </c>
      <c r="C245" s="110" t="s">
        <v>366</v>
      </c>
      <c r="D245" s="133">
        <v>-126650</v>
      </c>
      <c r="E245" s="89">
        <v>-141300</v>
      </c>
      <c r="F245" s="145">
        <v>-99.6</v>
      </c>
      <c r="G245" s="145">
        <v>-53.299959376293693</v>
      </c>
      <c r="H245" s="121">
        <v>0.20012727305733335</v>
      </c>
      <c r="I245" s="113">
        <v>3.6835</v>
      </c>
      <c r="J245" s="89">
        <v>4</v>
      </c>
      <c r="K245" s="89">
        <v>0</v>
      </c>
      <c r="L245" s="89">
        <v>1</v>
      </c>
      <c r="M245" s="89">
        <v>0</v>
      </c>
      <c r="N245" s="113">
        <v>-4.2835999999999999</v>
      </c>
      <c r="O245" s="113">
        <v>-18.2319</v>
      </c>
      <c r="P245" s="113">
        <v>12.8955</v>
      </c>
      <c r="Q245" s="113">
        <v>-2.0251999999999999</v>
      </c>
      <c r="R245" s="113">
        <v>40.219299999999997</v>
      </c>
      <c r="S245" s="113">
        <v>-2.9937999999999998</v>
      </c>
      <c r="T245" s="150" t="s">
        <v>747</v>
      </c>
      <c r="U245" t="s">
        <v>613</v>
      </c>
    </row>
    <row r="246" spans="2:21" x14ac:dyDescent="0.2">
      <c r="B246" s="110" t="s">
        <v>367</v>
      </c>
      <c r="C246" s="110" t="s">
        <v>368</v>
      </c>
      <c r="D246" s="133">
        <v>-227680</v>
      </c>
      <c r="E246" s="89">
        <v>-243550</v>
      </c>
      <c r="F246" s="145">
        <v>-23.5</v>
      </c>
      <c r="G246" s="145">
        <v>5.7299818307450643</v>
      </c>
      <c r="H246" s="121">
        <v>8.954626075229692</v>
      </c>
      <c r="I246" s="113">
        <v>1.4098999999999999</v>
      </c>
      <c r="J246" s="89">
        <v>2</v>
      </c>
      <c r="K246" s="89">
        <v>0</v>
      </c>
      <c r="L246" s="89">
        <v>1</v>
      </c>
      <c r="M246" s="89">
        <v>0</v>
      </c>
      <c r="N246" s="113">
        <v>3.0255999999999998</v>
      </c>
      <c r="O246" s="113">
        <v>-4.1083999999999996</v>
      </c>
      <c r="P246" s="113">
        <v>15.332599999999999</v>
      </c>
      <c r="Q246" s="113">
        <v>-2.6091000000000002</v>
      </c>
      <c r="R246" s="113">
        <v>21.07</v>
      </c>
      <c r="S246" s="113">
        <v>0.43</v>
      </c>
      <c r="T246" s="150" t="s">
        <v>747</v>
      </c>
      <c r="U246" t="s">
        <v>613</v>
      </c>
    </row>
    <row r="247" spans="2:21" x14ac:dyDescent="0.2">
      <c r="B247" s="110" t="s">
        <v>363</v>
      </c>
      <c r="C247" s="110" t="s">
        <v>364</v>
      </c>
      <c r="D247" s="133">
        <v>-48720</v>
      </c>
      <c r="E247" s="89">
        <v>-76100</v>
      </c>
      <c r="F247" s="145">
        <v>42.3</v>
      </c>
      <c r="G247" s="145">
        <v>44.2</v>
      </c>
      <c r="H247" s="121">
        <v>21.3</v>
      </c>
      <c r="I247" s="113">
        <v>7.9000000000000001E-2</v>
      </c>
      <c r="J247" s="89">
        <v>0</v>
      </c>
      <c r="K247" s="89">
        <v>0</v>
      </c>
      <c r="L247" s="89">
        <v>0</v>
      </c>
      <c r="M247" s="89">
        <v>0</v>
      </c>
      <c r="N247" s="113">
        <v>10.1</v>
      </c>
      <c r="O247" s="113">
        <v>5.37</v>
      </c>
      <c r="P247" s="113">
        <v>0.33300000000000002</v>
      </c>
      <c r="Q247" s="113">
        <v>-3</v>
      </c>
      <c r="R247" s="113">
        <v>30.7</v>
      </c>
      <c r="S247" s="113">
        <v>-4.42</v>
      </c>
      <c r="T247" s="150" t="s">
        <v>762</v>
      </c>
      <c r="U247" t="s">
        <v>613</v>
      </c>
    </row>
    <row r="248" spans="2:21" x14ac:dyDescent="0.2">
      <c r="B248" s="110" t="s">
        <v>369</v>
      </c>
      <c r="C248" s="110" t="s">
        <v>370</v>
      </c>
      <c r="D248" s="133">
        <v>-106700</v>
      </c>
      <c r="E248" s="89">
        <v>-116300</v>
      </c>
      <c r="F248" s="145">
        <v>-32</v>
      </c>
      <c r="G248" s="145">
        <v>-29.399991855776864</v>
      </c>
      <c r="H248" s="121">
        <v>-11.999727126539492</v>
      </c>
      <c r="I248" s="113">
        <v>1.5475000000000001</v>
      </c>
      <c r="J248" s="89">
        <v>2</v>
      </c>
      <c r="K248" s="89">
        <v>0</v>
      </c>
      <c r="L248" s="89">
        <v>1</v>
      </c>
      <c r="M248" s="89">
        <v>0</v>
      </c>
      <c r="N248" s="113">
        <v>-1.7351000000000001</v>
      </c>
      <c r="O248" s="113">
        <v>-12.018000000000001</v>
      </c>
      <c r="P248" s="113">
        <v>10.473599999999999</v>
      </c>
      <c r="Q248" s="113">
        <v>-2.2822</v>
      </c>
      <c r="R248" s="113">
        <v>13.391</v>
      </c>
      <c r="S248" s="113">
        <v>-5.4790000000000001</v>
      </c>
      <c r="T248" s="150" t="s">
        <v>747</v>
      </c>
      <c r="U248" t="s">
        <v>613</v>
      </c>
    </row>
    <row r="249" spans="2:21" x14ac:dyDescent="0.2">
      <c r="B249" s="110" t="s">
        <v>371</v>
      </c>
      <c r="C249" s="110" t="s">
        <v>372</v>
      </c>
      <c r="D249" s="133">
        <v>-140300</v>
      </c>
      <c r="E249" s="89">
        <v>-155300</v>
      </c>
      <c r="F249" s="145">
        <v>-10.1</v>
      </c>
      <c r="G249" s="145">
        <v>-33.500025437090166</v>
      </c>
      <c r="H249" s="121">
        <v>31.100091111776393</v>
      </c>
      <c r="I249" s="113">
        <v>0.70030000000000003</v>
      </c>
      <c r="J249" s="89">
        <v>1</v>
      </c>
      <c r="K249" s="89">
        <v>0</v>
      </c>
      <c r="L249" s="89">
        <v>1</v>
      </c>
      <c r="M249" s="89">
        <v>0</v>
      </c>
      <c r="N249" s="113">
        <v>-2.5825</v>
      </c>
      <c r="O249" s="113">
        <v>-14.0871</v>
      </c>
      <c r="P249" s="113">
        <v>11.286899999999999</v>
      </c>
      <c r="Q249" s="113">
        <v>-2.1966000000000001</v>
      </c>
      <c r="R249" s="113">
        <v>30.844899999999999</v>
      </c>
      <c r="S249" s="113">
        <v>3.3005</v>
      </c>
      <c r="T249" s="150" t="s">
        <v>747</v>
      </c>
      <c r="U249" t="s">
        <v>613</v>
      </c>
    </row>
    <row r="250" spans="2:21" x14ac:dyDescent="0.2">
      <c r="B250" s="110" t="s">
        <v>373</v>
      </c>
      <c r="C250" s="110" t="s">
        <v>374</v>
      </c>
      <c r="D250" s="133">
        <v>-219150</v>
      </c>
      <c r="E250" s="89">
        <v>-257100</v>
      </c>
      <c r="F250" s="145">
        <v>9.6999999999999993</v>
      </c>
      <c r="G250" s="145">
        <v>32.200362202689455</v>
      </c>
      <c r="H250" s="121">
        <v>-44.499448429769501</v>
      </c>
      <c r="I250" s="113">
        <v>3.0657000000000001</v>
      </c>
      <c r="J250" s="89">
        <v>-2</v>
      </c>
      <c r="K250" s="89">
        <v>0</v>
      </c>
      <c r="L250" s="89">
        <v>1</v>
      </c>
      <c r="M250" s="89">
        <v>0</v>
      </c>
      <c r="N250" s="113">
        <v>7.2073999999999998</v>
      </c>
      <c r="O250" s="113">
        <v>8.7934000000000001</v>
      </c>
      <c r="P250" s="113">
        <v>4.4896000000000003</v>
      </c>
      <c r="Q250" s="113">
        <v>-3.1425000000000001</v>
      </c>
      <c r="R250" s="113">
        <v>8.3310999999999993</v>
      </c>
      <c r="S250" s="113">
        <v>-12.0992</v>
      </c>
      <c r="T250" s="150" t="s">
        <v>747</v>
      </c>
      <c r="U250" t="s">
        <v>613</v>
      </c>
    </row>
    <row r="251" spans="2:21" x14ac:dyDescent="0.2">
      <c r="B251" s="110" t="s">
        <v>375</v>
      </c>
      <c r="C251" s="110" t="s">
        <v>376</v>
      </c>
      <c r="D251" s="133">
        <v>3225</v>
      </c>
      <c r="E251" s="89">
        <v>-4510</v>
      </c>
      <c r="F251" s="145">
        <v>14.62</v>
      </c>
      <c r="G251" s="145">
        <v>42.600258614023709</v>
      </c>
      <c r="H251" s="121">
        <v>64.800004299489913</v>
      </c>
      <c r="I251" s="113">
        <v>-0.22140000000000001</v>
      </c>
      <c r="J251" s="89">
        <v>0</v>
      </c>
      <c r="K251" s="89">
        <v>0</v>
      </c>
      <c r="L251" s="89">
        <v>0</v>
      </c>
      <c r="M251" s="89">
        <v>0</v>
      </c>
      <c r="N251" s="113">
        <v>7.5195999999999996</v>
      </c>
      <c r="O251" s="113">
        <v>10.5793</v>
      </c>
      <c r="P251" s="113">
        <v>1.5919000000000001</v>
      </c>
      <c r="Q251" s="113">
        <v>-3.2162999999999999</v>
      </c>
      <c r="R251" s="113">
        <v>42.1036</v>
      </c>
      <c r="S251" s="113">
        <v>10.1652</v>
      </c>
      <c r="T251" s="150" t="s">
        <v>707</v>
      </c>
      <c r="U251" t="s">
        <v>613</v>
      </c>
    </row>
    <row r="252" spans="2:21" x14ac:dyDescent="0.2">
      <c r="B252" s="110" t="s">
        <v>377</v>
      </c>
      <c r="C252" s="110" t="s">
        <v>378</v>
      </c>
      <c r="D252" s="133">
        <v>-163800</v>
      </c>
      <c r="E252" s="89">
        <v>-170900</v>
      </c>
      <c r="F252" s="145">
        <v>-60</v>
      </c>
      <c r="G252" s="145">
        <v>-40.800132347178021</v>
      </c>
      <c r="H252" s="121">
        <v>-35.700001530059104</v>
      </c>
      <c r="I252" s="113">
        <v>2.3792</v>
      </c>
      <c r="J252" s="89">
        <v>3</v>
      </c>
      <c r="K252" s="89">
        <v>0</v>
      </c>
      <c r="L252" s="89">
        <v>1</v>
      </c>
      <c r="M252" s="89">
        <v>0</v>
      </c>
      <c r="N252" s="113">
        <v>-3.0139999999999998</v>
      </c>
      <c r="O252" s="113">
        <v>-15.1408</v>
      </c>
      <c r="P252" s="113">
        <v>11.701000000000001</v>
      </c>
      <c r="Q252" s="113">
        <v>-2.1530999999999998</v>
      </c>
      <c r="R252" s="113">
        <v>7.1634000000000002</v>
      </c>
      <c r="S252" s="113">
        <v>-10.306699999999999</v>
      </c>
      <c r="T252" s="150" t="s">
        <v>747</v>
      </c>
      <c r="U252" t="s">
        <v>613</v>
      </c>
    </row>
    <row r="253" spans="2:21" x14ac:dyDescent="0.2">
      <c r="B253" s="110" t="s">
        <v>379</v>
      </c>
      <c r="C253" s="110" t="s">
        <v>380</v>
      </c>
      <c r="D253" s="133">
        <v>-128500</v>
      </c>
      <c r="E253" s="89">
        <v>-126800</v>
      </c>
      <c r="F253" s="145">
        <v>-11.2</v>
      </c>
      <c r="G253" s="145">
        <v>-10.300115853237205</v>
      </c>
      <c r="H253" s="121">
        <v>0.70030477486681875</v>
      </c>
      <c r="I253" s="113">
        <v>1.2284999999999999</v>
      </c>
      <c r="J253" s="89">
        <v>2</v>
      </c>
      <c r="K253" s="89">
        <v>0</v>
      </c>
      <c r="L253" s="89">
        <v>1</v>
      </c>
      <c r="M253" s="89">
        <v>0</v>
      </c>
      <c r="N253" s="113">
        <v>0.77070000000000005</v>
      </c>
      <c r="O253" s="113">
        <v>-5.8994999999999997</v>
      </c>
      <c r="P253" s="113">
        <v>8.0687999999999995</v>
      </c>
      <c r="Q253" s="113">
        <v>-2.5350999999999999</v>
      </c>
      <c r="R253" s="113">
        <v>17.895099999999999</v>
      </c>
      <c r="S253" s="113">
        <v>-2.8919999999999999</v>
      </c>
      <c r="T253" s="150" t="s">
        <v>747</v>
      </c>
      <c r="U253" t="s">
        <v>613</v>
      </c>
    </row>
    <row r="254" spans="2:21" x14ac:dyDescent="0.2">
      <c r="B254" s="110" t="s">
        <v>381</v>
      </c>
      <c r="C254" s="110" t="s">
        <v>382</v>
      </c>
      <c r="D254" s="133">
        <v>-153000</v>
      </c>
      <c r="E254" s="89">
        <v>-160300</v>
      </c>
      <c r="F254" s="145">
        <v>-56.9</v>
      </c>
      <c r="G254" s="145">
        <v>-44.499994082572492</v>
      </c>
      <c r="H254" s="121">
        <v>-36.399634263932711</v>
      </c>
      <c r="I254" s="113">
        <v>2.4443000000000001</v>
      </c>
      <c r="J254" s="89">
        <v>3</v>
      </c>
      <c r="K254" s="89">
        <v>0</v>
      </c>
      <c r="L254" s="89">
        <v>1</v>
      </c>
      <c r="M254" s="89">
        <v>0</v>
      </c>
      <c r="N254" s="113">
        <v>-3.4983</v>
      </c>
      <c r="O254" s="113">
        <v>-16.3233</v>
      </c>
      <c r="P254" s="113">
        <v>12.165800000000001</v>
      </c>
      <c r="Q254" s="113">
        <v>-2.1042000000000001</v>
      </c>
      <c r="R254" s="113">
        <v>7.3532999999999999</v>
      </c>
      <c r="S254" s="113">
        <v>-10.449299999999999</v>
      </c>
      <c r="T254" s="150" t="s">
        <v>747</v>
      </c>
      <c r="U254" t="s">
        <v>613</v>
      </c>
    </row>
    <row r="255" spans="2:21" x14ac:dyDescent="0.2">
      <c r="B255" s="110" t="s">
        <v>383</v>
      </c>
      <c r="C255" s="110" t="s">
        <v>384</v>
      </c>
      <c r="D255" s="133">
        <v>-35200</v>
      </c>
      <c r="E255" s="89">
        <v>-36660</v>
      </c>
      <c r="F255" s="145">
        <v>-26.2</v>
      </c>
      <c r="G255" s="145">
        <v>-24.300094251723031</v>
      </c>
      <c r="H255" s="121">
        <v>-6.3002817005689202</v>
      </c>
      <c r="I255" s="113">
        <v>1.4574</v>
      </c>
      <c r="J255" s="89">
        <v>2</v>
      </c>
      <c r="K255" s="89">
        <v>0</v>
      </c>
      <c r="L255" s="89">
        <v>1</v>
      </c>
      <c r="M255" s="89">
        <v>0</v>
      </c>
      <c r="N255" s="113">
        <v>-1.0677000000000001</v>
      </c>
      <c r="O255" s="113">
        <v>-10.388400000000001</v>
      </c>
      <c r="P255" s="113">
        <v>9.8331</v>
      </c>
      <c r="Q255" s="113">
        <v>-2.3494999999999999</v>
      </c>
      <c r="R255" s="113">
        <v>15.9009</v>
      </c>
      <c r="S255" s="113">
        <v>-4.3178999999999998</v>
      </c>
      <c r="T255" s="150" t="s">
        <v>747</v>
      </c>
      <c r="U255" t="s">
        <v>613</v>
      </c>
    </row>
    <row r="256" spans="2:21" x14ac:dyDescent="0.2">
      <c r="B256" s="110" t="s">
        <v>385</v>
      </c>
      <c r="C256" s="110" t="s">
        <v>386</v>
      </c>
      <c r="D256" s="133">
        <v>-66850</v>
      </c>
      <c r="E256" s="89">
        <v>-66240</v>
      </c>
      <c r="F256" s="145">
        <v>23</v>
      </c>
      <c r="G256" s="145">
        <v>4.8</v>
      </c>
      <c r="H256" s="121">
        <v>19.899908778598967</v>
      </c>
      <c r="I256" s="113">
        <v>0.20250000000000001</v>
      </c>
      <c r="J256" s="89">
        <v>1</v>
      </c>
      <c r="K256" s="89">
        <v>0</v>
      </c>
      <c r="L256" s="89">
        <v>1</v>
      </c>
      <c r="M256" s="89">
        <v>1</v>
      </c>
      <c r="N256" s="113">
        <v>1.5844</v>
      </c>
      <c r="O256" s="113">
        <v>-3.9157999999999999</v>
      </c>
      <c r="P256" s="113">
        <v>7.2949999999999999</v>
      </c>
      <c r="Q256" s="113">
        <v>-2.617</v>
      </c>
      <c r="R256" s="113">
        <v>19.694800000000001</v>
      </c>
      <c r="S256" s="113">
        <v>1.0189999999999999</v>
      </c>
      <c r="T256" s="150" t="s">
        <v>740</v>
      </c>
      <c r="U256" t="s">
        <v>613</v>
      </c>
    </row>
    <row r="257" spans="2:21" x14ac:dyDescent="0.2">
      <c r="B257" s="110" t="s">
        <v>389</v>
      </c>
      <c r="C257" s="110" t="s">
        <v>390</v>
      </c>
      <c r="D257" s="133">
        <v>-98300</v>
      </c>
      <c r="E257" s="89">
        <v>-109080</v>
      </c>
      <c r="F257" s="145">
        <v>27.03</v>
      </c>
      <c r="G257" s="145">
        <v>26</v>
      </c>
      <c r="H257" s="121">
        <v>34.660101454993132</v>
      </c>
      <c r="I257" s="113">
        <v>-3.7999999999999999E-2</v>
      </c>
      <c r="J257" s="89">
        <v>0</v>
      </c>
      <c r="K257" s="89">
        <v>0</v>
      </c>
      <c r="L257" s="89">
        <v>1</v>
      </c>
      <c r="M257" s="89">
        <v>1</v>
      </c>
      <c r="N257" s="113">
        <v>5.0445000000000002</v>
      </c>
      <c r="O257" s="113">
        <v>4.5345000000000004</v>
      </c>
      <c r="P257" s="113">
        <v>3.9708999999999999</v>
      </c>
      <c r="Q257" s="113">
        <v>-2.9664000000000001</v>
      </c>
      <c r="R257" s="113">
        <v>26.1296</v>
      </c>
      <c r="S257" s="113">
        <v>4.0255999999999998</v>
      </c>
      <c r="T257" s="150" t="s">
        <v>740</v>
      </c>
      <c r="U257" t="s">
        <v>613</v>
      </c>
    </row>
    <row r="258" spans="2:21" x14ac:dyDescent="0.2">
      <c r="B258" s="110" t="s">
        <v>387</v>
      </c>
      <c r="C258" s="110" t="s">
        <v>388</v>
      </c>
      <c r="D258" s="133">
        <v>-129310</v>
      </c>
      <c r="E258" s="89">
        <v>-151060</v>
      </c>
      <c r="F258" s="145">
        <v>25</v>
      </c>
      <c r="G258" s="145">
        <v>43.9</v>
      </c>
      <c r="H258" s="121">
        <v>41.97</v>
      </c>
      <c r="I258" s="113">
        <v>1.2513000000000001</v>
      </c>
      <c r="J258" s="89">
        <v>-1</v>
      </c>
      <c r="K258" s="89">
        <v>0</v>
      </c>
      <c r="L258" s="89">
        <v>1</v>
      </c>
      <c r="M258" s="89">
        <v>1</v>
      </c>
      <c r="N258" s="113">
        <v>9.8632000000000009</v>
      </c>
      <c r="O258" s="113">
        <v>16.3019</v>
      </c>
      <c r="P258" s="113">
        <v>-0.6573</v>
      </c>
      <c r="Q258" s="113">
        <v>-3.4527999999999999</v>
      </c>
      <c r="R258" s="113">
        <v>41.218800000000002</v>
      </c>
      <c r="S258" s="113">
        <v>5.1418999999999997</v>
      </c>
      <c r="T258" s="150" t="s">
        <v>740</v>
      </c>
      <c r="U258" t="s">
        <v>613</v>
      </c>
    </row>
    <row r="259" spans="2:21" x14ac:dyDescent="0.2">
      <c r="B259" s="110" t="s">
        <v>827</v>
      </c>
      <c r="C259" s="110" t="s">
        <v>828</v>
      </c>
      <c r="D259" s="133">
        <v>-233000</v>
      </c>
      <c r="E259" s="89"/>
      <c r="F259" s="145">
        <v>6.45</v>
      </c>
      <c r="G259" s="145">
        <v>11.6</v>
      </c>
      <c r="H259" s="121">
        <v>9.4</v>
      </c>
      <c r="I259" s="113">
        <v>0.3</v>
      </c>
      <c r="J259" s="89">
        <v>0</v>
      </c>
      <c r="K259" s="89">
        <v>0</v>
      </c>
      <c r="L259" s="89">
        <v>1</v>
      </c>
      <c r="M259" s="89">
        <v>1</v>
      </c>
      <c r="N259" s="113"/>
      <c r="O259" s="113"/>
      <c r="P259" s="113"/>
      <c r="Q259" s="113"/>
      <c r="R259" s="113"/>
      <c r="S259" s="113"/>
      <c r="T259" s="150" t="s">
        <v>829</v>
      </c>
      <c r="U259" t="s">
        <v>613</v>
      </c>
    </row>
    <row r="260" spans="2:21" x14ac:dyDescent="0.2">
      <c r="B260" s="110"/>
      <c r="C260" s="110"/>
      <c r="D260" s="133"/>
      <c r="E260" s="89"/>
      <c r="F260" s="145"/>
      <c r="G260" s="145"/>
      <c r="H260" s="121"/>
      <c r="I260" s="113"/>
      <c r="J260" s="89"/>
      <c r="K260" s="89"/>
      <c r="L260" s="89"/>
      <c r="M260" s="89"/>
      <c r="N260" s="113"/>
      <c r="O260" s="113"/>
      <c r="P260" s="113"/>
      <c r="Q260" s="113"/>
      <c r="R260" s="113"/>
      <c r="S260" s="113"/>
      <c r="T260" s="150"/>
      <c r="U260" t="s">
        <v>613</v>
      </c>
    </row>
    <row r="261" spans="2:21" x14ac:dyDescent="0.2">
      <c r="B261" s="110"/>
      <c r="C261" s="110"/>
      <c r="D261" s="133"/>
      <c r="E261" s="89"/>
      <c r="F261" s="145"/>
      <c r="G261" s="145"/>
      <c r="H261" s="121"/>
      <c r="I261" s="113"/>
      <c r="J261" s="89"/>
      <c r="K261" s="89"/>
      <c r="L261" s="89"/>
      <c r="M261" s="89"/>
      <c r="N261" s="113"/>
      <c r="O261" s="113"/>
      <c r="P261" s="113"/>
      <c r="Q261" s="113"/>
      <c r="R261" s="113"/>
      <c r="S261" s="113"/>
      <c r="T261" s="150"/>
      <c r="U261" t="s">
        <v>613</v>
      </c>
    </row>
    <row r="262" spans="2:21" x14ac:dyDescent="0.2">
      <c r="B262" s="110"/>
      <c r="C262" s="110"/>
      <c r="D262" s="133"/>
      <c r="E262" s="89"/>
      <c r="F262" s="145"/>
      <c r="G262" s="145"/>
      <c r="H262" s="121"/>
      <c r="I262" s="113"/>
      <c r="J262" s="89"/>
      <c r="K262" s="89"/>
      <c r="L262" s="89"/>
      <c r="M262" s="89"/>
      <c r="N262" s="113"/>
      <c r="O262" s="113"/>
      <c r="P262" s="113"/>
      <c r="Q262" s="113"/>
      <c r="R262" s="113"/>
      <c r="S262" s="113"/>
      <c r="T262" s="150"/>
      <c r="U262" t="s">
        <v>613</v>
      </c>
    </row>
    <row r="263" spans="2:21" x14ac:dyDescent="0.2">
      <c r="B263" s="110"/>
      <c r="C263" s="110"/>
      <c r="D263" s="133"/>
      <c r="E263" s="89"/>
      <c r="F263" s="145"/>
      <c r="G263" s="145"/>
      <c r="H263" s="121"/>
      <c r="I263" s="113"/>
      <c r="J263" s="89"/>
      <c r="K263" s="89"/>
      <c r="L263" s="89"/>
      <c r="M263" s="89"/>
      <c r="N263" s="113"/>
      <c r="O263" s="113"/>
      <c r="P263" s="113"/>
      <c r="Q263" s="113"/>
      <c r="R263" s="113"/>
      <c r="S263" s="113"/>
      <c r="T263" s="150"/>
      <c r="U263" t="s">
        <v>613</v>
      </c>
    </row>
    <row r="264" spans="2:21" x14ac:dyDescent="0.2">
      <c r="B264" s="110"/>
      <c r="C264" s="110"/>
      <c r="D264" s="133"/>
      <c r="E264" s="89"/>
      <c r="F264" s="145"/>
      <c r="G264" s="145"/>
      <c r="H264" s="121"/>
      <c r="I264" s="113"/>
      <c r="J264" s="89"/>
      <c r="K264" s="89"/>
      <c r="L264" s="89"/>
      <c r="M264" s="89"/>
      <c r="N264" s="113"/>
      <c r="O264" s="113"/>
      <c r="P264" s="113"/>
      <c r="Q264" s="113"/>
      <c r="R264" s="113"/>
      <c r="S264" s="113"/>
      <c r="T264" s="150"/>
      <c r="U264" t="s">
        <v>613</v>
      </c>
    </row>
    <row r="265" spans="2:21" x14ac:dyDescent="0.2">
      <c r="B265" s="110"/>
      <c r="C265" s="110"/>
      <c r="D265" s="133"/>
      <c r="E265" s="89"/>
      <c r="F265" s="145"/>
      <c r="G265" s="145"/>
      <c r="H265" s="121"/>
      <c r="I265" s="113"/>
      <c r="J265" s="89"/>
      <c r="K265" s="89"/>
      <c r="L265" s="89"/>
      <c r="M265" s="89"/>
      <c r="N265" s="113"/>
      <c r="O265" s="113"/>
      <c r="P265" s="113"/>
      <c r="Q265" s="113"/>
      <c r="R265" s="113"/>
      <c r="S265" s="113"/>
      <c r="T265" s="150"/>
      <c r="U265" t="s">
        <v>613</v>
      </c>
    </row>
    <row r="266" spans="2:21" x14ac:dyDescent="0.2">
      <c r="B266" s="110"/>
      <c r="C266" s="110"/>
      <c r="D266" s="133"/>
      <c r="E266" s="89"/>
      <c r="F266" s="145"/>
      <c r="G266" s="145"/>
      <c r="H266" s="121"/>
      <c r="I266" s="113"/>
      <c r="J266" s="89"/>
      <c r="K266" s="89"/>
      <c r="L266" s="89"/>
      <c r="M266" s="89"/>
      <c r="N266" s="113"/>
      <c r="O266" s="113"/>
      <c r="P266" s="113"/>
      <c r="Q266" s="113"/>
      <c r="R266" s="113"/>
      <c r="S266" s="113"/>
      <c r="T266" s="150"/>
      <c r="U266" t="s">
        <v>613</v>
      </c>
    </row>
    <row r="267" spans="2:21" x14ac:dyDescent="0.2">
      <c r="B267" s="110"/>
      <c r="C267" s="110"/>
      <c r="D267" s="133"/>
      <c r="E267" s="89"/>
      <c r="F267" s="145"/>
      <c r="G267" s="145"/>
      <c r="H267" s="121"/>
      <c r="I267" s="113"/>
      <c r="J267" s="89"/>
      <c r="K267" s="89"/>
      <c r="L267" s="89"/>
      <c r="M267" s="89"/>
      <c r="N267" s="113"/>
      <c r="O267" s="113"/>
      <c r="P267" s="113"/>
      <c r="Q267" s="113"/>
      <c r="R267" s="113"/>
      <c r="S267" s="113"/>
      <c r="T267" s="150"/>
      <c r="U267" t="s">
        <v>613</v>
      </c>
    </row>
    <row r="268" spans="2:21" x14ac:dyDescent="0.2">
      <c r="B268" s="110"/>
      <c r="C268" s="110"/>
      <c r="D268" s="133"/>
      <c r="E268" s="89"/>
      <c r="F268" s="145"/>
      <c r="G268" s="145"/>
      <c r="H268" s="121"/>
      <c r="I268" s="113"/>
      <c r="J268" s="89"/>
      <c r="K268" s="89"/>
      <c r="L268" s="89"/>
      <c r="M268" s="89"/>
      <c r="N268" s="113"/>
      <c r="O268" s="113"/>
      <c r="P268" s="113"/>
      <c r="Q268" s="113"/>
      <c r="R268" s="113"/>
      <c r="S268" s="113"/>
      <c r="T268" s="150"/>
      <c r="U268" t="s">
        <v>613</v>
      </c>
    </row>
    <row r="269" spans="2:21" x14ac:dyDescent="0.2">
      <c r="B269" s="110"/>
      <c r="C269" s="110"/>
      <c r="D269" s="133"/>
      <c r="E269" s="89"/>
      <c r="F269" s="145"/>
      <c r="G269" s="145"/>
      <c r="H269" s="121"/>
      <c r="I269" s="113"/>
      <c r="J269" s="89"/>
      <c r="K269" s="89"/>
      <c r="L269" s="89"/>
      <c r="M269" s="89"/>
      <c r="N269" s="113"/>
      <c r="O269" s="113"/>
      <c r="P269" s="113"/>
      <c r="Q269" s="113"/>
      <c r="R269" s="113"/>
      <c r="S269" s="113"/>
      <c r="T269" s="150"/>
      <c r="U269" t="s">
        <v>613</v>
      </c>
    </row>
    <row r="270" spans="2:21" x14ac:dyDescent="0.2">
      <c r="B270" s="110"/>
      <c r="C270" s="110"/>
      <c r="D270" s="133"/>
      <c r="E270" s="89"/>
      <c r="F270" s="145"/>
      <c r="G270" s="145"/>
      <c r="H270" s="121"/>
      <c r="I270" s="113"/>
      <c r="J270" s="89"/>
      <c r="K270" s="89"/>
      <c r="L270" s="89"/>
      <c r="M270" s="89"/>
      <c r="N270" s="113"/>
      <c r="O270" s="113"/>
      <c r="P270" s="113"/>
      <c r="Q270" s="113"/>
      <c r="R270" s="113"/>
      <c r="S270" s="113"/>
      <c r="T270" s="150"/>
      <c r="U270" t="s">
        <v>613</v>
      </c>
    </row>
    <row r="271" spans="2:21" x14ac:dyDescent="0.2">
      <c r="B271" s="110"/>
      <c r="C271" s="110"/>
      <c r="D271" s="133"/>
      <c r="E271" s="89"/>
      <c r="F271" s="145"/>
      <c r="G271" s="145"/>
      <c r="H271" s="121"/>
      <c r="I271" s="113"/>
      <c r="J271" s="89"/>
      <c r="K271" s="89"/>
      <c r="L271" s="89"/>
      <c r="M271" s="89"/>
      <c r="N271" s="113"/>
      <c r="O271" s="113"/>
      <c r="P271" s="113"/>
      <c r="Q271" s="113"/>
      <c r="R271" s="113"/>
      <c r="S271" s="113"/>
      <c r="T271" s="150"/>
      <c r="U271" t="s">
        <v>613</v>
      </c>
    </row>
    <row r="272" spans="2:21" x14ac:dyDescent="0.2">
      <c r="B272" s="110"/>
      <c r="C272" s="110"/>
      <c r="D272" s="133"/>
      <c r="E272" s="89"/>
      <c r="F272" s="145"/>
      <c r="G272" s="145"/>
      <c r="H272" s="121"/>
      <c r="I272" s="113"/>
      <c r="J272" s="89"/>
      <c r="K272" s="89"/>
      <c r="L272" s="89"/>
      <c r="M272" s="89"/>
      <c r="N272" s="113"/>
      <c r="O272" s="113"/>
      <c r="P272" s="113"/>
      <c r="Q272" s="113"/>
      <c r="R272" s="113"/>
      <c r="S272" s="113"/>
      <c r="T272" s="150"/>
      <c r="U272" t="s">
        <v>613</v>
      </c>
    </row>
    <row r="273" spans="2:21" x14ac:dyDescent="0.2">
      <c r="B273" s="110"/>
      <c r="C273" s="110"/>
      <c r="D273" s="133"/>
      <c r="E273" s="89"/>
      <c r="F273" s="145"/>
      <c r="G273" s="145"/>
      <c r="H273" s="121"/>
      <c r="I273" s="113"/>
      <c r="J273" s="89"/>
      <c r="K273" s="89"/>
      <c r="L273" s="89"/>
      <c r="M273" s="89"/>
      <c r="N273" s="113"/>
      <c r="O273" s="113"/>
      <c r="P273" s="113"/>
      <c r="Q273" s="113"/>
      <c r="R273" s="113"/>
      <c r="S273" s="113"/>
      <c r="T273" s="150"/>
      <c r="U273" t="s">
        <v>613</v>
      </c>
    </row>
    <row r="274" spans="2:21" x14ac:dyDescent="0.2">
      <c r="B274" s="110"/>
      <c r="C274" s="110"/>
      <c r="D274" s="133"/>
      <c r="E274" s="89"/>
      <c r="F274" s="145"/>
      <c r="G274" s="145"/>
      <c r="H274" s="121"/>
      <c r="I274" s="113"/>
      <c r="J274" s="89"/>
      <c r="K274" s="89"/>
      <c r="L274" s="89"/>
      <c r="M274" s="89"/>
      <c r="N274" s="113"/>
      <c r="O274" s="113"/>
      <c r="P274" s="113"/>
      <c r="Q274" s="113"/>
      <c r="R274" s="113"/>
      <c r="S274" s="113"/>
      <c r="T274" s="150"/>
      <c r="U274" t="s">
        <v>613</v>
      </c>
    </row>
    <row r="275" spans="2:21" x14ac:dyDescent="0.2">
      <c r="B275" s="110"/>
      <c r="C275" s="110"/>
      <c r="D275" s="133"/>
      <c r="E275" s="89"/>
      <c r="F275" s="145"/>
      <c r="G275" s="145"/>
      <c r="H275" s="121"/>
      <c r="I275" s="113"/>
      <c r="J275" s="89"/>
      <c r="K275" s="89"/>
      <c r="L275" s="89"/>
      <c r="M275" s="89"/>
      <c r="N275" s="113"/>
      <c r="O275" s="113"/>
      <c r="P275" s="113"/>
      <c r="Q275" s="113"/>
      <c r="R275" s="113"/>
      <c r="S275" s="113"/>
      <c r="T275" s="150"/>
      <c r="U275" t="s">
        <v>613</v>
      </c>
    </row>
    <row r="276" spans="2:21" x14ac:dyDescent="0.2">
      <c r="B276" s="110"/>
      <c r="C276" s="110"/>
      <c r="D276" s="133"/>
      <c r="E276" s="89"/>
      <c r="F276" s="145"/>
      <c r="G276" s="145"/>
      <c r="H276" s="121"/>
      <c r="I276" s="113"/>
      <c r="J276" s="89"/>
      <c r="K276" s="89"/>
      <c r="L276" s="89"/>
      <c r="M276" s="89"/>
      <c r="N276" s="113"/>
      <c r="O276" s="113"/>
      <c r="P276" s="113"/>
      <c r="Q276" s="113"/>
      <c r="R276" s="113"/>
      <c r="S276" s="113"/>
      <c r="T276" s="150"/>
      <c r="U276" t="s">
        <v>613</v>
      </c>
    </row>
    <row r="277" spans="2:21" x14ac:dyDescent="0.2">
      <c r="B277" s="110"/>
      <c r="C277" s="110"/>
      <c r="D277" s="133"/>
      <c r="E277" s="89"/>
      <c r="F277" s="145"/>
      <c r="G277" s="145"/>
      <c r="H277" s="121"/>
      <c r="I277" s="113"/>
      <c r="J277" s="89"/>
      <c r="K277" s="89"/>
      <c r="L277" s="89"/>
      <c r="M277" s="89"/>
      <c r="N277" s="113"/>
      <c r="O277" s="113"/>
      <c r="P277" s="113"/>
      <c r="Q277" s="113"/>
      <c r="R277" s="113"/>
      <c r="S277" s="113"/>
      <c r="T277" s="150"/>
      <c r="U277" t="s">
        <v>613</v>
      </c>
    </row>
    <row r="278" spans="2:21" x14ac:dyDescent="0.2">
      <c r="B278" s="110"/>
      <c r="C278" s="110"/>
      <c r="D278" s="133"/>
      <c r="E278" s="89"/>
      <c r="F278" s="145"/>
      <c r="G278" s="145"/>
      <c r="H278" s="121"/>
      <c r="I278" s="113"/>
      <c r="J278" s="89"/>
      <c r="K278" s="89"/>
      <c r="L278" s="89"/>
      <c r="M278" s="89"/>
      <c r="N278" s="113"/>
      <c r="O278" s="113"/>
      <c r="P278" s="113"/>
      <c r="Q278" s="113"/>
      <c r="R278" s="113"/>
      <c r="S278" s="113"/>
      <c r="T278" s="150"/>
      <c r="U278" t="s">
        <v>613</v>
      </c>
    </row>
    <row r="279" spans="2:21" x14ac:dyDescent="0.2">
      <c r="B279" s="110"/>
      <c r="C279" s="110"/>
      <c r="D279" s="133"/>
      <c r="E279" s="89"/>
      <c r="F279" s="145"/>
      <c r="G279" s="145"/>
      <c r="H279" s="121"/>
      <c r="I279" s="113"/>
      <c r="J279" s="89"/>
      <c r="K279" s="89"/>
      <c r="L279" s="89"/>
      <c r="M279" s="89"/>
      <c r="N279" s="113"/>
      <c r="O279" s="113"/>
      <c r="P279" s="113"/>
      <c r="Q279" s="113"/>
      <c r="R279" s="113"/>
      <c r="S279" s="113"/>
      <c r="T279" s="150"/>
      <c r="U279" t="s">
        <v>613</v>
      </c>
    </row>
    <row r="280" spans="2:21" x14ac:dyDescent="0.2">
      <c r="B280" s="110"/>
      <c r="C280" s="110"/>
      <c r="D280" s="133"/>
      <c r="E280" s="89"/>
      <c r="F280" s="145"/>
      <c r="G280" s="145"/>
      <c r="H280" s="121"/>
      <c r="I280" s="113"/>
      <c r="J280" s="89"/>
      <c r="K280" s="89"/>
      <c r="L280" s="89"/>
      <c r="M280" s="89"/>
      <c r="N280" s="113"/>
      <c r="O280" s="113"/>
      <c r="P280" s="113"/>
      <c r="Q280" s="113"/>
      <c r="R280" s="113"/>
      <c r="S280" s="113"/>
      <c r="T280" s="150"/>
      <c r="U280" t="s">
        <v>613</v>
      </c>
    </row>
    <row r="281" spans="2:21" x14ac:dyDescent="0.2">
      <c r="B281" s="110"/>
      <c r="C281" s="110"/>
      <c r="D281" s="133"/>
      <c r="E281" s="89"/>
      <c r="F281" s="145"/>
      <c r="G281" s="145"/>
      <c r="H281" s="121"/>
      <c r="I281" s="113"/>
      <c r="J281" s="89"/>
      <c r="K281" s="89"/>
      <c r="L281" s="89"/>
      <c r="M281" s="89"/>
      <c r="N281" s="113"/>
      <c r="O281" s="113"/>
      <c r="P281" s="113"/>
      <c r="Q281" s="113"/>
      <c r="R281" s="113"/>
      <c r="S281" s="113"/>
      <c r="T281" s="150"/>
      <c r="U281" t="s">
        <v>613</v>
      </c>
    </row>
    <row r="282" spans="2:21" x14ac:dyDescent="0.2">
      <c r="B282" s="110"/>
      <c r="C282" s="110"/>
      <c r="D282" s="133"/>
      <c r="E282" s="89"/>
      <c r="F282" s="145"/>
      <c r="G282" s="145"/>
      <c r="H282" s="121"/>
      <c r="I282" s="113"/>
      <c r="J282" s="89"/>
      <c r="K282" s="89"/>
      <c r="L282" s="89"/>
      <c r="M282" s="89"/>
      <c r="N282" s="113"/>
      <c r="O282" s="113"/>
      <c r="P282" s="113"/>
      <c r="Q282" s="113"/>
      <c r="R282" s="113"/>
      <c r="S282" s="113"/>
      <c r="T282" s="150"/>
      <c r="U282" t="s">
        <v>613</v>
      </c>
    </row>
    <row r="283" spans="2:21" x14ac:dyDescent="0.2">
      <c r="B283" s="110"/>
      <c r="C283" s="110"/>
      <c r="D283" s="133"/>
      <c r="E283" s="89"/>
      <c r="F283" s="145"/>
      <c r="G283" s="145"/>
      <c r="H283" s="121"/>
      <c r="I283" s="113"/>
      <c r="J283" s="89"/>
      <c r="K283" s="89"/>
      <c r="L283" s="89"/>
      <c r="M283" s="89"/>
      <c r="N283" s="113"/>
      <c r="O283" s="113"/>
      <c r="P283" s="113"/>
      <c r="Q283" s="113"/>
      <c r="R283" s="113"/>
      <c r="S283" s="113"/>
      <c r="T283" s="150"/>
      <c r="U283" t="s">
        <v>613</v>
      </c>
    </row>
    <row r="284" spans="2:21" x14ac:dyDescent="0.2">
      <c r="B284" s="110"/>
      <c r="C284" s="110"/>
      <c r="D284" s="133"/>
      <c r="E284" s="89"/>
      <c r="F284" s="145"/>
      <c r="G284" s="145"/>
      <c r="H284" s="121"/>
      <c r="I284" s="113"/>
      <c r="J284" s="89"/>
      <c r="K284" s="89"/>
      <c r="L284" s="89"/>
      <c r="M284" s="89"/>
      <c r="N284" s="113"/>
      <c r="O284" s="113"/>
      <c r="P284" s="113"/>
      <c r="Q284" s="113"/>
      <c r="R284" s="113"/>
      <c r="S284" s="113"/>
      <c r="T284" s="150"/>
      <c r="U284" t="s">
        <v>613</v>
      </c>
    </row>
    <row r="285" spans="2:21" x14ac:dyDescent="0.2">
      <c r="B285" s="110"/>
      <c r="C285" s="110"/>
      <c r="D285" s="133"/>
      <c r="E285" s="89"/>
      <c r="F285" s="145"/>
      <c r="G285" s="145"/>
      <c r="H285" s="121"/>
      <c r="I285" s="113"/>
      <c r="J285" s="89"/>
      <c r="K285" s="89"/>
      <c r="L285" s="89"/>
      <c r="M285" s="89"/>
      <c r="N285" s="113"/>
      <c r="O285" s="113"/>
      <c r="P285" s="113"/>
      <c r="Q285" s="113"/>
      <c r="R285" s="113"/>
      <c r="S285" s="113"/>
      <c r="T285" s="150"/>
      <c r="U285" t="s">
        <v>613</v>
      </c>
    </row>
    <row r="286" spans="2:21" x14ac:dyDescent="0.2">
      <c r="B286" s="110"/>
      <c r="C286" s="110"/>
      <c r="D286" s="133"/>
      <c r="E286" s="89"/>
      <c r="F286" s="145"/>
      <c r="G286" s="145"/>
      <c r="H286" s="121"/>
      <c r="I286" s="113"/>
      <c r="J286" s="89"/>
      <c r="K286" s="89"/>
      <c r="L286" s="89"/>
      <c r="M286" s="89"/>
      <c r="N286" s="113"/>
      <c r="O286" s="113"/>
      <c r="P286" s="113"/>
      <c r="Q286" s="113"/>
      <c r="R286" s="113"/>
      <c r="S286" s="113"/>
      <c r="T286" s="150"/>
      <c r="U286" t="s">
        <v>613</v>
      </c>
    </row>
    <row r="287" spans="2:21" x14ac:dyDescent="0.2">
      <c r="B287" s="110"/>
      <c r="C287" s="110"/>
      <c r="D287" s="133"/>
      <c r="E287" s="89"/>
      <c r="F287" s="145"/>
      <c r="G287" s="145"/>
      <c r="H287" s="121"/>
      <c r="I287" s="113"/>
      <c r="J287" s="89"/>
      <c r="K287" s="89"/>
      <c r="L287" s="89"/>
      <c r="M287" s="89"/>
      <c r="N287" s="113"/>
      <c r="O287" s="113"/>
      <c r="P287" s="113"/>
      <c r="Q287" s="113"/>
      <c r="R287" s="113"/>
      <c r="S287" s="113"/>
      <c r="T287" s="150"/>
      <c r="U287" t="s">
        <v>613</v>
      </c>
    </row>
    <row r="288" spans="2:21" x14ac:dyDescent="0.2">
      <c r="B288" s="110"/>
      <c r="C288" s="110"/>
      <c r="D288" s="133"/>
      <c r="E288" s="89"/>
      <c r="F288" s="145"/>
      <c r="G288" s="145"/>
      <c r="H288" s="121"/>
      <c r="I288" s="113"/>
      <c r="J288" s="89"/>
      <c r="K288" s="89"/>
      <c r="L288" s="89"/>
      <c r="M288" s="89"/>
      <c r="N288" s="113"/>
      <c r="O288" s="113"/>
      <c r="P288" s="113"/>
      <c r="Q288" s="113"/>
      <c r="R288" s="113"/>
      <c r="S288" s="113"/>
      <c r="T288" s="150"/>
      <c r="U288" t="s">
        <v>613</v>
      </c>
    </row>
    <row r="289" spans="2:21" x14ac:dyDescent="0.2">
      <c r="B289" s="110"/>
      <c r="C289" s="110"/>
      <c r="D289" s="133"/>
      <c r="E289" s="89"/>
      <c r="F289" s="145"/>
      <c r="G289" s="145"/>
      <c r="H289" s="121"/>
      <c r="I289" s="113"/>
      <c r="J289" s="89"/>
      <c r="K289" s="89"/>
      <c r="L289" s="89"/>
      <c r="M289" s="89"/>
      <c r="N289" s="113"/>
      <c r="O289" s="113"/>
      <c r="P289" s="113"/>
      <c r="Q289" s="113"/>
      <c r="R289" s="113"/>
      <c r="S289" s="113"/>
      <c r="T289" s="150"/>
      <c r="U289" t="s">
        <v>613</v>
      </c>
    </row>
    <row r="290" spans="2:21" x14ac:dyDescent="0.2">
      <c r="B290" s="110"/>
      <c r="C290" s="110"/>
      <c r="D290" s="133"/>
      <c r="E290" s="89"/>
      <c r="F290" s="145"/>
      <c r="G290" s="145"/>
      <c r="H290" s="121"/>
      <c r="I290" s="113"/>
      <c r="J290" s="89"/>
      <c r="K290" s="89"/>
      <c r="L290" s="89"/>
      <c r="M290" s="89"/>
      <c r="N290" s="113"/>
      <c r="O290" s="113"/>
      <c r="P290" s="113"/>
      <c r="Q290" s="113"/>
      <c r="R290" s="113"/>
      <c r="S290" s="113"/>
      <c r="T290" s="150"/>
      <c r="U290" t="s">
        <v>613</v>
      </c>
    </row>
    <row r="291" spans="2:21" x14ac:dyDescent="0.2">
      <c r="B291" s="110"/>
      <c r="C291" s="110"/>
      <c r="D291" s="133"/>
      <c r="E291" s="89"/>
      <c r="F291" s="145"/>
      <c r="G291" s="145"/>
      <c r="H291" s="121"/>
      <c r="I291" s="113"/>
      <c r="J291" s="89"/>
      <c r="K291" s="89"/>
      <c r="L291" s="89"/>
      <c r="M291" s="89"/>
      <c r="N291" s="113"/>
      <c r="O291" s="113"/>
      <c r="P291" s="113"/>
      <c r="Q291" s="113"/>
      <c r="R291" s="113"/>
      <c r="S291" s="113"/>
      <c r="T291" s="150"/>
      <c r="U291" t="s">
        <v>613</v>
      </c>
    </row>
    <row r="292" spans="2:21" x14ac:dyDescent="0.2">
      <c r="B292" s="110"/>
      <c r="C292" s="110"/>
      <c r="D292" s="133"/>
      <c r="E292" s="89"/>
      <c r="F292" s="145"/>
      <c r="G292" s="145"/>
      <c r="H292" s="121"/>
      <c r="I292" s="113"/>
      <c r="J292" s="89"/>
      <c r="K292" s="89"/>
      <c r="L292" s="89"/>
      <c r="M292" s="89"/>
      <c r="N292" s="113"/>
      <c r="O292" s="113"/>
      <c r="P292" s="113"/>
      <c r="Q292" s="113"/>
      <c r="R292" s="113"/>
      <c r="S292" s="113"/>
      <c r="T292" s="150"/>
      <c r="U292" t="s">
        <v>613</v>
      </c>
    </row>
    <row r="293" spans="2:21" x14ac:dyDescent="0.2">
      <c r="B293" s="110"/>
      <c r="C293" s="110"/>
      <c r="D293" s="133"/>
      <c r="E293" s="89"/>
      <c r="F293" s="145"/>
      <c r="G293" s="145"/>
      <c r="H293" s="121"/>
      <c r="I293" s="113"/>
      <c r="J293" s="89"/>
      <c r="K293" s="89"/>
      <c r="L293" s="89"/>
      <c r="M293" s="89"/>
      <c r="N293" s="113"/>
      <c r="O293" s="113"/>
      <c r="P293" s="113"/>
      <c r="Q293" s="113"/>
      <c r="R293" s="113"/>
      <c r="S293" s="113"/>
      <c r="T293" s="150"/>
      <c r="U293" t="s">
        <v>613</v>
      </c>
    </row>
    <row r="294" spans="2:21" x14ac:dyDescent="0.2">
      <c r="B294" s="110"/>
      <c r="C294" s="110"/>
      <c r="D294" s="133"/>
      <c r="E294" s="89"/>
      <c r="F294" s="145"/>
      <c r="G294" s="145"/>
      <c r="H294" s="121"/>
      <c r="I294" s="113"/>
      <c r="J294" s="89"/>
      <c r="K294" s="89"/>
      <c r="L294" s="89"/>
      <c r="M294" s="89"/>
      <c r="N294" s="113"/>
      <c r="O294" s="113"/>
      <c r="P294" s="113"/>
      <c r="Q294" s="113"/>
      <c r="R294" s="113"/>
      <c r="S294" s="113"/>
      <c r="T294" s="150"/>
      <c r="U294" t="s">
        <v>613</v>
      </c>
    </row>
    <row r="295" spans="2:21" x14ac:dyDescent="0.2">
      <c r="B295" s="110"/>
      <c r="C295" s="110"/>
      <c r="D295" s="133"/>
      <c r="E295" s="89"/>
      <c r="F295" s="145"/>
      <c r="G295" s="145"/>
      <c r="H295" s="121"/>
      <c r="I295" s="113"/>
      <c r="J295" s="89"/>
      <c r="K295" s="89"/>
      <c r="L295" s="89"/>
      <c r="M295" s="89"/>
      <c r="N295" s="113"/>
      <c r="O295" s="113"/>
      <c r="P295" s="113"/>
      <c r="Q295" s="113"/>
      <c r="R295" s="113"/>
      <c r="S295" s="113"/>
      <c r="T295" s="150"/>
      <c r="U295" t="s">
        <v>613</v>
      </c>
    </row>
    <row r="296" spans="2:21" x14ac:dyDescent="0.2">
      <c r="B296" s="110"/>
      <c r="C296" s="110"/>
      <c r="D296" s="133"/>
      <c r="E296" s="89"/>
      <c r="F296" s="145"/>
      <c r="G296" s="145"/>
      <c r="H296" s="121"/>
      <c r="I296" s="113"/>
      <c r="J296" s="89"/>
      <c r="K296" s="89"/>
      <c r="L296" s="89"/>
      <c r="M296" s="89"/>
      <c r="N296" s="113"/>
      <c r="O296" s="113"/>
      <c r="P296" s="113"/>
      <c r="Q296" s="113"/>
      <c r="R296" s="113"/>
      <c r="S296" s="113"/>
      <c r="T296" s="150"/>
      <c r="U296" t="s">
        <v>613</v>
      </c>
    </row>
    <row r="297" spans="2:21" x14ac:dyDescent="0.2">
      <c r="B297" s="110"/>
      <c r="C297" s="110"/>
      <c r="D297" s="133"/>
      <c r="E297" s="89"/>
      <c r="F297" s="145"/>
      <c r="G297" s="145"/>
      <c r="H297" s="121"/>
      <c r="I297" s="113"/>
      <c r="J297" s="89"/>
      <c r="K297" s="89"/>
      <c r="L297" s="89"/>
      <c r="M297" s="89"/>
      <c r="N297" s="113"/>
      <c r="O297" s="113"/>
      <c r="P297" s="113"/>
      <c r="Q297" s="113"/>
      <c r="R297" s="113"/>
      <c r="S297" s="113"/>
      <c r="T297" s="150"/>
      <c r="U297" t="s">
        <v>613</v>
      </c>
    </row>
    <row r="298" spans="2:21" x14ac:dyDescent="0.2">
      <c r="B298" s="110"/>
      <c r="C298" s="110"/>
      <c r="D298" s="133"/>
      <c r="E298" s="89"/>
      <c r="F298" s="145"/>
      <c r="G298" s="145"/>
      <c r="H298" s="121"/>
      <c r="I298" s="113"/>
      <c r="J298" s="89"/>
      <c r="K298" s="89"/>
      <c r="L298" s="89"/>
      <c r="M298" s="89"/>
      <c r="N298" s="113"/>
      <c r="O298" s="113"/>
      <c r="P298" s="113"/>
      <c r="Q298" s="113"/>
      <c r="R298" s="113"/>
      <c r="S298" s="113"/>
      <c r="T298" s="150"/>
      <c r="U298" t="s">
        <v>613</v>
      </c>
    </row>
    <row r="299" spans="2:21" x14ac:dyDescent="0.2">
      <c r="B299" s="110"/>
      <c r="C299" s="110"/>
      <c r="D299" s="133"/>
      <c r="E299" s="89"/>
      <c r="F299" s="145"/>
      <c r="G299" s="145"/>
      <c r="H299" s="121"/>
      <c r="I299" s="113"/>
      <c r="J299" s="89"/>
      <c r="K299" s="89"/>
      <c r="L299" s="89"/>
      <c r="M299" s="89"/>
      <c r="N299" s="113"/>
      <c r="O299" s="113"/>
      <c r="P299" s="113"/>
      <c r="Q299" s="113"/>
      <c r="R299" s="113"/>
      <c r="S299" s="113"/>
      <c r="T299" s="150"/>
      <c r="U299" t="s">
        <v>613</v>
      </c>
    </row>
    <row r="300" spans="2:21" x14ac:dyDescent="0.2">
      <c r="B300" s="110"/>
      <c r="C300" s="110"/>
      <c r="D300" s="133"/>
      <c r="E300" s="89"/>
      <c r="F300" s="145"/>
      <c r="G300" s="145"/>
      <c r="H300" s="121"/>
      <c r="I300" s="113"/>
      <c r="J300" s="89"/>
      <c r="K300" s="89"/>
      <c r="L300" s="89"/>
      <c r="M300" s="89"/>
      <c r="N300" s="113"/>
      <c r="O300" s="113"/>
      <c r="P300" s="113"/>
      <c r="Q300" s="113"/>
      <c r="R300" s="113"/>
      <c r="S300" s="113"/>
      <c r="T300" s="150"/>
      <c r="U300" t="s">
        <v>613</v>
      </c>
    </row>
    <row r="301" spans="2:21" x14ac:dyDescent="0.2">
      <c r="B301" s="110"/>
      <c r="C301" s="110"/>
      <c r="D301" s="133"/>
      <c r="E301" s="89"/>
      <c r="F301" s="145"/>
      <c r="G301" s="145"/>
      <c r="H301" s="121"/>
      <c r="I301" s="113"/>
      <c r="J301" s="89"/>
      <c r="K301" s="89"/>
      <c r="L301" s="89"/>
      <c r="M301" s="89"/>
      <c r="N301" s="113"/>
      <c r="O301" s="113"/>
      <c r="P301" s="113"/>
      <c r="Q301" s="113"/>
      <c r="R301" s="113"/>
      <c r="S301" s="113"/>
      <c r="T301" s="150"/>
      <c r="U301" t="s">
        <v>613</v>
      </c>
    </row>
    <row r="302" spans="2:21" x14ac:dyDescent="0.2">
      <c r="B302" s="110"/>
      <c r="C302" s="110"/>
      <c r="D302" s="133"/>
      <c r="E302" s="89"/>
      <c r="F302" s="145"/>
      <c r="G302" s="145"/>
      <c r="H302" s="121"/>
      <c r="I302" s="113"/>
      <c r="J302" s="89"/>
      <c r="K302" s="89"/>
      <c r="L302" s="89"/>
      <c r="M302" s="89"/>
      <c r="N302" s="113"/>
      <c r="O302" s="113"/>
      <c r="P302" s="113"/>
      <c r="Q302" s="113"/>
      <c r="R302" s="113"/>
      <c r="S302" s="113"/>
      <c r="T302" s="150"/>
      <c r="U302" t="s">
        <v>613</v>
      </c>
    </row>
    <row r="303" spans="2:21" x14ac:dyDescent="0.2">
      <c r="B303" s="110"/>
      <c r="C303" s="110"/>
      <c r="D303" s="133"/>
      <c r="E303" s="89"/>
      <c r="F303" s="145"/>
      <c r="G303" s="145"/>
      <c r="H303" s="121"/>
      <c r="I303" s="113"/>
      <c r="J303" s="89"/>
      <c r="K303" s="89"/>
      <c r="L303" s="89"/>
      <c r="M303" s="89"/>
      <c r="N303" s="113"/>
      <c r="O303" s="113"/>
      <c r="P303" s="113"/>
      <c r="Q303" s="113"/>
      <c r="R303" s="113"/>
      <c r="S303" s="113"/>
      <c r="T303" s="150"/>
      <c r="U303" t="s">
        <v>613</v>
      </c>
    </row>
    <row r="304" spans="2:21" x14ac:dyDescent="0.2">
      <c r="B304" s="110"/>
      <c r="C304" s="110"/>
      <c r="D304" s="133"/>
      <c r="E304" s="89"/>
      <c r="F304" s="145"/>
      <c r="G304" s="145"/>
      <c r="H304" s="121"/>
      <c r="I304" s="113"/>
      <c r="J304" s="89"/>
      <c r="K304" s="89"/>
      <c r="L304" s="89"/>
      <c r="M304" s="89"/>
      <c r="N304" s="113"/>
      <c r="O304" s="113"/>
      <c r="P304" s="113"/>
      <c r="Q304" s="113"/>
      <c r="R304" s="113"/>
      <c r="S304" s="113"/>
      <c r="T304" s="150"/>
      <c r="U304" t="s">
        <v>613</v>
      </c>
    </row>
    <row r="305" spans="2:21" x14ac:dyDescent="0.2">
      <c r="B305" s="110"/>
      <c r="C305" s="110"/>
      <c r="D305" s="133"/>
      <c r="E305" s="89"/>
      <c r="F305" s="145"/>
      <c r="G305" s="145"/>
      <c r="H305" s="121"/>
      <c r="I305" s="113"/>
      <c r="J305" s="89"/>
      <c r="K305" s="89"/>
      <c r="L305" s="89"/>
      <c r="M305" s="89"/>
      <c r="N305" s="113"/>
      <c r="O305" s="113"/>
      <c r="P305" s="113"/>
      <c r="Q305" s="113"/>
      <c r="R305" s="113"/>
      <c r="S305" s="113"/>
      <c r="T305" s="150"/>
      <c r="U305" t="s">
        <v>613</v>
      </c>
    </row>
    <row r="306" spans="2:21" x14ac:dyDescent="0.2">
      <c r="B306" s="110"/>
      <c r="C306" s="110"/>
      <c r="D306" s="133"/>
      <c r="E306" s="89"/>
      <c r="F306" s="145"/>
      <c r="G306" s="145"/>
      <c r="H306" s="121"/>
      <c r="I306" s="113"/>
      <c r="J306" s="89"/>
      <c r="K306" s="89"/>
      <c r="L306" s="89"/>
      <c r="M306" s="89"/>
      <c r="N306" s="113"/>
      <c r="O306" s="113"/>
      <c r="P306" s="113"/>
      <c r="Q306" s="113"/>
      <c r="R306" s="113"/>
      <c r="S306" s="113"/>
      <c r="T306" s="150"/>
      <c r="U306" t="s">
        <v>613</v>
      </c>
    </row>
    <row r="307" spans="2:21" x14ac:dyDescent="0.2">
      <c r="B307" s="110"/>
      <c r="C307" s="110"/>
      <c r="D307" s="133"/>
      <c r="E307" s="89"/>
      <c r="F307" s="145"/>
      <c r="G307" s="145"/>
      <c r="H307" s="121"/>
      <c r="I307" s="113"/>
      <c r="J307" s="89"/>
      <c r="K307" s="89"/>
      <c r="L307" s="89"/>
      <c r="M307" s="89"/>
      <c r="N307" s="113"/>
      <c r="O307" s="113"/>
      <c r="P307" s="113"/>
      <c r="Q307" s="113"/>
      <c r="R307" s="113"/>
      <c r="S307" s="113"/>
      <c r="T307" s="150"/>
      <c r="U307" t="s">
        <v>613</v>
      </c>
    </row>
    <row r="308" spans="2:21" x14ac:dyDescent="0.2">
      <c r="B308" s="110"/>
      <c r="C308" s="110"/>
      <c r="D308" s="133"/>
      <c r="E308" s="89"/>
      <c r="F308" s="145"/>
      <c r="G308" s="145"/>
      <c r="H308" s="121"/>
      <c r="I308" s="113"/>
      <c r="J308" s="89"/>
      <c r="K308" s="89"/>
      <c r="L308" s="89"/>
      <c r="M308" s="89"/>
      <c r="N308" s="113"/>
      <c r="O308" s="113"/>
      <c r="P308" s="113"/>
      <c r="Q308" s="113"/>
      <c r="R308" s="113"/>
      <c r="S308" s="113"/>
      <c r="T308" s="150"/>
      <c r="U308" t="s">
        <v>613</v>
      </c>
    </row>
    <row r="309" spans="2:21" x14ac:dyDescent="0.2">
      <c r="B309" s="110"/>
      <c r="C309" s="110"/>
      <c r="D309" s="133"/>
      <c r="E309" s="89"/>
      <c r="F309" s="145"/>
      <c r="G309" s="145"/>
      <c r="H309" s="121"/>
      <c r="I309" s="113"/>
      <c r="J309" s="89"/>
      <c r="K309" s="89"/>
      <c r="L309" s="89"/>
      <c r="M309" s="89"/>
      <c r="N309" s="113"/>
      <c r="O309" s="113"/>
      <c r="P309" s="113"/>
      <c r="Q309" s="113"/>
      <c r="R309" s="113"/>
      <c r="S309" s="113"/>
      <c r="T309" s="150"/>
      <c r="U309" t="s">
        <v>613</v>
      </c>
    </row>
    <row r="310" spans="2:21" x14ac:dyDescent="0.2">
      <c r="B310" s="110"/>
      <c r="C310" s="110"/>
      <c r="D310" s="133"/>
      <c r="E310" s="89"/>
      <c r="F310" s="145"/>
      <c r="G310" s="145"/>
      <c r="H310" s="121"/>
      <c r="I310" s="113"/>
      <c r="J310" s="89"/>
      <c r="K310" s="89"/>
      <c r="L310" s="89"/>
      <c r="M310" s="89"/>
      <c r="N310" s="113"/>
      <c r="O310" s="113"/>
      <c r="P310" s="113"/>
      <c r="Q310" s="113"/>
      <c r="R310" s="113"/>
      <c r="S310" s="113"/>
      <c r="T310" s="150"/>
      <c r="U310" t="s">
        <v>613</v>
      </c>
    </row>
    <row r="311" spans="2:21" x14ac:dyDescent="0.2">
      <c r="B311" s="110"/>
      <c r="C311" s="110"/>
      <c r="D311" s="133"/>
      <c r="E311" s="89"/>
      <c r="F311" s="145"/>
      <c r="G311" s="145"/>
      <c r="H311" s="121"/>
      <c r="I311" s="113"/>
      <c r="J311" s="89"/>
      <c r="K311" s="89"/>
      <c r="L311" s="89"/>
      <c r="M311" s="89"/>
      <c r="N311" s="113"/>
      <c r="O311" s="113"/>
      <c r="P311" s="113"/>
      <c r="Q311" s="113"/>
      <c r="R311" s="113"/>
      <c r="S311" s="113"/>
      <c r="T311" s="150"/>
      <c r="U311" t="s">
        <v>613</v>
      </c>
    </row>
    <row r="312" spans="2:21" x14ac:dyDescent="0.2">
      <c r="B312" s="110"/>
      <c r="C312" s="110"/>
      <c r="D312" s="133"/>
      <c r="E312" s="89"/>
      <c r="F312" s="145"/>
      <c r="G312" s="145"/>
      <c r="H312" s="121"/>
      <c r="I312" s="113"/>
      <c r="J312" s="89"/>
      <c r="K312" s="89"/>
      <c r="L312" s="89"/>
      <c r="M312" s="89"/>
      <c r="N312" s="113"/>
      <c r="O312" s="113"/>
      <c r="P312" s="113"/>
      <c r="Q312" s="113"/>
      <c r="R312" s="113"/>
      <c r="S312" s="113"/>
      <c r="T312" s="150"/>
      <c r="U312" t="s">
        <v>613</v>
      </c>
    </row>
    <row r="313" spans="2:21" x14ac:dyDescent="0.2">
      <c r="B313" s="110"/>
      <c r="C313" s="110"/>
      <c r="D313" s="133"/>
      <c r="E313" s="89"/>
      <c r="F313" s="145"/>
      <c r="G313" s="145"/>
      <c r="H313" s="121"/>
      <c r="I313" s="113"/>
      <c r="J313" s="89"/>
      <c r="K313" s="89"/>
      <c r="L313" s="89"/>
      <c r="M313" s="89"/>
      <c r="N313" s="113"/>
      <c r="O313" s="113"/>
      <c r="P313" s="113"/>
      <c r="Q313" s="113"/>
      <c r="R313" s="113"/>
      <c r="S313" s="113"/>
      <c r="T313" s="150"/>
      <c r="U313" t="s">
        <v>613</v>
      </c>
    </row>
    <row r="314" spans="2:21" x14ac:dyDescent="0.2">
      <c r="B314" s="110"/>
      <c r="C314" s="110"/>
      <c r="D314" s="133"/>
      <c r="E314" s="89"/>
      <c r="F314" s="145"/>
      <c r="G314" s="145"/>
      <c r="H314" s="121"/>
      <c r="I314" s="113"/>
      <c r="J314" s="89"/>
      <c r="K314" s="89"/>
      <c r="L314" s="89"/>
      <c r="M314" s="89"/>
      <c r="N314" s="113"/>
      <c r="O314" s="113"/>
      <c r="P314" s="113"/>
      <c r="Q314" s="113"/>
      <c r="R314" s="113"/>
      <c r="S314" s="113"/>
      <c r="T314" s="150"/>
      <c r="U314" t="s">
        <v>613</v>
      </c>
    </row>
    <row r="315" spans="2:21" x14ac:dyDescent="0.2">
      <c r="B315" s="110"/>
      <c r="C315" s="110"/>
      <c r="D315" s="133"/>
      <c r="E315" s="89"/>
      <c r="F315" s="145"/>
      <c r="G315" s="145"/>
      <c r="H315" s="121"/>
      <c r="I315" s="113"/>
      <c r="J315" s="89"/>
      <c r="K315" s="89"/>
      <c r="L315" s="89"/>
      <c r="M315" s="89"/>
      <c r="N315" s="113"/>
      <c r="O315" s="113"/>
      <c r="P315" s="113"/>
      <c r="Q315" s="113"/>
      <c r="R315" s="113"/>
      <c r="S315" s="113"/>
      <c r="T315" s="150"/>
      <c r="U315" t="s">
        <v>613</v>
      </c>
    </row>
    <row r="316" spans="2:21" x14ac:dyDescent="0.2">
      <c r="B316" s="110"/>
      <c r="C316" s="110"/>
      <c r="D316" s="133"/>
      <c r="E316" s="89"/>
      <c r="F316" s="145"/>
      <c r="G316" s="145"/>
      <c r="H316" s="121"/>
      <c r="I316" s="113"/>
      <c r="J316" s="89"/>
      <c r="K316" s="89"/>
      <c r="L316" s="89"/>
      <c r="M316" s="89"/>
      <c r="N316" s="113"/>
      <c r="O316" s="113"/>
      <c r="P316" s="113"/>
      <c r="Q316" s="113"/>
      <c r="R316" s="113"/>
      <c r="S316" s="113"/>
      <c r="T316" s="150"/>
      <c r="U316" t="s">
        <v>613</v>
      </c>
    </row>
    <row r="317" spans="2:21" x14ac:dyDescent="0.2">
      <c r="B317" s="110"/>
      <c r="C317" s="110"/>
      <c r="D317" s="133"/>
      <c r="E317" s="89"/>
      <c r="F317" s="145"/>
      <c r="G317" s="145"/>
      <c r="H317" s="121"/>
      <c r="I317" s="113"/>
      <c r="J317" s="89"/>
      <c r="K317" s="89"/>
      <c r="L317" s="89"/>
      <c r="M317" s="89"/>
      <c r="N317" s="113"/>
      <c r="O317" s="113"/>
      <c r="P317" s="113"/>
      <c r="Q317" s="113"/>
      <c r="R317" s="113"/>
      <c r="S317" s="113"/>
      <c r="T317" s="150"/>
      <c r="U317" t="s">
        <v>613</v>
      </c>
    </row>
    <row r="318" spans="2:21" x14ac:dyDescent="0.2">
      <c r="B318" s="110"/>
      <c r="C318" s="110"/>
      <c r="D318" s="133"/>
      <c r="E318" s="89"/>
      <c r="F318" s="145"/>
      <c r="G318" s="145"/>
      <c r="H318" s="121"/>
      <c r="I318" s="113"/>
      <c r="J318" s="89"/>
      <c r="K318" s="89"/>
      <c r="L318" s="89"/>
      <c r="M318" s="89"/>
      <c r="N318" s="113"/>
      <c r="O318" s="113"/>
      <c r="P318" s="113"/>
      <c r="Q318" s="113"/>
      <c r="R318" s="113"/>
      <c r="S318" s="113"/>
      <c r="T318" s="150"/>
      <c r="U318" t="s">
        <v>613</v>
      </c>
    </row>
    <row r="319" spans="2:21" x14ac:dyDescent="0.2">
      <c r="B319" s="110"/>
      <c r="C319" s="110"/>
      <c r="D319" s="133"/>
      <c r="E319" s="89"/>
      <c r="F319" s="145"/>
      <c r="G319" s="145"/>
      <c r="H319" s="121"/>
      <c r="I319" s="113"/>
      <c r="J319" s="89"/>
      <c r="K319" s="89"/>
      <c r="L319" s="89"/>
      <c r="M319" s="89"/>
      <c r="N319" s="113"/>
      <c r="O319" s="113"/>
      <c r="P319" s="113"/>
      <c r="Q319" s="113"/>
      <c r="R319" s="113"/>
      <c r="S319" s="113"/>
      <c r="T319" s="150"/>
      <c r="U319" t="s">
        <v>613</v>
      </c>
    </row>
    <row r="320" spans="2:21" x14ac:dyDescent="0.2">
      <c r="B320" s="110"/>
      <c r="C320" s="110"/>
      <c r="D320" s="133"/>
      <c r="E320" s="89"/>
      <c r="F320" s="145"/>
      <c r="G320" s="145"/>
      <c r="H320" s="121"/>
      <c r="I320" s="113"/>
      <c r="J320" s="89"/>
      <c r="K320" s="89"/>
      <c r="L320" s="89"/>
      <c r="M320" s="89"/>
      <c r="N320" s="113"/>
      <c r="O320" s="113"/>
      <c r="P320" s="113"/>
      <c r="Q320" s="113"/>
      <c r="R320" s="113"/>
      <c r="S320" s="113"/>
      <c r="T320" s="150"/>
      <c r="U320" t="s">
        <v>613</v>
      </c>
    </row>
    <row r="321" spans="2:21" x14ac:dyDescent="0.2">
      <c r="B321" s="110"/>
      <c r="C321" s="110"/>
      <c r="D321" s="133"/>
      <c r="E321" s="89"/>
      <c r="F321" s="145"/>
      <c r="G321" s="145"/>
      <c r="H321" s="121"/>
      <c r="I321" s="113"/>
      <c r="J321" s="89"/>
      <c r="K321" s="89"/>
      <c r="L321" s="89"/>
      <c r="M321" s="89"/>
      <c r="N321" s="113"/>
      <c r="O321" s="113"/>
      <c r="P321" s="113"/>
      <c r="Q321" s="113"/>
      <c r="R321" s="113"/>
      <c r="S321" s="113"/>
      <c r="T321" s="150"/>
      <c r="U321" t="s">
        <v>613</v>
      </c>
    </row>
    <row r="322" spans="2:21" x14ac:dyDescent="0.2">
      <c r="B322" s="110"/>
      <c r="C322" s="110"/>
      <c r="D322" s="133"/>
      <c r="E322" s="89"/>
      <c r="F322" s="145"/>
      <c r="G322" s="145"/>
      <c r="H322" s="121"/>
      <c r="I322" s="113"/>
      <c r="J322" s="89"/>
      <c r="K322" s="89"/>
      <c r="L322" s="89"/>
      <c r="M322" s="89"/>
      <c r="N322" s="113"/>
      <c r="O322" s="113"/>
      <c r="P322" s="113"/>
      <c r="Q322" s="113"/>
      <c r="R322" s="113"/>
      <c r="S322" s="113"/>
      <c r="T322" s="150"/>
      <c r="U322" t="s">
        <v>613</v>
      </c>
    </row>
    <row r="323" spans="2:21" x14ac:dyDescent="0.2">
      <c r="B323" s="110"/>
      <c r="C323" s="110"/>
      <c r="D323" s="133"/>
      <c r="E323" s="89"/>
      <c r="F323" s="145"/>
      <c r="G323" s="145"/>
      <c r="H323" s="121"/>
      <c r="I323" s="113"/>
      <c r="J323" s="89"/>
      <c r="K323" s="89"/>
      <c r="L323" s="89"/>
      <c r="M323" s="89"/>
      <c r="N323" s="113"/>
      <c r="O323" s="113"/>
      <c r="P323" s="113"/>
      <c r="Q323" s="113"/>
      <c r="R323" s="113"/>
      <c r="S323" s="113"/>
      <c r="T323" s="150"/>
      <c r="U323" t="s">
        <v>613</v>
      </c>
    </row>
    <row r="324" spans="2:21" x14ac:dyDescent="0.2">
      <c r="B324" s="110"/>
      <c r="C324" s="110"/>
      <c r="D324" s="133"/>
      <c r="E324" s="89"/>
      <c r="F324" s="145"/>
      <c r="G324" s="145"/>
      <c r="H324" s="121"/>
      <c r="I324" s="113"/>
      <c r="J324" s="89"/>
      <c r="K324" s="89"/>
      <c r="L324" s="89"/>
      <c r="M324" s="89"/>
      <c r="N324" s="113"/>
      <c r="O324" s="113"/>
      <c r="P324" s="113"/>
      <c r="Q324" s="113"/>
      <c r="R324" s="113"/>
      <c r="S324" s="113"/>
      <c r="T324" s="150"/>
      <c r="U324" t="s">
        <v>613</v>
      </c>
    </row>
    <row r="325" spans="2:21" x14ac:dyDescent="0.2">
      <c r="B325" s="110"/>
      <c r="C325" s="110"/>
      <c r="D325" s="133"/>
      <c r="E325" s="89"/>
      <c r="F325" s="145"/>
      <c r="G325" s="145"/>
      <c r="H325" s="121"/>
      <c r="I325" s="113"/>
      <c r="J325" s="89"/>
      <c r="K325" s="89"/>
      <c r="L325" s="89"/>
      <c r="M325" s="89"/>
      <c r="N325" s="113"/>
      <c r="O325" s="113"/>
      <c r="P325" s="113"/>
      <c r="Q325" s="113"/>
      <c r="R325" s="113"/>
      <c r="S325" s="113"/>
      <c r="T325" s="150"/>
      <c r="U325" t="s">
        <v>613</v>
      </c>
    </row>
    <row r="326" spans="2:21" x14ac:dyDescent="0.2">
      <c r="B326" s="110"/>
      <c r="C326" s="110"/>
      <c r="D326" s="133"/>
      <c r="E326" s="89"/>
      <c r="F326" s="145"/>
      <c r="G326" s="145"/>
      <c r="H326" s="121"/>
      <c r="I326" s="113"/>
      <c r="J326" s="89"/>
      <c r="K326" s="89"/>
      <c r="L326" s="89"/>
      <c r="M326" s="89"/>
      <c r="N326" s="113"/>
      <c r="O326" s="113"/>
      <c r="P326" s="113"/>
      <c r="Q326" s="113"/>
      <c r="R326" s="113"/>
      <c r="S326" s="113"/>
      <c r="T326" s="150"/>
      <c r="U326" t="s">
        <v>613</v>
      </c>
    </row>
    <row r="327" spans="2:21" x14ac:dyDescent="0.2">
      <c r="B327" s="110"/>
      <c r="C327" s="110"/>
      <c r="D327" s="133"/>
      <c r="E327" s="89"/>
      <c r="F327" s="145"/>
      <c r="G327" s="145"/>
      <c r="H327" s="121"/>
      <c r="I327" s="113"/>
      <c r="J327" s="89"/>
      <c r="K327" s="89"/>
      <c r="L327" s="89"/>
      <c r="M327" s="89"/>
      <c r="N327" s="113"/>
      <c r="O327" s="113"/>
      <c r="P327" s="113"/>
      <c r="Q327" s="113"/>
      <c r="R327" s="113"/>
      <c r="S327" s="113"/>
      <c r="T327" s="150"/>
      <c r="U327" t="s">
        <v>613</v>
      </c>
    </row>
    <row r="328" spans="2:21" x14ac:dyDescent="0.2">
      <c r="B328" s="110"/>
      <c r="C328" s="110"/>
      <c r="D328" s="133"/>
      <c r="E328" s="89"/>
      <c r="F328" s="145"/>
      <c r="G328" s="145"/>
      <c r="H328" s="121"/>
      <c r="I328" s="113"/>
      <c r="J328" s="89"/>
      <c r="K328" s="89"/>
      <c r="L328" s="89"/>
      <c r="M328" s="89"/>
      <c r="N328" s="113"/>
      <c r="O328" s="113"/>
      <c r="P328" s="113"/>
      <c r="Q328" s="113"/>
      <c r="R328" s="113"/>
      <c r="S328" s="113"/>
      <c r="T328" s="150"/>
      <c r="U328" t="s">
        <v>613</v>
      </c>
    </row>
    <row r="329" spans="2:21" x14ac:dyDescent="0.2">
      <c r="B329" s="110"/>
      <c r="C329" s="110"/>
      <c r="D329" s="133"/>
      <c r="E329" s="89"/>
      <c r="F329" s="145"/>
      <c r="G329" s="145"/>
      <c r="H329" s="121"/>
      <c r="I329" s="113"/>
      <c r="J329" s="89"/>
      <c r="K329" s="89"/>
      <c r="L329" s="89"/>
      <c r="M329" s="89"/>
      <c r="N329" s="113"/>
      <c r="O329" s="113"/>
      <c r="P329" s="113"/>
      <c r="Q329" s="113"/>
      <c r="R329" s="113"/>
      <c r="S329" s="113"/>
      <c r="T329" s="150"/>
      <c r="U329" t="s">
        <v>613</v>
      </c>
    </row>
    <row r="330" spans="2:21" x14ac:dyDescent="0.2">
      <c r="B330" s="110"/>
      <c r="C330" s="110"/>
      <c r="D330" s="133"/>
      <c r="E330" s="89"/>
      <c r="F330" s="145"/>
      <c r="G330" s="145"/>
      <c r="H330" s="121"/>
      <c r="I330" s="113"/>
      <c r="J330" s="89"/>
      <c r="K330" s="89"/>
      <c r="L330" s="89"/>
      <c r="M330" s="89"/>
      <c r="N330" s="113"/>
      <c r="O330" s="113"/>
      <c r="P330" s="113"/>
      <c r="Q330" s="113"/>
      <c r="R330" s="113"/>
      <c r="S330" s="113"/>
      <c r="T330" s="150"/>
      <c r="U330" t="s">
        <v>613</v>
      </c>
    </row>
    <row r="331" spans="2:21" x14ac:dyDescent="0.2">
      <c r="B331" s="110"/>
      <c r="C331" s="110"/>
      <c r="D331" s="133"/>
      <c r="E331" s="89"/>
      <c r="F331" s="145"/>
      <c r="G331" s="145"/>
      <c r="H331" s="121"/>
      <c r="I331" s="113"/>
      <c r="J331" s="89"/>
      <c r="K331" s="89"/>
      <c r="L331" s="89"/>
      <c r="M331" s="89"/>
      <c r="N331" s="113"/>
      <c r="O331" s="113"/>
      <c r="P331" s="113"/>
      <c r="Q331" s="113"/>
      <c r="R331" s="113"/>
      <c r="S331" s="113"/>
      <c r="T331" s="150"/>
      <c r="U331" t="s">
        <v>613</v>
      </c>
    </row>
    <row r="332" spans="2:21" x14ac:dyDescent="0.2">
      <c r="B332" s="110"/>
      <c r="C332" s="110"/>
      <c r="D332" s="133"/>
      <c r="E332" s="89"/>
      <c r="F332" s="145"/>
      <c r="G332" s="145"/>
      <c r="H332" s="121"/>
      <c r="I332" s="113"/>
      <c r="J332" s="89"/>
      <c r="K332" s="89"/>
      <c r="L332" s="89"/>
      <c r="M332" s="89"/>
      <c r="N332" s="113"/>
      <c r="O332" s="113"/>
      <c r="P332" s="113"/>
      <c r="Q332" s="113"/>
      <c r="R332" s="113"/>
      <c r="S332" s="113"/>
      <c r="T332" s="150"/>
      <c r="U332" t="s">
        <v>613</v>
      </c>
    </row>
    <row r="333" spans="2:21" x14ac:dyDescent="0.2">
      <c r="B333" s="110"/>
      <c r="C333" s="110"/>
      <c r="D333" s="133"/>
      <c r="E333" s="89"/>
      <c r="F333" s="145"/>
      <c r="G333" s="145"/>
      <c r="H333" s="121"/>
      <c r="I333" s="113"/>
      <c r="J333" s="89"/>
      <c r="K333" s="89"/>
      <c r="L333" s="89"/>
      <c r="M333" s="89"/>
      <c r="N333" s="113"/>
      <c r="O333" s="113"/>
      <c r="P333" s="113"/>
      <c r="Q333" s="113"/>
      <c r="R333" s="113"/>
      <c r="S333" s="113"/>
      <c r="T333" s="150"/>
      <c r="U333" t="s">
        <v>613</v>
      </c>
    </row>
    <row r="334" spans="2:21" x14ac:dyDescent="0.2">
      <c r="B334" s="110"/>
      <c r="C334" s="110"/>
      <c r="D334" s="133"/>
      <c r="E334" s="89"/>
      <c r="F334" s="145"/>
      <c r="G334" s="145"/>
      <c r="H334" s="121"/>
      <c r="I334" s="113"/>
      <c r="J334" s="89"/>
      <c r="K334" s="89"/>
      <c r="L334" s="89"/>
      <c r="M334" s="89"/>
      <c r="N334" s="113"/>
      <c r="O334" s="113"/>
      <c r="P334" s="113"/>
      <c r="Q334" s="113"/>
      <c r="R334" s="113"/>
      <c r="S334" s="113"/>
      <c r="T334" s="150"/>
      <c r="U334" t="s">
        <v>613</v>
      </c>
    </row>
    <row r="335" spans="2:21" x14ac:dyDescent="0.2">
      <c r="B335" s="110"/>
      <c r="C335" s="110"/>
      <c r="D335" s="133"/>
      <c r="E335" s="89"/>
      <c r="F335" s="145"/>
      <c r="G335" s="145"/>
      <c r="H335" s="121"/>
      <c r="I335" s="113"/>
      <c r="J335" s="89"/>
      <c r="K335" s="89"/>
      <c r="L335" s="89"/>
      <c r="M335" s="89"/>
      <c r="N335" s="113"/>
      <c r="O335" s="113"/>
      <c r="P335" s="113"/>
      <c r="Q335" s="113"/>
      <c r="R335" s="113"/>
      <c r="S335" s="113"/>
      <c r="T335" s="150"/>
      <c r="U335" t="s">
        <v>613</v>
      </c>
    </row>
    <row r="336" spans="2:21" x14ac:dyDescent="0.2">
      <c r="B336" s="110"/>
      <c r="C336" s="110"/>
      <c r="D336" s="133"/>
      <c r="E336" s="89"/>
      <c r="F336" s="145"/>
      <c r="G336" s="145"/>
      <c r="H336" s="121"/>
      <c r="I336" s="113"/>
      <c r="J336" s="89"/>
      <c r="K336" s="89"/>
      <c r="L336" s="89"/>
      <c r="M336" s="89"/>
      <c r="N336" s="113"/>
      <c r="O336" s="113"/>
      <c r="P336" s="113"/>
      <c r="Q336" s="113"/>
      <c r="R336" s="113"/>
      <c r="S336" s="113"/>
      <c r="T336" s="150"/>
      <c r="U336" t="s">
        <v>613</v>
      </c>
    </row>
    <row r="337" spans="2:21" x14ac:dyDescent="0.2">
      <c r="B337" s="110"/>
      <c r="C337" s="110"/>
      <c r="D337" s="133"/>
      <c r="E337" s="89"/>
      <c r="F337" s="145"/>
      <c r="G337" s="145"/>
      <c r="H337" s="121"/>
      <c r="I337" s="113"/>
      <c r="J337" s="89"/>
      <c r="K337" s="89"/>
      <c r="L337" s="89"/>
      <c r="M337" s="89"/>
      <c r="N337" s="113"/>
      <c r="O337" s="113"/>
      <c r="P337" s="113"/>
      <c r="Q337" s="113"/>
      <c r="R337" s="113"/>
      <c r="S337" s="113"/>
      <c r="T337" s="150"/>
      <c r="U337" t="s">
        <v>613</v>
      </c>
    </row>
    <row r="338" spans="2:21" x14ac:dyDescent="0.2">
      <c r="B338" s="110"/>
      <c r="C338" s="110"/>
      <c r="D338" s="133"/>
      <c r="E338" s="89"/>
      <c r="F338" s="145"/>
      <c r="G338" s="145"/>
      <c r="H338" s="121"/>
      <c r="I338" s="113"/>
      <c r="J338" s="89"/>
      <c r="K338" s="89"/>
      <c r="L338" s="89"/>
      <c r="M338" s="89"/>
      <c r="N338" s="113"/>
      <c r="O338" s="113"/>
      <c r="P338" s="113"/>
      <c r="Q338" s="113"/>
      <c r="R338" s="113"/>
      <c r="S338" s="113"/>
      <c r="T338" s="150"/>
      <c r="U338" t="s">
        <v>613</v>
      </c>
    </row>
    <row r="339" spans="2:21" x14ac:dyDescent="0.2">
      <c r="B339" s="110"/>
      <c r="C339" s="110"/>
      <c r="D339" s="133"/>
      <c r="E339" s="89"/>
      <c r="F339" s="145"/>
      <c r="G339" s="145"/>
      <c r="H339" s="121"/>
      <c r="I339" s="113"/>
      <c r="J339" s="89"/>
      <c r="K339" s="89"/>
      <c r="L339" s="89"/>
      <c r="M339" s="89"/>
      <c r="N339" s="113"/>
      <c r="O339" s="113"/>
      <c r="P339" s="113"/>
      <c r="Q339" s="113"/>
      <c r="R339" s="113"/>
      <c r="S339" s="113"/>
      <c r="T339" s="150"/>
      <c r="U339" t="s">
        <v>613</v>
      </c>
    </row>
    <row r="340" spans="2:21" x14ac:dyDescent="0.2">
      <c r="B340" s="110"/>
      <c r="C340" s="110"/>
      <c r="D340" s="133"/>
      <c r="E340" s="89"/>
      <c r="F340" s="145"/>
      <c r="G340" s="145"/>
      <c r="H340" s="121"/>
      <c r="I340" s="113"/>
      <c r="J340" s="89"/>
      <c r="K340" s="89"/>
      <c r="L340" s="89"/>
      <c r="M340" s="89"/>
      <c r="N340" s="113"/>
      <c r="O340" s="113"/>
      <c r="P340" s="113"/>
      <c r="Q340" s="113"/>
      <c r="R340" s="113"/>
      <c r="S340" s="113"/>
      <c r="T340" s="150"/>
      <c r="U340" t="s">
        <v>613</v>
      </c>
    </row>
    <row r="341" spans="2:21" x14ac:dyDescent="0.2">
      <c r="B341" s="110"/>
      <c r="C341" s="110"/>
      <c r="D341" s="133"/>
      <c r="E341" s="89"/>
      <c r="F341" s="145"/>
      <c r="G341" s="145"/>
      <c r="H341" s="121"/>
      <c r="I341" s="113"/>
      <c r="J341" s="89"/>
      <c r="K341" s="89"/>
      <c r="L341" s="89"/>
      <c r="M341" s="89"/>
      <c r="N341" s="113"/>
      <c r="O341" s="113"/>
      <c r="P341" s="113"/>
      <c r="Q341" s="113"/>
      <c r="R341" s="113"/>
      <c r="S341" s="113"/>
      <c r="T341" s="150"/>
      <c r="U341" t="s">
        <v>613</v>
      </c>
    </row>
    <row r="342" spans="2:21" x14ac:dyDescent="0.2">
      <c r="B342" s="110"/>
      <c r="C342" s="110"/>
      <c r="D342" s="133"/>
      <c r="E342" s="89"/>
      <c r="F342" s="145"/>
      <c r="G342" s="145"/>
      <c r="H342" s="121"/>
      <c r="I342" s="113"/>
      <c r="J342" s="89"/>
      <c r="K342" s="89"/>
      <c r="L342" s="89"/>
      <c r="M342" s="89"/>
      <c r="N342" s="113"/>
      <c r="O342" s="113"/>
      <c r="P342" s="113"/>
      <c r="Q342" s="113"/>
      <c r="R342" s="113"/>
      <c r="S342" s="113"/>
      <c r="T342" s="150"/>
      <c r="U342" t="s">
        <v>613</v>
      </c>
    </row>
    <row r="343" spans="2:21" x14ac:dyDescent="0.2">
      <c r="B343" s="110"/>
      <c r="C343" s="110"/>
      <c r="D343" s="133"/>
      <c r="E343" s="89"/>
      <c r="F343" s="145"/>
      <c r="G343" s="145"/>
      <c r="H343" s="121"/>
      <c r="I343" s="113"/>
      <c r="J343" s="89"/>
      <c r="K343" s="89"/>
      <c r="L343" s="89"/>
      <c r="M343" s="89"/>
      <c r="N343" s="113"/>
      <c r="O343" s="113"/>
      <c r="P343" s="113"/>
      <c r="Q343" s="113"/>
      <c r="R343" s="113"/>
      <c r="S343" s="113"/>
      <c r="T343" s="150"/>
      <c r="U343" t="s">
        <v>613</v>
      </c>
    </row>
    <row r="344" spans="2:21" x14ac:dyDescent="0.2">
      <c r="B344" s="110"/>
      <c r="C344" s="110"/>
      <c r="D344" s="133"/>
      <c r="E344" s="89"/>
      <c r="F344" s="145"/>
      <c r="G344" s="145"/>
      <c r="H344" s="121"/>
      <c r="I344" s="113"/>
      <c r="J344" s="89"/>
      <c r="K344" s="89"/>
      <c r="L344" s="89"/>
      <c r="M344" s="89"/>
      <c r="N344" s="113"/>
      <c r="O344" s="113"/>
      <c r="P344" s="113"/>
      <c r="Q344" s="113"/>
      <c r="R344" s="113"/>
      <c r="S344" s="113"/>
      <c r="T344" s="150"/>
      <c r="U344" t="s">
        <v>613</v>
      </c>
    </row>
    <row r="345" spans="2:21" x14ac:dyDescent="0.2">
      <c r="B345" s="110"/>
      <c r="C345" s="114"/>
      <c r="D345" s="89"/>
      <c r="E345" s="89"/>
      <c r="F345" s="145"/>
      <c r="G345" s="145"/>
      <c r="H345" s="121"/>
      <c r="I345" s="113"/>
      <c r="J345" s="89"/>
      <c r="K345" s="89"/>
      <c r="L345" s="89"/>
      <c r="M345" s="89"/>
      <c r="N345" s="113"/>
      <c r="O345" s="113"/>
      <c r="P345" s="113"/>
      <c r="Q345" s="113"/>
      <c r="R345" s="113"/>
      <c r="S345" s="113"/>
      <c r="T345" s="150"/>
      <c r="U345" t="s">
        <v>613</v>
      </c>
    </row>
    <row r="346" spans="2:21" x14ac:dyDescent="0.2">
      <c r="B346" s="110"/>
      <c r="C346" s="114"/>
      <c r="D346" s="89"/>
      <c r="E346" s="89"/>
      <c r="F346" s="145"/>
      <c r="G346" s="145"/>
      <c r="H346" s="121"/>
      <c r="I346" s="113"/>
      <c r="J346" s="89"/>
      <c r="K346" s="89"/>
      <c r="L346" s="89"/>
      <c r="M346" s="89"/>
      <c r="N346" s="113"/>
      <c r="O346" s="113"/>
      <c r="P346" s="113"/>
      <c r="Q346" s="113"/>
      <c r="R346" s="113"/>
      <c r="S346" s="113"/>
      <c r="T346" s="150"/>
      <c r="U346" t="s">
        <v>613</v>
      </c>
    </row>
    <row r="347" spans="2:21" x14ac:dyDescent="0.2">
      <c r="B347" s="110"/>
      <c r="C347" s="114"/>
      <c r="D347" s="89"/>
      <c r="E347" s="89"/>
      <c r="F347" s="145"/>
      <c r="G347" s="145"/>
      <c r="H347" s="121"/>
      <c r="I347" s="113"/>
      <c r="J347" s="89"/>
      <c r="K347" s="89"/>
      <c r="L347" s="89"/>
      <c r="M347" s="89"/>
      <c r="N347" s="113"/>
      <c r="O347" s="113"/>
      <c r="P347" s="113"/>
      <c r="Q347" s="113"/>
      <c r="R347" s="113"/>
      <c r="S347" s="113"/>
      <c r="T347" s="150"/>
      <c r="U347" t="s">
        <v>613</v>
      </c>
    </row>
    <row r="348" spans="2:21" x14ac:dyDescent="0.2">
      <c r="B348" s="110"/>
      <c r="C348" s="114"/>
      <c r="D348" s="89"/>
      <c r="E348" s="89"/>
      <c r="F348" s="145"/>
      <c r="G348" s="145"/>
      <c r="H348" s="121"/>
      <c r="I348" s="113"/>
      <c r="J348" s="89"/>
      <c r="K348" s="89"/>
      <c r="L348" s="89"/>
      <c r="M348" s="89"/>
      <c r="N348" s="113"/>
      <c r="O348" s="113"/>
      <c r="P348" s="113"/>
      <c r="Q348" s="113"/>
      <c r="R348" s="113"/>
      <c r="S348" s="113"/>
      <c r="T348" s="150"/>
      <c r="U348" t="s">
        <v>613</v>
      </c>
    </row>
    <row r="349" spans="2:21" x14ac:dyDescent="0.2">
      <c r="B349" s="110"/>
      <c r="C349" s="114"/>
      <c r="D349" s="89"/>
      <c r="E349" s="89"/>
      <c r="F349" s="145"/>
      <c r="G349" s="145"/>
      <c r="H349" s="121"/>
      <c r="I349" s="113"/>
      <c r="J349" s="89"/>
      <c r="K349" s="89"/>
      <c r="L349" s="89"/>
      <c r="M349" s="89"/>
      <c r="N349" s="113"/>
      <c r="O349" s="113"/>
      <c r="P349" s="113"/>
      <c r="Q349" s="113"/>
      <c r="R349" s="113"/>
      <c r="S349" s="113"/>
      <c r="T349" s="150"/>
      <c r="U349" t="s">
        <v>613</v>
      </c>
    </row>
    <row r="350" spans="2:21" x14ac:dyDescent="0.2">
      <c r="B350" s="110"/>
      <c r="C350" s="114"/>
      <c r="D350" s="89"/>
      <c r="E350" s="89"/>
      <c r="F350" s="145"/>
      <c r="G350" s="145"/>
      <c r="H350" s="121"/>
      <c r="I350" s="113"/>
      <c r="J350" s="89"/>
      <c r="K350" s="89"/>
      <c r="L350" s="89"/>
      <c r="M350" s="89"/>
      <c r="N350" s="113"/>
      <c r="O350" s="113"/>
      <c r="P350" s="113"/>
      <c r="Q350" s="113"/>
      <c r="R350" s="113"/>
      <c r="S350" s="113"/>
      <c r="T350" s="150"/>
      <c r="U350" t="s">
        <v>613</v>
      </c>
    </row>
    <row r="351" spans="2:21" x14ac:dyDescent="0.2">
      <c r="B351" s="110"/>
      <c r="C351" s="114"/>
      <c r="D351" s="89"/>
      <c r="E351" s="89"/>
      <c r="F351" s="145"/>
      <c r="G351" s="145"/>
      <c r="H351" s="121"/>
      <c r="I351" s="113"/>
      <c r="J351" s="89"/>
      <c r="K351" s="89"/>
      <c r="L351" s="89"/>
      <c r="M351" s="89"/>
      <c r="N351" s="113"/>
      <c r="O351" s="113"/>
      <c r="P351" s="113"/>
      <c r="Q351" s="113"/>
      <c r="R351" s="113"/>
      <c r="S351" s="113"/>
      <c r="T351" s="150"/>
      <c r="U351" t="s">
        <v>613</v>
      </c>
    </row>
    <row r="352" spans="2:21" x14ac:dyDescent="0.2">
      <c r="B352" s="110"/>
      <c r="C352" s="114"/>
      <c r="D352" s="89"/>
      <c r="E352" s="89"/>
      <c r="F352" s="145"/>
      <c r="G352" s="145"/>
      <c r="H352" s="121"/>
      <c r="I352" s="113"/>
      <c r="J352" s="89"/>
      <c r="K352" s="89"/>
      <c r="L352" s="89"/>
      <c r="M352" s="89"/>
      <c r="N352" s="113"/>
      <c r="O352" s="113"/>
      <c r="P352" s="113"/>
      <c r="Q352" s="113"/>
      <c r="R352" s="113"/>
      <c r="S352" s="113"/>
      <c r="T352" s="150"/>
      <c r="U352" t="s">
        <v>613</v>
      </c>
    </row>
    <row r="353" spans="2:21" x14ac:dyDescent="0.2">
      <c r="B353" s="110"/>
      <c r="C353" s="114"/>
      <c r="D353" s="89"/>
      <c r="E353" s="89"/>
      <c r="F353" s="145"/>
      <c r="G353" s="145"/>
      <c r="H353" s="121"/>
      <c r="I353" s="113"/>
      <c r="J353" s="89"/>
      <c r="K353" s="89"/>
      <c r="L353" s="89"/>
      <c r="M353" s="89"/>
      <c r="N353" s="113"/>
      <c r="O353" s="113"/>
      <c r="P353" s="113"/>
      <c r="Q353" s="113"/>
      <c r="R353" s="113"/>
      <c r="S353" s="113"/>
      <c r="T353" s="150"/>
      <c r="U353" t="s">
        <v>613</v>
      </c>
    </row>
    <row r="354" spans="2:21" x14ac:dyDescent="0.2">
      <c r="B354" s="110"/>
      <c r="C354" s="114"/>
      <c r="D354" s="89"/>
      <c r="E354" s="89"/>
      <c r="F354" s="145"/>
      <c r="G354" s="145"/>
      <c r="H354" s="121"/>
      <c r="I354" s="113"/>
      <c r="J354" s="89"/>
      <c r="K354" s="89"/>
      <c r="L354" s="89"/>
      <c r="M354" s="89"/>
      <c r="N354" s="113"/>
      <c r="O354" s="113"/>
      <c r="P354" s="113"/>
      <c r="Q354" s="113"/>
      <c r="R354" s="113"/>
      <c r="S354" s="113"/>
      <c r="T354" s="150"/>
      <c r="U354" t="s">
        <v>613</v>
      </c>
    </row>
    <row r="355" spans="2:21" x14ac:dyDescent="0.2">
      <c r="B355" s="110"/>
      <c r="C355" s="114"/>
      <c r="D355" s="89"/>
      <c r="E355" s="89"/>
      <c r="F355" s="145"/>
      <c r="G355" s="145"/>
      <c r="H355" s="121"/>
      <c r="I355" s="113"/>
      <c r="J355" s="89"/>
      <c r="K355" s="89"/>
      <c r="L355" s="89"/>
      <c r="M355" s="89"/>
      <c r="N355" s="113"/>
      <c r="O355" s="113"/>
      <c r="P355" s="113"/>
      <c r="Q355" s="113"/>
      <c r="R355" s="113"/>
      <c r="S355" s="113"/>
      <c r="T355" s="150"/>
      <c r="U355" t="s">
        <v>613</v>
      </c>
    </row>
    <row r="356" spans="2:21" x14ac:dyDescent="0.2">
      <c r="B356" s="110"/>
      <c r="C356" s="114"/>
      <c r="D356" s="89"/>
      <c r="E356" s="89"/>
      <c r="F356" s="145"/>
      <c r="G356" s="145"/>
      <c r="H356" s="121"/>
      <c r="I356" s="113"/>
      <c r="J356" s="89"/>
      <c r="K356" s="89"/>
      <c r="L356" s="89"/>
      <c r="M356" s="89"/>
      <c r="N356" s="113"/>
      <c r="O356" s="113"/>
      <c r="P356" s="113"/>
      <c r="Q356" s="113"/>
      <c r="R356" s="113"/>
      <c r="S356" s="113"/>
      <c r="T356" s="150"/>
      <c r="U356" t="s">
        <v>613</v>
      </c>
    </row>
    <row r="357" spans="2:21" x14ac:dyDescent="0.2">
      <c r="B357" s="110"/>
      <c r="C357" s="114"/>
      <c r="D357" s="89"/>
      <c r="E357" s="89"/>
      <c r="F357" s="145"/>
      <c r="G357" s="145"/>
      <c r="H357" s="121"/>
      <c r="I357" s="113"/>
      <c r="J357" s="89"/>
      <c r="K357" s="89"/>
      <c r="L357" s="89"/>
      <c r="M357" s="89"/>
      <c r="N357" s="113"/>
      <c r="O357" s="113"/>
      <c r="P357" s="113"/>
      <c r="Q357" s="113"/>
      <c r="R357" s="113"/>
      <c r="S357" s="113"/>
      <c r="T357" s="150"/>
      <c r="U357" t="s">
        <v>613</v>
      </c>
    </row>
    <row r="358" spans="2:21" x14ac:dyDescent="0.2">
      <c r="B358" s="110"/>
      <c r="C358" s="114"/>
      <c r="D358" s="89"/>
      <c r="E358" s="89"/>
      <c r="F358" s="145"/>
      <c r="G358" s="145"/>
      <c r="H358" s="121"/>
      <c r="I358" s="113"/>
      <c r="J358" s="89"/>
      <c r="K358" s="89"/>
      <c r="L358" s="89"/>
      <c r="M358" s="89"/>
      <c r="N358" s="113"/>
      <c r="O358" s="113"/>
      <c r="P358" s="113"/>
      <c r="Q358" s="113"/>
      <c r="R358" s="113"/>
      <c r="S358" s="113"/>
      <c r="T358" s="150"/>
      <c r="U358" t="s">
        <v>613</v>
      </c>
    </row>
    <row r="359" spans="2:21" x14ac:dyDescent="0.2">
      <c r="B359" s="110"/>
      <c r="C359" s="114"/>
      <c r="D359" s="89"/>
      <c r="E359" s="89"/>
      <c r="F359" s="145"/>
      <c r="G359" s="145"/>
      <c r="H359" s="121"/>
      <c r="I359" s="113"/>
      <c r="J359" s="89"/>
      <c r="K359" s="89"/>
      <c r="L359" s="89"/>
      <c r="M359" s="89"/>
      <c r="N359" s="113"/>
      <c r="O359" s="113"/>
      <c r="P359" s="113"/>
      <c r="Q359" s="113"/>
      <c r="R359" s="113"/>
      <c r="S359" s="113"/>
      <c r="T359" s="150"/>
      <c r="U359" t="s">
        <v>613</v>
      </c>
    </row>
    <row r="360" spans="2:21" x14ac:dyDescent="0.2">
      <c r="B360" s="110"/>
      <c r="C360" s="114"/>
      <c r="D360" s="89"/>
      <c r="E360" s="89"/>
      <c r="F360" s="145"/>
      <c r="G360" s="145"/>
      <c r="H360" s="121"/>
      <c r="I360" s="113"/>
      <c r="J360" s="89"/>
      <c r="K360" s="89"/>
      <c r="L360" s="89"/>
      <c r="M360" s="89"/>
      <c r="N360" s="113"/>
      <c r="O360" s="113"/>
      <c r="P360" s="113"/>
      <c r="Q360" s="113"/>
      <c r="R360" s="113"/>
      <c r="S360" s="113"/>
      <c r="T360" s="150"/>
      <c r="U360" t="s">
        <v>613</v>
      </c>
    </row>
    <row r="361" spans="2:21" x14ac:dyDescent="0.2">
      <c r="B361" s="110"/>
      <c r="C361" s="114"/>
      <c r="D361" s="89"/>
      <c r="E361" s="89"/>
      <c r="F361" s="145"/>
      <c r="G361" s="145"/>
      <c r="H361" s="121"/>
      <c r="I361" s="113"/>
      <c r="J361" s="89"/>
      <c r="K361" s="89"/>
      <c r="L361" s="89"/>
      <c r="M361" s="89"/>
      <c r="N361" s="113"/>
      <c r="O361" s="113"/>
      <c r="P361" s="113"/>
      <c r="Q361" s="113"/>
      <c r="R361" s="113"/>
      <c r="S361" s="113"/>
      <c r="T361" s="150"/>
      <c r="U361" t="s">
        <v>613</v>
      </c>
    </row>
    <row r="362" spans="2:21" x14ac:dyDescent="0.2">
      <c r="B362" s="110"/>
      <c r="C362" s="114"/>
      <c r="D362" s="89"/>
      <c r="E362" s="89"/>
      <c r="F362" s="145"/>
      <c r="G362" s="145"/>
      <c r="H362" s="121"/>
      <c r="I362" s="113"/>
      <c r="J362" s="89"/>
      <c r="K362" s="89"/>
      <c r="L362" s="89"/>
      <c r="M362" s="89"/>
      <c r="N362" s="113"/>
      <c r="O362" s="113"/>
      <c r="P362" s="113"/>
      <c r="Q362" s="113"/>
      <c r="R362" s="113"/>
      <c r="S362" s="113"/>
      <c r="T362" s="150"/>
      <c r="U362" t="s">
        <v>613</v>
      </c>
    </row>
    <row r="363" spans="2:21" x14ac:dyDescent="0.2">
      <c r="B363" s="110"/>
      <c r="C363" s="114"/>
      <c r="D363" s="89"/>
      <c r="E363" s="89"/>
      <c r="F363" s="145"/>
      <c r="G363" s="145"/>
      <c r="H363" s="121"/>
      <c r="I363" s="113"/>
      <c r="J363" s="89"/>
      <c r="K363" s="89"/>
      <c r="L363" s="89"/>
      <c r="M363" s="89"/>
      <c r="N363" s="113"/>
      <c r="O363" s="113"/>
      <c r="P363" s="113"/>
      <c r="Q363" s="113"/>
      <c r="R363" s="113"/>
      <c r="S363" s="113"/>
      <c r="T363" s="150"/>
      <c r="U363" t="s">
        <v>613</v>
      </c>
    </row>
    <row r="364" spans="2:21" x14ac:dyDescent="0.2">
      <c r="B364" s="110"/>
      <c r="C364" s="114"/>
      <c r="D364" s="89"/>
      <c r="E364" s="89"/>
      <c r="F364" s="145"/>
      <c r="G364" s="145"/>
      <c r="H364" s="121"/>
      <c r="I364" s="113"/>
      <c r="J364" s="89"/>
      <c r="K364" s="89"/>
      <c r="L364" s="89"/>
      <c r="M364" s="89"/>
      <c r="N364" s="113"/>
      <c r="O364" s="113"/>
      <c r="P364" s="113"/>
      <c r="Q364" s="113"/>
      <c r="R364" s="113"/>
      <c r="S364" s="113"/>
      <c r="T364" s="150"/>
      <c r="U364" t="s">
        <v>613</v>
      </c>
    </row>
    <row r="365" spans="2:21" x14ac:dyDescent="0.2">
      <c r="B365" s="110"/>
      <c r="C365" s="114"/>
      <c r="D365" s="89"/>
      <c r="E365" s="89"/>
      <c r="F365" s="145"/>
      <c r="G365" s="145"/>
      <c r="H365" s="121"/>
      <c r="I365" s="113"/>
      <c r="J365" s="89"/>
      <c r="K365" s="89"/>
      <c r="L365" s="89"/>
      <c r="M365" s="89"/>
      <c r="N365" s="113"/>
      <c r="O365" s="113"/>
      <c r="P365" s="113"/>
      <c r="Q365" s="113"/>
      <c r="R365" s="113"/>
      <c r="S365" s="113"/>
      <c r="T365" s="150"/>
      <c r="U365" t="s">
        <v>613</v>
      </c>
    </row>
    <row r="366" spans="2:21" x14ac:dyDescent="0.2">
      <c r="B366" s="110"/>
      <c r="C366" s="114"/>
      <c r="D366" s="89"/>
      <c r="E366" s="89"/>
      <c r="F366" s="145"/>
      <c r="G366" s="145"/>
      <c r="H366" s="121"/>
      <c r="I366" s="113"/>
      <c r="J366" s="89"/>
      <c r="K366" s="89"/>
      <c r="L366" s="89"/>
      <c r="M366" s="89"/>
      <c r="N366" s="113"/>
      <c r="O366" s="113"/>
      <c r="P366" s="113"/>
      <c r="Q366" s="113"/>
      <c r="R366" s="113"/>
      <c r="S366" s="113"/>
      <c r="T366" s="150"/>
      <c r="U366" t="s">
        <v>613</v>
      </c>
    </row>
    <row r="367" spans="2:21" x14ac:dyDescent="0.2">
      <c r="B367" s="110"/>
      <c r="C367" s="114"/>
      <c r="D367" s="89"/>
      <c r="E367" s="89"/>
      <c r="F367" s="145"/>
      <c r="G367" s="145"/>
      <c r="H367" s="121"/>
      <c r="I367" s="113"/>
      <c r="J367" s="89"/>
      <c r="K367" s="89"/>
      <c r="L367" s="89"/>
      <c r="M367" s="89"/>
      <c r="N367" s="113"/>
      <c r="O367" s="113"/>
      <c r="P367" s="113"/>
      <c r="Q367" s="113"/>
      <c r="R367" s="113"/>
      <c r="S367" s="113"/>
      <c r="T367" s="150"/>
      <c r="U367" t="s">
        <v>613</v>
      </c>
    </row>
    <row r="368" spans="2:21" x14ac:dyDescent="0.2">
      <c r="B368" s="110"/>
      <c r="C368" s="114"/>
      <c r="D368" s="89"/>
      <c r="E368" s="89"/>
      <c r="F368" s="145"/>
      <c r="G368" s="145"/>
      <c r="H368" s="121"/>
      <c r="I368" s="113"/>
      <c r="J368" s="89"/>
      <c r="K368" s="89"/>
      <c r="L368" s="89"/>
      <c r="M368" s="89"/>
      <c r="N368" s="113"/>
      <c r="O368" s="113"/>
      <c r="P368" s="113"/>
      <c r="Q368" s="113"/>
      <c r="R368" s="113"/>
      <c r="S368" s="113"/>
      <c r="T368" s="150"/>
      <c r="U368" t="s">
        <v>613</v>
      </c>
    </row>
    <row r="369" spans="2:21" x14ac:dyDescent="0.2">
      <c r="B369" s="110"/>
      <c r="C369" s="114"/>
      <c r="D369" s="89"/>
      <c r="E369" s="89"/>
      <c r="F369" s="145"/>
      <c r="G369" s="145"/>
      <c r="H369" s="121"/>
      <c r="I369" s="113"/>
      <c r="J369" s="89"/>
      <c r="K369" s="89"/>
      <c r="L369" s="89"/>
      <c r="M369" s="89"/>
      <c r="N369" s="113"/>
      <c r="O369" s="113"/>
      <c r="P369" s="113"/>
      <c r="Q369" s="113"/>
      <c r="R369" s="113"/>
      <c r="S369" s="113"/>
      <c r="T369" s="150"/>
      <c r="U369" t="s">
        <v>613</v>
      </c>
    </row>
    <row r="370" spans="2:21" x14ac:dyDescent="0.2">
      <c r="B370" s="110"/>
      <c r="C370" s="114"/>
      <c r="D370" s="89"/>
      <c r="E370" s="89"/>
      <c r="F370" s="145"/>
      <c r="G370" s="145"/>
      <c r="H370" s="121"/>
      <c r="I370" s="113"/>
      <c r="J370" s="89"/>
      <c r="K370" s="89"/>
      <c r="L370" s="89"/>
      <c r="M370" s="89"/>
      <c r="N370" s="113"/>
      <c r="O370" s="113"/>
      <c r="P370" s="113"/>
      <c r="Q370" s="113"/>
      <c r="R370" s="113"/>
      <c r="S370" s="113"/>
      <c r="T370" s="150"/>
      <c r="U370" t="s">
        <v>613</v>
      </c>
    </row>
    <row r="371" spans="2:21" x14ac:dyDescent="0.2">
      <c r="B371" s="110"/>
      <c r="C371" s="114"/>
      <c r="D371" s="89"/>
      <c r="E371" s="89"/>
      <c r="F371" s="145"/>
      <c r="G371" s="145"/>
      <c r="H371" s="121"/>
      <c r="I371" s="113"/>
      <c r="J371" s="89"/>
      <c r="K371" s="89"/>
      <c r="L371" s="89"/>
      <c r="M371" s="89"/>
      <c r="N371" s="113"/>
      <c r="O371" s="113"/>
      <c r="P371" s="113"/>
      <c r="Q371" s="113"/>
      <c r="R371" s="113"/>
      <c r="S371" s="113"/>
      <c r="T371" s="150"/>
      <c r="U371" t="s">
        <v>613</v>
      </c>
    </row>
    <row r="372" spans="2:21" x14ac:dyDescent="0.2">
      <c r="B372" s="110"/>
      <c r="C372" s="114"/>
      <c r="D372" s="89"/>
      <c r="E372" s="89"/>
      <c r="F372" s="145"/>
      <c r="G372" s="145"/>
      <c r="H372" s="121"/>
      <c r="I372" s="113"/>
      <c r="J372" s="89"/>
      <c r="K372" s="89"/>
      <c r="L372" s="89"/>
      <c r="M372" s="89"/>
      <c r="N372" s="113"/>
      <c r="O372" s="113"/>
      <c r="P372" s="113"/>
      <c r="Q372" s="113"/>
      <c r="R372" s="113"/>
      <c r="S372" s="113"/>
      <c r="T372" s="150"/>
      <c r="U372" t="s">
        <v>613</v>
      </c>
    </row>
    <row r="373" spans="2:21" x14ac:dyDescent="0.2">
      <c r="B373" s="110"/>
      <c r="C373" s="114"/>
      <c r="D373" s="89"/>
      <c r="E373" s="89"/>
      <c r="F373" s="145"/>
      <c r="G373" s="145"/>
      <c r="H373" s="121"/>
      <c r="I373" s="113"/>
      <c r="J373" s="89"/>
      <c r="K373" s="89"/>
      <c r="L373" s="89"/>
      <c r="M373" s="89"/>
      <c r="N373" s="113"/>
      <c r="O373" s="113"/>
      <c r="P373" s="113"/>
      <c r="Q373" s="113"/>
      <c r="R373" s="113"/>
      <c r="S373" s="113"/>
      <c r="T373" s="150"/>
      <c r="U373" t="s">
        <v>613</v>
      </c>
    </row>
    <row r="374" spans="2:21" x14ac:dyDescent="0.2">
      <c r="B374" s="110"/>
      <c r="C374" s="114"/>
      <c r="D374" s="89"/>
      <c r="E374" s="89"/>
      <c r="F374" s="145"/>
      <c r="G374" s="145"/>
      <c r="H374" s="121"/>
      <c r="I374" s="113"/>
      <c r="J374" s="89"/>
      <c r="K374" s="89"/>
      <c r="L374" s="89"/>
      <c r="M374" s="89"/>
      <c r="N374" s="113"/>
      <c r="O374" s="113"/>
      <c r="P374" s="113"/>
      <c r="Q374" s="113"/>
      <c r="R374" s="113"/>
      <c r="S374" s="113"/>
      <c r="T374" s="150"/>
      <c r="U374" t="s">
        <v>613</v>
      </c>
    </row>
    <row r="375" spans="2:21" x14ac:dyDescent="0.2">
      <c r="B375" s="110"/>
      <c r="C375" s="114"/>
      <c r="D375" s="89"/>
      <c r="E375" s="89"/>
      <c r="F375" s="145"/>
      <c r="G375" s="145"/>
      <c r="H375" s="121"/>
      <c r="I375" s="113"/>
      <c r="J375" s="89"/>
      <c r="K375" s="89"/>
      <c r="L375" s="89"/>
      <c r="M375" s="89"/>
      <c r="N375" s="113"/>
      <c r="O375" s="113"/>
      <c r="P375" s="113"/>
      <c r="Q375" s="113"/>
      <c r="R375" s="113"/>
      <c r="S375" s="113"/>
      <c r="T375" s="150"/>
      <c r="U375" t="s">
        <v>613</v>
      </c>
    </row>
    <row r="376" spans="2:21" x14ac:dyDescent="0.2">
      <c r="B376" s="110"/>
      <c r="C376" s="114"/>
      <c r="D376" s="89"/>
      <c r="E376" s="89"/>
      <c r="F376" s="145"/>
      <c r="G376" s="145"/>
      <c r="H376" s="121"/>
      <c r="I376" s="113"/>
      <c r="J376" s="89"/>
      <c r="K376" s="89"/>
      <c r="L376" s="89"/>
      <c r="M376" s="89"/>
      <c r="N376" s="113"/>
      <c r="O376" s="113"/>
      <c r="P376" s="113"/>
      <c r="Q376" s="113"/>
      <c r="R376" s="113"/>
      <c r="S376" s="113"/>
      <c r="T376" s="150"/>
      <c r="U376" t="s">
        <v>613</v>
      </c>
    </row>
    <row r="377" spans="2:21" x14ac:dyDescent="0.2">
      <c r="B377" s="110"/>
      <c r="C377" s="114"/>
      <c r="D377" s="89"/>
      <c r="E377" s="89"/>
      <c r="F377" s="145"/>
      <c r="G377" s="145"/>
      <c r="H377" s="121"/>
      <c r="I377" s="113"/>
      <c r="J377" s="89"/>
      <c r="K377" s="89"/>
      <c r="L377" s="89"/>
      <c r="M377" s="89"/>
      <c r="N377" s="113"/>
      <c r="O377" s="113"/>
      <c r="P377" s="113"/>
      <c r="Q377" s="113"/>
      <c r="R377" s="113"/>
      <c r="S377" s="113"/>
      <c r="T377" s="150"/>
      <c r="U377" t="s">
        <v>613</v>
      </c>
    </row>
    <row r="378" spans="2:21" x14ac:dyDescent="0.2">
      <c r="B378" s="110"/>
      <c r="C378" s="114"/>
      <c r="D378" s="89"/>
      <c r="E378" s="89"/>
      <c r="F378" s="145"/>
      <c r="G378" s="145"/>
      <c r="H378" s="121"/>
      <c r="I378" s="113"/>
      <c r="J378" s="89"/>
      <c r="K378" s="89"/>
      <c r="L378" s="89"/>
      <c r="M378" s="89"/>
      <c r="N378" s="113"/>
      <c r="O378" s="113"/>
      <c r="P378" s="113"/>
      <c r="Q378" s="113"/>
      <c r="R378" s="113"/>
      <c r="S378" s="113"/>
      <c r="T378" s="150"/>
      <c r="U378" t="s">
        <v>613</v>
      </c>
    </row>
    <row r="379" spans="2:21" x14ac:dyDescent="0.2">
      <c r="B379" s="110"/>
      <c r="C379" s="114"/>
      <c r="D379" s="89"/>
      <c r="E379" s="89"/>
      <c r="F379" s="145"/>
      <c r="G379" s="145"/>
      <c r="H379" s="121"/>
      <c r="I379" s="113"/>
      <c r="J379" s="89"/>
      <c r="K379" s="89"/>
      <c r="L379" s="89"/>
      <c r="M379" s="89"/>
      <c r="N379" s="113"/>
      <c r="O379" s="113"/>
      <c r="P379" s="113"/>
      <c r="Q379" s="113"/>
      <c r="R379" s="113"/>
      <c r="S379" s="113"/>
      <c r="T379" s="150"/>
      <c r="U379" t="s">
        <v>613</v>
      </c>
    </row>
    <row r="380" spans="2:21" x14ac:dyDescent="0.2">
      <c r="B380" s="110"/>
      <c r="C380" s="114"/>
      <c r="D380" s="89"/>
      <c r="E380" s="89"/>
      <c r="F380" s="145"/>
      <c r="G380" s="145"/>
      <c r="H380" s="121"/>
      <c r="I380" s="113"/>
      <c r="J380" s="89"/>
      <c r="K380" s="89"/>
      <c r="L380" s="89"/>
      <c r="M380" s="89"/>
      <c r="N380" s="113"/>
      <c r="O380" s="113"/>
      <c r="P380" s="113"/>
      <c r="Q380" s="113"/>
      <c r="R380" s="113"/>
      <c r="S380" s="113"/>
      <c r="T380" s="150"/>
      <c r="U380" t="s">
        <v>613</v>
      </c>
    </row>
    <row r="381" spans="2:21" x14ac:dyDescent="0.2">
      <c r="B381" s="110"/>
      <c r="C381" s="114"/>
      <c r="D381" s="89"/>
      <c r="E381" s="89"/>
      <c r="F381" s="145"/>
      <c r="G381" s="145"/>
      <c r="H381" s="121"/>
      <c r="I381" s="113"/>
      <c r="J381" s="89"/>
      <c r="K381" s="89"/>
      <c r="L381" s="89"/>
      <c r="M381" s="89"/>
      <c r="N381" s="113"/>
      <c r="O381" s="113"/>
      <c r="P381" s="113"/>
      <c r="Q381" s="113"/>
      <c r="R381" s="113"/>
      <c r="S381" s="113"/>
      <c r="T381" s="150"/>
      <c r="U381" t="s">
        <v>613</v>
      </c>
    </row>
    <row r="382" spans="2:21" x14ac:dyDescent="0.2">
      <c r="B382" s="110"/>
      <c r="C382" s="114"/>
      <c r="D382" s="89"/>
      <c r="E382" s="89"/>
      <c r="F382" s="145"/>
      <c r="G382" s="145"/>
      <c r="H382" s="121"/>
      <c r="I382" s="113"/>
      <c r="J382" s="89"/>
      <c r="K382" s="89"/>
      <c r="L382" s="89"/>
      <c r="M382" s="89"/>
      <c r="N382" s="113"/>
      <c r="O382" s="113"/>
      <c r="P382" s="113"/>
      <c r="Q382" s="113"/>
      <c r="R382" s="113"/>
      <c r="S382" s="113"/>
      <c r="T382" s="150"/>
      <c r="U382" t="s">
        <v>613</v>
      </c>
    </row>
    <row r="383" spans="2:21" x14ac:dyDescent="0.2">
      <c r="B383" s="110"/>
      <c r="C383" s="114"/>
      <c r="D383" s="89"/>
      <c r="E383" s="89"/>
      <c r="F383" s="145"/>
      <c r="G383" s="145"/>
      <c r="H383" s="121"/>
      <c r="I383" s="113"/>
      <c r="J383" s="89"/>
      <c r="K383" s="89"/>
      <c r="L383" s="89"/>
      <c r="M383" s="89"/>
      <c r="N383" s="113"/>
      <c r="O383" s="113"/>
      <c r="P383" s="113"/>
      <c r="Q383" s="113"/>
      <c r="R383" s="113"/>
      <c r="S383" s="113"/>
      <c r="T383" s="150"/>
      <c r="U383" t="s">
        <v>613</v>
      </c>
    </row>
    <row r="384" spans="2:21" x14ac:dyDescent="0.2">
      <c r="B384" s="110"/>
      <c r="C384" s="114"/>
      <c r="D384" s="89"/>
      <c r="E384" s="89"/>
      <c r="F384" s="145"/>
      <c r="G384" s="145"/>
      <c r="H384" s="121"/>
      <c r="I384" s="113"/>
      <c r="J384" s="89"/>
      <c r="K384" s="89"/>
      <c r="L384" s="89"/>
      <c r="M384" s="89"/>
      <c r="N384" s="113"/>
      <c r="O384" s="113"/>
      <c r="P384" s="113"/>
      <c r="Q384" s="113"/>
      <c r="R384" s="113"/>
      <c r="S384" s="113"/>
      <c r="T384" s="150"/>
      <c r="U384" t="s">
        <v>613</v>
      </c>
    </row>
    <row r="385" spans="2:21" x14ac:dyDescent="0.2">
      <c r="B385" s="110"/>
      <c r="C385" s="114"/>
      <c r="D385" s="89"/>
      <c r="E385" s="89"/>
      <c r="F385" s="145"/>
      <c r="G385" s="145"/>
      <c r="H385" s="121"/>
      <c r="I385" s="113"/>
      <c r="J385" s="89"/>
      <c r="K385" s="89"/>
      <c r="L385" s="89"/>
      <c r="M385" s="89"/>
      <c r="N385" s="113"/>
      <c r="O385" s="113"/>
      <c r="P385" s="113"/>
      <c r="Q385" s="113"/>
      <c r="R385" s="113"/>
      <c r="S385" s="113"/>
      <c r="T385" s="150"/>
      <c r="U385" t="s">
        <v>613</v>
      </c>
    </row>
    <row r="386" spans="2:21" x14ac:dyDescent="0.2">
      <c r="B386" s="110"/>
      <c r="C386" s="114"/>
      <c r="D386" s="89"/>
      <c r="E386" s="89"/>
      <c r="F386" s="145"/>
      <c r="G386" s="145"/>
      <c r="H386" s="121"/>
      <c r="I386" s="113"/>
      <c r="J386" s="89"/>
      <c r="K386" s="89"/>
      <c r="L386" s="89"/>
      <c r="M386" s="89"/>
      <c r="N386" s="113"/>
      <c r="O386" s="113"/>
      <c r="P386" s="113"/>
      <c r="Q386" s="113"/>
      <c r="R386" s="113"/>
      <c r="S386" s="113"/>
      <c r="T386" s="150"/>
      <c r="U386" t="s">
        <v>613</v>
      </c>
    </row>
    <row r="387" spans="2:21" x14ac:dyDescent="0.2">
      <c r="B387" s="110"/>
      <c r="C387" s="114"/>
      <c r="D387" s="89"/>
      <c r="E387" s="89"/>
      <c r="F387" s="145"/>
      <c r="G387" s="145"/>
      <c r="H387" s="121"/>
      <c r="I387" s="113"/>
      <c r="J387" s="89"/>
      <c r="K387" s="89"/>
      <c r="L387" s="89"/>
      <c r="M387" s="89"/>
      <c r="N387" s="113"/>
      <c r="O387" s="113"/>
      <c r="P387" s="113"/>
      <c r="Q387" s="113"/>
      <c r="R387" s="113"/>
      <c r="S387" s="113"/>
      <c r="T387" s="150"/>
      <c r="U387" t="s">
        <v>613</v>
      </c>
    </row>
    <row r="388" spans="2:21" x14ac:dyDescent="0.2">
      <c r="B388" s="110"/>
      <c r="C388" s="114"/>
      <c r="D388" s="89"/>
      <c r="E388" s="89"/>
      <c r="F388" s="145"/>
      <c r="G388" s="145"/>
      <c r="H388" s="121"/>
      <c r="I388" s="113"/>
      <c r="J388" s="89"/>
      <c r="K388" s="89"/>
      <c r="L388" s="89"/>
      <c r="M388" s="89"/>
      <c r="N388" s="113"/>
      <c r="O388" s="113"/>
      <c r="P388" s="113"/>
      <c r="Q388" s="113"/>
      <c r="R388" s="113"/>
      <c r="S388" s="113"/>
      <c r="T388" s="150"/>
      <c r="U388" t="s">
        <v>613</v>
      </c>
    </row>
    <row r="389" spans="2:21" x14ac:dyDescent="0.2">
      <c r="B389" s="110"/>
      <c r="C389" s="114"/>
      <c r="D389" s="89"/>
      <c r="E389" s="89"/>
      <c r="F389" s="145"/>
      <c r="G389" s="145"/>
      <c r="H389" s="121"/>
      <c r="I389" s="113"/>
      <c r="J389" s="89"/>
      <c r="K389" s="89"/>
      <c r="L389" s="89"/>
      <c r="M389" s="89"/>
      <c r="N389" s="113"/>
      <c r="O389" s="113"/>
      <c r="P389" s="113"/>
      <c r="Q389" s="113"/>
      <c r="R389" s="113"/>
      <c r="S389" s="113"/>
      <c r="T389" s="150"/>
      <c r="U389" t="s">
        <v>613</v>
      </c>
    </row>
    <row r="390" spans="2:21" x14ac:dyDescent="0.2">
      <c r="B390" s="110"/>
      <c r="C390" s="114"/>
      <c r="D390" s="89"/>
      <c r="E390" s="89"/>
      <c r="F390" s="145"/>
      <c r="G390" s="145"/>
      <c r="H390" s="121"/>
      <c r="I390" s="113"/>
      <c r="J390" s="89"/>
      <c r="K390" s="89"/>
      <c r="L390" s="89"/>
      <c r="M390" s="89"/>
      <c r="N390" s="113"/>
      <c r="O390" s="113"/>
      <c r="P390" s="113"/>
      <c r="Q390" s="113"/>
      <c r="R390" s="113"/>
      <c r="S390" s="113"/>
      <c r="T390" s="150"/>
      <c r="U390" t="s">
        <v>613</v>
      </c>
    </row>
    <row r="391" spans="2:21" x14ac:dyDescent="0.2">
      <c r="B391" s="110"/>
      <c r="C391" s="114"/>
      <c r="D391" s="89"/>
      <c r="E391" s="89"/>
      <c r="F391" s="145"/>
      <c r="G391" s="145"/>
      <c r="H391" s="121"/>
      <c r="I391" s="113"/>
      <c r="J391" s="89"/>
      <c r="K391" s="89"/>
      <c r="L391" s="89"/>
      <c r="M391" s="89"/>
      <c r="N391" s="113"/>
      <c r="O391" s="113"/>
      <c r="P391" s="113"/>
      <c r="Q391" s="113"/>
      <c r="R391" s="113"/>
      <c r="S391" s="113"/>
      <c r="T391" s="150"/>
      <c r="U391" t="s">
        <v>613</v>
      </c>
    </row>
    <row r="392" spans="2:21" x14ac:dyDescent="0.2">
      <c r="B392" s="110"/>
      <c r="C392" s="114"/>
      <c r="D392" s="89"/>
      <c r="E392" s="89"/>
      <c r="F392" s="145"/>
      <c r="G392" s="145"/>
      <c r="H392" s="121"/>
      <c r="I392" s="113"/>
      <c r="J392" s="89"/>
      <c r="K392" s="89"/>
      <c r="L392" s="89"/>
      <c r="M392" s="89"/>
      <c r="N392" s="113"/>
      <c r="O392" s="113"/>
      <c r="P392" s="113"/>
      <c r="Q392" s="113"/>
      <c r="R392" s="113"/>
      <c r="S392" s="113"/>
      <c r="T392" s="150"/>
      <c r="U392" t="s">
        <v>613</v>
      </c>
    </row>
    <row r="393" spans="2:21" x14ac:dyDescent="0.2">
      <c r="B393" s="110"/>
      <c r="C393" s="114"/>
      <c r="D393" s="89"/>
      <c r="E393" s="89"/>
      <c r="F393" s="145"/>
      <c r="G393" s="145"/>
      <c r="H393" s="121"/>
      <c r="I393" s="113"/>
      <c r="J393" s="89"/>
      <c r="K393" s="89"/>
      <c r="L393" s="89"/>
      <c r="M393" s="89"/>
      <c r="N393" s="113"/>
      <c r="O393" s="113"/>
      <c r="P393" s="113"/>
      <c r="Q393" s="113"/>
      <c r="R393" s="113"/>
      <c r="S393" s="113"/>
      <c r="T393" s="150"/>
      <c r="U393" t="s">
        <v>613</v>
      </c>
    </row>
    <row r="394" spans="2:21" x14ac:dyDescent="0.2">
      <c r="B394" s="110"/>
      <c r="C394" s="114"/>
      <c r="D394" s="89"/>
      <c r="E394" s="89"/>
      <c r="F394" s="145"/>
      <c r="G394" s="145"/>
      <c r="H394" s="121"/>
      <c r="I394" s="113"/>
      <c r="J394" s="89"/>
      <c r="K394" s="89"/>
      <c r="L394" s="89"/>
      <c r="M394" s="89"/>
      <c r="N394" s="113"/>
      <c r="O394" s="113"/>
      <c r="P394" s="113"/>
      <c r="Q394" s="113"/>
      <c r="R394" s="113"/>
      <c r="S394" s="113"/>
      <c r="T394" s="150"/>
      <c r="U394" t="s">
        <v>613</v>
      </c>
    </row>
    <row r="395" spans="2:21" x14ac:dyDescent="0.2">
      <c r="B395" s="110"/>
      <c r="C395" s="114"/>
      <c r="D395" s="89"/>
      <c r="E395" s="89"/>
      <c r="F395" s="145"/>
      <c r="G395" s="145"/>
      <c r="H395" s="121"/>
      <c r="I395" s="113"/>
      <c r="J395" s="89"/>
      <c r="K395" s="89"/>
      <c r="L395" s="89"/>
      <c r="M395" s="89"/>
      <c r="N395" s="113"/>
      <c r="O395" s="113"/>
      <c r="P395" s="113"/>
      <c r="Q395" s="113"/>
      <c r="R395" s="113"/>
      <c r="S395" s="113"/>
      <c r="T395" s="150"/>
      <c r="U395" t="s">
        <v>613</v>
      </c>
    </row>
    <row r="396" spans="2:21" x14ac:dyDescent="0.2">
      <c r="B396" s="110"/>
      <c r="C396" s="114"/>
      <c r="D396" s="89"/>
      <c r="E396" s="89"/>
      <c r="F396" s="145"/>
      <c r="G396" s="145"/>
      <c r="H396" s="121"/>
      <c r="I396" s="113"/>
      <c r="J396" s="89"/>
      <c r="K396" s="89"/>
      <c r="L396" s="89"/>
      <c r="M396" s="89"/>
      <c r="N396" s="113"/>
      <c r="O396" s="113"/>
      <c r="P396" s="113"/>
      <c r="Q396" s="113"/>
      <c r="R396" s="113"/>
      <c r="S396" s="113"/>
      <c r="T396" s="150"/>
      <c r="U396" t="s">
        <v>613</v>
      </c>
    </row>
    <row r="397" spans="2:21" x14ac:dyDescent="0.2">
      <c r="B397" s="110"/>
      <c r="C397" s="114"/>
      <c r="D397" s="89"/>
      <c r="E397" s="89"/>
      <c r="F397" s="145"/>
      <c r="G397" s="145"/>
      <c r="H397" s="121"/>
      <c r="I397" s="113"/>
      <c r="J397" s="89"/>
      <c r="K397" s="89"/>
      <c r="L397" s="89"/>
      <c r="M397" s="89"/>
      <c r="N397" s="113"/>
      <c r="O397" s="113"/>
      <c r="P397" s="113"/>
      <c r="Q397" s="113"/>
      <c r="R397" s="113"/>
      <c r="S397" s="113"/>
      <c r="T397" s="150"/>
      <c r="U397" t="s">
        <v>613</v>
      </c>
    </row>
    <row r="398" spans="2:21" x14ac:dyDescent="0.2">
      <c r="B398" s="110"/>
      <c r="C398" s="114"/>
      <c r="D398" s="89"/>
      <c r="E398" s="89"/>
      <c r="F398" s="145"/>
      <c r="G398" s="145"/>
      <c r="H398" s="121"/>
      <c r="I398" s="113"/>
      <c r="J398" s="89"/>
      <c r="K398" s="89"/>
      <c r="L398" s="89"/>
      <c r="M398" s="89"/>
      <c r="N398" s="113"/>
      <c r="O398" s="113"/>
      <c r="P398" s="113"/>
      <c r="Q398" s="113"/>
      <c r="R398" s="113"/>
      <c r="S398" s="113"/>
      <c r="T398" s="150"/>
      <c r="U398" t="s">
        <v>613</v>
      </c>
    </row>
    <row r="399" spans="2:21" x14ac:dyDescent="0.2">
      <c r="B399" s="110"/>
      <c r="C399" s="114"/>
      <c r="D399" s="89"/>
      <c r="E399" s="89"/>
      <c r="F399" s="145"/>
      <c r="G399" s="145"/>
      <c r="H399" s="121"/>
      <c r="I399" s="113"/>
      <c r="J399" s="89"/>
      <c r="K399" s="89"/>
      <c r="L399" s="89"/>
      <c r="M399" s="89"/>
      <c r="N399" s="113"/>
      <c r="O399" s="113"/>
      <c r="P399" s="113"/>
      <c r="Q399" s="113"/>
      <c r="R399" s="113"/>
      <c r="S399" s="113"/>
      <c r="T399" s="150"/>
      <c r="U399" t="s">
        <v>613</v>
      </c>
    </row>
    <row r="400" spans="2:21" x14ac:dyDescent="0.2">
      <c r="B400" s="110"/>
      <c r="C400" s="114"/>
      <c r="D400" s="89"/>
      <c r="E400" s="89"/>
      <c r="F400" s="145"/>
      <c r="G400" s="145"/>
      <c r="H400" s="121"/>
      <c r="I400" s="113"/>
      <c r="J400" s="89"/>
      <c r="K400" s="89"/>
      <c r="L400" s="89"/>
      <c r="M400" s="89"/>
      <c r="N400" s="113"/>
      <c r="O400" s="113"/>
      <c r="P400" s="113"/>
      <c r="Q400" s="113"/>
      <c r="R400" s="113"/>
      <c r="S400" s="113"/>
      <c r="T400" s="150"/>
      <c r="U400" t="s">
        <v>613</v>
      </c>
    </row>
    <row r="401" spans="2:21" x14ac:dyDescent="0.2">
      <c r="B401" s="110"/>
      <c r="C401" s="114"/>
      <c r="D401" s="89"/>
      <c r="E401" s="89"/>
      <c r="F401" s="145"/>
      <c r="G401" s="145"/>
      <c r="H401" s="121"/>
      <c r="I401" s="113"/>
      <c r="J401" s="89"/>
      <c r="K401" s="89"/>
      <c r="L401" s="89"/>
      <c r="M401" s="89"/>
      <c r="N401" s="113"/>
      <c r="O401" s="113"/>
      <c r="P401" s="113"/>
      <c r="Q401" s="113"/>
      <c r="R401" s="113"/>
      <c r="S401" s="113"/>
      <c r="T401" s="150"/>
      <c r="U401" t="s">
        <v>613</v>
      </c>
    </row>
    <row r="402" spans="2:21" x14ac:dyDescent="0.2">
      <c r="B402" s="110"/>
      <c r="C402" s="114"/>
      <c r="D402" s="89"/>
      <c r="E402" s="89"/>
      <c r="F402" s="145"/>
      <c r="G402" s="145"/>
      <c r="H402" s="121"/>
      <c r="I402" s="113"/>
      <c r="J402" s="89"/>
      <c r="K402" s="89"/>
      <c r="L402" s="89"/>
      <c r="M402" s="89"/>
      <c r="N402" s="113"/>
      <c r="O402" s="113"/>
      <c r="P402" s="113"/>
      <c r="Q402" s="113"/>
      <c r="R402" s="113"/>
      <c r="S402" s="113"/>
      <c r="T402" s="150"/>
      <c r="U402" t="s">
        <v>613</v>
      </c>
    </row>
    <row r="403" spans="2:21" x14ac:dyDescent="0.2">
      <c r="B403" s="110"/>
      <c r="C403" s="114"/>
      <c r="D403" s="89"/>
      <c r="E403" s="89"/>
      <c r="F403" s="145"/>
      <c r="G403" s="145"/>
      <c r="H403" s="121"/>
      <c r="I403" s="113"/>
      <c r="J403" s="89"/>
      <c r="K403" s="89"/>
      <c r="L403" s="89"/>
      <c r="M403" s="89"/>
      <c r="N403" s="113"/>
      <c r="O403" s="113"/>
      <c r="P403" s="113"/>
      <c r="Q403" s="113"/>
      <c r="R403" s="113"/>
      <c r="S403" s="113"/>
      <c r="T403" s="150"/>
      <c r="U403" t="s">
        <v>613</v>
      </c>
    </row>
    <row r="404" spans="2:21" x14ac:dyDescent="0.2">
      <c r="B404" s="110"/>
      <c r="C404" s="114"/>
      <c r="D404" s="89"/>
      <c r="E404" s="89"/>
      <c r="F404" s="145"/>
      <c r="G404" s="145"/>
      <c r="H404" s="121"/>
      <c r="I404" s="113"/>
      <c r="J404" s="89"/>
      <c r="K404" s="89"/>
      <c r="L404" s="89"/>
      <c r="M404" s="89"/>
      <c r="N404" s="113"/>
      <c r="O404" s="113"/>
      <c r="P404" s="113"/>
      <c r="Q404" s="113"/>
      <c r="R404" s="113"/>
      <c r="S404" s="113"/>
      <c r="T404" s="150"/>
      <c r="U404" t="s">
        <v>613</v>
      </c>
    </row>
    <row r="405" spans="2:21" x14ac:dyDescent="0.2">
      <c r="B405" s="110"/>
      <c r="C405" s="114"/>
      <c r="D405" s="89"/>
      <c r="E405" s="89"/>
      <c r="F405" s="145"/>
      <c r="G405" s="145"/>
      <c r="H405" s="121"/>
      <c r="I405" s="113"/>
      <c r="J405" s="89"/>
      <c r="K405" s="89"/>
      <c r="L405" s="89"/>
      <c r="M405" s="89"/>
      <c r="N405" s="113"/>
      <c r="O405" s="113"/>
      <c r="P405" s="113"/>
      <c r="Q405" s="113"/>
      <c r="R405" s="113"/>
      <c r="S405" s="113"/>
      <c r="T405" s="150"/>
      <c r="U405" t="s">
        <v>613</v>
      </c>
    </row>
    <row r="406" spans="2:21" x14ac:dyDescent="0.2">
      <c r="B406" s="110"/>
      <c r="C406" s="114"/>
      <c r="D406" s="89"/>
      <c r="E406" s="89"/>
      <c r="F406" s="145"/>
      <c r="G406" s="145"/>
      <c r="H406" s="121"/>
      <c r="I406" s="113"/>
      <c r="J406" s="89"/>
      <c r="K406" s="89"/>
      <c r="L406" s="89"/>
      <c r="M406" s="89"/>
      <c r="N406" s="113"/>
      <c r="O406" s="113"/>
      <c r="P406" s="113"/>
      <c r="Q406" s="113"/>
      <c r="R406" s="113"/>
      <c r="S406" s="113"/>
      <c r="T406" s="150"/>
      <c r="U406" t="s">
        <v>613</v>
      </c>
    </row>
    <row r="407" spans="2:21" x14ac:dyDescent="0.2">
      <c r="B407" s="110"/>
      <c r="C407" s="114"/>
      <c r="D407" s="89"/>
      <c r="E407" s="89"/>
      <c r="F407" s="145"/>
      <c r="G407" s="145"/>
      <c r="H407" s="121"/>
      <c r="I407" s="113"/>
      <c r="J407" s="89"/>
      <c r="K407" s="89"/>
      <c r="L407" s="89"/>
      <c r="M407" s="89"/>
      <c r="N407" s="113"/>
      <c r="O407" s="113"/>
      <c r="P407" s="113"/>
      <c r="Q407" s="113"/>
      <c r="R407" s="113"/>
      <c r="S407" s="113"/>
      <c r="T407" s="150"/>
      <c r="U407" t="s">
        <v>613</v>
      </c>
    </row>
    <row r="408" spans="2:21" x14ac:dyDescent="0.2">
      <c r="B408" s="110"/>
      <c r="C408" s="114"/>
      <c r="D408" s="89"/>
      <c r="E408" s="89"/>
      <c r="F408" s="145"/>
      <c r="G408" s="145"/>
      <c r="H408" s="121"/>
      <c r="I408" s="113"/>
      <c r="J408" s="89"/>
      <c r="K408" s="89"/>
      <c r="L408" s="89"/>
      <c r="M408" s="89"/>
      <c r="N408" s="113"/>
      <c r="O408" s="113"/>
      <c r="P408" s="113"/>
      <c r="Q408" s="113"/>
      <c r="R408" s="113"/>
      <c r="S408" s="113"/>
      <c r="T408" s="150"/>
      <c r="U408" t="s">
        <v>613</v>
      </c>
    </row>
    <row r="409" spans="2:21" x14ac:dyDescent="0.2">
      <c r="B409" s="110"/>
      <c r="C409" s="114"/>
      <c r="D409" s="89"/>
      <c r="E409" s="89"/>
      <c r="F409" s="145"/>
      <c r="G409" s="145"/>
      <c r="H409" s="121"/>
      <c r="I409" s="113"/>
      <c r="J409" s="89"/>
      <c r="K409" s="89"/>
      <c r="L409" s="89"/>
      <c r="M409" s="89"/>
      <c r="N409" s="113"/>
      <c r="O409" s="113"/>
      <c r="P409" s="113"/>
      <c r="Q409" s="113"/>
      <c r="R409" s="113"/>
      <c r="S409" s="113"/>
      <c r="T409" s="150"/>
      <c r="U409" t="s">
        <v>613</v>
      </c>
    </row>
    <row r="410" spans="2:21" x14ac:dyDescent="0.2">
      <c r="B410" s="110"/>
      <c r="C410" s="114"/>
      <c r="D410" s="89"/>
      <c r="E410" s="89"/>
      <c r="F410" s="145"/>
      <c r="G410" s="145"/>
      <c r="H410" s="121"/>
      <c r="I410" s="113"/>
      <c r="J410" s="89"/>
      <c r="K410" s="89"/>
      <c r="L410" s="89"/>
      <c r="M410" s="89"/>
      <c r="N410" s="113"/>
      <c r="O410" s="113"/>
      <c r="P410" s="113"/>
      <c r="Q410" s="113"/>
      <c r="R410" s="113"/>
      <c r="S410" s="113"/>
      <c r="T410" s="150"/>
      <c r="U410" t="s">
        <v>613</v>
      </c>
    </row>
    <row r="411" spans="2:21" x14ac:dyDescent="0.2">
      <c r="B411" s="110"/>
      <c r="C411" s="114"/>
      <c r="D411" s="89"/>
      <c r="E411" s="89"/>
      <c r="F411" s="145"/>
      <c r="G411" s="145"/>
      <c r="H411" s="121"/>
      <c r="I411" s="113"/>
      <c r="J411" s="89"/>
      <c r="K411" s="89"/>
      <c r="L411" s="89"/>
      <c r="M411" s="89"/>
      <c r="N411" s="113"/>
      <c r="O411" s="113"/>
      <c r="P411" s="113"/>
      <c r="Q411" s="113"/>
      <c r="R411" s="113"/>
      <c r="S411" s="113"/>
      <c r="T411" s="150"/>
      <c r="U411" t="s">
        <v>613</v>
      </c>
    </row>
    <row r="412" spans="2:21" x14ac:dyDescent="0.2">
      <c r="B412" s="110"/>
      <c r="C412" s="114"/>
      <c r="D412" s="89"/>
      <c r="E412" s="89"/>
      <c r="F412" s="145"/>
      <c r="G412" s="145"/>
      <c r="H412" s="121"/>
      <c r="I412" s="113"/>
      <c r="J412" s="89"/>
      <c r="K412" s="89"/>
      <c r="L412" s="89"/>
      <c r="M412" s="89"/>
      <c r="N412" s="113"/>
      <c r="O412" s="113"/>
      <c r="P412" s="113"/>
      <c r="Q412" s="113"/>
      <c r="R412" s="113"/>
      <c r="S412" s="113"/>
      <c r="T412" s="150"/>
      <c r="U412" t="s">
        <v>613</v>
      </c>
    </row>
    <row r="413" spans="2:21" x14ac:dyDescent="0.2">
      <c r="B413" s="110"/>
      <c r="C413" s="114"/>
      <c r="D413" s="89"/>
      <c r="E413" s="89"/>
      <c r="F413" s="145"/>
      <c r="G413" s="145"/>
      <c r="H413" s="121"/>
      <c r="I413" s="113"/>
      <c r="J413" s="89"/>
      <c r="K413" s="89"/>
      <c r="L413" s="89"/>
      <c r="M413" s="89"/>
      <c r="N413" s="113"/>
      <c r="O413" s="113"/>
      <c r="P413" s="113"/>
      <c r="Q413" s="113"/>
      <c r="R413" s="113"/>
      <c r="S413" s="113"/>
      <c r="T413" s="150"/>
      <c r="U413" t="s">
        <v>613</v>
      </c>
    </row>
    <row r="414" spans="2:21" x14ac:dyDescent="0.2">
      <c r="B414" s="110"/>
      <c r="C414" s="114"/>
      <c r="D414" s="89"/>
      <c r="E414" s="89"/>
      <c r="F414" s="145"/>
      <c r="G414" s="145"/>
      <c r="H414" s="121"/>
      <c r="I414" s="113"/>
      <c r="J414" s="89"/>
      <c r="K414" s="89"/>
      <c r="L414" s="89"/>
      <c r="M414" s="89"/>
      <c r="N414" s="113"/>
      <c r="O414" s="113"/>
      <c r="P414" s="113"/>
      <c r="Q414" s="113"/>
      <c r="R414" s="113"/>
      <c r="S414" s="113"/>
      <c r="T414" s="150"/>
      <c r="U414" t="s">
        <v>613</v>
      </c>
    </row>
    <row r="415" spans="2:21" x14ac:dyDescent="0.2">
      <c r="B415" s="110"/>
      <c r="C415" s="114"/>
      <c r="D415" s="89"/>
      <c r="E415" s="89"/>
      <c r="F415" s="145"/>
      <c r="G415" s="145"/>
      <c r="H415" s="121"/>
      <c r="I415" s="113"/>
      <c r="J415" s="89"/>
      <c r="K415" s="89"/>
      <c r="L415" s="89"/>
      <c r="M415" s="89"/>
      <c r="N415" s="113"/>
      <c r="O415" s="113"/>
      <c r="P415" s="113"/>
      <c r="Q415" s="113"/>
      <c r="R415" s="113"/>
      <c r="S415" s="113"/>
      <c r="T415" s="150"/>
      <c r="U415" t="s">
        <v>613</v>
      </c>
    </row>
    <row r="416" spans="2:21" x14ac:dyDescent="0.2">
      <c r="B416" s="110"/>
      <c r="C416" s="114"/>
      <c r="D416" s="89"/>
      <c r="E416" s="89"/>
      <c r="F416" s="145"/>
      <c r="G416" s="145"/>
      <c r="H416" s="121"/>
      <c r="I416" s="113"/>
      <c r="J416" s="89"/>
      <c r="K416" s="89"/>
      <c r="L416" s="89"/>
      <c r="M416" s="89"/>
      <c r="N416" s="113"/>
      <c r="O416" s="113"/>
      <c r="P416" s="113"/>
      <c r="Q416" s="113"/>
      <c r="R416" s="113"/>
      <c r="S416" s="113"/>
      <c r="T416" s="150"/>
      <c r="U416" t="s">
        <v>613</v>
      </c>
    </row>
    <row r="417" spans="2:21" x14ac:dyDescent="0.2">
      <c r="B417" s="110"/>
      <c r="C417" s="114"/>
      <c r="D417" s="89"/>
      <c r="E417" s="89"/>
      <c r="F417" s="145"/>
      <c r="G417" s="145"/>
      <c r="H417" s="121"/>
      <c r="I417" s="113"/>
      <c r="J417" s="89"/>
      <c r="K417" s="89"/>
      <c r="L417" s="89"/>
      <c r="M417" s="89"/>
      <c r="N417" s="113"/>
      <c r="O417" s="113"/>
      <c r="P417" s="113"/>
      <c r="Q417" s="113"/>
      <c r="R417" s="113"/>
      <c r="S417" s="113"/>
      <c r="T417" s="150"/>
      <c r="U417" t="s">
        <v>613</v>
      </c>
    </row>
    <row r="418" spans="2:21" x14ac:dyDescent="0.2">
      <c r="B418" s="110"/>
      <c r="C418" s="114"/>
      <c r="D418" s="89"/>
      <c r="E418" s="89"/>
      <c r="F418" s="145"/>
      <c r="G418" s="145"/>
      <c r="H418" s="121"/>
      <c r="I418" s="113"/>
      <c r="J418" s="89"/>
      <c r="K418" s="89"/>
      <c r="L418" s="89"/>
      <c r="M418" s="89"/>
      <c r="N418" s="113"/>
      <c r="O418" s="113"/>
      <c r="P418" s="113"/>
      <c r="Q418" s="113"/>
      <c r="R418" s="113"/>
      <c r="S418" s="113"/>
      <c r="T418" s="150"/>
      <c r="U418" t="s">
        <v>613</v>
      </c>
    </row>
    <row r="419" spans="2:21" x14ac:dyDescent="0.2">
      <c r="B419" s="110"/>
      <c r="C419" s="114"/>
      <c r="D419" s="89"/>
      <c r="E419" s="89"/>
      <c r="F419" s="145"/>
      <c r="G419" s="145"/>
      <c r="H419" s="121"/>
      <c r="I419" s="113"/>
      <c r="J419" s="89"/>
      <c r="K419" s="89"/>
      <c r="L419" s="89"/>
      <c r="M419" s="89"/>
      <c r="N419" s="113"/>
      <c r="O419" s="113"/>
      <c r="P419" s="113"/>
      <c r="Q419" s="113"/>
      <c r="R419" s="113"/>
      <c r="S419" s="113"/>
      <c r="T419" s="150"/>
      <c r="U419" t="s">
        <v>613</v>
      </c>
    </row>
    <row r="420" spans="2:21" x14ac:dyDescent="0.2">
      <c r="B420" s="110"/>
      <c r="C420" s="114"/>
      <c r="D420" s="89"/>
      <c r="E420" s="89"/>
      <c r="F420" s="145"/>
      <c r="G420" s="145"/>
      <c r="H420" s="121"/>
      <c r="I420" s="113"/>
      <c r="J420" s="89"/>
      <c r="K420" s="89"/>
      <c r="L420" s="89"/>
      <c r="M420" s="89"/>
      <c r="N420" s="113"/>
      <c r="O420" s="113"/>
      <c r="P420" s="113"/>
      <c r="Q420" s="113"/>
      <c r="R420" s="113"/>
      <c r="S420" s="113"/>
      <c r="T420" s="150"/>
      <c r="U420" t="s">
        <v>613</v>
      </c>
    </row>
    <row r="421" spans="2:21" x14ac:dyDescent="0.2">
      <c r="B421" s="110"/>
      <c r="C421" s="114"/>
      <c r="D421" s="89"/>
      <c r="E421" s="89"/>
      <c r="F421" s="145"/>
      <c r="G421" s="145"/>
      <c r="H421" s="121"/>
      <c r="I421" s="113"/>
      <c r="J421" s="89"/>
      <c r="K421" s="89"/>
      <c r="L421" s="89"/>
      <c r="M421" s="89"/>
      <c r="N421" s="113"/>
      <c r="O421" s="113"/>
      <c r="P421" s="113"/>
      <c r="Q421" s="113"/>
      <c r="R421" s="113"/>
      <c r="S421" s="113"/>
      <c r="T421" s="150"/>
      <c r="U421" t="s">
        <v>613</v>
      </c>
    </row>
    <row r="422" spans="2:21" x14ac:dyDescent="0.2">
      <c r="B422" s="110"/>
      <c r="C422" s="114"/>
      <c r="D422" s="89"/>
      <c r="E422" s="89"/>
      <c r="F422" s="145"/>
      <c r="G422" s="145"/>
      <c r="H422" s="121"/>
      <c r="I422" s="113"/>
      <c r="J422" s="89"/>
      <c r="K422" s="89"/>
      <c r="L422" s="89"/>
      <c r="M422" s="89"/>
      <c r="N422" s="113"/>
      <c r="O422" s="113"/>
      <c r="P422" s="113"/>
      <c r="Q422" s="113"/>
      <c r="R422" s="113"/>
      <c r="S422" s="113"/>
      <c r="T422" s="150"/>
      <c r="U422" t="s">
        <v>613</v>
      </c>
    </row>
    <row r="423" spans="2:21" x14ac:dyDescent="0.2">
      <c r="B423" s="110"/>
      <c r="C423" s="114"/>
      <c r="D423" s="89"/>
      <c r="E423" s="89"/>
      <c r="F423" s="145"/>
      <c r="G423" s="145"/>
      <c r="H423" s="121"/>
      <c r="I423" s="113"/>
      <c r="J423" s="89"/>
      <c r="K423" s="89"/>
      <c r="L423" s="89"/>
      <c r="M423" s="89"/>
      <c r="N423" s="113"/>
      <c r="O423" s="113"/>
      <c r="P423" s="113"/>
      <c r="Q423" s="113"/>
      <c r="R423" s="113"/>
      <c r="S423" s="113"/>
      <c r="T423" s="150"/>
      <c r="U423" t="s">
        <v>613</v>
      </c>
    </row>
    <row r="424" spans="2:21" x14ac:dyDescent="0.2">
      <c r="B424" s="110"/>
      <c r="C424" s="114"/>
      <c r="D424" s="89"/>
      <c r="E424" s="89"/>
      <c r="F424" s="145"/>
      <c r="G424" s="145"/>
      <c r="H424" s="121"/>
      <c r="I424" s="113"/>
      <c r="J424" s="89"/>
      <c r="K424" s="89"/>
      <c r="L424" s="89"/>
      <c r="M424" s="89"/>
      <c r="N424" s="113"/>
      <c r="O424" s="113"/>
      <c r="P424" s="113"/>
      <c r="Q424" s="113"/>
      <c r="R424" s="113"/>
      <c r="S424" s="113"/>
      <c r="T424" s="150"/>
      <c r="U424" t="s">
        <v>613</v>
      </c>
    </row>
    <row r="425" spans="2:21" x14ac:dyDescent="0.2">
      <c r="B425" s="110"/>
      <c r="C425" s="114"/>
      <c r="D425" s="89"/>
      <c r="E425" s="89"/>
      <c r="F425" s="145"/>
      <c r="G425" s="145"/>
      <c r="H425" s="121"/>
      <c r="I425" s="113"/>
      <c r="J425" s="89"/>
      <c r="K425" s="89"/>
      <c r="L425" s="89"/>
      <c r="M425" s="89"/>
      <c r="N425" s="113"/>
      <c r="O425" s="113"/>
      <c r="P425" s="113"/>
      <c r="Q425" s="113"/>
      <c r="R425" s="113"/>
      <c r="S425" s="113"/>
      <c r="T425" s="150"/>
      <c r="U425" t="s">
        <v>613</v>
      </c>
    </row>
    <row r="426" spans="2:21" x14ac:dyDescent="0.2">
      <c r="B426" s="110"/>
      <c r="C426" s="114"/>
      <c r="D426" s="89"/>
      <c r="E426" s="89"/>
      <c r="F426" s="145"/>
      <c r="G426" s="145"/>
      <c r="H426" s="121"/>
      <c r="I426" s="113"/>
      <c r="J426" s="89"/>
      <c r="K426" s="89"/>
      <c r="L426" s="89"/>
      <c r="M426" s="89"/>
      <c r="N426" s="113"/>
      <c r="O426" s="113"/>
      <c r="P426" s="113"/>
      <c r="Q426" s="113"/>
      <c r="R426" s="113"/>
      <c r="S426" s="113"/>
      <c r="T426" s="150"/>
      <c r="U426" t="s">
        <v>613</v>
      </c>
    </row>
    <row r="427" spans="2:21" x14ac:dyDescent="0.2">
      <c r="B427" s="110"/>
      <c r="C427" s="114"/>
      <c r="D427" s="89"/>
      <c r="E427" s="89"/>
      <c r="F427" s="145"/>
      <c r="G427" s="145"/>
      <c r="H427" s="121"/>
      <c r="I427" s="113"/>
      <c r="J427" s="89"/>
      <c r="K427" s="89"/>
      <c r="L427" s="89"/>
      <c r="M427" s="89"/>
      <c r="N427" s="113"/>
      <c r="O427" s="113"/>
      <c r="P427" s="113"/>
      <c r="Q427" s="113"/>
      <c r="R427" s="113"/>
      <c r="S427" s="113"/>
      <c r="T427" s="150"/>
      <c r="U427" t="s">
        <v>613</v>
      </c>
    </row>
    <row r="428" spans="2:21" x14ac:dyDescent="0.2">
      <c r="B428" s="110"/>
      <c r="C428" s="114"/>
      <c r="D428" s="89"/>
      <c r="E428" s="89"/>
      <c r="F428" s="145"/>
      <c r="G428" s="145"/>
      <c r="H428" s="121"/>
      <c r="I428" s="113"/>
      <c r="J428" s="89"/>
      <c r="K428" s="89"/>
      <c r="L428" s="89"/>
      <c r="M428" s="89"/>
      <c r="N428" s="113"/>
      <c r="O428" s="113"/>
      <c r="P428" s="113"/>
      <c r="Q428" s="113"/>
      <c r="R428" s="113"/>
      <c r="S428" s="113"/>
      <c r="T428" s="150"/>
      <c r="U428" t="s">
        <v>613</v>
      </c>
    </row>
    <row r="429" spans="2:21" x14ac:dyDescent="0.2">
      <c r="B429" s="110"/>
      <c r="C429" s="114"/>
      <c r="D429" s="89"/>
      <c r="E429" s="89"/>
      <c r="F429" s="145"/>
      <c r="G429" s="145"/>
      <c r="H429" s="121"/>
      <c r="I429" s="113"/>
      <c r="J429" s="89"/>
      <c r="K429" s="89"/>
      <c r="L429" s="89"/>
      <c r="M429" s="89"/>
      <c r="N429" s="113"/>
      <c r="O429" s="113"/>
      <c r="P429" s="113"/>
      <c r="Q429" s="113"/>
      <c r="R429" s="113"/>
      <c r="S429" s="113"/>
      <c r="T429" s="150"/>
      <c r="U429" t="s">
        <v>613</v>
      </c>
    </row>
    <row r="430" spans="2:21" x14ac:dyDescent="0.2">
      <c r="B430" s="110"/>
      <c r="C430" s="114"/>
      <c r="D430" s="89"/>
      <c r="E430" s="89"/>
      <c r="F430" s="145"/>
      <c r="G430" s="145"/>
      <c r="H430" s="121"/>
      <c r="I430" s="113"/>
      <c r="J430" s="89"/>
      <c r="K430" s="89"/>
      <c r="L430" s="89"/>
      <c r="M430" s="89"/>
      <c r="N430" s="113"/>
      <c r="O430" s="113"/>
      <c r="P430" s="113"/>
      <c r="Q430" s="113"/>
      <c r="R430" s="113"/>
      <c r="S430" s="113"/>
      <c r="T430" s="150"/>
      <c r="U430" t="s">
        <v>613</v>
      </c>
    </row>
    <row r="431" spans="2:21" x14ac:dyDescent="0.2">
      <c r="B431" s="110"/>
      <c r="C431" s="114"/>
      <c r="D431" s="89"/>
      <c r="E431" s="89"/>
      <c r="F431" s="145"/>
      <c r="G431" s="145"/>
      <c r="H431" s="121"/>
      <c r="I431" s="113"/>
      <c r="J431" s="89"/>
      <c r="K431" s="89"/>
      <c r="L431" s="89"/>
      <c r="M431" s="89"/>
      <c r="N431" s="113"/>
      <c r="O431" s="113"/>
      <c r="P431" s="113"/>
      <c r="Q431" s="113"/>
      <c r="R431" s="113"/>
      <c r="S431" s="113"/>
      <c r="T431" s="150"/>
      <c r="U431" t="s">
        <v>613</v>
      </c>
    </row>
    <row r="432" spans="2:21" x14ac:dyDescent="0.2">
      <c r="B432" s="110"/>
      <c r="C432" s="114"/>
      <c r="D432" s="89"/>
      <c r="E432" s="89"/>
      <c r="F432" s="145"/>
      <c r="G432" s="145"/>
      <c r="H432" s="121"/>
      <c r="I432" s="113"/>
      <c r="J432" s="89"/>
      <c r="K432" s="89"/>
      <c r="L432" s="89"/>
      <c r="M432" s="89"/>
      <c r="N432" s="113"/>
      <c r="O432" s="113"/>
      <c r="P432" s="113"/>
      <c r="Q432" s="113"/>
      <c r="R432" s="113"/>
      <c r="S432" s="113"/>
      <c r="T432" s="150"/>
      <c r="U432" t="s">
        <v>613</v>
      </c>
    </row>
    <row r="433" spans="2:21" x14ac:dyDescent="0.2">
      <c r="B433" s="110"/>
      <c r="C433" s="114"/>
      <c r="D433" s="89"/>
      <c r="E433" s="89"/>
      <c r="F433" s="145"/>
      <c r="G433" s="145"/>
      <c r="H433" s="121"/>
      <c r="I433" s="113"/>
      <c r="J433" s="89"/>
      <c r="K433" s="89"/>
      <c r="L433" s="89"/>
      <c r="M433" s="89"/>
      <c r="N433" s="113"/>
      <c r="O433" s="113"/>
      <c r="P433" s="113"/>
      <c r="Q433" s="113"/>
      <c r="R433" s="113"/>
      <c r="S433" s="113"/>
      <c r="T433" s="150"/>
      <c r="U433" t="s">
        <v>613</v>
      </c>
    </row>
    <row r="434" spans="2:21" x14ac:dyDescent="0.2">
      <c r="B434" s="110"/>
      <c r="C434" s="114"/>
      <c r="D434" s="89"/>
      <c r="E434" s="89"/>
      <c r="F434" s="145"/>
      <c r="G434" s="145"/>
      <c r="H434" s="121"/>
      <c r="I434" s="113"/>
      <c r="J434" s="89"/>
      <c r="K434" s="89"/>
      <c r="L434" s="89"/>
      <c r="M434" s="89"/>
      <c r="N434" s="113"/>
      <c r="O434" s="113"/>
      <c r="P434" s="113"/>
      <c r="Q434" s="113"/>
      <c r="R434" s="113"/>
      <c r="S434" s="113"/>
      <c r="T434" s="150"/>
      <c r="U434" t="s">
        <v>613</v>
      </c>
    </row>
    <row r="435" spans="2:21" x14ac:dyDescent="0.2">
      <c r="B435" s="110"/>
      <c r="C435" s="114"/>
      <c r="D435" s="89"/>
      <c r="E435" s="89"/>
      <c r="F435" s="145"/>
      <c r="G435" s="145"/>
      <c r="H435" s="121"/>
      <c r="I435" s="113"/>
      <c r="J435" s="89"/>
      <c r="K435" s="89"/>
      <c r="L435" s="89"/>
      <c r="M435" s="89"/>
      <c r="N435" s="113"/>
      <c r="O435" s="113"/>
      <c r="P435" s="113"/>
      <c r="Q435" s="113"/>
      <c r="R435" s="113"/>
      <c r="S435" s="113"/>
      <c r="T435" s="150"/>
      <c r="U435" t="s">
        <v>613</v>
      </c>
    </row>
    <row r="436" spans="2:21" x14ac:dyDescent="0.2">
      <c r="B436" s="110"/>
      <c r="C436" s="114"/>
      <c r="D436" s="89"/>
      <c r="E436" s="89"/>
      <c r="F436" s="145"/>
      <c r="G436" s="145"/>
      <c r="H436" s="121"/>
      <c r="I436" s="113"/>
      <c r="J436" s="89"/>
      <c r="K436" s="89"/>
      <c r="L436" s="89"/>
      <c r="M436" s="89"/>
      <c r="N436" s="113"/>
      <c r="O436" s="113"/>
      <c r="P436" s="113"/>
      <c r="Q436" s="113"/>
      <c r="R436" s="113"/>
      <c r="S436" s="113"/>
      <c r="T436" s="150"/>
      <c r="U436" t="s">
        <v>613</v>
      </c>
    </row>
    <row r="437" spans="2:21" x14ac:dyDescent="0.2">
      <c r="B437" s="110"/>
      <c r="C437" s="114"/>
      <c r="D437" s="89"/>
      <c r="E437" s="89"/>
      <c r="F437" s="145"/>
      <c r="G437" s="145"/>
      <c r="H437" s="121"/>
      <c r="I437" s="113"/>
      <c r="J437" s="89"/>
      <c r="K437" s="89"/>
      <c r="L437" s="89"/>
      <c r="M437" s="89"/>
      <c r="N437" s="113"/>
      <c r="O437" s="113"/>
      <c r="P437" s="113"/>
      <c r="Q437" s="113"/>
      <c r="R437" s="113"/>
      <c r="S437" s="113"/>
      <c r="T437" s="150"/>
      <c r="U437" t="s">
        <v>613</v>
      </c>
    </row>
    <row r="438" spans="2:21" x14ac:dyDescent="0.2">
      <c r="B438" s="110"/>
      <c r="C438" s="114"/>
      <c r="D438" s="89"/>
      <c r="E438" s="89"/>
      <c r="F438" s="145"/>
      <c r="G438" s="145"/>
      <c r="H438" s="121"/>
      <c r="I438" s="113"/>
      <c r="J438" s="89"/>
      <c r="K438" s="89"/>
      <c r="L438" s="89"/>
      <c r="M438" s="89"/>
      <c r="N438" s="113"/>
      <c r="O438" s="113"/>
      <c r="P438" s="113"/>
      <c r="Q438" s="113"/>
      <c r="R438" s="113"/>
      <c r="S438" s="113"/>
      <c r="T438" s="150"/>
      <c r="U438" t="s">
        <v>613</v>
      </c>
    </row>
    <row r="439" spans="2:21" x14ac:dyDescent="0.2">
      <c r="B439" s="110"/>
      <c r="C439" s="114"/>
      <c r="D439" s="89"/>
      <c r="E439" s="89"/>
      <c r="F439" s="145"/>
      <c r="G439" s="145"/>
      <c r="H439" s="121"/>
      <c r="I439" s="113"/>
      <c r="J439" s="89"/>
      <c r="K439" s="89"/>
      <c r="L439" s="89"/>
      <c r="M439" s="89"/>
      <c r="N439" s="113"/>
      <c r="O439" s="113"/>
      <c r="P439" s="113"/>
      <c r="Q439" s="113"/>
      <c r="R439" s="113"/>
      <c r="S439" s="113"/>
      <c r="T439" s="150"/>
      <c r="U439" t="s">
        <v>613</v>
      </c>
    </row>
    <row r="440" spans="2:21" x14ac:dyDescent="0.2">
      <c r="B440" s="110"/>
      <c r="C440" s="114"/>
      <c r="D440" s="89"/>
      <c r="E440" s="89"/>
      <c r="F440" s="145"/>
      <c r="G440" s="145"/>
      <c r="H440" s="121"/>
      <c r="I440" s="113"/>
      <c r="J440" s="89"/>
      <c r="K440" s="89"/>
      <c r="L440" s="89"/>
      <c r="M440" s="89"/>
      <c r="N440" s="113"/>
      <c r="O440" s="113"/>
      <c r="P440" s="113"/>
      <c r="Q440" s="113"/>
      <c r="R440" s="113"/>
      <c r="S440" s="113"/>
      <c r="T440" s="150"/>
      <c r="U440" t="s">
        <v>613</v>
      </c>
    </row>
    <row r="441" spans="2:21" x14ac:dyDescent="0.2">
      <c r="B441" s="110"/>
      <c r="C441" s="114"/>
      <c r="D441" s="89"/>
      <c r="E441" s="89"/>
      <c r="F441" s="145"/>
      <c r="G441" s="145"/>
      <c r="H441" s="121"/>
      <c r="I441" s="113"/>
      <c r="J441" s="89"/>
      <c r="K441" s="89"/>
      <c r="L441" s="89"/>
      <c r="M441" s="89"/>
      <c r="N441" s="113"/>
      <c r="O441" s="113"/>
      <c r="P441" s="113"/>
      <c r="Q441" s="113"/>
      <c r="R441" s="113"/>
      <c r="S441" s="113"/>
      <c r="T441" s="150"/>
      <c r="U441" t="s">
        <v>613</v>
      </c>
    </row>
    <row r="442" spans="2:21" x14ac:dyDescent="0.2">
      <c r="B442" s="110"/>
      <c r="C442" s="114"/>
      <c r="D442" s="89"/>
      <c r="E442" s="89"/>
      <c r="F442" s="145"/>
      <c r="G442" s="145"/>
      <c r="H442" s="121"/>
      <c r="I442" s="113"/>
      <c r="J442" s="89"/>
      <c r="K442" s="89"/>
      <c r="L442" s="89"/>
      <c r="M442" s="89"/>
      <c r="N442" s="113"/>
      <c r="O442" s="113"/>
      <c r="P442" s="113"/>
      <c r="Q442" s="113"/>
      <c r="R442" s="113"/>
      <c r="S442" s="113"/>
      <c r="T442" s="150"/>
      <c r="U442" t="s">
        <v>613</v>
      </c>
    </row>
    <row r="443" spans="2:21" x14ac:dyDescent="0.2">
      <c r="B443" s="110"/>
      <c r="C443" s="114"/>
      <c r="D443" s="89"/>
      <c r="E443" s="89"/>
      <c r="F443" s="145"/>
      <c r="G443" s="145"/>
      <c r="H443" s="121"/>
      <c r="I443" s="113"/>
      <c r="J443" s="89"/>
      <c r="K443" s="89"/>
      <c r="L443" s="89"/>
      <c r="M443" s="89"/>
      <c r="N443" s="113"/>
      <c r="O443" s="113"/>
      <c r="P443" s="113"/>
      <c r="Q443" s="113"/>
      <c r="R443" s="113"/>
      <c r="S443" s="113"/>
      <c r="T443" s="150"/>
      <c r="U443" t="s">
        <v>613</v>
      </c>
    </row>
    <row r="444" spans="2:21" x14ac:dyDescent="0.2">
      <c r="B444" s="110"/>
      <c r="C444" s="114"/>
      <c r="D444" s="89"/>
      <c r="E444" s="89"/>
      <c r="F444" s="145"/>
      <c r="G444" s="145"/>
      <c r="H444" s="121"/>
      <c r="I444" s="113"/>
      <c r="J444" s="89"/>
      <c r="K444" s="89"/>
      <c r="L444" s="89"/>
      <c r="M444" s="89"/>
      <c r="N444" s="113"/>
      <c r="O444" s="113"/>
      <c r="P444" s="113"/>
      <c r="Q444" s="113"/>
      <c r="R444" s="113"/>
      <c r="S444" s="113"/>
      <c r="T444" s="150"/>
      <c r="U444" t="s">
        <v>613</v>
      </c>
    </row>
    <row r="445" spans="2:21" x14ac:dyDescent="0.2">
      <c r="B445" s="110"/>
      <c r="C445" s="114"/>
      <c r="D445" s="89"/>
      <c r="E445" s="89"/>
      <c r="F445" s="145"/>
      <c r="G445" s="145"/>
      <c r="H445" s="121"/>
      <c r="I445" s="113"/>
      <c r="J445" s="89"/>
      <c r="K445" s="89"/>
      <c r="L445" s="89"/>
      <c r="M445" s="89"/>
      <c r="N445" s="113"/>
      <c r="O445" s="113"/>
      <c r="P445" s="113"/>
      <c r="Q445" s="113"/>
      <c r="R445" s="113"/>
      <c r="S445" s="113"/>
      <c r="T445" s="150"/>
      <c r="U445" t="s">
        <v>613</v>
      </c>
    </row>
    <row r="446" spans="2:21" x14ac:dyDescent="0.2">
      <c r="B446" s="110"/>
      <c r="C446" s="114"/>
      <c r="D446" s="89"/>
      <c r="E446" s="89"/>
      <c r="F446" s="145"/>
      <c r="G446" s="145"/>
      <c r="H446" s="121"/>
      <c r="I446" s="113"/>
      <c r="J446" s="89"/>
      <c r="K446" s="89"/>
      <c r="L446" s="89"/>
      <c r="M446" s="89"/>
      <c r="N446" s="113"/>
      <c r="O446" s="113"/>
      <c r="P446" s="113"/>
      <c r="Q446" s="113"/>
      <c r="R446" s="113"/>
      <c r="S446" s="113"/>
      <c r="T446" s="150"/>
      <c r="U446" t="s">
        <v>613</v>
      </c>
    </row>
    <row r="447" spans="2:21" x14ac:dyDescent="0.2">
      <c r="B447" s="110"/>
      <c r="C447" s="114"/>
      <c r="D447" s="89"/>
      <c r="E447" s="89"/>
      <c r="F447" s="145"/>
      <c r="G447" s="145"/>
      <c r="H447" s="121"/>
      <c r="I447" s="113"/>
      <c r="J447" s="89"/>
      <c r="K447" s="89"/>
      <c r="L447" s="89"/>
      <c r="M447" s="89"/>
      <c r="N447" s="113"/>
      <c r="O447" s="113"/>
      <c r="P447" s="113"/>
      <c r="Q447" s="113"/>
      <c r="R447" s="113"/>
      <c r="S447" s="113"/>
      <c r="T447" s="150"/>
      <c r="U447" t="s">
        <v>613</v>
      </c>
    </row>
    <row r="448" spans="2:21" x14ac:dyDescent="0.2">
      <c r="B448" s="110"/>
      <c r="C448" s="114"/>
      <c r="D448" s="89"/>
      <c r="E448" s="89"/>
      <c r="F448" s="145"/>
      <c r="G448" s="145"/>
      <c r="H448" s="121"/>
      <c r="I448" s="113"/>
      <c r="J448" s="89"/>
      <c r="K448" s="89"/>
      <c r="L448" s="89"/>
      <c r="M448" s="89"/>
      <c r="N448" s="113"/>
      <c r="O448" s="113"/>
      <c r="P448" s="113"/>
      <c r="Q448" s="113"/>
      <c r="R448" s="113"/>
      <c r="S448" s="113"/>
      <c r="T448" s="150"/>
      <c r="U448" t="s">
        <v>613</v>
      </c>
    </row>
    <row r="449" spans="2:21" x14ac:dyDescent="0.2">
      <c r="B449" s="110"/>
      <c r="C449" s="114"/>
      <c r="D449" s="89"/>
      <c r="E449" s="89"/>
      <c r="F449" s="145"/>
      <c r="G449" s="145"/>
      <c r="H449" s="121"/>
      <c r="I449" s="113"/>
      <c r="J449" s="89"/>
      <c r="K449" s="89"/>
      <c r="L449" s="89"/>
      <c r="M449" s="89"/>
      <c r="N449" s="113"/>
      <c r="O449" s="113"/>
      <c r="P449" s="113"/>
      <c r="Q449" s="113"/>
      <c r="R449" s="113"/>
      <c r="S449" s="113"/>
      <c r="T449" s="150"/>
      <c r="U449" t="s">
        <v>613</v>
      </c>
    </row>
    <row r="450" spans="2:21" x14ac:dyDescent="0.2">
      <c r="B450" s="110"/>
      <c r="C450" s="114"/>
      <c r="D450" s="89"/>
      <c r="E450" s="89"/>
      <c r="F450" s="145"/>
      <c r="G450" s="145"/>
      <c r="H450" s="121"/>
      <c r="I450" s="113"/>
      <c r="J450" s="89"/>
      <c r="K450" s="89"/>
      <c r="L450" s="89"/>
      <c r="M450" s="89"/>
      <c r="N450" s="113"/>
      <c r="O450" s="113"/>
      <c r="P450" s="113"/>
      <c r="Q450" s="113"/>
      <c r="R450" s="113"/>
      <c r="S450" s="113"/>
      <c r="T450" s="150"/>
      <c r="U450" t="s">
        <v>613</v>
      </c>
    </row>
    <row r="451" spans="2:21" x14ac:dyDescent="0.2">
      <c r="B451" s="110"/>
      <c r="C451" s="114"/>
      <c r="D451" s="89"/>
      <c r="E451" s="89"/>
      <c r="F451" s="145"/>
      <c r="G451" s="145"/>
      <c r="H451" s="121"/>
      <c r="I451" s="113"/>
      <c r="J451" s="89"/>
      <c r="K451" s="89"/>
      <c r="L451" s="89"/>
      <c r="M451" s="89"/>
      <c r="N451" s="113"/>
      <c r="O451" s="113"/>
      <c r="P451" s="113"/>
      <c r="Q451" s="113"/>
      <c r="R451" s="113"/>
      <c r="S451" s="113"/>
      <c r="T451" s="150"/>
      <c r="U451" t="s">
        <v>613</v>
      </c>
    </row>
    <row r="452" spans="2:21" x14ac:dyDescent="0.2">
      <c r="B452" s="110"/>
      <c r="C452" s="114"/>
      <c r="D452" s="89"/>
      <c r="E452" s="89"/>
      <c r="F452" s="145"/>
      <c r="G452" s="145"/>
      <c r="H452" s="121"/>
      <c r="I452" s="113"/>
      <c r="J452" s="89"/>
      <c r="K452" s="89"/>
      <c r="L452" s="89"/>
      <c r="M452" s="89"/>
      <c r="N452" s="113"/>
      <c r="O452" s="113"/>
      <c r="P452" s="113"/>
      <c r="Q452" s="113"/>
      <c r="R452" s="113"/>
      <c r="S452" s="113"/>
      <c r="T452" s="150"/>
      <c r="U452" t="s">
        <v>613</v>
      </c>
    </row>
    <row r="453" spans="2:21" x14ac:dyDescent="0.2">
      <c r="B453" s="110"/>
      <c r="C453" s="114"/>
      <c r="D453" s="89"/>
      <c r="E453" s="89"/>
      <c r="F453" s="145"/>
      <c r="G453" s="145"/>
      <c r="H453" s="121"/>
      <c r="I453" s="113"/>
      <c r="J453" s="89"/>
      <c r="K453" s="89"/>
      <c r="L453" s="89"/>
      <c r="M453" s="89"/>
      <c r="N453" s="113"/>
      <c r="O453" s="113"/>
      <c r="P453" s="113"/>
      <c r="Q453" s="113"/>
      <c r="R453" s="113"/>
      <c r="S453" s="113"/>
      <c r="T453" s="150"/>
      <c r="U453" t="s">
        <v>613</v>
      </c>
    </row>
    <row r="454" spans="2:21" x14ac:dyDescent="0.2">
      <c r="B454" s="110"/>
      <c r="C454" s="114"/>
      <c r="D454" s="89"/>
      <c r="E454" s="89"/>
      <c r="F454" s="145"/>
      <c r="G454" s="145"/>
      <c r="H454" s="121"/>
      <c r="I454" s="113"/>
      <c r="J454" s="89"/>
      <c r="K454" s="89"/>
      <c r="L454" s="89"/>
      <c r="M454" s="89"/>
      <c r="N454" s="113"/>
      <c r="O454" s="113"/>
      <c r="P454" s="113"/>
      <c r="Q454" s="113"/>
      <c r="R454" s="113"/>
      <c r="S454" s="113"/>
      <c r="T454" s="150"/>
      <c r="U454" t="s">
        <v>613</v>
      </c>
    </row>
    <row r="455" spans="2:21" x14ac:dyDescent="0.2">
      <c r="B455" s="110"/>
      <c r="C455" s="114"/>
      <c r="D455" s="89"/>
      <c r="E455" s="89"/>
      <c r="F455" s="145"/>
      <c r="G455" s="145"/>
      <c r="H455" s="121"/>
      <c r="I455" s="113"/>
      <c r="J455" s="89"/>
      <c r="K455" s="89"/>
      <c r="L455" s="89"/>
      <c r="M455" s="89"/>
      <c r="N455" s="113"/>
      <c r="O455" s="113"/>
      <c r="P455" s="113"/>
      <c r="Q455" s="113"/>
      <c r="R455" s="113"/>
      <c r="S455" s="113"/>
      <c r="T455" s="150"/>
      <c r="U455" t="s">
        <v>613</v>
      </c>
    </row>
    <row r="456" spans="2:21" x14ac:dyDescent="0.2">
      <c r="B456" s="110"/>
      <c r="C456" s="114"/>
      <c r="D456" s="89"/>
      <c r="E456" s="89"/>
      <c r="F456" s="145"/>
      <c r="G456" s="145"/>
      <c r="H456" s="121"/>
      <c r="I456" s="113"/>
      <c r="J456" s="89"/>
      <c r="K456" s="89"/>
      <c r="L456" s="89"/>
      <c r="M456" s="89"/>
      <c r="N456" s="113"/>
      <c r="O456" s="113"/>
      <c r="P456" s="113"/>
      <c r="Q456" s="113"/>
      <c r="R456" s="113"/>
      <c r="S456" s="113"/>
      <c r="T456" s="150"/>
      <c r="U456" t="s">
        <v>613</v>
      </c>
    </row>
    <row r="457" spans="2:21" x14ac:dyDescent="0.2">
      <c r="B457" s="110"/>
      <c r="C457" s="114"/>
      <c r="D457" s="89"/>
      <c r="E457" s="89"/>
      <c r="F457" s="145"/>
      <c r="G457" s="145"/>
      <c r="H457" s="121"/>
      <c r="I457" s="113"/>
      <c r="J457" s="89"/>
      <c r="K457" s="89"/>
      <c r="L457" s="89"/>
      <c r="M457" s="89"/>
      <c r="N457" s="113"/>
      <c r="O457" s="113"/>
      <c r="P457" s="113"/>
      <c r="Q457" s="113"/>
      <c r="R457" s="113"/>
      <c r="S457" s="113"/>
      <c r="T457" s="150"/>
      <c r="U457" t="s">
        <v>613</v>
      </c>
    </row>
    <row r="458" spans="2:21" x14ac:dyDescent="0.2">
      <c r="B458" s="110"/>
      <c r="C458" s="114"/>
      <c r="D458" s="89"/>
      <c r="E458" s="89"/>
      <c r="F458" s="145"/>
      <c r="G458" s="145"/>
      <c r="H458" s="121"/>
      <c r="I458" s="113"/>
      <c r="J458" s="89"/>
      <c r="K458" s="89"/>
      <c r="L458" s="89"/>
      <c r="M458" s="89"/>
      <c r="N458" s="113"/>
      <c r="O458" s="113"/>
      <c r="P458" s="113"/>
      <c r="Q458" s="113"/>
      <c r="R458" s="113"/>
      <c r="S458" s="113"/>
      <c r="T458" s="150"/>
      <c r="U458" t="s">
        <v>613</v>
      </c>
    </row>
    <row r="459" spans="2:21" x14ac:dyDescent="0.2">
      <c r="B459" s="110"/>
      <c r="C459" s="114"/>
      <c r="D459" s="89"/>
      <c r="E459" s="89"/>
      <c r="F459" s="145"/>
      <c r="G459" s="145"/>
      <c r="H459" s="121"/>
      <c r="I459" s="113"/>
      <c r="J459" s="89"/>
      <c r="K459" s="89"/>
      <c r="L459" s="89"/>
      <c r="M459" s="89"/>
      <c r="N459" s="113"/>
      <c r="O459" s="113"/>
      <c r="P459" s="113"/>
      <c r="Q459" s="113"/>
      <c r="R459" s="113"/>
      <c r="S459" s="113"/>
      <c r="T459" s="150"/>
      <c r="U459" t="s">
        <v>613</v>
      </c>
    </row>
    <row r="460" spans="2:21" x14ac:dyDescent="0.2">
      <c r="B460" s="110"/>
      <c r="C460" s="114"/>
      <c r="D460" s="89"/>
      <c r="E460" s="89"/>
      <c r="F460" s="145"/>
      <c r="G460" s="145"/>
      <c r="H460" s="121"/>
      <c r="I460" s="113"/>
      <c r="J460" s="89"/>
      <c r="K460" s="89"/>
      <c r="L460" s="89"/>
      <c r="M460" s="89"/>
      <c r="N460" s="113"/>
      <c r="O460" s="113"/>
      <c r="P460" s="113"/>
      <c r="Q460" s="113"/>
      <c r="R460" s="113"/>
      <c r="S460" s="113"/>
      <c r="T460" s="150"/>
      <c r="U460" t="s">
        <v>613</v>
      </c>
    </row>
    <row r="461" spans="2:21" x14ac:dyDescent="0.2">
      <c r="B461" s="110"/>
      <c r="C461" s="114"/>
      <c r="D461" s="89"/>
      <c r="E461" s="89"/>
      <c r="F461" s="145"/>
      <c r="G461" s="145"/>
      <c r="H461" s="121"/>
      <c r="I461" s="113"/>
      <c r="J461" s="89"/>
      <c r="K461" s="89"/>
      <c r="L461" s="89"/>
      <c r="M461" s="89"/>
      <c r="N461" s="113"/>
      <c r="O461" s="113"/>
      <c r="P461" s="113"/>
      <c r="Q461" s="113"/>
      <c r="R461" s="113"/>
      <c r="S461" s="113"/>
      <c r="T461" s="150"/>
      <c r="U461" t="s">
        <v>613</v>
      </c>
    </row>
    <row r="462" spans="2:21" x14ac:dyDescent="0.2">
      <c r="B462" s="110"/>
      <c r="C462" s="114"/>
      <c r="D462" s="89"/>
      <c r="E462" s="89"/>
      <c r="F462" s="145"/>
      <c r="G462" s="145"/>
      <c r="H462" s="121"/>
      <c r="I462" s="113"/>
      <c r="J462" s="89"/>
      <c r="K462" s="89"/>
      <c r="L462" s="89"/>
      <c r="M462" s="89"/>
      <c r="N462" s="113"/>
      <c r="O462" s="113"/>
      <c r="P462" s="113"/>
      <c r="Q462" s="113"/>
      <c r="R462" s="113"/>
      <c r="S462" s="113"/>
      <c r="T462" s="150"/>
      <c r="U462" t="s">
        <v>613</v>
      </c>
    </row>
    <row r="463" spans="2:21" x14ac:dyDescent="0.2">
      <c r="B463" s="110"/>
      <c r="C463" s="114"/>
      <c r="D463" s="89"/>
      <c r="E463" s="89"/>
      <c r="F463" s="145"/>
      <c r="G463" s="145"/>
      <c r="H463" s="121"/>
      <c r="I463" s="113"/>
      <c r="J463" s="89"/>
      <c r="K463" s="89"/>
      <c r="L463" s="89"/>
      <c r="M463" s="89"/>
      <c r="N463" s="113"/>
      <c r="O463" s="113"/>
      <c r="P463" s="113"/>
      <c r="Q463" s="113"/>
      <c r="R463" s="113"/>
      <c r="S463" s="113"/>
      <c r="T463" s="150"/>
      <c r="U463" t="s">
        <v>613</v>
      </c>
    </row>
    <row r="464" spans="2:21" x14ac:dyDescent="0.2">
      <c r="B464" s="110"/>
      <c r="C464" s="114"/>
      <c r="D464" s="89"/>
      <c r="E464" s="89"/>
      <c r="F464" s="145"/>
      <c r="G464" s="145"/>
      <c r="H464" s="121"/>
      <c r="I464" s="113"/>
      <c r="J464" s="89"/>
      <c r="K464" s="89"/>
      <c r="L464" s="89"/>
      <c r="M464" s="89"/>
      <c r="N464" s="113"/>
      <c r="O464" s="113"/>
      <c r="P464" s="113"/>
      <c r="Q464" s="113"/>
      <c r="R464" s="113"/>
      <c r="S464" s="113"/>
      <c r="T464" s="150"/>
      <c r="U464" t="s">
        <v>613</v>
      </c>
    </row>
    <row r="465" spans="2:21" x14ac:dyDescent="0.2">
      <c r="B465" s="110"/>
      <c r="C465" s="114"/>
      <c r="D465" s="89"/>
      <c r="E465" s="89"/>
      <c r="F465" s="145"/>
      <c r="G465" s="145"/>
      <c r="H465" s="121"/>
      <c r="I465" s="113"/>
      <c r="J465" s="89"/>
      <c r="K465" s="89"/>
      <c r="L465" s="89"/>
      <c r="M465" s="89"/>
      <c r="N465" s="113"/>
      <c r="O465" s="113"/>
      <c r="P465" s="113"/>
      <c r="Q465" s="113"/>
      <c r="R465" s="113"/>
      <c r="S465" s="113"/>
      <c r="T465" s="150"/>
      <c r="U465" t="s">
        <v>613</v>
      </c>
    </row>
    <row r="466" spans="2:21" x14ac:dyDescent="0.2">
      <c r="B466" s="110"/>
      <c r="C466" s="114"/>
      <c r="D466" s="89"/>
      <c r="E466" s="89"/>
      <c r="F466" s="145"/>
      <c r="G466" s="145"/>
      <c r="H466" s="121"/>
      <c r="I466" s="113"/>
      <c r="J466" s="89"/>
      <c r="K466" s="89"/>
      <c r="L466" s="89"/>
      <c r="M466" s="89"/>
      <c r="N466" s="113"/>
      <c r="O466" s="113"/>
      <c r="P466" s="113"/>
      <c r="Q466" s="113"/>
      <c r="R466" s="113"/>
      <c r="S466" s="113"/>
      <c r="T466" s="150"/>
      <c r="U466" t="s">
        <v>613</v>
      </c>
    </row>
    <row r="467" spans="2:21" x14ac:dyDescent="0.2">
      <c r="B467" s="110"/>
      <c r="C467" s="114"/>
      <c r="D467" s="89"/>
      <c r="E467" s="89"/>
      <c r="F467" s="145"/>
      <c r="G467" s="145"/>
      <c r="H467" s="121"/>
      <c r="I467" s="113"/>
      <c r="J467" s="89"/>
      <c r="K467" s="89"/>
      <c r="L467" s="89"/>
      <c r="M467" s="89"/>
      <c r="N467" s="113"/>
      <c r="O467" s="113"/>
      <c r="P467" s="113"/>
      <c r="Q467" s="113"/>
      <c r="R467" s="113"/>
      <c r="S467" s="113"/>
      <c r="T467" s="150"/>
      <c r="U467" t="s">
        <v>613</v>
      </c>
    </row>
    <row r="468" spans="2:21" x14ac:dyDescent="0.2">
      <c r="B468" s="110"/>
      <c r="C468" s="114"/>
      <c r="D468" s="89"/>
      <c r="E468" s="89"/>
      <c r="F468" s="145"/>
      <c r="G468" s="145"/>
      <c r="H468" s="121"/>
      <c r="I468" s="113"/>
      <c r="J468" s="89"/>
      <c r="K468" s="89"/>
      <c r="L468" s="89"/>
      <c r="M468" s="89"/>
      <c r="N468" s="113"/>
      <c r="O468" s="113"/>
      <c r="P468" s="113"/>
      <c r="Q468" s="113"/>
      <c r="R468" s="113"/>
      <c r="S468" s="113"/>
      <c r="T468" s="150"/>
      <c r="U468" t="s">
        <v>613</v>
      </c>
    </row>
    <row r="469" spans="2:21" x14ac:dyDescent="0.2">
      <c r="B469" s="110"/>
      <c r="C469" s="114"/>
      <c r="D469" s="89"/>
      <c r="E469" s="89"/>
      <c r="F469" s="145"/>
      <c r="G469" s="145"/>
      <c r="H469" s="121"/>
      <c r="I469" s="113"/>
      <c r="J469" s="89"/>
      <c r="K469" s="89"/>
      <c r="L469" s="89"/>
      <c r="M469" s="89"/>
      <c r="N469" s="113"/>
      <c r="O469" s="113"/>
      <c r="P469" s="113"/>
      <c r="Q469" s="113"/>
      <c r="R469" s="113"/>
      <c r="S469" s="113"/>
      <c r="T469" s="150"/>
      <c r="U469" t="s">
        <v>613</v>
      </c>
    </row>
    <row r="470" spans="2:21" x14ac:dyDescent="0.2">
      <c r="B470" s="110"/>
      <c r="C470" s="114"/>
      <c r="D470" s="89"/>
      <c r="E470" s="89"/>
      <c r="F470" s="145"/>
      <c r="G470" s="145"/>
      <c r="H470" s="121"/>
      <c r="I470" s="113"/>
      <c r="J470" s="89"/>
      <c r="K470" s="89"/>
      <c r="L470" s="89"/>
      <c r="M470" s="89"/>
      <c r="N470" s="113"/>
      <c r="O470" s="113"/>
      <c r="P470" s="113"/>
      <c r="Q470" s="113"/>
      <c r="R470" s="113"/>
      <c r="S470" s="113"/>
      <c r="T470" s="150"/>
      <c r="U470" t="s">
        <v>613</v>
      </c>
    </row>
    <row r="471" spans="2:21" x14ac:dyDescent="0.2">
      <c r="B471" s="110"/>
      <c r="C471" s="114"/>
      <c r="D471" s="89"/>
      <c r="E471" s="89"/>
      <c r="F471" s="145"/>
      <c r="G471" s="145"/>
      <c r="H471" s="121"/>
      <c r="I471" s="113"/>
      <c r="J471" s="89"/>
      <c r="K471" s="89"/>
      <c r="L471" s="89"/>
      <c r="M471" s="89"/>
      <c r="N471" s="113"/>
      <c r="O471" s="113"/>
      <c r="P471" s="113"/>
      <c r="Q471" s="113"/>
      <c r="R471" s="113"/>
      <c r="S471" s="113"/>
      <c r="T471" s="150"/>
      <c r="U471" t="s">
        <v>613</v>
      </c>
    </row>
    <row r="472" spans="2:21" x14ac:dyDescent="0.2">
      <c r="B472" s="110"/>
      <c r="C472" s="114"/>
      <c r="D472" s="89"/>
      <c r="E472" s="89"/>
      <c r="F472" s="145"/>
      <c r="G472" s="145"/>
      <c r="H472" s="121"/>
      <c r="I472" s="113"/>
      <c r="J472" s="89"/>
      <c r="K472" s="89"/>
      <c r="L472" s="89"/>
      <c r="M472" s="89"/>
      <c r="N472" s="113"/>
      <c r="O472" s="113"/>
      <c r="P472" s="113"/>
      <c r="Q472" s="113"/>
      <c r="R472" s="113"/>
      <c r="S472" s="113"/>
      <c r="T472" s="150"/>
      <c r="U472" t="s">
        <v>613</v>
      </c>
    </row>
    <row r="473" spans="2:21" x14ac:dyDescent="0.2">
      <c r="B473" s="110"/>
      <c r="C473" s="114"/>
      <c r="D473" s="89"/>
      <c r="E473" s="89"/>
      <c r="F473" s="145"/>
      <c r="G473" s="145"/>
      <c r="H473" s="121"/>
      <c r="I473" s="113"/>
      <c r="J473" s="89"/>
      <c r="K473" s="89"/>
      <c r="L473" s="89"/>
      <c r="M473" s="89"/>
      <c r="N473" s="113"/>
      <c r="O473" s="113"/>
      <c r="P473" s="113"/>
      <c r="Q473" s="113"/>
      <c r="R473" s="113"/>
      <c r="S473" s="113"/>
      <c r="T473" s="150"/>
      <c r="U473" t="s">
        <v>613</v>
      </c>
    </row>
    <row r="474" spans="2:21" x14ac:dyDescent="0.2">
      <c r="B474" s="110"/>
      <c r="C474" s="114"/>
      <c r="D474" s="89"/>
      <c r="E474" s="89"/>
      <c r="F474" s="145"/>
      <c r="G474" s="145"/>
      <c r="H474" s="121"/>
      <c r="I474" s="113"/>
      <c r="J474" s="89"/>
      <c r="K474" s="89"/>
      <c r="L474" s="89"/>
      <c r="M474" s="89"/>
      <c r="N474" s="113"/>
      <c r="O474" s="113"/>
      <c r="P474" s="113"/>
      <c r="Q474" s="113"/>
      <c r="R474" s="113"/>
      <c r="S474" s="113"/>
      <c r="T474" s="150"/>
      <c r="U474" t="s">
        <v>613</v>
      </c>
    </row>
    <row r="475" spans="2:21" x14ac:dyDescent="0.2">
      <c r="B475" s="110"/>
      <c r="C475" s="114"/>
      <c r="D475" s="89"/>
      <c r="E475" s="89"/>
      <c r="F475" s="145"/>
      <c r="G475" s="145"/>
      <c r="H475" s="121"/>
      <c r="I475" s="113"/>
      <c r="J475" s="89"/>
      <c r="K475" s="89"/>
      <c r="L475" s="89"/>
      <c r="M475" s="89"/>
      <c r="N475" s="113"/>
      <c r="O475" s="113"/>
      <c r="P475" s="113"/>
      <c r="Q475" s="113"/>
      <c r="R475" s="113"/>
      <c r="S475" s="113"/>
      <c r="T475" s="150"/>
      <c r="U475" t="s">
        <v>613</v>
      </c>
    </row>
    <row r="476" spans="2:21" x14ac:dyDescent="0.2">
      <c r="B476" s="110"/>
      <c r="C476" s="114"/>
      <c r="D476" s="89"/>
      <c r="E476" s="89"/>
      <c r="F476" s="145"/>
      <c r="G476" s="145"/>
      <c r="H476" s="121"/>
      <c r="I476" s="113"/>
      <c r="J476" s="89"/>
      <c r="K476" s="89"/>
      <c r="L476" s="89"/>
      <c r="M476" s="89"/>
      <c r="N476" s="113"/>
      <c r="O476" s="113"/>
      <c r="P476" s="113"/>
      <c r="Q476" s="113"/>
      <c r="R476" s="113"/>
      <c r="S476" s="113"/>
      <c r="T476" s="150"/>
      <c r="U476" t="s">
        <v>613</v>
      </c>
    </row>
    <row r="477" spans="2:21" x14ac:dyDescent="0.2">
      <c r="B477" s="110"/>
      <c r="C477" s="114"/>
      <c r="D477" s="89"/>
      <c r="E477" s="89"/>
      <c r="F477" s="145"/>
      <c r="G477" s="145"/>
      <c r="H477" s="121"/>
      <c r="I477" s="113"/>
      <c r="J477" s="89"/>
      <c r="K477" s="89"/>
      <c r="L477" s="89"/>
      <c r="M477" s="89"/>
      <c r="N477" s="113"/>
      <c r="O477" s="113"/>
      <c r="P477" s="113"/>
      <c r="Q477" s="113"/>
      <c r="R477" s="113"/>
      <c r="S477" s="113"/>
      <c r="T477" s="150"/>
      <c r="U477" t="s">
        <v>613</v>
      </c>
    </row>
    <row r="478" spans="2:21" x14ac:dyDescent="0.2">
      <c r="B478" s="110"/>
      <c r="C478" s="114"/>
      <c r="D478" s="89"/>
      <c r="E478" s="89"/>
      <c r="F478" s="145"/>
      <c r="G478" s="145"/>
      <c r="H478" s="121"/>
      <c r="I478" s="113"/>
      <c r="J478" s="89"/>
      <c r="K478" s="89"/>
      <c r="L478" s="89"/>
      <c r="M478" s="89"/>
      <c r="N478" s="113"/>
      <c r="O478" s="113"/>
      <c r="P478" s="113"/>
      <c r="Q478" s="113"/>
      <c r="R478" s="113"/>
      <c r="S478" s="113"/>
      <c r="T478" s="150"/>
      <c r="U478" t="s">
        <v>613</v>
      </c>
    </row>
    <row r="479" spans="2:21" x14ac:dyDescent="0.2">
      <c r="B479" s="110"/>
      <c r="C479" s="114"/>
      <c r="D479" s="89"/>
      <c r="E479" s="89"/>
      <c r="F479" s="145"/>
      <c r="G479" s="145"/>
      <c r="H479" s="121"/>
      <c r="I479" s="113"/>
      <c r="J479" s="89"/>
      <c r="K479" s="89"/>
      <c r="L479" s="89"/>
      <c r="M479" s="89"/>
      <c r="N479" s="113"/>
      <c r="O479" s="113"/>
      <c r="P479" s="113"/>
      <c r="Q479" s="113"/>
      <c r="R479" s="113"/>
      <c r="S479" s="113"/>
      <c r="T479" s="150"/>
      <c r="U479" t="s">
        <v>613</v>
      </c>
    </row>
    <row r="480" spans="2:21" x14ac:dyDescent="0.2">
      <c r="B480" s="110"/>
      <c r="C480" s="114"/>
      <c r="D480" s="89"/>
      <c r="E480" s="89"/>
      <c r="F480" s="145"/>
      <c r="G480" s="145"/>
      <c r="H480" s="121"/>
      <c r="I480" s="113"/>
      <c r="J480" s="89"/>
      <c r="K480" s="89"/>
      <c r="L480" s="89"/>
      <c r="M480" s="89"/>
      <c r="N480" s="113"/>
      <c r="O480" s="113"/>
      <c r="P480" s="113"/>
      <c r="Q480" s="113"/>
      <c r="R480" s="113"/>
      <c r="S480" s="113"/>
      <c r="T480" s="150"/>
      <c r="U480" t="s">
        <v>613</v>
      </c>
    </row>
    <row r="481" spans="2:21" x14ac:dyDescent="0.2">
      <c r="B481" s="110"/>
      <c r="C481" s="114"/>
      <c r="D481" s="89"/>
      <c r="E481" s="89"/>
      <c r="F481" s="145"/>
      <c r="G481" s="145"/>
      <c r="H481" s="121"/>
      <c r="I481" s="113"/>
      <c r="J481" s="89"/>
      <c r="K481" s="89"/>
      <c r="L481" s="89"/>
      <c r="M481" s="89"/>
      <c r="N481" s="113"/>
      <c r="O481" s="113"/>
      <c r="P481" s="113"/>
      <c r="Q481" s="113"/>
      <c r="R481" s="113"/>
      <c r="S481" s="113"/>
      <c r="T481" s="150"/>
      <c r="U481" t="s">
        <v>613</v>
      </c>
    </row>
    <row r="482" spans="2:21" x14ac:dyDescent="0.2">
      <c r="B482" s="110"/>
      <c r="C482" s="114"/>
      <c r="D482" s="89"/>
      <c r="E482" s="89"/>
      <c r="F482" s="145"/>
      <c r="G482" s="145"/>
      <c r="H482" s="121"/>
      <c r="I482" s="113"/>
      <c r="J482" s="89"/>
      <c r="K482" s="89"/>
      <c r="L482" s="89"/>
      <c r="M482" s="89"/>
      <c r="N482" s="113"/>
      <c r="O482" s="113"/>
      <c r="P482" s="113"/>
      <c r="Q482" s="113"/>
      <c r="R482" s="113"/>
      <c r="S482" s="113"/>
      <c r="T482" s="150"/>
      <c r="U482" t="s">
        <v>613</v>
      </c>
    </row>
    <row r="483" spans="2:21" x14ac:dyDescent="0.2">
      <c r="B483" s="110"/>
      <c r="C483" s="114"/>
      <c r="D483" s="89"/>
      <c r="E483" s="89"/>
      <c r="F483" s="145"/>
      <c r="G483" s="145"/>
      <c r="H483" s="121"/>
      <c r="I483" s="113"/>
      <c r="J483" s="89"/>
      <c r="K483" s="89"/>
      <c r="L483" s="89"/>
      <c r="M483" s="89"/>
      <c r="N483" s="113"/>
      <c r="O483" s="113"/>
      <c r="P483" s="113"/>
      <c r="Q483" s="113"/>
      <c r="R483" s="113"/>
      <c r="S483" s="113"/>
      <c r="T483" s="150"/>
      <c r="U483" t="s">
        <v>613</v>
      </c>
    </row>
    <row r="484" spans="2:21" x14ac:dyDescent="0.2">
      <c r="B484" s="110"/>
      <c r="C484" s="114"/>
      <c r="D484" s="89"/>
      <c r="E484" s="89"/>
      <c r="F484" s="145"/>
      <c r="G484" s="145"/>
      <c r="H484" s="121"/>
      <c r="I484" s="113"/>
      <c r="J484" s="89"/>
      <c r="K484" s="89"/>
      <c r="L484" s="89"/>
      <c r="M484" s="89"/>
      <c r="N484" s="113"/>
      <c r="O484" s="113"/>
      <c r="P484" s="113"/>
      <c r="Q484" s="113"/>
      <c r="R484" s="113"/>
      <c r="S484" s="113"/>
      <c r="T484" s="150"/>
      <c r="U484" t="s">
        <v>613</v>
      </c>
    </row>
    <row r="485" spans="2:21" x14ac:dyDescent="0.2">
      <c r="B485" s="110"/>
      <c r="C485" s="114"/>
      <c r="D485" s="89"/>
      <c r="E485" s="89"/>
      <c r="F485" s="145"/>
      <c r="G485" s="145"/>
      <c r="H485" s="121"/>
      <c r="I485" s="113"/>
      <c r="J485" s="89"/>
      <c r="K485" s="89"/>
      <c r="L485" s="89"/>
      <c r="M485" s="89"/>
      <c r="N485" s="113"/>
      <c r="O485" s="113"/>
      <c r="P485" s="113"/>
      <c r="Q485" s="113"/>
      <c r="R485" s="113"/>
      <c r="S485" s="113"/>
      <c r="T485" s="150"/>
      <c r="U485" t="s">
        <v>613</v>
      </c>
    </row>
    <row r="486" spans="2:21" x14ac:dyDescent="0.2">
      <c r="B486" s="110"/>
      <c r="C486" s="114"/>
      <c r="D486" s="89"/>
      <c r="E486" s="89"/>
      <c r="F486" s="145"/>
      <c r="G486" s="145"/>
      <c r="H486" s="121"/>
      <c r="I486" s="113"/>
      <c r="J486" s="89"/>
      <c r="K486" s="89"/>
      <c r="L486" s="89"/>
      <c r="M486" s="89"/>
      <c r="N486" s="113"/>
      <c r="O486" s="113"/>
      <c r="P486" s="113"/>
      <c r="Q486" s="113"/>
      <c r="R486" s="113"/>
      <c r="S486" s="113"/>
      <c r="T486" s="150"/>
      <c r="U486" t="s">
        <v>613</v>
      </c>
    </row>
    <row r="487" spans="2:21" x14ac:dyDescent="0.2">
      <c r="B487" s="110"/>
      <c r="C487" s="114"/>
      <c r="D487" s="89"/>
      <c r="E487" s="89"/>
      <c r="F487" s="145"/>
      <c r="G487" s="145"/>
      <c r="H487" s="121"/>
      <c r="I487" s="113"/>
      <c r="J487" s="89"/>
      <c r="K487" s="89"/>
      <c r="L487" s="89"/>
      <c r="M487" s="89"/>
      <c r="N487" s="113"/>
      <c r="O487" s="113"/>
      <c r="P487" s="113"/>
      <c r="Q487" s="113"/>
      <c r="R487" s="113"/>
      <c r="S487" s="113"/>
      <c r="T487" s="150"/>
      <c r="U487" t="s">
        <v>613</v>
      </c>
    </row>
    <row r="488" spans="2:21" x14ac:dyDescent="0.2">
      <c r="B488" s="110"/>
      <c r="C488" s="114"/>
      <c r="D488" s="89"/>
      <c r="E488" s="89"/>
      <c r="F488" s="145"/>
      <c r="G488" s="145"/>
      <c r="H488" s="121"/>
      <c r="I488" s="113"/>
      <c r="J488" s="89"/>
      <c r="K488" s="89"/>
      <c r="L488" s="89"/>
      <c r="M488" s="89"/>
      <c r="N488" s="113"/>
      <c r="O488" s="113"/>
      <c r="P488" s="113"/>
      <c r="Q488" s="113"/>
      <c r="R488" s="113"/>
      <c r="S488" s="113"/>
      <c r="T488" s="150"/>
      <c r="U488" t="s">
        <v>613</v>
      </c>
    </row>
    <row r="489" spans="2:21" x14ac:dyDescent="0.2">
      <c r="B489" s="110"/>
      <c r="C489" s="114"/>
      <c r="D489" s="89"/>
      <c r="E489" s="89"/>
      <c r="F489" s="145"/>
      <c r="G489" s="145"/>
      <c r="H489" s="121"/>
      <c r="I489" s="113"/>
      <c r="J489" s="89"/>
      <c r="K489" s="89"/>
      <c r="L489" s="89"/>
      <c r="M489" s="89"/>
      <c r="N489" s="113"/>
      <c r="O489" s="113"/>
      <c r="P489" s="113"/>
      <c r="Q489" s="113"/>
      <c r="R489" s="113"/>
      <c r="S489" s="113"/>
      <c r="T489" s="150"/>
      <c r="U489" t="s">
        <v>613</v>
      </c>
    </row>
    <row r="490" spans="2:21" x14ac:dyDescent="0.2">
      <c r="B490" s="110"/>
      <c r="C490" s="114"/>
      <c r="D490" s="89"/>
      <c r="E490" s="89"/>
      <c r="F490" s="145"/>
      <c r="G490" s="145"/>
      <c r="H490" s="121"/>
      <c r="I490" s="113"/>
      <c r="J490" s="89"/>
      <c r="K490" s="89"/>
      <c r="L490" s="89"/>
      <c r="M490" s="89"/>
      <c r="N490" s="113"/>
      <c r="O490" s="113"/>
      <c r="P490" s="113"/>
      <c r="Q490" s="113"/>
      <c r="R490" s="113"/>
      <c r="S490" s="113"/>
      <c r="T490" s="150"/>
      <c r="U490" t="s">
        <v>613</v>
      </c>
    </row>
    <row r="491" spans="2:21" x14ac:dyDescent="0.2">
      <c r="B491" s="110"/>
      <c r="C491" s="114"/>
      <c r="D491" s="89"/>
      <c r="E491" s="89"/>
      <c r="F491" s="145"/>
      <c r="G491" s="145"/>
      <c r="H491" s="121"/>
      <c r="I491" s="113"/>
      <c r="J491" s="89"/>
      <c r="K491" s="89"/>
      <c r="L491" s="89"/>
      <c r="M491" s="89"/>
      <c r="N491" s="113"/>
      <c r="O491" s="113"/>
      <c r="P491" s="113"/>
      <c r="Q491" s="113"/>
      <c r="R491" s="113"/>
      <c r="S491" s="113"/>
      <c r="T491" s="150"/>
      <c r="U491" t="s">
        <v>613</v>
      </c>
    </row>
    <row r="492" spans="2:21" x14ac:dyDescent="0.2">
      <c r="B492" s="110"/>
      <c r="C492" s="114"/>
      <c r="D492" s="89"/>
      <c r="E492" s="89"/>
      <c r="F492" s="145"/>
      <c r="G492" s="145"/>
      <c r="H492" s="121"/>
      <c r="I492" s="113"/>
      <c r="J492" s="89"/>
      <c r="K492" s="89"/>
      <c r="L492" s="89"/>
      <c r="M492" s="89"/>
      <c r="N492" s="113"/>
      <c r="O492" s="113"/>
      <c r="P492" s="113"/>
      <c r="Q492" s="113"/>
      <c r="R492" s="113"/>
      <c r="S492" s="113"/>
      <c r="T492" s="150"/>
      <c r="U492" t="s">
        <v>613</v>
      </c>
    </row>
    <row r="493" spans="2:21" x14ac:dyDescent="0.2">
      <c r="B493" s="110"/>
      <c r="C493" s="114"/>
      <c r="D493" s="89"/>
      <c r="E493" s="89"/>
      <c r="F493" s="145"/>
      <c r="G493" s="145"/>
      <c r="H493" s="121"/>
      <c r="I493" s="113"/>
      <c r="J493" s="89"/>
      <c r="K493" s="89"/>
      <c r="L493" s="89"/>
      <c r="M493" s="89"/>
      <c r="N493" s="113"/>
      <c r="O493" s="113"/>
      <c r="P493" s="113"/>
      <c r="Q493" s="113"/>
      <c r="R493" s="113"/>
      <c r="S493" s="113"/>
      <c r="T493" s="150"/>
      <c r="U493" t="s">
        <v>613</v>
      </c>
    </row>
    <row r="494" spans="2:21" x14ac:dyDescent="0.2">
      <c r="B494" s="110"/>
      <c r="C494" s="114"/>
      <c r="D494" s="89"/>
      <c r="E494" s="89"/>
      <c r="F494" s="145"/>
      <c r="G494" s="145"/>
      <c r="H494" s="121"/>
      <c r="I494" s="113"/>
      <c r="J494" s="89"/>
      <c r="K494" s="89"/>
      <c r="L494" s="89"/>
      <c r="M494" s="89"/>
      <c r="N494" s="113"/>
      <c r="O494" s="113"/>
      <c r="P494" s="113"/>
      <c r="Q494" s="113"/>
      <c r="R494" s="113"/>
      <c r="S494" s="113"/>
      <c r="T494" s="150"/>
      <c r="U494" t="s">
        <v>613</v>
      </c>
    </row>
    <row r="495" spans="2:21" x14ac:dyDescent="0.2">
      <c r="B495" s="110"/>
      <c r="C495" s="114"/>
      <c r="D495" s="89"/>
      <c r="E495" s="89"/>
      <c r="F495" s="145"/>
      <c r="G495" s="145"/>
      <c r="H495" s="121"/>
      <c r="I495" s="113"/>
      <c r="J495" s="89"/>
      <c r="K495" s="89"/>
      <c r="L495" s="89"/>
      <c r="M495" s="89"/>
      <c r="N495" s="113"/>
      <c r="O495" s="113"/>
      <c r="P495" s="113"/>
      <c r="Q495" s="113"/>
      <c r="R495" s="113"/>
      <c r="S495" s="113"/>
      <c r="T495" s="150"/>
      <c r="U495" t="s">
        <v>613</v>
      </c>
    </row>
    <row r="496" spans="2:21" x14ac:dyDescent="0.2">
      <c r="B496" s="110"/>
      <c r="C496" s="114"/>
      <c r="D496" s="89"/>
      <c r="E496" s="89"/>
      <c r="F496" s="145"/>
      <c r="G496" s="145"/>
      <c r="H496" s="121"/>
      <c r="I496" s="113"/>
      <c r="J496" s="89"/>
      <c r="K496" s="89"/>
      <c r="L496" s="89"/>
      <c r="M496" s="89"/>
      <c r="N496" s="113"/>
      <c r="O496" s="113"/>
      <c r="P496" s="113"/>
      <c r="Q496" s="113"/>
      <c r="R496" s="113"/>
      <c r="S496" s="113"/>
      <c r="T496" s="150"/>
      <c r="U496" t="s">
        <v>613</v>
      </c>
    </row>
    <row r="497" spans="2:21" x14ac:dyDescent="0.2">
      <c r="B497" s="110"/>
      <c r="C497" s="114"/>
      <c r="D497" s="89"/>
      <c r="E497" s="89"/>
      <c r="F497" s="145"/>
      <c r="G497" s="145"/>
      <c r="H497" s="121"/>
      <c r="I497" s="113"/>
      <c r="J497" s="89"/>
      <c r="K497" s="89"/>
      <c r="L497" s="89"/>
      <c r="M497" s="89"/>
      <c r="N497" s="113"/>
      <c r="O497" s="113"/>
      <c r="P497" s="113"/>
      <c r="Q497" s="113"/>
      <c r="R497" s="113"/>
      <c r="S497" s="113"/>
      <c r="T497" s="150"/>
      <c r="U497" t="s">
        <v>613</v>
      </c>
    </row>
    <row r="498" spans="2:21" x14ac:dyDescent="0.2">
      <c r="B498" s="110"/>
      <c r="C498" s="114"/>
      <c r="D498" s="89"/>
      <c r="E498" s="89"/>
      <c r="F498" s="145"/>
      <c r="G498" s="145"/>
      <c r="H498" s="121"/>
      <c r="I498" s="113"/>
      <c r="J498" s="89"/>
      <c r="K498" s="89"/>
      <c r="L498" s="89"/>
      <c r="M498" s="89"/>
      <c r="N498" s="113"/>
      <c r="O498" s="113"/>
      <c r="P498" s="113"/>
      <c r="Q498" s="113"/>
      <c r="R498" s="113"/>
      <c r="S498" s="113"/>
      <c r="T498" s="150"/>
      <c r="U498" t="s">
        <v>613</v>
      </c>
    </row>
    <row r="499" spans="2:21" x14ac:dyDescent="0.2">
      <c r="B499" s="110"/>
      <c r="C499" s="114"/>
      <c r="D499" s="89"/>
      <c r="E499" s="89"/>
      <c r="F499" s="145"/>
      <c r="G499" s="145"/>
      <c r="H499" s="121"/>
      <c r="I499" s="113"/>
      <c r="J499" s="89"/>
      <c r="K499" s="89"/>
      <c r="L499" s="89"/>
      <c r="M499" s="89"/>
      <c r="N499" s="113"/>
      <c r="O499" s="113"/>
      <c r="P499" s="113"/>
      <c r="Q499" s="113"/>
      <c r="R499" s="113"/>
      <c r="S499" s="113"/>
      <c r="T499" s="150"/>
      <c r="U499" t="s">
        <v>613</v>
      </c>
    </row>
    <row r="500" spans="2:21" x14ac:dyDescent="0.2">
      <c r="B500" s="110"/>
      <c r="C500" s="110"/>
      <c r="D500" s="89"/>
      <c r="E500" s="89"/>
      <c r="F500" s="145"/>
      <c r="G500" s="145"/>
      <c r="H500" s="121"/>
      <c r="I500" s="113"/>
      <c r="J500" s="89"/>
      <c r="K500" s="89"/>
      <c r="L500" s="89"/>
      <c r="M500" s="89"/>
      <c r="N500" s="113"/>
      <c r="O500" s="113"/>
      <c r="P500" s="113"/>
      <c r="Q500" s="113"/>
      <c r="R500" s="113"/>
      <c r="S500" s="113"/>
      <c r="T500" s="150"/>
      <c r="U500" t="s">
        <v>613</v>
      </c>
    </row>
    <row r="501" spans="2:21" x14ac:dyDescent="0.2">
      <c r="B501" s="148"/>
      <c r="C501" s="148"/>
      <c r="D501" s="148"/>
      <c r="E501" s="148"/>
      <c r="F501" s="148"/>
      <c r="G501" s="233"/>
      <c r="H501" s="148"/>
      <c r="I501" s="148"/>
      <c r="J501" s="148"/>
      <c r="K501" s="148"/>
      <c r="L501" s="148"/>
      <c r="M501" s="148"/>
      <c r="N501" s="148"/>
      <c r="O501" s="148"/>
      <c r="P501" s="148"/>
      <c r="Q501" s="148"/>
      <c r="R501" s="148"/>
      <c r="S501" s="148"/>
      <c r="T501" s="151"/>
      <c r="U501" t="s">
        <v>613</v>
      </c>
    </row>
    <row r="502" spans="2:21" x14ac:dyDescent="0.2">
      <c r="B502" s="148"/>
      <c r="C502" s="148"/>
      <c r="D502" s="148"/>
      <c r="E502" s="148"/>
      <c r="F502" s="148"/>
      <c r="G502" s="233"/>
      <c r="H502" s="148"/>
      <c r="I502" s="148"/>
      <c r="J502" s="148"/>
      <c r="K502" s="148"/>
      <c r="L502" s="148"/>
      <c r="M502" s="148"/>
      <c r="N502" s="148"/>
      <c r="O502" s="148"/>
      <c r="P502" s="148"/>
      <c r="Q502" s="148"/>
      <c r="R502" s="148"/>
      <c r="S502" s="148"/>
      <c r="T502" s="151"/>
      <c r="U502" t="s">
        <v>613</v>
      </c>
    </row>
    <row r="503" spans="2:21" x14ac:dyDescent="0.2">
      <c r="B503" s="148"/>
      <c r="C503" s="148"/>
      <c r="D503" s="148"/>
      <c r="E503" s="148"/>
      <c r="F503" s="148"/>
      <c r="G503" s="233"/>
      <c r="H503" s="148"/>
      <c r="I503" s="148"/>
      <c r="J503" s="148"/>
      <c r="K503" s="148"/>
      <c r="L503" s="148"/>
      <c r="M503" s="148"/>
      <c r="N503" s="148"/>
      <c r="O503" s="148"/>
      <c r="P503" s="148"/>
      <c r="Q503" s="148"/>
      <c r="R503" s="148"/>
      <c r="S503" s="148"/>
      <c r="T503" s="151"/>
      <c r="U503" t="s">
        <v>613</v>
      </c>
    </row>
    <row r="504" spans="2:21" x14ac:dyDescent="0.2">
      <c r="B504" s="148"/>
      <c r="C504" s="148"/>
      <c r="D504" s="148"/>
      <c r="E504" s="148"/>
      <c r="F504" s="148"/>
      <c r="G504" s="233"/>
      <c r="H504" s="148"/>
      <c r="I504" s="148"/>
      <c r="J504" s="148"/>
      <c r="K504" s="148"/>
      <c r="L504" s="148"/>
      <c r="M504" s="148"/>
      <c r="N504" s="148"/>
      <c r="O504" s="148"/>
      <c r="P504" s="148"/>
      <c r="Q504" s="148"/>
      <c r="R504" s="148"/>
      <c r="S504" s="148"/>
      <c r="T504" s="151"/>
      <c r="U504" t="s">
        <v>613</v>
      </c>
    </row>
    <row r="505" spans="2:21" x14ac:dyDescent="0.2">
      <c r="B505" s="148"/>
      <c r="C505" s="148"/>
      <c r="D505" s="148"/>
      <c r="E505" s="148"/>
      <c r="F505" s="148"/>
      <c r="G505" s="233"/>
      <c r="H505" s="148"/>
      <c r="I505" s="148"/>
      <c r="J505" s="148"/>
      <c r="K505" s="148"/>
      <c r="L505" s="148"/>
      <c r="M505" s="148"/>
      <c r="N505" s="148"/>
      <c r="O505" s="148"/>
      <c r="P505" s="148"/>
      <c r="Q505" s="148"/>
      <c r="R505" s="148"/>
      <c r="S505" s="148"/>
      <c r="T505" s="151"/>
      <c r="U505" t="s">
        <v>613</v>
      </c>
    </row>
    <row r="506" spans="2:21" x14ac:dyDescent="0.2">
      <c r="B506" s="148"/>
      <c r="C506" s="148"/>
      <c r="D506" s="148"/>
      <c r="E506" s="148"/>
      <c r="F506" s="148"/>
      <c r="G506" s="233"/>
      <c r="H506" s="148"/>
      <c r="I506" s="148"/>
      <c r="J506" s="148"/>
      <c r="K506" s="148"/>
      <c r="L506" s="148"/>
      <c r="M506" s="148"/>
      <c r="N506" s="148"/>
      <c r="O506" s="148"/>
      <c r="P506" s="148"/>
      <c r="Q506" s="148"/>
      <c r="R506" s="148"/>
      <c r="S506" s="148"/>
      <c r="T506" s="151"/>
      <c r="U506" t="s">
        <v>613</v>
      </c>
    </row>
    <row r="507" spans="2:21" x14ac:dyDescent="0.2">
      <c r="B507" s="148"/>
      <c r="C507" s="148"/>
      <c r="D507" s="148"/>
      <c r="E507" s="148"/>
      <c r="F507" s="148"/>
      <c r="G507" s="233"/>
      <c r="H507" s="148"/>
      <c r="I507" s="148"/>
      <c r="J507" s="148"/>
      <c r="K507" s="148"/>
      <c r="L507" s="148"/>
      <c r="M507" s="148"/>
      <c r="N507" s="148"/>
      <c r="O507" s="148"/>
      <c r="P507" s="148"/>
      <c r="Q507" s="148"/>
      <c r="R507" s="148"/>
      <c r="S507" s="148"/>
      <c r="T507" s="151"/>
      <c r="U507" t="s">
        <v>613</v>
      </c>
    </row>
    <row r="508" spans="2:21" x14ac:dyDescent="0.2">
      <c r="B508" s="148"/>
      <c r="C508" s="148"/>
      <c r="D508" s="148"/>
      <c r="E508" s="148"/>
      <c r="F508" s="148"/>
      <c r="G508" s="233"/>
      <c r="H508" s="148"/>
      <c r="I508" s="148"/>
      <c r="J508" s="148"/>
      <c r="K508" s="148"/>
      <c r="L508" s="148"/>
      <c r="M508" s="148"/>
      <c r="N508" s="148"/>
      <c r="O508" s="148"/>
      <c r="P508" s="148"/>
      <c r="Q508" s="148"/>
      <c r="R508" s="148"/>
      <c r="S508" s="148"/>
      <c r="T508" s="151"/>
      <c r="U508" t="s">
        <v>613</v>
      </c>
    </row>
    <row r="509" spans="2:21" x14ac:dyDescent="0.2">
      <c r="B509" s="148"/>
      <c r="C509" s="148"/>
      <c r="D509" s="148"/>
      <c r="E509" s="148"/>
      <c r="F509" s="148"/>
      <c r="G509" s="233"/>
      <c r="H509" s="148"/>
      <c r="I509" s="148"/>
      <c r="J509" s="148"/>
      <c r="K509" s="148"/>
      <c r="L509" s="148"/>
      <c r="M509" s="148"/>
      <c r="N509" s="148"/>
      <c r="O509" s="148"/>
      <c r="P509" s="148"/>
      <c r="Q509" s="148"/>
      <c r="R509" s="148"/>
      <c r="S509" s="148"/>
      <c r="T509" s="151"/>
      <c r="U509" t="s">
        <v>613</v>
      </c>
    </row>
    <row r="510" spans="2:21" x14ac:dyDescent="0.2">
      <c r="B510" s="148"/>
      <c r="C510" s="148"/>
      <c r="D510" s="148"/>
      <c r="E510" s="148"/>
      <c r="F510" s="148"/>
      <c r="G510" s="233"/>
      <c r="H510" s="148"/>
      <c r="I510" s="148"/>
      <c r="J510" s="148"/>
      <c r="K510" s="148"/>
      <c r="L510" s="148"/>
      <c r="M510" s="148"/>
      <c r="N510" s="148"/>
      <c r="O510" s="148"/>
      <c r="P510" s="148"/>
      <c r="Q510" s="148"/>
      <c r="R510" s="148"/>
      <c r="S510" s="148"/>
      <c r="T510" s="151"/>
      <c r="U510" t="s">
        <v>613</v>
      </c>
    </row>
    <row r="511" spans="2:21" x14ac:dyDescent="0.2">
      <c r="B511" s="148"/>
      <c r="C511" s="148"/>
      <c r="D511" s="148"/>
      <c r="E511" s="148"/>
      <c r="F511" s="148"/>
      <c r="G511" s="233"/>
      <c r="H511" s="148"/>
      <c r="I511" s="148"/>
      <c r="J511" s="148"/>
      <c r="K511" s="148"/>
      <c r="L511" s="148"/>
      <c r="M511" s="148"/>
      <c r="N511" s="148"/>
      <c r="O511" s="148"/>
      <c r="P511" s="148"/>
      <c r="Q511" s="148"/>
      <c r="R511" s="148"/>
      <c r="S511" s="148"/>
      <c r="T511" s="151"/>
      <c r="U511" t="s">
        <v>613</v>
      </c>
    </row>
    <row r="512" spans="2:21" x14ac:dyDescent="0.2">
      <c r="B512" s="148"/>
      <c r="C512" s="148"/>
      <c r="D512" s="148"/>
      <c r="E512" s="148"/>
      <c r="F512" s="148"/>
      <c r="G512" s="233"/>
      <c r="H512" s="148"/>
      <c r="I512" s="148"/>
      <c r="J512" s="148"/>
      <c r="K512" s="148"/>
      <c r="L512" s="148"/>
      <c r="M512" s="148"/>
      <c r="N512" s="148"/>
      <c r="O512" s="148"/>
      <c r="P512" s="148"/>
      <c r="Q512" s="148"/>
      <c r="R512" s="148"/>
      <c r="S512" s="148"/>
      <c r="T512" s="151"/>
      <c r="U512" t="s">
        <v>613</v>
      </c>
    </row>
    <row r="513" spans="2:21" x14ac:dyDescent="0.2">
      <c r="B513" s="148"/>
      <c r="C513" s="148"/>
      <c r="D513" s="148"/>
      <c r="E513" s="148"/>
      <c r="F513" s="148"/>
      <c r="G513" s="233"/>
      <c r="H513" s="148"/>
      <c r="I513" s="148"/>
      <c r="J513" s="148"/>
      <c r="K513" s="148"/>
      <c r="L513" s="148"/>
      <c r="M513" s="148"/>
      <c r="N513" s="148"/>
      <c r="O513" s="148"/>
      <c r="P513" s="148"/>
      <c r="Q513" s="148"/>
      <c r="R513" s="148"/>
      <c r="S513" s="148"/>
      <c r="T513" s="151"/>
      <c r="U513" t="s">
        <v>613</v>
      </c>
    </row>
    <row r="514" spans="2:21" x14ac:dyDescent="0.2">
      <c r="B514" s="148"/>
      <c r="C514" s="148"/>
      <c r="D514" s="148"/>
      <c r="E514" s="148"/>
      <c r="F514" s="148"/>
      <c r="G514" s="233"/>
      <c r="H514" s="148"/>
      <c r="I514" s="148"/>
      <c r="J514" s="148"/>
      <c r="K514" s="148"/>
      <c r="L514" s="148"/>
      <c r="M514" s="148"/>
      <c r="N514" s="148"/>
      <c r="O514" s="148"/>
      <c r="P514" s="148"/>
      <c r="Q514" s="148"/>
      <c r="R514" s="148"/>
      <c r="S514" s="148"/>
      <c r="T514" s="151"/>
      <c r="U514" t="s">
        <v>613</v>
      </c>
    </row>
    <row r="515" spans="2:21" x14ac:dyDescent="0.2">
      <c r="B515" s="148"/>
      <c r="C515" s="148"/>
      <c r="D515" s="148"/>
      <c r="E515" s="148"/>
      <c r="F515" s="148"/>
      <c r="G515" s="233"/>
      <c r="H515" s="148"/>
      <c r="I515" s="148"/>
      <c r="J515" s="148"/>
      <c r="K515" s="148"/>
      <c r="L515" s="148"/>
      <c r="M515" s="148"/>
      <c r="N515" s="148"/>
      <c r="O515" s="148"/>
      <c r="P515" s="148"/>
      <c r="Q515" s="148"/>
      <c r="R515" s="148"/>
      <c r="S515" s="148"/>
      <c r="T515" s="151"/>
      <c r="U515" t="s">
        <v>613</v>
      </c>
    </row>
    <row r="516" spans="2:21" x14ac:dyDescent="0.2">
      <c r="B516" s="148"/>
      <c r="C516" s="148"/>
      <c r="D516" s="148"/>
      <c r="E516" s="148"/>
      <c r="F516" s="148"/>
      <c r="G516" s="233"/>
      <c r="H516" s="148"/>
      <c r="I516" s="148"/>
      <c r="J516" s="148"/>
      <c r="K516" s="148"/>
      <c r="L516" s="148"/>
      <c r="M516" s="148"/>
      <c r="N516" s="148"/>
      <c r="O516" s="148"/>
      <c r="P516" s="148"/>
      <c r="Q516" s="148"/>
      <c r="R516" s="148"/>
      <c r="S516" s="148"/>
      <c r="T516" s="151"/>
      <c r="U516" t="s">
        <v>613</v>
      </c>
    </row>
    <row r="517" spans="2:21" x14ac:dyDescent="0.2">
      <c r="B517" s="148"/>
      <c r="C517" s="148"/>
      <c r="D517" s="148"/>
      <c r="E517" s="148"/>
      <c r="F517" s="148"/>
      <c r="G517" s="233"/>
      <c r="H517" s="148"/>
      <c r="I517" s="148"/>
      <c r="J517" s="148"/>
      <c r="K517" s="148"/>
      <c r="L517" s="148"/>
      <c r="M517" s="148"/>
      <c r="N517" s="148"/>
      <c r="O517" s="148"/>
      <c r="P517" s="148"/>
      <c r="Q517" s="148"/>
      <c r="R517" s="148"/>
      <c r="S517" s="148"/>
      <c r="T517" s="151"/>
      <c r="U517" t="s">
        <v>613</v>
      </c>
    </row>
    <row r="518" spans="2:21" x14ac:dyDescent="0.2">
      <c r="B518" s="148"/>
      <c r="C518" s="148"/>
      <c r="D518" s="148"/>
      <c r="E518" s="148"/>
      <c r="F518" s="148"/>
      <c r="G518" s="233"/>
      <c r="H518" s="148"/>
      <c r="I518" s="148"/>
      <c r="J518" s="148"/>
      <c r="K518" s="148"/>
      <c r="L518" s="148"/>
      <c r="M518" s="148"/>
      <c r="N518" s="148"/>
      <c r="O518" s="148"/>
      <c r="P518" s="148"/>
      <c r="Q518" s="148"/>
      <c r="R518" s="148"/>
      <c r="S518" s="148"/>
      <c r="T518" s="151"/>
      <c r="U518" t="s">
        <v>613</v>
      </c>
    </row>
    <row r="519" spans="2:21" x14ac:dyDescent="0.2">
      <c r="B519" s="148"/>
      <c r="C519" s="148"/>
      <c r="D519" s="148"/>
      <c r="E519" s="148"/>
      <c r="F519" s="148"/>
      <c r="G519" s="233"/>
      <c r="H519" s="148"/>
      <c r="I519" s="148"/>
      <c r="J519" s="148"/>
      <c r="K519" s="148"/>
      <c r="L519" s="148"/>
      <c r="M519" s="148"/>
      <c r="N519" s="148"/>
      <c r="O519" s="148"/>
      <c r="P519" s="148"/>
      <c r="Q519" s="148"/>
      <c r="R519" s="148"/>
      <c r="S519" s="148"/>
      <c r="T519" s="151"/>
      <c r="U519" t="s">
        <v>613</v>
      </c>
    </row>
    <row r="520" spans="2:21" x14ac:dyDescent="0.2">
      <c r="B520" s="148"/>
      <c r="C520" s="148"/>
      <c r="D520" s="148"/>
      <c r="E520" s="148"/>
      <c r="F520" s="148"/>
      <c r="G520" s="233"/>
      <c r="H520" s="148"/>
      <c r="I520" s="148"/>
      <c r="J520" s="148"/>
      <c r="K520" s="148"/>
      <c r="L520" s="148"/>
      <c r="M520" s="148"/>
      <c r="N520" s="148"/>
      <c r="O520" s="148"/>
      <c r="P520" s="148"/>
      <c r="Q520" s="148"/>
      <c r="R520" s="148"/>
      <c r="S520" s="148"/>
      <c r="T520" s="151"/>
      <c r="U520" t="s">
        <v>613</v>
      </c>
    </row>
    <row r="521" spans="2:21" x14ac:dyDescent="0.2">
      <c r="B521" s="148"/>
      <c r="C521" s="148"/>
      <c r="D521" s="148"/>
      <c r="E521" s="148"/>
      <c r="F521" s="148"/>
      <c r="G521" s="233"/>
      <c r="H521" s="148"/>
      <c r="I521" s="148"/>
      <c r="J521" s="148"/>
      <c r="K521" s="148"/>
      <c r="L521" s="148"/>
      <c r="M521" s="148"/>
      <c r="N521" s="148"/>
      <c r="O521" s="148"/>
      <c r="P521" s="148"/>
      <c r="Q521" s="148"/>
      <c r="R521" s="148"/>
      <c r="S521" s="148"/>
      <c r="T521" s="151"/>
      <c r="U521" t="s">
        <v>613</v>
      </c>
    </row>
    <row r="522" spans="2:21" x14ac:dyDescent="0.2">
      <c r="B522" s="148"/>
      <c r="C522" s="148"/>
      <c r="D522" s="148"/>
      <c r="E522" s="148"/>
      <c r="F522" s="148"/>
      <c r="G522" s="233"/>
      <c r="H522" s="148"/>
      <c r="I522" s="148"/>
      <c r="J522" s="148"/>
      <c r="K522" s="148"/>
      <c r="L522" s="148"/>
      <c r="M522" s="148"/>
      <c r="N522" s="148"/>
      <c r="O522" s="148"/>
      <c r="P522" s="148"/>
      <c r="Q522" s="148"/>
      <c r="R522" s="148"/>
      <c r="S522" s="148"/>
      <c r="T522" s="151"/>
      <c r="U522" t="s">
        <v>613</v>
      </c>
    </row>
    <row r="523" spans="2:21" x14ac:dyDescent="0.2">
      <c r="B523" s="148"/>
      <c r="C523" s="148"/>
      <c r="D523" s="148"/>
      <c r="E523" s="148"/>
      <c r="F523" s="148"/>
      <c r="G523" s="233"/>
      <c r="H523" s="148"/>
      <c r="I523" s="148"/>
      <c r="J523" s="148"/>
      <c r="K523" s="148"/>
      <c r="L523" s="148"/>
      <c r="M523" s="148"/>
      <c r="N523" s="148"/>
      <c r="O523" s="148"/>
      <c r="P523" s="148"/>
      <c r="Q523" s="148"/>
      <c r="R523" s="148"/>
      <c r="S523" s="148"/>
      <c r="T523" s="151"/>
      <c r="U523" t="s">
        <v>613</v>
      </c>
    </row>
    <row r="524" spans="2:21" x14ac:dyDescent="0.2">
      <c r="B524" s="148"/>
      <c r="C524" s="148"/>
      <c r="D524" s="148"/>
      <c r="E524" s="148"/>
      <c r="F524" s="148"/>
      <c r="G524" s="233"/>
      <c r="H524" s="148"/>
      <c r="I524" s="148"/>
      <c r="J524" s="148"/>
      <c r="K524" s="148"/>
      <c r="L524" s="148"/>
      <c r="M524" s="148"/>
      <c r="N524" s="148"/>
      <c r="O524" s="148"/>
      <c r="P524" s="148"/>
      <c r="Q524" s="148"/>
      <c r="R524" s="148"/>
      <c r="S524" s="148"/>
      <c r="T524" s="151"/>
      <c r="U524" t="s">
        <v>613</v>
      </c>
    </row>
    <row r="525" spans="2:21" x14ac:dyDescent="0.2">
      <c r="B525" s="148"/>
      <c r="C525" s="148"/>
      <c r="D525" s="148"/>
      <c r="E525" s="148"/>
      <c r="F525" s="148"/>
      <c r="G525" s="233"/>
      <c r="H525" s="148"/>
      <c r="I525" s="148"/>
      <c r="J525" s="148"/>
      <c r="K525" s="148"/>
      <c r="L525" s="148"/>
      <c r="M525" s="148"/>
      <c r="N525" s="148"/>
      <c r="O525" s="148"/>
      <c r="P525" s="148"/>
      <c r="Q525" s="148"/>
      <c r="R525" s="148"/>
      <c r="S525" s="148"/>
      <c r="T525" s="151"/>
      <c r="U525" t="s">
        <v>613</v>
      </c>
    </row>
    <row r="526" spans="2:21" x14ac:dyDescent="0.2">
      <c r="B526" s="148"/>
      <c r="C526" s="148"/>
      <c r="D526" s="148"/>
      <c r="E526" s="148"/>
      <c r="F526" s="148"/>
      <c r="G526" s="233"/>
      <c r="H526" s="148"/>
      <c r="I526" s="148"/>
      <c r="J526" s="148"/>
      <c r="K526" s="148"/>
      <c r="L526" s="148"/>
      <c r="M526" s="148"/>
      <c r="N526" s="148"/>
      <c r="O526" s="148"/>
      <c r="P526" s="148"/>
      <c r="Q526" s="148"/>
      <c r="R526" s="148"/>
      <c r="S526" s="148"/>
      <c r="T526" s="151"/>
      <c r="U526" t="s">
        <v>613</v>
      </c>
    </row>
    <row r="527" spans="2:21" x14ac:dyDescent="0.2">
      <c r="B527" s="148"/>
      <c r="C527" s="148"/>
      <c r="D527" s="148"/>
      <c r="E527" s="148"/>
      <c r="F527" s="148"/>
      <c r="G527" s="233"/>
      <c r="H527" s="148"/>
      <c r="I527" s="148"/>
      <c r="J527" s="148"/>
      <c r="K527" s="148"/>
      <c r="L527" s="148"/>
      <c r="M527" s="148"/>
      <c r="N527" s="148"/>
      <c r="O527" s="148"/>
      <c r="P527" s="148"/>
      <c r="Q527" s="148"/>
      <c r="R527" s="148"/>
      <c r="S527" s="148"/>
      <c r="T527" s="151"/>
      <c r="U527" t="s">
        <v>613</v>
      </c>
    </row>
    <row r="528" spans="2:21" x14ac:dyDescent="0.2">
      <c r="B528" s="148"/>
      <c r="C528" s="148"/>
      <c r="D528" s="148"/>
      <c r="E528" s="148"/>
      <c r="F528" s="148"/>
      <c r="G528" s="233"/>
      <c r="H528" s="148"/>
      <c r="I528" s="148"/>
      <c r="J528" s="148"/>
      <c r="K528" s="148"/>
      <c r="L528" s="148"/>
      <c r="M528" s="148"/>
      <c r="N528" s="148"/>
      <c r="O528" s="148"/>
      <c r="P528" s="148"/>
      <c r="Q528" s="148"/>
      <c r="R528" s="148"/>
      <c r="S528" s="148"/>
      <c r="T528" s="151"/>
      <c r="U528" t="s">
        <v>613</v>
      </c>
    </row>
    <row r="529" spans="2:21" x14ac:dyDescent="0.2">
      <c r="B529" s="148"/>
      <c r="C529" s="148"/>
      <c r="D529" s="148"/>
      <c r="E529" s="148"/>
      <c r="F529" s="148"/>
      <c r="G529" s="233"/>
      <c r="H529" s="148"/>
      <c r="I529" s="148"/>
      <c r="J529" s="148"/>
      <c r="K529" s="148"/>
      <c r="L529" s="148"/>
      <c r="M529" s="148"/>
      <c r="N529" s="148"/>
      <c r="O529" s="148"/>
      <c r="P529" s="148"/>
      <c r="Q529" s="148"/>
      <c r="R529" s="148"/>
      <c r="S529" s="148"/>
      <c r="T529" s="151"/>
      <c r="U529" t="s">
        <v>613</v>
      </c>
    </row>
    <row r="530" spans="2:21" x14ac:dyDescent="0.2">
      <c r="B530" s="148"/>
      <c r="C530" s="148"/>
      <c r="D530" s="148"/>
      <c r="E530" s="148"/>
      <c r="F530" s="148"/>
      <c r="G530" s="233"/>
      <c r="H530" s="148"/>
      <c r="I530" s="148"/>
      <c r="J530" s="148"/>
      <c r="K530" s="148"/>
      <c r="L530" s="148"/>
      <c r="M530" s="148"/>
      <c r="N530" s="148"/>
      <c r="O530" s="148"/>
      <c r="P530" s="148"/>
      <c r="Q530" s="148"/>
      <c r="R530" s="148"/>
      <c r="S530" s="148"/>
      <c r="T530" s="151"/>
      <c r="U530" t="s">
        <v>613</v>
      </c>
    </row>
    <row r="531" spans="2:21" x14ac:dyDescent="0.2">
      <c r="B531" s="148"/>
      <c r="C531" s="148"/>
      <c r="D531" s="148"/>
      <c r="E531" s="148"/>
      <c r="F531" s="148"/>
      <c r="G531" s="233"/>
      <c r="H531" s="148"/>
      <c r="I531" s="148"/>
      <c r="J531" s="148"/>
      <c r="K531" s="148"/>
      <c r="L531" s="148"/>
      <c r="M531" s="148"/>
      <c r="N531" s="148"/>
      <c r="O531" s="148"/>
      <c r="P531" s="148"/>
      <c r="Q531" s="148"/>
      <c r="R531" s="148"/>
      <c r="S531" s="148"/>
      <c r="T531" s="151"/>
      <c r="U531" t="s">
        <v>613</v>
      </c>
    </row>
    <row r="532" spans="2:21" x14ac:dyDescent="0.2">
      <c r="B532" s="148"/>
      <c r="C532" s="148"/>
      <c r="D532" s="148"/>
      <c r="E532" s="148"/>
      <c r="F532" s="148"/>
      <c r="G532" s="233"/>
      <c r="H532" s="148"/>
      <c r="I532" s="148"/>
      <c r="J532" s="148"/>
      <c r="K532" s="148"/>
      <c r="L532" s="148"/>
      <c r="M532" s="148"/>
      <c r="N532" s="148"/>
      <c r="O532" s="148"/>
      <c r="P532" s="148"/>
      <c r="Q532" s="148"/>
      <c r="R532" s="148"/>
      <c r="S532" s="148"/>
      <c r="T532" s="151"/>
      <c r="U532" t="s">
        <v>613</v>
      </c>
    </row>
    <row r="533" spans="2:21" x14ac:dyDescent="0.2">
      <c r="B533" s="148"/>
      <c r="C533" s="148"/>
      <c r="D533" s="148"/>
      <c r="E533" s="148"/>
      <c r="F533" s="148"/>
      <c r="G533" s="233"/>
      <c r="H533" s="148"/>
      <c r="I533" s="148"/>
      <c r="J533" s="148"/>
      <c r="K533" s="148"/>
      <c r="L533" s="148"/>
      <c r="M533" s="148"/>
      <c r="N533" s="148"/>
      <c r="O533" s="148"/>
      <c r="P533" s="148"/>
      <c r="Q533" s="148"/>
      <c r="R533" s="148"/>
      <c r="S533" s="148"/>
      <c r="T533" s="151"/>
      <c r="U533" t="s">
        <v>613</v>
      </c>
    </row>
    <row r="534" spans="2:21" x14ac:dyDescent="0.2">
      <c r="B534" s="148"/>
      <c r="C534" s="148"/>
      <c r="D534" s="148"/>
      <c r="E534" s="148"/>
      <c r="F534" s="148"/>
      <c r="G534" s="233"/>
      <c r="H534" s="148"/>
      <c r="I534" s="148"/>
      <c r="J534" s="148"/>
      <c r="K534" s="148"/>
      <c r="L534" s="148"/>
      <c r="M534" s="148"/>
      <c r="N534" s="148"/>
      <c r="O534" s="148"/>
      <c r="P534" s="148"/>
      <c r="Q534" s="148"/>
      <c r="R534" s="148"/>
      <c r="S534" s="148"/>
      <c r="T534" s="151"/>
      <c r="U534" t="s">
        <v>613</v>
      </c>
    </row>
    <row r="535" spans="2:21" x14ac:dyDescent="0.2">
      <c r="B535" s="148"/>
      <c r="C535" s="148"/>
      <c r="D535" s="148"/>
      <c r="E535" s="148"/>
      <c r="F535" s="148"/>
      <c r="G535" s="233"/>
      <c r="H535" s="148"/>
      <c r="I535" s="148"/>
      <c r="J535" s="148"/>
      <c r="K535" s="148"/>
      <c r="L535" s="148"/>
      <c r="M535" s="148"/>
      <c r="N535" s="148"/>
      <c r="O535" s="148"/>
      <c r="P535" s="148"/>
      <c r="Q535" s="148"/>
      <c r="R535" s="148"/>
      <c r="S535" s="148"/>
      <c r="T535" s="151"/>
      <c r="U535" t="s">
        <v>613</v>
      </c>
    </row>
    <row r="536" spans="2:21" x14ac:dyDescent="0.2">
      <c r="B536" s="148"/>
      <c r="C536" s="148"/>
      <c r="D536" s="148"/>
      <c r="E536" s="148"/>
      <c r="F536" s="148"/>
      <c r="G536" s="233"/>
      <c r="H536" s="148"/>
      <c r="I536" s="148"/>
      <c r="J536" s="148"/>
      <c r="K536" s="148"/>
      <c r="L536" s="148"/>
      <c r="M536" s="148"/>
      <c r="N536" s="148"/>
      <c r="O536" s="148"/>
      <c r="P536" s="148"/>
      <c r="Q536" s="148"/>
      <c r="R536" s="148"/>
      <c r="S536" s="148"/>
      <c r="T536" s="151"/>
      <c r="U536" t="s">
        <v>613</v>
      </c>
    </row>
    <row r="537" spans="2:21" x14ac:dyDescent="0.2">
      <c r="B537" s="148"/>
      <c r="C537" s="148"/>
      <c r="D537" s="148"/>
      <c r="E537" s="148"/>
      <c r="F537" s="148"/>
      <c r="G537" s="233"/>
      <c r="H537" s="148"/>
      <c r="I537" s="148"/>
      <c r="J537" s="148"/>
      <c r="K537" s="148"/>
      <c r="L537" s="148"/>
      <c r="M537" s="148"/>
      <c r="N537" s="148"/>
      <c r="O537" s="148"/>
      <c r="P537" s="148"/>
      <c r="Q537" s="148"/>
      <c r="R537" s="148"/>
      <c r="S537" s="148"/>
      <c r="T537" s="151"/>
      <c r="U537" t="s">
        <v>613</v>
      </c>
    </row>
    <row r="538" spans="2:21" x14ac:dyDescent="0.2">
      <c r="B538" s="148"/>
      <c r="C538" s="148"/>
      <c r="D538" s="148"/>
      <c r="E538" s="148"/>
      <c r="F538" s="148"/>
      <c r="G538" s="233"/>
      <c r="H538" s="148"/>
      <c r="I538" s="148"/>
      <c r="J538" s="148"/>
      <c r="K538" s="148"/>
      <c r="L538" s="148"/>
      <c r="M538" s="148"/>
      <c r="N538" s="148"/>
      <c r="O538" s="148"/>
      <c r="P538" s="148"/>
      <c r="Q538" s="148"/>
      <c r="R538" s="148"/>
      <c r="S538" s="148"/>
      <c r="T538" s="151"/>
      <c r="U538" t="s">
        <v>613</v>
      </c>
    </row>
    <row r="539" spans="2:21" x14ac:dyDescent="0.2">
      <c r="B539" s="148"/>
      <c r="C539" s="148"/>
      <c r="D539" s="148"/>
      <c r="E539" s="148"/>
      <c r="F539" s="148"/>
      <c r="G539" s="233"/>
      <c r="H539" s="148"/>
      <c r="I539" s="148"/>
      <c r="J539" s="148"/>
      <c r="K539" s="148"/>
      <c r="L539" s="148"/>
      <c r="M539" s="148"/>
      <c r="N539" s="148"/>
      <c r="O539" s="148"/>
      <c r="P539" s="148"/>
      <c r="Q539" s="148"/>
      <c r="R539" s="148"/>
      <c r="S539" s="148"/>
      <c r="T539" s="151"/>
      <c r="U539" t="s">
        <v>613</v>
      </c>
    </row>
    <row r="540" spans="2:21" x14ac:dyDescent="0.2">
      <c r="B540" s="148"/>
      <c r="C540" s="148"/>
      <c r="D540" s="148"/>
      <c r="E540" s="148"/>
      <c r="F540" s="148"/>
      <c r="G540" s="233"/>
      <c r="H540" s="148"/>
      <c r="I540" s="148"/>
      <c r="J540" s="148"/>
      <c r="K540" s="148"/>
      <c r="L540" s="148"/>
      <c r="M540" s="148"/>
      <c r="N540" s="148"/>
      <c r="O540" s="148"/>
      <c r="P540" s="148"/>
      <c r="Q540" s="148"/>
      <c r="R540" s="148"/>
      <c r="S540" s="148"/>
      <c r="T540" s="151"/>
      <c r="U540" t="s">
        <v>613</v>
      </c>
    </row>
    <row r="541" spans="2:21" x14ac:dyDescent="0.2">
      <c r="B541" s="148"/>
      <c r="C541" s="148"/>
      <c r="D541" s="148"/>
      <c r="E541" s="148"/>
      <c r="F541" s="148"/>
      <c r="G541" s="233"/>
      <c r="H541" s="148"/>
      <c r="I541" s="148"/>
      <c r="J541" s="148"/>
      <c r="K541" s="148"/>
      <c r="L541" s="148"/>
      <c r="M541" s="148"/>
      <c r="N541" s="148"/>
      <c r="O541" s="148"/>
      <c r="P541" s="148"/>
      <c r="Q541" s="148"/>
      <c r="R541" s="148"/>
      <c r="S541" s="148"/>
      <c r="T541" s="151"/>
      <c r="U541" t="s">
        <v>613</v>
      </c>
    </row>
    <row r="542" spans="2:21" x14ac:dyDescent="0.2">
      <c r="B542" s="148"/>
      <c r="C542" s="148"/>
      <c r="D542" s="148"/>
      <c r="E542" s="148"/>
      <c r="F542" s="148"/>
      <c r="G542" s="233"/>
      <c r="H542" s="148"/>
      <c r="I542" s="148"/>
      <c r="J542" s="148"/>
      <c r="K542" s="148"/>
      <c r="L542" s="148"/>
      <c r="M542" s="148"/>
      <c r="N542" s="148"/>
      <c r="O542" s="148"/>
      <c r="P542" s="148"/>
      <c r="Q542" s="148"/>
      <c r="R542" s="148"/>
      <c r="S542" s="148"/>
      <c r="T542" s="151"/>
      <c r="U542" t="s">
        <v>613</v>
      </c>
    </row>
    <row r="543" spans="2:21" x14ac:dyDescent="0.2">
      <c r="B543" s="148"/>
      <c r="C543" s="148"/>
      <c r="D543" s="148"/>
      <c r="E543" s="148"/>
      <c r="F543" s="148"/>
      <c r="G543" s="233"/>
      <c r="H543" s="148"/>
      <c r="I543" s="148"/>
      <c r="J543" s="148"/>
      <c r="K543" s="148"/>
      <c r="L543" s="148"/>
      <c r="M543" s="148"/>
      <c r="N543" s="148"/>
      <c r="O543" s="148"/>
      <c r="P543" s="148"/>
      <c r="Q543" s="148"/>
      <c r="R543" s="148"/>
      <c r="S543" s="148"/>
      <c r="T543" s="151"/>
      <c r="U543" t="s">
        <v>613</v>
      </c>
    </row>
    <row r="544" spans="2:21" x14ac:dyDescent="0.2">
      <c r="B544" s="148"/>
      <c r="C544" s="148"/>
      <c r="D544" s="148"/>
      <c r="E544" s="148"/>
      <c r="F544" s="148"/>
      <c r="G544" s="233"/>
      <c r="H544" s="148"/>
      <c r="I544" s="148"/>
      <c r="J544" s="148"/>
      <c r="K544" s="148"/>
      <c r="L544" s="148"/>
      <c r="M544" s="148"/>
      <c r="N544" s="148"/>
      <c r="O544" s="148"/>
      <c r="P544" s="148"/>
      <c r="Q544" s="148"/>
      <c r="R544" s="148"/>
      <c r="S544" s="148"/>
      <c r="T544" s="151"/>
      <c r="U544" t="s">
        <v>613</v>
      </c>
    </row>
    <row r="545" spans="2:21" x14ac:dyDescent="0.2">
      <c r="B545" s="148"/>
      <c r="C545" s="148"/>
      <c r="D545" s="148"/>
      <c r="E545" s="148"/>
      <c r="F545" s="148"/>
      <c r="G545" s="233"/>
      <c r="H545" s="148"/>
      <c r="I545" s="148"/>
      <c r="J545" s="148"/>
      <c r="K545" s="148"/>
      <c r="L545" s="148"/>
      <c r="M545" s="148"/>
      <c r="N545" s="148"/>
      <c r="O545" s="148"/>
      <c r="P545" s="148"/>
      <c r="Q545" s="148"/>
      <c r="R545" s="148"/>
      <c r="S545" s="148"/>
      <c r="T545" s="151"/>
      <c r="U545" t="s">
        <v>613</v>
      </c>
    </row>
    <row r="546" spans="2:21" x14ac:dyDescent="0.2">
      <c r="B546" s="148"/>
      <c r="C546" s="148"/>
      <c r="D546" s="148"/>
      <c r="E546" s="148"/>
      <c r="F546" s="148"/>
      <c r="G546" s="233"/>
      <c r="H546" s="148"/>
      <c r="I546" s="148"/>
      <c r="J546" s="148"/>
      <c r="K546" s="148"/>
      <c r="L546" s="148"/>
      <c r="M546" s="148"/>
      <c r="N546" s="148"/>
      <c r="O546" s="148"/>
      <c r="P546" s="148"/>
      <c r="Q546" s="148"/>
      <c r="R546" s="148"/>
      <c r="S546" s="148"/>
      <c r="T546" s="151"/>
      <c r="U546" t="s">
        <v>613</v>
      </c>
    </row>
    <row r="547" spans="2:21" x14ac:dyDescent="0.2">
      <c r="B547" s="148"/>
      <c r="C547" s="148"/>
      <c r="D547" s="148"/>
      <c r="E547" s="148"/>
      <c r="F547" s="148"/>
      <c r="G547" s="233"/>
      <c r="H547" s="148"/>
      <c r="I547" s="148"/>
      <c r="J547" s="148"/>
      <c r="K547" s="148"/>
      <c r="L547" s="148"/>
      <c r="M547" s="148"/>
      <c r="N547" s="148"/>
      <c r="O547" s="148"/>
      <c r="P547" s="148"/>
      <c r="Q547" s="148"/>
      <c r="R547" s="148"/>
      <c r="S547" s="148"/>
      <c r="T547" s="151"/>
      <c r="U547" t="s">
        <v>613</v>
      </c>
    </row>
    <row r="548" spans="2:21" x14ac:dyDescent="0.2">
      <c r="B548" s="148"/>
      <c r="C548" s="148"/>
      <c r="D548" s="148"/>
      <c r="E548" s="148"/>
      <c r="F548" s="148"/>
      <c r="G548" s="233"/>
      <c r="H548" s="148"/>
      <c r="I548" s="148"/>
      <c r="J548" s="148"/>
      <c r="K548" s="148"/>
      <c r="L548" s="148"/>
      <c r="M548" s="148"/>
      <c r="N548" s="148"/>
      <c r="O548" s="148"/>
      <c r="P548" s="148"/>
      <c r="Q548" s="148"/>
      <c r="R548" s="148"/>
      <c r="S548" s="148"/>
      <c r="T548" s="151"/>
      <c r="U548" t="s">
        <v>613</v>
      </c>
    </row>
    <row r="549" spans="2:21" x14ac:dyDescent="0.2">
      <c r="B549" s="148"/>
      <c r="C549" s="148"/>
      <c r="D549" s="148"/>
      <c r="E549" s="148"/>
      <c r="F549" s="148"/>
      <c r="G549" s="233"/>
      <c r="H549" s="148"/>
      <c r="I549" s="148"/>
      <c r="J549" s="148"/>
      <c r="K549" s="148"/>
      <c r="L549" s="148"/>
      <c r="M549" s="148"/>
      <c r="N549" s="148"/>
      <c r="O549" s="148"/>
      <c r="P549" s="148"/>
      <c r="Q549" s="148"/>
      <c r="R549" s="148"/>
      <c r="S549" s="148"/>
      <c r="T549" s="151"/>
      <c r="U549" t="s">
        <v>613</v>
      </c>
    </row>
    <row r="550" spans="2:21" x14ac:dyDescent="0.2">
      <c r="B550" s="148"/>
      <c r="C550" s="148"/>
      <c r="D550" s="148"/>
      <c r="E550" s="148"/>
      <c r="F550" s="148"/>
      <c r="G550" s="233"/>
      <c r="H550" s="148"/>
      <c r="I550" s="148"/>
      <c r="J550" s="148"/>
      <c r="K550" s="148"/>
      <c r="L550" s="148"/>
      <c r="M550" s="148"/>
      <c r="N550" s="148"/>
      <c r="O550" s="148"/>
      <c r="P550" s="148"/>
      <c r="Q550" s="148"/>
      <c r="R550" s="148"/>
      <c r="S550" s="148"/>
      <c r="T550" s="151"/>
      <c r="U550" t="s">
        <v>613</v>
      </c>
    </row>
    <row r="551" spans="2:21" x14ac:dyDescent="0.2">
      <c r="B551" s="148"/>
      <c r="C551" s="148"/>
      <c r="D551" s="148"/>
      <c r="E551" s="148"/>
      <c r="F551" s="148"/>
      <c r="G551" s="233"/>
      <c r="H551" s="148"/>
      <c r="I551" s="148"/>
      <c r="J551" s="148"/>
      <c r="K551" s="148"/>
      <c r="L551" s="148"/>
      <c r="M551" s="148"/>
      <c r="N551" s="148"/>
      <c r="O551" s="148"/>
      <c r="P551" s="148"/>
      <c r="Q551" s="148"/>
      <c r="R551" s="148"/>
      <c r="S551" s="148"/>
      <c r="T551" s="151"/>
      <c r="U551" t="s">
        <v>613</v>
      </c>
    </row>
    <row r="552" spans="2:21" x14ac:dyDescent="0.2">
      <c r="B552" s="148"/>
      <c r="C552" s="148"/>
      <c r="D552" s="148"/>
      <c r="E552" s="148"/>
      <c r="F552" s="148"/>
      <c r="G552" s="233"/>
      <c r="H552" s="148"/>
      <c r="I552" s="148"/>
      <c r="J552" s="148"/>
      <c r="K552" s="148"/>
      <c r="L552" s="148"/>
      <c r="M552" s="148"/>
      <c r="N552" s="148"/>
      <c r="O552" s="148"/>
      <c r="P552" s="148"/>
      <c r="Q552" s="148"/>
      <c r="R552" s="148"/>
      <c r="S552" s="148"/>
      <c r="T552" s="151"/>
      <c r="U552" t="s">
        <v>613</v>
      </c>
    </row>
    <row r="553" spans="2:21" x14ac:dyDescent="0.2">
      <c r="B553" s="148"/>
      <c r="C553" s="148"/>
      <c r="D553" s="148"/>
      <c r="E553" s="148"/>
      <c r="F553" s="148"/>
      <c r="G553" s="233"/>
      <c r="H553" s="148"/>
      <c r="I553" s="148"/>
      <c r="J553" s="148"/>
      <c r="K553" s="148"/>
      <c r="L553" s="148"/>
      <c r="M553" s="148"/>
      <c r="N553" s="148"/>
      <c r="O553" s="148"/>
      <c r="P553" s="148"/>
      <c r="Q553" s="148"/>
      <c r="R553" s="148"/>
      <c r="S553" s="148"/>
      <c r="T553" s="151"/>
      <c r="U553" t="s">
        <v>613</v>
      </c>
    </row>
    <row r="554" spans="2:21" x14ac:dyDescent="0.2">
      <c r="B554" s="148"/>
      <c r="C554" s="148"/>
      <c r="D554" s="148"/>
      <c r="E554" s="148"/>
      <c r="F554" s="148"/>
      <c r="G554" s="233"/>
      <c r="H554" s="148"/>
      <c r="I554" s="148"/>
      <c r="J554" s="148"/>
      <c r="K554" s="148"/>
      <c r="L554" s="148"/>
      <c r="M554" s="148"/>
      <c r="N554" s="148"/>
      <c r="O554" s="148"/>
      <c r="P554" s="148"/>
      <c r="Q554" s="148"/>
      <c r="R554" s="148"/>
      <c r="S554" s="148"/>
      <c r="T554" s="151"/>
      <c r="U554" t="s">
        <v>613</v>
      </c>
    </row>
    <row r="555" spans="2:21" x14ac:dyDescent="0.2">
      <c r="B555" s="148"/>
      <c r="C555" s="148"/>
      <c r="D555" s="148"/>
      <c r="E555" s="148"/>
      <c r="F555" s="148"/>
      <c r="G555" s="233"/>
      <c r="H555" s="148"/>
      <c r="I555" s="148"/>
      <c r="J555" s="148"/>
      <c r="K555" s="148"/>
      <c r="L555" s="148"/>
      <c r="M555" s="148"/>
      <c r="N555" s="148"/>
      <c r="O555" s="148"/>
      <c r="P555" s="148"/>
      <c r="Q555" s="148"/>
      <c r="R555" s="148"/>
      <c r="S555" s="148"/>
      <c r="T555" s="151"/>
      <c r="U555" t="s">
        <v>613</v>
      </c>
    </row>
    <row r="556" spans="2:21" x14ac:dyDescent="0.2">
      <c r="B556" s="148"/>
      <c r="C556" s="148"/>
      <c r="D556" s="148"/>
      <c r="E556" s="148"/>
      <c r="F556" s="148"/>
      <c r="G556" s="233"/>
      <c r="H556" s="148"/>
      <c r="I556" s="148"/>
      <c r="J556" s="148"/>
      <c r="K556" s="148"/>
      <c r="L556" s="148"/>
      <c r="M556" s="148"/>
      <c r="N556" s="148"/>
      <c r="O556" s="148"/>
      <c r="P556" s="148"/>
      <c r="Q556" s="148"/>
      <c r="R556" s="148"/>
      <c r="S556" s="148"/>
      <c r="T556" s="151"/>
      <c r="U556" t="s">
        <v>613</v>
      </c>
    </row>
    <row r="557" spans="2:21" x14ac:dyDescent="0.2">
      <c r="B557" s="148"/>
      <c r="C557" s="148"/>
      <c r="D557" s="148"/>
      <c r="E557" s="148"/>
      <c r="F557" s="148"/>
      <c r="G557" s="233"/>
      <c r="H557" s="148"/>
      <c r="I557" s="148"/>
      <c r="J557" s="148"/>
      <c r="K557" s="148"/>
      <c r="L557" s="148"/>
      <c r="M557" s="148"/>
      <c r="N557" s="148"/>
      <c r="O557" s="148"/>
      <c r="P557" s="148"/>
      <c r="Q557" s="148"/>
      <c r="R557" s="148"/>
      <c r="S557" s="148"/>
      <c r="T557" s="151"/>
      <c r="U557" t="s">
        <v>613</v>
      </c>
    </row>
    <row r="558" spans="2:21" x14ac:dyDescent="0.2">
      <c r="B558" s="148"/>
      <c r="C558" s="148"/>
      <c r="D558" s="148"/>
      <c r="E558" s="148"/>
      <c r="F558" s="148"/>
      <c r="G558" s="233"/>
      <c r="H558" s="148"/>
      <c r="I558" s="148"/>
      <c r="J558" s="148"/>
      <c r="K558" s="148"/>
      <c r="L558" s="148"/>
      <c r="M558" s="148"/>
      <c r="N558" s="148"/>
      <c r="O558" s="148"/>
      <c r="P558" s="148"/>
      <c r="Q558" s="148"/>
      <c r="R558" s="148"/>
      <c r="S558" s="148"/>
      <c r="T558" s="151"/>
      <c r="U558" t="s">
        <v>613</v>
      </c>
    </row>
    <row r="559" spans="2:21" x14ac:dyDescent="0.2">
      <c r="B559" s="148"/>
      <c r="C559" s="148"/>
      <c r="D559" s="148"/>
      <c r="E559" s="148"/>
      <c r="F559" s="148"/>
      <c r="G559" s="233"/>
      <c r="H559" s="148"/>
      <c r="I559" s="148"/>
      <c r="J559" s="148"/>
      <c r="K559" s="148"/>
      <c r="L559" s="148"/>
      <c r="M559" s="148"/>
      <c r="N559" s="148"/>
      <c r="O559" s="148"/>
      <c r="P559" s="148"/>
      <c r="Q559" s="148"/>
      <c r="R559" s="148"/>
      <c r="S559" s="148"/>
      <c r="T559" s="151"/>
      <c r="U559" t="s">
        <v>613</v>
      </c>
    </row>
    <row r="560" spans="2:21" x14ac:dyDescent="0.2">
      <c r="B560" s="148"/>
      <c r="C560" s="148"/>
      <c r="D560" s="148"/>
      <c r="E560" s="148"/>
      <c r="F560" s="148"/>
      <c r="G560" s="233"/>
      <c r="H560" s="148"/>
      <c r="I560" s="148"/>
      <c r="J560" s="148"/>
      <c r="K560" s="148"/>
      <c r="L560" s="148"/>
      <c r="M560" s="148"/>
      <c r="N560" s="148"/>
      <c r="O560" s="148"/>
      <c r="P560" s="148"/>
      <c r="Q560" s="148"/>
      <c r="R560" s="148"/>
      <c r="S560" s="148"/>
      <c r="T560" s="151"/>
      <c r="U560" t="s">
        <v>613</v>
      </c>
    </row>
    <row r="561" spans="2:21" x14ac:dyDescent="0.2">
      <c r="B561" s="148"/>
      <c r="C561" s="148"/>
      <c r="D561" s="148"/>
      <c r="E561" s="148"/>
      <c r="F561" s="148"/>
      <c r="G561" s="233"/>
      <c r="H561" s="148"/>
      <c r="I561" s="148"/>
      <c r="J561" s="148"/>
      <c r="K561" s="148"/>
      <c r="L561" s="148"/>
      <c r="M561" s="148"/>
      <c r="N561" s="148"/>
      <c r="O561" s="148"/>
      <c r="P561" s="148"/>
      <c r="Q561" s="148"/>
      <c r="R561" s="148"/>
      <c r="S561" s="148"/>
      <c r="T561" s="151"/>
      <c r="U561" t="s">
        <v>613</v>
      </c>
    </row>
    <row r="562" spans="2:21" x14ac:dyDescent="0.2">
      <c r="B562" s="148"/>
      <c r="C562" s="148"/>
      <c r="D562" s="148"/>
      <c r="E562" s="148"/>
      <c r="F562" s="148"/>
      <c r="G562" s="233"/>
      <c r="H562" s="148"/>
      <c r="I562" s="148"/>
      <c r="J562" s="148"/>
      <c r="K562" s="148"/>
      <c r="L562" s="148"/>
      <c r="M562" s="148"/>
      <c r="N562" s="148"/>
      <c r="O562" s="148"/>
      <c r="P562" s="148"/>
      <c r="Q562" s="148"/>
      <c r="R562" s="148"/>
      <c r="S562" s="148"/>
      <c r="T562" s="151"/>
      <c r="U562" t="s">
        <v>613</v>
      </c>
    </row>
    <row r="563" spans="2:21" x14ac:dyDescent="0.2">
      <c r="B563" s="148"/>
      <c r="C563" s="148"/>
      <c r="D563" s="148"/>
      <c r="E563" s="148"/>
      <c r="F563" s="148"/>
      <c r="G563" s="233"/>
      <c r="H563" s="148"/>
      <c r="I563" s="148"/>
      <c r="J563" s="148"/>
      <c r="K563" s="148"/>
      <c r="L563" s="148"/>
      <c r="M563" s="148"/>
      <c r="N563" s="148"/>
      <c r="O563" s="148"/>
      <c r="P563" s="148"/>
      <c r="Q563" s="148"/>
      <c r="R563" s="148"/>
      <c r="S563" s="148"/>
      <c r="T563" s="151"/>
      <c r="U563" t="s">
        <v>613</v>
      </c>
    </row>
    <row r="564" spans="2:21" x14ac:dyDescent="0.2">
      <c r="B564" s="148"/>
      <c r="C564" s="148"/>
      <c r="D564" s="148"/>
      <c r="E564" s="148"/>
      <c r="F564" s="148"/>
      <c r="G564" s="233"/>
      <c r="H564" s="148"/>
      <c r="I564" s="148"/>
      <c r="J564" s="148"/>
      <c r="K564" s="148"/>
      <c r="L564" s="148"/>
      <c r="M564" s="148"/>
      <c r="N564" s="148"/>
      <c r="O564" s="148"/>
      <c r="P564" s="148"/>
      <c r="Q564" s="148"/>
      <c r="R564" s="148"/>
      <c r="S564" s="148"/>
      <c r="T564" s="151"/>
      <c r="U564" t="s">
        <v>613</v>
      </c>
    </row>
    <row r="565" spans="2:21" x14ac:dyDescent="0.2">
      <c r="B565" s="148"/>
      <c r="C565" s="148"/>
      <c r="D565" s="148"/>
      <c r="E565" s="148"/>
      <c r="F565" s="148"/>
      <c r="G565" s="233"/>
      <c r="H565" s="148"/>
      <c r="I565" s="148"/>
      <c r="J565" s="148"/>
      <c r="K565" s="148"/>
      <c r="L565" s="148"/>
      <c r="M565" s="148"/>
      <c r="N565" s="148"/>
      <c r="O565" s="148"/>
      <c r="P565" s="148"/>
      <c r="Q565" s="148"/>
      <c r="R565" s="148"/>
      <c r="S565" s="148"/>
      <c r="T565" s="151"/>
      <c r="U565" t="s">
        <v>613</v>
      </c>
    </row>
    <row r="566" spans="2:21" x14ac:dyDescent="0.2">
      <c r="B566" s="148"/>
      <c r="C566" s="148"/>
      <c r="D566" s="148"/>
      <c r="E566" s="148"/>
      <c r="F566" s="148"/>
      <c r="G566" s="233"/>
      <c r="H566" s="148"/>
      <c r="I566" s="148"/>
      <c r="J566" s="148"/>
      <c r="K566" s="148"/>
      <c r="L566" s="148"/>
      <c r="M566" s="148"/>
      <c r="N566" s="148"/>
      <c r="O566" s="148"/>
      <c r="P566" s="148"/>
      <c r="Q566" s="148"/>
      <c r="R566" s="148"/>
      <c r="S566" s="148"/>
      <c r="T566" s="151"/>
      <c r="U566" t="s">
        <v>613</v>
      </c>
    </row>
    <row r="567" spans="2:21" x14ac:dyDescent="0.2">
      <c r="B567" s="148"/>
      <c r="C567" s="148"/>
      <c r="D567" s="148"/>
      <c r="E567" s="148"/>
      <c r="F567" s="148"/>
      <c r="G567" s="233"/>
      <c r="H567" s="148"/>
      <c r="I567" s="148"/>
      <c r="J567" s="148"/>
      <c r="K567" s="148"/>
      <c r="L567" s="148"/>
      <c r="M567" s="148"/>
      <c r="N567" s="148"/>
      <c r="O567" s="148"/>
      <c r="P567" s="148"/>
      <c r="Q567" s="148"/>
      <c r="R567" s="148"/>
      <c r="S567" s="148"/>
      <c r="T567" s="151"/>
      <c r="U567" t="s">
        <v>613</v>
      </c>
    </row>
    <row r="568" spans="2:21" x14ac:dyDescent="0.2">
      <c r="B568" s="148"/>
      <c r="C568" s="148"/>
      <c r="D568" s="148"/>
      <c r="E568" s="148"/>
      <c r="F568" s="148"/>
      <c r="G568" s="233"/>
      <c r="H568" s="148"/>
      <c r="I568" s="148"/>
      <c r="J568" s="148"/>
      <c r="K568" s="148"/>
      <c r="L568" s="148"/>
      <c r="M568" s="148"/>
      <c r="N568" s="148"/>
      <c r="O568" s="148"/>
      <c r="P568" s="148"/>
      <c r="Q568" s="148"/>
      <c r="R568" s="148"/>
      <c r="S568" s="148"/>
      <c r="T568" s="151"/>
      <c r="U568" t="s">
        <v>613</v>
      </c>
    </row>
    <row r="569" spans="2:21" x14ac:dyDescent="0.2">
      <c r="B569" s="148"/>
      <c r="C569" s="148"/>
      <c r="D569" s="148"/>
      <c r="E569" s="148"/>
      <c r="F569" s="148"/>
      <c r="G569" s="233"/>
      <c r="H569" s="148"/>
      <c r="I569" s="148"/>
      <c r="J569" s="148"/>
      <c r="K569" s="148"/>
      <c r="L569" s="148"/>
      <c r="M569" s="148"/>
      <c r="N569" s="148"/>
      <c r="O569" s="148"/>
      <c r="P569" s="148"/>
      <c r="Q569" s="148"/>
      <c r="R569" s="148"/>
      <c r="S569" s="148"/>
      <c r="T569" s="151"/>
      <c r="U569" t="s">
        <v>613</v>
      </c>
    </row>
    <row r="570" spans="2:21" x14ac:dyDescent="0.2">
      <c r="B570" s="148"/>
      <c r="C570" s="148"/>
      <c r="D570" s="148"/>
      <c r="E570" s="148"/>
      <c r="F570" s="148"/>
      <c r="G570" s="233"/>
      <c r="H570" s="148"/>
      <c r="I570" s="148"/>
      <c r="J570" s="148"/>
      <c r="K570" s="148"/>
      <c r="L570" s="148"/>
      <c r="M570" s="148"/>
      <c r="N570" s="148"/>
      <c r="O570" s="148"/>
      <c r="P570" s="148"/>
      <c r="Q570" s="148"/>
      <c r="R570" s="148"/>
      <c r="S570" s="148"/>
      <c r="T570" s="151"/>
      <c r="U570" t="s">
        <v>613</v>
      </c>
    </row>
    <row r="571" spans="2:21" x14ac:dyDescent="0.2">
      <c r="B571" s="148"/>
      <c r="C571" s="148"/>
      <c r="D571" s="148"/>
      <c r="E571" s="148"/>
      <c r="F571" s="148"/>
      <c r="G571" s="233"/>
      <c r="H571" s="148"/>
      <c r="I571" s="148"/>
      <c r="J571" s="148"/>
      <c r="K571" s="148"/>
      <c r="L571" s="148"/>
      <c r="M571" s="148"/>
      <c r="N571" s="148"/>
      <c r="O571" s="148"/>
      <c r="P571" s="148"/>
      <c r="Q571" s="148"/>
      <c r="R571" s="148"/>
      <c r="S571" s="148"/>
      <c r="T571" s="151"/>
      <c r="U571" t="s">
        <v>613</v>
      </c>
    </row>
    <row r="572" spans="2:21" x14ac:dyDescent="0.2">
      <c r="B572" s="148"/>
      <c r="C572" s="148"/>
      <c r="D572" s="148"/>
      <c r="E572" s="148"/>
      <c r="F572" s="148"/>
      <c r="G572" s="233"/>
      <c r="H572" s="148"/>
      <c r="I572" s="148"/>
      <c r="J572" s="148"/>
      <c r="K572" s="148"/>
      <c r="L572" s="148"/>
      <c r="M572" s="148"/>
      <c r="N572" s="148"/>
      <c r="O572" s="148"/>
      <c r="P572" s="148"/>
      <c r="Q572" s="148"/>
      <c r="R572" s="148"/>
      <c r="S572" s="148"/>
      <c r="T572" s="151"/>
      <c r="U572" t="s">
        <v>613</v>
      </c>
    </row>
    <row r="573" spans="2:21" x14ac:dyDescent="0.2">
      <c r="B573" s="148"/>
      <c r="C573" s="148"/>
      <c r="D573" s="148"/>
      <c r="E573" s="148"/>
      <c r="F573" s="148"/>
      <c r="G573" s="233"/>
      <c r="H573" s="148"/>
      <c r="I573" s="148"/>
      <c r="J573" s="148"/>
      <c r="K573" s="148"/>
      <c r="L573" s="148"/>
      <c r="M573" s="148"/>
      <c r="N573" s="148"/>
      <c r="O573" s="148"/>
      <c r="P573" s="148"/>
      <c r="Q573" s="148"/>
      <c r="R573" s="148"/>
      <c r="S573" s="148"/>
      <c r="T573" s="151"/>
      <c r="U573" t="s">
        <v>613</v>
      </c>
    </row>
    <row r="574" spans="2:21" x14ac:dyDescent="0.2">
      <c r="B574" s="148"/>
      <c r="C574" s="148"/>
      <c r="D574" s="148"/>
      <c r="E574" s="148"/>
      <c r="F574" s="148"/>
      <c r="G574" s="233"/>
      <c r="H574" s="148"/>
      <c r="I574" s="148"/>
      <c r="J574" s="148"/>
      <c r="K574" s="148"/>
      <c r="L574" s="148"/>
      <c r="M574" s="148"/>
      <c r="N574" s="148"/>
      <c r="O574" s="148"/>
      <c r="P574" s="148"/>
      <c r="Q574" s="148"/>
      <c r="R574" s="148"/>
      <c r="S574" s="148"/>
      <c r="T574" s="151"/>
      <c r="U574" t="s">
        <v>613</v>
      </c>
    </row>
    <row r="575" spans="2:21" x14ac:dyDescent="0.2">
      <c r="B575" s="148"/>
      <c r="C575" s="148"/>
      <c r="D575" s="148"/>
      <c r="E575" s="148"/>
      <c r="F575" s="148"/>
      <c r="G575" s="233"/>
      <c r="H575" s="148"/>
      <c r="I575" s="148"/>
      <c r="J575" s="148"/>
      <c r="K575" s="148"/>
      <c r="L575" s="148"/>
      <c r="M575" s="148"/>
      <c r="N575" s="148"/>
      <c r="O575" s="148"/>
      <c r="P575" s="148"/>
      <c r="Q575" s="148"/>
      <c r="R575" s="148"/>
      <c r="S575" s="148"/>
      <c r="T575" s="151"/>
      <c r="U575" t="s">
        <v>613</v>
      </c>
    </row>
    <row r="576" spans="2:21" x14ac:dyDescent="0.2">
      <c r="B576" s="148"/>
      <c r="C576" s="148"/>
      <c r="D576" s="148"/>
      <c r="E576" s="148"/>
      <c r="F576" s="148"/>
      <c r="G576" s="233"/>
      <c r="H576" s="148"/>
      <c r="I576" s="148"/>
      <c r="J576" s="148"/>
      <c r="K576" s="148"/>
      <c r="L576" s="148"/>
      <c r="M576" s="148"/>
      <c r="N576" s="148"/>
      <c r="O576" s="148"/>
      <c r="P576" s="148"/>
      <c r="Q576" s="148"/>
      <c r="R576" s="148"/>
      <c r="S576" s="148"/>
      <c r="T576" s="151"/>
      <c r="U576" t="s">
        <v>613</v>
      </c>
    </row>
    <row r="577" spans="2:21" x14ac:dyDescent="0.2">
      <c r="B577" s="148"/>
      <c r="C577" s="148"/>
      <c r="D577" s="148"/>
      <c r="E577" s="148"/>
      <c r="F577" s="148"/>
      <c r="G577" s="233"/>
      <c r="H577" s="148"/>
      <c r="I577" s="148"/>
      <c r="J577" s="148"/>
      <c r="K577" s="148"/>
      <c r="L577" s="148"/>
      <c r="M577" s="148"/>
      <c r="N577" s="148"/>
      <c r="O577" s="148"/>
      <c r="P577" s="148"/>
      <c r="Q577" s="148"/>
      <c r="R577" s="148"/>
      <c r="S577" s="148"/>
      <c r="T577" s="151"/>
      <c r="U577" t="s">
        <v>613</v>
      </c>
    </row>
    <row r="578" spans="2:21" x14ac:dyDescent="0.2">
      <c r="B578" s="148"/>
      <c r="C578" s="148"/>
      <c r="D578" s="148"/>
      <c r="E578" s="148"/>
      <c r="F578" s="148"/>
      <c r="G578" s="233"/>
      <c r="H578" s="148"/>
      <c r="I578" s="148"/>
      <c r="J578" s="148"/>
      <c r="K578" s="148"/>
      <c r="L578" s="148"/>
      <c r="M578" s="148"/>
      <c r="N578" s="148"/>
      <c r="O578" s="148"/>
      <c r="P578" s="148"/>
      <c r="Q578" s="148"/>
      <c r="R578" s="148"/>
      <c r="S578" s="148"/>
      <c r="T578" s="151"/>
      <c r="U578" t="s">
        <v>613</v>
      </c>
    </row>
    <row r="579" spans="2:21" x14ac:dyDescent="0.2">
      <c r="B579" s="148"/>
      <c r="C579" s="148"/>
      <c r="D579" s="148"/>
      <c r="E579" s="148"/>
      <c r="F579" s="148"/>
      <c r="G579" s="233"/>
      <c r="H579" s="148"/>
      <c r="I579" s="148"/>
      <c r="J579" s="148"/>
      <c r="K579" s="148"/>
      <c r="L579" s="148"/>
      <c r="M579" s="148"/>
      <c r="N579" s="148"/>
      <c r="O579" s="148"/>
      <c r="P579" s="148"/>
      <c r="Q579" s="148"/>
      <c r="R579" s="148"/>
      <c r="S579" s="148"/>
      <c r="T579" s="151"/>
      <c r="U579" t="s">
        <v>613</v>
      </c>
    </row>
    <row r="580" spans="2:21" x14ac:dyDescent="0.2">
      <c r="B580" s="148"/>
      <c r="C580" s="148"/>
      <c r="D580" s="148"/>
      <c r="E580" s="148"/>
      <c r="F580" s="148"/>
      <c r="G580" s="233"/>
      <c r="H580" s="148"/>
      <c r="I580" s="148"/>
      <c r="J580" s="148"/>
      <c r="K580" s="148"/>
      <c r="L580" s="148"/>
      <c r="M580" s="148"/>
      <c r="N580" s="148"/>
      <c r="O580" s="148"/>
      <c r="P580" s="148"/>
      <c r="Q580" s="148"/>
      <c r="R580" s="148"/>
      <c r="S580" s="148"/>
      <c r="T580" s="151"/>
      <c r="U580" t="s">
        <v>613</v>
      </c>
    </row>
    <row r="581" spans="2:21" x14ac:dyDescent="0.2">
      <c r="B581" s="148"/>
      <c r="C581" s="148"/>
      <c r="D581" s="148"/>
      <c r="E581" s="148"/>
      <c r="F581" s="148"/>
      <c r="G581" s="233"/>
      <c r="H581" s="148"/>
      <c r="I581" s="148"/>
      <c r="J581" s="148"/>
      <c r="K581" s="148"/>
      <c r="L581" s="148"/>
      <c r="M581" s="148"/>
      <c r="N581" s="148"/>
      <c r="O581" s="148"/>
      <c r="P581" s="148"/>
      <c r="Q581" s="148"/>
      <c r="R581" s="148"/>
      <c r="S581" s="148"/>
      <c r="T581" s="151"/>
      <c r="U581" t="s">
        <v>613</v>
      </c>
    </row>
    <row r="582" spans="2:21" x14ac:dyDescent="0.2">
      <c r="B582" s="148"/>
      <c r="C582" s="148"/>
      <c r="D582" s="148"/>
      <c r="E582" s="148"/>
      <c r="F582" s="148"/>
      <c r="G582" s="233"/>
      <c r="H582" s="148"/>
      <c r="I582" s="148"/>
      <c r="J582" s="148"/>
      <c r="K582" s="148"/>
      <c r="L582" s="148"/>
      <c r="M582" s="148"/>
      <c r="N582" s="148"/>
      <c r="O582" s="148"/>
      <c r="P582" s="148"/>
      <c r="Q582" s="148"/>
      <c r="R582" s="148"/>
      <c r="S582" s="148"/>
      <c r="T582" s="151"/>
      <c r="U582" t="s">
        <v>613</v>
      </c>
    </row>
    <row r="583" spans="2:21" x14ac:dyDescent="0.2">
      <c r="B583" s="148"/>
      <c r="C583" s="148"/>
      <c r="D583" s="148"/>
      <c r="E583" s="148"/>
      <c r="F583" s="148"/>
      <c r="G583" s="233"/>
      <c r="H583" s="148"/>
      <c r="I583" s="148"/>
      <c r="J583" s="148"/>
      <c r="K583" s="148"/>
      <c r="L583" s="148"/>
      <c r="M583" s="148"/>
      <c r="N583" s="148"/>
      <c r="O583" s="148"/>
      <c r="P583" s="148"/>
      <c r="Q583" s="148"/>
      <c r="R583" s="148"/>
      <c r="S583" s="148"/>
      <c r="T583" s="151"/>
      <c r="U583" t="s">
        <v>613</v>
      </c>
    </row>
    <row r="584" spans="2:21" x14ac:dyDescent="0.2">
      <c r="B584" s="148"/>
      <c r="C584" s="148"/>
      <c r="D584" s="148"/>
      <c r="E584" s="148"/>
      <c r="F584" s="148"/>
      <c r="G584" s="233"/>
      <c r="H584" s="148"/>
      <c r="I584" s="148"/>
      <c r="J584" s="148"/>
      <c r="K584" s="148"/>
      <c r="L584" s="148"/>
      <c r="M584" s="148"/>
      <c r="N584" s="148"/>
      <c r="O584" s="148"/>
      <c r="P584" s="148"/>
      <c r="Q584" s="148"/>
      <c r="R584" s="148"/>
      <c r="S584" s="148"/>
      <c r="T584" s="151"/>
      <c r="U584" t="s">
        <v>613</v>
      </c>
    </row>
    <row r="585" spans="2:21" x14ac:dyDescent="0.2">
      <c r="B585" s="148"/>
      <c r="C585" s="148"/>
      <c r="D585" s="148"/>
      <c r="E585" s="148"/>
      <c r="F585" s="148"/>
      <c r="G585" s="233"/>
      <c r="H585" s="148"/>
      <c r="I585" s="148"/>
      <c r="J585" s="148"/>
      <c r="K585" s="148"/>
      <c r="L585" s="148"/>
      <c r="M585" s="148"/>
      <c r="N585" s="148"/>
      <c r="O585" s="148"/>
      <c r="P585" s="148"/>
      <c r="Q585" s="148"/>
      <c r="R585" s="148"/>
      <c r="S585" s="148"/>
      <c r="T585" s="151"/>
      <c r="U585" t="s">
        <v>613</v>
      </c>
    </row>
    <row r="586" spans="2:21" x14ac:dyDescent="0.2">
      <c r="B586" s="148"/>
      <c r="C586" s="148"/>
      <c r="D586" s="148"/>
      <c r="E586" s="148"/>
      <c r="F586" s="148"/>
      <c r="G586" s="233"/>
      <c r="H586" s="148"/>
      <c r="I586" s="148"/>
      <c r="J586" s="148"/>
      <c r="K586" s="148"/>
      <c r="L586" s="148"/>
      <c r="M586" s="148"/>
      <c r="N586" s="148"/>
      <c r="O586" s="148"/>
      <c r="P586" s="148"/>
      <c r="Q586" s="148"/>
      <c r="R586" s="148"/>
      <c r="S586" s="148"/>
      <c r="T586" s="151"/>
      <c r="U586" t="s">
        <v>613</v>
      </c>
    </row>
    <row r="587" spans="2:21" x14ac:dyDescent="0.2">
      <c r="B587" s="148"/>
      <c r="C587" s="148"/>
      <c r="D587" s="148"/>
      <c r="E587" s="148"/>
      <c r="F587" s="148"/>
      <c r="G587" s="233"/>
      <c r="H587" s="148"/>
      <c r="I587" s="148"/>
      <c r="J587" s="148"/>
      <c r="K587" s="148"/>
      <c r="L587" s="148"/>
      <c r="M587" s="148"/>
      <c r="N587" s="148"/>
      <c r="O587" s="148"/>
      <c r="P587" s="148"/>
      <c r="Q587" s="148"/>
      <c r="R587" s="148"/>
      <c r="S587" s="148"/>
      <c r="T587" s="151"/>
      <c r="U587" t="s">
        <v>613</v>
      </c>
    </row>
    <row r="588" spans="2:21" x14ac:dyDescent="0.2">
      <c r="B588" s="148"/>
      <c r="C588" s="148"/>
      <c r="D588" s="148"/>
      <c r="E588" s="148"/>
      <c r="F588" s="148"/>
      <c r="G588" s="233"/>
      <c r="H588" s="148"/>
      <c r="I588" s="148"/>
      <c r="J588" s="148"/>
      <c r="K588" s="148"/>
      <c r="L588" s="148"/>
      <c r="M588" s="148"/>
      <c r="N588" s="148"/>
      <c r="O588" s="148"/>
      <c r="P588" s="148"/>
      <c r="Q588" s="148"/>
      <c r="R588" s="148"/>
      <c r="S588" s="148"/>
      <c r="T588" s="151"/>
      <c r="U588" t="s">
        <v>613</v>
      </c>
    </row>
    <row r="589" spans="2:21" x14ac:dyDescent="0.2">
      <c r="B589" s="148"/>
      <c r="C589" s="148"/>
      <c r="D589" s="148"/>
      <c r="E589" s="148"/>
      <c r="F589" s="148"/>
      <c r="G589" s="233"/>
      <c r="H589" s="148"/>
      <c r="I589" s="148"/>
      <c r="J589" s="148"/>
      <c r="K589" s="148"/>
      <c r="L589" s="148"/>
      <c r="M589" s="148"/>
      <c r="N589" s="148"/>
      <c r="O589" s="148"/>
      <c r="P589" s="148"/>
      <c r="Q589" s="148"/>
      <c r="R589" s="148"/>
      <c r="S589" s="148"/>
      <c r="T589" s="151"/>
      <c r="U589" t="s">
        <v>613</v>
      </c>
    </row>
    <row r="590" spans="2:21" x14ac:dyDescent="0.2">
      <c r="B590" s="148"/>
      <c r="C590" s="148"/>
      <c r="D590" s="148"/>
      <c r="E590" s="148"/>
      <c r="F590" s="148"/>
      <c r="G590" s="233"/>
      <c r="H590" s="148"/>
      <c r="I590" s="148"/>
      <c r="J590" s="148"/>
      <c r="K590" s="148"/>
      <c r="L590" s="148"/>
      <c r="M590" s="148"/>
      <c r="N590" s="148"/>
      <c r="O590" s="148"/>
      <c r="P590" s="148"/>
      <c r="Q590" s="148"/>
      <c r="R590" s="148"/>
      <c r="S590" s="148"/>
      <c r="T590" s="151"/>
      <c r="U590" t="s">
        <v>613</v>
      </c>
    </row>
    <row r="591" spans="2:21" x14ac:dyDescent="0.2">
      <c r="B591" s="148"/>
      <c r="C591" s="148"/>
      <c r="D591" s="148"/>
      <c r="E591" s="148"/>
      <c r="F591" s="148"/>
      <c r="G591" s="233"/>
      <c r="H591" s="148"/>
      <c r="I591" s="148"/>
      <c r="J591" s="148"/>
      <c r="K591" s="148"/>
      <c r="L591" s="148"/>
      <c r="M591" s="148"/>
      <c r="N591" s="148"/>
      <c r="O591" s="148"/>
      <c r="P591" s="148"/>
      <c r="Q591" s="148"/>
      <c r="R591" s="148"/>
      <c r="S591" s="148"/>
      <c r="T591" s="151"/>
      <c r="U591" t="s">
        <v>613</v>
      </c>
    </row>
    <row r="592" spans="2:21" x14ac:dyDescent="0.2">
      <c r="B592" s="148"/>
      <c r="C592" s="148"/>
      <c r="D592" s="148"/>
      <c r="E592" s="148"/>
      <c r="F592" s="148"/>
      <c r="G592" s="233"/>
      <c r="H592" s="148"/>
      <c r="I592" s="148"/>
      <c r="J592" s="148"/>
      <c r="K592" s="148"/>
      <c r="L592" s="148"/>
      <c r="M592" s="148"/>
      <c r="N592" s="148"/>
      <c r="O592" s="148"/>
      <c r="P592" s="148"/>
      <c r="Q592" s="148"/>
      <c r="R592" s="148"/>
      <c r="S592" s="148"/>
      <c r="T592" s="151"/>
      <c r="U592" t="s">
        <v>613</v>
      </c>
    </row>
    <row r="593" spans="2:21" x14ac:dyDescent="0.2">
      <c r="B593" s="148"/>
      <c r="C593" s="148"/>
      <c r="D593" s="148"/>
      <c r="E593" s="148"/>
      <c r="F593" s="148"/>
      <c r="G593" s="233"/>
      <c r="H593" s="148"/>
      <c r="I593" s="148"/>
      <c r="J593" s="148"/>
      <c r="K593" s="148"/>
      <c r="L593" s="148"/>
      <c r="M593" s="148"/>
      <c r="N593" s="148"/>
      <c r="O593" s="148"/>
      <c r="P593" s="148"/>
      <c r="Q593" s="148"/>
      <c r="R593" s="148"/>
      <c r="S593" s="148"/>
      <c r="T593" s="151"/>
      <c r="U593" t="s">
        <v>613</v>
      </c>
    </row>
    <row r="594" spans="2:21" x14ac:dyDescent="0.2">
      <c r="B594" s="148"/>
      <c r="C594" s="148"/>
      <c r="D594" s="148"/>
      <c r="E594" s="148"/>
      <c r="F594" s="148"/>
      <c r="G594" s="233"/>
      <c r="H594" s="148"/>
      <c r="I594" s="148"/>
      <c r="J594" s="148"/>
      <c r="K594" s="148"/>
      <c r="L594" s="148"/>
      <c r="M594" s="148"/>
      <c r="N594" s="148"/>
      <c r="O594" s="148"/>
      <c r="P594" s="148"/>
      <c r="Q594" s="148"/>
      <c r="R594" s="148"/>
      <c r="S594" s="148"/>
      <c r="T594" s="151"/>
      <c r="U594" t="s">
        <v>613</v>
      </c>
    </row>
    <row r="595" spans="2:21" x14ac:dyDescent="0.2">
      <c r="B595" s="148"/>
      <c r="C595" s="148"/>
      <c r="D595" s="148"/>
      <c r="E595" s="148"/>
      <c r="F595" s="148"/>
      <c r="G595" s="233"/>
      <c r="H595" s="148"/>
      <c r="I595" s="148"/>
      <c r="J595" s="148"/>
      <c r="K595" s="148"/>
      <c r="L595" s="148"/>
      <c r="M595" s="148"/>
      <c r="N595" s="148"/>
      <c r="O595" s="148"/>
      <c r="P595" s="148"/>
      <c r="Q595" s="148"/>
      <c r="R595" s="148"/>
      <c r="S595" s="148"/>
      <c r="T595" s="151"/>
      <c r="U595" t="s">
        <v>613</v>
      </c>
    </row>
    <row r="596" spans="2:21" x14ac:dyDescent="0.2">
      <c r="B596" s="148"/>
      <c r="C596" s="148"/>
      <c r="D596" s="148"/>
      <c r="E596" s="148"/>
      <c r="F596" s="148"/>
      <c r="G596" s="233"/>
      <c r="H596" s="148"/>
      <c r="I596" s="148"/>
      <c r="J596" s="148"/>
      <c r="K596" s="148"/>
      <c r="L596" s="148"/>
      <c r="M596" s="148"/>
      <c r="N596" s="148"/>
      <c r="O596" s="148"/>
      <c r="P596" s="148"/>
      <c r="Q596" s="148"/>
      <c r="R596" s="148"/>
      <c r="S596" s="148"/>
      <c r="T596" s="151"/>
      <c r="U596" t="s">
        <v>613</v>
      </c>
    </row>
    <row r="597" spans="2:21" x14ac:dyDescent="0.2">
      <c r="B597" s="148"/>
      <c r="C597" s="148"/>
      <c r="D597" s="148"/>
      <c r="E597" s="148"/>
      <c r="F597" s="148"/>
      <c r="G597" s="233"/>
      <c r="H597" s="148"/>
      <c r="I597" s="148"/>
      <c r="J597" s="148"/>
      <c r="K597" s="148"/>
      <c r="L597" s="148"/>
      <c r="M597" s="148"/>
      <c r="N597" s="148"/>
      <c r="O597" s="148"/>
      <c r="P597" s="148"/>
      <c r="Q597" s="148"/>
      <c r="R597" s="148"/>
      <c r="S597" s="148"/>
      <c r="T597" s="151"/>
      <c r="U597" t="s">
        <v>613</v>
      </c>
    </row>
    <row r="598" spans="2:21" x14ac:dyDescent="0.2">
      <c r="B598" s="148"/>
      <c r="C598" s="148"/>
      <c r="D598" s="148"/>
      <c r="E598" s="148"/>
      <c r="F598" s="148"/>
      <c r="G598" s="233"/>
      <c r="H598" s="148"/>
      <c r="I598" s="148"/>
      <c r="J598" s="148"/>
      <c r="K598" s="148"/>
      <c r="L598" s="148"/>
      <c r="M598" s="148"/>
      <c r="N598" s="148"/>
      <c r="O598" s="148"/>
      <c r="P598" s="148"/>
      <c r="Q598" s="148"/>
      <c r="R598" s="148"/>
      <c r="S598" s="148"/>
      <c r="T598" s="151"/>
      <c r="U598" t="s">
        <v>613</v>
      </c>
    </row>
    <row r="599" spans="2:21" x14ac:dyDescent="0.2">
      <c r="B599" s="148"/>
      <c r="C599" s="148"/>
      <c r="D599" s="148"/>
      <c r="E599" s="148"/>
      <c r="F599" s="148"/>
      <c r="G599" s="233"/>
      <c r="H599" s="148"/>
      <c r="I599" s="148"/>
      <c r="J599" s="148"/>
      <c r="K599" s="148"/>
      <c r="L599" s="148"/>
      <c r="M599" s="148"/>
      <c r="N599" s="148"/>
      <c r="O599" s="148"/>
      <c r="P599" s="148"/>
      <c r="Q599" s="148"/>
      <c r="R599" s="148"/>
      <c r="S599" s="148"/>
      <c r="T599" s="151"/>
      <c r="U599" t="s">
        <v>613</v>
      </c>
    </row>
    <row r="600" spans="2:21" x14ac:dyDescent="0.2">
      <c r="B600" s="148"/>
      <c r="C600" s="148"/>
      <c r="D600" s="148"/>
      <c r="E600" s="148"/>
      <c r="F600" s="148"/>
      <c r="G600" s="233"/>
      <c r="H600" s="148"/>
      <c r="I600" s="148"/>
      <c r="J600" s="148"/>
      <c r="K600" s="148"/>
      <c r="L600" s="148"/>
      <c r="M600" s="148"/>
      <c r="N600" s="148"/>
      <c r="O600" s="148"/>
      <c r="P600" s="148"/>
      <c r="Q600" s="148"/>
      <c r="R600" s="148"/>
      <c r="S600" s="148"/>
      <c r="T600" s="151"/>
      <c r="U600" t="s">
        <v>613</v>
      </c>
    </row>
    <row r="601" spans="2:21" x14ac:dyDescent="0.2">
      <c r="B601" s="148"/>
      <c r="C601" s="148"/>
      <c r="D601" s="148"/>
      <c r="E601" s="148"/>
      <c r="F601" s="148"/>
      <c r="G601" s="233"/>
      <c r="H601" s="148"/>
      <c r="I601" s="148"/>
      <c r="J601" s="148"/>
      <c r="K601" s="148"/>
      <c r="L601" s="148"/>
      <c r="M601" s="148"/>
      <c r="N601" s="148"/>
      <c r="O601" s="148"/>
      <c r="P601" s="148"/>
      <c r="Q601" s="148"/>
      <c r="R601" s="148"/>
      <c r="S601" s="148"/>
      <c r="T601" s="151"/>
      <c r="U601" t="s">
        <v>613</v>
      </c>
    </row>
    <row r="602" spans="2:21" x14ac:dyDescent="0.2">
      <c r="B602" s="148"/>
      <c r="C602" s="148"/>
      <c r="D602" s="148"/>
      <c r="E602" s="148"/>
      <c r="F602" s="148"/>
      <c r="G602" s="233"/>
      <c r="H602" s="148"/>
      <c r="I602" s="148"/>
      <c r="J602" s="148"/>
      <c r="K602" s="148"/>
      <c r="L602" s="148"/>
      <c r="M602" s="148"/>
      <c r="N602" s="148"/>
      <c r="O602" s="148"/>
      <c r="P602" s="148"/>
      <c r="Q602" s="148"/>
      <c r="R602" s="148"/>
      <c r="S602" s="148"/>
      <c r="T602" s="151"/>
      <c r="U602" t="s">
        <v>613</v>
      </c>
    </row>
    <row r="603" spans="2:21" x14ac:dyDescent="0.2">
      <c r="B603" s="148"/>
      <c r="C603" s="148"/>
      <c r="D603" s="148"/>
      <c r="E603" s="148"/>
      <c r="F603" s="148"/>
      <c r="G603" s="233"/>
      <c r="H603" s="148"/>
      <c r="I603" s="148"/>
      <c r="J603" s="148"/>
      <c r="K603" s="148"/>
      <c r="L603" s="148"/>
      <c r="M603" s="148"/>
      <c r="N603" s="148"/>
      <c r="O603" s="148"/>
      <c r="P603" s="148"/>
      <c r="Q603" s="148"/>
      <c r="R603" s="148"/>
      <c r="S603" s="148"/>
      <c r="T603" s="151"/>
      <c r="U603" t="s">
        <v>613</v>
      </c>
    </row>
    <row r="604" spans="2:21" x14ac:dyDescent="0.2">
      <c r="B604" s="148"/>
      <c r="C604" s="148"/>
      <c r="D604" s="148"/>
      <c r="E604" s="148"/>
      <c r="F604" s="148"/>
      <c r="G604" s="233"/>
      <c r="H604" s="148"/>
      <c r="I604" s="148"/>
      <c r="J604" s="148"/>
      <c r="K604" s="148"/>
      <c r="L604" s="148"/>
      <c r="M604" s="148"/>
      <c r="N604" s="148"/>
      <c r="O604" s="148"/>
      <c r="P604" s="148"/>
      <c r="Q604" s="148"/>
      <c r="R604" s="148"/>
      <c r="S604" s="148"/>
      <c r="T604" s="151"/>
      <c r="U604" t="s">
        <v>613</v>
      </c>
    </row>
    <row r="605" spans="2:21" x14ac:dyDescent="0.2">
      <c r="B605" s="148"/>
      <c r="C605" s="148"/>
      <c r="D605" s="148"/>
      <c r="E605" s="148"/>
      <c r="F605" s="148"/>
      <c r="G605" s="233"/>
      <c r="H605" s="148"/>
      <c r="I605" s="148"/>
      <c r="J605" s="148"/>
      <c r="K605" s="148"/>
      <c r="L605" s="148"/>
      <c r="M605" s="148"/>
      <c r="N605" s="148"/>
      <c r="O605" s="148"/>
      <c r="P605" s="148"/>
      <c r="Q605" s="148"/>
      <c r="R605" s="148"/>
      <c r="S605" s="148"/>
      <c r="T605" s="151"/>
      <c r="U605" t="s">
        <v>613</v>
      </c>
    </row>
    <row r="606" spans="2:21" x14ac:dyDescent="0.2">
      <c r="B606" s="148"/>
      <c r="C606" s="148"/>
      <c r="D606" s="148"/>
      <c r="E606" s="148"/>
      <c r="F606" s="148"/>
      <c r="G606" s="233"/>
      <c r="H606" s="148"/>
      <c r="I606" s="148"/>
      <c r="J606" s="148"/>
      <c r="K606" s="148"/>
      <c r="L606" s="148"/>
      <c r="M606" s="148"/>
      <c r="N606" s="148"/>
      <c r="O606" s="148"/>
      <c r="P606" s="148"/>
      <c r="Q606" s="148"/>
      <c r="R606" s="148"/>
      <c r="S606" s="148"/>
      <c r="T606" s="151"/>
      <c r="U606" t="s">
        <v>613</v>
      </c>
    </row>
    <row r="607" spans="2:21" x14ac:dyDescent="0.2">
      <c r="B607" s="148"/>
      <c r="C607" s="148"/>
      <c r="D607" s="148"/>
      <c r="E607" s="148"/>
      <c r="F607" s="148"/>
      <c r="G607" s="233"/>
      <c r="H607" s="148"/>
      <c r="I607" s="148"/>
      <c r="J607" s="148"/>
      <c r="K607" s="148"/>
      <c r="L607" s="148"/>
      <c r="M607" s="148"/>
      <c r="N607" s="148"/>
      <c r="O607" s="148"/>
      <c r="P607" s="148"/>
      <c r="Q607" s="148"/>
      <c r="R607" s="148"/>
      <c r="S607" s="148"/>
      <c r="T607" s="151"/>
      <c r="U607" t="s">
        <v>613</v>
      </c>
    </row>
    <row r="608" spans="2:21" x14ac:dyDescent="0.2">
      <c r="B608" s="148"/>
      <c r="C608" s="148"/>
      <c r="D608" s="148"/>
      <c r="E608" s="148"/>
      <c r="F608" s="148"/>
      <c r="G608" s="233"/>
      <c r="H608" s="148"/>
      <c r="I608" s="148"/>
      <c r="J608" s="148"/>
      <c r="K608" s="148"/>
      <c r="L608" s="148"/>
      <c r="M608" s="148"/>
      <c r="N608" s="148"/>
      <c r="O608" s="148"/>
      <c r="P608" s="148"/>
      <c r="Q608" s="148"/>
      <c r="R608" s="148"/>
      <c r="S608" s="148"/>
      <c r="T608" s="151"/>
      <c r="U608" t="s">
        <v>613</v>
      </c>
    </row>
    <row r="609" spans="2:21" x14ac:dyDescent="0.2">
      <c r="B609" s="148"/>
      <c r="C609" s="148"/>
      <c r="D609" s="148"/>
      <c r="E609" s="148"/>
      <c r="F609" s="148"/>
      <c r="G609" s="233"/>
      <c r="H609" s="148"/>
      <c r="I609" s="148"/>
      <c r="J609" s="148"/>
      <c r="K609" s="148"/>
      <c r="L609" s="148"/>
      <c r="M609" s="148"/>
      <c r="N609" s="148"/>
      <c r="O609" s="148"/>
      <c r="P609" s="148"/>
      <c r="Q609" s="148"/>
      <c r="R609" s="148"/>
      <c r="S609" s="148"/>
      <c r="T609" s="151"/>
      <c r="U609" t="s">
        <v>613</v>
      </c>
    </row>
    <row r="610" spans="2:21" x14ac:dyDescent="0.2">
      <c r="B610" s="148"/>
      <c r="C610" s="148"/>
      <c r="D610" s="148"/>
      <c r="E610" s="148"/>
      <c r="F610" s="148"/>
      <c r="G610" s="233"/>
      <c r="H610" s="148"/>
      <c r="I610" s="148"/>
      <c r="J610" s="148"/>
      <c r="K610" s="148"/>
      <c r="L610" s="148"/>
      <c r="M610" s="148"/>
      <c r="N610" s="148"/>
      <c r="O610" s="148"/>
      <c r="P610" s="148"/>
      <c r="Q610" s="148"/>
      <c r="R610" s="148"/>
      <c r="S610" s="148"/>
      <c r="T610" s="151"/>
      <c r="U610" t="s">
        <v>613</v>
      </c>
    </row>
    <row r="611" spans="2:21" x14ac:dyDescent="0.2">
      <c r="B611" s="148"/>
      <c r="C611" s="148"/>
      <c r="D611" s="148"/>
      <c r="E611" s="148"/>
      <c r="F611" s="148"/>
      <c r="G611" s="233"/>
      <c r="H611" s="148"/>
      <c r="I611" s="148"/>
      <c r="J611" s="148"/>
      <c r="K611" s="148"/>
      <c r="L611" s="148"/>
      <c r="M611" s="148"/>
      <c r="N611" s="148"/>
      <c r="O611" s="148"/>
      <c r="P611" s="148"/>
      <c r="Q611" s="148"/>
      <c r="R611" s="148"/>
      <c r="S611" s="148"/>
      <c r="T611" s="151"/>
      <c r="U611" t="s">
        <v>613</v>
      </c>
    </row>
    <row r="612" spans="2:21" x14ac:dyDescent="0.2">
      <c r="B612" s="148"/>
      <c r="C612" s="148"/>
      <c r="D612" s="148"/>
      <c r="E612" s="148"/>
      <c r="F612" s="148"/>
      <c r="G612" s="233"/>
      <c r="H612" s="148"/>
      <c r="I612" s="148"/>
      <c r="J612" s="148"/>
      <c r="K612" s="148"/>
      <c r="L612" s="148"/>
      <c r="M612" s="148"/>
      <c r="N612" s="148"/>
      <c r="O612" s="148"/>
      <c r="P612" s="148"/>
      <c r="Q612" s="148"/>
      <c r="R612" s="148"/>
      <c r="S612" s="148"/>
      <c r="T612" s="151"/>
      <c r="U612" t="s">
        <v>613</v>
      </c>
    </row>
    <row r="613" spans="2:21" x14ac:dyDescent="0.2">
      <c r="B613" s="148"/>
      <c r="C613" s="148"/>
      <c r="D613" s="148"/>
      <c r="E613" s="148"/>
      <c r="F613" s="148"/>
      <c r="G613" s="233"/>
      <c r="H613" s="148"/>
      <c r="I613" s="148"/>
      <c r="J613" s="148"/>
      <c r="K613" s="148"/>
      <c r="L613" s="148"/>
      <c r="M613" s="148"/>
      <c r="N613" s="148"/>
      <c r="O613" s="148"/>
      <c r="P613" s="148"/>
      <c r="Q613" s="148"/>
      <c r="R613" s="148"/>
      <c r="S613" s="148"/>
      <c r="T613" s="151"/>
      <c r="U613" t="s">
        <v>613</v>
      </c>
    </row>
    <row r="614" spans="2:21" x14ac:dyDescent="0.2">
      <c r="B614" s="148"/>
      <c r="C614" s="148"/>
      <c r="D614" s="148"/>
      <c r="E614" s="148"/>
      <c r="F614" s="148"/>
      <c r="G614" s="233"/>
      <c r="H614" s="148"/>
      <c r="I614" s="148"/>
      <c r="J614" s="148"/>
      <c r="K614" s="148"/>
      <c r="L614" s="148"/>
      <c r="M614" s="148"/>
      <c r="N614" s="148"/>
      <c r="O614" s="148"/>
      <c r="P614" s="148"/>
      <c r="Q614" s="148"/>
      <c r="R614" s="148"/>
      <c r="S614" s="148"/>
      <c r="T614" s="151"/>
      <c r="U614" t="s">
        <v>613</v>
      </c>
    </row>
    <row r="615" spans="2:21" x14ac:dyDescent="0.2">
      <c r="B615" s="148"/>
      <c r="C615" s="148"/>
      <c r="D615" s="148"/>
      <c r="E615" s="148"/>
      <c r="F615" s="148"/>
      <c r="G615" s="233"/>
      <c r="H615" s="148"/>
      <c r="I615" s="148"/>
      <c r="J615" s="148"/>
      <c r="K615" s="148"/>
      <c r="L615" s="148"/>
      <c r="M615" s="148"/>
      <c r="N615" s="148"/>
      <c r="O615" s="148"/>
      <c r="P615" s="148"/>
      <c r="Q615" s="148"/>
      <c r="R615" s="148"/>
      <c r="S615" s="148"/>
      <c r="T615" s="151"/>
      <c r="U615" t="s">
        <v>613</v>
      </c>
    </row>
    <row r="616" spans="2:21" x14ac:dyDescent="0.2">
      <c r="B616" s="148"/>
      <c r="C616" s="148"/>
      <c r="D616" s="148"/>
      <c r="E616" s="148"/>
      <c r="F616" s="148"/>
      <c r="G616" s="233"/>
      <c r="H616" s="148"/>
      <c r="I616" s="148"/>
      <c r="J616" s="148"/>
      <c r="K616" s="148"/>
      <c r="L616" s="148"/>
      <c r="M616" s="148"/>
      <c r="N616" s="148"/>
      <c r="O616" s="148"/>
      <c r="P616" s="148"/>
      <c r="Q616" s="148"/>
      <c r="R616" s="148"/>
      <c r="S616" s="148"/>
      <c r="T616" s="151"/>
      <c r="U616" t="s">
        <v>613</v>
      </c>
    </row>
    <row r="617" spans="2:21" x14ac:dyDescent="0.2">
      <c r="B617" s="148"/>
      <c r="C617" s="148"/>
      <c r="D617" s="148"/>
      <c r="E617" s="148"/>
      <c r="F617" s="148"/>
      <c r="G617" s="233"/>
      <c r="H617" s="148"/>
      <c r="I617" s="148"/>
      <c r="J617" s="148"/>
      <c r="K617" s="148"/>
      <c r="L617" s="148"/>
      <c r="M617" s="148"/>
      <c r="N617" s="148"/>
      <c r="O617" s="148"/>
      <c r="P617" s="148"/>
      <c r="Q617" s="148"/>
      <c r="R617" s="148"/>
      <c r="S617" s="148"/>
      <c r="T617" s="151"/>
      <c r="U617" t="s">
        <v>613</v>
      </c>
    </row>
    <row r="618" spans="2:21" x14ac:dyDescent="0.2">
      <c r="B618" s="148"/>
      <c r="C618" s="148"/>
      <c r="D618" s="148"/>
      <c r="E618" s="148"/>
      <c r="F618" s="148"/>
      <c r="G618" s="233"/>
      <c r="H618" s="148"/>
      <c r="I618" s="148"/>
      <c r="J618" s="148"/>
      <c r="K618" s="148"/>
      <c r="L618" s="148"/>
      <c r="M618" s="148"/>
      <c r="N618" s="148"/>
      <c r="O618" s="148"/>
      <c r="P618" s="148"/>
      <c r="Q618" s="148"/>
      <c r="R618" s="148"/>
      <c r="S618" s="148"/>
      <c r="T618" s="151"/>
      <c r="U618" t="s">
        <v>613</v>
      </c>
    </row>
    <row r="619" spans="2:21" x14ac:dyDescent="0.2">
      <c r="B619" s="148"/>
      <c r="C619" s="148"/>
      <c r="D619" s="148"/>
      <c r="E619" s="148"/>
      <c r="F619" s="148"/>
      <c r="G619" s="233"/>
      <c r="H619" s="148"/>
      <c r="I619" s="148"/>
      <c r="J619" s="148"/>
      <c r="K619" s="148"/>
      <c r="L619" s="148"/>
      <c r="M619" s="148"/>
      <c r="N619" s="148"/>
      <c r="O619" s="148"/>
      <c r="P619" s="148"/>
      <c r="Q619" s="148"/>
      <c r="R619" s="148"/>
      <c r="S619" s="148"/>
      <c r="T619" s="151"/>
      <c r="U619" t="s">
        <v>613</v>
      </c>
    </row>
    <row r="620" spans="2:21" x14ac:dyDescent="0.2">
      <c r="B620" s="148"/>
      <c r="C620" s="148"/>
      <c r="D620" s="148"/>
      <c r="E620" s="148"/>
      <c r="F620" s="148"/>
      <c r="G620" s="233"/>
      <c r="H620" s="148"/>
      <c r="I620" s="148"/>
      <c r="J620" s="148"/>
      <c r="K620" s="148"/>
      <c r="L620" s="148"/>
      <c r="M620" s="148"/>
      <c r="N620" s="148"/>
      <c r="O620" s="148"/>
      <c r="P620" s="148"/>
      <c r="Q620" s="148"/>
      <c r="R620" s="148"/>
      <c r="S620" s="148"/>
      <c r="T620" s="151"/>
      <c r="U620" t="s">
        <v>613</v>
      </c>
    </row>
    <row r="621" spans="2:21" x14ac:dyDescent="0.2">
      <c r="B621" s="148"/>
      <c r="C621" s="148"/>
      <c r="D621" s="148"/>
      <c r="E621" s="148"/>
      <c r="F621" s="148"/>
      <c r="G621" s="233"/>
      <c r="H621" s="148"/>
      <c r="I621" s="148"/>
      <c r="J621" s="148"/>
      <c r="K621" s="148"/>
      <c r="L621" s="148"/>
      <c r="M621" s="148"/>
      <c r="N621" s="148"/>
      <c r="O621" s="148"/>
      <c r="P621" s="148"/>
      <c r="Q621" s="148"/>
      <c r="R621" s="148"/>
      <c r="S621" s="148"/>
      <c r="T621" s="151"/>
      <c r="U621" t="s">
        <v>613</v>
      </c>
    </row>
    <row r="622" spans="2:21" x14ac:dyDescent="0.2">
      <c r="B622" s="148"/>
      <c r="C622" s="148"/>
      <c r="D622" s="148"/>
      <c r="E622" s="148"/>
      <c r="F622" s="148"/>
      <c r="G622" s="233"/>
      <c r="H622" s="148"/>
      <c r="I622" s="148"/>
      <c r="J622" s="148"/>
      <c r="K622" s="148"/>
      <c r="L622" s="148"/>
      <c r="M622" s="148"/>
      <c r="N622" s="148"/>
      <c r="O622" s="148"/>
      <c r="P622" s="148"/>
      <c r="Q622" s="148"/>
      <c r="R622" s="148"/>
      <c r="S622" s="148"/>
      <c r="T622" s="151"/>
      <c r="U622" t="s">
        <v>613</v>
      </c>
    </row>
    <row r="623" spans="2:21" x14ac:dyDescent="0.2">
      <c r="B623" s="148"/>
      <c r="C623" s="148"/>
      <c r="D623" s="148"/>
      <c r="E623" s="148"/>
      <c r="F623" s="148"/>
      <c r="G623" s="233"/>
      <c r="H623" s="148"/>
      <c r="I623" s="148"/>
      <c r="J623" s="148"/>
      <c r="K623" s="148"/>
      <c r="L623" s="148"/>
      <c r="M623" s="148"/>
      <c r="N623" s="148"/>
      <c r="O623" s="148"/>
      <c r="P623" s="148"/>
      <c r="Q623" s="148"/>
      <c r="R623" s="148"/>
      <c r="S623" s="148"/>
      <c r="T623" s="151"/>
      <c r="U623" t="s">
        <v>613</v>
      </c>
    </row>
    <row r="624" spans="2:21" x14ac:dyDescent="0.2">
      <c r="B624" s="148"/>
      <c r="C624" s="148"/>
      <c r="D624" s="148"/>
      <c r="E624" s="148"/>
      <c r="F624" s="148"/>
      <c r="G624" s="233"/>
      <c r="H624" s="148"/>
      <c r="I624" s="148"/>
      <c r="J624" s="148"/>
      <c r="K624" s="148"/>
      <c r="L624" s="148"/>
      <c r="M624" s="148"/>
      <c r="N624" s="148"/>
      <c r="O624" s="148"/>
      <c r="P624" s="148"/>
      <c r="Q624" s="148"/>
      <c r="R624" s="148"/>
      <c r="S624" s="148"/>
      <c r="T624" s="151"/>
      <c r="U624" t="s">
        <v>613</v>
      </c>
    </row>
    <row r="625" spans="2:21" x14ac:dyDescent="0.2">
      <c r="B625" s="148"/>
      <c r="C625" s="148"/>
      <c r="D625" s="148"/>
      <c r="E625" s="148"/>
      <c r="F625" s="148"/>
      <c r="G625" s="233"/>
      <c r="H625" s="148"/>
      <c r="I625" s="148"/>
      <c r="J625" s="148"/>
      <c r="K625" s="148"/>
      <c r="L625" s="148"/>
      <c r="M625" s="148"/>
      <c r="N625" s="148"/>
      <c r="O625" s="148"/>
      <c r="P625" s="148"/>
      <c r="Q625" s="148"/>
      <c r="R625" s="148"/>
      <c r="S625" s="148"/>
      <c r="T625" s="151"/>
      <c r="U625" t="s">
        <v>613</v>
      </c>
    </row>
    <row r="626" spans="2:21" x14ac:dyDescent="0.2">
      <c r="B626" s="148"/>
      <c r="C626" s="148"/>
      <c r="D626" s="148"/>
      <c r="E626" s="148"/>
      <c r="F626" s="148"/>
      <c r="G626" s="233"/>
      <c r="H626" s="148"/>
      <c r="I626" s="148"/>
      <c r="J626" s="148"/>
      <c r="K626" s="148"/>
      <c r="L626" s="148"/>
      <c r="M626" s="148"/>
      <c r="N626" s="148"/>
      <c r="O626" s="148"/>
      <c r="P626" s="148"/>
      <c r="Q626" s="148"/>
      <c r="R626" s="148"/>
      <c r="S626" s="148"/>
      <c r="T626" s="151"/>
      <c r="U626" t="s">
        <v>613</v>
      </c>
    </row>
    <row r="627" spans="2:21" x14ac:dyDescent="0.2">
      <c r="B627" s="148"/>
      <c r="C627" s="148"/>
      <c r="D627" s="148"/>
      <c r="E627" s="148"/>
      <c r="F627" s="148"/>
      <c r="G627" s="233"/>
      <c r="H627" s="148"/>
      <c r="I627" s="148"/>
      <c r="J627" s="148"/>
      <c r="K627" s="148"/>
      <c r="L627" s="148"/>
      <c r="M627" s="148"/>
      <c r="N627" s="148"/>
      <c r="O627" s="148"/>
      <c r="P627" s="148"/>
      <c r="Q627" s="148"/>
      <c r="R627" s="148"/>
      <c r="S627" s="148"/>
      <c r="T627" s="151"/>
      <c r="U627" t="s">
        <v>613</v>
      </c>
    </row>
    <row r="628" spans="2:21" x14ac:dyDescent="0.2">
      <c r="B628" s="148"/>
      <c r="C628" s="148"/>
      <c r="D628" s="148"/>
      <c r="E628" s="148"/>
      <c r="F628" s="148"/>
      <c r="G628" s="233"/>
      <c r="H628" s="148"/>
      <c r="I628" s="148"/>
      <c r="J628" s="148"/>
      <c r="K628" s="148"/>
      <c r="L628" s="148"/>
      <c r="M628" s="148"/>
      <c r="N628" s="148"/>
      <c r="O628" s="148"/>
      <c r="P628" s="148"/>
      <c r="Q628" s="148"/>
      <c r="R628" s="148"/>
      <c r="S628" s="148"/>
      <c r="T628" s="151"/>
      <c r="U628" t="s">
        <v>613</v>
      </c>
    </row>
    <row r="629" spans="2:21" x14ac:dyDescent="0.2">
      <c r="B629" s="148"/>
      <c r="C629" s="148"/>
      <c r="D629" s="148"/>
      <c r="E629" s="148"/>
      <c r="F629" s="148"/>
      <c r="G629" s="233"/>
      <c r="H629" s="148"/>
      <c r="I629" s="148"/>
      <c r="J629" s="148"/>
      <c r="K629" s="148"/>
      <c r="L629" s="148"/>
      <c r="M629" s="148"/>
      <c r="N629" s="148"/>
      <c r="O629" s="148"/>
      <c r="P629" s="148"/>
      <c r="Q629" s="148"/>
      <c r="R629" s="148"/>
      <c r="S629" s="148"/>
      <c r="T629" s="151"/>
      <c r="U629" t="s">
        <v>613</v>
      </c>
    </row>
    <row r="630" spans="2:21" x14ac:dyDescent="0.2">
      <c r="B630" s="148"/>
      <c r="C630" s="148"/>
      <c r="D630" s="148"/>
      <c r="E630" s="148"/>
      <c r="F630" s="148"/>
      <c r="G630" s="233"/>
      <c r="H630" s="148"/>
      <c r="I630" s="148"/>
      <c r="J630" s="148"/>
      <c r="K630" s="148"/>
      <c r="L630" s="148"/>
      <c r="M630" s="148"/>
      <c r="N630" s="148"/>
      <c r="O630" s="148"/>
      <c r="P630" s="148"/>
      <c r="Q630" s="148"/>
      <c r="R630" s="148"/>
      <c r="S630" s="148"/>
      <c r="T630" s="151"/>
      <c r="U630" t="s">
        <v>613</v>
      </c>
    </row>
    <row r="631" spans="2:21" x14ac:dyDescent="0.2">
      <c r="B631" s="148"/>
      <c r="C631" s="148"/>
      <c r="D631" s="148"/>
      <c r="E631" s="148"/>
      <c r="F631" s="148"/>
      <c r="G631" s="233"/>
      <c r="H631" s="148"/>
      <c r="I631" s="148"/>
      <c r="J631" s="148"/>
      <c r="K631" s="148"/>
      <c r="L631" s="148"/>
      <c r="M631" s="148"/>
      <c r="N631" s="148"/>
      <c r="O631" s="148"/>
      <c r="P631" s="148"/>
      <c r="Q631" s="148"/>
      <c r="R631" s="148"/>
      <c r="S631" s="148"/>
      <c r="T631" s="151"/>
      <c r="U631" t="s">
        <v>613</v>
      </c>
    </row>
    <row r="632" spans="2:21" x14ac:dyDescent="0.2">
      <c r="B632" s="148"/>
      <c r="C632" s="148"/>
      <c r="D632" s="148"/>
      <c r="E632" s="148"/>
      <c r="F632" s="148"/>
      <c r="G632" s="233"/>
      <c r="H632" s="148"/>
      <c r="I632" s="148"/>
      <c r="J632" s="148"/>
      <c r="K632" s="148"/>
      <c r="L632" s="148"/>
      <c r="M632" s="148"/>
      <c r="N632" s="148"/>
      <c r="O632" s="148"/>
      <c r="P632" s="148"/>
      <c r="Q632" s="148"/>
      <c r="R632" s="148"/>
      <c r="S632" s="148"/>
      <c r="T632" s="151"/>
      <c r="U632" t="s">
        <v>613</v>
      </c>
    </row>
    <row r="633" spans="2:21" x14ac:dyDescent="0.2">
      <c r="B633" s="148"/>
      <c r="C633" s="148"/>
      <c r="D633" s="148"/>
      <c r="E633" s="148"/>
      <c r="F633" s="148"/>
      <c r="G633" s="233"/>
      <c r="H633" s="148"/>
      <c r="I633" s="148"/>
      <c r="J633" s="148"/>
      <c r="K633" s="148"/>
      <c r="L633" s="148"/>
      <c r="M633" s="148"/>
      <c r="N633" s="148"/>
      <c r="O633" s="148"/>
      <c r="P633" s="148"/>
      <c r="Q633" s="148"/>
      <c r="R633" s="148"/>
      <c r="S633" s="148"/>
      <c r="T633" s="151"/>
      <c r="U633" t="s">
        <v>613</v>
      </c>
    </row>
    <row r="634" spans="2:21" x14ac:dyDescent="0.2">
      <c r="B634" s="148"/>
      <c r="C634" s="148"/>
      <c r="D634" s="148"/>
      <c r="E634" s="148"/>
      <c r="F634" s="148"/>
      <c r="G634" s="233"/>
      <c r="H634" s="148"/>
      <c r="I634" s="148"/>
      <c r="J634" s="148"/>
      <c r="K634" s="148"/>
      <c r="L634" s="148"/>
      <c r="M634" s="148"/>
      <c r="N634" s="148"/>
      <c r="O634" s="148"/>
      <c r="P634" s="148"/>
      <c r="Q634" s="148"/>
      <c r="R634" s="148"/>
      <c r="S634" s="148"/>
      <c r="T634" s="151"/>
      <c r="U634" t="s">
        <v>613</v>
      </c>
    </row>
    <row r="635" spans="2:21" x14ac:dyDescent="0.2">
      <c r="B635" s="148"/>
      <c r="C635" s="148"/>
      <c r="D635" s="148"/>
      <c r="E635" s="148"/>
      <c r="F635" s="148"/>
      <c r="G635" s="233"/>
      <c r="H635" s="148"/>
      <c r="I635" s="148"/>
      <c r="J635" s="148"/>
      <c r="K635" s="148"/>
      <c r="L635" s="148"/>
      <c r="M635" s="148"/>
      <c r="N635" s="148"/>
      <c r="O635" s="148"/>
      <c r="P635" s="148"/>
      <c r="Q635" s="148"/>
      <c r="R635" s="148"/>
      <c r="S635" s="148"/>
      <c r="T635" s="151"/>
      <c r="U635" t="s">
        <v>613</v>
      </c>
    </row>
    <row r="636" spans="2:21" x14ac:dyDescent="0.2">
      <c r="B636" s="148"/>
      <c r="C636" s="148"/>
      <c r="D636" s="148"/>
      <c r="E636" s="148"/>
      <c r="F636" s="148"/>
      <c r="G636" s="233"/>
      <c r="H636" s="148"/>
      <c r="I636" s="148"/>
      <c r="J636" s="148"/>
      <c r="K636" s="148"/>
      <c r="L636" s="148"/>
      <c r="M636" s="148"/>
      <c r="N636" s="148"/>
      <c r="O636" s="148"/>
      <c r="P636" s="148"/>
      <c r="Q636" s="148"/>
      <c r="R636" s="148"/>
      <c r="S636" s="148"/>
      <c r="T636" s="151"/>
      <c r="U636" t="s">
        <v>613</v>
      </c>
    </row>
    <row r="637" spans="2:21" x14ac:dyDescent="0.2">
      <c r="B637" s="148"/>
      <c r="C637" s="148"/>
      <c r="D637" s="148"/>
      <c r="E637" s="148"/>
      <c r="F637" s="148"/>
      <c r="G637" s="233"/>
      <c r="H637" s="148"/>
      <c r="I637" s="148"/>
      <c r="J637" s="148"/>
      <c r="K637" s="148"/>
      <c r="L637" s="148"/>
      <c r="M637" s="148"/>
      <c r="N637" s="148"/>
      <c r="O637" s="148"/>
      <c r="P637" s="148"/>
      <c r="Q637" s="148"/>
      <c r="R637" s="148"/>
      <c r="S637" s="148"/>
      <c r="T637" s="151"/>
      <c r="U637" t="s">
        <v>613</v>
      </c>
    </row>
    <row r="638" spans="2:21" x14ac:dyDescent="0.2">
      <c r="B638" s="148"/>
      <c r="C638" s="148"/>
      <c r="D638" s="148"/>
      <c r="E638" s="148"/>
      <c r="F638" s="148"/>
      <c r="G638" s="233"/>
      <c r="H638" s="148"/>
      <c r="I638" s="148"/>
      <c r="J638" s="148"/>
      <c r="K638" s="148"/>
      <c r="L638" s="148"/>
      <c r="M638" s="148"/>
      <c r="N638" s="148"/>
      <c r="O638" s="148"/>
      <c r="P638" s="148"/>
      <c r="Q638" s="148"/>
      <c r="R638" s="148"/>
      <c r="S638" s="148"/>
      <c r="T638" s="151"/>
      <c r="U638" t="s">
        <v>613</v>
      </c>
    </row>
    <row r="639" spans="2:21" x14ac:dyDescent="0.2">
      <c r="B639" s="148"/>
      <c r="C639" s="148"/>
      <c r="D639" s="148"/>
      <c r="E639" s="148"/>
      <c r="F639" s="148"/>
      <c r="G639" s="233"/>
      <c r="H639" s="148"/>
      <c r="I639" s="148"/>
      <c r="J639" s="148"/>
      <c r="K639" s="148"/>
      <c r="L639" s="148"/>
      <c r="M639" s="148"/>
      <c r="N639" s="148"/>
      <c r="O639" s="148"/>
      <c r="P639" s="148"/>
      <c r="Q639" s="148"/>
      <c r="R639" s="148"/>
      <c r="S639" s="148"/>
      <c r="T639" s="151"/>
      <c r="U639" t="s">
        <v>613</v>
      </c>
    </row>
    <row r="640" spans="2:21" x14ac:dyDescent="0.2">
      <c r="B640" s="148"/>
      <c r="C640" s="148"/>
      <c r="D640" s="148"/>
      <c r="E640" s="148"/>
      <c r="F640" s="148"/>
      <c r="G640" s="233"/>
      <c r="H640" s="148"/>
      <c r="I640" s="148"/>
      <c r="J640" s="148"/>
      <c r="K640" s="148"/>
      <c r="L640" s="148"/>
      <c r="M640" s="148"/>
      <c r="N640" s="148"/>
      <c r="O640" s="148"/>
      <c r="P640" s="148"/>
      <c r="Q640" s="148"/>
      <c r="R640" s="148"/>
      <c r="S640" s="148"/>
      <c r="T640" s="151"/>
      <c r="U640" t="s">
        <v>613</v>
      </c>
    </row>
    <row r="641" spans="2:21" x14ac:dyDescent="0.2">
      <c r="B641" s="148"/>
      <c r="C641" s="148"/>
      <c r="D641" s="148"/>
      <c r="E641" s="148"/>
      <c r="F641" s="148"/>
      <c r="G641" s="233"/>
      <c r="H641" s="148"/>
      <c r="I641" s="148"/>
      <c r="J641" s="148"/>
      <c r="K641" s="148"/>
      <c r="L641" s="148"/>
      <c r="M641" s="148"/>
      <c r="N641" s="148"/>
      <c r="O641" s="148"/>
      <c r="P641" s="148"/>
      <c r="Q641" s="148"/>
      <c r="R641" s="148"/>
      <c r="S641" s="148"/>
      <c r="T641" s="151"/>
      <c r="U641" t="s">
        <v>613</v>
      </c>
    </row>
    <row r="642" spans="2:21" x14ac:dyDescent="0.2">
      <c r="B642" s="148"/>
      <c r="C642" s="148"/>
      <c r="D642" s="148"/>
      <c r="E642" s="148"/>
      <c r="F642" s="148"/>
      <c r="G642" s="233"/>
      <c r="H642" s="148"/>
      <c r="I642" s="148"/>
      <c r="J642" s="148"/>
      <c r="K642" s="148"/>
      <c r="L642" s="148"/>
      <c r="M642" s="148"/>
      <c r="N642" s="148"/>
      <c r="O642" s="148"/>
      <c r="P642" s="148"/>
      <c r="Q642" s="148"/>
      <c r="R642" s="148"/>
      <c r="S642" s="148"/>
      <c r="T642" s="151"/>
      <c r="U642" t="s">
        <v>613</v>
      </c>
    </row>
    <row r="643" spans="2:21" x14ac:dyDescent="0.2">
      <c r="B643" s="148"/>
      <c r="C643" s="148"/>
      <c r="D643" s="148"/>
      <c r="E643" s="148"/>
      <c r="F643" s="148"/>
      <c r="G643" s="233"/>
      <c r="H643" s="148"/>
      <c r="I643" s="148"/>
      <c r="J643" s="148"/>
      <c r="K643" s="148"/>
      <c r="L643" s="148"/>
      <c r="M643" s="148"/>
      <c r="N643" s="148"/>
      <c r="O643" s="148"/>
      <c r="P643" s="148"/>
      <c r="Q643" s="148"/>
      <c r="R643" s="148"/>
      <c r="S643" s="148"/>
      <c r="T643" s="151"/>
      <c r="U643" t="s">
        <v>613</v>
      </c>
    </row>
    <row r="644" spans="2:21" x14ac:dyDescent="0.2">
      <c r="B644" s="148"/>
      <c r="C644" s="148"/>
      <c r="D644" s="148"/>
      <c r="E644" s="148"/>
      <c r="F644" s="148"/>
      <c r="G644" s="233"/>
      <c r="H644" s="148"/>
      <c r="I644" s="148"/>
      <c r="J644" s="148"/>
      <c r="K644" s="148"/>
      <c r="L644" s="148"/>
      <c r="M644" s="148"/>
      <c r="N644" s="148"/>
      <c r="O644" s="148"/>
      <c r="P644" s="148"/>
      <c r="Q644" s="148"/>
      <c r="R644" s="148"/>
      <c r="S644" s="148"/>
      <c r="T644" s="151"/>
      <c r="U644" t="s">
        <v>613</v>
      </c>
    </row>
    <row r="645" spans="2:21" x14ac:dyDescent="0.2">
      <c r="B645" s="148"/>
      <c r="C645" s="148"/>
      <c r="D645" s="148"/>
      <c r="E645" s="148"/>
      <c r="F645" s="148"/>
      <c r="G645" s="233"/>
      <c r="H645" s="148"/>
      <c r="I645" s="148"/>
      <c r="J645" s="148"/>
      <c r="K645" s="148"/>
      <c r="L645" s="148"/>
      <c r="M645" s="148"/>
      <c r="N645" s="148"/>
      <c r="O645" s="148"/>
      <c r="P645" s="148"/>
      <c r="Q645" s="148"/>
      <c r="R645" s="148"/>
      <c r="S645" s="148"/>
      <c r="T645" s="151"/>
      <c r="U645" t="s">
        <v>613</v>
      </c>
    </row>
    <row r="646" spans="2:21" x14ac:dyDescent="0.2">
      <c r="B646" s="148"/>
      <c r="C646" s="148"/>
      <c r="D646" s="148"/>
      <c r="E646" s="148"/>
      <c r="F646" s="148"/>
      <c r="G646" s="233"/>
      <c r="H646" s="148"/>
      <c r="I646" s="148"/>
      <c r="J646" s="148"/>
      <c r="K646" s="148"/>
      <c r="L646" s="148"/>
      <c r="M646" s="148"/>
      <c r="N646" s="148"/>
      <c r="O646" s="148"/>
      <c r="P646" s="148"/>
      <c r="Q646" s="148"/>
      <c r="R646" s="148"/>
      <c r="S646" s="148"/>
      <c r="T646" s="151"/>
      <c r="U646" t="s">
        <v>613</v>
      </c>
    </row>
    <row r="647" spans="2:21" x14ac:dyDescent="0.2">
      <c r="B647" s="148"/>
      <c r="C647" s="148"/>
      <c r="D647" s="148"/>
      <c r="E647" s="148"/>
      <c r="F647" s="148"/>
      <c r="G647" s="233"/>
      <c r="H647" s="148"/>
      <c r="I647" s="148"/>
      <c r="J647" s="148"/>
      <c r="K647" s="148"/>
      <c r="L647" s="148"/>
      <c r="M647" s="148"/>
      <c r="N647" s="148"/>
      <c r="O647" s="148"/>
      <c r="P647" s="148"/>
      <c r="Q647" s="148"/>
      <c r="R647" s="148"/>
      <c r="S647" s="148"/>
      <c r="T647" s="151"/>
      <c r="U647" t="s">
        <v>613</v>
      </c>
    </row>
    <row r="648" spans="2:21" x14ac:dyDescent="0.2">
      <c r="B648" s="148"/>
      <c r="C648" s="148"/>
      <c r="D648" s="148"/>
      <c r="E648" s="148"/>
      <c r="F648" s="148"/>
      <c r="G648" s="233"/>
      <c r="H648" s="148"/>
      <c r="I648" s="148"/>
      <c r="J648" s="148"/>
      <c r="K648" s="148"/>
      <c r="L648" s="148"/>
      <c r="M648" s="148"/>
      <c r="N648" s="148"/>
      <c r="O648" s="148"/>
      <c r="P648" s="148"/>
      <c r="Q648" s="148"/>
      <c r="R648" s="148"/>
      <c r="S648" s="148"/>
      <c r="T648" s="151"/>
      <c r="U648" t="s">
        <v>613</v>
      </c>
    </row>
    <row r="649" spans="2:21" x14ac:dyDescent="0.2">
      <c r="B649" s="148"/>
      <c r="C649" s="148"/>
      <c r="D649" s="148"/>
      <c r="E649" s="148"/>
      <c r="F649" s="148"/>
      <c r="G649" s="233"/>
      <c r="H649" s="148"/>
      <c r="I649" s="148"/>
      <c r="J649" s="148"/>
      <c r="K649" s="148"/>
      <c r="L649" s="148"/>
      <c r="M649" s="148"/>
      <c r="N649" s="148"/>
      <c r="O649" s="148"/>
      <c r="P649" s="148"/>
      <c r="Q649" s="148"/>
      <c r="R649" s="148"/>
      <c r="S649" s="148"/>
      <c r="T649" s="151"/>
      <c r="U649" t="s">
        <v>613</v>
      </c>
    </row>
    <row r="650" spans="2:21" x14ac:dyDescent="0.2">
      <c r="B650" s="148"/>
      <c r="C650" s="148"/>
      <c r="D650" s="148"/>
      <c r="E650" s="148"/>
      <c r="F650" s="148"/>
      <c r="G650" s="233"/>
      <c r="H650" s="148"/>
      <c r="I650" s="148"/>
      <c r="J650" s="148"/>
      <c r="K650" s="148"/>
      <c r="L650" s="148"/>
      <c r="M650" s="148"/>
      <c r="N650" s="148"/>
      <c r="O650" s="148"/>
      <c r="P650" s="148"/>
      <c r="Q650" s="148"/>
      <c r="R650" s="148"/>
      <c r="S650" s="148"/>
      <c r="T650" s="151"/>
      <c r="U650" t="s">
        <v>613</v>
      </c>
    </row>
    <row r="651" spans="2:21" x14ac:dyDescent="0.2">
      <c r="B651" s="148"/>
      <c r="C651" s="148"/>
      <c r="D651" s="148"/>
      <c r="E651" s="148"/>
      <c r="F651" s="148"/>
      <c r="G651" s="233"/>
      <c r="H651" s="148"/>
      <c r="I651" s="148"/>
      <c r="J651" s="148"/>
      <c r="K651" s="148"/>
      <c r="L651" s="148"/>
      <c r="M651" s="148"/>
      <c r="N651" s="148"/>
      <c r="O651" s="148"/>
      <c r="P651" s="148"/>
      <c r="Q651" s="148"/>
      <c r="R651" s="148"/>
      <c r="S651" s="148"/>
      <c r="T651" s="151"/>
      <c r="U651" t="s">
        <v>613</v>
      </c>
    </row>
    <row r="652" spans="2:21" x14ac:dyDescent="0.2">
      <c r="B652" s="148"/>
      <c r="C652" s="148"/>
      <c r="D652" s="148"/>
      <c r="E652" s="148"/>
      <c r="F652" s="148"/>
      <c r="G652" s="233"/>
      <c r="H652" s="148"/>
      <c r="I652" s="148"/>
      <c r="J652" s="148"/>
      <c r="K652" s="148"/>
      <c r="L652" s="148"/>
      <c r="M652" s="148"/>
      <c r="N652" s="148"/>
      <c r="O652" s="148"/>
      <c r="P652" s="148"/>
      <c r="Q652" s="148"/>
      <c r="R652" s="148"/>
      <c r="S652" s="148"/>
      <c r="T652" s="151"/>
      <c r="U652" t="s">
        <v>613</v>
      </c>
    </row>
    <row r="653" spans="2:21" x14ac:dyDescent="0.2">
      <c r="B653" s="148"/>
      <c r="C653" s="148"/>
      <c r="D653" s="148"/>
      <c r="E653" s="148"/>
      <c r="F653" s="148"/>
      <c r="G653" s="233"/>
      <c r="H653" s="148"/>
      <c r="I653" s="148"/>
      <c r="J653" s="148"/>
      <c r="K653" s="148"/>
      <c r="L653" s="148"/>
      <c r="M653" s="148"/>
      <c r="N653" s="148"/>
      <c r="O653" s="148"/>
      <c r="P653" s="148"/>
      <c r="Q653" s="148"/>
      <c r="R653" s="148"/>
      <c r="S653" s="148"/>
      <c r="T653" s="151"/>
      <c r="U653" t="s">
        <v>613</v>
      </c>
    </row>
    <row r="654" spans="2:21" x14ac:dyDescent="0.2">
      <c r="B654" s="148"/>
      <c r="C654" s="148"/>
      <c r="D654" s="148"/>
      <c r="E654" s="148"/>
      <c r="F654" s="148"/>
      <c r="G654" s="233"/>
      <c r="H654" s="148"/>
      <c r="I654" s="148"/>
      <c r="J654" s="148"/>
      <c r="K654" s="148"/>
      <c r="L654" s="148"/>
      <c r="M654" s="148"/>
      <c r="N654" s="148"/>
      <c r="O654" s="148"/>
      <c r="P654" s="148"/>
      <c r="Q654" s="148"/>
      <c r="R654" s="148"/>
      <c r="S654" s="148"/>
      <c r="T654" s="151"/>
      <c r="U654" t="s">
        <v>613</v>
      </c>
    </row>
    <row r="655" spans="2:21" x14ac:dyDescent="0.2">
      <c r="B655" s="148"/>
      <c r="C655" s="148"/>
      <c r="D655" s="148"/>
      <c r="E655" s="148"/>
      <c r="F655" s="148"/>
      <c r="G655" s="233"/>
      <c r="H655" s="148"/>
      <c r="I655" s="148"/>
      <c r="J655" s="148"/>
      <c r="K655" s="148"/>
      <c r="L655" s="148"/>
      <c r="M655" s="148"/>
      <c r="N655" s="148"/>
      <c r="O655" s="148"/>
      <c r="P655" s="148"/>
      <c r="Q655" s="148"/>
      <c r="R655" s="148"/>
      <c r="S655" s="148"/>
      <c r="T655" s="151"/>
      <c r="U655" t="s">
        <v>613</v>
      </c>
    </row>
    <row r="656" spans="2:21" x14ac:dyDescent="0.2">
      <c r="B656" s="148"/>
      <c r="C656" s="148"/>
      <c r="D656" s="148"/>
      <c r="E656" s="148"/>
      <c r="F656" s="148"/>
      <c r="G656" s="233"/>
      <c r="H656" s="148"/>
      <c r="I656" s="148"/>
      <c r="J656" s="148"/>
      <c r="K656" s="148"/>
      <c r="L656" s="148"/>
      <c r="M656" s="148"/>
      <c r="N656" s="148"/>
      <c r="O656" s="148"/>
      <c r="P656" s="148"/>
      <c r="Q656" s="148"/>
      <c r="R656" s="148"/>
      <c r="S656" s="148"/>
      <c r="T656" s="151"/>
      <c r="U656" t="s">
        <v>613</v>
      </c>
    </row>
    <row r="657" spans="2:21" x14ac:dyDescent="0.2">
      <c r="B657" s="148"/>
      <c r="C657" s="148"/>
      <c r="D657" s="148"/>
      <c r="E657" s="148"/>
      <c r="F657" s="148"/>
      <c r="G657" s="233"/>
      <c r="H657" s="148"/>
      <c r="I657" s="148"/>
      <c r="J657" s="148"/>
      <c r="K657" s="148"/>
      <c r="L657" s="148"/>
      <c r="M657" s="148"/>
      <c r="N657" s="148"/>
      <c r="O657" s="148"/>
      <c r="P657" s="148"/>
      <c r="Q657" s="148"/>
      <c r="R657" s="148"/>
      <c r="S657" s="148"/>
      <c r="T657" s="151"/>
      <c r="U657" t="s">
        <v>613</v>
      </c>
    </row>
    <row r="658" spans="2:21" x14ac:dyDescent="0.2">
      <c r="B658" s="148"/>
      <c r="C658" s="148"/>
      <c r="D658" s="148"/>
      <c r="E658" s="148"/>
      <c r="F658" s="148"/>
      <c r="G658" s="233"/>
      <c r="H658" s="148"/>
      <c r="I658" s="148"/>
      <c r="J658" s="148"/>
      <c r="K658" s="148"/>
      <c r="L658" s="148"/>
      <c r="M658" s="148"/>
      <c r="N658" s="148"/>
      <c r="O658" s="148"/>
      <c r="P658" s="148"/>
      <c r="Q658" s="148"/>
      <c r="R658" s="148"/>
      <c r="S658" s="148"/>
      <c r="T658" s="151"/>
      <c r="U658" t="s">
        <v>613</v>
      </c>
    </row>
    <row r="659" spans="2:21" x14ac:dyDescent="0.2">
      <c r="B659" s="148"/>
      <c r="C659" s="148"/>
      <c r="D659" s="148"/>
      <c r="E659" s="148"/>
      <c r="F659" s="148"/>
      <c r="G659" s="233"/>
      <c r="H659" s="148"/>
      <c r="I659" s="148"/>
      <c r="J659" s="148"/>
      <c r="K659" s="148"/>
      <c r="L659" s="148"/>
      <c r="M659" s="148"/>
      <c r="N659" s="148"/>
      <c r="O659" s="148"/>
      <c r="P659" s="148"/>
      <c r="Q659" s="148"/>
      <c r="R659" s="148"/>
      <c r="S659" s="148"/>
      <c r="T659" s="151"/>
      <c r="U659" t="s">
        <v>613</v>
      </c>
    </row>
    <row r="660" spans="2:21" x14ac:dyDescent="0.2">
      <c r="B660" s="148"/>
      <c r="C660" s="148"/>
      <c r="D660" s="148"/>
      <c r="E660" s="148"/>
      <c r="F660" s="148"/>
      <c r="G660" s="233"/>
      <c r="H660" s="148"/>
      <c r="I660" s="148"/>
      <c r="J660" s="148"/>
      <c r="K660" s="148"/>
      <c r="L660" s="148"/>
      <c r="M660" s="148"/>
      <c r="N660" s="148"/>
      <c r="O660" s="148"/>
      <c r="P660" s="148"/>
      <c r="Q660" s="148"/>
      <c r="R660" s="148"/>
      <c r="S660" s="148"/>
      <c r="T660" s="151"/>
      <c r="U660" t="s">
        <v>613</v>
      </c>
    </row>
    <row r="661" spans="2:21" x14ac:dyDescent="0.2">
      <c r="B661" s="148"/>
      <c r="C661" s="148"/>
      <c r="D661" s="148"/>
      <c r="E661" s="148"/>
      <c r="F661" s="148"/>
      <c r="G661" s="233"/>
      <c r="H661" s="148"/>
      <c r="I661" s="148"/>
      <c r="J661" s="148"/>
      <c r="K661" s="148"/>
      <c r="L661" s="148"/>
      <c r="M661" s="148"/>
      <c r="N661" s="148"/>
      <c r="O661" s="148"/>
      <c r="P661" s="148"/>
      <c r="Q661" s="148"/>
      <c r="R661" s="148"/>
      <c r="S661" s="148"/>
      <c r="T661" s="151"/>
      <c r="U661" t="s">
        <v>613</v>
      </c>
    </row>
    <row r="662" spans="2:21" x14ac:dyDescent="0.2">
      <c r="B662" s="148"/>
      <c r="C662" s="148"/>
      <c r="D662" s="148"/>
      <c r="E662" s="148"/>
      <c r="F662" s="148"/>
      <c r="G662" s="233"/>
      <c r="H662" s="148"/>
      <c r="I662" s="148"/>
      <c r="J662" s="148"/>
      <c r="K662" s="148"/>
      <c r="L662" s="148"/>
      <c r="M662" s="148"/>
      <c r="N662" s="148"/>
      <c r="O662" s="148"/>
      <c r="P662" s="148"/>
      <c r="Q662" s="148"/>
      <c r="R662" s="148"/>
      <c r="S662" s="148"/>
      <c r="T662" s="151"/>
      <c r="U662" t="s">
        <v>613</v>
      </c>
    </row>
    <row r="663" spans="2:21" x14ac:dyDescent="0.2">
      <c r="B663" s="148"/>
      <c r="C663" s="148"/>
      <c r="D663" s="148"/>
      <c r="E663" s="148"/>
      <c r="F663" s="148"/>
      <c r="G663" s="233"/>
      <c r="H663" s="148"/>
      <c r="I663" s="148"/>
      <c r="J663" s="148"/>
      <c r="K663" s="148"/>
      <c r="L663" s="148"/>
      <c r="M663" s="148"/>
      <c r="N663" s="148"/>
      <c r="O663" s="148"/>
      <c r="P663" s="148"/>
      <c r="Q663" s="148"/>
      <c r="R663" s="148"/>
      <c r="S663" s="148"/>
      <c r="T663" s="151"/>
      <c r="U663" t="s">
        <v>613</v>
      </c>
    </row>
    <row r="664" spans="2:21" x14ac:dyDescent="0.2">
      <c r="B664" s="148"/>
      <c r="C664" s="148"/>
      <c r="D664" s="148"/>
      <c r="E664" s="148"/>
      <c r="F664" s="148"/>
      <c r="G664" s="233"/>
      <c r="H664" s="148"/>
      <c r="I664" s="148"/>
      <c r="J664" s="148"/>
      <c r="K664" s="148"/>
      <c r="L664" s="148"/>
      <c r="M664" s="148"/>
      <c r="N664" s="148"/>
      <c r="O664" s="148"/>
      <c r="P664" s="148"/>
      <c r="Q664" s="148"/>
      <c r="R664" s="148"/>
      <c r="S664" s="148"/>
      <c r="T664" s="151"/>
      <c r="U664" t="s">
        <v>613</v>
      </c>
    </row>
    <row r="665" spans="2:21" x14ac:dyDescent="0.2">
      <c r="B665" s="148"/>
      <c r="C665" s="148"/>
      <c r="D665" s="148"/>
      <c r="E665" s="148"/>
      <c r="F665" s="148"/>
      <c r="G665" s="233"/>
      <c r="H665" s="148"/>
      <c r="I665" s="148"/>
      <c r="J665" s="148"/>
      <c r="K665" s="148"/>
      <c r="L665" s="148"/>
      <c r="M665" s="148"/>
      <c r="N665" s="148"/>
      <c r="O665" s="148"/>
      <c r="P665" s="148"/>
      <c r="Q665" s="148"/>
      <c r="R665" s="148"/>
      <c r="S665" s="148"/>
      <c r="T665" s="151"/>
      <c r="U665" t="s">
        <v>613</v>
      </c>
    </row>
    <row r="666" spans="2:21" x14ac:dyDescent="0.2">
      <c r="B666" s="148"/>
      <c r="C666" s="148"/>
      <c r="D666" s="148"/>
      <c r="E666" s="148"/>
      <c r="F666" s="148"/>
      <c r="G666" s="233"/>
      <c r="H666" s="148"/>
      <c r="I666" s="148"/>
      <c r="J666" s="148"/>
      <c r="K666" s="148"/>
      <c r="L666" s="148"/>
      <c r="M666" s="148"/>
      <c r="N666" s="148"/>
      <c r="O666" s="148"/>
      <c r="P666" s="148"/>
      <c r="Q666" s="148"/>
      <c r="R666" s="148"/>
      <c r="S666" s="148"/>
      <c r="T666" s="151"/>
      <c r="U666" t="s">
        <v>613</v>
      </c>
    </row>
    <row r="667" spans="2:21" x14ac:dyDescent="0.2">
      <c r="B667" s="148"/>
      <c r="C667" s="148"/>
      <c r="D667" s="148"/>
      <c r="E667" s="148"/>
      <c r="F667" s="148"/>
      <c r="G667" s="233"/>
      <c r="H667" s="148"/>
      <c r="I667" s="148"/>
      <c r="J667" s="148"/>
      <c r="K667" s="148"/>
      <c r="L667" s="148"/>
      <c r="M667" s="148"/>
      <c r="N667" s="148"/>
      <c r="O667" s="148"/>
      <c r="P667" s="148"/>
      <c r="Q667" s="148"/>
      <c r="R667" s="148"/>
      <c r="S667" s="148"/>
      <c r="T667" s="151"/>
      <c r="U667" t="s">
        <v>613</v>
      </c>
    </row>
    <row r="668" spans="2:21" x14ac:dyDescent="0.2">
      <c r="B668" s="148"/>
      <c r="C668" s="148"/>
      <c r="D668" s="148"/>
      <c r="E668" s="148"/>
      <c r="F668" s="148"/>
      <c r="G668" s="233"/>
      <c r="H668" s="148"/>
      <c r="I668" s="148"/>
      <c r="J668" s="148"/>
      <c r="K668" s="148"/>
      <c r="L668" s="148"/>
      <c r="M668" s="148"/>
      <c r="N668" s="148"/>
      <c r="O668" s="148"/>
      <c r="P668" s="148"/>
      <c r="Q668" s="148"/>
      <c r="R668" s="148"/>
      <c r="S668" s="148"/>
      <c r="T668" s="151"/>
      <c r="U668" t="s">
        <v>613</v>
      </c>
    </row>
    <row r="669" spans="2:21" x14ac:dyDescent="0.2">
      <c r="B669" s="148"/>
      <c r="C669" s="148"/>
      <c r="D669" s="148"/>
      <c r="E669" s="148"/>
      <c r="F669" s="148"/>
      <c r="G669" s="233"/>
      <c r="H669" s="148"/>
      <c r="I669" s="148"/>
      <c r="J669" s="148"/>
      <c r="K669" s="148"/>
      <c r="L669" s="148"/>
      <c r="M669" s="148"/>
      <c r="N669" s="148"/>
      <c r="O669" s="148"/>
      <c r="P669" s="148"/>
      <c r="Q669" s="148"/>
      <c r="R669" s="148"/>
      <c r="S669" s="148"/>
      <c r="T669" s="151"/>
      <c r="U669" t="s">
        <v>613</v>
      </c>
    </row>
    <row r="670" spans="2:21" x14ac:dyDescent="0.2">
      <c r="B670" s="148"/>
      <c r="C670" s="148"/>
      <c r="D670" s="148"/>
      <c r="E670" s="148"/>
      <c r="F670" s="148"/>
      <c r="G670" s="233"/>
      <c r="H670" s="148"/>
      <c r="I670" s="148"/>
      <c r="J670" s="148"/>
      <c r="K670" s="148"/>
      <c r="L670" s="148"/>
      <c r="M670" s="148"/>
      <c r="N670" s="148"/>
      <c r="O670" s="148"/>
      <c r="P670" s="148"/>
      <c r="Q670" s="148"/>
      <c r="R670" s="148"/>
      <c r="S670" s="148"/>
      <c r="T670" s="151"/>
      <c r="U670" t="s">
        <v>613</v>
      </c>
    </row>
    <row r="671" spans="2:21" x14ac:dyDescent="0.2">
      <c r="B671" s="148"/>
      <c r="C671" s="148"/>
      <c r="D671" s="148"/>
      <c r="E671" s="148"/>
      <c r="F671" s="148"/>
      <c r="G671" s="233"/>
      <c r="H671" s="148"/>
      <c r="I671" s="148"/>
      <c r="J671" s="148"/>
      <c r="K671" s="148"/>
      <c r="L671" s="148"/>
      <c r="M671" s="148"/>
      <c r="N671" s="148"/>
      <c r="O671" s="148"/>
      <c r="P671" s="148"/>
      <c r="Q671" s="148"/>
      <c r="R671" s="148"/>
      <c r="S671" s="148"/>
      <c r="T671" s="151"/>
      <c r="U671" t="s">
        <v>613</v>
      </c>
    </row>
    <row r="672" spans="2:21" x14ac:dyDescent="0.2">
      <c r="B672" s="148"/>
      <c r="C672" s="148"/>
      <c r="D672" s="148"/>
      <c r="E672" s="148"/>
      <c r="F672" s="148"/>
      <c r="G672" s="233"/>
      <c r="H672" s="148"/>
      <c r="I672" s="148"/>
      <c r="J672" s="148"/>
      <c r="K672" s="148"/>
      <c r="L672" s="148"/>
      <c r="M672" s="148"/>
      <c r="N672" s="148"/>
      <c r="O672" s="148"/>
      <c r="P672" s="148"/>
      <c r="Q672" s="148"/>
      <c r="R672" s="148"/>
      <c r="S672" s="148"/>
      <c r="T672" s="151"/>
      <c r="U672" t="s">
        <v>613</v>
      </c>
    </row>
    <row r="673" spans="2:21" x14ac:dyDescent="0.2">
      <c r="B673" s="148"/>
      <c r="C673" s="148"/>
      <c r="D673" s="148"/>
      <c r="E673" s="148"/>
      <c r="F673" s="148"/>
      <c r="G673" s="233"/>
      <c r="H673" s="148"/>
      <c r="I673" s="148"/>
      <c r="J673" s="148"/>
      <c r="K673" s="148"/>
      <c r="L673" s="148"/>
      <c r="M673" s="148"/>
      <c r="N673" s="148"/>
      <c r="O673" s="148"/>
      <c r="P673" s="148"/>
      <c r="Q673" s="148"/>
      <c r="R673" s="148"/>
      <c r="S673" s="148"/>
      <c r="T673" s="151"/>
      <c r="U673" t="s">
        <v>613</v>
      </c>
    </row>
    <row r="674" spans="2:21" x14ac:dyDescent="0.2">
      <c r="B674" s="148"/>
      <c r="C674" s="148"/>
      <c r="D674" s="148"/>
      <c r="E674" s="148"/>
      <c r="F674" s="148"/>
      <c r="G674" s="233"/>
      <c r="H674" s="148"/>
      <c r="I674" s="148"/>
      <c r="J674" s="148"/>
      <c r="K674" s="148"/>
      <c r="L674" s="148"/>
      <c r="M674" s="148"/>
      <c r="N674" s="148"/>
      <c r="O674" s="148"/>
      <c r="P674" s="148"/>
      <c r="Q674" s="148"/>
      <c r="R674" s="148"/>
      <c r="S674" s="148"/>
      <c r="T674" s="151"/>
      <c r="U674" t="s">
        <v>613</v>
      </c>
    </row>
    <row r="675" spans="2:21" x14ac:dyDescent="0.2">
      <c r="B675" s="148"/>
      <c r="C675" s="148"/>
      <c r="D675" s="148"/>
      <c r="E675" s="148"/>
      <c r="F675" s="148"/>
      <c r="G675" s="233"/>
      <c r="H675" s="148"/>
      <c r="I675" s="148"/>
      <c r="J675" s="148"/>
      <c r="K675" s="148"/>
      <c r="L675" s="148"/>
      <c r="M675" s="148"/>
      <c r="N675" s="148"/>
      <c r="O675" s="148"/>
      <c r="P675" s="148"/>
      <c r="Q675" s="148"/>
      <c r="R675" s="148"/>
      <c r="S675" s="148"/>
      <c r="T675" s="151"/>
      <c r="U675" t="s">
        <v>613</v>
      </c>
    </row>
    <row r="676" spans="2:21" x14ac:dyDescent="0.2">
      <c r="B676" s="148"/>
      <c r="C676" s="148"/>
      <c r="D676" s="148"/>
      <c r="E676" s="148"/>
      <c r="F676" s="148"/>
      <c r="G676" s="233"/>
      <c r="H676" s="148"/>
      <c r="I676" s="148"/>
      <c r="J676" s="148"/>
      <c r="K676" s="148"/>
      <c r="L676" s="148"/>
      <c r="M676" s="148"/>
      <c r="N676" s="148"/>
      <c r="O676" s="148"/>
      <c r="P676" s="148"/>
      <c r="Q676" s="148"/>
      <c r="R676" s="148"/>
      <c r="S676" s="148"/>
      <c r="T676" s="151"/>
      <c r="U676" t="s">
        <v>613</v>
      </c>
    </row>
    <row r="677" spans="2:21" x14ac:dyDescent="0.2">
      <c r="B677" s="148"/>
      <c r="C677" s="148"/>
      <c r="D677" s="148"/>
      <c r="E677" s="148"/>
      <c r="F677" s="148"/>
      <c r="G677" s="233"/>
      <c r="H677" s="148"/>
      <c r="I677" s="148"/>
      <c r="J677" s="148"/>
      <c r="K677" s="148"/>
      <c r="L677" s="148"/>
      <c r="M677" s="148"/>
      <c r="N677" s="148"/>
      <c r="O677" s="148"/>
      <c r="P677" s="148"/>
      <c r="Q677" s="148"/>
      <c r="R677" s="148"/>
      <c r="S677" s="148"/>
      <c r="T677" s="151"/>
      <c r="U677" t="s">
        <v>613</v>
      </c>
    </row>
    <row r="678" spans="2:21" x14ac:dyDescent="0.2">
      <c r="B678" s="148"/>
      <c r="C678" s="148"/>
      <c r="D678" s="148"/>
      <c r="E678" s="148"/>
      <c r="F678" s="148"/>
      <c r="G678" s="233"/>
      <c r="H678" s="148"/>
      <c r="I678" s="148"/>
      <c r="J678" s="148"/>
      <c r="K678" s="148"/>
      <c r="L678" s="148"/>
      <c r="M678" s="148"/>
      <c r="N678" s="148"/>
      <c r="O678" s="148"/>
      <c r="P678" s="148"/>
      <c r="Q678" s="148"/>
      <c r="R678" s="148"/>
      <c r="S678" s="148"/>
      <c r="T678" s="151"/>
      <c r="U678" t="s">
        <v>613</v>
      </c>
    </row>
    <row r="679" spans="2:21" x14ac:dyDescent="0.2">
      <c r="B679" s="148"/>
      <c r="C679" s="148"/>
      <c r="D679" s="148"/>
      <c r="E679" s="148"/>
      <c r="F679" s="148"/>
      <c r="G679" s="233"/>
      <c r="H679" s="148"/>
      <c r="I679" s="148"/>
      <c r="J679" s="148"/>
      <c r="K679" s="148"/>
      <c r="L679" s="148"/>
      <c r="M679" s="148"/>
      <c r="N679" s="148"/>
      <c r="O679" s="148"/>
      <c r="P679" s="148"/>
      <c r="Q679" s="148"/>
      <c r="R679" s="148"/>
      <c r="S679" s="148"/>
      <c r="T679" s="151"/>
      <c r="U679" t="s">
        <v>613</v>
      </c>
    </row>
    <row r="680" spans="2:21" x14ac:dyDescent="0.2">
      <c r="B680" s="148"/>
      <c r="C680" s="148"/>
      <c r="D680" s="148"/>
      <c r="E680" s="148"/>
      <c r="F680" s="148"/>
      <c r="G680" s="233"/>
      <c r="H680" s="148"/>
      <c r="I680" s="148"/>
      <c r="J680" s="148"/>
      <c r="K680" s="148"/>
      <c r="L680" s="148"/>
      <c r="M680" s="148"/>
      <c r="N680" s="148"/>
      <c r="O680" s="148"/>
      <c r="P680" s="148"/>
      <c r="Q680" s="148"/>
      <c r="R680" s="148"/>
      <c r="S680" s="148"/>
      <c r="T680" s="151"/>
      <c r="U680" t="s">
        <v>613</v>
      </c>
    </row>
    <row r="681" spans="2:21" x14ac:dyDescent="0.2">
      <c r="B681" s="148"/>
      <c r="C681" s="148"/>
      <c r="D681" s="148"/>
      <c r="E681" s="148"/>
      <c r="F681" s="148"/>
      <c r="G681" s="233"/>
      <c r="H681" s="148"/>
      <c r="I681" s="148"/>
      <c r="J681" s="148"/>
      <c r="K681" s="148"/>
      <c r="L681" s="148"/>
      <c r="M681" s="148"/>
      <c r="N681" s="148"/>
      <c r="O681" s="148"/>
      <c r="P681" s="148"/>
      <c r="Q681" s="148"/>
      <c r="R681" s="148"/>
      <c r="S681" s="148"/>
      <c r="T681" s="151"/>
      <c r="U681" t="s">
        <v>613</v>
      </c>
    </row>
    <row r="682" spans="2:21" x14ac:dyDescent="0.2">
      <c r="B682" s="148"/>
      <c r="C682" s="148"/>
      <c r="D682" s="148"/>
      <c r="E682" s="148"/>
      <c r="F682" s="148"/>
      <c r="G682" s="233"/>
      <c r="H682" s="148"/>
      <c r="I682" s="148"/>
      <c r="J682" s="148"/>
      <c r="K682" s="148"/>
      <c r="L682" s="148"/>
      <c r="M682" s="148"/>
      <c r="N682" s="148"/>
      <c r="O682" s="148"/>
      <c r="P682" s="148"/>
      <c r="Q682" s="148"/>
      <c r="R682" s="148"/>
      <c r="S682" s="148"/>
      <c r="T682" s="151"/>
      <c r="U682" t="s">
        <v>613</v>
      </c>
    </row>
    <row r="683" spans="2:21" x14ac:dyDescent="0.2">
      <c r="B683" s="148"/>
      <c r="C683" s="148"/>
      <c r="D683" s="148"/>
      <c r="E683" s="148"/>
      <c r="F683" s="148"/>
      <c r="G683" s="233"/>
      <c r="H683" s="148"/>
      <c r="I683" s="148"/>
      <c r="J683" s="148"/>
      <c r="K683" s="148"/>
      <c r="L683" s="148"/>
      <c r="M683" s="148"/>
      <c r="N683" s="148"/>
      <c r="O683" s="148"/>
      <c r="P683" s="148"/>
      <c r="Q683" s="148"/>
      <c r="R683" s="148"/>
      <c r="S683" s="148"/>
      <c r="T683" s="151"/>
      <c r="U683" t="s">
        <v>613</v>
      </c>
    </row>
    <row r="684" spans="2:21" x14ac:dyDescent="0.2">
      <c r="B684" s="148"/>
      <c r="C684" s="148"/>
      <c r="D684" s="148"/>
      <c r="E684" s="148"/>
      <c r="F684" s="148"/>
      <c r="G684" s="233"/>
      <c r="H684" s="148"/>
      <c r="I684" s="148"/>
      <c r="J684" s="148"/>
      <c r="K684" s="148"/>
      <c r="L684" s="148"/>
      <c r="M684" s="148"/>
      <c r="N684" s="148"/>
      <c r="O684" s="148"/>
      <c r="P684" s="148"/>
      <c r="Q684" s="148"/>
      <c r="R684" s="148"/>
      <c r="S684" s="148"/>
      <c r="T684" s="151"/>
      <c r="U684" t="s">
        <v>613</v>
      </c>
    </row>
    <row r="685" spans="2:21" x14ac:dyDescent="0.2">
      <c r="B685" s="148"/>
      <c r="C685" s="148"/>
      <c r="D685" s="148"/>
      <c r="E685" s="148"/>
      <c r="F685" s="148"/>
      <c r="G685" s="233"/>
      <c r="H685" s="148"/>
      <c r="I685" s="148"/>
      <c r="J685" s="148"/>
      <c r="K685" s="148"/>
      <c r="L685" s="148"/>
      <c r="M685" s="148"/>
      <c r="N685" s="148"/>
      <c r="O685" s="148"/>
      <c r="P685" s="148"/>
      <c r="Q685" s="148"/>
      <c r="R685" s="148"/>
      <c r="S685" s="148"/>
      <c r="T685" s="151"/>
      <c r="U685" t="s">
        <v>613</v>
      </c>
    </row>
    <row r="686" spans="2:21" x14ac:dyDescent="0.2">
      <c r="B686" s="148"/>
      <c r="C686" s="148"/>
      <c r="D686" s="148"/>
      <c r="E686" s="148"/>
      <c r="F686" s="148"/>
      <c r="G686" s="233"/>
      <c r="H686" s="148"/>
      <c r="I686" s="148"/>
      <c r="J686" s="148"/>
      <c r="K686" s="148"/>
      <c r="L686" s="148"/>
      <c r="M686" s="148"/>
      <c r="N686" s="148"/>
      <c r="O686" s="148"/>
      <c r="P686" s="148"/>
      <c r="Q686" s="148"/>
      <c r="R686" s="148"/>
      <c r="S686" s="148"/>
      <c r="T686" s="151"/>
      <c r="U686" t="s">
        <v>613</v>
      </c>
    </row>
    <row r="687" spans="2:21" x14ac:dyDescent="0.2">
      <c r="B687" s="148"/>
      <c r="C687" s="148"/>
      <c r="D687" s="148"/>
      <c r="E687" s="148"/>
      <c r="F687" s="148"/>
      <c r="G687" s="233"/>
      <c r="H687" s="148"/>
      <c r="I687" s="148"/>
      <c r="J687" s="148"/>
      <c r="K687" s="148"/>
      <c r="L687" s="148"/>
      <c r="M687" s="148"/>
      <c r="N687" s="148"/>
      <c r="O687" s="148"/>
      <c r="P687" s="148"/>
      <c r="Q687" s="148"/>
      <c r="R687" s="148"/>
      <c r="S687" s="148"/>
      <c r="T687" s="151"/>
      <c r="U687" t="s">
        <v>613</v>
      </c>
    </row>
    <row r="688" spans="2:21" x14ac:dyDescent="0.2">
      <c r="B688" s="148"/>
      <c r="C688" s="148"/>
      <c r="D688" s="148"/>
      <c r="E688" s="148"/>
      <c r="F688" s="148"/>
      <c r="G688" s="233"/>
      <c r="H688" s="148"/>
      <c r="I688" s="148"/>
      <c r="J688" s="148"/>
      <c r="K688" s="148"/>
      <c r="L688" s="148"/>
      <c r="M688" s="148"/>
      <c r="N688" s="148"/>
      <c r="O688" s="148"/>
      <c r="P688" s="148"/>
      <c r="Q688" s="148"/>
      <c r="R688" s="148"/>
      <c r="S688" s="148"/>
      <c r="T688" s="151"/>
      <c r="U688" t="s">
        <v>613</v>
      </c>
    </row>
    <row r="689" spans="2:21" x14ac:dyDescent="0.2">
      <c r="B689" s="148"/>
      <c r="C689" s="148"/>
      <c r="D689" s="148"/>
      <c r="E689" s="148"/>
      <c r="F689" s="148"/>
      <c r="G689" s="233"/>
      <c r="H689" s="148"/>
      <c r="I689" s="148"/>
      <c r="J689" s="148"/>
      <c r="K689" s="148"/>
      <c r="L689" s="148"/>
      <c r="M689" s="148"/>
      <c r="N689" s="148"/>
      <c r="O689" s="148"/>
      <c r="P689" s="148"/>
      <c r="Q689" s="148"/>
      <c r="R689" s="148"/>
      <c r="S689" s="148"/>
      <c r="T689" s="151"/>
      <c r="U689" t="s">
        <v>613</v>
      </c>
    </row>
    <row r="690" spans="2:21" x14ac:dyDescent="0.2">
      <c r="B690" s="148"/>
      <c r="C690" s="148"/>
      <c r="D690" s="148"/>
      <c r="E690" s="148"/>
      <c r="F690" s="148"/>
      <c r="G690" s="233"/>
      <c r="H690" s="148"/>
      <c r="I690" s="148"/>
      <c r="J690" s="148"/>
      <c r="K690" s="148"/>
      <c r="L690" s="148"/>
      <c r="M690" s="148"/>
      <c r="N690" s="148"/>
      <c r="O690" s="148"/>
      <c r="P690" s="148"/>
      <c r="Q690" s="148"/>
      <c r="R690" s="148"/>
      <c r="S690" s="148"/>
      <c r="T690" s="151"/>
      <c r="U690" t="s">
        <v>613</v>
      </c>
    </row>
    <row r="691" spans="2:21" x14ac:dyDescent="0.2">
      <c r="B691" s="148"/>
      <c r="C691" s="148"/>
      <c r="D691" s="148"/>
      <c r="E691" s="148"/>
      <c r="F691" s="148"/>
      <c r="G691" s="233"/>
      <c r="H691" s="148"/>
      <c r="I691" s="148"/>
      <c r="J691" s="148"/>
      <c r="K691" s="148"/>
      <c r="L691" s="148"/>
      <c r="M691" s="148"/>
      <c r="N691" s="148"/>
      <c r="O691" s="148"/>
      <c r="P691" s="148"/>
      <c r="Q691" s="148"/>
      <c r="R691" s="148"/>
      <c r="S691" s="148"/>
      <c r="T691" s="151"/>
      <c r="U691" t="s">
        <v>613</v>
      </c>
    </row>
    <row r="692" spans="2:21" x14ac:dyDescent="0.2">
      <c r="B692" s="148"/>
      <c r="C692" s="148"/>
      <c r="D692" s="148"/>
      <c r="E692" s="148"/>
      <c r="F692" s="148"/>
      <c r="G692" s="233"/>
      <c r="H692" s="148"/>
      <c r="I692" s="148"/>
      <c r="J692" s="148"/>
      <c r="K692" s="148"/>
      <c r="L692" s="148"/>
      <c r="M692" s="148"/>
      <c r="N692" s="148"/>
      <c r="O692" s="148"/>
      <c r="P692" s="148"/>
      <c r="Q692" s="148"/>
      <c r="R692" s="148"/>
      <c r="S692" s="148"/>
      <c r="T692" s="151"/>
      <c r="U692" t="s">
        <v>613</v>
      </c>
    </row>
    <row r="693" spans="2:21" x14ac:dyDescent="0.2">
      <c r="B693" s="148"/>
      <c r="C693" s="148"/>
      <c r="D693" s="148"/>
      <c r="E693" s="148"/>
      <c r="F693" s="148"/>
      <c r="G693" s="233"/>
      <c r="H693" s="148"/>
      <c r="I693" s="148"/>
      <c r="J693" s="148"/>
      <c r="K693" s="148"/>
      <c r="L693" s="148"/>
      <c r="M693" s="148"/>
      <c r="N693" s="148"/>
      <c r="O693" s="148"/>
      <c r="P693" s="148"/>
      <c r="Q693" s="148"/>
      <c r="R693" s="148"/>
      <c r="S693" s="148"/>
      <c r="T693" s="151"/>
      <c r="U693" t="s">
        <v>613</v>
      </c>
    </row>
    <row r="694" spans="2:21" x14ac:dyDescent="0.2">
      <c r="B694" s="148"/>
      <c r="C694" s="148"/>
      <c r="D694" s="148"/>
      <c r="E694" s="148"/>
      <c r="F694" s="148"/>
      <c r="G694" s="233"/>
      <c r="H694" s="148"/>
      <c r="I694" s="148"/>
      <c r="J694" s="148"/>
      <c r="K694" s="148"/>
      <c r="L694" s="148"/>
      <c r="M694" s="148"/>
      <c r="N694" s="148"/>
      <c r="O694" s="148"/>
      <c r="P694" s="148"/>
      <c r="Q694" s="148"/>
      <c r="R694" s="148"/>
      <c r="S694" s="148"/>
      <c r="T694" s="151"/>
      <c r="U694" t="s">
        <v>613</v>
      </c>
    </row>
    <row r="695" spans="2:21" x14ac:dyDescent="0.2">
      <c r="B695" s="148"/>
      <c r="C695" s="148"/>
      <c r="D695" s="148"/>
      <c r="E695" s="148"/>
      <c r="F695" s="148"/>
      <c r="G695" s="233"/>
      <c r="H695" s="148"/>
      <c r="I695" s="148"/>
      <c r="J695" s="148"/>
      <c r="K695" s="148"/>
      <c r="L695" s="148"/>
      <c r="M695" s="148"/>
      <c r="N695" s="148"/>
      <c r="O695" s="148"/>
      <c r="P695" s="148"/>
      <c r="Q695" s="148"/>
      <c r="R695" s="148"/>
      <c r="S695" s="148"/>
      <c r="T695" s="151"/>
      <c r="U695" t="s">
        <v>613</v>
      </c>
    </row>
    <row r="696" spans="2:21" x14ac:dyDescent="0.2">
      <c r="B696" s="148"/>
      <c r="C696" s="148"/>
      <c r="D696" s="148"/>
      <c r="E696" s="148"/>
      <c r="F696" s="148"/>
      <c r="G696" s="233"/>
      <c r="H696" s="148"/>
      <c r="I696" s="148"/>
      <c r="J696" s="148"/>
      <c r="K696" s="148"/>
      <c r="L696" s="148"/>
      <c r="M696" s="148"/>
      <c r="N696" s="148"/>
      <c r="O696" s="148"/>
      <c r="P696" s="148"/>
      <c r="Q696" s="148"/>
      <c r="R696" s="148"/>
      <c r="S696" s="148"/>
      <c r="T696" s="151"/>
      <c r="U696" t="s">
        <v>613</v>
      </c>
    </row>
    <row r="697" spans="2:21" x14ac:dyDescent="0.2">
      <c r="B697" s="148"/>
      <c r="C697" s="148"/>
      <c r="D697" s="148"/>
      <c r="E697" s="148"/>
      <c r="F697" s="148"/>
      <c r="G697" s="233"/>
      <c r="H697" s="148"/>
      <c r="I697" s="148"/>
      <c r="J697" s="148"/>
      <c r="K697" s="148"/>
      <c r="L697" s="148"/>
      <c r="M697" s="148"/>
      <c r="N697" s="148"/>
      <c r="O697" s="148"/>
      <c r="P697" s="148"/>
      <c r="Q697" s="148"/>
      <c r="R697" s="148"/>
      <c r="S697" s="148"/>
      <c r="T697" s="151"/>
      <c r="U697" t="s">
        <v>613</v>
      </c>
    </row>
    <row r="698" spans="2:21" x14ac:dyDescent="0.2">
      <c r="B698" s="148"/>
      <c r="C698" s="148"/>
      <c r="D698" s="148"/>
      <c r="E698" s="148"/>
      <c r="F698" s="148"/>
      <c r="G698" s="233"/>
      <c r="H698" s="148"/>
      <c r="I698" s="148"/>
      <c r="J698" s="148"/>
      <c r="K698" s="148"/>
      <c r="L698" s="148"/>
      <c r="M698" s="148"/>
      <c r="N698" s="148"/>
      <c r="O698" s="148"/>
      <c r="P698" s="148"/>
      <c r="Q698" s="148"/>
      <c r="R698" s="148"/>
      <c r="S698" s="148"/>
      <c r="T698" s="151"/>
      <c r="U698" t="s">
        <v>613</v>
      </c>
    </row>
    <row r="699" spans="2:21" x14ac:dyDescent="0.2">
      <c r="B699" s="148"/>
      <c r="C699" s="148"/>
      <c r="D699" s="148"/>
      <c r="E699" s="148"/>
      <c r="F699" s="148"/>
      <c r="G699" s="233"/>
      <c r="H699" s="148"/>
      <c r="I699" s="148"/>
      <c r="J699" s="148"/>
      <c r="K699" s="148"/>
      <c r="L699" s="148"/>
      <c r="M699" s="148"/>
      <c r="N699" s="148"/>
      <c r="O699" s="148"/>
      <c r="P699" s="148"/>
      <c r="Q699" s="148"/>
      <c r="R699" s="148"/>
      <c r="S699" s="148"/>
      <c r="T699" s="151"/>
      <c r="U699" t="s">
        <v>613</v>
      </c>
    </row>
    <row r="700" spans="2:21" x14ac:dyDescent="0.2">
      <c r="B700" s="149"/>
      <c r="C700" s="149"/>
      <c r="D700" s="149"/>
      <c r="E700" s="149"/>
      <c r="F700" s="149"/>
      <c r="G700" s="234"/>
      <c r="H700" s="149"/>
      <c r="I700" s="149"/>
      <c r="J700" s="149"/>
      <c r="K700" s="149"/>
      <c r="L700" s="149"/>
      <c r="M700" s="149"/>
      <c r="N700" s="149"/>
      <c r="O700" s="149"/>
      <c r="P700" s="149"/>
      <c r="Q700" s="149"/>
      <c r="R700" s="149"/>
      <c r="S700" s="149"/>
      <c r="T700" s="152"/>
      <c r="U700" t="s">
        <v>613</v>
      </c>
    </row>
  </sheetData>
  <sheetProtection sheet="1" objects="1" scenarios="1"/>
  <sortState xmlns:xlrd2="http://schemas.microsoft.com/office/spreadsheetml/2017/richdata2" ref="B5:T700">
    <sortCondition ref="B5"/>
  </sortState>
  <mergeCells count="5">
    <mergeCell ref="B3:C3"/>
    <mergeCell ref="T3:T4"/>
    <mergeCell ref="Z2:AA2"/>
    <mergeCell ref="V2:Y2"/>
    <mergeCell ref="V1:AA1"/>
  </mergeCells>
  <conditionalFormatting sqref="K5:M500">
    <cfRule type="containsBlanks" dxfId="2" priority="1">
      <formula>LEN(TRIM(K5))=0</formula>
    </cfRule>
    <cfRule type="cellIs" dxfId="1" priority="2" operator="equal">
      <formula>0</formula>
    </cfRule>
    <cfRule type="cellIs" dxfId="0" priority="3" operator="equal">
      <formula>1</formula>
    </cfRule>
  </conditionalFormatting>
  <pageMargins left="0.7" right="0.7" top="0.75" bottom="0.75" header="0.3" footer="0.3"/>
  <pageSetup orientation="portrait" horizontalDpi="0" verticalDpi="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9" tint="-0.249977111117893"/>
  </sheetPr>
  <dimension ref="A1:Q700"/>
  <sheetViews>
    <sheetView zoomScale="164" zoomScaleNormal="150" zoomScalePageLayoutView="150" workbookViewId="0">
      <pane xSplit="3" ySplit="4" topLeftCell="G206" activePane="bottomRight" state="frozen"/>
      <selection pane="topRight" activeCell="D1" sqref="D1"/>
      <selection pane="bottomLeft" activeCell="A5" sqref="A5"/>
      <selection pane="bottomRight" activeCell="A207" sqref="A207:XFD207"/>
    </sheetView>
  </sheetViews>
  <sheetFormatPr baseColWidth="10" defaultColWidth="8.83203125" defaultRowHeight="15" x14ac:dyDescent="0.2"/>
  <cols>
    <col min="1" max="1" width="2.83203125" customWidth="1"/>
    <col min="2" max="2" width="20.6640625" customWidth="1"/>
    <col min="3" max="3" width="20.6640625" style="1" customWidth="1"/>
    <col min="4" max="15" width="17.6640625" style="1" customWidth="1"/>
    <col min="16" max="16" width="15.6640625" style="1" customWidth="1"/>
    <col min="17" max="17" width="37.83203125" style="1" customWidth="1"/>
  </cols>
  <sheetData>
    <row r="1" spans="1:17" x14ac:dyDescent="0.2"/>
    <row r="2" spans="1:17" ht="30" customHeight="1" x14ac:dyDescent="0.2"/>
    <row r="3" spans="1:17" ht="22.5" customHeight="1" x14ac:dyDescent="0.2">
      <c r="B3" s="281" t="s">
        <v>0</v>
      </c>
      <c r="C3" s="281"/>
      <c r="D3" s="10" t="s">
        <v>445</v>
      </c>
      <c r="E3" s="14" t="s">
        <v>447</v>
      </c>
      <c r="F3" s="10" t="s">
        <v>446</v>
      </c>
      <c r="G3" s="10" t="s">
        <v>448</v>
      </c>
      <c r="H3" s="10" t="s">
        <v>599</v>
      </c>
      <c r="I3" s="10" t="s">
        <v>517</v>
      </c>
      <c r="J3" s="10" t="s">
        <v>519</v>
      </c>
      <c r="K3" s="10" t="s">
        <v>4</v>
      </c>
      <c r="L3" s="10" t="s">
        <v>521</v>
      </c>
      <c r="M3" s="10" t="s">
        <v>5</v>
      </c>
      <c r="N3" s="10" t="s">
        <v>522</v>
      </c>
      <c r="O3" s="14" t="s">
        <v>524</v>
      </c>
      <c r="P3" s="10" t="s">
        <v>3</v>
      </c>
      <c r="Q3" s="283" t="s">
        <v>637</v>
      </c>
    </row>
    <row r="4" spans="1:17" ht="22.5" customHeight="1" x14ac:dyDescent="0.2">
      <c r="B4" s="3" t="s">
        <v>7</v>
      </c>
      <c r="C4" s="3" t="s">
        <v>6</v>
      </c>
      <c r="D4" s="71" t="s">
        <v>512</v>
      </c>
      <c r="E4" s="72" t="s">
        <v>513</v>
      </c>
      <c r="F4" s="72" t="s">
        <v>514</v>
      </c>
      <c r="G4" s="72" t="s">
        <v>598</v>
      </c>
      <c r="H4" s="72" t="s">
        <v>514</v>
      </c>
      <c r="I4" s="71" t="s">
        <v>518</v>
      </c>
      <c r="J4" s="71" t="s">
        <v>520</v>
      </c>
      <c r="K4" s="71" t="s">
        <v>515</v>
      </c>
      <c r="L4" s="71" t="s">
        <v>523</v>
      </c>
      <c r="M4" s="71" t="s">
        <v>516</v>
      </c>
      <c r="N4" s="71" t="s">
        <v>523</v>
      </c>
      <c r="O4" s="72" t="s">
        <v>513</v>
      </c>
      <c r="P4" s="15"/>
      <c r="Q4" s="283"/>
    </row>
    <row r="5" spans="1:17" ht="15" customHeight="1" x14ac:dyDescent="0.2">
      <c r="B5" s="9" t="str">
        <f>IF(ISBLANK('Aqueous Species Options'!B5), "", 'Aqueous Species Options'!B5)</f>
        <v>ACETATE,AQ</v>
      </c>
      <c r="C5" s="9" t="str">
        <f>IF(ISBLANK('Aqueous Species Options'!C5), "", 'Aqueous Species Options'!C5)</f>
        <v>CH3COO-</v>
      </c>
      <c r="D5" s="4">
        <f>IF(ISBLANK('Aqueous Species Options'!D5), "", 'Aqueous Species Options'!D5)</f>
        <v>-88270</v>
      </c>
      <c r="E5" s="25">
        <f>IF(ISBLANK('Aqueous Species Options'!E5), "", 'Aqueous Species Options'!E5)</f>
        <v>-116180</v>
      </c>
      <c r="F5" s="146">
        <f>IF(ISBLANK('Aqueous Species Options'!F5), "", 'Aqueous Species Options'!F5)</f>
        <v>20.6</v>
      </c>
      <c r="G5" s="28">
        <f>IF(ISBLANK('Aqueous Species Options'!B5), "", IF('Aqueous Species Options'!L5 = 1, IF(ISBLANK('Aqueous Species Options'!G5), "", 'Aqueous Species Options'!G5), ('Aqueous Species Table'!I5/10 + ('Aqueous Species Table'!J5*100)/(Calculations!$C$12+Calculations!$C$9) + ('Aqueous Species Table'!K5 + ('Aqueous Species Table'!L5*10000)/(Calculations!$C$12+Calculations!$C$9))*(1/(Calculations!$C$8-Calculations!$C$13)) - 'Aqueous Species Table'!O5*100000*0.0000005903)*41.8393))</f>
        <v>40.549095115675208</v>
      </c>
      <c r="H5" s="28">
        <f>IF(ISBLANK('Aqueous Species Options'!B5), "", IF('Aqueous Species Options'!L5 = 1, IF(ISBLANK('Aqueous Species Options'!H5), "", 'Aqueous Species Options'!H5), 'Aqueous Species Table'!M5 + 'Aqueous Species Table'!N5*10000*(1/(Calculations!$C$8-Calculations!$C$13))^2 + 'Aqueous Species Table'!O5*100000*Calculations!$C$8*Calculations!$C$7))</f>
        <v>6.3117426074730005</v>
      </c>
      <c r="I5" s="60">
        <f>IF(ISBLANK('Aqueous Species Options'!B5), "", IF('Aqueous Species Options'!L5=0, 'Aqueous Species Options'!N5, IF(OR(ISBLANK('Aqueous Species Options'!G5),'Aqueous Species Table'!O5="", 'Aqueous Species Table'!P5=""), "", IF('Aqueous Species Options'!B5="H+", 0, (CHOOSE('Aqueous Species Options'!M5+1,'Aqueous Species Options'!$V$4*ABS('Aqueous Species Table'!P5)+'Aqueous Species Options'!$W$4,'Aqueous Species Options'!$Z$4)*('Aqueous Species Options'!G5 + 'Aqueous Species Table'!O5*100000*0.0000005903*41.8393) + CHOOSE('Aqueous Species Options'!M5+1,'Aqueous Species Options'!$X$4*ABS('Aqueous Species Table'!P5)+'Aqueous Species Options'!$Y$4,'Aqueous Species Options'!$AA$4))*10 ) ) ) )</f>
        <v>10.018000000000001</v>
      </c>
      <c r="J5" s="60">
        <f>IF(ISBLANK('Aqueous Species Options'!B5), "", IF('Aqueous Species Options'!L5 = 0, 'Aqueous Species Options'!O5, IF('Aqueous Species Table'!I5="", "", IF('Aqueous Species Options'!B5="H+", 0, ((1.11*('Aqueous Species Options'!G5 + 'Aqueous Species Table'!O5*100000*0.0000005903*41.8393)+1.8)/41.8393 - 'Aqueous Species Table'!I5/10)*26.01 ) ) ) )</f>
        <v>2.8090000000000002</v>
      </c>
      <c r="K5" s="60">
        <f>IF(ISBLANK('Aqueous Species Options'!B5), "", IF('Aqueous Species Options'!L5 = 0, 'Aqueous Species Options'!P5, IF('Aqueous Species Table'!I5="", "", IF('Aqueous Species Options'!B5="H+", 0, ('Aqueous Species Options'!G5/41.8393 + 'Aqueous Species Table'!O5*100000*0.0000005903 - 'Aqueous Species Table'!I5/10 - 'Aqueous Species Table'!J5*100/2601)*(298.15-228) - ('Aqueous Species Table'!L5*10000/2601) ) ) ) )</f>
        <v>6.72</v>
      </c>
      <c r="L5" s="60">
        <f>IF(ISBLANK('Aqueous Species Options'!B5), "", IF('Aqueous Species Options'!L5 = 0, 'Aqueous Species Options'!Q5, IF('Aqueous Species Table'!J5="", "", IF('Aqueous Species Options'!B5="H+", 0, (-4.134*'Aqueous Species Table'!J5*100 - 27790)*0.0001) ) ) )</f>
        <v>-2.8940999999999999</v>
      </c>
      <c r="M5" s="60">
        <f>IF(ISBLANK('Aqueous Species Options'!B5), "", IF('Aqueous Species Options'!L5=0, 'Aqueous Species Options'!R5, IF('Aqueous Species Table'!N5="", "", IF('Aqueous Species Options'!B5="H+", 0, 'Aqueous Species Options'!H5 - 'Aqueous Species Table'!O5*100000*(-0.000000309)*298.15 - 'Aqueous Species Table'!N5*10000/(298.15-228)^2 ) ) ) )</f>
        <v>26.3</v>
      </c>
      <c r="N5" s="60">
        <f>IF(ISBLANK('Aqueous Species Options'!B5), "", IF('Aqueous Species Options'!L5=0, 'Aqueous Species Options'!S5, IF(OR(ISBLANK('Aqueous Species Options'!H5), 'Aqueous Species Table'!O5=""), "", IF('Aqueous Species Options'!B5="H+", 0, 0.2037*'Aqueous Species Options'!H5 - 3.0346) ) ) )</f>
        <v>-3.86</v>
      </c>
      <c r="O5" s="60">
        <f>IF(ISBLANK('Aqueous Species Options'!B5), "", IF('Aqueous Species Options'!K5=0, 'Aqueous Species Options'!I5, IF(OR('Aqueous Species Options'!J5&gt;4,'Aqueous Species Options'!J5&lt;-4), "", IF('Aqueous Species Options'!B5="H+", 0, IF('Aqueous Species Options'!J5=0, -0.038, IF(ISBLANK('Aqueous Species Options'!F5), "", -1514.4*'Aqueous Species Options'!F5*0.00001 + SUM(({4,3,2,1,-1,-2,-3,-4}='Aqueous Species Options'!J5)*{2.1764,1.5793,1.0579,0.5517,1.6291,3.2127,4.8115,6.486}) ) ) ) ) ) )</f>
        <v>1.3182</v>
      </c>
      <c r="P5" s="1">
        <f>IF(ISBLANK('Aqueous Species Options'!J5), "", 'Aqueous Species Options'!J5)</f>
        <v>-1</v>
      </c>
      <c r="Q5" s="184" t="str">
        <f>IF(ISBLANK('Aqueous Species Options'!T5), "", 'Aqueous Species Options'!T5)</f>
        <v>revised January 26th, 2016; new a1 value from complexes and organics correlation.</v>
      </c>
    </row>
    <row r="6" spans="1:17" ht="15" customHeight="1" x14ac:dyDescent="0.2">
      <c r="B6" s="9" t="str">
        <f>IF(ISBLANK('Aqueous Species Options'!B6), "", 'Aqueous Species Options'!B6)</f>
        <v>ACETIC-ACID,AQ</v>
      </c>
      <c r="C6" s="9" t="str">
        <f>IF(ISBLANK('Aqueous Species Options'!C6), "", 'Aqueous Species Options'!C6)</f>
        <v>CH3COOH</v>
      </c>
      <c r="D6" s="2">
        <f>IF(ISBLANK('Aqueous Species Options'!D6), "", 'Aqueous Species Options'!D6)</f>
        <v>-94760</v>
      </c>
      <c r="E6" s="1">
        <f>IF(ISBLANK('Aqueous Species Options'!E6), "", 'Aqueous Species Options'!E6)</f>
        <v>-116100</v>
      </c>
      <c r="F6" s="139">
        <f>IF(ISBLANK('Aqueous Species Options'!F6), "", 'Aqueous Species Options'!F6)</f>
        <v>42.7</v>
      </c>
      <c r="G6" s="29">
        <f>IF(ISBLANK('Aqueous Species Options'!B6), "", IF('Aqueous Species Options'!L6 = 1, IF(ISBLANK('Aqueous Species Options'!G6), "", 'Aqueous Species Options'!G6), ('Aqueous Species Table'!I6/10 + ('Aqueous Species Table'!J6*100)/(Calculations!$C$12+Calculations!$C$9) + ('Aqueous Species Table'!K6 + ('Aqueous Species Table'!L6*10000)/(Calculations!$C$12+Calculations!$C$9))*(1/(Calculations!$C$8-Calculations!$C$13)) - 'Aqueous Species Table'!O6*100000*0.0000005903)*41.8393))</f>
        <v>51.565051191752339</v>
      </c>
      <c r="H6" s="29">
        <f>IF(ISBLANK('Aqueous Species Options'!B6), "", IF('Aqueous Species Options'!L6 = 1, IF(ISBLANK('Aqueous Species Options'!H6), "", 'Aqueous Species Options'!H6), 'Aqueous Species Table'!M6 + 'Aqueous Species Table'!N6*10000*(1/(Calculations!$C$8-Calculations!$C$13))^2 + 'Aqueous Species Table'!O6*100000*Calculations!$C$8*Calculations!$C$7))</f>
        <v>40.25575770942072</v>
      </c>
      <c r="I6" s="42">
        <f>IF(ISBLANK('Aqueous Species Options'!B6), "", IF('Aqueous Species Options'!L6=0, 'Aqueous Species Options'!N6, IF(OR(ISBLANK('Aqueous Species Options'!G6),'Aqueous Species Table'!O6="", 'Aqueous Species Table'!P6=""), "", IF('Aqueous Species Options'!B6="H+", 0, (CHOOSE('Aqueous Species Options'!M6+1,'Aqueous Species Options'!$V$4*ABS('Aqueous Species Table'!P6)+'Aqueous Species Options'!$W$4,'Aqueous Species Options'!$Z$4)*('Aqueous Species Options'!G6 + 'Aqueous Species Table'!O6*100000*0.0000005903*41.8393) + CHOOSE('Aqueous Species Options'!M6+1,'Aqueous Species Options'!$X$4*ABS('Aqueous Species Table'!P6)+'Aqueous Species Options'!$Y$4,'Aqueous Species Options'!$AA$4))*10 ) ) ) )</f>
        <v>11.5</v>
      </c>
      <c r="J6" s="42">
        <f>IF(ISBLANK('Aqueous Species Options'!B6), "", IF('Aqueous Species Options'!L6 = 0, 'Aqueous Species Options'!O6, IF('Aqueous Species Table'!I6="", "", IF('Aqueous Species Options'!B6="H+", 0, ((1.11*('Aqueous Species Options'!G6 + 'Aqueous Species Table'!O6*100000*0.0000005903*41.8393)+1.8)/41.8393 - 'Aqueous Species Table'!I6/10)*26.01 ) ) ) )</f>
        <v>5.5</v>
      </c>
      <c r="K6" s="42">
        <f>IF(ISBLANK('Aqueous Species Options'!B6), "", IF('Aqueous Species Options'!L6 = 0, 'Aqueous Species Options'!P6, IF('Aqueous Species Table'!I6="", "", IF('Aqueous Species Options'!B6="H+", 0, ('Aqueous Species Options'!G6/41.8393 + 'Aqueous Species Table'!O6*100000*0.0000005903 - 'Aqueous Species Table'!I6/10 - 'Aqueous Species Table'!J6*100/2601)*(298.15-228) - ('Aqueous Species Table'!L6*10000/2601) ) ) ) )</f>
        <v>1.67</v>
      </c>
      <c r="L6" s="42">
        <f>IF(ISBLANK('Aqueous Species Options'!B6), "", IF('Aqueous Species Options'!L6 = 0, 'Aqueous Species Options'!Q6, IF('Aqueous Species Table'!J6="", "", IF('Aqueous Species Options'!B6="H+", 0, (-4.134*'Aqueous Species Table'!J6*100 - 27790)*0.0001) ) ) )</f>
        <v>-2.87</v>
      </c>
      <c r="M6" s="42">
        <f>IF(ISBLANK('Aqueous Species Options'!B6), "", IF('Aqueous Species Options'!L6=0, 'Aqueous Species Options'!R6, IF('Aqueous Species Table'!N6="", "", IF('Aqueous Species Options'!B6="H+", 0, 'Aqueous Species Options'!H6 - 'Aqueous Species Table'!O6*100000*(-0.000000309)*298.15 - 'Aqueous Species Table'!N6*10000/(298.15-228)^2 ) ) ) )</f>
        <v>44.9</v>
      </c>
      <c r="N6" s="42">
        <f>IF(ISBLANK('Aqueous Species Options'!B6), "", IF('Aqueous Species Options'!L6=0, 'Aqueous Species Options'!S6, IF(OR(ISBLANK('Aqueous Species Options'!H6), 'Aqueous Species Table'!O6=""), "", IF('Aqueous Species Options'!B6="H+", 0, 0.2037*'Aqueous Species Options'!H6 - 3.0346) ) ) )</f>
        <v>-2.63</v>
      </c>
      <c r="O6" s="42">
        <f>IF(ISBLANK('Aqueous Species Options'!B6), "", IF('Aqueous Species Options'!K6=0, 'Aqueous Species Options'!I6, IF(OR('Aqueous Species Options'!J6&gt;4,'Aqueous Species Options'!J6&lt;-4), "", IF('Aqueous Species Options'!B6="H+", 0, IF('Aqueous Species Options'!J6=0, -0.038, IF(ISBLANK('Aqueous Species Options'!F6), "", -1514.4*'Aqueous Species Options'!F6*0.00001 + SUM(({4,3,2,1,-1,-2,-3,-4}='Aqueous Species Options'!J6)*{2.1764,1.5793,1.0579,0.5517,1.6291,3.2127,4.8115,6.486}) ) ) ) ) ) )</f>
        <v>-7.5999999999999998E-2</v>
      </c>
      <c r="P6" s="1">
        <f>IF(ISBLANK('Aqueous Species Options'!J6), "", 'Aqueous Species Options'!J6)</f>
        <v>0</v>
      </c>
      <c r="Q6" s="184" t="str">
        <f>IF(ISBLANK('Aqueous Species Options'!T6), "", 'Aqueous Species Options'!T6)</f>
        <v>Plyasunov &amp; Shock (2001)</v>
      </c>
    </row>
    <row r="7" spans="1:17" ht="15" customHeight="1" x14ac:dyDescent="0.2">
      <c r="B7" s="9" t="str">
        <f>IF(ISBLANK('Aqueous Species Options'!B7), "", 'Aqueous Species Options'!B7)</f>
        <v>Ag+</v>
      </c>
      <c r="C7" s="9" t="str">
        <f>IF(ISBLANK('Aqueous Species Options'!C7), "", 'Aqueous Species Options'!C7)</f>
        <v>Ag(+)</v>
      </c>
      <c r="D7" s="2">
        <f>IF(ISBLANK('Aqueous Species Options'!D7), "", 'Aqueous Species Options'!D7)</f>
        <v>18427</v>
      </c>
      <c r="E7" s="1">
        <f>IF(ISBLANK('Aqueous Species Options'!E7), "", 'Aqueous Species Options'!E7)</f>
        <v>25275</v>
      </c>
      <c r="F7" s="139">
        <f>IF(ISBLANK('Aqueous Species Options'!F7), "", 'Aqueous Species Options'!F7)</f>
        <v>17.54</v>
      </c>
      <c r="G7" s="29">
        <f>IF(ISBLANK('Aqueous Species Options'!B7), "", IF('Aqueous Species Options'!L7 = 1, IF(ISBLANK('Aqueous Species Options'!G7), "", 'Aqueous Species Options'!G7), ('Aqueous Species Table'!I7/10 + ('Aqueous Species Table'!J7*100)/(Calculations!$C$12+Calculations!$C$9) + ('Aqueous Species Table'!K7 + ('Aqueous Species Table'!L7*10000)/(Calculations!$C$12+Calculations!$C$9))*(1/(Calculations!$C$8-Calculations!$C$13)) - 'Aqueous Species Table'!O7*100000*0.0000005903)*41.8393))</f>
        <v>-0.80007791831864883</v>
      </c>
      <c r="H7" s="29">
        <f>IF(ISBLANK('Aqueous Species Options'!B7), "", IF('Aqueous Species Options'!L7 = 1, IF(ISBLANK('Aqueous Species Options'!H7), "", 'Aqueous Species Options'!H7), 'Aqueous Species Table'!M7 + 'Aqueous Species Table'!N7*10000*(1/(Calculations!$C$8-Calculations!$C$13))^2 + 'Aqueous Species Table'!O7*100000*Calculations!$C$8*Calculations!$C$7))</f>
        <v>7.8996751450662721</v>
      </c>
      <c r="I7" s="42">
        <f>IF(ISBLANK('Aqueous Species Options'!B7), "", IF('Aqueous Species Options'!L7=0, 'Aqueous Species Options'!N7, IF(OR(ISBLANK('Aqueous Species Options'!G7),'Aqueous Species Table'!O7="", 'Aqueous Species Table'!P7=""), "", IF('Aqueous Species Options'!B7="H+", 0, (CHOOSE('Aqueous Species Options'!M7+1,'Aqueous Species Options'!$V$4*ABS('Aqueous Species Table'!P7)+'Aqueous Species Options'!$W$4,'Aqueous Species Options'!$Z$4)*('Aqueous Species Options'!G7 + 'Aqueous Species Table'!O7*100000*0.0000005903*41.8393) + CHOOSE('Aqueous Species Options'!M7+1,'Aqueous Species Options'!$X$4*ABS('Aqueous Species Table'!P7)+'Aqueous Species Options'!$Y$4,'Aqueous Species Options'!$AA$4))*10 ) ) ) )</f>
        <v>2.0464198451385798</v>
      </c>
      <c r="J7" s="42">
        <f>IF(ISBLANK('Aqueous Species Options'!B7), "", IF('Aqueous Species Options'!L7 = 0, 'Aqueous Species Options'!O7, IF('Aqueous Species Table'!I7="", "", IF('Aqueous Species Options'!B7="H+", 0, ((1.11*('Aqueous Species Options'!G7 + 'Aqueous Species Table'!O7*100000*0.0000005903*41.8393)+1.8)/41.8393 - 'Aqueous Species Table'!I7/10)*26.01 ) ) ) )</f>
        <v>-4.3877135412166561</v>
      </c>
      <c r="K7" s="42">
        <f>IF(ISBLANK('Aqueous Species Options'!B7), "", IF('Aqueous Species Options'!L7 = 0, 'Aqueous Species Options'!P7, IF('Aqueous Species Table'!I7="", "", IF('Aqueous Species Options'!B7="H+", 0, ('Aqueous Species Options'!G7/41.8393 + 'Aqueous Species Table'!O7*100000*0.0000005903 - 'Aqueous Species Table'!I7/10 - 'Aqueous Species Table'!J7*100/2601)*(298.15-228) - ('Aqueous Species Table'!L7*10000/2601) ) ) ) )</f>
        <v>7.0181688006534708</v>
      </c>
      <c r="L7" s="42">
        <f>IF(ISBLANK('Aqueous Species Options'!B7), "", IF('Aqueous Species Options'!L7 = 0, 'Aqueous Species Options'!Q7, IF('Aqueous Species Table'!J7="", "", IF('Aqueous Species Options'!B7="H+", 0, (-4.134*'Aqueous Species Table'!J7*100 - 27790)*0.0001) ) ) )</f>
        <v>-2.5976119222061036</v>
      </c>
      <c r="M7" s="42">
        <f>IF(ISBLANK('Aqueous Species Options'!B7), "", IF('Aqueous Species Options'!L7=0, 'Aqueous Species Options'!R7, IF('Aqueous Species Table'!N7="", "", IF('Aqueous Species Options'!B7="H+", 0, 'Aqueous Species Options'!H7 - 'Aqueous Species Table'!O7*100000*(-0.000000309)*298.15 - 'Aqueous Species Table'!N7*10000/(298.15-228)^2 ) ) ) )</f>
        <v>12.786273506979494</v>
      </c>
      <c r="N7" s="42">
        <f>IF(ISBLANK('Aqueous Species Options'!B7), "", IF('Aqueous Species Options'!L7=0, 'Aqueous Species Options'!S7, IF(OR(ISBLANK('Aqueous Species Options'!H7), 'Aqueous Species Table'!O7=""), "", IF('Aqueous Species Options'!B7="H+", 0, 0.2037*'Aqueous Species Options'!H7 - 3.0346) ) ) )</f>
        <v>-1.4254361729500007</v>
      </c>
      <c r="O7" s="42">
        <f>IF(ISBLANK('Aqueous Species Options'!B7), "", IF('Aqueous Species Options'!K7=0, 'Aqueous Species Options'!I7, IF(OR('Aqueous Species Options'!J7&gt;4,'Aqueous Species Options'!J7&lt;-4), "", IF('Aqueous Species Options'!B7="H+", 0, IF('Aqueous Species Options'!J7=0, -0.038, IF(ISBLANK('Aqueous Species Options'!F7), "", -1514.4*'Aqueous Species Options'!F7*0.00001 + SUM(({4,3,2,1,-1,-2,-3,-4}='Aqueous Species Options'!J7)*{2.1764,1.5793,1.0579,0.5517,1.6291,3.2127,4.8115,6.486}) ) ) ) ) ) )</f>
        <v>0.216</v>
      </c>
      <c r="P7" s="1">
        <f>IF(ISBLANK('Aqueous Species Options'!J7), "", 'Aqueous Species Options'!J7)</f>
        <v>1</v>
      </c>
      <c r="Q7" s="184" t="str">
        <f>IF(ISBLANK('Aqueous Species Options'!T7), "", 'Aqueous Species Options'!T7)</f>
        <v>Shock &amp; Helgeson (1988) revised with new predicted a1 for cations</v>
      </c>
    </row>
    <row r="8" spans="1:17" ht="15" customHeight="1" x14ac:dyDescent="0.2">
      <c r="B8" s="9" t="str">
        <f>IF(ISBLANK('Aqueous Species Options'!B8), "", 'Aqueous Species Options'!B8)</f>
        <v>AgCl,aq</v>
      </c>
      <c r="C8" s="9" t="str">
        <f>IF(ISBLANK('Aqueous Species Options'!C8), "", 'Aqueous Species Options'!C8)</f>
        <v>AgCl(0)</v>
      </c>
      <c r="D8" s="2">
        <f>IF(ISBLANK('Aqueous Species Options'!D8), "", 'Aqueous Species Options'!D8)</f>
        <v>-17450</v>
      </c>
      <c r="E8" s="1">
        <f>IF(ISBLANK('Aqueous Species Options'!E8), "", 'Aqueous Species Options'!E8)</f>
        <v>-18270</v>
      </c>
      <c r="F8" s="139">
        <f>IF(ISBLANK('Aqueous Species Options'!F8), "", 'Aqueous Species Options'!F8)</f>
        <v>34.1</v>
      </c>
      <c r="G8" s="29">
        <f>IF(ISBLANK('Aqueous Species Options'!B8), "", IF('Aqueous Species Options'!L8 = 1, IF(ISBLANK('Aqueous Species Options'!G8), "", 'Aqueous Species Options'!G8), ('Aqueous Species Table'!I8/10 + ('Aqueous Species Table'!J8*100)/(Calculations!$C$12+Calculations!$C$9) + ('Aqueous Species Table'!K8 + ('Aqueous Species Table'!L8*10000)/(Calculations!$C$12+Calculations!$C$9))*(1/(Calculations!$C$8-Calculations!$C$13)) - 'Aqueous Species Table'!O8*100000*0.0000005903)*41.8393))</f>
        <v>27</v>
      </c>
      <c r="H8" s="29">
        <f>IF(ISBLANK('Aqueous Species Options'!B8), "", IF('Aqueous Species Options'!L8 = 1, IF(ISBLANK('Aqueous Species Options'!H8), "", 'Aqueous Species Options'!H8), 'Aqueous Species Table'!M8 + 'Aqueous Species Table'!N8*10000*(1/(Calculations!$C$8-Calculations!$C$13))^2 + 'Aqueous Species Table'!O8*100000*Calculations!$C$8*Calculations!$C$7))</f>
        <v>6.7000936926835664</v>
      </c>
      <c r="I8" s="42">
        <f>IF(ISBLANK('Aqueous Species Options'!B8), "", IF('Aqueous Species Options'!L8=0, 'Aqueous Species Options'!N8, IF(OR(ISBLANK('Aqueous Species Options'!G8),'Aqueous Species Table'!O8="", 'Aqueous Species Table'!P8=""), "", IF('Aqueous Species Options'!B8="H+", 0, (CHOOSE('Aqueous Species Options'!M8+1,'Aqueous Species Options'!$V$4*ABS('Aqueous Species Table'!P8)+'Aqueous Species Options'!$W$4,'Aqueous Species Options'!$Z$4)*('Aqueous Species Options'!G8 + 'Aqueous Species Table'!O8*100000*0.0000005903*41.8393) + CHOOSE('Aqueous Species Options'!M8+1,'Aqueous Species Options'!$X$4*ABS('Aqueous Species Table'!P8)+'Aqueous Species Options'!$Y$4,'Aqueous Species Options'!$AA$4))*10 ) ) ) )</f>
        <v>6.7458431181684571</v>
      </c>
      <c r="J8" s="42">
        <f>IF(ISBLANK('Aqueous Species Options'!B8), "", IF('Aqueous Species Options'!L8 = 0, 'Aqueous Species Options'!O8, IF('Aqueous Species Table'!I8="", "", IF('Aqueous Species Options'!B8="H+", 0, ((1.11*('Aqueous Species Options'!G8 + 'Aqueous Species Table'!O8*100000*0.0000005903*41.8393)+1.8)/41.8393 - 'Aqueous Species Table'!I8/10)*26.01 ) ) ) )</f>
        <v>2.1395755891092776</v>
      </c>
      <c r="K8" s="42">
        <f>IF(ISBLANK('Aqueous Species Options'!B8), "", IF('Aqueous Species Options'!L8 = 0, 'Aqueous Species Options'!P8, IF('Aqueous Species Table'!I8="", "", IF('Aqueous Species Options'!B8="H+", 0, ('Aqueous Species Options'!G8/41.8393 + 'Aqueous Species Table'!O8*100000*0.0000005903 - 'Aqueous Species Table'!I8/10 - 'Aqueous Species Table'!J8*100/2601)*(298.15-228) - ('Aqueous Species Table'!L8*10000/2601) ) ) ) )</f>
        <v>3.0440868940262211</v>
      </c>
      <c r="L8" s="42">
        <f>IF(ISBLANK('Aqueous Species Options'!B8), "", IF('Aqueous Species Options'!L8 = 0, 'Aqueous Species Options'!Q8, IF('Aqueous Species Table'!J8="", "", IF('Aqueous Species Options'!B8="H+", 0, (-4.134*'Aqueous Species Table'!J8*100 - 27790)*0.0001) ) ) )</f>
        <v>-2.8674500548537778</v>
      </c>
      <c r="M8" s="42">
        <f>IF(ISBLANK('Aqueous Species Options'!B8), "", IF('Aqueous Species Options'!L8=0, 'Aqueous Species Options'!R8, IF('Aqueous Species Table'!N8="", "", IF('Aqueous Species Options'!B8="H+", 0, 'Aqueous Species Options'!H8 - 'Aqueous Species Table'!O8*100000*(-0.000000309)*298.15 - 'Aqueous Species Table'!N8*10000/(298.15-228)^2 ) ) ) )</f>
        <v>9.7431847477843441</v>
      </c>
      <c r="N8" s="42">
        <f>IF(ISBLANK('Aqueous Species Options'!B8), "", IF('Aqueous Species Options'!L8=0, 'Aqueous Species Options'!S8, IF(OR(ISBLANK('Aqueous Species Options'!H8), 'Aqueous Species Table'!O8=""), "", IF('Aqueous Species Options'!B8="H+", 0, 0.2037*'Aqueous Species Options'!H8 - 3.0346) ) ) )</f>
        <v>-1.6697909148003578</v>
      </c>
      <c r="O8" s="42">
        <f>IF(ISBLANK('Aqueous Species Options'!B8), "", IF('Aqueous Species Options'!K8=0, 'Aqueous Species Options'!I8, IF(OR('Aqueous Species Options'!J8&gt;4,'Aqueous Species Options'!J8&lt;-4), "", IF('Aqueous Species Options'!B8="H+", 0, IF('Aqueous Species Options'!J8=0, -0.038, IF(ISBLANK('Aqueous Species Options'!F8), "", -1514.4*'Aqueous Species Options'!F8*0.00001 + SUM(({4,3,2,1,-1,-2,-3,-4}='Aqueous Species Options'!J8)*{2.1764,1.5793,1.0579,0.5517,1.6291,3.2127,4.8115,6.486}) ) ) ) ) ) )</f>
        <v>-3.7999999999999999E-2</v>
      </c>
      <c r="P8" s="1">
        <f>IF(ISBLANK('Aqueous Species Options'!J8), "", 'Aqueous Species Options'!J8)</f>
        <v>0</v>
      </c>
      <c r="Q8" s="184" t="str">
        <f>IF(ISBLANK('Aqueous Species Options'!T8), "", 'Aqueous Species Options'!T8)</f>
        <v>Sverjensky et al. (1997) with new V greater than the sum of a1 values of ions</v>
      </c>
    </row>
    <row r="9" spans="1:17" ht="15" customHeight="1" x14ac:dyDescent="0.2">
      <c r="B9" s="9" t="str">
        <f>IF(ISBLANK('Aqueous Species Options'!B9), "", 'Aqueous Species Options'!B9)</f>
        <v>AgCl2-</v>
      </c>
      <c r="C9" s="9" t="str">
        <f>IF(ISBLANK('Aqueous Species Options'!C9), "", 'Aqueous Species Options'!C9)</f>
        <v>AgCl2(-)</v>
      </c>
      <c r="D9" s="2">
        <f>IF(ISBLANK('Aqueous Species Options'!D9), "", 'Aqueous Species Options'!D9)</f>
        <v>-51560</v>
      </c>
      <c r="E9" s="1">
        <f>IF(ISBLANK('Aqueous Species Options'!E9), "", 'Aqueous Species Options'!E9)</f>
        <v>-61130</v>
      </c>
      <c r="F9" s="139">
        <f>IF(ISBLANK('Aqueous Species Options'!F9), "", 'Aqueous Species Options'!F9)</f>
        <v>47</v>
      </c>
      <c r="G9" s="29">
        <f>IF(ISBLANK('Aqueous Species Options'!B9), "", IF('Aqueous Species Options'!L9 = 1, IF(ISBLANK('Aqueous Species Options'!G9), "", 'Aqueous Species Options'!G9), ('Aqueous Species Table'!I9/10 + ('Aqueous Species Table'!J9*100)/(Calculations!$C$12+Calculations!$C$9) + ('Aqueous Species Table'!K9 + ('Aqueous Species Table'!L9*10000)/(Calculations!$C$12+Calculations!$C$9))*(1/(Calculations!$C$8-Calculations!$C$13)) - 'Aqueous Species Table'!O9*100000*0.0000005903)*41.8393))</f>
        <v>53</v>
      </c>
      <c r="H9" s="29">
        <f>IF(ISBLANK('Aqueous Species Options'!B9), "", IF('Aqueous Species Options'!L9 = 1, IF(ISBLANK('Aqueous Species Options'!H9), "", 'Aqueous Species Options'!H9), 'Aqueous Species Table'!M9 + 'Aqueous Species Table'!N9*10000*(1/(Calculations!$C$8-Calculations!$C$13))^2 + 'Aqueous Species Table'!O9*100000*Calculations!$C$8*Calculations!$C$7))</f>
        <v>7.6998959146029584</v>
      </c>
      <c r="I9" s="42">
        <f>IF(ISBLANK('Aqueous Species Options'!B9), "", IF('Aqueous Species Options'!L9=0, 'Aqueous Species Options'!N9, IF(OR(ISBLANK('Aqueous Species Options'!G9),'Aqueous Species Table'!O9="", 'Aqueous Species Table'!P9=""), "", IF('Aqueous Species Options'!B9="H+", 0, (CHOOSE('Aqueous Species Options'!M9+1,'Aqueous Species Options'!$V$4*ABS('Aqueous Species Table'!P9)+'Aqueous Species Options'!$W$4,'Aqueous Species Options'!$Z$4)*('Aqueous Species Options'!G9 + 'Aqueous Species Table'!O9*100000*0.0000005903*41.8393) + CHOOSE('Aqueous Species Options'!M9+1,'Aqueous Species Options'!$X$4*ABS('Aqueous Species Table'!P9)+'Aqueous Species Options'!$Y$4,'Aqueous Species Options'!$AA$4))*10 ) ) ) )</f>
        <v>12.253325472403718</v>
      </c>
      <c r="J9" s="42">
        <f>IF(ISBLANK('Aqueous Species Options'!B9), "", IF('Aqueous Species Options'!L9 = 0, 'Aqueous Species Options'!O9, IF('Aqueous Species Table'!I9="", "", IF('Aqueous Species Options'!B9="H+", 0, ((1.11*('Aqueous Species Options'!G9 + 'Aqueous Species Table'!O9*100000*0.0000005903*41.8393)+1.8)/41.8393 - 'Aqueous Species Table'!I9/10)*26.01 ) ) ) )</f>
        <v>7.3832451325460928</v>
      </c>
      <c r="K9" s="42">
        <f>IF(ISBLANK('Aqueous Species Options'!B9), "", IF('Aqueous Species Options'!L9 = 0, 'Aqueous Species Options'!P9, IF('Aqueous Species Table'!I9="", "", IF('Aqueous Species Options'!B9="H+", 0, ('Aqueous Species Options'!G9/41.8393 + 'Aqueous Species Table'!O9*100000*0.0000005903 - 'Aqueous Species Table'!I9/10 - 'Aqueous Species Table'!J9*100/2601)*(298.15-228) - ('Aqueous Species Table'!L9*10000/2601) ) ) ) )</f>
        <v>-1.3526803252190707</v>
      </c>
      <c r="L9" s="42">
        <f>IF(ISBLANK('Aqueous Species Options'!B9), "", IF('Aqueous Species Options'!L9 = 0, 'Aqueous Species Options'!Q9, IF('Aqueous Species Table'!J9="", "", IF('Aqueous Species Options'!B9="H+", 0, (-4.134*'Aqueous Species Table'!J9*100 - 27790)*0.0001) ) ) )</f>
        <v>-3.0842233537794557</v>
      </c>
      <c r="M9" s="42">
        <f>IF(ISBLANK('Aqueous Species Options'!B9), "", IF('Aqueous Species Options'!L9=0, 'Aqueous Species Options'!R9, IF('Aqueous Species Table'!N9="", "", IF('Aqueous Species Options'!B9="H+", 0, 'Aqueous Species Options'!H9 - 'Aqueous Species Table'!O9*100000*(-0.000000309)*298.15 - 'Aqueous Species Table'!N9*10000/(298.15-228)^2 ) ) ) )</f>
        <v>19.126466615719352</v>
      </c>
      <c r="N9" s="42">
        <f>IF(ISBLANK('Aqueous Species Options'!B9), "", IF('Aqueous Species Options'!L9=0, 'Aqueous Species Options'!S9, IF(OR(ISBLANK('Aqueous Species Options'!H9), 'Aqueous Species Table'!O9=""), "", IF('Aqueous Species Options'!B9="H+", 0, 0.2037*'Aqueous Species Options'!H9 - 3.0346) ) ) )</f>
        <v>-1.4661312021953776</v>
      </c>
      <c r="O9" s="42">
        <f>IF(ISBLANK('Aqueous Species Options'!B9), "", IF('Aqueous Species Options'!K9=0, 'Aqueous Species Options'!I9, IF(OR('Aqueous Species Options'!J9&gt;4,'Aqueous Species Options'!J9&lt;-4), "", IF('Aqueous Species Options'!B9="H+", 0, IF('Aqueous Species Options'!J9=0, -0.038, IF(ISBLANK('Aqueous Species Options'!F9), "", -1514.4*'Aqueous Species Options'!F9*0.00001 + SUM(({4,3,2,1,-1,-2,-3,-4}='Aqueous Species Options'!J9)*{2.1764,1.5793,1.0579,0.5517,1.6291,3.2127,4.8115,6.486}) ) ) ) ) ) )</f>
        <v>0.91690000000000005</v>
      </c>
      <c r="P9" s="1">
        <f>IF(ISBLANK('Aqueous Species Options'!J9), "", 'Aqueous Species Options'!J9)</f>
        <v>-1</v>
      </c>
      <c r="Q9" s="184" t="str">
        <f>IF(ISBLANK('Aqueous Species Options'!T9), "", 'Aqueous Species Options'!T9)</f>
        <v>Sverjensky et al. (1997) with new V greater than the sum of a1 values of ions</v>
      </c>
    </row>
    <row r="10" spans="1:17" ht="15" customHeight="1" x14ac:dyDescent="0.2">
      <c r="B10" s="9" t="str">
        <f>IF(ISBLANK('Aqueous Species Options'!B10), "", 'Aqueous Species Options'!B10)</f>
        <v>Al(OH)+2</v>
      </c>
      <c r="C10" s="9" t="str">
        <f>IF(ISBLANK('Aqueous Species Options'!C10), "", 'Aqueous Species Options'!C10)</f>
        <v>Al(OH)(+2)</v>
      </c>
      <c r="D10" s="2">
        <f>IF(ISBLANK('Aqueous Species Options'!D10), "", 'Aqueous Species Options'!D10)</f>
        <v>-165475</v>
      </c>
      <c r="E10" s="1">
        <f>IF(ISBLANK('Aqueous Species Options'!E10), "", 'Aqueous Species Options'!E10)</f>
        <v>-183300</v>
      </c>
      <c r="F10" s="139">
        <f>IF(ISBLANK('Aqueous Species Options'!F10), "", 'Aqueous Species Options'!F10)</f>
        <v>-44.2</v>
      </c>
      <c r="G10" s="29">
        <f>IF(ISBLANK('Aqueous Species Options'!B10), "", IF('Aqueous Species Options'!L10 = 1, IF(ISBLANK('Aqueous Species Options'!G10), "", 'Aqueous Species Options'!G10), ('Aqueous Species Table'!I10/10 + ('Aqueous Species Table'!J10*100)/(Calculations!$C$12+Calculations!$C$9) + ('Aqueous Species Table'!K10 + ('Aqueous Species Table'!L10*10000)/(Calculations!$C$12+Calculations!$C$9))*(1/(Calculations!$C$8-Calculations!$C$13)) - 'Aqueous Species Table'!O10*100000*0.0000005903)*41.8393))</f>
        <v>-9.75</v>
      </c>
      <c r="H10" s="29">
        <f>IF(ISBLANK('Aqueous Species Options'!B10), "", IF('Aqueous Species Options'!L10 = 1, IF(ISBLANK('Aqueous Species Options'!H10), "", 'Aqueous Species Options'!H10), 'Aqueous Species Table'!M10 + 'Aqueous Species Table'!N10*10000*(1/(Calculations!$C$8-Calculations!$C$13))^2 + 'Aqueous Species Table'!O10*100000*Calculations!$C$8*Calculations!$C$7))</f>
        <v>13.2</v>
      </c>
      <c r="I10" s="42">
        <f>IF(ISBLANK('Aqueous Species Options'!B10), "", IF('Aqueous Species Options'!L10=0, 'Aqueous Species Options'!N10, IF(OR(ISBLANK('Aqueous Species Options'!G10),'Aqueous Species Table'!O10="", 'Aqueous Species Table'!P10=""), "", IF('Aqueous Species Options'!B10="H+", 0, (CHOOSE('Aqueous Species Options'!M10+1,'Aqueous Species Options'!$V$4*ABS('Aqueous Species Table'!P10)+'Aqueous Species Options'!$W$4,'Aqueous Species Options'!$Z$4)*('Aqueous Species Options'!G10 + 'Aqueous Species Table'!O10*100000*0.0000005903*41.8393) + CHOOSE('Aqueous Species Options'!M10+1,'Aqueous Species Options'!$X$4*ABS('Aqueous Species Table'!P10)+'Aqueous Species Options'!$Y$4,'Aqueous Species Options'!$AA$4))*10 ) ) ) )</f>
        <v>0.45534332635217789</v>
      </c>
      <c r="J10" s="42">
        <f>IF(ISBLANK('Aqueous Species Options'!B10), "", IF('Aqueous Species Options'!L10 = 0, 'Aqueous Species Options'!O10, IF('Aqueous Species Table'!I10="", "", IF('Aqueous Species Options'!B10="H+", 0, ((1.11*('Aqueous Species Options'!G10 + 'Aqueous Species Table'!O10*100000*0.0000005903*41.8393)+1.8)/41.8393 - 'Aqueous Species Table'!I10/10)*26.01 ) ) ) )</f>
        <v>-3.8496042302281257</v>
      </c>
      <c r="K10" s="42">
        <f>IF(ISBLANK('Aqueous Species Options'!B10), "", IF('Aqueous Species Options'!L10 = 0, 'Aqueous Species Options'!P10, IF('Aqueous Species Table'!I10="", "", IF('Aqueous Species Options'!B10="H+", 0, ('Aqueous Species Options'!G10/41.8393 + 'Aqueous Species Table'!O10*100000*0.0000005903 - 'Aqueous Species Table'!I10/10 - 'Aqueous Species Table'!J10*100/2601)*(298.15-228) - ('Aqueous Species Table'!L10*10000/2601) ) ) ) )</f>
        <v>8.0659574146023481</v>
      </c>
      <c r="L10" s="42">
        <f>IF(ISBLANK('Aqueous Species Options'!B10), "", IF('Aqueous Species Options'!L10 = 0, 'Aqueous Species Options'!Q10, IF('Aqueous Species Table'!J10="", "", IF('Aqueous Species Options'!B10="H+", 0, (-4.134*'Aqueous Species Table'!J10*100 - 27790)*0.0001) ) ) )</f>
        <v>-2.6198573611223694</v>
      </c>
      <c r="M10" s="42">
        <f>IF(ISBLANK('Aqueous Species Options'!B10), "", IF('Aqueous Species Options'!L10=0, 'Aqueous Species Options'!R10, IF('Aqueous Species Table'!N10="", "", IF('Aqueous Species Options'!B10="H+", 0, 'Aqueous Species Options'!H10 - 'Aqueous Species Table'!O10*100000*(-0.000000309)*298.15 - 'Aqueous Species Table'!N10*10000/(298.15-228)^2 ) ) ) )</f>
        <v>29.815623809578835</v>
      </c>
      <c r="N10" s="42">
        <f>IF(ISBLANK('Aqueous Species Options'!B10), "", IF('Aqueous Species Options'!L10=0, 'Aqueous Species Options'!S10, IF(OR(ISBLANK('Aqueous Species Options'!H10), 'Aqueous Species Table'!O10=""), "", IF('Aqueous Species Options'!B10="H+", 0, 0.2037*'Aqueous Species Options'!H10 - 3.0346) ) ) )</f>
        <v>-0.34576000000000029</v>
      </c>
      <c r="O10" s="42">
        <f>IF(ISBLANK('Aqueous Species Options'!B10), "", IF('Aqueous Species Options'!K10=0, 'Aqueous Species Options'!I10, IF(OR('Aqueous Species Options'!J10&gt;4,'Aqueous Species Options'!J10&lt;-4), "", IF('Aqueous Species Options'!B10="H+", 0, IF('Aqueous Species Options'!J10=0, -0.038, IF(ISBLANK('Aqueous Species Options'!F10), "", -1514.4*'Aqueous Species Options'!F10*0.00001 + SUM(({4,3,2,1,-1,-2,-3,-4}='Aqueous Species Options'!J10)*{2.1764,1.5793,1.0579,0.5517,1.6291,3.2127,4.8115,6.486}) ) ) ) ) ) )</f>
        <v>1.7272648000000004</v>
      </c>
      <c r="P10" s="1">
        <f>IF(ISBLANK('Aqueous Species Options'!J10), "", 'Aqueous Species Options'!J10)</f>
        <v>2</v>
      </c>
      <c r="Q10" s="184" t="str">
        <f>IF(ISBLANK('Aqueous Species Options'!T10), "", 'Aqueous Species Options'!T10)</f>
        <v>Shock et al. (1997) with V calc from a1 predicted as in S24</v>
      </c>
    </row>
    <row r="11" spans="1:17" ht="15" customHeight="1" x14ac:dyDescent="0.2">
      <c r="B11" s="9" t="str">
        <f>IF(ISBLANK('Aqueous Species Options'!B11), "", 'Aqueous Species Options'!B11)</f>
        <v>Al+3</v>
      </c>
      <c r="C11" s="9" t="str">
        <f>IF(ISBLANK('Aqueous Species Options'!C11), "", 'Aqueous Species Options'!C11)</f>
        <v>Al(+3)</v>
      </c>
      <c r="D11" s="2">
        <f>IF(ISBLANK('Aqueous Species Options'!D11), "", 'Aqueous Species Options'!D11)</f>
        <v>-115609</v>
      </c>
      <c r="E11" s="1">
        <f>IF(ISBLANK('Aqueous Species Options'!E11), "", 'Aqueous Species Options'!E11)</f>
        <v>-126834</v>
      </c>
      <c r="F11" s="139">
        <f>IF(ISBLANK('Aqueous Species Options'!F11), "", 'Aqueous Species Options'!F11)</f>
        <v>-77.7</v>
      </c>
      <c r="G11" s="29">
        <f>IF(ISBLANK('Aqueous Species Options'!B11), "", IF('Aqueous Species Options'!L11 = 1, IF(ISBLANK('Aqueous Species Options'!G11), "", 'Aqueous Species Options'!G11), ('Aqueous Species Table'!I11/10 + ('Aqueous Species Table'!J11*100)/(Calculations!$C$12+Calculations!$C$9) + ('Aqueous Species Table'!K11 + ('Aqueous Species Table'!L11*10000)/(Calculations!$C$12+Calculations!$C$9))*(1/(Calculations!$C$8-Calculations!$C$13)) - 'Aqueous Species Table'!O11*100000*0.0000005903)*41.8393))</f>
        <v>-44.399906639446655</v>
      </c>
      <c r="H11" s="29">
        <f>IF(ISBLANK('Aqueous Species Options'!B11), "", IF('Aqueous Species Options'!L11 = 1, IF(ISBLANK('Aqueous Species Options'!H11), "", 'Aqueous Species Options'!H11), 'Aqueous Species Table'!M11 + 'Aqueous Species Table'!N11*10000*(1/(Calculations!$C$8-Calculations!$C$13))^2 + 'Aqueous Species Table'!O11*100000*Calculations!$C$8*Calculations!$C$7))</f>
        <v>-31.041644667421664</v>
      </c>
      <c r="I11" s="42">
        <f>IF(ISBLANK('Aqueous Species Options'!B11), "", IF('Aqueous Species Options'!L11=0, 'Aqueous Species Options'!N11, IF(OR(ISBLANK('Aqueous Species Options'!G11),'Aqueous Species Table'!O11="", 'Aqueous Species Table'!P11=""), "", IF('Aqueous Species Options'!B11="H+", 0, (CHOOSE('Aqueous Species Options'!M11+1,'Aqueous Species Options'!$V$4*ABS('Aqueous Species Table'!P11)+'Aqueous Species Options'!$W$4,'Aqueous Species Options'!$Z$4)*('Aqueous Species Options'!G11 + 'Aqueous Species Table'!O11*100000*0.0000005903*41.8393) + CHOOSE('Aqueous Species Options'!M11+1,'Aqueous Species Options'!$X$4*ABS('Aqueous Species Table'!P11)+'Aqueous Species Options'!$Y$4,'Aqueous Species Options'!$AA$4))*10 ) ) ) )</f>
        <v>-3.3801999999999999</v>
      </c>
      <c r="J11" s="42">
        <f>IF(ISBLANK('Aqueous Species Options'!B11), "", IF('Aqueous Species Options'!L11 = 0, 'Aqueous Species Options'!O11, IF('Aqueous Species Table'!I11="", "", IF('Aqueous Species Options'!B11="H+", 0, ((1.11*('Aqueous Species Options'!G11 + 'Aqueous Species Table'!O11*100000*0.0000005903*41.8393)+1.8)/41.8393 - 'Aqueous Species Table'!I11/10)*26.01 ) ) ) )</f>
        <v>-17.007100000000001</v>
      </c>
      <c r="K11" s="42">
        <f>IF(ISBLANK('Aqueous Species Options'!B11), "", IF('Aqueous Species Options'!L11 = 0, 'Aqueous Species Options'!P11, IF('Aqueous Species Table'!I11="", "", IF('Aqueous Species Options'!B11="H+", 0, ('Aqueous Species Options'!G11/41.8393 + 'Aqueous Species Table'!O11*100000*0.0000005903 - 'Aqueous Species Table'!I11/10 - 'Aqueous Species Table'!J11*100/2601)*(298.15-228) - ('Aqueous Species Table'!L11*10000/2601) ) ) ) )</f>
        <v>14.5185</v>
      </c>
      <c r="L11" s="42">
        <f>IF(ISBLANK('Aqueous Species Options'!B11), "", IF('Aqueous Species Options'!L11 = 0, 'Aqueous Species Options'!Q11, IF('Aqueous Species Table'!J11="", "", IF('Aqueous Species Options'!B11="H+", 0, (-4.134*'Aqueous Species Table'!J11*100 - 27790)*0.0001) ) ) )</f>
        <v>-2.0758000000000001</v>
      </c>
      <c r="M11" s="42">
        <f>IF(ISBLANK('Aqueous Species Options'!B11), "", IF('Aqueous Species Options'!L11=0, 'Aqueous Species Options'!R11, IF('Aqueous Species Table'!N11="", "", IF('Aqueous Species Options'!B11="H+", 0, 'Aqueous Species Options'!H11 - 'Aqueous Species Table'!O11*100000*(-0.000000309)*298.15 - 'Aqueous Species Table'!N11*10000/(298.15-228)^2 ) ) ) )</f>
        <v>10.7</v>
      </c>
      <c r="N11" s="42">
        <f>IF(ISBLANK('Aqueous Species Options'!B11), "", IF('Aqueous Species Options'!L11=0, 'Aqueous Species Options'!S11, IF(OR(ISBLANK('Aqueous Species Options'!H11), 'Aqueous Species Table'!O11=""), "", IF('Aqueous Species Options'!B11="H+", 0, 0.2037*'Aqueous Species Options'!H11 - 3.0346) ) ) )</f>
        <v>-8.06</v>
      </c>
      <c r="O11" s="42">
        <f>IF(ISBLANK('Aqueous Species Options'!B11), "", IF('Aqueous Species Options'!K11=0, 'Aqueous Species Options'!I11, IF(OR('Aqueous Species Options'!J11&gt;4,'Aqueous Species Options'!J11&lt;-4), "", IF('Aqueous Species Options'!B11="H+", 0, IF('Aqueous Species Options'!J11=0, -0.038, IF(ISBLANK('Aqueous Species Options'!F11), "", -1514.4*'Aqueous Species Options'!F11*0.00001 + SUM(({4,3,2,1,-1,-2,-3,-4}='Aqueous Species Options'!J11)*{2.1764,1.5793,1.0579,0.5517,1.6291,3.2127,4.8115,6.486}) ) ) ) ) ) )</f>
        <v>2.7530000000000001</v>
      </c>
      <c r="P11" s="1">
        <f>IF(ISBLANK('Aqueous Species Options'!J11), "", 'Aqueous Species Options'!J11)</f>
        <v>3</v>
      </c>
      <c r="Q11" s="184" t="str">
        <f>IF(ISBLANK('Aqueous Species Options'!T11), "", 'Aqueous Species Options'!T11)</f>
        <v>Shock et al. (1997)</v>
      </c>
    </row>
    <row r="12" spans="1:17" ht="15" customHeight="1" x14ac:dyDescent="0.2">
      <c r="B12" s="9" t="str">
        <f>IF(ISBLANK('Aqueous Species Options'!B12), "", 'Aqueous Species Options'!B12)</f>
        <v>AlO2-</v>
      </c>
      <c r="C12" s="9" t="str">
        <f>IF(ISBLANK('Aqueous Species Options'!C12), "", 'Aqueous Species Options'!C12)</f>
        <v>AlO2(-)</v>
      </c>
      <c r="D12" s="2">
        <f>IF(ISBLANK('Aqueous Species Options'!D12), "", 'Aqueous Species Options'!D12)</f>
        <v>-198693</v>
      </c>
      <c r="E12" s="1">
        <f>IF(ISBLANK('Aqueous Species Options'!E12), "", 'Aqueous Species Options'!E12)</f>
        <v>-222125</v>
      </c>
      <c r="F12" s="139">
        <f>IF(ISBLANK('Aqueous Species Options'!F12), "", 'Aqueous Species Options'!F12)</f>
        <v>-7.22</v>
      </c>
      <c r="G12" s="29">
        <f>IF(ISBLANK('Aqueous Species Options'!B12), "", IF('Aqueous Species Options'!L12 = 1, IF(ISBLANK('Aqueous Species Options'!G12), "", 'Aqueous Species Options'!G12), ('Aqueous Species Table'!I12/10 + ('Aqueous Species Table'!J12*100)/(Calculations!$C$12+Calculations!$C$9) + ('Aqueous Species Table'!K12 + ('Aqueous Species Table'!L12*10000)/(Calculations!$C$12+Calculations!$C$9))*(1/(Calculations!$C$8-Calculations!$C$13)) - 'Aqueous Species Table'!O12*100000*0.0000005903)*41.8393))</f>
        <v>10.000024777758352</v>
      </c>
      <c r="H12" s="29">
        <f>IF(ISBLANK('Aqueous Species Options'!B12), "", IF('Aqueous Species Options'!L12 = 1, IF(ISBLANK('Aqueous Species Options'!H12), "", 'Aqueous Species Options'!H12), 'Aqueous Species Table'!M12 + 'Aqueous Species Table'!N12*10000*(1/(Calculations!$C$8-Calculations!$C$13))^2 + 'Aqueous Species Table'!O12*100000*Calculations!$C$8*Calculations!$C$7))</f>
        <v>-9.5459236279397377</v>
      </c>
      <c r="I12" s="42">
        <f>IF(ISBLANK('Aqueous Species Options'!B12), "", IF('Aqueous Species Options'!L12=0, 'Aqueous Species Options'!N12, IF(OR(ISBLANK('Aqueous Species Options'!G12),'Aqueous Species Table'!O12="", 'Aqueous Species Table'!P12=""), "", IF('Aqueous Species Options'!B12="H+", 0, (CHOOSE('Aqueous Species Options'!M12+1,'Aqueous Species Options'!$V$4*ABS('Aqueous Species Table'!P12)+'Aqueous Species Options'!$W$4,'Aqueous Species Options'!$Z$4)*('Aqueous Species Options'!G12 + 'Aqueous Species Table'!O12*100000*0.0000005903*41.8393) + CHOOSE('Aqueous Species Options'!M12+1,'Aqueous Species Options'!$X$4*ABS('Aqueous Species Table'!P12)+'Aqueous Species Options'!$Y$4,'Aqueous Species Options'!$AA$4))*10 ) ) ) )</f>
        <v>4.298</v>
      </c>
      <c r="J12" s="42">
        <f>IF(ISBLANK('Aqueous Species Options'!B12), "", IF('Aqueous Species Options'!L12 = 0, 'Aqueous Species Options'!O12, IF('Aqueous Species Table'!I12="", "", IF('Aqueous Species Options'!B12="H+", 0, ((1.11*('Aqueous Species Options'!G12 + 'Aqueous Species Table'!O12*100000*0.0000005903*41.8393)+1.8)/41.8393 - 'Aqueous Species Table'!I12/10)*26.01 ) ) ) )</f>
        <v>2.4975999999999998</v>
      </c>
      <c r="K12" s="42">
        <f>IF(ISBLANK('Aqueous Species Options'!B12), "", IF('Aqueous Species Options'!L12 = 0, 'Aqueous Species Options'!P12, IF('Aqueous Species Table'!I12="", "", IF('Aqueous Species Options'!B12="H+", 0, ('Aqueous Species Options'!G12/41.8393 + 'Aqueous Species Table'!O12*100000*0.0000005903 - 'Aqueous Species Table'!I12/10 - 'Aqueous Species Table'!J12*100/2601)*(298.15-228) - ('Aqueous Species Table'!L12*10000/2601) ) ) ) )</f>
        <v>-1.8258000000000001</v>
      </c>
      <c r="L12" s="42">
        <f>IF(ISBLANK('Aqueous Species Options'!B12), "", IF('Aqueous Species Options'!L12 = 0, 'Aqueous Species Options'!Q12, IF('Aqueous Species Table'!J12="", "", IF('Aqueous Species Options'!B12="H+", 0, (-4.134*'Aqueous Species Table'!J12*100 - 27790)*0.0001) ) ) )</f>
        <v>-2.8822999999999999</v>
      </c>
      <c r="M12" s="42">
        <f>IF(ISBLANK('Aqueous Species Options'!B12), "", IF('Aqueous Species Options'!L12=0, 'Aqueous Species Options'!R12, IF('Aqueous Species Table'!N12="", "", IF('Aqueous Species Options'!B12="H+", 0, 'Aqueous Species Options'!H12 - 'Aqueous Species Table'!O12*100000*(-0.000000309)*298.15 - 'Aqueous Species Table'!N12*10000/(298.15-228)^2 ) ) ) )</f>
        <v>19.100000000000001</v>
      </c>
      <c r="N12" s="42">
        <f>IF(ISBLANK('Aqueous Species Options'!B12), "", IF('Aqueous Species Options'!L12=0, 'Aqueous Species Options'!S12, IF(OR(ISBLANK('Aqueous Species Options'!H12), 'Aqueous Species Table'!O12=""), "", IF('Aqueous Species Options'!B12="H+", 0, 0.2037*'Aqueous Species Options'!H12 - 3.0346) ) ) )</f>
        <v>-6.2</v>
      </c>
      <c r="O12" s="42">
        <f>IF(ISBLANK('Aqueous Species Options'!B12), "", IF('Aqueous Species Options'!K12=0, 'Aqueous Species Options'!I12, IF(OR('Aqueous Species Options'!J12&gt;4,'Aqueous Species Options'!J12&lt;-4), "", IF('Aqueous Species Options'!B12="H+", 0, IF('Aqueous Species Options'!J12=0, -0.038, IF(ISBLANK('Aqueous Species Options'!F12), "", -1514.4*'Aqueous Species Options'!F12*0.00001 + SUM(({4,3,2,1,-1,-2,-3,-4}='Aqueous Species Options'!J12)*{2.1764,1.5793,1.0579,0.5517,1.6291,3.2127,4.8115,6.486}) ) ) ) ) ) )</f>
        <v>1.7418</v>
      </c>
      <c r="P12" s="1">
        <f>IF(ISBLANK('Aqueous Species Options'!J12), "", 'Aqueous Species Options'!J12)</f>
        <v>-1</v>
      </c>
      <c r="Q12" s="184" t="str">
        <f>IF(ISBLANK('Aqueous Species Options'!T12), "", 'Aqueous Species Options'!T12)</f>
        <v>Sverjensky et al. (2014)</v>
      </c>
    </row>
    <row r="13" spans="1:17" ht="15" customHeight="1" x14ac:dyDescent="0.2">
      <c r="B13" s="9" t="str">
        <f>IF(ISBLANK('Aqueous Species Options'!B13), "", 'Aqueous Species Options'!B13)</f>
        <v>AlO2(SiO2)-</v>
      </c>
      <c r="C13" s="9" t="str">
        <f>IF(ISBLANK('Aqueous Species Options'!C13), "", 'Aqueous Species Options'!C13)</f>
        <v>AlO2(SiO2)-</v>
      </c>
      <c r="D13" s="2">
        <f>IF(ISBLANK('Aqueous Species Options'!D13), "", 'Aqueous Species Options'!D13)</f>
        <v>-403500</v>
      </c>
      <c r="E13" s="1">
        <f>IF(ISBLANK('Aqueous Species Options'!E13), "", 'Aqueous Species Options'!E13)</f>
        <v>-440456</v>
      </c>
      <c r="F13" s="139">
        <f>IF(ISBLANK('Aqueous Species Options'!F13), "", 'Aqueous Species Options'!F13)</f>
        <v>4</v>
      </c>
      <c r="G13" s="29">
        <f>IF(ISBLANK('Aqueous Species Options'!B13), "", IF('Aqueous Species Options'!L13 = 1, IF(ISBLANK('Aqueous Species Options'!G13), "", 'Aqueous Species Options'!G13), ('Aqueous Species Table'!I13/10 + ('Aqueous Species Table'!J13*100)/(Calculations!$C$12+Calculations!$C$9) + ('Aqueous Species Table'!K13 + ('Aqueous Species Table'!L13*10000)/(Calculations!$C$12+Calculations!$C$9))*(1/(Calculations!$C$8-Calculations!$C$13)) - 'Aqueous Species Table'!O13*100000*0.0000005903)*41.8393))</f>
        <v>34.799999999999997</v>
      </c>
      <c r="H13" s="29">
        <f>IF(ISBLANK('Aqueous Species Options'!B13), "", IF('Aqueous Species Options'!L13 = 1, IF(ISBLANK('Aqueous Species Options'!H13), "", 'Aqueous Species Options'!H13), 'Aqueous Species Table'!M13 + 'Aqueous Species Table'!N13*10000*(1/(Calculations!$C$8-Calculations!$C$13))^2 + 'Aqueous Species Table'!O13*100000*Calculations!$C$8*Calculations!$C$7))</f>
        <v>32</v>
      </c>
      <c r="I13" s="42">
        <f>IF(ISBLANK('Aqueous Species Options'!B13), "", IF('Aqueous Species Options'!L13=0, 'Aqueous Species Options'!N13, IF(OR(ISBLANK('Aqueous Species Options'!G13),'Aqueous Species Table'!O13="", 'Aqueous Species Table'!P13=""), "", IF('Aqueous Species Options'!B13="H+", 0, (CHOOSE('Aqueous Species Options'!M13+1,'Aqueous Species Options'!$V$4*ABS('Aqueous Species Table'!P13)+'Aqueous Species Options'!$W$4,'Aqueous Species Options'!$Z$4)*('Aqueous Species Options'!G13 + 'Aqueous Species Table'!O13*100000*0.0000005903*41.8393) + CHOOSE('Aqueous Species Options'!M13+1,'Aqueous Species Options'!$X$4*ABS('Aqueous Species Table'!P13)+'Aqueous Species Options'!$Y$4,'Aqueous Species Options'!$AA$4))*10 ) ) ) )</f>
        <v>9.0312580420510038</v>
      </c>
      <c r="J13" s="42">
        <f>IF(ISBLANK('Aqueous Species Options'!B13), "", IF('Aqueous Species Options'!L13 = 0, 'Aqueous Species Options'!O13, IF('Aqueous Species Table'!I13="", "", IF('Aqueous Species Options'!B13="H+", 0, ((1.11*('Aqueous Species Options'!G13 + 'Aqueous Species Table'!O13*100000*0.0000005903*41.8393)+1.8)/41.8393 - 'Aqueous Species Table'!I13/10)*26.01 ) ) ) )</f>
        <v>4.3155173097873671</v>
      </c>
      <c r="K13" s="42">
        <f>IF(ISBLANK('Aqueous Species Options'!B13), "", IF('Aqueous Species Options'!L13 = 0, 'Aqueous Species Options'!P13, IF('Aqueous Species Table'!I13="", "", IF('Aqueous Species Options'!B13="H+", 0, ('Aqueous Species Options'!G13/41.8393 + 'Aqueous Species Table'!O13*100000*0.0000005903 - 'Aqueous Species Table'!I13/10 - 'Aqueous Species Table'!J13*100/2601)*(298.15-228) - ('Aqueous Species Table'!L13*10000/2601) ) ) ) )</f>
        <v>1.2195803820855229</v>
      </c>
      <c r="L13" s="42">
        <f>IF(ISBLANK('Aqueous Species Options'!B13), "", IF('Aqueous Species Options'!L13 = 0, 'Aqueous Species Options'!Q13, IF('Aqueous Species Table'!J13="", "", IF('Aqueous Species Options'!B13="H+", 0, (-4.134*'Aqueous Species Table'!J13*100 - 27790)*0.0001) ) ) )</f>
        <v>-2.9574034855866098</v>
      </c>
      <c r="M13" s="42">
        <f>IF(ISBLANK('Aqueous Species Options'!B13), "", IF('Aqueous Species Options'!L13=0, 'Aqueous Species Options'!R13, IF('Aqueous Species Table'!N13="", "", IF('Aqueous Species Options'!B13="H+", 0, 'Aqueous Species Options'!H13 - 'Aqueous Species Table'!O13*100000*(-0.000000309)*298.15 - 'Aqueous Species Table'!N13*10000/(298.15-228)^2 ) ) ) )</f>
        <v>39.371129779126278</v>
      </c>
      <c r="N13" s="42">
        <f>IF(ISBLANK('Aqueous Species Options'!B13), "", IF('Aqueous Species Options'!L13=0, 'Aqueous Species Options'!S13, IF(OR(ISBLANK('Aqueous Species Options'!H13), 'Aqueous Species Table'!O13=""), "", IF('Aqueous Species Options'!B13="H+", 0, 0.2037*'Aqueous Species Options'!H13 - 3.0346) ) ) )</f>
        <v>3.4837999999999996</v>
      </c>
      <c r="O13" s="42">
        <f>IF(ISBLANK('Aqueous Species Options'!B13), "", IF('Aqueous Species Options'!K13=0, 'Aqueous Species Options'!I13, IF(OR('Aqueous Species Options'!J13&gt;4,'Aqueous Species Options'!J13&lt;-4), "", IF('Aqueous Species Options'!B13="H+", 0, IF('Aqueous Species Options'!J13=0, -0.038, IF(ISBLANK('Aqueous Species Options'!F13), "", -1514.4*'Aqueous Species Options'!F13*0.00001 + SUM(({4,3,2,1,-1,-2,-3,-4}='Aqueous Species Options'!J13)*{2.1764,1.5793,1.0579,0.5517,1.6291,3.2127,4.8115,6.486}) ) ) ) ) ) )</f>
        <v>1.568524</v>
      </c>
      <c r="P13" s="1">
        <f>IF(ISBLANK('Aqueous Species Options'!J13), "", 'Aqueous Species Options'!J13)</f>
        <v>-1</v>
      </c>
      <c r="Q13" s="184" t="str">
        <f>IF(ISBLANK('Aqueous Species Options'!T13), "", 'Aqueous Species Options'!T13)</f>
        <v>Huang &amp; Sverjensky (2019)</v>
      </c>
    </row>
    <row r="14" spans="1:17" ht="15" customHeight="1" x14ac:dyDescent="0.2">
      <c r="B14" s="9" t="str">
        <f>IF(ISBLANK('Aqueous Species Options'!B14), "", 'Aqueous Species Options'!B14)</f>
        <v>Ar,aq</v>
      </c>
      <c r="C14" s="9" t="str">
        <f>IF(ISBLANK('Aqueous Species Options'!C14), "", 'Aqueous Species Options'!C14)</f>
        <v>Ar(0)</v>
      </c>
      <c r="D14" s="2">
        <f>IF(ISBLANK('Aqueous Species Options'!D14), "", 'Aqueous Species Options'!D14)</f>
        <v>3900</v>
      </c>
      <c r="E14" s="1">
        <f>IF(ISBLANK('Aqueous Species Options'!E14), "", 'Aqueous Species Options'!E14)</f>
        <v>-2870</v>
      </c>
      <c r="F14" s="139">
        <f>IF(ISBLANK('Aqueous Species Options'!F14), "", 'Aqueous Species Options'!F14)</f>
        <v>14.3</v>
      </c>
      <c r="G14" s="29">
        <f>IF(ISBLANK('Aqueous Species Options'!B14), "", IF('Aqueous Species Options'!L14 = 1, IF(ISBLANK('Aqueous Species Options'!G14), "", 'Aqueous Species Options'!G14), ('Aqueous Species Table'!I14/10 + ('Aqueous Species Table'!J14*100)/(Calculations!$C$12+Calculations!$C$9) + ('Aqueous Species Table'!K14 + ('Aqueous Species Table'!L14*10000)/(Calculations!$C$12+Calculations!$C$9))*(1/(Calculations!$C$8-Calculations!$C$13)) - 'Aqueous Species Table'!O14*100000*0.0000005903)*41.8393))</f>
        <v>31.709837012547897</v>
      </c>
      <c r="H14" s="29">
        <f>IF(ISBLANK('Aqueous Species Options'!B14), "", IF('Aqueous Species Options'!L14 = 1, IF(ISBLANK('Aqueous Species Options'!H14), "", 'Aqueous Species Options'!H14), 'Aqueous Species Table'!M14 + 'Aqueous Species Table'!N14*10000*(1/(Calculations!$C$8-Calculations!$C$13))^2 + 'Aqueous Species Table'!O14*100000*Calculations!$C$8*Calculations!$C$7))</f>
        <v>53.345033192928895</v>
      </c>
      <c r="I14" s="42">
        <f>IF(ISBLANK('Aqueous Species Options'!B14), "", IF('Aqueous Species Options'!L14=0, 'Aqueous Species Options'!N14, IF(OR(ISBLANK('Aqueous Species Options'!G14),'Aqueous Species Table'!O14="", 'Aqueous Species Table'!P14=""), "", IF('Aqueous Species Options'!B14="H+", 0, (CHOOSE('Aqueous Species Options'!M14+1,'Aqueous Species Options'!$V$4*ABS('Aqueous Species Table'!P14)+'Aqueous Species Options'!$W$4,'Aqueous Species Options'!$Z$4)*('Aqueous Species Options'!G14 + 'Aqueous Species Table'!O14*100000*0.0000005903*41.8393) + CHOOSE('Aqueous Species Options'!M14+1,'Aqueous Species Options'!$X$4*ABS('Aqueous Species Table'!P14)+'Aqueous Species Options'!$Y$4,'Aqueous Species Options'!$AA$4))*10 ) ) ) )</f>
        <v>6.0003000000000002</v>
      </c>
      <c r="J14" s="42">
        <f>IF(ISBLANK('Aqueous Species Options'!B14), "", IF('Aqueous Species Options'!L14 = 0, 'Aqueous Species Options'!O14, IF('Aqueous Species Table'!I14="", "", IF('Aqueous Species Options'!B14="H+", 0, ((1.11*('Aqueous Species Options'!G14 + 'Aqueous Species Table'!O14*100000*0.0000005903*41.8393)+1.8)/41.8393 - 'Aqueous Species Table'!I14/10)*26.01 ) ) ) )</f>
        <v>6.8697999999999997</v>
      </c>
      <c r="K14" s="42">
        <f>IF(ISBLANK('Aqueous Species Options'!B14), "", IF('Aqueous Species Options'!L14 = 0, 'Aqueous Species Options'!P14, IF('Aqueous Species Table'!I14="", "", IF('Aqueous Species Options'!B14="H+", 0, ('Aqueous Species Options'!G14/41.8393 + 'Aqueous Species Table'!O14*100000*0.0000005903 - 'Aqueous Species Table'!I14/10 - 'Aqueous Species Table'!J14*100/2601)*(298.15-228) - ('Aqueous Species Table'!L14*10000/2601) ) ) ) )</f>
        <v>3.0499000000000001</v>
      </c>
      <c r="L14" s="42">
        <f>IF(ISBLANK('Aqueous Species Options'!B14), "", IF('Aqueous Species Options'!L14 = 0, 'Aqueous Species Options'!Q14, IF('Aqueous Species Table'!J14="", "", IF('Aqueous Species Options'!B14="H+", 0, (-4.134*'Aqueous Species Table'!J14*100 - 27790)*0.0001) ) ) )</f>
        <v>-3.0630000000000002</v>
      </c>
      <c r="M14" s="42">
        <f>IF(ISBLANK('Aqueous Species Options'!B14), "", IF('Aqueous Species Options'!L14=0, 'Aqueous Species Options'!R14, IF('Aqueous Species Table'!N14="", "", IF('Aqueous Species Options'!B14="H+", 0, 'Aqueous Species Options'!H14 - 'Aqueous Species Table'!O14*100000*(-0.000000309)*298.15 - 'Aqueous Species Table'!N14*10000/(298.15-228)^2 ) ) ) )</f>
        <v>35.647100000000002</v>
      </c>
      <c r="N14" s="42">
        <f>IF(ISBLANK('Aqueous Species Options'!B14), "", IF('Aqueous Species Options'!L14=0, 'Aqueous Species Options'!S14, IF(OR(ISBLANK('Aqueous Species Options'!H14), 'Aqueous Species Table'!O14=""), "", IF('Aqueous Species Options'!B14="H+", 0, 0.2037*'Aqueous Species Options'!H14 - 3.0346) ) ) )</f>
        <v>7.3159999999999998</v>
      </c>
      <c r="O14" s="42">
        <f>IF(ISBLANK('Aqueous Species Options'!B14), "", IF('Aqueous Species Options'!K14=0, 'Aqueous Species Options'!I14, IF(OR('Aqueous Species Options'!J14&gt;4,'Aqueous Species Options'!J14&lt;-4), "", IF('Aqueous Species Options'!B14="H+", 0, IF('Aqueous Species Options'!J14=0, -0.038, IF(ISBLANK('Aqueous Species Options'!F14), "", -1514.4*'Aqueous Species Options'!F14*0.00001 + SUM(({4,3,2,1,-1,-2,-3,-4}='Aqueous Species Options'!J14)*{2.1764,1.5793,1.0579,0.5517,1.6291,3.2127,4.8115,6.486}) ) ) ) ) ) )</f>
        <v>-0.30730000000000002</v>
      </c>
      <c r="P14" s="1">
        <f>IF(ISBLANK('Aqueous Species Options'!J14), "", 'Aqueous Species Options'!J14)</f>
        <v>0</v>
      </c>
      <c r="Q14" s="184" t="str">
        <f>IF(ISBLANK('Aqueous Species Options'!T14), "", 'Aqueous Species Options'!T14)</f>
        <v>Shock et al. (1989)</v>
      </c>
    </row>
    <row r="15" spans="1:17" ht="15" customHeight="1" x14ac:dyDescent="0.2">
      <c r="B15" s="9" t="str">
        <f>IF(ISBLANK('Aqueous Species Options'!B15), "", 'Aqueous Species Options'!B15)</f>
        <v>Au+</v>
      </c>
      <c r="C15" s="9" t="str">
        <f>IF(ISBLANK('Aqueous Species Options'!C15), "", 'Aqueous Species Options'!C15)</f>
        <v>Au(+)</v>
      </c>
      <c r="D15" s="2">
        <f>IF(ISBLANK('Aqueous Species Options'!D15), "", 'Aqueous Species Options'!D15)</f>
        <v>39000</v>
      </c>
      <c r="E15" s="1">
        <f>IF(ISBLANK('Aqueous Species Options'!E15), "", 'Aqueous Species Options'!E15)</f>
        <v>47580</v>
      </c>
      <c r="F15" s="139">
        <f>IF(ISBLANK('Aqueous Species Options'!F15), "", 'Aqueous Species Options'!F15)</f>
        <v>24.5</v>
      </c>
      <c r="G15" s="29">
        <f>IF(ISBLANK('Aqueous Species Options'!B15), "", IF('Aqueous Species Options'!L15 = 1, IF(ISBLANK('Aqueous Species Options'!G15), "", 'Aqueous Species Options'!G15), ('Aqueous Species Table'!I15/10 + ('Aqueous Species Table'!J15*100)/(Calculations!$C$12+Calculations!$C$9) + ('Aqueous Species Table'!K15 + ('Aqueous Species Table'!L15*10000)/(Calculations!$C$12+Calculations!$C$9))*(1/(Calculations!$C$8-Calculations!$C$13)) - 'Aqueous Species Table'!O15*100000*0.0000005903)*41.8393))</f>
        <v>11.100324833471493</v>
      </c>
      <c r="H15" s="29">
        <f>IF(ISBLANK('Aqueous Species Options'!B15), "", IF('Aqueous Species Options'!L15 = 1, IF(ISBLANK('Aqueous Species Options'!H15), "", 'Aqueous Species Options'!H15), 'Aqueous Species Table'!M15 + 'Aqueous Species Table'!N15*10000*(1/(Calculations!$C$8-Calculations!$C$13))^2 + 'Aqueous Species Table'!O15*100000*Calculations!$C$8*Calculations!$C$7))</f>
        <v>0.60020747308475664</v>
      </c>
      <c r="I15" s="42">
        <f>IF(ISBLANK('Aqueous Species Options'!B15), "", IF('Aqueous Species Options'!L15=0, 'Aqueous Species Options'!N15, IF(OR(ISBLANK('Aqueous Species Options'!G15),'Aqueous Species Table'!O15="", 'Aqueous Species Table'!P15=""), "", IF('Aqueous Species Options'!B15="H+", 0, (CHOOSE('Aqueous Species Options'!M15+1,'Aqueous Species Options'!$V$4*ABS('Aqueous Species Table'!P15)+'Aqueous Species Options'!$W$4,'Aqueous Species Options'!$Z$4)*('Aqueous Species Options'!G15 + 'Aqueous Species Table'!O15*100000*0.0000005903*41.8393) + CHOOSE('Aqueous Species Options'!M15+1,'Aqueous Species Options'!$X$4*ABS('Aqueous Species Table'!P15)+'Aqueous Species Options'!$Y$4,'Aqueous Species Options'!$AA$4))*10 ) ) ) )</f>
        <v>3.3303289051148655</v>
      </c>
      <c r="J15" s="42">
        <f>IF(ISBLANK('Aqueous Species Options'!B15), "", IF('Aqueous Species Options'!L15 = 0, 'Aqueous Species Options'!O15, IF('Aqueous Species Table'!I15="", "", IF('Aqueous Species Options'!B15="H+", 0, ((1.11*('Aqueous Species Options'!G15 + 'Aqueous Species Table'!O15*100000*0.0000005903*41.8393)+1.8)/41.8393 - 'Aqueous Species Table'!I15/10)*26.01 ) ) ) )</f>
        <v>0.42332752242294425</v>
      </c>
      <c r="K15" s="42">
        <f>IF(ISBLANK('Aqueous Species Options'!B15), "", IF('Aqueous Species Options'!L15 = 0, 'Aqueous Species Options'!P15, IF('Aqueous Species Table'!I15="", "", IF('Aqueous Species Options'!B15="H+", 0, ('Aqueous Species Options'!G15/41.8393 + 'Aqueous Species Table'!O15*100000*0.0000005903 - 'Aqueous Species Table'!I15/10 - 'Aqueous Species Table'!J15*100/2601)*(298.15-228) - ('Aqueous Species Table'!L15*10000/2601) ) ) ) )</f>
        <v>5.604414972054319</v>
      </c>
      <c r="L15" s="42">
        <f>IF(ISBLANK('Aqueous Species Options'!B15), "", IF('Aqueous Species Options'!L15 = 0, 'Aqueous Species Options'!Q15, IF('Aqueous Species Table'!J15="", "", IF('Aqueous Species Options'!B15="H+", 0, (-4.134*'Aqueous Species Table'!J15*100 - 27790)*0.0001) ) ) )</f>
        <v>-2.7965003597769647</v>
      </c>
      <c r="M15" s="42">
        <f>IF(ISBLANK('Aqueous Species Options'!B15), "", IF('Aqueous Species Options'!L15=0, 'Aqueous Species Options'!R15, IF('Aqueous Species Table'!N15="", "", IF('Aqueous Species Options'!B15="H+", 0, 'Aqueous Species Options'!H15 - 'Aqueous Species Table'!O15*100000*(-0.000000309)*298.15 - 'Aqueous Species Table'!N15*10000/(298.15-228)^2 ) ) ) )</f>
        <v>8.1766734769707625</v>
      </c>
      <c r="N15" s="42">
        <f>IF(ISBLANK('Aqueous Species Options'!B15), "", IF('Aqueous Species Options'!L15=0, 'Aqueous Species Options'!S15, IF(OR(ISBLANK('Aqueous Species Options'!H15), 'Aqueous Species Table'!O15=""), "", IF('Aqueous Species Options'!B15="H+", 0, 0.2037*'Aqueous Species Options'!H15 - 3.0346) ) ) )</f>
        <v>-2.9123377377326354</v>
      </c>
      <c r="O15" s="42">
        <f>IF(ISBLANK('Aqueous Species Options'!B15), "", IF('Aqueous Species Options'!K15=0, 'Aqueous Species Options'!I15, IF(OR('Aqueous Species Options'!J15&gt;4,'Aqueous Species Options'!J15&lt;-4), "", IF('Aqueous Species Options'!B15="H+", 0, IF('Aqueous Species Options'!J15=0, -0.038, IF(ISBLANK('Aqueous Species Options'!F15), "", -1514.4*'Aqueous Species Options'!F15*0.00001 + SUM(({4,3,2,1,-1,-2,-3,-4}='Aqueous Species Options'!J15)*{2.1764,1.5793,1.0579,0.5517,1.6291,3.2127,4.8115,6.486}) ) ) ) ) ) )</f>
        <v>0.18</v>
      </c>
      <c r="P15" s="1">
        <f>IF(ISBLANK('Aqueous Species Options'!J15), "", 'Aqueous Species Options'!J15)</f>
        <v>1</v>
      </c>
      <c r="Q15" s="184" t="str">
        <f>IF(ISBLANK('Aqueous Species Options'!T15), "", 'Aqueous Species Options'!T15)</f>
        <v>Shock &amp; Helgeson (1988) revised with new predicted a1 for cations</v>
      </c>
    </row>
    <row r="16" spans="1:17" ht="15" customHeight="1" x14ac:dyDescent="0.2">
      <c r="B16" s="9" t="str">
        <f>IF(ISBLANK('Aqueous Species Options'!B16), "", 'Aqueous Species Options'!B16)</f>
        <v>Au+3</v>
      </c>
      <c r="C16" s="9" t="str">
        <f>IF(ISBLANK('Aqueous Species Options'!C16), "", 'Aqueous Species Options'!C16)</f>
        <v>Au(+3)</v>
      </c>
      <c r="D16" s="2">
        <f>IF(ISBLANK('Aqueous Species Options'!D16), "", 'Aqueous Species Options'!D16)</f>
        <v>103600</v>
      </c>
      <c r="E16" s="1">
        <f>IF(ISBLANK('Aqueous Species Options'!E16), "", 'Aqueous Species Options'!E16)</f>
        <v>96930</v>
      </c>
      <c r="F16" s="139">
        <f>IF(ISBLANK('Aqueous Species Options'!F16), "", 'Aqueous Species Options'!F16)</f>
        <v>-57.9</v>
      </c>
      <c r="G16" s="29">
        <f>IF(ISBLANK('Aqueous Species Options'!B16), "", IF('Aqueous Species Options'!L16 = 1, IF(ISBLANK('Aqueous Species Options'!G16), "", 'Aqueous Species Options'!G16), ('Aqueous Species Table'!I16/10 + ('Aqueous Species Table'!J16*100)/(Calculations!$C$12+Calculations!$C$9) + ('Aqueous Species Table'!K16 + ('Aqueous Species Table'!L16*10000)/(Calculations!$C$12+Calculations!$C$9))*(1/(Calculations!$C$8-Calculations!$C$13)) - 'Aqueous Species Table'!O16*100000*0.0000005903)*41.8393))</f>
        <v>-41.300343488716095</v>
      </c>
      <c r="H16" s="29">
        <f>IF(ISBLANK('Aqueous Species Options'!B16), "", IF('Aqueous Species Options'!L16 = 1, IF(ISBLANK('Aqueous Species Options'!H16), "", 'Aqueous Species Options'!H16), 'Aqueous Species Table'!M16 + 'Aqueous Species Table'!N16*10000*(1/(Calculations!$C$8-Calculations!$C$13))^2 + 'Aqueous Species Table'!O16*100000*Calculations!$C$8*Calculations!$C$7))</f>
        <v>-36.1998871338686</v>
      </c>
      <c r="I16" s="42">
        <f>IF(ISBLANK('Aqueous Species Options'!B16), "", IF('Aqueous Species Options'!L16=0, 'Aqueous Species Options'!N16, IF(OR(ISBLANK('Aqueous Species Options'!G16),'Aqueous Species Table'!O16="", 'Aqueous Species Table'!P16=""), "", IF('Aqueous Species Options'!B16="H+", 0, (CHOOSE('Aqueous Species Options'!M16+1,'Aqueous Species Options'!$V$4*ABS('Aqueous Species Table'!P16)+'Aqueous Species Options'!$W$4,'Aqueous Species Options'!$Z$4)*('Aqueous Species Options'!G16 + 'Aqueous Species Table'!O16*100000*0.0000005903*41.8393) + CHOOSE('Aqueous Species Options'!M16+1,'Aqueous Species Options'!$X$4*ABS('Aqueous Species Table'!P16)+'Aqueous Species Options'!$Y$4,'Aqueous Species Options'!$AA$4))*10 ) ) ) )</f>
        <v>-8.0309244309481045</v>
      </c>
      <c r="J16" s="42">
        <f>IF(ISBLANK('Aqueous Species Options'!B16), "", IF('Aqueous Species Options'!L16 = 0, 'Aqueous Species Options'!O16, IF('Aqueous Species Table'!I16="", "", IF('Aqueous Species Options'!B16="H+", 0, ((1.11*('Aqueous Species Options'!G16 + 'Aqueous Species Table'!O16*100000*0.0000005903*41.8393)+1.8)/41.8393 - 'Aqueous Species Table'!I16/10)*26.01 ) ) ) )</f>
        <v>-2.3071217010082825</v>
      </c>
      <c r="K16" s="42">
        <f>IF(ISBLANK('Aqueous Species Options'!B16), "", IF('Aqueous Species Options'!L16 = 0, 'Aqueous Species Options'!P16, IF('Aqueous Species Table'!I16="", "", IF('Aqueous Species Options'!B16="H+", 0, ('Aqueous Species Options'!G16/41.8393 + 'Aqueous Species Table'!O16*100000*0.0000005903 - 'Aqueous Species Table'!I16/10 - 'Aqueous Species Table'!J16*100/2601)*(298.15-228) - ('Aqueous Species Table'!L16*10000/2601) ) ) ) )</f>
        <v>13.798337217155645</v>
      </c>
      <c r="L16" s="42">
        <f>IF(ISBLANK('Aqueous Species Options'!B16), "", IF('Aqueous Species Options'!L16 = 0, 'Aqueous Species Options'!Q16, IF('Aqueous Species Table'!J16="", "", IF('Aqueous Species Options'!B16="H+", 0, (-4.134*'Aqueous Species Table'!J16*100 - 27790)*0.0001) ) ) )</f>
        <v>-2.6836235888803177</v>
      </c>
      <c r="M16" s="42">
        <f>IF(ISBLANK('Aqueous Species Options'!B16), "", IF('Aqueous Species Options'!L16=0, 'Aqueous Species Options'!R16, IF('Aqueous Species Table'!N16="", "", IF('Aqueous Species Options'!B16="H+", 0, 'Aqueous Species Options'!H16 - 'Aqueous Species Table'!O16*100000*(-0.000000309)*298.15 - 'Aqueous Species Table'!N16*10000/(298.15-228)^2 ) ) ) )</f>
        <v>7.5724345642984439</v>
      </c>
      <c r="N16" s="42">
        <f>IF(ISBLANK('Aqueous Species Options'!B16), "", IF('Aqueous Species Options'!L16=0, 'Aqueous Species Options'!S16, IF(OR(ISBLANK('Aqueous Species Options'!H16), 'Aqueous Species Table'!O16=""), "", IF('Aqueous Species Options'!B16="H+", 0, 0.2037*'Aqueous Species Options'!H16 - 3.0346) ) ) )</f>
        <v>-10.408517009169033</v>
      </c>
      <c r="O16" s="42">
        <f>IF(ISBLANK('Aqueous Species Options'!B16), "", IF('Aqueous Species Options'!K16=0, 'Aqueous Species Options'!I16, IF(OR('Aqueous Species Options'!J16&gt;4,'Aqueous Species Options'!J16&lt;-4), "", IF('Aqueous Species Options'!B16="H+", 0, IF('Aqueous Species Options'!J16=0, -0.038, IF(ISBLANK('Aqueous Species Options'!F16), "", -1514.4*'Aqueous Species Options'!F16*0.00001 + SUM(({4,3,2,1,-1,-2,-3,-4}='Aqueous Species Options'!J16)*{2.1764,1.5793,1.0579,0.5517,1.6291,3.2127,4.8115,6.486}) ) ) ) ) ) )</f>
        <v>2.4554</v>
      </c>
      <c r="P16" s="1">
        <f>IF(ISBLANK('Aqueous Species Options'!J16), "", 'Aqueous Species Options'!J16)</f>
        <v>3</v>
      </c>
      <c r="Q16" s="184" t="str">
        <f>IF(ISBLANK('Aqueous Species Options'!T16), "", 'Aqueous Species Options'!T16)</f>
        <v>Shock &amp; Helgeson (1988) revised with new predicted a1 for cations</v>
      </c>
    </row>
    <row r="17" spans="2:17" ht="15" customHeight="1" x14ac:dyDescent="0.2">
      <c r="B17" s="9" t="str">
        <f>IF(ISBLANK('Aqueous Species Options'!B17), "", 'Aqueous Species Options'!B17)</f>
        <v>B(OH)3,aq</v>
      </c>
      <c r="C17" s="9" t="str">
        <f>IF(ISBLANK('Aqueous Species Options'!C17), "", 'Aqueous Species Options'!C17)</f>
        <v>B(OH)3(0)</v>
      </c>
      <c r="D17" s="2">
        <f>IF(ISBLANK('Aqueous Species Options'!D17), "", 'Aqueous Species Options'!D17)</f>
        <v>-231540</v>
      </c>
      <c r="E17" s="1">
        <f>IF(ISBLANK('Aqueous Species Options'!E17), "", 'Aqueous Species Options'!E17)</f>
        <v>-256820</v>
      </c>
      <c r="F17" s="139">
        <f>IF(ISBLANK('Aqueous Species Options'!F17), "", 'Aqueous Species Options'!F17)</f>
        <v>37</v>
      </c>
      <c r="G17" s="29">
        <f>IF(ISBLANK('Aqueous Species Options'!B17), "", IF('Aqueous Species Options'!L17 = 1, IF(ISBLANK('Aqueous Species Options'!G17), "", 'Aqueous Species Options'!G17), ('Aqueous Species Table'!I17/10 + ('Aqueous Species Table'!J17*100)/(Calculations!$C$12+Calculations!$C$9) + ('Aqueous Species Table'!K17 + ('Aqueous Species Table'!L17*10000)/(Calculations!$C$12+Calculations!$C$9))*(1/(Calculations!$C$8-Calculations!$C$13)) - 'Aqueous Species Table'!O17*100000*0.0000005903)*41.8393))</f>
        <v>39.219941654439609</v>
      </c>
      <c r="H17" s="29">
        <f>IF(ISBLANK('Aqueous Species Options'!B17), "", IF('Aqueous Species Options'!L17 = 1, IF(ISBLANK('Aqueous Species Options'!H17), "", 'Aqueous Species Options'!H17), 'Aqueous Species Table'!M17 + 'Aqueous Species Table'!N17*10000*(1/(Calculations!$C$8-Calculations!$C$13))^2 + 'Aqueous Species Table'!O17*100000*Calculations!$C$8*Calculations!$C$7))</f>
        <v>12.000022758025896</v>
      </c>
      <c r="I17" s="42">
        <f>IF(ISBLANK('Aqueous Species Options'!B17), "", IF('Aqueous Species Options'!L17=0, 'Aqueous Species Options'!N17, IF(OR(ISBLANK('Aqueous Species Options'!G17),'Aqueous Species Table'!O17="", 'Aqueous Species Table'!P17=""), "", IF('Aqueous Species Options'!B17="H+", 0, (CHOOSE('Aqueous Species Options'!M17+1,'Aqueous Species Options'!$V$4*ABS('Aqueous Species Table'!P17)+'Aqueous Species Options'!$W$4,'Aqueous Species Options'!$Z$4)*('Aqueous Species Options'!G17 + 'Aqueous Species Table'!O17*100000*0.0000005903*41.8393) + CHOOSE('Aqueous Species Options'!M17+1,'Aqueous Species Options'!$X$4*ABS('Aqueous Species Table'!P17)+'Aqueous Species Options'!$Y$4,'Aqueous Species Options'!$AA$4))*10 ) ) ) )</f>
        <v>7.0643000000000002</v>
      </c>
      <c r="J17" s="42">
        <f>IF(ISBLANK('Aqueous Species Options'!B17), "", IF('Aqueous Species Options'!L17 = 0, 'Aqueous Species Options'!O17, IF('Aqueous Species Table'!I17="", "", IF('Aqueous Species Options'!B17="H+", 0, ((1.11*('Aqueous Species Options'!G17 + 'Aqueous Species Table'!O17*100000*0.0000005903*41.8393)+1.8)/41.8393 - 'Aqueous Species Table'!I17/10)*26.01 ) ) ) )</f>
        <v>8.8546999999999993</v>
      </c>
      <c r="K17" s="42">
        <f>IF(ISBLANK('Aqueous Species Options'!B17), "", IF('Aqueous Species Options'!L17 = 0, 'Aqueous Species Options'!P17, IF('Aqueous Species Table'!I17="", "", IF('Aqueous Species Options'!B17="H+", 0, ('Aqueous Species Options'!G17/41.8393 + 'Aqueous Species Table'!O17*100000*0.0000005903 - 'Aqueous Species Table'!I17/10 - 'Aqueous Species Table'!J17*100/2601)*(298.15-228) - ('Aqueous Species Table'!L17*10000/2601) ) ) ) )</f>
        <v>3.5844</v>
      </c>
      <c r="L17" s="42">
        <f>IF(ISBLANK('Aqueous Species Options'!B17), "", IF('Aqueous Species Options'!L17 = 0, 'Aqueous Species Options'!Q17, IF('Aqueous Species Table'!J17="", "", IF('Aqueous Species Options'!B17="H+", 0, (-4.134*'Aqueous Species Table'!J17*100 - 27790)*0.0001) ) ) )</f>
        <v>-3.1450999999999998</v>
      </c>
      <c r="M17" s="42">
        <f>IF(ISBLANK('Aqueous Species Options'!B17), "", IF('Aqueous Species Options'!L17=0, 'Aqueous Species Options'!R17, IF('Aqueous Species Table'!N17="", "", IF('Aqueous Species Options'!B17="H+", 0, 'Aqueous Species Options'!H17 - 'Aqueous Species Table'!O17*100000*(-0.000000309)*298.15 - 'Aqueous Species Table'!N17*10000/(298.15-228)^2 ) ) ) )</f>
        <v>11.3568</v>
      </c>
      <c r="N17" s="42">
        <f>IF(ISBLANK('Aqueous Species Options'!B17), "", IF('Aqueous Species Options'!L17=0, 'Aqueous Species Options'!S17, IF(OR(ISBLANK('Aqueous Species Options'!H17), 'Aqueous Species Table'!O17=""), "", IF('Aqueous Species Options'!B17="H+", 0, 0.2037*'Aqueous Species Options'!H17 - 3.0346) ) ) )</f>
        <v>-0.59019999999999995</v>
      </c>
      <c r="O17" s="42">
        <f>IF(ISBLANK('Aqueous Species Options'!B17), "", IF('Aqueous Species Options'!K17=0, 'Aqueous Species Options'!I17, IF(OR('Aqueous Species Options'!J17&gt;4,'Aqueous Species Options'!J17&lt;-4), "", IF('Aqueous Species Options'!B17="H+", 0, IF('Aqueous Species Options'!J17=0, -0.038, IF(ISBLANK('Aqueous Species Options'!F17), "", -1514.4*'Aqueous Species Options'!F17*0.00001 + SUM(({4,3,2,1,-1,-2,-3,-4}='Aqueous Species Options'!J17)*{2.1764,1.5793,1.0579,0.5517,1.6291,3.2127,4.8115,6.486}) ) ) ) ) ) )</f>
        <v>-0.2</v>
      </c>
      <c r="P17" s="1">
        <f>IF(ISBLANK('Aqueous Species Options'!J17), "", 'Aqueous Species Options'!J17)</f>
        <v>0</v>
      </c>
      <c r="Q17" s="184" t="str">
        <f>IF(ISBLANK('Aqueous Species Options'!T17), "", 'Aqueous Species Options'!T17)</f>
        <v>Shock, Helgeson &amp; Sverjensky (1989)</v>
      </c>
    </row>
    <row r="18" spans="2:17" ht="15" customHeight="1" x14ac:dyDescent="0.2">
      <c r="B18" s="9" t="str">
        <f>IF(ISBLANK('Aqueous Species Options'!B18), "", 'Aqueous Species Options'!B18)</f>
        <v>Ba+2</v>
      </c>
      <c r="C18" s="9" t="str">
        <f>IF(ISBLANK('Aqueous Species Options'!C18), "", 'Aqueous Species Options'!C18)</f>
        <v>Ba(+2)</v>
      </c>
      <c r="D18" s="2">
        <f>IF(ISBLANK('Aqueous Species Options'!D18), "", 'Aqueous Species Options'!D18)</f>
        <v>-134030</v>
      </c>
      <c r="E18" s="1">
        <f>IF(ISBLANK('Aqueous Species Options'!E18), "", 'Aqueous Species Options'!E18)</f>
        <v>-128500</v>
      </c>
      <c r="F18" s="139">
        <f>IF(ISBLANK('Aqueous Species Options'!F18), "", 'Aqueous Species Options'!F18)</f>
        <v>2.2999999999999998</v>
      </c>
      <c r="G18" s="29">
        <f>IF(ISBLANK('Aqueous Species Options'!B18), "", IF('Aqueous Species Options'!L18 = 1, IF(ISBLANK('Aqueous Species Options'!G18), "", 'Aqueous Species Options'!G18), ('Aqueous Species Table'!I18/10 + ('Aqueous Species Table'!J18*100)/(Calculations!$C$12+Calculations!$C$9) + ('Aqueous Species Table'!K18 + ('Aqueous Species Table'!L18*10000)/(Calculations!$C$12+Calculations!$C$9))*(1/(Calculations!$C$8-Calculations!$C$13)) - 'Aqueous Species Table'!O18*100000*0.0000005903)*41.8393))</f>
        <v>-12.599841165212119</v>
      </c>
      <c r="H18" s="29">
        <f>IF(ISBLANK('Aqueous Species Options'!B18), "", IF('Aqueous Species Options'!L18 = 1, IF(ISBLANK('Aqueous Species Options'!H18), "", 'Aqueous Species Options'!H18), 'Aqueous Species Table'!M18 + 'Aqueous Species Table'!N18*10000*(1/(Calculations!$C$8-Calculations!$C$13))^2 + 'Aqueous Species Table'!O18*100000*Calculations!$C$8*Calculations!$C$7))</f>
        <v>-12.285380588877757</v>
      </c>
      <c r="I18" s="42">
        <f>IF(ISBLANK('Aqueous Species Options'!B18), "", IF('Aqueous Species Options'!L18=0, 'Aqueous Species Options'!N18, IF(OR(ISBLANK('Aqueous Species Options'!G18),'Aqueous Species Table'!O18="", 'Aqueous Species Table'!P18=""), "", IF('Aqueous Species Options'!B18="H+", 0, (CHOOSE('Aqueous Species Options'!M18+1,'Aqueous Species Options'!$V$4*ABS('Aqueous Species Table'!P18)+'Aqueous Species Options'!$W$4,'Aqueous Species Options'!$Z$4)*('Aqueous Species Options'!G18 + 'Aqueous Species Table'!O18*100000*0.0000005903*41.8393) + CHOOSE('Aqueous Species Options'!M18+1,'Aqueous Species Options'!$X$4*ABS('Aqueous Species Table'!P18)+'Aqueous Species Options'!$Y$4,'Aqueous Species Options'!$AA$4))*10 ) ) ) )</f>
        <v>1.1011430678496485</v>
      </c>
      <c r="J18" s="42">
        <f>IF(ISBLANK('Aqueous Species Options'!B18), "", IF('Aqueous Species Options'!L18 = 0, 'Aqueous Species Options'!O18, IF('Aqueous Species Table'!I18="", "", IF('Aqueous Species Options'!B18="H+", 0, ((1.11*('Aqueous Species Options'!G18 + 'Aqueous Species Table'!O18*100000*0.0000005903*41.8393)+1.8)/41.8393 - 'Aqueous Species Table'!I18/10)*26.01 ) ) ) )</f>
        <v>-8.7608678066855799</v>
      </c>
      <c r="K18" s="42">
        <f>IF(ISBLANK('Aqueous Species Options'!B18), "", IF('Aqueous Species Options'!L18 = 0, 'Aqueous Species Options'!P18, IF('Aqueous Species Table'!I18="", "", IF('Aqueous Species Options'!B18="H+", 0, ('Aqueous Species Options'!G18/41.8393 + 'Aqueous Species Table'!O18*100000*0.0000005903 - 'Aqueous Species Table'!I18/10 - 'Aqueous Species Table'!J18*100/2601)*(298.15-228) - ('Aqueous Species Table'!L18*10000/2601) ) ) ) )</f>
        <v>8.1490735693905485</v>
      </c>
      <c r="L18" s="42">
        <f>IF(ISBLANK('Aqueous Species Options'!B18), "", IF('Aqueous Species Options'!L18 = 0, 'Aqueous Species Options'!Q18, IF('Aqueous Species Table'!J18="", "", IF('Aqueous Species Options'!B18="H+", 0, (-4.134*'Aqueous Species Table'!J18*100 - 27790)*0.0001) ) ) )</f>
        <v>-2.4168257248716181</v>
      </c>
      <c r="M18" s="42">
        <f>IF(ISBLANK('Aqueous Species Options'!B18), "", IF('Aqueous Species Options'!L18=0, 'Aqueous Species Options'!R18, IF('Aqueous Species Table'!N18="", "", IF('Aqueous Species Options'!B18="H+", 0, 'Aqueous Species Options'!H18 - 'Aqueous Species Table'!O18*100000*(-0.000000309)*298.15 - 'Aqueous Species Table'!N18*10000/(298.15-228)^2 ) ) ) )</f>
        <v>8.0412568240734572</v>
      </c>
      <c r="N18" s="42">
        <f>IF(ISBLANK('Aqueous Species Options'!B18), "", IF('Aqueous Species Options'!L18=0, 'Aqueous Species Options'!S18, IF(OR(ISBLANK('Aqueous Species Options'!H18), 'Aqueous Species Table'!O18=""), "", IF('Aqueous Species Options'!B18="H+", 0, 0.2037*'Aqueous Species Options'!H18 - 3.0346) ) ) )</f>
        <v>-5.5371320259543992</v>
      </c>
      <c r="O18" s="42">
        <f>IF(ISBLANK('Aqueous Species Options'!B18), "", IF('Aqueous Species Options'!K18=0, 'Aqueous Species Options'!I18, IF(OR('Aqueous Species Options'!J18&gt;4,'Aqueous Species Options'!J18&lt;-4), "", IF('Aqueous Species Options'!B18="H+", 0, IF('Aqueous Species Options'!J18=0, -0.038, IF(ISBLANK('Aqueous Species Options'!F18), "", -1514.4*'Aqueous Species Options'!F18*0.00001 + SUM(({4,3,2,1,-1,-2,-3,-4}='Aqueous Species Options'!J18)*{2.1764,1.5793,1.0579,0.5517,1.6291,3.2127,4.8115,6.486}) ) ) ) ) ) )</f>
        <v>0.98499999999999999</v>
      </c>
      <c r="P18" s="1">
        <f>IF(ISBLANK('Aqueous Species Options'!J18), "", 'Aqueous Species Options'!J18)</f>
        <v>2</v>
      </c>
      <c r="Q18" s="184" t="str">
        <f>IF(ISBLANK('Aqueous Species Options'!T18), "", 'Aqueous Species Options'!T18)</f>
        <v>Shock &amp; Helgeson (1988) revised with new predicted a1 for cations</v>
      </c>
    </row>
    <row r="19" spans="2:17" ht="15" customHeight="1" x14ac:dyDescent="0.2">
      <c r="B19" s="9" t="str">
        <f>IF(ISBLANK('Aqueous Species Options'!B19), "", 'Aqueous Species Options'!B19)</f>
        <v>BaCl+</v>
      </c>
      <c r="C19" s="9" t="str">
        <f>IF(ISBLANK('Aqueous Species Options'!C19), "", 'Aqueous Species Options'!C19)</f>
        <v>BaCl(+)</v>
      </c>
      <c r="D19" s="2">
        <f>IF(ISBLANK('Aqueous Species Options'!D19), "", 'Aqueous Species Options'!D19)</f>
        <v>-164730</v>
      </c>
      <c r="E19" s="1">
        <f>IF(ISBLANK('Aqueous Species Options'!E19), "", 'Aqueous Species Options'!E19)</f>
        <v>-165770</v>
      </c>
      <c r="F19" s="139">
        <f>IF(ISBLANK('Aqueous Species Options'!F19), "", 'Aqueous Species Options'!F19)</f>
        <v>22.5</v>
      </c>
      <c r="G19" s="29">
        <f>IF(ISBLANK('Aqueous Species Options'!B19), "", IF('Aqueous Species Options'!L19 = 1, IF(ISBLANK('Aqueous Species Options'!G19), "", 'Aqueous Species Options'!G19), ('Aqueous Species Table'!I19/10 + ('Aqueous Species Table'!J19*100)/(Calculations!$C$12+Calculations!$C$9) + ('Aqueous Species Table'!K19 + ('Aqueous Species Table'!L19*10000)/(Calculations!$C$12+Calculations!$C$9))*(1/(Calculations!$C$8-Calculations!$C$13)) - 'Aqueous Species Table'!O19*100000*0.0000005903)*41.8393))</f>
        <v>16.8</v>
      </c>
      <c r="H19" s="29">
        <f>IF(ISBLANK('Aqueous Species Options'!B19), "", IF('Aqueous Species Options'!L19 = 1, IF(ISBLANK('Aqueous Species Options'!H19), "", 'Aqueous Species Options'!H19), 'Aqueous Species Table'!M19 + 'Aqueous Species Table'!N19*10000*(1/(Calculations!$C$8-Calculations!$C$13))^2 + 'Aqueous Species Table'!O19*100000*Calculations!$C$8*Calculations!$C$7))</f>
        <v>6.1795580630575788</v>
      </c>
      <c r="I19" s="42">
        <f>IF(ISBLANK('Aqueous Species Options'!B19), "", IF('Aqueous Species Options'!L19=0, 'Aqueous Species Options'!N19, IF(OR(ISBLANK('Aqueous Species Options'!G19),'Aqueous Species Table'!O19="", 'Aqueous Species Table'!P19=""), "", IF('Aqueous Species Options'!B19="H+", 0, (CHOOSE('Aqueous Species Options'!M19+1,'Aqueous Species Options'!$V$4*ABS('Aqueous Species Table'!P19)+'Aqueous Species Options'!$W$4,'Aqueous Species Options'!$Z$4)*('Aqueous Species Options'!G19 + 'Aqueous Species Table'!O19*100000*0.0000005903*41.8393) + CHOOSE('Aqueous Species Options'!M19+1,'Aqueous Species Options'!$X$4*ABS('Aqueous Species Table'!P19)+'Aqueous Species Options'!$Y$4,'Aqueous Species Options'!$AA$4))*10 ) ) ) )</f>
        <v>4.88510260729963</v>
      </c>
      <c r="J19" s="42">
        <f>IF(ISBLANK('Aqueous Species Options'!B19), "", IF('Aqueous Species Options'!L19 = 0, 'Aqueous Species Options'!O19, IF('Aqueous Species Table'!I19="", "", IF('Aqueous Species Options'!B19="H+", 0, ((1.11*('Aqueous Species Options'!G19 + 'Aqueous Species Table'!O19*100000*0.0000005903*41.8393)+1.8)/41.8393 - 'Aqueous Species Table'!I19/10)*26.01 ) ) ) )</f>
        <v>0.36796603731857253</v>
      </c>
      <c r="K19" s="42">
        <f>IF(ISBLANK('Aqueous Species Options'!B19), "", IF('Aqueous Species Options'!L19 = 0, 'Aqueous Species Options'!P19, IF('Aqueous Species Table'!I19="", "", IF('Aqueous Species Options'!B19="H+", 0, ('Aqueous Species Options'!G19/41.8393 + 'Aqueous Species Table'!O19*100000*0.0000005903 - 'Aqueous Species Table'!I19/10 - 'Aqueous Species Table'!J19*100/2601)*(298.15-228) - ('Aqueous Species Table'!L19*10000/2601) ) ) ) )</f>
        <v>4.5295647141082922</v>
      </c>
      <c r="L19" s="42">
        <f>IF(ISBLANK('Aqueous Species Options'!B19), "", IF('Aqueous Species Options'!L19 = 0, 'Aqueous Species Options'!Q19, IF('Aqueous Species Table'!J19="", "", IF('Aqueous Species Options'!B19="H+", 0, (-4.134*'Aqueous Species Table'!J19*100 - 27790)*0.0001) ) ) )</f>
        <v>-2.7942117159827502</v>
      </c>
      <c r="M19" s="42">
        <f>IF(ISBLANK('Aqueous Species Options'!B19), "", IF('Aqueous Species Options'!L19=0, 'Aqueous Species Options'!R19, IF('Aqueous Species Table'!N19="", "", IF('Aqueous Species Options'!B19="H+", 0, 'Aqueous Species Options'!H19 - 'Aqueous Species Table'!O19*100000*(-0.000000309)*298.15 - 'Aqueous Species Table'!N19*10000/(298.15-228)^2 ) ) ) )</f>
        <v>11.746855235787219</v>
      </c>
      <c r="N19" s="42">
        <f>IF(ISBLANK('Aqueous Species Options'!B19), "", IF('Aqueous Species Options'!L19=0, 'Aqueous Species Options'!S19, IF(OR(ISBLANK('Aqueous Species Options'!H19), 'Aqueous Species Table'!O19=""), "", IF('Aqueous Species Options'!B19="H+", 0, 0.2037*'Aqueous Species Options'!H19 - 3.0346) ) ) )</f>
        <v>-1.7758240225551714</v>
      </c>
      <c r="O19" s="42">
        <f>IF(ISBLANK('Aqueous Species Options'!B19), "", IF('Aqueous Species Options'!K19=0, 'Aqueous Species Options'!I19, IF(OR('Aqueous Species Options'!J19&gt;4,'Aqueous Species Options'!J19&lt;-4), "", IF('Aqueous Species Options'!B19="H+", 0, IF('Aqueous Species Options'!J19=0, -0.038, IF(ISBLANK('Aqueous Species Options'!F19), "", -1514.4*'Aqueous Species Options'!F19*0.00001 + SUM(({4,3,2,1,-1,-2,-3,-4}='Aqueous Species Options'!J19)*{2.1764,1.5793,1.0579,0.5517,1.6291,3.2127,4.8115,6.486}) ) ) ) ) ) )</f>
        <v>0.21260000000000001</v>
      </c>
      <c r="P19" s="1">
        <f>IF(ISBLANK('Aqueous Species Options'!J19), "", 'Aqueous Species Options'!J19)</f>
        <v>1</v>
      </c>
      <c r="Q19" s="184" t="str">
        <f>IF(ISBLANK('Aqueous Species Options'!T19), "", 'Aqueous Species Options'!T19)</f>
        <v>Sverjensky et al. (1997) with new V from the sum of a1 values of ions</v>
      </c>
    </row>
    <row r="20" spans="2:17" ht="15" customHeight="1" x14ac:dyDescent="0.2">
      <c r="B20" s="9" t="str">
        <f>IF(ISBLANK('Aqueous Species Options'!B20), "", 'Aqueous Species Options'!B20)</f>
        <v>Be+2</v>
      </c>
      <c r="C20" s="9" t="str">
        <f>IF(ISBLANK('Aqueous Species Options'!C20), "", 'Aqueous Species Options'!C20)</f>
        <v>Be(+2)</v>
      </c>
      <c r="D20" s="2">
        <f>IF(ISBLANK('Aqueous Species Options'!D20), "", 'Aqueous Species Options'!D20)</f>
        <v>-83500</v>
      </c>
      <c r="E20" s="1">
        <f>IF(ISBLANK('Aqueous Species Options'!E20), "", 'Aqueous Species Options'!E20)</f>
        <v>-91500</v>
      </c>
      <c r="F20" s="139">
        <f>IF(ISBLANK('Aqueous Species Options'!F20), "", 'Aqueous Species Options'!F20)</f>
        <v>-55.7</v>
      </c>
      <c r="G20" s="29">
        <f>IF(ISBLANK('Aqueous Species Options'!B20), "", IF('Aqueous Species Options'!L20 = 1, IF(ISBLANK('Aqueous Species Options'!G20), "", 'Aqueous Species Options'!G20), ('Aqueous Species Table'!I20/10 + ('Aqueous Species Table'!J20*100)/(Calculations!$C$12+Calculations!$C$9) + ('Aqueous Species Table'!K20 + ('Aqueous Species Table'!L20*10000)/(Calculations!$C$12+Calculations!$C$9))*(1/(Calculations!$C$8-Calculations!$C$13)) - 'Aqueous Species Table'!O20*100000*0.0000005903)*41.8393))</f>
        <v>-25.400190859694312</v>
      </c>
      <c r="H20" s="29">
        <f>IF(ISBLANK('Aqueous Species Options'!B20), "", IF('Aqueous Species Options'!L20 = 1, IF(ISBLANK('Aqueous Species Options'!H20), "", 'Aqueous Species Options'!H20), 'Aqueous Species Table'!M20 + 'Aqueous Species Table'!N20*10000*(1/(Calculations!$C$8-Calculations!$C$13))^2 + 'Aqueous Species Table'!O20*100000*Calculations!$C$8*Calculations!$C$7))</f>
        <v>-1.3003396389719626</v>
      </c>
      <c r="I20" s="42">
        <f>IF(ISBLANK('Aqueous Species Options'!B20), "", IF('Aqueous Species Options'!L20=0, 'Aqueous Species Options'!N20, IF(OR(ISBLANK('Aqueous Species Options'!G20),'Aqueous Species Table'!O20="", 'Aqueous Species Table'!P20=""), "", IF('Aqueous Species Options'!B20="H+", 0, (CHOOSE('Aqueous Species Options'!M20+1,'Aqueous Species Options'!$V$4*ABS('Aqueous Species Table'!P20)+'Aqueous Species Options'!$W$4,'Aqueous Species Options'!$Z$4)*('Aqueous Species Options'!G20 + 'Aqueous Species Table'!O20*100000*0.0000005903*41.8393) + CHOOSE('Aqueous Species Options'!M20+1,'Aqueous Species Options'!$X$4*ABS('Aqueous Species Table'!P20)+'Aqueous Species Options'!$Y$4,'Aqueous Species Options'!$AA$4))*10 ) ) ) )</f>
        <v>-1.4186786930078727</v>
      </c>
      <c r="J20" s="42">
        <f>IF(ISBLANK('Aqueous Species Options'!B20), "", IF('Aqueous Species Options'!L20 = 0, 'Aqueous Species Options'!O20, IF('Aqueous Species Table'!I20="", "", IF('Aqueous Species Options'!B20="H+", 0, ((1.11*('Aqueous Species Options'!G20 + 'Aqueous Species Table'!O20*100000*0.0000005903*41.8393)+1.8)/41.8393 - 'Aqueous Species Table'!I20/10)*26.01 ) ) ) )</f>
        <v>-9.4790675486132034</v>
      </c>
      <c r="K20" s="42">
        <f>IF(ISBLANK('Aqueous Species Options'!B20), "", IF('Aqueous Species Options'!L20 = 0, 'Aqueous Species Options'!P20, IF('Aqueous Species Table'!I20="", "", IF('Aqueous Species Options'!B20="H+", 0, ('Aqueous Species Options'!G20/41.8393 + 'Aqueous Species Table'!O20*100000*0.0000005903 - 'Aqueous Species Table'!I20/10 - 'Aqueous Species Table'!J20*100/2601)*(298.15-228) - ('Aqueous Species Table'!L20*10000/2601) ) ) ) )</f>
        <v>9.9786101175420878</v>
      </c>
      <c r="L20" s="42">
        <f>IF(ISBLANK('Aqueous Species Options'!B20), "", IF('Aqueous Species Options'!L20 = 0, 'Aqueous Species Options'!Q20, IF('Aqueous Species Table'!J20="", "", IF('Aqueous Species Options'!B20="H+", 0, (-4.134*'Aqueous Species Table'!J20*100 - 27790)*0.0001) ) ) )</f>
        <v>-2.3871353475403305</v>
      </c>
      <c r="M20" s="42">
        <f>IF(ISBLANK('Aqueous Species Options'!B20), "", IF('Aqueous Species Options'!L20=0, 'Aqueous Species Options'!R20, IF('Aqueous Species Table'!N20="", "", IF('Aqueous Species Options'!B20="H+", 0, 'Aqueous Species Options'!H20 - 'Aqueous Species Table'!O20*100000*(-0.000000309)*298.15 - 'Aqueous Species Table'!N20*10000/(298.15-228)^2 ) ) ) )</f>
        <v>22.915360910580247</v>
      </c>
      <c r="N20" s="42">
        <f>IF(ISBLANK('Aqueous Species Options'!B20), "", IF('Aqueous Species Options'!L20=0, 'Aqueous Species Options'!S20, IF(OR(ISBLANK('Aqueous Species Options'!H20), 'Aqueous Species Table'!O20=""), "", IF('Aqueous Species Options'!B20="H+", 0, 0.2037*'Aqueous Species Options'!H20 - 3.0346) ) ) )</f>
        <v>-3.2994791844585891</v>
      </c>
      <c r="O20" s="42">
        <f>IF(ISBLANK('Aqueous Species Options'!B20), "", IF('Aqueous Species Options'!K20=0, 'Aqueous Species Options'!I20, IF(OR('Aqueous Species Options'!J20&gt;4,'Aqueous Species Options'!J20&lt;-4), "", IF('Aqueous Species Options'!B20="H+", 0, IF('Aqueous Species Options'!J20=0, -0.038, IF(ISBLANK('Aqueous Species Options'!F20), "", -1514.4*'Aqueous Species Options'!F20*0.00001 + SUM(({4,3,2,1,-1,-2,-3,-4}='Aqueous Species Options'!J20)*{2.1764,1.5793,1.0579,0.5517,1.6291,3.2127,4.8115,6.486}) ) ) ) ) ) )</f>
        <v>1.9007000000000001</v>
      </c>
      <c r="P20" s="1">
        <f>IF(ISBLANK('Aqueous Species Options'!J20), "", 'Aqueous Species Options'!J20)</f>
        <v>2</v>
      </c>
      <c r="Q20" s="184" t="str">
        <f>IF(ISBLANK('Aqueous Species Options'!T20), "", 'Aqueous Species Options'!T20)</f>
        <v>Shock &amp; Helgeson (1988) revised with new predicted a1 for cations</v>
      </c>
    </row>
    <row r="21" spans="2:17" ht="15" customHeight="1" x14ac:dyDescent="0.2">
      <c r="B21" s="9" t="str">
        <f>IF(ISBLANK('Aqueous Species Options'!B21), "", 'Aqueous Species Options'!B21)</f>
        <v>BENZENE,AQ</v>
      </c>
      <c r="C21" s="9" t="str">
        <f>IF(ISBLANK('Aqueous Species Options'!C21), "", 'Aqueous Species Options'!C21)</f>
        <v>C6H6(0)</v>
      </c>
      <c r="D21" s="2">
        <f>IF(ISBLANK('Aqueous Species Options'!D21), "", 'Aqueous Species Options'!D21)</f>
        <v>32000</v>
      </c>
      <c r="E21" s="1">
        <f>IF(ISBLANK('Aqueous Species Options'!E21), "", 'Aqueous Species Options'!E21)</f>
        <v>12230</v>
      </c>
      <c r="F21" s="139">
        <f>IF(ISBLANK('Aqueous Species Options'!F21), "", 'Aqueous Species Options'!F21)</f>
        <v>35.700000000000003</v>
      </c>
      <c r="G21" s="29">
        <f>IF(ISBLANK('Aqueous Species Options'!B21), "", IF('Aqueous Species Options'!L21 = 1, IF(ISBLANK('Aqueous Species Options'!G21), "", 'Aqueous Species Options'!G21), ('Aqueous Species Table'!I21/10 + ('Aqueous Species Table'!J21*100)/(Calculations!$C$12+Calculations!$C$9) + ('Aqueous Species Table'!K21 + ('Aqueous Species Table'!L21*10000)/(Calculations!$C$12+Calculations!$C$9))*(1/(Calculations!$C$8-Calculations!$C$13)) - 'Aqueous Species Table'!O21*100000*0.0000005903)*41.8393))</f>
        <v>83</v>
      </c>
      <c r="H21" s="29">
        <f>IF(ISBLANK('Aqueous Species Options'!B21), "", IF('Aqueous Species Options'!L21 = 1, IF(ISBLANK('Aqueous Species Options'!H21), "", 'Aqueous Species Options'!H21), 'Aqueous Species Table'!M21 + 'Aqueous Species Table'!N21*10000*(1/(Calculations!$C$8-Calculations!$C$13))^2 + 'Aqueous Species Table'!O21*100000*Calculations!$C$8*Calculations!$C$7))</f>
        <v>89.117769189420883</v>
      </c>
      <c r="I21" s="42">
        <f>IF(ISBLANK('Aqueous Species Options'!B21), "", IF('Aqueous Species Options'!L21=0, 'Aqueous Species Options'!N21, IF(OR(ISBLANK('Aqueous Species Options'!G21),'Aqueous Species Table'!O21="", 'Aqueous Species Table'!P21=""), "", IF('Aqueous Species Options'!B21="H+", 0, (CHOOSE('Aqueous Species Options'!M21+1,'Aqueous Species Options'!$V$4*ABS('Aqueous Species Table'!P21)+'Aqueous Species Options'!$W$4,'Aqueous Species Options'!$Z$4)*('Aqueous Species Options'!G21 + 'Aqueous Species Table'!O21*100000*0.0000005903*41.8393) + CHOOSE('Aqueous Species Options'!M21+1,'Aqueous Species Options'!$X$4*ABS('Aqueous Species Table'!P21)+'Aqueous Species Options'!$Y$4,'Aqueous Species Options'!$AA$4))*10 ) ) ) )</f>
        <v>17.519916303739855</v>
      </c>
      <c r="J21" s="42">
        <f>IF(ISBLANK('Aqueous Species Options'!B21), "", IF('Aqueous Species Options'!L21 = 0, 'Aqueous Species Options'!O21, IF('Aqueous Species Table'!I21="", "", IF('Aqueous Species Options'!B21="H+", 0, ((1.11*('Aqueous Species Options'!G21 + 'Aqueous Species Table'!O21*100000*0.0000005903*41.8393)+1.8)/41.8393 - 'Aqueous Species Table'!I21/10)*26.01 ) ) ) )</f>
        <v>12.397562049745821</v>
      </c>
      <c r="K21" s="42">
        <f>IF(ISBLANK('Aqueous Species Options'!B21), "", IF('Aqueous Species Options'!L21 = 0, 'Aqueous Species Options'!P21, IF('Aqueous Species Table'!I21="", "", IF('Aqueous Species Options'!B21="H+", 0, ('Aqueous Species Options'!G21/41.8393 + 'Aqueous Species Table'!O21*100000*0.0000005903 - 'Aqueous Species Table'!I21/10 - 'Aqueous Species Table'!J21*100/2601)*(298.15-228) - ('Aqueous Species Table'!L21*10000/2601) ) ) ) )</f>
        <v>-5.5571375408812642</v>
      </c>
      <c r="L21" s="42">
        <f>IF(ISBLANK('Aqueous Species Options'!B21), "", IF('Aqueous Species Options'!L21 = 0, 'Aqueous Species Options'!Q21, IF('Aqueous Species Table'!J21="", "", IF('Aqueous Species Options'!B21="H+", 0, (-4.134*'Aqueous Species Table'!J21*100 - 27790)*0.0001) ) ) )</f>
        <v>-3.2915152151364921</v>
      </c>
      <c r="M21" s="42">
        <f>IF(ISBLANK('Aqueous Species Options'!B21), "", IF('Aqueous Species Options'!L21=0, 'Aqueous Species Options'!R21, IF('Aqueous Species Table'!N21="", "", IF('Aqueous Species Options'!B21="H+", 0, 'Aqueous Species Options'!H21 - 'Aqueous Species Table'!O21*100000*(-0.000000309)*298.15 - 'Aqueous Species Table'!N21*10000/(298.15-228)^2 ) ) ) )</f>
        <v>66.900000000000006</v>
      </c>
      <c r="N21" s="42">
        <f>IF(ISBLANK('Aqueous Species Options'!B21), "", IF('Aqueous Species Options'!L21=0, 'Aqueous Species Options'!S21, IF(OR(ISBLANK('Aqueous Species Options'!H21), 'Aqueous Species Table'!O21=""), "", IF('Aqueous Species Options'!B21="H+", 0, 0.2037*'Aqueous Species Options'!H21 - 3.0346) ) ) )</f>
        <v>9.8000000000000007</v>
      </c>
      <c r="O21" s="42">
        <f>IF(ISBLANK('Aqueous Species Options'!B21), "", IF('Aqueous Species Options'!K21=0, 'Aqueous Species Options'!I21, IF(OR('Aqueous Species Options'!J21&gt;4,'Aqueous Species Options'!J21&lt;-4), "", IF('Aqueous Species Options'!B21="H+", 0, IF('Aqueous Species Options'!J21=0, -0.038, IF(ISBLANK('Aqueous Species Options'!F21), "", -1514.4*'Aqueous Species Options'!F21*0.00001 + SUM(({4,3,2,1,-1,-2,-3,-4}='Aqueous Species Options'!J21)*{2.1764,1.5793,1.0579,0.5517,1.6291,3.2127,4.8115,6.486}) ) ) ) ) ) )</f>
        <v>-0.25</v>
      </c>
      <c r="P21" s="1">
        <f>IF(ISBLANK('Aqueous Species Options'!J21), "", 'Aqueous Species Options'!J21)</f>
        <v>0</v>
      </c>
      <c r="Q21" s="184" t="str">
        <f>IF(ISBLANK('Aqueous Species Options'!T21), "", 'Aqueous Species Options'!T21)</f>
        <v>Plyasunov &amp; Shock (2001) for c1, c2 &amp; omega; a1 predicted with new correlation for complex species from Sverjensky et al. (2014)</v>
      </c>
    </row>
    <row r="22" spans="2:17" ht="15" customHeight="1" x14ac:dyDescent="0.2">
      <c r="B22" s="9" t="str">
        <f>IF(ISBLANK('Aqueous Species Options'!B22), "", 'Aqueous Species Options'!B22)</f>
        <v>bG,NaCl</v>
      </c>
      <c r="C22" s="9" t="str">
        <f>IF(ISBLANK('Aqueous Species Options'!C22), "", 'Aqueous Species Options'!C22)</f>
        <v/>
      </c>
      <c r="D22" s="2">
        <f>IF(ISBLANK('Aqueous Species Options'!D22), "", 'Aqueous Species Options'!D22)</f>
        <v>174.64</v>
      </c>
      <c r="E22" s="1" t="str">
        <f>IF(ISBLANK('Aqueous Species Options'!E22), "", 'Aqueous Species Options'!E22)</f>
        <v/>
      </c>
      <c r="F22" s="139">
        <f>IF(ISBLANK('Aqueous Species Options'!F22), "", 'Aqueous Species Options'!F22)</f>
        <v>22</v>
      </c>
      <c r="G22" s="29">
        <f>IF(ISBLANK('Aqueous Species Options'!B22), "", IF('Aqueous Species Options'!L22 = 1, IF(ISBLANK('Aqueous Species Options'!G22), "", 'Aqueous Species Options'!G22), ('Aqueous Species Table'!I22/10 + ('Aqueous Species Table'!J22*100)/(Calculations!$C$12+Calculations!$C$9) + ('Aqueous Species Table'!K22 + ('Aqueous Species Table'!L22*10000)/(Calculations!$C$12+Calculations!$C$9))*(1/(Calculations!$C$8-Calculations!$C$13)) - 'Aqueous Species Table'!O22*100000*0.0000005903)*41.8393))</f>
        <v>1.8284671032996378</v>
      </c>
      <c r="H22" s="29">
        <f>IF(ISBLANK('Aqueous Species Options'!B22), "", IF('Aqueous Species Options'!L22 = 1, IF(ISBLANK('Aqueous Species Options'!H22), "", 'Aqueous Species Options'!H22), 'Aqueous Species Table'!M22 + 'Aqueous Species Table'!N22*10000*(1/(Calculations!$C$8-Calculations!$C$13))^2 + 'Aqueous Species Table'!O22*100000*Calculations!$C$8*Calculations!$C$7))</f>
        <v>12.721405641440136</v>
      </c>
      <c r="I22" s="42">
        <f>IF(ISBLANK('Aqueous Species Options'!B22), "", IF('Aqueous Species Options'!L22=0, 'Aqueous Species Options'!N22, IF(OR(ISBLANK('Aqueous Species Options'!G22),'Aqueous Species Table'!O22="", 'Aqueous Species Table'!P22=""), "", IF('Aqueous Species Options'!B22="H+", 0, (CHOOSE('Aqueous Species Options'!M22+1,'Aqueous Species Options'!$V$4*ABS('Aqueous Species Table'!P22)+'Aqueous Species Options'!$W$4,'Aqueous Species Options'!$Z$4)*('Aqueous Species Options'!G22 + 'Aqueous Species Table'!O22*100000*0.0000005903*41.8393) + CHOOSE('Aqueous Species Options'!M22+1,'Aqueous Species Options'!$X$4*ABS('Aqueous Species Table'!P22)+'Aqueous Species Options'!$Y$4,'Aqueous Species Options'!$AA$4))*10 ) ) ) )</f>
        <v>0.30055999999999999</v>
      </c>
      <c r="J22" s="42">
        <f>IF(ISBLANK('Aqueous Species Options'!B22), "", IF('Aqueous Species Options'!L22 = 0, 'Aqueous Species Options'!O22, IF('Aqueous Species Table'!I22="", "", IF('Aqueous Species Options'!B22="H+", 0, ((1.11*('Aqueous Species Options'!G22 + 'Aqueous Species Table'!O22*100000*0.0000005903*41.8393)+1.8)/41.8393 - 'Aqueous Species Table'!I22/10)*26.01 ) ) ) )</f>
        <v>-2.0255000000000001</v>
      </c>
      <c r="K22" s="42">
        <f>IF(ISBLANK('Aqueous Species Options'!B22), "", IF('Aqueous Species Options'!L22 = 0, 'Aqueous Species Options'!P22, IF('Aqueous Species Table'!I22="", "", IF('Aqueous Species Options'!B22="H+", 0, ('Aqueous Species Options'!G22/41.8393 + 'Aqueous Species Table'!O22*100000*0.0000005903 - 'Aqueous Species Table'!I22/10 - 'Aqueous Species Table'!J22*100/2601)*(298.15-228) - ('Aqueous Species Table'!L22*10000/2601) ) ) ) )</f>
        <v>-2.9091999999999998</v>
      </c>
      <c r="L22" s="42">
        <f>IF(ISBLANK('Aqueous Species Options'!B22), "", IF('Aqueous Species Options'!L22 = 0, 'Aqueous Species Options'!Q22, IF('Aqueous Species Table'!J22="", "", IF('Aqueous Species Options'!B22="H+", 0, (-4.134*'Aqueous Species Table'!J22*100 - 27790)*0.0001) ) ) )</f>
        <v>2.0301999999999998</v>
      </c>
      <c r="M22" s="42">
        <f>IF(ISBLANK('Aqueous Species Options'!B22), "", IF('Aqueous Species Options'!L22=0, 'Aqueous Species Options'!R22, IF('Aqueous Species Table'!N22="", "", IF('Aqueous Species Options'!B22="H+", 0, 'Aqueous Species Options'!H22 - 'Aqueous Species Table'!O22*100000*(-0.000000309)*298.15 - 'Aqueous Species Table'!N22*10000/(298.15-228)^2 ) ) ) )</f>
        <v>-1.5</v>
      </c>
      <c r="N22" s="42">
        <f>IF(ISBLANK('Aqueous Species Options'!B22), "", IF('Aqueous Species Options'!L22=0, 'Aqueous Species Options'!S22, IF(OR(ISBLANK('Aqueous Species Options'!H22), 'Aqueous Species Table'!O22=""), "", IF('Aqueous Species Options'!B22="H+", 0, 0.2037*'Aqueous Species Options'!H22 - 3.0346) ) ) )</f>
        <v>5.33</v>
      </c>
      <c r="O22" s="42">
        <f>IF(ISBLANK('Aqueous Species Options'!B22), "", IF('Aqueous Species Options'!K22=0, 'Aqueous Species Options'!I22, IF(OR('Aqueous Species Options'!J22&gt;4,'Aqueous Species Options'!J22&lt;-4), "", IF('Aqueous Species Options'!B22="H+", 0, IF('Aqueous Species Options'!J22=0, -0.038, IF(ISBLANK('Aqueous Species Options'!F22), "", -1514.4*'Aqueous Species Options'!F22*0.00001 + SUM(({4,3,2,1,-1,-2,-3,-4}='Aqueous Species Options'!J22)*{2.1764,1.5793,1.0579,0.5517,1.6291,3.2127,4.8115,6.486}) ) ) ) ) ) )</f>
        <v>-0.36799999999999999</v>
      </c>
      <c r="P22" s="1">
        <f>IF(ISBLANK('Aqueous Species Options'!J22), "", 'Aqueous Species Options'!J22)</f>
        <v>0</v>
      </c>
      <c r="Q22" s="184" t="str">
        <f>IF(ISBLANK('Aqueous Species Options'!T22), "", 'Aqueous Species Options'!T22)</f>
        <v>bG extended term parameter from Oelkers &amp; Helgeson (1990)</v>
      </c>
    </row>
    <row r="23" spans="2:17" ht="15" customHeight="1" x14ac:dyDescent="0.2">
      <c r="B23" s="9" t="str">
        <f>IF(ISBLANK('Aqueous Species Options'!B23), "", 'Aqueous Species Options'!B23)</f>
        <v>BO(OH),aq</v>
      </c>
      <c r="C23" s="9" t="str">
        <f>IF(ISBLANK('Aqueous Species Options'!C23), "", 'Aqueous Species Options'!C23)</f>
        <v>BO(OH)(0)</v>
      </c>
      <c r="D23" s="2">
        <f>IF(ISBLANK('Aqueous Species Options'!D23), "", 'Aqueous Species Options'!D23)</f>
        <v>-174854</v>
      </c>
      <c r="E23" s="1">
        <f>IF(ISBLANK('Aqueous Species Options'!E23), "", 'Aqueous Species Options'!E23)</f>
        <v>-188505</v>
      </c>
      <c r="F23" s="139">
        <f>IF(ISBLANK('Aqueous Species Options'!F23), "", 'Aqueous Species Options'!F23)</f>
        <v>24</v>
      </c>
      <c r="G23" s="29">
        <f>IF(ISBLANK('Aqueous Species Options'!B23), "", IF('Aqueous Species Options'!L23 = 1, IF(ISBLANK('Aqueous Species Options'!G23), "", 'Aqueous Species Options'!G23), ('Aqueous Species Table'!I23/10 + ('Aqueous Species Table'!J23*100)/(Calculations!$C$12+Calculations!$C$9) + ('Aqueous Species Table'!K23 + ('Aqueous Species Table'!L23*10000)/(Calculations!$C$12+Calculations!$C$9))*(1/(Calculations!$C$8-Calculations!$C$13)) - 'Aqueous Species Table'!O23*100000*0.0000005903)*41.8393))</f>
        <v>20.488458792536274</v>
      </c>
      <c r="H23" s="29">
        <f>IF(ISBLANK('Aqueous Species Options'!B23), "", IF('Aqueous Species Options'!L23 = 1, IF(ISBLANK('Aqueous Species Options'!H23), "", 'Aqueous Species Options'!H23), 'Aqueous Species Table'!M23 + 'Aqueous Species Table'!N23*10000*(1/(Calculations!$C$8-Calculations!$C$13))^2 + 'Aqueous Species Table'!O23*100000*Calculations!$C$8*Calculations!$C$7))</f>
        <v>3.7577364597746068</v>
      </c>
      <c r="I23" s="42">
        <f>IF(ISBLANK('Aqueous Species Options'!B23), "", IF('Aqueous Species Options'!L23=0, 'Aqueous Species Options'!N23, IF(OR(ISBLANK('Aqueous Species Options'!G23),'Aqueous Species Table'!O23="", 'Aqueous Species Table'!P23=""), "", IF('Aqueous Species Options'!B23="H+", 0, (CHOOSE('Aqueous Species Options'!M23+1,'Aqueous Species Options'!$V$4*ABS('Aqueous Species Table'!P23)+'Aqueous Species Options'!$W$4,'Aqueous Species Options'!$Z$4)*('Aqueous Species Options'!G23 + 'Aqueous Species Table'!O23*100000*0.0000005903*41.8393) + CHOOSE('Aqueous Species Options'!M23+1,'Aqueous Species Options'!$X$4*ABS('Aqueous Species Table'!P23)+'Aqueous Species Options'!$Y$4,'Aqueous Species Options'!$AA$4))*10 ) ) ) )</f>
        <v>5.54</v>
      </c>
      <c r="J23" s="42">
        <f>IF(ISBLANK('Aqueous Species Options'!B23), "", IF('Aqueous Species Options'!L23 = 0, 'Aqueous Species Options'!O23, IF('Aqueous Species Table'!I23="", "", IF('Aqueous Species Options'!B23="H+", 0, ((1.11*('Aqueous Species Options'!G23 + 'Aqueous Species Table'!O23*100000*0.0000005903*41.8393)+1.8)/41.8393 - 'Aqueous Species Table'!I23/10)*26.01 ) ) ) )</f>
        <v>1.38</v>
      </c>
      <c r="K23" s="42">
        <f>IF(ISBLANK('Aqueous Species Options'!B23), "", IF('Aqueous Species Options'!L23 = 0, 'Aqueous Species Options'!P23, IF('Aqueous Species Table'!I23="", "", IF('Aqueous Species Options'!B23="H+", 0, ('Aqueous Species Options'!G23/41.8393 + 'Aqueous Species Table'!O23*100000*0.0000005903 - 'Aqueous Species Table'!I23/10 - 'Aqueous Species Table'!J23*100/2601)*(298.15-228) - ('Aqueous Species Table'!L23*10000/2601) ) ) ) )</f>
        <v>3.1</v>
      </c>
      <c r="L23" s="42">
        <f>IF(ISBLANK('Aqueous Species Options'!B23), "", IF('Aqueous Species Options'!L23 = 0, 'Aqueous Species Options'!Q23, IF('Aqueous Species Table'!J23="", "", IF('Aqueous Species Options'!B23="H+", 0, (-4.134*'Aqueous Species Table'!J23*100 - 27790)*0.0001) ) ) )</f>
        <v>-2.84</v>
      </c>
      <c r="M23" s="42">
        <f>IF(ISBLANK('Aqueous Species Options'!B23), "", IF('Aqueous Species Options'!L23=0, 'Aqueous Species Options'!R23, IF('Aqueous Species Table'!N23="", "", IF('Aqueous Species Options'!B23="H+", 0, 'Aqueous Species Options'!H23 - 'Aqueous Species Table'!O23*100000*(-0.000000309)*298.15 - 'Aqueous Species Table'!N23*10000/(298.15-228)^2 ) ) ) )</f>
        <v>25</v>
      </c>
      <c r="N23" s="42">
        <f>IF(ISBLANK('Aqueous Species Options'!B23), "", IF('Aqueous Species Options'!L23=0, 'Aqueous Species Options'!S23, IF(OR(ISBLANK('Aqueous Species Options'!H23), 'Aqueous Species Table'!O23=""), "", IF('Aqueous Species Options'!B23="H+", 0, 0.2037*'Aqueous Species Options'!H23 - 3.0346) ) ) )</f>
        <v>-10</v>
      </c>
      <c r="O23" s="42">
        <f>IF(ISBLANK('Aqueous Species Options'!B23), "", IF('Aqueous Species Options'!K23=0, 'Aqueous Species Options'!I23, IF(OR('Aqueous Species Options'!J23&gt;4,'Aqueous Species Options'!J23&lt;-4), "", IF('Aqueous Species Options'!B23="H+", 0, IF('Aqueous Species Options'!J23=0, -0.038, IF(ISBLANK('Aqueous Species Options'!F23), "", -1514.4*'Aqueous Species Options'!F23*0.00001 + SUM(({4,3,2,1,-1,-2,-3,-4}='Aqueous Species Options'!J23)*{2.1764,1.5793,1.0579,0.5517,1.6291,3.2127,4.8115,6.486}) ) ) ) ) ) )</f>
        <v>0.1</v>
      </c>
      <c r="P23" s="1">
        <f>IF(ISBLANK('Aqueous Species Options'!J23), "", 'Aqueous Species Options'!J23)</f>
        <v>0</v>
      </c>
      <c r="Q23" s="184" t="str">
        <f>IF(ISBLANK('Aqueous Species Options'!T23), "", 'Aqueous Species Options'!T23)</f>
        <v>Revised May, 2013</v>
      </c>
    </row>
    <row r="24" spans="2:17" ht="15" customHeight="1" x14ac:dyDescent="0.2">
      <c r="B24" s="9" t="str">
        <f>IF(ISBLANK('Aqueous Species Options'!B24), "", 'Aqueous Species Options'!B24)</f>
        <v>BO2-</v>
      </c>
      <c r="C24" s="9" t="str">
        <f>IF(ISBLANK('Aqueous Species Options'!C24), "", 'Aqueous Species Options'!C24)</f>
        <v>BO2(-)</v>
      </c>
      <c r="D24" s="2">
        <f>IF(ISBLANK('Aqueous Species Options'!D24), "", 'Aqueous Species Options'!D24)</f>
        <v>-162240</v>
      </c>
      <c r="E24" s="1">
        <f>IF(ISBLANK('Aqueous Species Options'!E24), "", 'Aqueous Species Options'!E24)</f>
        <v>-184600</v>
      </c>
      <c r="F24" s="139">
        <f>IF(ISBLANK('Aqueous Species Options'!F24), "", 'Aqueous Species Options'!F24)</f>
        <v>-8.9</v>
      </c>
      <c r="G24" s="29">
        <f>IF(ISBLANK('Aqueous Species Options'!B24), "", IF('Aqueous Species Options'!L24 = 1, IF(ISBLANK('Aqueous Species Options'!G24), "", 'Aqueous Species Options'!G24), ('Aqueous Species Table'!I24/10 + ('Aqueous Species Table'!J24*100)/(Calculations!$C$12+Calculations!$C$9) + ('Aqueous Species Table'!K24 + ('Aqueous Species Table'!L24*10000)/(Calculations!$C$12+Calculations!$C$9))*(1/(Calculations!$C$8-Calculations!$C$13)) - 'Aqueous Species Table'!O24*100000*0.0000005903)*41.8393))</f>
        <v>-16.018319311958425</v>
      </c>
      <c r="H24" s="29">
        <f>IF(ISBLANK('Aqueous Species Options'!B24), "", IF('Aqueous Species Options'!L24 = 1, IF(ISBLANK('Aqueous Species Options'!H24), "", 'Aqueous Species Options'!H24), 'Aqueous Species Table'!M24 + 'Aqueous Species Table'!N24*10000*(1/(Calculations!$C$8-Calculations!$C$13))^2 + 'Aqueous Species Table'!O24*100000*Calculations!$C$8*Calculations!$C$7))</f>
        <v>-9.0000330562813158</v>
      </c>
      <c r="I24" s="42">
        <f>IF(ISBLANK('Aqueous Species Options'!B24), "", IF('Aqueous Species Options'!L24=0, 'Aqueous Species Options'!N24, IF(OR(ISBLANK('Aqueous Species Options'!G24),'Aqueous Species Table'!O24="", 'Aqueous Species Table'!P24=""), "", IF('Aqueous Species Options'!B24="H+", 0, (CHOOSE('Aqueous Species Options'!M24+1,'Aqueous Species Options'!$V$4*ABS('Aqueous Species Table'!P24)+'Aqueous Species Options'!$W$4,'Aqueous Species Options'!$Z$4)*('Aqueous Species Options'!G24 + 'Aqueous Species Table'!O24*100000*0.0000005903*41.8393) + CHOOSE('Aqueous Species Options'!M24+1,'Aqueous Species Options'!$X$4*ABS('Aqueous Species Table'!P24)+'Aqueous Species Options'!$Y$4,'Aqueous Species Options'!$AA$4))*10 ) ) ) )</f>
        <v>-0.85499999999999998</v>
      </c>
      <c r="J24" s="42">
        <f>IF(ISBLANK('Aqueous Species Options'!B24), "", IF('Aqueous Species Options'!L24 = 0, 'Aqueous Species Options'!O24, IF('Aqueous Species Table'!I24="", "", IF('Aqueous Species Options'!B24="H+", 0, ((1.11*('Aqueous Species Options'!G24 + 'Aqueous Species Table'!O24*100000*0.0000005903*41.8393)+1.8)/41.8393 - 'Aqueous Species Table'!I24/10)*26.01 ) ) ) )</f>
        <v>-2.5960000000000001</v>
      </c>
      <c r="K24" s="42">
        <f>IF(ISBLANK('Aqueous Species Options'!B24), "", IF('Aqueous Species Options'!L24 = 0, 'Aqueous Species Options'!P24, IF('Aqueous Species Table'!I24="", "", IF('Aqueous Species Options'!B24="H+", 0, ('Aqueous Species Options'!G24/41.8393 + 'Aqueous Species Table'!O24*100000*0.0000005903 - 'Aqueous Species Table'!I24/10 - 'Aqueous Species Table'!J24*100/2601)*(298.15-228) - ('Aqueous Species Table'!L24*10000/2601) ) ) ) )</f>
        <v>3.7</v>
      </c>
      <c r="L24" s="42">
        <f>IF(ISBLANK('Aqueous Species Options'!B24), "", IF('Aqueous Species Options'!L24 = 0, 'Aqueous Species Options'!Q24, IF('Aqueous Species Table'!J24="", "", IF('Aqueous Species Options'!B24="H+", 0, (-4.134*'Aqueous Species Table'!J24*100 - 27790)*0.0001) ) ) )</f>
        <v>-2.6717</v>
      </c>
      <c r="M24" s="42">
        <f>IF(ISBLANK('Aqueous Species Options'!B24), "", IF('Aqueous Species Options'!L24=0, 'Aqueous Species Options'!R24, IF('Aqueous Species Table'!N24="", "", IF('Aqueous Species Options'!B24="H+", 0, 'Aqueous Species Options'!H24 - 'Aqueous Species Table'!O24*100000*(-0.000000309)*298.15 - 'Aqueous Species Table'!N24*10000/(298.15-228)^2 ) ) ) )</f>
        <v>17.102</v>
      </c>
      <c r="N24" s="42">
        <f>IF(ISBLANK('Aqueous Species Options'!B24), "", IF('Aqueous Species Options'!L24=0, 'Aqueous Species Options'!S24, IF(OR(ISBLANK('Aqueous Species Options'!H24), 'Aqueous Species Table'!O24=""), "", IF('Aqueous Species Options'!B24="H+", 0, 0.2037*'Aqueous Species Options'!H24 - 3.0346) ) ) )</f>
        <v>-4.8678999999999997</v>
      </c>
      <c r="O24" s="42">
        <f>IF(ISBLANK('Aqueous Species Options'!B24), "", IF('Aqueous Species Options'!K24=0, 'Aqueous Species Options'!I24, IF(OR('Aqueous Species Options'!J24&gt;4,'Aqueous Species Options'!J24&lt;-4), "", IF('Aqueous Species Options'!B24="H+", 0, IF('Aqueous Species Options'!J24=0, -0.038, IF(ISBLANK('Aqueous Species Options'!F24), "", -1514.4*'Aqueous Species Options'!F24*0.00001 + SUM(({4,3,2,1,-1,-2,-3,-4}='Aqueous Species Options'!J24)*{2.1764,1.5793,1.0579,0.5517,1.6291,3.2127,4.8115,6.486}) ) ) ) ) ) )</f>
        <v>1.7595000000000001</v>
      </c>
      <c r="P24" s="1">
        <f>IF(ISBLANK('Aqueous Species Options'!J24), "", 'Aqueous Species Options'!J24)</f>
        <v>-1</v>
      </c>
      <c r="Q24" s="184" t="str">
        <f>IF(ISBLANK('Aqueous Species Options'!T24), "", 'Aqueous Species Options'!T24)</f>
        <v>revised a1 - a4  using delkappan for BO2- instead of B(OH)4- used by Shock and Helgeson (1988); Shock et al. (1997)</v>
      </c>
    </row>
    <row r="25" spans="2:17" ht="15" customHeight="1" x14ac:dyDescent="0.2">
      <c r="B25" s="9" t="str">
        <f>IF(ISBLANK('Aqueous Species Options'!B25), "", 'Aqueous Species Options'!B25)</f>
        <v>Br-</v>
      </c>
      <c r="C25" s="9" t="str">
        <f>IF(ISBLANK('Aqueous Species Options'!C25), "", 'Aqueous Species Options'!C25)</f>
        <v>Br(-)</v>
      </c>
      <c r="D25" s="2">
        <f>IF(ISBLANK('Aqueous Species Options'!D25), "", 'Aqueous Species Options'!D25)</f>
        <v>-24870</v>
      </c>
      <c r="E25" s="1">
        <f>IF(ISBLANK('Aqueous Species Options'!E25), "", 'Aqueous Species Options'!E25)</f>
        <v>-29040</v>
      </c>
      <c r="F25" s="139">
        <f>IF(ISBLANK('Aqueous Species Options'!F25), "", 'Aqueous Species Options'!F25)</f>
        <v>19.8</v>
      </c>
      <c r="G25" s="29">
        <f>IF(ISBLANK('Aqueous Species Options'!B25), "", IF('Aqueous Species Options'!L25 = 1, IF(ISBLANK('Aqueous Species Options'!G25), "", 'Aqueous Species Options'!G25), ('Aqueous Species Table'!I25/10 + ('Aqueous Species Table'!J25*100)/(Calculations!$C$12+Calculations!$C$9) + ('Aqueous Species Table'!K25 + ('Aqueous Species Table'!L25*10000)/(Calculations!$C$12+Calculations!$C$9))*(1/(Calculations!$C$8-Calculations!$C$13)) - 'Aqueous Species Table'!O25*100000*0.0000005903)*41.8393))</f>
        <v>24.85246395657062</v>
      </c>
      <c r="H25" s="29">
        <f>IF(ISBLANK('Aqueous Species Options'!B25), "", IF('Aqueous Species Options'!L25 = 1, IF(ISBLANK('Aqueous Species Options'!H25), "", 'Aqueous Species Options'!H25), 'Aqueous Species Table'!M25 + 'Aqueous Species Table'!N25*10000*(1/(Calculations!$C$8-Calculations!$C$13))^2 + 'Aqueous Species Table'!O25*100000*Calculations!$C$8*Calculations!$C$7))</f>
        <v>-30.407766248397515</v>
      </c>
      <c r="I25" s="42">
        <f>IF(ISBLANK('Aqueous Species Options'!B25), "", IF('Aqueous Species Options'!L25=0, 'Aqueous Species Options'!N25, IF(OR(ISBLANK('Aqueous Species Options'!G25),'Aqueous Species Table'!O25="", 'Aqueous Species Table'!P25=""), "", IF('Aqueous Species Options'!B25="H+", 0, (CHOOSE('Aqueous Species Options'!M25+1,'Aqueous Species Options'!$V$4*ABS('Aqueous Species Table'!P25)+'Aqueous Species Options'!$W$4,'Aqueous Species Options'!$Z$4)*('Aqueous Species Options'!G25 + 'Aqueous Species Table'!O25*100000*0.0000005903*41.8393) + CHOOSE('Aqueous Species Options'!M25+1,'Aqueous Species Options'!$X$4*ABS('Aqueous Species Table'!P25)+'Aqueous Species Options'!$Y$4,'Aqueous Species Options'!$AA$4))*10 ) ) ) )</f>
        <v>5.2690000000000001</v>
      </c>
      <c r="J25" s="42">
        <f>IF(ISBLANK('Aqueous Species Options'!B25), "", IF('Aqueous Species Options'!L25 = 0, 'Aqueous Species Options'!O25, IF('Aqueous Species Table'!I25="", "", IF('Aqueous Species Options'!B25="H+", 0, ((1.11*('Aqueous Species Options'!G25 + 'Aqueous Species Table'!O25*100000*0.0000005903*41.8393)+1.8)/41.8393 - 'Aqueous Species Table'!I25/10)*26.01 ) ) ) )</f>
        <v>6.5940000000000003</v>
      </c>
      <c r="K25" s="42">
        <f>IF(ISBLANK('Aqueous Species Options'!B25), "", IF('Aqueous Species Options'!L25 = 0, 'Aqueous Species Options'!P25, IF('Aqueous Species Table'!I25="", "", IF('Aqueous Species Options'!B25="H+", 0, ('Aqueous Species Options'!G25/41.8393 + 'Aqueous Species Table'!O25*100000*0.0000005903 - 'Aqueous Species Table'!I25/10 - 'Aqueous Species Table'!J25*100/2601)*(298.15-228) - ('Aqueous Species Table'!L25*10000/2601) ) ) ) )</f>
        <v>4.7450000000000001</v>
      </c>
      <c r="L25" s="42">
        <f>IF(ISBLANK('Aqueous Species Options'!B25), "", IF('Aqueous Species Options'!L25 = 0, 'Aqueous Species Options'!Q25, IF('Aqueous Species Table'!J25="", "", IF('Aqueous Species Options'!B25="H+", 0, (-4.134*'Aqueous Species Table'!J25*100 - 27790)*0.0001) ) ) )</f>
        <v>-3.1429999999999998</v>
      </c>
      <c r="M25" s="42">
        <f>IF(ISBLANK('Aqueous Species Options'!B25), "", IF('Aqueous Species Options'!L25=0, 'Aqueous Species Options'!R25, IF('Aqueous Species Table'!N25="", "", IF('Aqueous Species Options'!B25="H+", 0, 'Aqueous Species Options'!H25 - 'Aqueous Species Table'!O25*100000*(-0.000000309)*298.15 - 'Aqueous Species Table'!N25*10000/(298.15-228)^2 ) ) ) )</f>
        <v>-3.8</v>
      </c>
      <c r="N25" s="42">
        <f>IF(ISBLANK('Aqueous Species Options'!B25), "", IF('Aqueous Species Options'!L25=0, 'Aqueous Species Options'!S25, IF(OR(ISBLANK('Aqueous Species Options'!H25), 'Aqueous Species Table'!O25=""), "", IF('Aqueous Species Options'!B25="H+", 0, 0.2037*'Aqueous Species Options'!H25 - 3.0346) ) ) )</f>
        <v>-6.8109999999999999</v>
      </c>
      <c r="O25" s="42">
        <f>IF(ISBLANK('Aqueous Species Options'!B25), "", IF('Aqueous Species Options'!K25=0, 'Aqueous Species Options'!I25, IF(OR('Aqueous Species Options'!J25&gt;4,'Aqueous Species Options'!J25&lt;-4), "", IF('Aqueous Species Options'!B25="H+", 0, IF('Aqueous Species Options'!J25=0, -0.038, IF(ISBLANK('Aqueous Species Options'!F25), "", -1514.4*'Aqueous Species Options'!F25*0.00001 + SUM(({4,3,2,1,-1,-2,-3,-4}='Aqueous Species Options'!J25)*{2.1764,1.5793,1.0579,0.5517,1.6291,3.2127,4.8115,6.486}) ) ) ) ) ) )</f>
        <v>1.3857999999999999</v>
      </c>
      <c r="P25" s="1">
        <f>IF(ISBLANK('Aqueous Species Options'!J25), "", 'Aqueous Species Options'!J25)</f>
        <v>-1</v>
      </c>
      <c r="Q25" s="184" t="str">
        <f>IF(ISBLANK('Aqueous Species Options'!T25), "", 'Aqueous Species Options'!T25)</f>
        <v>Shock &amp; Helgeson (1988)</v>
      </c>
    </row>
    <row r="26" spans="2:17" ht="15" customHeight="1" x14ac:dyDescent="0.2">
      <c r="B26" s="9" t="str">
        <f>IF(ISBLANK('Aqueous Species Options'!B26), "", 'Aqueous Species Options'!B26)</f>
        <v>Ca(CH3COO)+</v>
      </c>
      <c r="C26" s="9" t="str">
        <f>IF(ISBLANK('Aqueous Species Options'!C26), "", 'Aqueous Species Options'!C26)</f>
        <v>Ca(CH3COO)(+)</v>
      </c>
      <c r="D26" s="2">
        <f>IF(ISBLANK('Aqueous Species Options'!D26), "", 'Aqueous Species Options'!D26)</f>
        <v>-221660</v>
      </c>
      <c r="E26" s="1">
        <f>IF(ISBLANK('Aqueous Species Options'!E26), "", 'Aqueous Species Options'!E26)</f>
        <v>-245620</v>
      </c>
      <c r="F26" s="139">
        <f>IF(ISBLANK('Aqueous Species Options'!F26), "", 'Aqueous Species Options'!F26)</f>
        <v>12.5</v>
      </c>
      <c r="G26" s="29">
        <f>IF(ISBLANK('Aqueous Species Options'!B26), "", IF('Aqueous Species Options'!L26 = 1, IF(ISBLANK('Aqueous Species Options'!G26), "", 'Aqueous Species Options'!G26), ('Aqueous Species Table'!I26/10 + ('Aqueous Species Table'!J26*100)/(Calculations!$C$12+Calculations!$C$9) + ('Aqueous Species Table'!K26 + ('Aqueous Species Table'!L26*10000)/(Calculations!$C$12+Calculations!$C$9))*(1/(Calculations!$C$8-Calculations!$C$13)) - 'Aqueous Species Table'!O26*100000*0.0000005903)*41.8393))</f>
        <v>41.5</v>
      </c>
      <c r="H26" s="29">
        <f>IF(ISBLANK('Aqueous Species Options'!B26), "", IF('Aqueous Species Options'!L26 = 1, IF(ISBLANK('Aqueous Species Options'!H26), "", 'Aqueous Species Options'!H26), 'Aqueous Species Table'!M26 + 'Aqueous Species Table'!N26*10000*(1/(Calculations!$C$8-Calculations!$C$13))^2 + 'Aqueous Species Table'!O26*100000*Calculations!$C$8*Calculations!$C$7))</f>
        <v>83.1</v>
      </c>
      <c r="I26" s="42">
        <f>IF(ISBLANK('Aqueous Species Options'!B26), "", IF('Aqueous Species Options'!L26=0, 'Aqueous Species Options'!N26, IF(OR(ISBLANK('Aqueous Species Options'!G26),'Aqueous Species Table'!O26="", 'Aqueous Species Table'!P26=""), "", IF('Aqueous Species Options'!B26="H+", 0, (CHOOSE('Aqueous Species Options'!M26+1,'Aqueous Species Options'!$V$4*ABS('Aqueous Species Table'!P26)+'Aqueous Species Options'!$W$4,'Aqueous Species Options'!$Z$4)*('Aqueous Species Options'!G26 + 'Aqueous Species Table'!O26*100000*0.0000005903*41.8393) + CHOOSE('Aqueous Species Options'!M26+1,'Aqueous Species Options'!$X$4*ABS('Aqueous Species Table'!P26)+'Aqueous Species Options'!$Y$4,'Aqueous Species Options'!$AA$4))*10 ) ) ) )</f>
        <v>9.753941894098709</v>
      </c>
      <c r="J26" s="42">
        <f>IF(ISBLANK('Aqueous Species Options'!B26), "", IF('Aqueous Species Options'!L26 = 0, 'Aqueous Species Options'!O26, IF('Aqueous Species Table'!I26="", "", IF('Aqueous Species Options'!B26="H+", 0, ((1.11*('Aqueous Species Options'!G26 + 'Aqueous Species Table'!O26*100000*0.0000005903*41.8393)+1.8)/41.8393 - 'Aqueous Species Table'!I26/10)*26.01 ) ) ) )</f>
        <v>5.0035840271690386</v>
      </c>
      <c r="K26" s="42">
        <f>IF(ISBLANK('Aqueous Species Options'!B26), "", IF('Aqueous Species Options'!L26 = 0, 'Aqueous Species Options'!P26, IF('Aqueous Species Table'!I26="", "", IF('Aqueous Species Options'!B26="H+", 0, ('Aqueous Species Options'!G26/41.8393 + 'Aqueous Species Table'!O26*100000*0.0000005903 - 'Aqueous Species Table'!I26/10 - 'Aqueous Species Table'!J26*100/2601)*(298.15-228) - ('Aqueous Species Table'!L26*10000/2601) ) ) ) )</f>
        <v>0.64264296019478451</v>
      </c>
      <c r="L26" s="42">
        <f>IF(ISBLANK('Aqueous Species Options'!B26), "", IF('Aqueous Species Options'!L26 = 0, 'Aqueous Species Options'!Q26, IF('Aqueous Species Table'!J26="", "", IF('Aqueous Species Options'!B26="H+", 0, (-4.134*'Aqueous Species Table'!J26*100 - 27790)*0.0001) ) ) )</f>
        <v>-2.9858481636831682</v>
      </c>
      <c r="M26" s="42">
        <f>IF(ISBLANK('Aqueous Species Options'!B26), "", IF('Aqueous Species Options'!L26=0, 'Aqueous Species Options'!R26, IF('Aqueous Species Table'!N26="", "", IF('Aqueous Species Options'!B26="H+", 0, 'Aqueous Species Options'!H26 - 'Aqueous Species Table'!O26*100000*(-0.000000309)*298.15 - 'Aqueous Species Table'!N26*10000/(298.15-228)^2 ) ) ) )</f>
        <v>58.207058006855377</v>
      </c>
      <c r="N26" s="42">
        <f>IF(ISBLANK('Aqueous Species Options'!B26), "", IF('Aqueous Species Options'!L26=0, 'Aqueous Species Options'!S26, IF(OR(ISBLANK('Aqueous Species Options'!H26), 'Aqueous Species Table'!O26=""), "", IF('Aqueous Species Options'!B26="H+", 0, 0.2037*'Aqueous Species Options'!H26 - 3.0346) ) ) )</f>
        <v>13.892869999999998</v>
      </c>
      <c r="O26" s="42">
        <f>IF(ISBLANK('Aqueous Species Options'!B26), "", IF('Aqueous Species Options'!K26=0, 'Aqueous Species Options'!I26, IF(OR('Aqueous Species Options'!J26&gt;4,'Aqueous Species Options'!J26&lt;-4), "", IF('Aqueous Species Options'!B26="H+", 0, IF('Aqueous Species Options'!J26=0, -0.038, IF(ISBLANK('Aqueous Species Options'!F26), "", -1514.4*'Aqueous Species Options'!F26*0.00001 + SUM(({4,3,2,1,-1,-2,-3,-4}='Aqueous Species Options'!J26)*{2.1764,1.5793,1.0579,0.5517,1.6291,3.2127,4.8115,6.486}) ) ) ) ) ) )</f>
        <v>0.36239999999999994</v>
      </c>
      <c r="P26" s="1">
        <f>IF(ISBLANK('Aqueous Species Options'!J26), "", 'Aqueous Species Options'!J26)</f>
        <v>1</v>
      </c>
      <c r="Q26" s="184" t="str">
        <f>IF(ISBLANK('Aqueous Species Options'!T26), "", 'Aqueous Species Options'!T26)</f>
        <v>Shock &amp; Koretsky (1993) with revised volume from the sum of the ion a1 values by Dimitri June 22, 2021</v>
      </c>
    </row>
    <row r="27" spans="2:17" ht="15" customHeight="1" x14ac:dyDescent="0.2">
      <c r="B27" s="9" t="str">
        <f>IF(ISBLANK('Aqueous Species Options'!B27), "", 'Aqueous Species Options'!B27)</f>
        <v>Ca(CH3COO)2,aq</v>
      </c>
      <c r="C27" s="9" t="str">
        <f>IF(ISBLANK('Aqueous Species Options'!C27), "", 'Aqueous Species Options'!C27)</f>
        <v>Ca(CH3COO)2(0)</v>
      </c>
      <c r="D27" s="2">
        <f>IF(ISBLANK('Aqueous Species Options'!D27), "", 'Aqueous Species Options'!D27)</f>
        <v>-311570</v>
      </c>
      <c r="E27" s="1">
        <f>IF(ISBLANK('Aqueous Species Options'!E27), "", 'Aqueous Species Options'!E27)</f>
        <v>-362650</v>
      </c>
      <c r="F27" s="139">
        <f>IF(ISBLANK('Aqueous Species Options'!F27), "", 'Aqueous Species Options'!F27)</f>
        <v>32.299999999999997</v>
      </c>
      <c r="G27" s="29">
        <f>IF(ISBLANK('Aqueous Species Options'!B27), "", IF('Aqueous Species Options'!L27 = 1, IF(ISBLANK('Aqueous Species Options'!G27), "", 'Aqueous Species Options'!G27), ('Aqueous Species Table'!I27/10 + ('Aqueous Species Table'!J27*100)/(Calculations!$C$12+Calculations!$C$9) + ('Aqueous Species Table'!K27 + ('Aqueous Species Table'!L27*10000)/(Calculations!$C$12+Calculations!$C$9))*(1/(Calculations!$C$8-Calculations!$C$13)) - 'Aqueous Species Table'!O27*100000*0.0000005903)*41.8393))</f>
        <v>94</v>
      </c>
      <c r="H27" s="29">
        <f>IF(ISBLANK('Aqueous Species Options'!B27), "", IF('Aqueous Species Options'!L27 = 1, IF(ISBLANK('Aqueous Species Options'!H27), "", 'Aqueous Species Options'!H27), 'Aqueous Species Table'!M27 + 'Aqueous Species Table'!N27*10000*(1/(Calculations!$C$8-Calculations!$C$13))^2 + 'Aqueous Species Table'!O27*100000*Calculations!$C$8*Calculations!$C$7))</f>
        <v>187.7</v>
      </c>
      <c r="I27" s="42">
        <f>IF(ISBLANK('Aqueous Species Options'!B27), "", IF('Aqueous Species Options'!L27=0, 'Aqueous Species Options'!N27, IF(OR(ISBLANK('Aqueous Species Options'!G27),'Aqueous Species Table'!O27="", 'Aqueous Species Table'!P27=""), "", IF('Aqueous Species Options'!B27="H+", 0, (CHOOSE('Aqueous Species Options'!M27+1,'Aqueous Species Options'!$V$4*ABS('Aqueous Species Table'!P27)+'Aqueous Species Options'!$W$4,'Aqueous Species Options'!$Z$4)*('Aqueous Species Options'!G27 + 'Aqueous Species Table'!O27*100000*0.0000005903*41.8393) + CHOOSE('Aqueous Species Options'!M27+1,'Aqueous Species Options'!$X$4*ABS('Aqueous Species Table'!P27)+'Aqueous Species Options'!$Y$4,'Aqueous Species Options'!$AA$4))*10 ) ) ) )</f>
        <v>19.757913118168457</v>
      </c>
      <c r="J27" s="42">
        <f>IF(ISBLANK('Aqueous Species Options'!B27), "", IF('Aqueous Species Options'!L27 = 0, 'Aqueous Species Options'!O27, IF('Aqueous Species Table'!I27="", "", IF('Aqueous Species Options'!B27="H+", 0, ((1.11*('Aqueous Species Options'!G27 + 'Aqueous Species Table'!O27*100000*0.0000005903*41.8393)+1.8)/41.8393 - 'Aqueous Species Table'!I27/10)*26.01 ) ) ) )</f>
        <v>14.528357026347685</v>
      </c>
      <c r="K27" s="42">
        <f>IF(ISBLANK('Aqueous Species Options'!B27), "", IF('Aqueous Species Options'!L27 = 0, 'Aqueous Species Options'!P27, IF('Aqueous Species Table'!I27="", "", IF('Aqueous Species Options'!B27="H+", 0, ('Aqueous Species Options'!G27/41.8393 + 'Aqueous Species Table'!O27*100000*0.0000005903 - 'Aqueous Species Table'!I27/10 - 'Aqueous Species Table'!J27*100/2601)*(298.15-228) - ('Aqueous Species Table'!L27*10000/2601) ) ) ) )</f>
        <v>-7.3437889357582975</v>
      </c>
      <c r="L27" s="42">
        <f>IF(ISBLANK('Aqueous Species Options'!B27), "", IF('Aqueous Species Options'!L27 = 0, 'Aqueous Species Options'!Q27, IF('Aqueous Species Table'!J27="", "", IF('Aqueous Species Options'!B27="H+", 0, (-4.134*'Aqueous Species Table'!J27*100 - 27790)*0.0001) ) ) )</f>
        <v>-3.3796022794692138</v>
      </c>
      <c r="M27" s="42">
        <f>IF(ISBLANK('Aqueous Species Options'!B27), "", IF('Aqueous Species Options'!L27=0, 'Aqueous Species Options'!R27, IF('Aqueous Species Table'!N27="", "", IF('Aqueous Species Options'!B27="H+", 0, 'Aqueous Species Options'!H27 - 'Aqueous Species Table'!O27*100000*(-0.000000309)*298.15 - 'Aqueous Species Table'!N27*10000/(298.15-228)^2 ) ) ) )</f>
        <v>115.82028605918704</v>
      </c>
      <c r="N27" s="42">
        <f>IF(ISBLANK('Aqueous Species Options'!B27), "", IF('Aqueous Species Options'!L27=0, 'Aqueous Species Options'!S27, IF(OR(ISBLANK('Aqueous Species Options'!H27), 'Aqueous Species Table'!O27=""), "", IF('Aqueous Species Options'!B27="H+", 0, 0.2037*'Aqueous Species Options'!H27 - 3.0346) ) ) )</f>
        <v>35.199889999999996</v>
      </c>
      <c r="O27" s="42">
        <f>IF(ISBLANK('Aqueous Species Options'!B27), "", IF('Aqueous Species Options'!K27=0, 'Aqueous Species Options'!I27, IF(OR('Aqueous Species Options'!J27&gt;4,'Aqueous Species Options'!J27&lt;-4), "", IF('Aqueous Species Options'!B27="H+", 0, IF('Aqueous Species Options'!J27=0, -0.038, IF(ISBLANK('Aqueous Species Options'!F27), "", -1514.4*'Aqueous Species Options'!F27*0.00001 + SUM(({4,3,2,1,-1,-2,-3,-4}='Aqueous Species Options'!J27)*{2.1764,1.5793,1.0579,0.5517,1.6291,3.2127,4.8115,6.486}) ) ) ) ) ) )</f>
        <v>-3.7999999999999999E-2</v>
      </c>
      <c r="P27" s="1">
        <f>IF(ISBLANK('Aqueous Species Options'!J27), "", 'Aqueous Species Options'!J27)</f>
        <v>0</v>
      </c>
      <c r="Q27" s="184" t="str">
        <f>IF(ISBLANK('Aqueous Species Options'!T27), "", 'Aqueous Species Options'!T27)</f>
        <v>Shock &amp; Koretsky (1993) with revised volume from the sum of the ion a1 values by Dimitri June 22, 2021</v>
      </c>
    </row>
    <row r="28" spans="2:17" ht="15" customHeight="1" x14ac:dyDescent="0.2">
      <c r="B28" s="9" t="str">
        <f>IF(ISBLANK('Aqueous Species Options'!B28), "", 'Aqueous Species Options'!B28)</f>
        <v>Ca(CH3COO)3-</v>
      </c>
      <c r="C28" s="9" t="str">
        <f>IF(ISBLANK('Aqueous Species Options'!C28), "", 'Aqueous Species Options'!C28)</f>
        <v>Ca(CH3COO)3(-)</v>
      </c>
      <c r="D28" s="2" t="str">
        <f>IF(ISBLANK('Aqueous Species Options'!D28), "", 'Aqueous Species Options'!D28)</f>
        <v/>
      </c>
      <c r="E28" s="1" t="str">
        <f>IF(ISBLANK('Aqueous Species Options'!E28), "", 'Aqueous Species Options'!E28)</f>
        <v/>
      </c>
      <c r="F28" s="139" t="str">
        <f>IF(ISBLANK('Aqueous Species Options'!F28), "", 'Aqueous Species Options'!F28)</f>
        <v/>
      </c>
      <c r="G28" s="29">
        <f>IF(ISBLANK('Aqueous Species Options'!B28), "", IF('Aqueous Species Options'!L28 = 1, IF(ISBLANK('Aqueous Species Options'!G28), "", 'Aqueous Species Options'!G28), ('Aqueous Species Table'!I28/10 + ('Aqueous Species Table'!J28*100)/(Calculations!$C$12+Calculations!$C$9) + ('Aqueous Species Table'!K28 + ('Aqueous Species Table'!L28*10000)/(Calculations!$C$12+Calculations!$C$9))*(1/(Calculations!$C$8-Calculations!$C$13)) - 'Aqueous Species Table'!O28*100000*0.0000005903)*41.8393))</f>
        <v>0</v>
      </c>
      <c r="H28" s="29">
        <f>IF(ISBLANK('Aqueous Species Options'!B28), "", IF('Aqueous Species Options'!L28 = 1, IF(ISBLANK('Aqueous Species Options'!H28), "", 'Aqueous Species Options'!H28), 'Aqueous Species Table'!M28 + 'Aqueous Species Table'!N28*10000*(1/(Calculations!$C$8-Calculations!$C$13))^2 + 'Aqueous Species Table'!O28*100000*Calculations!$C$8*Calculations!$C$7))</f>
        <v>0</v>
      </c>
      <c r="I28" s="42">
        <f>IF(ISBLANK('Aqueous Species Options'!B28), "", IF('Aqueous Species Options'!L28=0, 'Aqueous Species Options'!N28, IF(OR(ISBLANK('Aqueous Species Options'!G28),'Aqueous Species Table'!O28="", 'Aqueous Species Table'!P28=""), "", IF('Aqueous Species Options'!B28="H+", 0, (CHOOSE('Aqueous Species Options'!M28+1,'Aqueous Species Options'!$V$4*ABS('Aqueous Species Table'!P28)+'Aqueous Species Options'!$W$4,'Aqueous Species Options'!$Z$4)*('Aqueous Species Options'!G28 + 'Aqueous Species Table'!O28*100000*0.0000005903*41.8393) + CHOOSE('Aqueous Species Options'!M28+1,'Aqueous Species Options'!$X$4*ABS('Aqueous Species Table'!P28)+'Aqueous Species Options'!$Y$4,'Aqueous Species Options'!$AA$4))*10 ) ) ) )</f>
        <v>0</v>
      </c>
      <c r="J28" s="42">
        <f>IF(ISBLANK('Aqueous Species Options'!B28), "", IF('Aqueous Species Options'!L28 = 0, 'Aqueous Species Options'!O28, IF('Aqueous Species Table'!I28="", "", IF('Aqueous Species Options'!B28="H+", 0, ((1.11*('Aqueous Species Options'!G28 + 'Aqueous Species Table'!O28*100000*0.0000005903*41.8393)+1.8)/41.8393 - 'Aqueous Species Table'!I28/10)*26.01 ) ) ) )</f>
        <v>0</v>
      </c>
      <c r="K28" s="42">
        <f>IF(ISBLANK('Aqueous Species Options'!B28), "", IF('Aqueous Species Options'!L28 = 0, 'Aqueous Species Options'!P28, IF('Aqueous Species Table'!I28="", "", IF('Aqueous Species Options'!B28="H+", 0, ('Aqueous Species Options'!G28/41.8393 + 'Aqueous Species Table'!O28*100000*0.0000005903 - 'Aqueous Species Table'!I28/10 - 'Aqueous Species Table'!J28*100/2601)*(298.15-228) - ('Aqueous Species Table'!L28*10000/2601) ) ) ) )</f>
        <v>0</v>
      </c>
      <c r="L28" s="42">
        <f>IF(ISBLANK('Aqueous Species Options'!B28), "", IF('Aqueous Species Options'!L28 = 0, 'Aqueous Species Options'!Q28, IF('Aqueous Species Table'!J28="", "", IF('Aqueous Species Options'!B28="H+", 0, (-4.134*'Aqueous Species Table'!J28*100 - 27790)*0.0001) ) ) )</f>
        <v>0</v>
      </c>
      <c r="M28" s="42">
        <f>IF(ISBLANK('Aqueous Species Options'!B28), "", IF('Aqueous Species Options'!L28=0, 'Aqueous Species Options'!R28, IF('Aqueous Species Table'!N28="", "", IF('Aqueous Species Options'!B28="H+", 0, 'Aqueous Species Options'!H28 - 'Aqueous Species Table'!O28*100000*(-0.000000309)*298.15 - 'Aqueous Species Table'!N28*10000/(298.15-228)^2 ) ) ) )</f>
        <v>0</v>
      </c>
      <c r="N28" s="42">
        <f>IF(ISBLANK('Aqueous Species Options'!B28), "", IF('Aqueous Species Options'!L28=0, 'Aqueous Species Options'!S28, IF(OR(ISBLANK('Aqueous Species Options'!H28), 'Aqueous Species Table'!O28=""), "", IF('Aqueous Species Options'!B28="H+", 0, 0.2037*'Aqueous Species Options'!H28 - 3.0346) ) ) )</f>
        <v>0</v>
      </c>
      <c r="O28" s="42">
        <f>IF(ISBLANK('Aqueous Species Options'!B28), "", IF('Aqueous Species Options'!K28=0, 'Aqueous Species Options'!I28, IF(OR('Aqueous Species Options'!J28&gt;4,'Aqueous Species Options'!J28&lt;-4), "", IF('Aqueous Species Options'!B28="H+", 0, IF('Aqueous Species Options'!J28=0, -0.038, IF(ISBLANK('Aqueous Species Options'!F28), "", -1514.4*'Aqueous Species Options'!F28*0.00001 + SUM(({4,3,2,1,-1,-2,-3,-4}='Aqueous Species Options'!J28)*{2.1764,1.5793,1.0579,0.5517,1.6291,3.2127,4.8115,6.486}) ) ) ) ) ) )</f>
        <v>0</v>
      </c>
      <c r="P28" s="1" t="str">
        <f>IF(ISBLANK('Aqueous Species Options'!J28), "", 'Aqueous Species Options'!J28)</f>
        <v/>
      </c>
      <c r="Q28" s="184" t="str">
        <f>IF(ISBLANK('Aqueous Species Options'!T28), "", 'Aqueous Species Options'!T28)</f>
        <v/>
      </c>
    </row>
    <row r="29" spans="2:17" ht="15" customHeight="1" x14ac:dyDescent="0.2">
      <c r="B29" s="9" t="str">
        <f>IF(ISBLANK('Aqueous Species Options'!B29), "", 'Aqueous Species Options'!B29)</f>
        <v>Ca(HCO3)+</v>
      </c>
      <c r="C29" s="9" t="str">
        <f>IF(ISBLANK('Aqueous Species Options'!C29), "", 'Aqueous Species Options'!C29)</f>
        <v>Ca(HCO3)(+)</v>
      </c>
      <c r="D29" s="2">
        <f>IF(ISBLANK('Aqueous Species Options'!D29), "", 'Aqueous Species Options'!D29)</f>
        <v>-273830</v>
      </c>
      <c r="E29" s="1">
        <f>IF(ISBLANK('Aqueous Species Options'!E29), "", 'Aqueous Species Options'!E29)</f>
        <v>-294350</v>
      </c>
      <c r="F29" s="139">
        <f>IF(ISBLANK('Aqueous Species Options'!F29), "", 'Aqueous Species Options'!F29)</f>
        <v>26</v>
      </c>
      <c r="G29" s="29">
        <f>IF(ISBLANK('Aqueous Species Options'!B29), "", IF('Aqueous Species Options'!L29 = 1, IF(ISBLANK('Aqueous Species Options'!G29), "", 'Aqueous Species Options'!G29), ('Aqueous Species Table'!I29/10 + ('Aqueous Species Table'!J29*100)/(Calculations!$C$12+Calculations!$C$9) + ('Aqueous Species Table'!K29 + ('Aqueous Species Table'!L29*10000)/(Calculations!$C$12+Calculations!$C$9))*(1/(Calculations!$C$8-Calculations!$C$13)) - 'Aqueous Species Table'!O29*100000*0.0000005903)*41.8393))</f>
        <v>30</v>
      </c>
      <c r="H29" s="29">
        <f>IF(ISBLANK('Aqueous Species Options'!B29), "", IF('Aqueous Species Options'!L29 = 1, IF(ISBLANK('Aqueous Species Options'!H29), "", 'Aqueous Species Options'!H29), 'Aqueous Species Table'!M29 + 'Aqueous Species Table'!N29*10000*(1/(Calculations!$C$8-Calculations!$C$13))^2 + 'Aqueous Species Table'!O29*100000*Calculations!$C$8*Calculations!$C$7))</f>
        <v>51</v>
      </c>
      <c r="I29" s="42">
        <f>IF(ISBLANK('Aqueous Species Options'!B29), "", IF('Aqueous Species Options'!L29=0, 'Aqueous Species Options'!N29, IF(OR(ISBLANK('Aqueous Species Options'!G29),'Aqueous Species Table'!O29="", 'Aqueous Species Table'!P29=""), "", IF('Aqueous Species Options'!B29="H+", 0, (CHOOSE('Aqueous Species Options'!M29+1,'Aqueous Species Options'!$V$4*ABS('Aqueous Species Table'!P29)+'Aqueous Species Options'!$W$4,'Aqueous Species Options'!$Z$4)*('Aqueous Species Options'!G29 + 'Aqueous Species Table'!O29*100000*0.0000005903*41.8393) + CHOOSE('Aqueous Species Options'!M29+1,'Aqueous Species Options'!$X$4*ABS('Aqueous Species Table'!P29)+'Aqueous Species Options'!$Y$4,'Aqueous Species Options'!$AA$4))*10 ) ) ) )</f>
        <v>7.4224643512258703</v>
      </c>
      <c r="J29" s="42">
        <f>IF(ISBLANK('Aqueous Species Options'!B29), "", IF('Aqueous Species Options'!L29 = 0, 'Aqueous Species Options'!O29, IF('Aqueous Species Table'!I29="", "", IF('Aqueous Species Options'!B29="H+", 0, ((1.11*('Aqueous Species Options'!G29 + 'Aqueous Species Table'!O29*100000*0.0000005903*41.8393)+1.8)/41.8393 - 'Aqueous Species Table'!I29/10)*26.01 ) ) ) )</f>
        <v>2.7837861238007617</v>
      </c>
      <c r="K29" s="42">
        <f>IF(ISBLANK('Aqueous Species Options'!B29), "", IF('Aqueous Species Options'!L29 = 0, 'Aqueous Species Options'!P29, IF('Aqueous Species Table'!I29="", "", IF('Aqueous Species Options'!B29="H+", 0, ('Aqueous Species Options'!G29/41.8393 + 'Aqueous Species Table'!O29*100000*0.0000005903 - 'Aqueous Species Table'!I29/10 - 'Aqueous Species Table'!J29*100/2601)*(298.15-228) - ('Aqueous Species Table'!L29*10000/2601) ) ) ) )</f>
        <v>2.5039224657073014</v>
      </c>
      <c r="L29" s="42">
        <f>IF(ISBLANK('Aqueous Species Options'!B29), "", IF('Aqueous Species Options'!L29 = 0, 'Aqueous Species Options'!Q29, IF('Aqueous Species Table'!J29="", "", IF('Aqueous Species Options'!B29="H+", 0, (-4.134*'Aqueous Species Table'!J29*100 - 27790)*0.0001) ) ) )</f>
        <v>-2.8940817183579237</v>
      </c>
      <c r="M29" s="42">
        <f>IF(ISBLANK('Aqueous Species Options'!B29), "", IF('Aqueous Species Options'!L29=0, 'Aqueous Species Options'!R29, IF('Aqueous Species Table'!N29="", "", IF('Aqueous Species Options'!B29="H+", 0, 'Aqueous Species Options'!H29 - 'Aqueous Species Table'!O29*100000*(-0.000000309)*298.15 - 'Aqueous Species Table'!N29*10000/(298.15-228)^2 ) ) ) )</f>
        <v>37.510970633877847</v>
      </c>
      <c r="N29" s="42">
        <f>IF(ISBLANK('Aqueous Species Options'!B29), "", IF('Aqueous Species Options'!L29=0, 'Aqueous Species Options'!S29, IF(OR(ISBLANK('Aqueous Species Options'!H29), 'Aqueous Species Table'!O29=""), "", IF('Aqueous Species Options'!B29="H+", 0, 0.2037*'Aqueous Species Options'!H29 - 3.0346) ) ) )</f>
        <v>7.3540999999999999</v>
      </c>
      <c r="O29" s="42">
        <f>IF(ISBLANK('Aqueous Species Options'!B29), "", IF('Aqueous Species Options'!K29=0, 'Aqueous Species Options'!I29, IF(OR('Aqueous Species Options'!J29&gt;4,'Aqueous Species Options'!J29&lt;-4), "", IF('Aqueous Species Options'!B29="H+", 0, IF('Aqueous Species Options'!J29=0, -0.038, IF(ISBLANK('Aqueous Species Options'!F29), "", -1514.4*'Aqueous Species Options'!F29*0.00001 + SUM(({4,3,2,1,-1,-2,-3,-4}='Aqueous Species Options'!J29)*{2.1764,1.5793,1.0579,0.5517,1.6291,3.2127,4.8115,6.486}) ) ) ) ) ) )</f>
        <v>0.15795599999999993</v>
      </c>
      <c r="P29" s="1">
        <f>IF(ISBLANK('Aqueous Species Options'!J29), "", 'Aqueous Species Options'!J29)</f>
        <v>1</v>
      </c>
      <c r="Q29" s="184" t="str">
        <f>IF(ISBLANK('Aqueous Species Options'!T29), "", 'Aqueous Species Options'!T29)</f>
        <v>Huang &amp; Sverjensky (2019)</v>
      </c>
    </row>
    <row r="30" spans="2:17" ht="15" customHeight="1" x14ac:dyDescent="0.2">
      <c r="B30" s="9" t="str">
        <f>IF(ISBLANK('Aqueous Species Options'!B30), "", 'Aqueous Species Options'!B30)</f>
        <v>Ca(HCOO)+</v>
      </c>
      <c r="C30" s="9" t="str">
        <f>IF(ISBLANK('Aqueous Species Options'!C30), "", 'Aqueous Species Options'!C30)</f>
        <v>Ca(HCOO)+</v>
      </c>
      <c r="D30" s="2">
        <f>IF(ISBLANK('Aqueous Species Options'!D30), "", 'Aqueous Species Options'!D30)</f>
        <v>-217930</v>
      </c>
      <c r="E30" s="1">
        <f>IF(ISBLANK('Aqueous Species Options'!E30), "", 'Aqueous Species Options'!E30)</f>
        <v>-232236</v>
      </c>
      <c r="F30" s="139">
        <f>IF(ISBLANK('Aqueous Species Options'!F30), "", 'Aqueous Species Options'!F30)</f>
        <v>11</v>
      </c>
      <c r="G30" s="29">
        <f>IF(ISBLANK('Aqueous Species Options'!B30), "", IF('Aqueous Species Options'!L30 = 1, IF(ISBLANK('Aqueous Species Options'!G30), "", 'Aqueous Species Options'!G30), ('Aqueous Species Table'!I30/10 + ('Aqueous Species Table'!J30*100)/(Calculations!$C$12+Calculations!$C$9) + ('Aqueous Species Table'!K30 + ('Aqueous Species Table'!L30*10000)/(Calculations!$C$12+Calculations!$C$9))*(1/(Calculations!$C$8-Calculations!$C$13)) - 'Aqueous Species Table'!O30*100000*0.0000005903)*41.8393))</f>
        <v>17.5</v>
      </c>
      <c r="H30" s="29">
        <f>IF(ISBLANK('Aqueous Species Options'!B30), "", IF('Aqueous Species Options'!L30 = 1, IF(ISBLANK('Aqueous Species Options'!H30), "", 'Aqueous Species Options'!H30), 'Aqueous Species Table'!M30 + 'Aqueous Species Table'!N30*10000*(1/(Calculations!$C$8-Calculations!$C$13))^2 + 'Aqueous Species Table'!O30*100000*Calculations!$C$8*Calculations!$C$7))</f>
        <v>68</v>
      </c>
      <c r="I30" s="42">
        <f>IF(ISBLANK('Aqueous Species Options'!B30), "", IF('Aqueous Species Options'!L30=0, 'Aqueous Species Options'!N30, IF(OR(ISBLANK('Aqueous Species Options'!G30),'Aqueous Species Table'!O30="", 'Aqueous Species Table'!P30=""), "", IF('Aqueous Species Options'!B30="H+", 0, (CHOOSE('Aqueous Species Options'!M30+1,'Aqueous Species Options'!$V$4*ABS('Aqueous Species Table'!P30)+'Aqueous Species Options'!$W$4,'Aqueous Species Options'!$Z$4)*('Aqueous Species Options'!G30 + 'Aqueous Species Table'!O30*100000*0.0000005903*41.8393) + CHOOSE('Aqueous Species Options'!M30+1,'Aqueous Species Options'!$X$4*ABS('Aqueous Species Table'!P30)+'Aqueous Species Options'!$Y$4,'Aqueous Species Options'!$AA$4))*10 ) ) ) )</f>
        <v>5.1037977321956918</v>
      </c>
      <c r="J30" s="42">
        <f>IF(ISBLANK('Aqueous Species Options'!B30), "", IF('Aqueous Species Options'!L30 = 0, 'Aqueous Species Options'!O30, IF('Aqueous Species Table'!I30="", "", IF('Aqueous Species Options'!B30="H+", 0, ((1.11*('Aqueous Species Options'!G30 + 'Aqueous Species Table'!O30*100000*0.0000005903*41.8393)+1.8)/41.8393 - 'Aqueous Species Table'!I30/10)*26.01 ) ) ) )</f>
        <v>0.57618549077423764</v>
      </c>
      <c r="K30" s="42">
        <f>IF(ISBLANK('Aqueous Species Options'!B30), "", IF('Aqueous Species Options'!L30 = 0, 'Aqueous Species Options'!P30, IF('Aqueous Species Table'!I30="", "", IF('Aqueous Species Options'!B30="H+", 0, ('Aqueous Species Options'!G30/41.8393 + 'Aqueous Species Table'!O30*100000*0.0000005903 - 'Aqueous Species Table'!I30/10 - 'Aqueous Species Table'!J30*100/2601)*(298.15-228) - ('Aqueous Species Table'!L30*10000/2601) ) ) ) )</f>
        <v>4.3549746756286742</v>
      </c>
      <c r="L30" s="42">
        <f>IF(ISBLANK('Aqueous Species Options'!B30), "", IF('Aqueous Species Options'!L30 = 0, 'Aqueous Species Options'!Q30, IF('Aqueous Species Table'!J30="", "", IF('Aqueous Species Options'!B30="H+", 0, (-4.134*'Aqueous Species Table'!J30*100 - 27790)*0.0001) ) ) )</f>
        <v>-2.8028195081886071</v>
      </c>
      <c r="M30" s="42">
        <f>IF(ISBLANK('Aqueous Species Options'!B30), "", IF('Aqueous Species Options'!L30=0, 'Aqueous Species Options'!R30, IF('Aqueous Species Table'!N30="", "", IF('Aqueous Species Options'!B30="H+", 0, 'Aqueous Species Options'!H30 - 'Aqueous Species Table'!O30*100000*(-0.000000309)*298.15 - 'Aqueous Species Table'!N30*10000/(298.15-228)^2 ) ) ) )</f>
        <v>49.566806054348191</v>
      </c>
      <c r="N30" s="42">
        <f>IF(ISBLANK('Aqueous Species Options'!B30), "", IF('Aqueous Species Options'!L30=0, 'Aqueous Species Options'!S30, IF(OR(ISBLANK('Aqueous Species Options'!H30), 'Aqueous Species Table'!O30=""), "", IF('Aqueous Species Options'!B30="H+", 0, 0.2037*'Aqueous Species Options'!H30 - 3.0346) ) ) )</f>
        <v>10.817</v>
      </c>
      <c r="O30" s="42">
        <f>IF(ISBLANK('Aqueous Species Options'!B30), "", IF('Aqueous Species Options'!K30=0, 'Aqueous Species Options'!I30, IF(OR('Aqueous Species Options'!J30&gt;4,'Aqueous Species Options'!J30&lt;-4), "", IF('Aqueous Species Options'!B30="H+", 0, IF('Aqueous Species Options'!J30=0, -0.038, IF(ISBLANK('Aqueous Species Options'!F30), "", -1514.4*'Aqueous Species Options'!F30*0.00001 + SUM(({4,3,2,1,-1,-2,-3,-4}='Aqueous Species Options'!J30)*{2.1764,1.5793,1.0579,0.5517,1.6291,3.2127,4.8115,6.486}) ) ) ) ) ) )</f>
        <v>0.3851159999999999</v>
      </c>
      <c r="P30" s="1">
        <f>IF(ISBLANK('Aqueous Species Options'!J30), "", 'Aqueous Species Options'!J30)</f>
        <v>1</v>
      </c>
      <c r="Q30" s="184" t="str">
        <f>IF(ISBLANK('Aqueous Species Options'!T30), "", 'Aqueous Species Options'!T30)</f>
        <v>Huang &amp; Sverjensky (2019)</v>
      </c>
    </row>
    <row r="31" spans="2:17" ht="15" customHeight="1" x14ac:dyDescent="0.2">
      <c r="B31" s="9" t="str">
        <f>IF(ISBLANK('Aqueous Species Options'!B31), "", 'Aqueous Species Options'!B31)</f>
        <v>Ca(HSiO3)+</v>
      </c>
      <c r="C31" s="9" t="str">
        <f>IF(ISBLANK('Aqueous Species Options'!C31), "", 'Aqueous Species Options'!C31)</f>
        <v>Ca(HSiO3)+</v>
      </c>
      <c r="D31" s="2">
        <f>IF(ISBLANK('Aqueous Species Options'!D31), "", 'Aqueous Species Options'!D31)</f>
        <v>-376299</v>
      </c>
      <c r="E31" s="1">
        <f>IF(ISBLANK('Aqueous Species Options'!E31), "", 'Aqueous Species Options'!E31)</f>
        <v>-397525</v>
      </c>
      <c r="F31" s="139">
        <f>IF(ISBLANK('Aqueous Species Options'!F31), "", 'Aqueous Species Options'!F31)</f>
        <v>16.8</v>
      </c>
      <c r="G31" s="29">
        <f>IF(ISBLANK('Aqueous Species Options'!B31), "", IF('Aqueous Species Options'!L31 = 1, IF(ISBLANK('Aqueous Species Options'!G31), "", 'Aqueous Species Options'!G31), ('Aqueous Species Table'!I31/10 + ('Aqueous Species Table'!J31*100)/(Calculations!$C$12+Calculations!$C$9) + ('Aqueous Species Table'!K31 + ('Aqueous Species Table'!L31*10000)/(Calculations!$C$12+Calculations!$C$9))*(1/(Calculations!$C$8-Calculations!$C$13)) - 'Aqueous Species Table'!O31*100000*0.0000005903)*41.8393))</f>
        <v>36</v>
      </c>
      <c r="H31" s="29">
        <f>IF(ISBLANK('Aqueous Species Options'!B31), "", IF('Aqueous Species Options'!L31 = 1, IF(ISBLANK('Aqueous Species Options'!H31), "", 'Aqueous Species Options'!H31), 'Aqueous Species Table'!M31 + 'Aqueous Species Table'!N31*10000*(1/(Calculations!$C$8-Calculations!$C$13))^2 + 'Aqueous Species Table'!O31*100000*Calculations!$C$8*Calculations!$C$7))</f>
        <v>72</v>
      </c>
      <c r="I31" s="42">
        <f>IF(ISBLANK('Aqueous Species Options'!B31), "", IF('Aqueous Species Options'!L31=0, 'Aqueous Species Options'!N31, IF(OR(ISBLANK('Aqueous Species Options'!G31),'Aqueous Species Table'!O31="", 'Aqueous Species Table'!P31=""), "", IF('Aqueous Species Options'!B31="H+", 0, (CHOOSE('Aqueous Species Options'!M31+1,'Aqueous Species Options'!$V$4*ABS('Aqueous Species Table'!P31)+'Aqueous Species Options'!$W$4,'Aqueous Species Options'!$Z$4)*('Aqueous Species Options'!G31 + 'Aqueous Species Table'!O31*100000*0.0000005903*41.8393) + CHOOSE('Aqueous Species Options'!M31+1,'Aqueous Species Options'!$X$4*ABS('Aqueous Species Table'!P31)+'Aqueous Species Options'!$Y$4,'Aqueous Species Options'!$AA$4))*10 ) ) ) )</f>
        <v>8.6545521582206959</v>
      </c>
      <c r="J31" s="42">
        <f>IF(ISBLANK('Aqueous Species Options'!B31), "", IF('Aqueous Species Options'!L31 = 0, 'Aqueous Species Options'!O31, IF('Aqueous Species Table'!I31="", "", IF('Aqueous Species Options'!B31="H+", 0, ((1.11*('Aqueous Species Options'!G31 + 'Aqueous Species Table'!O31*100000*0.0000005903*41.8393)+1.8)/41.8393 - 'Aqueous Species Table'!I31/10)*26.01 ) ) ) )</f>
        <v>3.9568559391602851</v>
      </c>
      <c r="K31" s="42">
        <f>IF(ISBLANK('Aqueous Species Options'!B31), "", IF('Aqueous Species Options'!L31 = 0, 'Aqueous Species Options'!P31, IF('Aqueous Species Table'!I31="", "", IF('Aqueous Species Options'!B31="H+", 0, ('Aqueous Species Options'!G31/41.8393 + 'Aqueous Species Table'!O31*100000*0.0000005903 - 'Aqueous Species Table'!I31/10 - 'Aqueous Species Table'!J31*100/2601)*(298.15-228) - ('Aqueous Species Table'!L31*10000/2601) ) ) ) )</f>
        <v>1.5203145424134714</v>
      </c>
      <c r="L31" s="42">
        <f>IF(ISBLANK('Aqueous Species Options'!B31), "", IF('Aqueous Species Options'!L31 = 0, 'Aqueous Species Options'!Q31, IF('Aqueous Species Table'!J31="", "", IF('Aqueous Species Options'!B31="H+", 0, (-4.134*'Aqueous Species Table'!J31*100 - 27790)*0.0001) ) ) )</f>
        <v>-2.9425764245248862</v>
      </c>
      <c r="M31" s="42">
        <f>IF(ISBLANK('Aqueous Species Options'!B31), "", IF('Aqueous Species Options'!L31=0, 'Aqueous Species Options'!R31, IF('Aqueous Species Table'!N31="", "", IF('Aqueous Species Options'!B31="H+", 0, 'Aqueous Species Options'!H31 - 'Aqueous Species Table'!O31*100000*(-0.000000309)*298.15 - 'Aqueous Species Table'!N31*10000/(298.15-228)^2 ) ) ) )</f>
        <v>51.101841395878623</v>
      </c>
      <c r="N31" s="42">
        <f>IF(ISBLANK('Aqueous Species Options'!B31), "", IF('Aqueous Species Options'!L31=0, 'Aqueous Species Options'!S31, IF(OR(ISBLANK('Aqueous Species Options'!H31), 'Aqueous Species Table'!O31=""), "", IF('Aqueous Species Options'!B31="H+", 0, 0.2037*'Aqueous Species Options'!H31 - 3.0346) ) ) )</f>
        <v>11.631799999999998</v>
      </c>
      <c r="O31" s="42">
        <f>IF(ISBLANK('Aqueous Species Options'!B31), "", IF('Aqueous Species Options'!K31=0, 'Aqueous Species Options'!I31, IF(OR('Aqueous Species Options'!J31&gt;4,'Aqueous Species Options'!J31&lt;-4), "", IF('Aqueous Species Options'!B31="H+", 0, IF('Aqueous Species Options'!J31=0, -0.038, IF(ISBLANK('Aqueous Species Options'!F31), "", -1514.4*'Aqueous Species Options'!F31*0.00001 + SUM(({4,3,2,1,-1,-2,-3,-4}='Aqueous Species Options'!J31)*{2.1764,1.5793,1.0579,0.5517,1.6291,3.2127,4.8115,6.486}) ) ) ) ) ) )</f>
        <v>0.29728079999999996</v>
      </c>
      <c r="P31" s="1">
        <f>IF(ISBLANK('Aqueous Species Options'!J31), "", 'Aqueous Species Options'!J31)</f>
        <v>1</v>
      </c>
      <c r="Q31" s="184" t="str">
        <f>IF(ISBLANK('Aqueous Species Options'!T31), "", 'Aqueous Species Options'!T31)</f>
        <v>Huang &amp; Sverjensky (2019)</v>
      </c>
    </row>
    <row r="32" spans="2:17" ht="15" customHeight="1" x14ac:dyDescent="0.2">
      <c r="B32" s="9" t="str">
        <f>IF(ISBLANK('Aqueous Species Options'!B32), "", 'Aqueous Species Options'!B32)</f>
        <v>Ca(HSO4)+</v>
      </c>
      <c r="C32" s="9" t="str">
        <f>IF(ISBLANK('Aqueous Species Options'!C32), "", 'Aqueous Species Options'!C32)</f>
        <v>Ca(HSO4)(+)</v>
      </c>
      <c r="D32" s="2">
        <f>IF(ISBLANK('Aqueous Species Options'!D32), "", 'Aqueous Species Options'!D32)</f>
        <v>-314200</v>
      </c>
      <c r="E32" s="1">
        <f>IF(ISBLANK('Aqueous Species Options'!E32), "", 'Aqueous Species Options'!E32)</f>
        <v>-338235</v>
      </c>
      <c r="F32" s="139">
        <f>IF(ISBLANK('Aqueous Species Options'!F32), "", 'Aqueous Species Options'!F32)</f>
        <v>35</v>
      </c>
      <c r="G32" s="29">
        <f>IF(ISBLANK('Aqueous Species Options'!B32), "", IF('Aqueous Species Options'!L32 = 1, IF(ISBLANK('Aqueous Species Options'!G32), "", 'Aqueous Species Options'!G32), ('Aqueous Species Table'!I32/10 + ('Aqueous Species Table'!J32*100)/(Calculations!$C$12+Calculations!$C$9) + ('Aqueous Species Table'!K32 + ('Aqueous Species Table'!L32*10000)/(Calculations!$C$12+Calculations!$C$9))*(1/(Calculations!$C$8-Calculations!$C$13)) - 'Aqueous Species Table'!O32*100000*0.0000005903)*41.8393))</f>
        <v>37</v>
      </c>
      <c r="H32" s="29">
        <f>IF(ISBLANK('Aqueous Species Options'!B32), "", IF('Aqueous Species Options'!L32 = 1, IF(ISBLANK('Aqueous Species Options'!H32), "", 'Aqueous Species Options'!H32), 'Aqueous Species Table'!M32 + 'Aqueous Species Table'!N32*10000*(1/(Calculations!$C$8-Calculations!$C$13))^2 + 'Aqueous Species Table'!O32*100000*Calculations!$C$8*Calculations!$C$7))</f>
        <v>70</v>
      </c>
      <c r="I32" s="42">
        <f>IF(ISBLANK('Aqueous Species Options'!B32), "", IF('Aqueous Species Options'!L32=0, 'Aqueous Species Options'!N32, IF(OR(ISBLANK('Aqueous Species Options'!G32),'Aqueous Species Table'!O32="", 'Aqueous Species Table'!P32=""), "", IF('Aqueous Species Options'!B32="H+", 0, (CHOOSE('Aqueous Species Options'!M32+1,'Aqueous Species Options'!$V$4*ABS('Aqueous Species Table'!P32)+'Aqueous Species Options'!$W$4,'Aqueous Species Options'!$Z$4)*('Aqueous Species Options'!G32 + 'Aqueous Species Table'!O32*100000*0.0000005903*41.8393) + CHOOSE('Aqueous Species Options'!M32+1,'Aqueous Species Options'!$X$4*ABS('Aqueous Species Table'!P32)+'Aqueous Species Options'!$Y$4,'Aqueous Species Options'!$AA$4))*10 ) ) ) )</f>
        <v>8.7157630957008116</v>
      </c>
      <c r="J32" s="42">
        <f>IF(ISBLANK('Aqueous Species Options'!B32), "", IF('Aqueous Species Options'!L32 = 0, 'Aqueous Species Options'!O32, IF('Aqueous Species Table'!I32="", "", IF('Aqueous Species Options'!B32="H+", 0, ((1.11*('Aqueous Species Options'!G32 + 'Aqueous Species Table'!O32*100000*0.0000005903*41.8393)+1.8)/41.8393 - 'Aqueous Species Table'!I32/10)*26.01 ) ) ) )</f>
        <v>4.0151348237658633</v>
      </c>
      <c r="K32" s="42">
        <f>IF(ISBLANK('Aqueous Species Options'!B32), "", IF('Aqueous Species Options'!L32 = 0, 'Aqueous Species Options'!P32, IF('Aqueous Species Table'!I32="", "", IF('Aqueous Species Options'!B32="H+", 0, ('Aqueous Species Options'!G32/41.8393 + 'Aqueous Species Table'!O32*100000*0.0000005903 - 'Aqueous Species Table'!I32/10 - 'Aqueous Species Table'!J32*100/2601)*(298.15-228) - ('Aqueous Species Table'!L32*10000/2601) ) ) ) )</f>
        <v>1.4714482499659063</v>
      </c>
      <c r="L32" s="42">
        <f>IF(ISBLANK('Aqueous Species Options'!B32), "", IF('Aqueous Species Options'!L32 = 0, 'Aqueous Species Options'!Q32, IF('Aqueous Species Table'!J32="", "", IF('Aqueous Species Options'!B32="H+", 0, (-4.134*'Aqueous Species Table'!J32*100 - 27790)*0.0001) ) ) )</f>
        <v>-2.944985673614481</v>
      </c>
      <c r="M32" s="42">
        <f>IF(ISBLANK('Aqueous Species Options'!B32), "", IF('Aqueous Species Options'!L32=0, 'Aqueous Species Options'!R32, IF('Aqueous Species Table'!N32="", "", IF('Aqueous Species Options'!B32="H+", 0, 'Aqueous Species Options'!H32 - 'Aqueous Species Table'!O32*100000*(-0.000000309)*298.15 - 'Aqueous Species Table'!N32*10000/(298.15-228)^2 ) ) ) )</f>
        <v>47.375175863649417</v>
      </c>
      <c r="N32" s="42">
        <f>IF(ISBLANK('Aqueous Species Options'!B32), "", IF('Aqueous Species Options'!L32=0, 'Aqueous Species Options'!S32, IF(OR(ISBLANK('Aqueous Species Options'!H32), 'Aqueous Species Table'!O32=""), "", IF('Aqueous Species Options'!B32="H+", 0, 0.2037*'Aqueous Species Options'!H32 - 3.0346) ) ) )</f>
        <v>11.224399999999999</v>
      </c>
      <c r="O32" s="42">
        <f>IF(ISBLANK('Aqueous Species Options'!B32), "", IF('Aqueous Species Options'!K32=0, 'Aqueous Species Options'!I32, IF(OR('Aqueous Species Options'!J32&gt;4,'Aqueous Species Options'!J32&lt;-4), "", IF('Aqueous Species Options'!B32="H+", 0, IF('Aqueous Species Options'!J32=0, -0.038, IF(ISBLANK('Aqueous Species Options'!F32), "", -1514.4*'Aqueous Species Options'!F32*0.00001 + SUM(({4,3,2,1,-1,-2,-3,-4}='Aqueous Species Options'!J32)*{2.1764,1.5793,1.0579,0.5517,1.6291,3.2127,4.8115,6.486}) ) ) ) ) ) )</f>
        <v>0.02</v>
      </c>
      <c r="P32" s="1">
        <f>IF(ISBLANK('Aqueous Species Options'!J32), "", 'Aqueous Species Options'!J32)</f>
        <v>1</v>
      </c>
      <c r="Q32" s="184" t="str">
        <f>IF(ISBLANK('Aqueous Species Options'!T32), "", 'Aqueous Species Options'!T32)</f>
        <v>Beaudry et al. (2024)</v>
      </c>
    </row>
    <row r="33" spans="2:17" ht="15" customHeight="1" x14ac:dyDescent="0.2">
      <c r="B33" s="9" t="str">
        <f>IF(ISBLANK('Aqueous Species Options'!B33), "", 'Aqueous Species Options'!B33)</f>
        <v>Ca(OH)+</v>
      </c>
      <c r="C33" s="9" t="str">
        <f>IF(ISBLANK('Aqueous Species Options'!C33), "", 'Aqueous Species Options'!C33)</f>
        <v>Ca(OH)(+)</v>
      </c>
      <c r="D33" s="2">
        <f>IF(ISBLANK('Aqueous Species Options'!D33), "", 'Aqueous Species Options'!D33)</f>
        <v>-171300</v>
      </c>
      <c r="E33" s="1">
        <f>IF(ISBLANK('Aqueous Species Options'!E33), "", 'Aqueous Species Options'!E33)</f>
        <v>-179600</v>
      </c>
      <c r="F33" s="139">
        <f>IF(ISBLANK('Aqueous Species Options'!F33), "", 'Aqueous Species Options'!F33)</f>
        <v>6.7</v>
      </c>
      <c r="G33" s="29">
        <f>IF(ISBLANK('Aqueous Species Options'!B33), "", IF('Aqueous Species Options'!L33 = 1, IF(ISBLANK('Aqueous Species Options'!G33), "", 'Aqueous Species Options'!G33), ('Aqueous Species Table'!I33/10 + ('Aqueous Species Table'!J33*100)/(Calculations!$C$12+Calculations!$C$9) + ('Aqueous Species Table'!K33 + ('Aqueous Species Table'!L33*10000)/(Calculations!$C$12+Calculations!$C$9))*(1/(Calculations!$C$8-Calculations!$C$13)) - 'Aqueous Species Table'!O33*100000*0.0000005903)*41.8393))</f>
        <v>1.9</v>
      </c>
      <c r="H33" s="29">
        <f>IF(ISBLANK('Aqueous Species Options'!B33), "", IF('Aqueous Species Options'!L33 = 1, IF(ISBLANK('Aqueous Species Options'!H33), "", 'Aqueous Species Options'!H33), 'Aqueous Species Table'!M33 + 'Aqueous Species Table'!N33*10000*(1/(Calculations!$C$8-Calculations!$C$13))^2 + 'Aqueous Species Table'!O33*100000*Calculations!$C$8*Calculations!$C$7))</f>
        <v>1.4</v>
      </c>
      <c r="I33" s="42">
        <f>IF(ISBLANK('Aqueous Species Options'!B33), "", IF('Aqueous Species Options'!L33=0, 'Aqueous Species Options'!N33, IF(OR(ISBLANK('Aqueous Species Options'!G33),'Aqueous Species Table'!O33="", 'Aqueous Species Table'!P33=""), "", IF('Aqueous Species Options'!B33="H+", 0, (CHOOSE('Aqueous Species Options'!M33+1,'Aqueous Species Options'!$V$4*ABS('Aqueous Species Table'!P33)+'Aqueous Species Options'!$W$4,'Aqueous Species Options'!$Z$4)*('Aqueous Species Options'!G33 + 'Aqueous Species Table'!O33*100000*0.0000005903*41.8393) + CHOOSE('Aqueous Species Options'!M33+1,'Aqueous Species Options'!$X$4*ABS('Aqueous Species Table'!P33)+'Aqueous Species Options'!$Y$4,'Aqueous Species Options'!$AA$4))*10 ) ) ) )</f>
        <v>2.1050517913542492</v>
      </c>
      <c r="J33" s="42">
        <f>IF(ISBLANK('Aqueous Species Options'!B33), "", IF('Aqueous Species Options'!L33 = 0, 'Aqueous Species Options'!O33, IF('Aqueous Species Table'!I33="", "", IF('Aqueous Species Options'!B33="H+", 0, ((1.11*('Aqueous Species Options'!G33 + 'Aqueous Species Table'!O33*100000*0.0000005903*41.8393)+1.8)/41.8393 - 'Aqueous Species Table'!I33/10)*26.01 ) ) ) )</f>
        <v>-2.2789181204798119</v>
      </c>
      <c r="K33" s="42">
        <f>IF(ISBLANK('Aqueous Species Options'!B33), "", IF('Aqueous Species Options'!L33 = 0, 'Aqueous Species Options'!P33, IF('Aqueous Species Table'!I33="", "", IF('Aqueous Species Options'!B33="H+", 0, ('Aqueous Species Options'!G33/41.8393 + 'Aqueous Species Table'!O33*100000*0.0000005903 - 'Aqueous Species Table'!I33/10 - 'Aqueous Species Table'!J33*100/2601)*(298.15-228) - ('Aqueous Species Table'!L33*10000/2601) ) ) ) )</f>
        <v>6.7489519965723215</v>
      </c>
      <c r="L33" s="42">
        <f>IF(ISBLANK('Aqueous Species Options'!B33), "", IF('Aqueous Species Options'!L33 = 0, 'Aqueous Species Options'!Q33, IF('Aqueous Species Table'!J33="", "", IF('Aqueous Species Options'!B33="H+", 0, (-4.134*'Aqueous Species Table'!J33*100 - 27790)*0.0001) ) ) )</f>
        <v>-2.6847895248993647</v>
      </c>
      <c r="M33" s="42">
        <f>IF(ISBLANK('Aqueous Species Options'!B33), "", IF('Aqueous Species Options'!L33=0, 'Aqueous Species Options'!R33, IF('Aqueous Species Table'!N33="", "", IF('Aqueous Species Options'!B33="H+", 0, 'Aqueous Species Options'!H33 - 'Aqueous Species Table'!O33*100000*(-0.000000309)*298.15 - 'Aqueous Species Table'!N33*10000/(298.15-228)^2 ) ) ) )</f>
        <v>11.129181510219651</v>
      </c>
      <c r="N33" s="42">
        <f>IF(ISBLANK('Aqueous Species Options'!B33), "", IF('Aqueous Species Options'!L33=0, 'Aqueous Species Options'!S33, IF(OR(ISBLANK('Aqueous Species Options'!H33), 'Aqueous Species Table'!O33=""), "", IF('Aqueous Species Options'!B33="H+", 0, 0.2037*'Aqueous Species Options'!H33 - 3.0346) ) ) )</f>
        <v>-2.7494200000000002</v>
      </c>
      <c r="O33" s="42">
        <f>IF(ISBLANK('Aqueous Species Options'!B33), "", IF('Aqueous Species Options'!K33=0, 'Aqueous Species Options'!I33, IF(OR('Aqueous Species Options'!J33&gt;4,'Aqueous Species Options'!J33&lt;-4), "", IF('Aqueous Species Options'!B33="H+", 0, IF('Aqueous Species Options'!J33=0, -0.038, IF(ISBLANK('Aqueous Species Options'!F33), "", -1514.4*'Aqueous Species Options'!F33*0.00001 + SUM(({4,3,2,1,-1,-2,-3,-4}='Aqueous Species Options'!J33)*{2.1764,1.5793,1.0579,0.5517,1.6291,3.2127,4.8115,6.486}) ) ) ) ) ) )</f>
        <v>0.4496</v>
      </c>
      <c r="P33" s="1">
        <f>IF(ISBLANK('Aqueous Species Options'!J33), "", 'Aqueous Species Options'!J33)</f>
        <v>1</v>
      </c>
      <c r="Q33" s="184" t="str">
        <f>IF(ISBLANK('Aqueous Species Options'!T33), "", 'Aqueous Species Options'!T33)</f>
        <v>Shock et al. (1997) with new a1 prediction</v>
      </c>
    </row>
    <row r="34" spans="2:17" ht="15" customHeight="1" x14ac:dyDescent="0.2">
      <c r="B34" s="9" t="str">
        <f>IF(ISBLANK('Aqueous Species Options'!B34), "", 'Aqueous Species Options'!B34)</f>
        <v>Ca+2</v>
      </c>
      <c r="C34" s="9" t="str">
        <f>IF(ISBLANK('Aqueous Species Options'!C34), "", 'Aqueous Species Options'!C34)</f>
        <v>Ca(+2)</v>
      </c>
      <c r="D34" s="2">
        <f>IF(ISBLANK('Aqueous Species Options'!D34), "", 'Aqueous Species Options'!D34)</f>
        <v>-132120</v>
      </c>
      <c r="E34" s="1">
        <f>IF(ISBLANK('Aqueous Species Options'!E34), "", 'Aqueous Species Options'!E34)</f>
        <v>-129800</v>
      </c>
      <c r="F34" s="139">
        <f>IF(ISBLANK('Aqueous Species Options'!F34), "", 'Aqueous Species Options'!F34)</f>
        <v>-13.5</v>
      </c>
      <c r="G34" s="29">
        <f>IF(ISBLANK('Aqueous Species Options'!B34), "", IF('Aqueous Species Options'!L34 = 1, IF(ISBLANK('Aqueous Species Options'!G34), "", 'Aqueous Species Options'!G34), ('Aqueous Species Table'!I34/10 + ('Aqueous Species Table'!J34*100)/(Calculations!$C$12+Calculations!$C$9) + ('Aqueous Species Table'!K34 + ('Aqueous Species Table'!L34*10000)/(Calculations!$C$12+Calculations!$C$9))*(1/(Calculations!$C$8-Calculations!$C$13)) - 'Aqueous Species Table'!O34*100000*0.0000005903)*41.8393))</f>
        <v>-18.449315077694575</v>
      </c>
      <c r="H34" s="29">
        <f>IF(ISBLANK('Aqueous Species Options'!B34), "", IF('Aqueous Species Options'!L34 = 1, IF(ISBLANK('Aqueous Species Options'!H34), "", 'Aqueous Species Options'!H34), 'Aqueous Species Table'!M34 + 'Aqueous Species Table'!N34*10000*(1/(Calculations!$C$8-Calculations!$C$13))^2 + 'Aqueous Species Table'!O34*100000*Calculations!$C$8*Calculations!$C$7))</f>
        <v>-7.5134787311367957</v>
      </c>
      <c r="I34" s="42">
        <f>IF(ISBLANK('Aqueous Species Options'!B34), "", IF('Aqueous Species Options'!L34=0, 'Aqueous Species Options'!N34, IF(OR(ISBLANK('Aqueous Species Options'!G34),'Aqueous Species Table'!O34="", 'Aqueous Species Table'!P34=""), "", IF('Aqueous Species Options'!B34="H+", 0, (CHOOSE('Aqueous Species Options'!M34+1,'Aqueous Species Options'!$V$4*ABS('Aqueous Species Table'!P34)+'Aqueous Species Options'!$W$4,'Aqueous Species Options'!$Z$4)*('Aqueous Species Options'!G34 + 'Aqueous Species Table'!O34*100000*0.0000005903*41.8393) + CHOOSE('Aqueous Species Options'!M34+1,'Aqueous Species Options'!$X$4*ABS('Aqueous Species Table'!P34)+'Aqueous Species Options'!$Y$4,'Aqueous Species Options'!$AA$4))*10 ) ) ) )</f>
        <v>-0.245</v>
      </c>
      <c r="J34" s="42">
        <f>IF(ISBLANK('Aqueous Species Options'!B34), "", IF('Aqueous Species Options'!L34 = 0, 'Aqueous Species Options'!O34, IF('Aqueous Species Table'!I34="", "", IF('Aqueous Species Options'!B34="H+", 0, ((1.11*('Aqueous Species Options'!G34 + 'Aqueous Species Table'!O34*100000*0.0000005903*41.8393)+1.8)/41.8393 - 'Aqueous Species Table'!I34/10)*26.01 ) ) ) )</f>
        <v>-7.2519999999999998</v>
      </c>
      <c r="K34" s="42">
        <f>IF(ISBLANK('Aqueous Species Options'!B34), "", IF('Aqueous Species Options'!L34 = 0, 'Aqueous Species Options'!P34, IF('Aqueous Species Table'!I34="", "", IF('Aqueous Species Options'!B34="H+", 0, ('Aqueous Species Options'!G34/41.8393 + 'Aqueous Species Table'!O34*100000*0.0000005903 - 'Aqueous Species Table'!I34/10 - 'Aqueous Species Table'!J34*100/2601)*(298.15-228) - ('Aqueous Species Table'!L34*10000/2601) ) ) ) )</f>
        <v>5</v>
      </c>
      <c r="L34" s="42">
        <f>IF(ISBLANK('Aqueous Species Options'!B34), "", IF('Aqueous Species Options'!L34 = 0, 'Aqueous Species Options'!Q34, IF('Aqueous Species Table'!J34="", "", IF('Aqueous Species Options'!B34="H+", 0, (-4.134*'Aqueous Species Table'!J34*100 - 27790)*0.0001) ) ) )</f>
        <v>-2.48</v>
      </c>
      <c r="M34" s="42">
        <f>IF(ISBLANK('Aqueous Species Options'!B34), "", IF('Aqueous Species Options'!L34=0, 'Aqueous Species Options'!R34, IF('Aqueous Species Table'!N34="", "", IF('Aqueous Species Options'!B34="H+", 0, 'Aqueous Species Options'!H34 - 'Aqueous Species Table'!O34*100000*(-0.000000309)*298.15 - 'Aqueous Species Table'!N34*10000/(298.15-228)^2 ) ) ) )</f>
        <v>9</v>
      </c>
      <c r="N34" s="42">
        <f>IF(ISBLANK('Aqueous Species Options'!B34), "", IF('Aqueous Species Options'!L34=0, 'Aqueous Species Options'!S34, IF(OR(ISBLANK('Aqueous Species Options'!H34), 'Aqueous Species Table'!O34=""), "", IF('Aqueous Species Options'!B34="H+", 0, 0.2037*'Aqueous Species Options'!H34 - 3.0346) ) ) )</f>
        <v>-2.52</v>
      </c>
      <c r="O34" s="42">
        <f>IF(ISBLANK('Aqueous Species Options'!B34), "", IF('Aqueous Species Options'!K34=0, 'Aqueous Species Options'!I34, IF(OR('Aqueous Species Options'!J34&gt;4,'Aqueous Species Options'!J34&lt;-4), "", IF('Aqueous Species Options'!B34="H+", 0, IF('Aqueous Species Options'!J34=0, -0.038, IF(ISBLANK('Aqueous Species Options'!F34), "", -1514.4*'Aqueous Species Options'!F34*0.00001 + SUM(({4,3,2,1,-1,-2,-3,-4}='Aqueous Species Options'!J34)*{2.1764,1.5793,1.0579,0.5517,1.6291,3.2127,4.8115,6.486}) ) ) ) ) ) )</f>
        <v>1.2365999999999999</v>
      </c>
      <c r="P34" s="1">
        <f>IF(ISBLANK('Aqueous Species Options'!J34), "", 'Aqueous Species Options'!J34)</f>
        <v>2</v>
      </c>
      <c r="Q34" s="184" t="str">
        <f>IF(ISBLANK('Aqueous Species Options'!T34), "", 'Aqueous Species Options'!T34)</f>
        <v>Facq et al. (2014)</v>
      </c>
    </row>
    <row r="35" spans="2:17" ht="15" customHeight="1" x14ac:dyDescent="0.2">
      <c r="B35" s="9" t="str">
        <f>IF(ISBLANK('Aqueous Species Options'!B35), "", 'Aqueous Species Options'!B35)</f>
        <v>CaCl+</v>
      </c>
      <c r="C35" s="9" t="str">
        <f>IF(ISBLANK('Aqueous Species Options'!C35), "", 'Aqueous Species Options'!C35)</f>
        <v>CaCl(+)</v>
      </c>
      <c r="D35" s="2">
        <f>IF(ISBLANK('Aqueous Species Options'!D35), "", 'Aqueous Species Options'!D35)</f>
        <v>-163100</v>
      </c>
      <c r="E35" s="1">
        <f>IF(ISBLANK('Aqueous Species Options'!E35), "", 'Aqueous Species Options'!E35)</f>
        <v>-168607</v>
      </c>
      <c r="F35" s="139">
        <f>IF(ISBLANK('Aqueous Species Options'!F35), "", 'Aqueous Species Options'!F35)</f>
        <v>4.5</v>
      </c>
      <c r="G35" s="29">
        <f>IF(ISBLANK('Aqueous Species Options'!B35), "", IF('Aqueous Species Options'!L35 = 1, IF(ISBLANK('Aqueous Species Options'!G35), "", 'Aqueous Species Options'!G35), ('Aqueous Species Table'!I35/10 + ('Aqueous Species Table'!J35*100)/(Calculations!$C$12+Calculations!$C$9) + ('Aqueous Species Table'!K35 + ('Aqueous Species Table'!L35*10000)/(Calculations!$C$12+Calculations!$C$9))*(1/(Calculations!$C$8-Calculations!$C$13)) - 'Aqueous Species Table'!O35*100000*0.0000005903)*41.8393))</f>
        <v>11.3</v>
      </c>
      <c r="H35" s="29">
        <f>IF(ISBLANK('Aqueous Species Options'!B35), "", IF('Aqueous Species Options'!L35 = 1, IF(ISBLANK('Aqueous Species Options'!H35), "", 'Aqueous Species Options'!H35), 'Aqueous Species Table'!M35 + 'Aqueous Species Table'!N35*10000*(1/(Calculations!$C$8-Calculations!$C$13))^2 + 'Aqueous Species Table'!O35*100000*Calculations!$C$8*Calculations!$C$7))</f>
        <v>17.5</v>
      </c>
      <c r="I35" s="42">
        <f>IF(ISBLANK('Aqueous Species Options'!B35), "", IF('Aqueous Species Options'!L35=0, 'Aqueous Species Options'!N35, IF(OR(ISBLANK('Aqueous Species Options'!G35),'Aqueous Species Table'!O35="", 'Aqueous Species Table'!P35=""), "", IF('Aqueous Species Options'!B35="H+", 0, (CHOOSE('Aqueous Species Options'!M35+1,'Aqueous Species Options'!$V$4*ABS('Aqueous Species Table'!P35)+'Aqueous Species Options'!$W$4,'Aqueous Species Options'!$Z$4)*('Aqueous Species Options'!G35 + 'Aqueous Species Table'!O35*100000*0.0000005903*41.8393) + CHOOSE('Aqueous Species Options'!M35+1,'Aqueous Species Options'!$X$4*ABS('Aqueous Species Table'!P35)+'Aqueous Species Options'!$Y$4,'Aqueous Species Options'!$AA$4))*10 ) ) ) )</f>
        <v>3.939211612006476</v>
      </c>
      <c r="J35" s="42">
        <f>IF(ISBLANK('Aqueous Species Options'!B35), "", IF('Aqueous Species Options'!L35 = 0, 'Aqueous Species Options'!O35, IF('Aqueous Species Table'!I35="", "", IF('Aqueous Species Options'!B35="H+", 0, ((1.11*('Aqueous Species Options'!G35 + 'Aqueous Species Table'!O35*100000*0.0000005903*41.8393)+1.8)/41.8393 - 'Aqueous Species Table'!I35/10)*26.01 ) ) ) )</f>
        <v>-0.53261602257956664</v>
      </c>
      <c r="K35" s="42">
        <f>IF(ISBLANK('Aqueous Species Options'!B35), "", IF('Aqueous Species Options'!L35 = 0, 'Aqueous Species Options'!P35, IF('Aqueous Species Table'!I35="", "", IF('Aqueous Species Options'!B35="H+", 0, ('Aqueous Species Options'!G35/41.8393 + 'Aqueous Species Table'!O35*100000*0.0000005903 - 'Aqueous Species Table'!I35/10 - 'Aqueous Species Table'!J35*100/2601)*(298.15-228) - ('Aqueous Species Table'!L35*10000/2601) ) ) ) )</f>
        <v>5.2846942367450893</v>
      </c>
      <c r="L35" s="42">
        <f>IF(ISBLANK('Aqueous Species Options'!B35), "", IF('Aqueous Species Options'!L35 = 0, 'Aqueous Species Options'!Q35, IF('Aqueous Species Table'!J35="", "", IF('Aqueous Species Options'!B35="H+", 0, (-4.134*'Aqueous Species Table'!J35*100 - 27790)*0.0001) ) ) )</f>
        <v>-2.756981653626561</v>
      </c>
      <c r="M35" s="42">
        <f>IF(ISBLANK('Aqueous Species Options'!B35), "", IF('Aqueous Species Options'!L35=0, 'Aqueous Species Options'!R35, IF('Aqueous Species Table'!N35="", "", IF('Aqueous Species Options'!B35="H+", 0, 'Aqueous Species Options'!H35 - 'Aqueous Species Table'!O35*100000*(-0.000000309)*298.15 - 'Aqueous Species Table'!N35*10000/(298.15-228)^2 ) ) ) )</f>
        <v>20.72968360566745</v>
      </c>
      <c r="N35" s="42">
        <f>IF(ISBLANK('Aqueous Species Options'!B35), "", IF('Aqueous Species Options'!L35=0, 'Aqueous Species Options'!S35, IF(OR(ISBLANK('Aqueous Species Options'!H35), 'Aqueous Species Table'!O35=""), "", IF('Aqueous Species Options'!B35="H+", 0, 0.2037*'Aqueous Species Options'!H35 - 3.0346) ) ) )</f>
        <v>0.5301499999999999</v>
      </c>
      <c r="O35" s="42">
        <f>IF(ISBLANK('Aqueous Species Options'!B35), "", IF('Aqueous Species Options'!K35=0, 'Aqueous Species Options'!I35, IF(OR('Aqueous Species Options'!J35&gt;4,'Aqueous Species Options'!J35&lt;-4), "", IF('Aqueous Species Options'!B35="H+", 0, IF('Aqueous Species Options'!J35=0, -0.038, IF(ISBLANK('Aqueous Species Options'!F35), "", -1514.4*'Aqueous Species Options'!F35*0.00001 + SUM(({4,3,2,1,-1,-2,-3,-4}='Aqueous Species Options'!J35)*{2.1764,1.5793,1.0579,0.5517,1.6291,3.2127,4.8115,6.486}) ) ) ) ) ) )</f>
        <v>0.46750000000000003</v>
      </c>
      <c r="P35" s="1">
        <f>IF(ISBLANK('Aqueous Species Options'!J35), "", 'Aqueous Species Options'!J35)</f>
        <v>1</v>
      </c>
      <c r="Q35" s="184" t="str">
        <f>IF(ISBLANK('Aqueous Species Options'!T35), "", 'Aqueous Species Options'!T35)</f>
        <v>Sverjensky et al. (1997) with new V from the sum of a1 values of ions</v>
      </c>
    </row>
    <row r="36" spans="2:17" ht="15" customHeight="1" x14ac:dyDescent="0.2">
      <c r="B36" s="9" t="str">
        <f>IF(ISBLANK('Aqueous Species Options'!B36), "", 'Aqueous Species Options'!B36)</f>
        <v>CaCl2,aq</v>
      </c>
      <c r="C36" s="9" t="str">
        <f>IF(ISBLANK('Aqueous Species Options'!C36), "", 'Aqueous Species Options'!C36)</f>
        <v>CaCl(0)</v>
      </c>
      <c r="D36" s="2">
        <f>IF(ISBLANK('Aqueous Species Options'!D36), "", 'Aqueous Species Options'!D36)</f>
        <v>-193000</v>
      </c>
      <c r="E36" s="1">
        <f>IF(ISBLANK('Aqueous Species Options'!E36), "", 'Aqueous Species Options'!E36)</f>
        <v>-211060</v>
      </c>
      <c r="F36" s="139">
        <f>IF(ISBLANK('Aqueous Species Options'!F36), "", 'Aqueous Species Options'!F36)</f>
        <v>19</v>
      </c>
      <c r="G36" s="29">
        <f>IF(ISBLANK('Aqueous Species Options'!B36), "", IF('Aqueous Species Options'!L36 = 1, IF(ISBLANK('Aqueous Species Options'!G36), "", 'Aqueous Species Options'!G36), ('Aqueous Species Table'!I36/10 + ('Aqueous Species Table'!J36*100)/(Calculations!$C$12+Calculations!$C$9) + ('Aqueous Species Table'!K36 + ('Aqueous Species Table'!L36*10000)/(Calculations!$C$12+Calculations!$C$9))*(1/(Calculations!$C$8-Calculations!$C$13)) - 'Aqueous Species Table'!O36*100000*0.0000005903)*41.8393))</f>
        <v>30</v>
      </c>
      <c r="H36" s="29">
        <f>IF(ISBLANK('Aqueous Species Options'!B36), "", IF('Aqueous Species Options'!L36 = 1, IF(ISBLANK('Aqueous Species Options'!H36), "", 'Aqueous Species Options'!H36), 'Aqueous Species Table'!M36 + 'Aqueous Species Table'!N36*10000*(1/(Calculations!$C$8-Calculations!$C$13))^2 + 'Aqueous Species Table'!O36*100000*Calculations!$C$8*Calculations!$C$7))</f>
        <v>18</v>
      </c>
      <c r="I36" s="42">
        <f>IF(ISBLANK('Aqueous Species Options'!B36), "", IF('Aqueous Species Options'!L36=0, 'Aqueous Species Options'!N36, IF(OR(ISBLANK('Aqueous Species Options'!G36),'Aqueous Species Table'!O36="", 'Aqueous Species Table'!P36=""), "", IF('Aqueous Species Options'!B36="H+", 0, (CHOOSE('Aqueous Species Options'!M36+1,'Aqueous Species Options'!$V$4*ABS('Aqueous Species Table'!P36)+'Aqueous Species Options'!$W$4,'Aqueous Species Options'!$Z$4)*('Aqueous Species Options'!G36 + 'Aqueous Species Table'!O36*100000*0.0000005903*41.8393) + CHOOSE('Aqueous Species Options'!M36+1,'Aqueous Species Options'!$X$4*ABS('Aqueous Species Table'!P36)+'Aqueous Species Options'!$Y$4,'Aqueous Species Options'!$AA$4))*10 ) ) ) )</f>
        <v>7.9222857420487092</v>
      </c>
      <c r="J36" s="42">
        <f>IF(ISBLANK('Aqueous Species Options'!B36), "", IF('Aqueous Species Options'!L36 = 0, 'Aqueous Species Options'!O36, IF('Aqueous Species Table'!I36="", "", IF('Aqueous Species Options'!B36="H+", 0, ((1.11*('Aqueous Species Options'!G36 + 'Aqueous Species Table'!O36*100000*0.0000005903*41.8393)+1.8)/41.8393 - 'Aqueous Species Table'!I36/10)*26.01 ) ) ) )</f>
        <v>3.2596656701420117</v>
      </c>
      <c r="K36" s="42">
        <f>IF(ISBLANK('Aqueous Species Options'!B36), "", IF('Aqueous Species Options'!L36 = 0, 'Aqueous Species Options'!P36, IF('Aqueous Species Table'!I36="", "", IF('Aqueous Species Options'!B36="H+", 0, ('Aqueous Species Options'!G36/41.8393 + 'Aqueous Species Table'!O36*100000*0.0000005903 - 'Aqueous Species Table'!I36/10 - 'Aqueous Species Table'!J36*100/2601)*(298.15-228) - ('Aqueous Species Table'!L36*10000/2601) ) ) ) )</f>
        <v>2.104901975889927</v>
      </c>
      <c r="L36" s="42">
        <f>IF(ISBLANK('Aqueous Species Options'!B36), "", IF('Aqueous Species Options'!L36 = 0, 'Aqueous Species Options'!Q36, IF('Aqueous Species Table'!J36="", "", IF('Aqueous Species Options'!B36="H+", 0, (-4.134*'Aqueous Species Table'!J36*100 - 27790)*0.0001) ) ) )</f>
        <v>-2.9137545788036707</v>
      </c>
      <c r="M36" s="42">
        <f>IF(ISBLANK('Aqueous Species Options'!B36), "", IF('Aqueous Species Options'!L36=0, 'Aqueous Species Options'!R36, IF('Aqueous Species Table'!N36="", "", IF('Aqueous Species Options'!B36="H+", 0, 'Aqueous Species Options'!H36 - 'Aqueous Species Table'!O36*100000*(-0.000000309)*298.15 - 'Aqueous Species Table'!N36*10000/(298.15-228)^2 ) ) ) )</f>
        <v>27.771116061457754</v>
      </c>
      <c r="N36" s="42">
        <f>IF(ISBLANK('Aqueous Species Options'!B36), "", IF('Aqueous Species Options'!L36=0, 'Aqueous Species Options'!S36, IF(OR(ISBLANK('Aqueous Species Options'!H36), 'Aqueous Species Table'!O36=""), "", IF('Aqueous Species Options'!B36="H+", 0, 0.2037*'Aqueous Species Options'!H36 - 3.0346) ) ) )</f>
        <v>0.63199999999999967</v>
      </c>
      <c r="O36" s="42">
        <f>IF(ISBLANK('Aqueous Species Options'!B36), "", IF('Aqueous Species Options'!K36=0, 'Aqueous Species Options'!I36, IF(OR('Aqueous Species Options'!J36&gt;4,'Aqueous Species Options'!J36&lt;-4), "", IF('Aqueous Species Options'!B36="H+", 0, IF('Aqueous Species Options'!J36=0, -0.038, IF(ISBLANK('Aqueous Species Options'!F36), "", -1514.4*'Aqueous Species Options'!F36*0.00001 + SUM(({4,3,2,1,-1,-2,-3,-4}='Aqueous Species Options'!J36)*{2.1764,1.5793,1.0579,0.5517,1.6291,3.2127,4.8115,6.486}) ) ) ) ) ) )</f>
        <v>1.2</v>
      </c>
      <c r="P36" s="1">
        <f>IF(ISBLANK('Aqueous Species Options'!J36), "", 'Aqueous Species Options'!J36)</f>
        <v>0</v>
      </c>
      <c r="Q36" s="184" t="str">
        <f>IF(ISBLANK('Aqueous Species Options'!T36), "", 'Aqueous Species Options'!T36)</f>
        <v>Beaudry et al. (2024)</v>
      </c>
    </row>
    <row r="37" spans="2:17" ht="15" customHeight="1" x14ac:dyDescent="0.2">
      <c r="B37" s="9" t="str">
        <f>IF(ISBLANK('Aqueous Species Options'!B37), "", 'Aqueous Species Options'!B37)</f>
        <v>CaCO3,aq</v>
      </c>
      <c r="C37" s="9" t="str">
        <f>IF(ISBLANK('Aqueous Species Options'!C37), "", 'Aqueous Species Options'!C37)</f>
        <v>CaCO3(0)</v>
      </c>
      <c r="D37" s="2">
        <f>IF(ISBLANK('Aqueous Species Options'!D37), "", 'Aqueous Species Options'!D37)</f>
        <v>-262750</v>
      </c>
      <c r="E37" s="1">
        <f>IF(ISBLANK('Aqueous Species Options'!E37), "", 'Aqueous Species Options'!E37)</f>
        <v>-287390</v>
      </c>
      <c r="F37" s="139">
        <f>IF(ISBLANK('Aqueous Species Options'!F37), "", 'Aqueous Species Options'!F37)</f>
        <v>0</v>
      </c>
      <c r="G37" s="29">
        <f>IF(ISBLANK('Aqueous Species Options'!B37), "", IF('Aqueous Species Options'!L37 = 1, IF(ISBLANK('Aqueous Species Options'!G37), "", 'Aqueous Species Options'!G37), ('Aqueous Species Table'!I37/10 + ('Aqueous Species Table'!J37*100)/(Calculations!$C$12+Calculations!$C$9) + ('Aqueous Species Table'!K37 + ('Aqueous Species Table'!L37*10000)/(Calculations!$C$12+Calculations!$C$9))*(1/(Calculations!$C$8-Calculations!$C$13)) - 'Aqueous Species Table'!O37*100000*0.0000005903)*41.8393))</f>
        <v>21.525709302158447</v>
      </c>
      <c r="H37" s="29">
        <f>IF(ISBLANK('Aqueous Species Options'!B37), "", IF('Aqueous Species Options'!L37 = 1, IF(ISBLANK('Aqueous Species Options'!H37), "", 'Aqueous Species Options'!H37), 'Aqueous Species Table'!M37 + 'Aqueous Species Table'!N37*10000*(1/(Calculations!$C$8-Calculations!$C$13))^2 + 'Aqueous Species Table'!O37*100000*Calculations!$C$8*Calculations!$C$7))</f>
        <v>14.008552359275946</v>
      </c>
      <c r="I37" s="42">
        <f>IF(ISBLANK('Aqueous Species Options'!B37), "", IF('Aqueous Species Options'!L37=0, 'Aqueous Species Options'!N37, IF(OR(ISBLANK('Aqueous Species Options'!G37),'Aqueous Species Table'!O37="", 'Aqueous Species Table'!P37=""), "", IF('Aqueous Species Options'!B37="H+", 0, (CHOOSE('Aqueous Species Options'!M37+1,'Aqueous Species Options'!$V$4*ABS('Aqueous Species Table'!P37)+'Aqueous Species Options'!$W$4,'Aqueous Species Options'!$Z$4)*('Aqueous Species Options'!G37 + 'Aqueous Species Table'!O37*100000*0.0000005903*41.8393) + CHOOSE('Aqueous Species Options'!M37+1,'Aqueous Species Options'!$X$4*ABS('Aqueous Species Table'!P37)+'Aqueous Species Options'!$Y$4,'Aqueous Species Options'!$AA$4))*10 ) ) ) )</f>
        <v>6.66</v>
      </c>
      <c r="J37" s="42">
        <f>IF(ISBLANK('Aqueous Species Options'!B37), "", IF('Aqueous Species Options'!L37 = 0, 'Aqueous Species Options'!O37, IF('Aqueous Species Table'!I37="", "", IF('Aqueous Species Options'!B37="H+", 0, ((1.11*('Aqueous Species Options'!G37 + 'Aqueous Species Table'!O37*100000*0.0000005903*41.8393)+1.8)/41.8393 - 'Aqueous Species Table'!I37/10)*26.01 ) ) ) )</f>
        <v>2.0499999999999998</v>
      </c>
      <c r="K37" s="42">
        <f>IF(ISBLANK('Aqueous Species Options'!B37), "", IF('Aqueous Species Options'!L37 = 0, 'Aqueous Species Options'!P37, IF('Aqueous Species Table'!I37="", "", IF('Aqueous Species Options'!B37="H+", 0, ('Aqueous Species Options'!G37/41.8393 + 'Aqueous Species Table'!O37*100000*0.0000005903 - 'Aqueous Species Table'!I37/10 - 'Aqueous Species Table'!J37*100/2601)*(298.15-228) - ('Aqueous Species Table'!L37*10000/2601) ) ) ) )</f>
        <v>3.12</v>
      </c>
      <c r="L37" s="42">
        <f>IF(ISBLANK('Aqueous Species Options'!B37), "", IF('Aqueous Species Options'!L37 = 0, 'Aqueous Species Options'!Q37, IF('Aqueous Species Table'!J37="", "", IF('Aqueous Species Options'!B37="H+", 0, (-4.134*'Aqueous Species Table'!J37*100 - 27790)*0.0001) ) ) )</f>
        <v>-2.86</v>
      </c>
      <c r="M37" s="42">
        <f>IF(ISBLANK('Aqueous Species Options'!B37), "", IF('Aqueous Species Options'!L37=0, 'Aqueous Species Options'!R37, IF('Aqueous Species Table'!N37="", "", IF('Aqueous Species Options'!B37="H+", 0, 'Aqueous Species Options'!H37 - 'Aqueous Species Table'!O37*100000*(-0.000000309)*298.15 - 'Aqueous Species Table'!N37*10000/(298.15-228)^2 ) ) ) )</f>
        <v>32.799999999999997</v>
      </c>
      <c r="N37" s="42">
        <f>IF(ISBLANK('Aqueous Species Options'!B37), "", IF('Aqueous Species Options'!L37=0, 'Aqueous Species Options'!S37, IF(OR(ISBLANK('Aqueous Species Options'!H37), 'Aqueous Species Table'!O37=""), "", IF('Aqueous Species Options'!B37="H+", 0, 0.2037*'Aqueous Species Options'!H37 - 3.0346) ) ) )</f>
        <v>-0.18</v>
      </c>
      <c r="O37" s="42">
        <f>IF(ISBLANK('Aqueous Species Options'!B37), "", IF('Aqueous Species Options'!K37=0, 'Aqueous Species Options'!I37, IF(OR('Aqueous Species Options'!J37&gt;4,'Aqueous Species Options'!J37&lt;-4), "", IF('Aqueous Species Options'!B37="H+", 0, IF('Aqueous Species Options'!J37=0, -0.038, IF(ISBLANK('Aqueous Species Options'!F37), "", -1514.4*'Aqueous Species Options'!F37*0.00001 + SUM(({4,3,2,1,-1,-2,-3,-4}='Aqueous Species Options'!J37)*{2.1764,1.5793,1.0579,0.5517,1.6291,3.2127,4.8115,6.486}) ) ) ) ) ) )</f>
        <v>2</v>
      </c>
      <c r="P37" s="1">
        <f>IF(ISBLANK('Aqueous Species Options'!J37), "", 'Aqueous Species Options'!J37)</f>
        <v>0</v>
      </c>
      <c r="Q37" s="184" t="str">
        <f>IF(ISBLANK('Aqueous Species Options'!T37), "", 'Aqueous Species Options'!T37)</f>
        <v>Facq et al. (2014)</v>
      </c>
    </row>
    <row r="38" spans="2:17" ht="15" customHeight="1" x14ac:dyDescent="0.2">
      <c r="B38" s="9" t="str">
        <f>IF(ISBLANK('Aqueous Species Options'!B38), "", 'Aqueous Species Options'!B38)</f>
        <v>CaO,aq</v>
      </c>
      <c r="C38" s="9" t="str">
        <f>IF(ISBLANK('Aqueous Species Options'!C38), "", 'Aqueous Species Options'!C38)</f>
        <v>CaO(0)</v>
      </c>
      <c r="D38" s="2">
        <f>IF(ISBLANK('Aqueous Species Options'!D38), "", 'Aqueous Species Options'!D38)</f>
        <v>-152800</v>
      </c>
      <c r="E38" s="1" t="str">
        <f>IF(ISBLANK('Aqueous Species Options'!E38), "", 'Aqueous Species Options'!E38)</f>
        <v/>
      </c>
      <c r="F38" s="139">
        <f>IF(ISBLANK('Aqueous Species Options'!F38), "", 'Aqueous Species Options'!F38)</f>
        <v>16</v>
      </c>
      <c r="G38" s="29">
        <f>IF(ISBLANK('Aqueous Species Options'!B38), "", IF('Aqueous Species Options'!L38 = 1, IF(ISBLANK('Aqueous Species Options'!G38), "", 'Aqueous Species Options'!G38), ('Aqueous Species Table'!I38/10 + ('Aqueous Species Table'!J38*100)/(Calculations!$C$12+Calculations!$C$9) + ('Aqueous Species Table'!K38 + ('Aqueous Species Table'!L38*10000)/(Calculations!$C$12+Calculations!$C$9))*(1/(Calculations!$C$8-Calculations!$C$13)) - 'Aqueous Species Table'!O38*100000*0.0000005903)*41.8393))</f>
        <v>5.5</v>
      </c>
      <c r="H38" s="29">
        <f>IF(ISBLANK('Aqueous Species Options'!B38), "", IF('Aqueous Species Options'!L38 = 1, IF(ISBLANK('Aqueous Species Options'!H38), "", 'Aqueous Species Options'!H38), 'Aqueous Species Table'!M38 + 'Aqueous Species Table'!N38*10000*(1/(Calculations!$C$8-Calculations!$C$13))^2 + 'Aqueous Species Table'!O38*100000*Calculations!$C$8*Calculations!$C$7))</f>
        <v>12</v>
      </c>
      <c r="I38" s="42">
        <f>IF(ISBLANK('Aqueous Species Options'!B38), "", IF('Aqueous Species Options'!L38=0, 'Aqueous Species Options'!N38, IF(OR(ISBLANK('Aqueous Species Options'!G38),'Aqueous Species Table'!O38="", 'Aqueous Species Table'!P38=""), "", IF('Aqueous Species Options'!B38="H+", 0, (CHOOSE('Aqueous Species Options'!M38+1,'Aqueous Species Options'!$V$4*ABS('Aqueous Species Table'!P38)+'Aqueous Species Options'!$W$4,'Aqueous Species Options'!$Z$4)*('Aqueous Species Options'!G38 + 'Aqueous Species Table'!O38*100000*0.0000005903*41.8393) + CHOOSE('Aqueous Species Options'!M38+1,'Aqueous Species Options'!$X$4*ABS('Aqueous Species Table'!P38)+'Aqueous Species Options'!$Y$4,'Aqueous Species Options'!$AA$4))*10 ) ) ) )</f>
        <v>2.5405895214959413</v>
      </c>
      <c r="J38" s="42">
        <f>IF(ISBLANK('Aqueous Species Options'!B38), "", IF('Aqueous Species Options'!L38 = 0, 'Aqueous Species Options'!O38, IF('Aqueous Species Table'!I38="", "", IF('Aqueous Species Options'!B38="H+", 0, ((1.11*('Aqueous Species Options'!G38 + 'Aqueous Species Table'!O38*100000*0.0000005903*41.8393)+1.8)/41.8393 - 'Aqueous Species Table'!I38/10)*26.01 ) ) ) )</f>
        <v>-1.8642429960456259</v>
      </c>
      <c r="K38" s="42">
        <f>IF(ISBLANK('Aqueous Species Options'!B38), "", IF('Aqueous Species Options'!L38 = 0, 'Aqueous Species Options'!P38, IF('Aqueous Species Table'!I38="", "", IF('Aqueous Species Options'!B38="H+", 0, ('Aqueous Species Options'!G38/41.8393 + 'Aqueous Species Table'!O38*100000*0.0000005903 - 'Aqueous Species Table'!I38/10 - 'Aqueous Species Table'!J38*100/2601)*(298.15-228) - ('Aqueous Species Table'!L38*10000/2601) ) ) ) )</f>
        <v>6.4012508345052517</v>
      </c>
      <c r="L38" s="42">
        <f>IF(ISBLANK('Aqueous Species Options'!B38), "", IF('Aqueous Species Options'!L38 = 0, 'Aqueous Species Options'!Q38, IF('Aqueous Species Table'!J38="", "", IF('Aqueous Species Options'!B38="H+", 0, (-4.134*'Aqueous Species Table'!J38*100 - 27790)*0.0001) ) ) )</f>
        <v>-2.701932194543474</v>
      </c>
      <c r="M38" s="42">
        <f>IF(ISBLANK('Aqueous Species Options'!B38), "", IF('Aqueous Species Options'!L38=0, 'Aqueous Species Options'!R38, IF('Aqueous Species Table'!N38="", "", IF('Aqueous Species Options'!B38="H+", 0, 'Aqueous Species Options'!H38 - 'Aqueous Species Table'!O38*100000*(-0.000000309)*298.15 - 'Aqueous Species Table'!N38*10000/(298.15-228)^2 ) ) ) )</f>
        <v>12.278060741974103</v>
      </c>
      <c r="N38" s="42">
        <f>IF(ISBLANK('Aqueous Species Options'!B38), "", IF('Aqueous Species Options'!L38=0, 'Aqueous Species Options'!S38, IF(OR(ISBLANK('Aqueous Species Options'!H38), 'Aqueous Species Table'!O38=""), "", IF('Aqueous Species Options'!B38="H+", 0, 0.2037*'Aqueous Species Options'!H38 - 3.0346) ) ) )</f>
        <v>-0.59020000000000028</v>
      </c>
      <c r="O38" s="42">
        <f>IF(ISBLANK('Aqueous Species Options'!B38), "", IF('Aqueous Species Options'!K38=0, 'Aqueous Species Options'!I38, IF(OR('Aqueous Species Options'!J38&gt;4,'Aqueous Species Options'!J38&lt;-4), "", IF('Aqueous Species Options'!B38="H+", 0, IF('Aqueous Species Options'!J38=0, -0.038, IF(ISBLANK('Aqueous Species Options'!F38), "", -1514.4*'Aqueous Species Options'!F38*0.00001 + SUM(({4,3,2,1,-1,-2,-3,-4}='Aqueous Species Options'!J38)*{2.1764,1.5793,1.0579,0.5517,1.6291,3.2127,4.8115,6.486}) ) ) ) ) ) )</f>
        <v>-0.1</v>
      </c>
      <c r="P38" s="1">
        <f>IF(ISBLANK('Aqueous Species Options'!J38), "", 'Aqueous Species Options'!J38)</f>
        <v>0</v>
      </c>
      <c r="Q38" s="184" t="str">
        <f>IF(ISBLANK('Aqueous Species Options'!T38), "", 'Aqueous Species Options'!T38)</f>
        <v>Fitted by Dimitri to high PT retrieval's from Fang</v>
      </c>
    </row>
    <row r="39" spans="2:17" ht="15" customHeight="1" x14ac:dyDescent="0.2">
      <c r="B39" s="9" t="str">
        <f>IF(ISBLANK('Aqueous Species Options'!B39), "", 'Aqueous Species Options'!B39)</f>
        <v>CaSO4,aq</v>
      </c>
      <c r="C39" s="9" t="str">
        <f>IF(ISBLANK('Aqueous Species Options'!C39), "", 'Aqueous Species Options'!C39)</f>
        <v>CaSO4(0)</v>
      </c>
      <c r="D39" s="2">
        <f>IF(ISBLANK('Aqueous Species Options'!D39), "", 'Aqueous Species Options'!D39)</f>
        <v>-312930</v>
      </c>
      <c r="E39" s="1">
        <f>IF(ISBLANK('Aqueous Species Options'!E39), "", 'Aqueous Species Options'!E39)</f>
        <v>-345900</v>
      </c>
      <c r="F39" s="139">
        <f>IF(ISBLANK('Aqueous Species Options'!F39), "", 'Aqueous Species Options'!F39)</f>
        <v>5</v>
      </c>
      <c r="G39" s="29">
        <f>IF(ISBLANK('Aqueous Species Options'!B39), "", IF('Aqueous Species Options'!L39 = 1, IF(ISBLANK('Aqueous Species Options'!G39), "", 'Aqueous Species Options'!G39), ('Aqueous Species Table'!I39/10 + ('Aqueous Species Table'!J39*100)/(Calculations!$C$12+Calculations!$C$9) + ('Aqueous Species Table'!K39 + ('Aqueous Species Table'!L39*10000)/(Calculations!$C$12+Calculations!$C$9))*(1/(Calculations!$C$8-Calculations!$C$13)) - 'Aqueous Species Table'!O39*100000*0.0000005903)*41.8393))</f>
        <v>33</v>
      </c>
      <c r="H39" s="29">
        <f>IF(ISBLANK('Aqueous Species Options'!B39), "", IF('Aqueous Species Options'!L39 = 1, IF(ISBLANK('Aqueous Species Options'!H39), "", 'Aqueous Species Options'!H39), 'Aqueous Species Table'!M39 + 'Aqueous Species Table'!N39*10000*(1/(Calculations!$C$8-Calculations!$C$13))^2 + 'Aqueous Species Table'!O39*100000*Calculations!$C$8*Calculations!$C$7))</f>
        <v>-25</v>
      </c>
      <c r="I39" s="42">
        <f>IF(ISBLANK('Aqueous Species Options'!B39), "", IF('Aqueous Species Options'!L39=0, 'Aqueous Species Options'!N39, IF(OR(ISBLANK('Aqueous Species Options'!G39),'Aqueous Species Table'!O39="", 'Aqueous Species Table'!P39=""), "", IF('Aqueous Species Options'!B39="H+", 0, (CHOOSE('Aqueous Species Options'!M39+1,'Aqueous Species Options'!$V$4*ABS('Aqueous Species Table'!P39)+'Aqueous Species Options'!$W$4,'Aqueous Species Options'!$Z$4)*('Aqueous Species Options'!G39 + 'Aqueous Species Table'!O39*100000*0.0000005903*41.8393) + CHOOSE('Aqueous Species Options'!M39+1,'Aqueous Species Options'!$X$4*ABS('Aqueous Species Table'!P39)+'Aqueous Species Options'!$Y$4,'Aqueous Species Options'!$AA$4))*10 ) ) ) )</f>
        <v>8.0732264355121774</v>
      </c>
      <c r="J39" s="42">
        <f>IF(ISBLANK('Aqueous Species Options'!B39), "", IF('Aqueous Species Options'!L39 = 0, 'Aqueous Species Options'!O39, IF('Aqueous Species Table'!I39="", "", IF('Aqueous Species Options'!B39="H+", 0, ((1.11*('Aqueous Species Options'!G39 + 'Aqueous Species Table'!O39*100000*0.0000005903*41.8393)+1.8)/41.8393 - 'Aqueous Species Table'!I39/10)*26.01 ) ) ) )</f>
        <v>3.4033761836348062</v>
      </c>
      <c r="K39" s="42">
        <f>IF(ISBLANK('Aqueous Species Options'!B39), "", IF('Aqueous Species Options'!L39 = 0, 'Aqueous Species Options'!P39, IF('Aqueous Species Table'!I39="", "", IF('Aqueous Species Options'!B39="H+", 0, ('Aqueous Species Options'!G39/41.8393 + 'Aqueous Species Table'!O39*100000*0.0000005903 - 'Aqueous Species Table'!I39/10 - 'Aqueous Species Table'!J39*100/2601)*(298.15-228) - ('Aqueous Species Table'!L39*10000/2601) ) ) ) )</f>
        <v>1.9844020722343032</v>
      </c>
      <c r="L39" s="42">
        <f>IF(ISBLANK('Aqueous Species Options'!B39), "", IF('Aqueous Species Options'!L39 = 0, 'Aqueous Species Options'!Q39, IF('Aqueous Species Table'!J39="", "", IF('Aqueous Species Options'!B39="H+", 0, (-4.134*'Aqueous Species Table'!J39*100 - 27790)*0.0001) ) ) )</f>
        <v>-2.919695571431463</v>
      </c>
      <c r="M39" s="42">
        <f>IF(ISBLANK('Aqueous Species Options'!B39), "", IF('Aqueous Species Options'!L39=0, 'Aqueous Species Options'!R39, IF('Aqueous Species Table'!N39="", "", IF('Aqueous Species Options'!B39="H+", 0, 'Aqueous Species Options'!H39 - 'Aqueous Species Table'!O39*100000*(-0.000000309)*298.15 - 'Aqueous Species Table'!N39*10000/(298.15-228)^2 ) ) ) )</f>
        <v>-5.7210858115084235</v>
      </c>
      <c r="N39" s="42">
        <f>IF(ISBLANK('Aqueous Species Options'!B39), "", IF('Aqueous Species Options'!L39=0, 'Aqueous Species Options'!S39, IF(OR(ISBLANK('Aqueous Species Options'!H39), 'Aqueous Species Table'!O39=""), "", IF('Aqueous Species Options'!B39="H+", 0, 0.2037*'Aqueous Species Options'!H39 - 3.0346) ) ) )</f>
        <v>-8.1270999999999987</v>
      </c>
      <c r="O39" s="42">
        <f>IF(ISBLANK('Aqueous Species Options'!B39), "", IF('Aqueous Species Options'!K39=0, 'Aqueous Species Options'!I39, IF(OR('Aqueous Species Options'!J39&gt;4,'Aqueous Species Options'!J39&lt;-4), "", IF('Aqueous Species Options'!B39="H+", 0, IF('Aqueous Species Options'!J39=0, -0.038, IF(ISBLANK('Aqueous Species Options'!F39), "", -1514.4*'Aqueous Species Options'!F39*0.00001 + SUM(({4,3,2,1,-1,-2,-3,-4}='Aqueous Species Options'!J39)*{2.1764,1.5793,1.0579,0.5517,1.6291,3.2127,4.8115,6.486}) ) ) ) ) ) )</f>
        <v>0.3</v>
      </c>
      <c r="P39" s="1">
        <f>IF(ISBLANK('Aqueous Species Options'!J39), "", 'Aqueous Species Options'!J39)</f>
        <v>0</v>
      </c>
      <c r="Q39" s="184" t="str">
        <f>IF(ISBLANK('Aqueous Species Options'!T39), "", 'Aqueous Species Options'!T39)</f>
        <v>Beaudry et al. (2024)</v>
      </c>
    </row>
    <row r="40" spans="2:17" ht="15" customHeight="1" x14ac:dyDescent="0.2">
      <c r="B40" s="9" t="str">
        <f>IF(ISBLANK('Aqueous Species Options'!B40), "", 'Aqueous Species Options'!B40)</f>
        <v>Cd+2</v>
      </c>
      <c r="C40" s="9" t="str">
        <f>IF(ISBLANK('Aqueous Species Options'!C40), "", 'Aqueous Species Options'!C40)</f>
        <v>Cd(+2)</v>
      </c>
      <c r="D40" s="2">
        <f>IF(ISBLANK('Aqueous Species Options'!D40), "", 'Aqueous Species Options'!D40)</f>
        <v>-18560</v>
      </c>
      <c r="E40" s="1">
        <f>IF(ISBLANK('Aqueous Species Options'!E40), "", 'Aqueous Species Options'!E40)</f>
        <v>-18140</v>
      </c>
      <c r="F40" s="139">
        <f>IF(ISBLANK('Aqueous Species Options'!F40), "", 'Aqueous Species Options'!F40)</f>
        <v>-17.399999999999999</v>
      </c>
      <c r="G40" s="29">
        <f>IF(ISBLANK('Aqueous Species Options'!B40), "", IF('Aqueous Species Options'!L40 = 1, IF(ISBLANK('Aqueous Species Options'!G40), "", 'Aqueous Species Options'!G40), ('Aqueous Species Table'!I40/10 + ('Aqueous Species Table'!J40*100)/(Calculations!$C$12+Calculations!$C$9) + ('Aqueous Species Table'!K40 + ('Aqueous Species Table'!L40*10000)/(Calculations!$C$12+Calculations!$C$9))*(1/(Calculations!$C$8-Calculations!$C$13)) - 'Aqueous Species Table'!O40*100000*0.0000005903)*41.8393))</f>
        <v>-15.599943640757889</v>
      </c>
      <c r="H40" s="29">
        <f>IF(ISBLANK('Aqueous Species Options'!B40), "", IF('Aqueous Species Options'!L40 = 1, IF(ISBLANK('Aqueous Species Options'!H40), "", 'Aqueous Species Options'!H40), 'Aqueous Species Table'!M40 + 'Aqueous Species Table'!N40*10000*(1/(Calculations!$C$8-Calculations!$C$13))^2 + 'Aqueous Species Table'!O40*100000*Calculations!$C$8*Calculations!$C$7))</f>
        <v>-3.5000301678748649</v>
      </c>
      <c r="I40" s="42">
        <f>IF(ISBLANK('Aqueous Species Options'!B40), "", IF('Aqueous Species Options'!L40=0, 'Aqueous Species Options'!N40, IF(OR(ISBLANK('Aqueous Species Options'!G40),'Aqueous Species Table'!O40="", 'Aqueous Species Table'!P40=""), "", IF('Aqueous Species Options'!B40="H+", 0, (CHOOSE('Aqueous Species Options'!M40+1,'Aqueous Species Options'!$V$4*ABS('Aqueous Species Table'!P40)+'Aqueous Species Options'!$W$4,'Aqueous Species Options'!$Z$4)*('Aqueous Species Options'!G40 + 'Aqueous Species Table'!O40*100000*0.0000005903*41.8393) + CHOOSE('Aqueous Species Options'!M40+1,'Aqueous Species Options'!$X$4*ABS('Aqueous Species Table'!P40)+'Aqueous Species Options'!$Y$4,'Aqueous Species Options'!$AA$4))*10 ) ) ) )</f>
        <v>0.54196060779742594</v>
      </c>
      <c r="J40" s="42">
        <f>IF(ISBLANK('Aqueous Species Options'!B40), "", IF('Aqueous Species Options'!L40 = 0, 'Aqueous Species Options'!O40, IF('Aqueous Species Table'!I40="", "", IF('Aqueous Species Options'!B40="H+", 0, ((1.11*('Aqueous Species Options'!G40 + 'Aqueous Species Table'!O40*100000*0.0000005903*41.8393)+1.8)/41.8393 - 'Aqueous Species Table'!I40/10)*26.01 ) ) ) )</f>
        <v>-8.920246023327099</v>
      </c>
      <c r="K40" s="42">
        <f>IF(ISBLANK('Aqueous Species Options'!B40), "", IF('Aqueous Species Options'!L40 = 0, 'Aqueous Species Options'!P40, IF('Aqueous Species Table'!I40="", "", IF('Aqueous Species Options'!B40="H+", 0, ('Aqueous Species Options'!G40/41.8393 + 'Aqueous Species Table'!O40*100000*0.0000005903 - 'Aqueous Species Table'!I40/10 - 'Aqueous Species Table'!J40*100/2601)*(298.15-228) - ('Aqueous Species Table'!L40*10000/2601) ) ) ) )</f>
        <v>8.5550724236121614</v>
      </c>
      <c r="L40" s="42">
        <f>IF(ISBLANK('Aqueous Species Options'!B40), "", IF('Aqueous Species Options'!L40 = 0, 'Aqueous Species Options'!Q40, IF('Aqueous Species Table'!J40="", "", IF('Aqueous Species Options'!B40="H+", 0, (-4.134*'Aqueous Species Table'!J40*100 - 27790)*0.0001) ) ) )</f>
        <v>-2.4102370293956579</v>
      </c>
      <c r="M40" s="42">
        <f>IF(ISBLANK('Aqueous Species Options'!B40), "", IF('Aqueous Species Options'!L40=0, 'Aqueous Species Options'!R40, IF('Aqueous Species Table'!N40="", "", IF('Aqueous Species Options'!B40="H+", 0, 'Aqueous Species Options'!H40 - 'Aqueous Species Table'!O40*100000*(-0.000000309)*298.15 - 'Aqueous Species Table'!N40*10000/(298.15-228)^2 ) ) ) )</f>
        <v>15.65721088274055</v>
      </c>
      <c r="N40" s="42">
        <f>IF(ISBLANK('Aqueous Species Options'!B40), "", IF('Aqueous Species Options'!L40=0, 'Aqueous Species Options'!S40, IF(OR(ISBLANK('Aqueous Species Options'!H40), 'Aqueous Species Table'!O40=""), "", IF('Aqueous Species Options'!B40="H+", 0, 0.2037*'Aqueous Species Options'!H40 - 3.0346) ) ) )</f>
        <v>-3.7475561451961101</v>
      </c>
      <c r="O40" s="42">
        <f>IF(ISBLANK('Aqueous Species Options'!B40), "", IF('Aqueous Species Options'!K40=0, 'Aqueous Species Options'!I40, IF(OR('Aqueous Species Options'!J40&gt;4,'Aqueous Species Options'!J40&lt;-4), "", IF('Aqueous Species Options'!B40="H+", 0, IF('Aqueous Species Options'!J40=0, -0.038, IF(ISBLANK('Aqueous Species Options'!F40), "", -1514.4*'Aqueous Species Options'!F40*0.00001 + SUM(({4,3,2,1,-1,-2,-3,-4}='Aqueous Species Options'!J40)*{2.1764,1.5793,1.0579,0.5517,1.6291,3.2127,4.8115,6.486}) ) ) ) ) ) )</f>
        <v>1.2527999999999999</v>
      </c>
      <c r="P40" s="1">
        <f>IF(ISBLANK('Aqueous Species Options'!J40), "", 'Aqueous Species Options'!J40)</f>
        <v>2</v>
      </c>
      <c r="Q40" s="184" t="str">
        <f>IF(ISBLANK('Aqueous Species Options'!T40), "", 'Aqueous Species Options'!T40)</f>
        <v>Shock &amp; Helgeson (1988) revised with new predicted a1 for cations</v>
      </c>
    </row>
    <row r="41" spans="2:17" ht="15" customHeight="1" x14ac:dyDescent="0.2">
      <c r="B41" s="9" t="str">
        <f>IF(ISBLANK('Aqueous Species Options'!B41), "", 'Aqueous Species Options'!B41)</f>
        <v>CdCl+</v>
      </c>
      <c r="C41" s="9" t="str">
        <f>IF(ISBLANK('Aqueous Species Options'!C41), "", 'Aqueous Species Options'!C41)</f>
        <v>CdCl(+)</v>
      </c>
      <c r="D41" s="2">
        <f>IF(ISBLANK('Aqueous Species Options'!D41), "", 'Aqueous Species Options'!D41)</f>
        <v>-52627</v>
      </c>
      <c r="E41" s="1">
        <f>IF(ISBLANK('Aqueous Species Options'!E41), "", 'Aqueous Species Options'!E41)</f>
        <v>-59392</v>
      </c>
      <c r="F41" s="139">
        <f>IF(ISBLANK('Aqueous Species Options'!F41), "", 'Aqueous Species Options'!F41)</f>
        <v>0.75</v>
      </c>
      <c r="G41" s="29">
        <f>IF(ISBLANK('Aqueous Species Options'!B41), "", IF('Aqueous Species Options'!L41 = 1, IF(ISBLANK('Aqueous Species Options'!G41), "", 'Aqueous Species Options'!G41), ('Aqueous Species Table'!I41/10 + ('Aqueous Species Table'!J41*100)/(Calculations!$C$12+Calculations!$C$9) + ('Aqueous Species Table'!K41 + ('Aqueous Species Table'!L41*10000)/(Calculations!$C$12+Calculations!$C$9))*(1/(Calculations!$C$8-Calculations!$C$13)) - 'Aqueous Species Table'!O41*100000*0.0000005903)*41.8393))</f>
        <v>8.42</v>
      </c>
      <c r="H41" s="29">
        <f>IF(ISBLANK('Aqueous Species Options'!B41), "", IF('Aqueous Species Options'!L41 = 1, IF(ISBLANK('Aqueous Species Options'!H41), "", 'Aqueous Species Options'!H41), 'Aqueous Species Table'!M41 + 'Aqueous Species Table'!N41*10000*(1/(Calculations!$C$8-Calculations!$C$13))^2 + 'Aqueous Species Table'!O41*100000*Calculations!$C$8*Calculations!$C$7))</f>
        <v>26.47</v>
      </c>
      <c r="I41" s="42">
        <f>IF(ISBLANK('Aqueous Species Options'!B41), "", IF('Aqueous Species Options'!L41=0, 'Aqueous Species Options'!N41, IF(OR(ISBLANK('Aqueous Species Options'!G41),'Aqueous Species Table'!O41="", 'Aqueous Species Table'!P41=""), "", IF('Aqueous Species Options'!B41="H+", 0, (CHOOSE('Aqueous Species Options'!M41+1,'Aqueous Species Options'!$V$4*ABS('Aqueous Species Table'!P41)+'Aqueous Species Options'!$W$4,'Aqueous Species Options'!$Z$4)*('Aqueous Species Options'!G41 + 'Aqueous Species Table'!O41*100000*0.0000005903*41.8393) + CHOOSE('Aqueous Species Options'!M41+1,'Aqueous Species Options'!$X$4*ABS('Aqueous Species Table'!P41)+'Aqueous Species Options'!$Y$4,'Aqueous Species Options'!$AA$4))*10 ) ) ) )</f>
        <v>3.4143739910508941</v>
      </c>
      <c r="J41" s="42">
        <f>IF(ISBLANK('Aqueous Species Options'!B41), "", IF('Aqueous Species Options'!L41 = 0, 'Aqueous Species Options'!O41, IF('Aqueous Species Table'!I41="", "", IF('Aqueous Species Options'!B41="H+", 0, ((1.11*('Aqueous Species Options'!G41 + 'Aqueous Species Table'!O41*100000*0.0000005903*41.8393)+1.8)/41.8393 - 'Aqueous Species Table'!I41/10)*26.01 ) ) ) )</f>
        <v>-1.0323135016170195</v>
      </c>
      <c r="K41" s="42">
        <f>IF(ISBLANK('Aqueous Species Options'!B41), "", IF('Aqueous Species Options'!L41 = 0, 'Aqueous Species Options'!P41, IF('Aqueous Species Table'!I41="", "", IF('Aqueous Species Options'!B41="H+", 0, ('Aqueous Species Options'!G41/41.8393 + 'Aqueous Species Table'!O41*100000*0.0000005903 - 'Aqueous Species Table'!I41/10 - 'Aqueous Species Table'!J41*100/2601)*(298.15-228) - ('Aqueous Species Table'!L41*10000/2601) ) ) ) )</f>
        <v>5.7036858374117028</v>
      </c>
      <c r="L41" s="42">
        <f>IF(ISBLANK('Aqueous Species Options'!B41), "", IF('Aqueous Species Options'!L41 = 0, 'Aqueous Species Options'!Q41, IF('Aqueous Species Table'!J41="", "", IF('Aqueous Species Options'!B41="H+", 0, (-4.134*'Aqueous Species Table'!J41*100 - 27790)*0.0001) ) ) )</f>
        <v>-2.7363241598431522</v>
      </c>
      <c r="M41" s="42">
        <f>IF(ISBLANK('Aqueous Species Options'!B41), "", IF('Aqueous Species Options'!L41=0, 'Aqueous Species Options'!R41, IF('Aqueous Species Table'!N41="", "", IF('Aqueous Species Options'!B41="H+", 0, 'Aqueous Species Options'!H41 - 'Aqueous Species Table'!O41*100000*(-0.000000309)*298.15 - 'Aqueous Species Table'!N41*10000/(298.15-228)^2 ) ) ) )</f>
        <v>26.649059322295507</v>
      </c>
      <c r="N41" s="42">
        <f>IF(ISBLANK('Aqueous Species Options'!B41), "", IF('Aqueous Species Options'!L41=0, 'Aqueous Species Options'!S41, IF(OR(ISBLANK('Aqueous Species Options'!H41), 'Aqueous Species Table'!O41=""), "", IF('Aqueous Species Options'!B41="H+", 0, 0.2037*'Aqueous Species Options'!H41 - 3.0346) ) ) )</f>
        <v>2.3573389999999996</v>
      </c>
      <c r="O41" s="42">
        <f>IF(ISBLANK('Aqueous Species Options'!B41), "", IF('Aqueous Species Options'!K41=0, 'Aqueous Species Options'!I41, IF(OR('Aqueous Species Options'!J41&gt;4,'Aqueous Species Options'!J41&lt;-4), "", IF('Aqueous Species Options'!B41="H+", 0, IF('Aqueous Species Options'!J41=0, -0.038, IF(ISBLANK('Aqueous Species Options'!F41), "", -1514.4*'Aqueous Species Options'!F41*0.00001 + SUM(({4,3,2,1,-1,-2,-3,-4}='Aqueous Species Options'!J41)*{2.1764,1.5793,1.0579,0.5517,1.6291,3.2127,4.8115,6.486}) ) ) ) ) ) )</f>
        <v>0.53939999999999999</v>
      </c>
      <c r="P41" s="1">
        <f>IF(ISBLANK('Aqueous Species Options'!J41), "", 'Aqueous Species Options'!J41)</f>
        <v>1</v>
      </c>
      <c r="Q41" s="184" t="str">
        <f>IF(ISBLANK('Aqueous Species Options'!T41), "", 'Aqueous Species Options'!T41)</f>
        <v>SSH97 for G, S, Cp, V, omega; a1 pred with SHA14</v>
      </c>
    </row>
    <row r="42" spans="2:17" ht="15" customHeight="1" x14ac:dyDescent="0.2">
      <c r="B42" s="9" t="str">
        <f>IF(ISBLANK('Aqueous Species Options'!B42), "", 'Aqueous Species Options'!B42)</f>
        <v>CdCl2,aq</v>
      </c>
      <c r="C42" s="9" t="str">
        <f>IF(ISBLANK('Aqueous Species Options'!C42), "", 'Aqueous Species Options'!C42)</f>
        <v>CdCl2(0)</v>
      </c>
      <c r="D42" s="2">
        <f>IF(ISBLANK('Aqueous Species Options'!D42), "", 'Aqueous Species Options'!D42)</f>
        <v>-84851</v>
      </c>
      <c r="E42" s="1">
        <f>IF(ISBLANK('Aqueous Species Options'!E42), "", 'Aqueous Species Options'!E42)</f>
        <v>-101362</v>
      </c>
      <c r="F42" s="139">
        <f>IF(ISBLANK('Aqueous Species Options'!F42), "", 'Aqueous Species Options'!F42)</f>
        <v>10.31</v>
      </c>
      <c r="G42" s="29">
        <f>IF(ISBLANK('Aqueous Species Options'!B42), "", IF('Aqueous Species Options'!L42 = 1, IF(ISBLANK('Aqueous Species Options'!G42), "", 'Aqueous Species Options'!G42), ('Aqueous Species Table'!I42/10 + ('Aqueous Species Table'!J42*100)/(Calculations!$C$12+Calculations!$C$9) + ('Aqueous Species Table'!K42 + ('Aqueous Species Table'!L42*10000)/(Calculations!$C$12+Calculations!$C$9))*(1/(Calculations!$C$8-Calculations!$C$13)) - 'Aqueous Species Table'!O42*100000*0.0000005903)*41.8393))</f>
        <v>35.619999999999997</v>
      </c>
      <c r="H42" s="29">
        <f>IF(ISBLANK('Aqueous Species Options'!B42), "", IF('Aqueous Species Options'!L42 = 1, IF(ISBLANK('Aqueous Species Options'!H42), "", 'Aqueous Species Options'!H42), 'Aqueous Species Table'!M42 + 'Aqueous Species Table'!N42*10000*(1/(Calculations!$C$8-Calculations!$C$13))^2 + 'Aqueous Species Table'!O42*100000*Calculations!$C$8*Calculations!$C$7))</f>
        <v>48.52</v>
      </c>
      <c r="I42" s="42">
        <f>IF(ISBLANK('Aqueous Species Options'!B42), "", IF('Aqueous Species Options'!L42=0, 'Aqueous Species Options'!N42, IF(OR(ISBLANK('Aqueous Species Options'!G42),'Aqueous Species Table'!O42="", 'Aqueous Species Table'!P42=""), "", IF('Aqueous Species Options'!B42="H+", 0, (CHOOSE('Aqueous Species Options'!M42+1,'Aqueous Species Options'!$V$4*ABS('Aqueous Species Table'!P42)+'Aqueous Species Options'!$W$4,'Aqueous Species Options'!$Z$4)*('Aqueous Species Options'!G42 + 'Aqueous Species Table'!O42*100000*0.0000005903*41.8393) + CHOOSE('Aqueous Species Options'!M42+1,'Aqueous Species Options'!$X$4*ABS('Aqueous Species Table'!P42)+'Aqueous Species Options'!$Y$4,'Aqueous Species Options'!$AA$4))*10 ) ) ) )</f>
        <v>8.4199333181684572</v>
      </c>
      <c r="J42" s="42">
        <f>IF(ISBLANK('Aqueous Species Options'!B42), "", IF('Aqueous Species Options'!L42 = 0, 'Aqueous Species Options'!O42, IF('Aqueous Species Table'!I42="", "", IF('Aqueous Species Options'!B42="H+", 0, ((1.11*('Aqueous Species Options'!G42 + 'Aqueous Species Table'!O42*100000*0.0000005903*41.8393)+1.8)/41.8393 - 'Aqueous Species Table'!I42/10)*26.01 ) ) ) )</f>
        <v>3.7334755292435284</v>
      </c>
      <c r="K42" s="42">
        <f>IF(ISBLANK('Aqueous Species Options'!B42), "", IF('Aqueous Species Options'!L42 = 0, 'Aqueous Species Options'!P42, IF('Aqueous Species Table'!I42="", "", IF('Aqueous Species Options'!B42="H+", 0, ('Aqueous Species Options'!G42/41.8393 + 'Aqueous Species Table'!O42*100000*0.0000005903 - 'Aqueous Species Table'!I42/10 - 'Aqueous Species Table'!J42*100/2601)*(298.15-228) - ('Aqueous Species Table'!L42*10000/2601) ) ) ) )</f>
        <v>1.707616899209178</v>
      </c>
      <c r="L42" s="42">
        <f>IF(ISBLANK('Aqueous Species Options'!B42), "", IF('Aqueous Species Options'!L42 = 0, 'Aqueous Species Options'!Q42, IF('Aqueous Species Table'!J42="", "", IF('Aqueous Species Options'!B42="H+", 0, (-4.134*'Aqueous Species Table'!J42*100 - 27790)*0.0001) ) ) )</f>
        <v>-2.9333418783789278</v>
      </c>
      <c r="M42" s="42">
        <f>IF(ISBLANK('Aqueous Species Options'!B42), "", IF('Aqueous Species Options'!L42=0, 'Aqueous Species Options'!R42, IF('Aqueous Species Table'!N42="", "", IF('Aqueous Species Options'!B42="H+", 0, 'Aqueous Species Options'!H42 - 'Aqueous Species Table'!O42*100000*(-0.000000309)*298.15 - 'Aqueous Species Table'!N42*10000/(298.15-228)^2 ) ) ) )</f>
        <v>34.25222747989794</v>
      </c>
      <c r="N42" s="42">
        <f>IF(ISBLANK('Aqueous Species Options'!B42), "", IF('Aqueous Species Options'!L42=0, 'Aqueous Species Options'!S42, IF(OR(ISBLANK('Aqueous Species Options'!H42), 'Aqueous Species Table'!O42=""), "", IF('Aqueous Species Options'!B42="H+", 0, 0.2037*'Aqueous Species Options'!H42 - 3.0346) ) ) )</f>
        <v>6.8489239999999993</v>
      </c>
      <c r="O42" s="42">
        <f>IF(ISBLANK('Aqueous Species Options'!B42), "", IF('Aqueous Species Options'!K42=0, 'Aqueous Species Options'!I42, IF(OR('Aqueous Species Options'!J42&gt;4,'Aqueous Species Options'!J42&lt;-4), "", IF('Aqueous Species Options'!B42="H+", 0, IF('Aqueous Species Options'!J42=0, -0.038, IF(ISBLANK('Aqueous Species Options'!F42), "", -1514.4*'Aqueous Species Options'!F42*0.00001 + SUM(({4,3,2,1,-1,-2,-3,-4}='Aqueous Species Options'!J42)*{2.1764,1.5793,1.0579,0.5517,1.6291,3.2127,4.8115,6.486}) ) ) ) ) ) )</f>
        <v>-3.7999999999999999E-2</v>
      </c>
      <c r="P42" s="1">
        <f>IF(ISBLANK('Aqueous Species Options'!J42), "", 'Aqueous Species Options'!J42)</f>
        <v>0</v>
      </c>
      <c r="Q42" s="184" t="str">
        <f>IF(ISBLANK('Aqueous Species Options'!T42), "", 'Aqueous Species Options'!T42)</f>
        <v>SSH97 for G, S, Cp, V, omega; a1 pred with SHA14</v>
      </c>
    </row>
    <row r="43" spans="2:17" ht="15" customHeight="1" x14ac:dyDescent="0.2">
      <c r="B43" s="9" t="str">
        <f>IF(ISBLANK('Aqueous Species Options'!B43), "", 'Aqueous Species Options'!B43)</f>
        <v>Ce+3</v>
      </c>
      <c r="C43" s="9" t="str">
        <f>IF(ISBLANK('Aqueous Species Options'!C43), "", 'Aqueous Species Options'!C43)</f>
        <v>Ce(+3)</v>
      </c>
      <c r="D43" s="2">
        <f>IF(ISBLANK('Aqueous Species Options'!D43), "", 'Aqueous Species Options'!D43)</f>
        <v>-161600</v>
      </c>
      <c r="E43" s="1">
        <f>IF(ISBLANK('Aqueous Species Options'!E43), "", 'Aqueous Species Options'!E43)</f>
        <v>-167400</v>
      </c>
      <c r="F43" s="139">
        <f>IF(ISBLANK('Aqueous Species Options'!F43), "", 'Aqueous Species Options'!F43)</f>
        <v>-49</v>
      </c>
      <c r="G43" s="29">
        <f>IF(ISBLANK('Aqueous Species Options'!B43), "", IF('Aqueous Species Options'!L43 = 1, IF(ISBLANK('Aqueous Species Options'!G43), "", 'Aqueous Species Options'!G43), ('Aqueous Species Table'!I43/10 + ('Aqueous Species Table'!J43*100)/(Calculations!$C$12+Calculations!$C$9) + ('Aqueous Species Table'!K43 + ('Aqueous Species Table'!L43*10000)/(Calculations!$C$12+Calculations!$C$9))*(1/(Calculations!$C$8-Calculations!$C$13)) - 'Aqueous Species Table'!O43*100000*0.0000005903)*41.8393))</f>
        <v>-39.79980594873031</v>
      </c>
      <c r="H43" s="29">
        <f>IF(ISBLANK('Aqueous Species Options'!B43), "", IF('Aqueous Species Options'!L43 = 1, IF(ISBLANK('Aqueous Species Options'!H43), "", 'Aqueous Species Options'!H43), 'Aqueous Species Table'!M43 + 'Aqueous Species Table'!N43*10000*(1/(Calculations!$C$8-Calculations!$C$13))^2 + 'Aqueous Species Table'!O43*100000*Calculations!$C$8*Calculations!$C$7))</f>
        <v>-38.599563947535216</v>
      </c>
      <c r="I43" s="42">
        <f>IF(ISBLANK('Aqueous Species Options'!B43), "", IF('Aqueous Species Options'!L43=0, 'Aqueous Species Options'!N43, IF(OR(ISBLANK('Aqueous Species Options'!G43),'Aqueous Species Table'!O43="", 'Aqueous Species Table'!P43=""), "", IF('Aqueous Species Options'!B43="H+", 0, (CHOOSE('Aqueous Species Options'!M43+1,'Aqueous Species Options'!$V$4*ABS('Aqueous Species Table'!P43)+'Aqueous Species Options'!$W$4,'Aqueous Species Options'!$Z$4)*('Aqueous Species Options'!G43 + 'Aqueous Species Table'!O43*100000*0.0000005903*41.8393) + CHOOSE('Aqueous Species Options'!M43+1,'Aqueous Species Options'!$X$4*ABS('Aqueous Species Table'!P43)+'Aqueous Species Options'!$Y$4,'Aqueous Species Options'!$AA$4))*10 ) ) ) )</f>
        <v>-7.6866433174646591</v>
      </c>
      <c r="J43" s="42">
        <f>IF(ISBLANK('Aqueous Species Options'!B43), "", IF('Aqueous Species Options'!L43 = 0, 'Aqueous Species Options'!O43, IF('Aqueous Species Table'!I43="", "", IF('Aqueous Species Options'!B43="H+", 0, ((1.11*('Aqueous Species Options'!G43 + 'Aqueous Species Table'!O43*100000*0.0000005903*41.8393)+1.8)/41.8393 - 'Aqueous Species Table'!I43/10)*26.01 ) ) ) )</f>
        <v>-2.5596461715657464</v>
      </c>
      <c r="K43" s="42">
        <f>IF(ISBLANK('Aqueous Species Options'!B43), "", IF('Aqueous Species Options'!L43 = 0, 'Aqueous Species Options'!P43, IF('Aqueous Species Table'!I43="", "", IF('Aqueous Species Options'!B43="H+", 0, ('Aqueous Species Options'!G43/41.8393 + 'Aqueous Species Table'!O43*100000*0.0000005903 - 'Aqueous Species Table'!I43/10 - 'Aqueous Species Table'!J43*100/2601)*(298.15-228) - ('Aqueous Species Table'!L43*10000/2601) ) ) ) )</f>
        <v>13.586357131225821</v>
      </c>
      <c r="L43" s="42">
        <f>IF(ISBLANK('Aqueous Species Options'!B43), "", IF('Aqueous Species Options'!L43 = 0, 'Aqueous Species Options'!Q43, IF('Aqueous Species Table'!J43="", "", IF('Aqueous Species Options'!B43="H+", 0, (-4.134*'Aqueous Species Table'!J43*100 - 27790)*0.0001) ) ) )</f>
        <v>-2.673184227267472</v>
      </c>
      <c r="M43" s="42">
        <f>IF(ISBLANK('Aqueous Species Options'!B43), "", IF('Aqueous Species Options'!L43=0, 'Aqueous Species Options'!R43, IF('Aqueous Species Table'!N43="", "", IF('Aqueous Species Options'!B43="H+", 0, 'Aqueous Species Options'!H43 - 'Aqueous Species Table'!O43*100000*(-0.000000309)*298.15 - 'Aqueous Species Table'!N43*10000/(298.15-228)^2 ) ) ) )</f>
        <v>4.0443601431164424</v>
      </c>
      <c r="N43" s="42">
        <f>IF(ISBLANK('Aqueous Species Options'!B43), "", IF('Aqueous Species Options'!L43=0, 'Aqueous Species Options'!S43, IF(OR(ISBLANK('Aqueous Species Options'!H43), 'Aqueous Species Table'!O43=""), "", IF('Aqueous Species Options'!B43="H+", 0, 0.2037*'Aqueous Species Options'!H43 - 3.0346) ) ) )</f>
        <v>-10.897331176112925</v>
      </c>
      <c r="O43" s="42">
        <f>IF(ISBLANK('Aqueous Species Options'!B43), "", IF('Aqueous Species Options'!K43=0, 'Aqueous Species Options'!I43, IF(OR('Aqueous Species Options'!J43&gt;4,'Aqueous Species Options'!J43&lt;-4), "", IF('Aqueous Species Options'!B43="H+", 0, IF('Aqueous Species Options'!J43=0, -0.038, IF(ISBLANK('Aqueous Species Options'!F43), "", -1514.4*'Aqueous Species Options'!F43*0.00001 + SUM(({4,3,2,1,-1,-2,-3,-4}='Aqueous Species Options'!J43)*{2.1764,1.5793,1.0579,0.5517,1.6291,3.2127,4.8115,6.486}) ) ) ) ) ) )</f>
        <v>2.2250999999999999</v>
      </c>
      <c r="P43" s="1">
        <f>IF(ISBLANK('Aqueous Species Options'!J43), "", 'Aqueous Species Options'!J43)</f>
        <v>3</v>
      </c>
      <c r="Q43" s="184" t="str">
        <f>IF(ISBLANK('Aqueous Species Options'!T43), "", 'Aqueous Species Options'!T43)</f>
        <v>Shock &amp; Helgeson (1988) revised with new predicted a1 for cations</v>
      </c>
    </row>
    <row r="44" spans="2:17" ht="15" customHeight="1" x14ac:dyDescent="0.2">
      <c r="B44" s="9" t="str">
        <f>IF(ISBLANK('Aqueous Species Options'!B44), "", 'Aqueous Species Options'!B44)</f>
        <v>Ce+4</v>
      </c>
      <c r="C44" s="9" t="str">
        <f>IF(ISBLANK('Aqueous Species Options'!C44), "", 'Aqueous Species Options'!C44)</f>
        <v>Ce(+4)</v>
      </c>
      <c r="D44" s="2">
        <f>IF(ISBLANK('Aqueous Species Options'!D44), "", 'Aqueous Species Options'!D44)</f>
        <v>-121300</v>
      </c>
      <c r="E44" s="1">
        <f>IF(ISBLANK('Aqueous Species Options'!E44), "", 'Aqueous Species Options'!E44)</f>
        <v>-137700</v>
      </c>
      <c r="F44" s="139">
        <f>IF(ISBLANK('Aqueous Species Options'!F44), "", 'Aqueous Species Options'!F44)</f>
        <v>-100.1</v>
      </c>
      <c r="G44" s="29">
        <f>IF(ISBLANK('Aqueous Species Options'!B44), "", IF('Aqueous Species Options'!L44 = 1, IF(ISBLANK('Aqueous Species Options'!G44), "", 'Aqueous Species Options'!G44), ('Aqueous Species Table'!I44/10 + ('Aqueous Species Table'!J44*100)/(Calculations!$C$12+Calculations!$C$9) + ('Aqueous Species Table'!K44 + ('Aqueous Species Table'!L44*10000)/(Calculations!$C$12+Calculations!$C$9))*(1/(Calculations!$C$8-Calculations!$C$13)) - 'Aqueous Species Table'!O44*100000*0.0000005903)*41.8393))</f>
        <v>-53.300070926169553</v>
      </c>
      <c r="H44" s="29">
        <f>IF(ISBLANK('Aqueous Species Options'!B44), "", IF('Aqueous Species Options'!L44 = 1, IF(ISBLANK('Aqueous Species Options'!H44), "", 'Aqueous Species Options'!H44), 'Aqueous Species Table'!M44 + 'Aqueous Species Table'!N44*10000*(1/(Calculations!$C$8-Calculations!$C$13))^2 + 'Aqueous Species Table'!O44*100000*Calculations!$C$8*Calculations!$C$7))</f>
        <v>9.9730112075675947E-2</v>
      </c>
      <c r="I44" s="42">
        <f>IF(ISBLANK('Aqueous Species Options'!B44), "", IF('Aqueous Species Options'!L44=0, 'Aqueous Species Options'!N44, IF(OR(ISBLANK('Aqueous Species Options'!G44),'Aqueous Species Table'!O44="", 'Aqueous Species Table'!P44=""), "", IF('Aqueous Species Options'!B44="H+", 0, (CHOOSE('Aqueous Species Options'!M44+1,'Aqueous Species Options'!$V$4*ABS('Aqueous Species Table'!P44)+'Aqueous Species Options'!$W$4,'Aqueous Species Options'!$Z$4)*('Aqueous Species Options'!G44 + 'Aqueous Species Table'!O44*100000*0.0000005903*41.8393) + CHOOSE('Aqueous Species Options'!M44+1,'Aqueous Species Options'!$X$4*ABS('Aqueous Species Table'!P44)+'Aqueous Species Options'!$Y$4,'Aqueous Species Options'!$AA$4))*10 ) ) ) )</f>
        <v>-15.635482300040994</v>
      </c>
      <c r="J44" s="42">
        <f>IF(ISBLANK('Aqueous Species Options'!B44), "", IF('Aqueous Species Options'!L44 = 0, 'Aqueous Species Options'!O44, IF('Aqueous Species Table'!I44="", "", IF('Aqueous Species Options'!B44="H+", 0, ((1.11*('Aqueous Species Options'!G44 + 'Aqueous Species Table'!O44*100000*0.0000005903*41.8393)+1.8)/41.8393 - 'Aqueous Species Table'!I44/10)*26.01 ) ) ) )</f>
        <v>11.306940591965624</v>
      </c>
      <c r="K44" s="42">
        <f>IF(ISBLANK('Aqueous Species Options'!B44), "", IF('Aqueous Species Options'!L44 = 0, 'Aqueous Species Options'!P44, IF('Aqueous Species Table'!I44="", "", IF('Aqueous Species Options'!B44="H+", 0, ('Aqueous Species Options'!G44/41.8393 + 'Aqueous Species Table'!O44*100000*0.0000005903 - 'Aqueous Species Table'!I44/10 - 'Aqueous Species Table'!J44*100/2601)*(298.15-228) - ('Aqueous Species Table'!L44*10000/2601) ) ) ) )</f>
        <v>17.609991264460692</v>
      </c>
      <c r="L44" s="42">
        <f>IF(ISBLANK('Aqueous Species Options'!B44), "", IF('Aqueous Species Options'!L44 = 0, 'Aqueous Species Options'!Q44, IF('Aqueous Species Table'!J44="", "", IF('Aqueous Species Options'!B44="H+", 0, (-4.134*'Aqueous Species Table'!J44*100 - 27790)*0.0001) ) ) )</f>
        <v>-3.2464289240718593</v>
      </c>
      <c r="M44" s="42">
        <f>IF(ISBLANK('Aqueous Species Options'!B44), "", IF('Aqueous Species Options'!L44=0, 'Aqueous Species Options'!R44, IF('Aqueous Species Table'!N44="", "", IF('Aqueous Species Options'!B44="H+", 0, 'Aqueous Species Options'!H44 - 'Aqueous Species Table'!O44*100000*(-0.000000309)*298.15 - 'Aqueous Species Table'!N44*10000/(298.15-228)^2 ) ) ) )</f>
        <v>40.27937588970623</v>
      </c>
      <c r="N44" s="42">
        <f>IF(ISBLANK('Aqueous Species Options'!B44), "", IF('Aqueous Species Options'!L44=0, 'Aqueous Species Options'!S44, IF(OR(ISBLANK('Aqueous Species Options'!H44), 'Aqueous Species Table'!O44=""), "", IF('Aqueous Species Options'!B44="H+", 0, 0.2037*'Aqueous Species Options'!H44 - 3.0346) ) ) )</f>
        <v>-3.0142849761701851</v>
      </c>
      <c r="O44" s="42">
        <f>IF(ISBLANK('Aqueous Species Options'!B44), "", IF('Aqueous Species Options'!K44=0, 'Aqueous Species Options'!I44, IF(OR('Aqueous Species Options'!J44&gt;4,'Aqueous Species Options'!J44&lt;-4), "", IF('Aqueous Species Options'!B44="H+", 0, IF('Aqueous Species Options'!J44=0, -0.038, IF(ISBLANK('Aqueous Species Options'!F44), "", -1514.4*'Aqueous Species Options'!F44*0.00001 + SUM(({4,3,2,1,-1,-2,-3,-4}='Aqueous Species Options'!J44)*{2.1764,1.5793,1.0579,0.5517,1.6291,3.2127,4.8115,6.486}) ) ) ) ) ) )</f>
        <v>3.6964000000000001</v>
      </c>
      <c r="P44" s="1">
        <f>IF(ISBLANK('Aqueous Species Options'!J44), "", 'Aqueous Species Options'!J44)</f>
        <v>4</v>
      </c>
      <c r="Q44" s="184" t="str">
        <f>IF(ISBLANK('Aqueous Species Options'!T44), "", 'Aqueous Species Options'!T44)</f>
        <v>Shock &amp; Helgeson (1988) revised with new predicted a1 for cations</v>
      </c>
    </row>
    <row r="45" spans="2:17" ht="15" customHeight="1" x14ac:dyDescent="0.2">
      <c r="B45" s="9" t="str">
        <f>IF(ISBLANK('Aqueous Species Options'!B45), "", 'Aqueous Species Options'!B45)</f>
        <v>Cl-</v>
      </c>
      <c r="C45" s="9" t="str">
        <f>IF(ISBLANK('Aqueous Species Options'!C45), "", 'Aqueous Species Options'!C45)</f>
        <v>Cl(-)</v>
      </c>
      <c r="D45" s="2">
        <f>IF(ISBLANK('Aqueous Species Options'!D45), "", 'Aqueous Species Options'!D45)</f>
        <v>-31379</v>
      </c>
      <c r="E45" s="1">
        <f>IF(ISBLANK('Aqueous Species Options'!E45), "", 'Aqueous Species Options'!E45)</f>
        <v>-39933</v>
      </c>
      <c r="F45" s="139">
        <f>IF(ISBLANK('Aqueous Species Options'!F45), "", 'Aqueous Species Options'!F45)</f>
        <v>13.56</v>
      </c>
      <c r="G45" s="29">
        <f>IF(ISBLANK('Aqueous Species Options'!B45), "", IF('Aqueous Species Options'!L45 = 1, IF(ISBLANK('Aqueous Species Options'!G45), "", 'Aqueous Species Options'!G45), ('Aqueous Species Table'!I45/10 + ('Aqueous Species Table'!J45*100)/(Calculations!$C$12+Calculations!$C$9) + ('Aqueous Species Table'!K45 + ('Aqueous Species Table'!L45*10000)/(Calculations!$C$12+Calculations!$C$9))*(1/(Calculations!$C$8-Calculations!$C$13)) - 'Aqueous Species Table'!O45*100000*0.0000005903)*41.8393))</f>
        <v>17.785995151106043</v>
      </c>
      <c r="H45" s="29">
        <f>IF(ISBLANK('Aqueous Species Options'!B45), "", IF('Aqueous Species Options'!L45 = 1, IF(ISBLANK('Aqueous Species Options'!H45), "", 'Aqueous Species Options'!H45), 'Aqueous Species Table'!M45 + 'Aqueous Species Table'!N45*10000*(1/(Calculations!$C$8-Calculations!$C$13))^2 + 'Aqueous Species Table'!O45*100000*Calculations!$C$8*Calculations!$C$7))</f>
        <v>-29.425295754984795</v>
      </c>
      <c r="I45" s="42">
        <f>IF(ISBLANK('Aqueous Species Options'!B45), "", IF('Aqueous Species Options'!L45=0, 'Aqueous Species Options'!N45, IF(OR(ISBLANK('Aqueous Species Options'!G45),'Aqueous Species Table'!O45="", 'Aqueous Species Table'!P45=""), "", IF('Aqueous Species Options'!B45="H+", 0, (CHOOSE('Aqueous Species Options'!M45+1,'Aqueous Species Options'!$V$4*ABS('Aqueous Species Table'!P45)+'Aqueous Species Options'!$W$4,'Aqueous Species Options'!$Z$4)*('Aqueous Species Options'!G45 + 'Aqueous Species Table'!O45*100000*0.0000005903*41.8393) + CHOOSE('Aqueous Species Options'!M45+1,'Aqueous Species Options'!$X$4*ABS('Aqueous Species Table'!P45)+'Aqueous Species Options'!$Y$4,'Aqueous Species Options'!$AA$4))*10 ) ) ) )</f>
        <v>4.032</v>
      </c>
      <c r="J45" s="42">
        <f>IF(ISBLANK('Aqueous Species Options'!B45), "", IF('Aqueous Species Options'!L45 = 0, 'Aqueous Species Options'!O45, IF('Aqueous Species Table'!I45="", "", IF('Aqueous Species Options'!B45="H+", 0, ((1.11*('Aqueous Species Options'!G45 + 'Aqueous Species Table'!O45*100000*0.0000005903*41.8393)+1.8)/41.8393 - 'Aqueous Species Table'!I45/10)*26.01 ) ) ) )</f>
        <v>4.8010000000000002</v>
      </c>
      <c r="K45" s="42">
        <f>IF(ISBLANK('Aqueous Species Options'!B45), "", IF('Aqueous Species Options'!L45 = 0, 'Aqueous Species Options'!P45, IF('Aqueous Species Table'!I45="", "", IF('Aqueous Species Options'!B45="H+", 0, ('Aqueous Species Options'!G45/41.8393 + 'Aqueous Species Table'!O45*100000*0.0000005903 - 'Aqueous Species Table'!I45/10 - 'Aqueous Species Table'!J45*100/2601)*(298.15-228) - ('Aqueous Species Table'!L45*10000/2601) ) ) ) )</f>
        <v>5.5629999999999997</v>
      </c>
      <c r="L45" s="42">
        <f>IF(ISBLANK('Aqueous Species Options'!B45), "", IF('Aqueous Species Options'!L45 = 0, 'Aqueous Species Options'!Q45, IF('Aqueous Species Table'!J45="", "", IF('Aqueous Species Options'!B45="H+", 0, (-4.134*'Aqueous Species Table'!J45*100 - 27790)*0.0001) ) ) )</f>
        <v>-2.847</v>
      </c>
      <c r="M45" s="42">
        <f>IF(ISBLANK('Aqueous Species Options'!B45), "", IF('Aqueous Species Options'!L45=0, 'Aqueous Species Options'!R45, IF('Aqueous Species Table'!N45="", "", IF('Aqueous Species Options'!B45="H+", 0, 'Aqueous Species Options'!H45 - 'Aqueous Species Table'!O45*100000*(-0.000000309)*298.15 - 'Aqueous Species Table'!N45*10000/(298.15-228)^2 ) ) ) )</f>
        <v>-4.4000000000000004</v>
      </c>
      <c r="N45" s="42">
        <f>IF(ISBLANK('Aqueous Species Options'!B45), "", IF('Aqueous Species Options'!L45=0, 'Aqueous Species Options'!S45, IF(OR(ISBLANK('Aqueous Species Options'!H45), 'Aqueous Species Table'!O45=""), "", IF('Aqueous Species Options'!B45="H+", 0, 0.2037*'Aqueous Species Options'!H45 - 3.0346) ) ) )</f>
        <v>-5.7140000000000004</v>
      </c>
      <c r="O45" s="42">
        <f>IF(ISBLANK('Aqueous Species Options'!B45), "", IF('Aqueous Species Options'!K45=0, 'Aqueous Species Options'!I45, IF(OR('Aqueous Species Options'!J45&gt;4,'Aqueous Species Options'!J45&lt;-4), "", IF('Aqueous Species Options'!B45="H+", 0, IF('Aqueous Species Options'!J45=0, -0.038, IF(ISBLANK('Aqueous Species Options'!F45), "", -1514.4*'Aqueous Species Options'!F45*0.00001 + SUM(({4,3,2,1,-1,-2,-3,-4}='Aqueous Species Options'!J45)*{2.1764,1.5793,1.0579,0.5517,1.6291,3.2127,4.8115,6.486}) ) ) ) ) ) )</f>
        <v>1.456</v>
      </c>
      <c r="P45" s="1">
        <f>IF(ISBLANK('Aqueous Species Options'!J45), "", 'Aqueous Species Options'!J45)</f>
        <v>-1</v>
      </c>
      <c r="Q45" s="184" t="str">
        <f>IF(ISBLANK('Aqueous Species Options'!T45), "", 'Aqueous Species Options'!T45)</f>
        <v>Shock &amp; Helgeson (1988)</v>
      </c>
    </row>
    <row r="46" spans="2:17" ht="15" customHeight="1" x14ac:dyDescent="0.2">
      <c r="B46" s="9" t="str">
        <f>IF(ISBLANK('Aqueous Species Options'!B46), "", 'Aqueous Species Options'!B46)</f>
        <v>CN-</v>
      </c>
      <c r="C46" s="9" t="str">
        <f>IF(ISBLANK('Aqueous Species Options'!C46), "", 'Aqueous Species Options'!C46)</f>
        <v>CN(-)</v>
      </c>
      <c r="D46" s="2">
        <f>IF(ISBLANK('Aqueous Species Options'!D46), "", 'Aqueous Species Options'!D46)</f>
        <v>41200</v>
      </c>
      <c r="E46" s="1">
        <f>IF(ISBLANK('Aqueous Species Options'!E46), "", 'Aqueous Species Options'!E46)</f>
        <v>36000</v>
      </c>
      <c r="F46" s="139">
        <f>IF(ISBLANK('Aqueous Species Options'!F46), "", 'Aqueous Species Options'!F46)</f>
        <v>22.5</v>
      </c>
      <c r="G46" s="29">
        <f>IF(ISBLANK('Aqueous Species Options'!B46), "", IF('Aqueous Species Options'!L46 = 1, IF(ISBLANK('Aqueous Species Options'!G46), "", 'Aqueous Species Options'!G46), ('Aqueous Species Table'!I46/10 + ('Aqueous Species Table'!J46*100)/(Calculations!$C$12+Calculations!$C$9) + ('Aqueous Species Table'!K46 + ('Aqueous Species Table'!L46*10000)/(Calculations!$C$12+Calculations!$C$9))*(1/(Calculations!$C$8-Calculations!$C$13)) - 'Aqueous Species Table'!O46*100000*0.0000005903)*41.8393))</f>
        <v>24.199865062568378</v>
      </c>
      <c r="H46" s="29">
        <f>IF(ISBLANK('Aqueous Species Options'!B46), "", IF('Aqueous Species Options'!L46 = 1, IF(ISBLANK('Aqueous Species Options'!H46), "", 'Aqueous Species Options'!H46), 'Aqueous Species Table'!M46 + 'Aqueous Species Table'!N46*10000*(1/(Calculations!$C$8-Calculations!$C$13))^2 + 'Aqueous Species Table'!O46*100000*Calculations!$C$8*Calculations!$C$7))</f>
        <v>-32.700466557800929</v>
      </c>
      <c r="I46" s="42">
        <f>IF(ISBLANK('Aqueous Species Options'!B46), "", IF('Aqueous Species Options'!L46=0, 'Aqueous Species Options'!N46, IF(OR(ISBLANK('Aqueous Species Options'!G46),'Aqueous Species Table'!O46="", 'Aqueous Species Table'!P46=""), "", IF('Aqueous Species Options'!B46="H+", 0, (CHOOSE('Aqueous Species Options'!M46+1,'Aqueous Species Options'!$V$4*ABS('Aqueous Species Table'!P46)+'Aqueous Species Options'!$W$4,'Aqueous Species Options'!$Z$4)*('Aqueous Species Options'!G46 + 'Aqueous Species Table'!O46*100000*0.0000005903*41.8393) + CHOOSE('Aqueous Species Options'!M46+1,'Aqueous Species Options'!$X$4*ABS('Aqueous Species Table'!P46)+'Aqueous Species Options'!$Y$4,'Aqueous Species Options'!$AA$4))*10 ) ) ) )</f>
        <v>5.052244434936199</v>
      </c>
      <c r="J46" s="42">
        <f>IF(ISBLANK('Aqueous Species Options'!B46), "", IF('Aqueous Species Options'!L46 = 0, 'Aqueous Species Options'!O46, IF('Aqueous Species Table'!I46="", "", IF('Aqueous Species Options'!B46="H+", 0, ((1.11*('Aqueous Species Options'!G46 + 'Aqueous Species Table'!O46*100000*0.0000005903*41.8393)+1.8)/41.8393 - 'Aqueous Species Table'!I46/10)*26.01 ) ) ) )</f>
        <v>6.8756585950319291</v>
      </c>
      <c r="K46" s="42">
        <f>IF(ISBLANK('Aqueous Species Options'!B46), "", IF('Aqueous Species Options'!L46 = 0, 'Aqueous Species Options'!P46, IF('Aqueous Species Table'!I46="", "", IF('Aqueous Species Options'!B46="H+", 0, ('Aqueous Species Options'!G46/41.8393 + 'Aqueous Species Table'!O46*100000*0.0000005903 - 'Aqueous Species Table'!I46/10 - 'Aqueous Species Table'!J46*100/2601)*(298.15-228) - ('Aqueous Species Table'!L46*10000/2601) ) ) ) )</f>
        <v>3.7083580403786289</v>
      </c>
      <c r="L46" s="42">
        <f>IF(ISBLANK('Aqueous Species Options'!B46), "", IF('Aqueous Species Options'!L46 = 0, 'Aqueous Species Options'!Q46, IF('Aqueous Species Table'!J46="", "", IF('Aqueous Species Options'!B46="H+", 0, (-4.134*'Aqueous Species Table'!J46*100 - 27790)*0.0001) ) ) )</f>
        <v>-3.0632397263186197</v>
      </c>
      <c r="M46" s="42">
        <f>IF(ISBLANK('Aqueous Species Options'!B46), "", IF('Aqueous Species Options'!L46=0, 'Aqueous Species Options'!R46, IF('Aqueous Species Table'!N46="", "", IF('Aqueous Species Options'!B46="H+", 0, 'Aqueous Species Options'!H46 - 'Aqueous Species Table'!O46*100000*(-0.000000309)*298.15 - 'Aqueous Species Table'!N46*10000/(298.15-228)^2 ) ) ) )</f>
        <v>-1.1133271948074821</v>
      </c>
      <c r="N46" s="42">
        <f>IF(ISBLANK('Aqueous Species Options'!B46), "", IF('Aqueous Species Options'!L46=0, 'Aqueous Species Options'!S46, IF(OR(ISBLANK('Aqueous Species Options'!H46), 'Aqueous Species Table'!O46=""), "", IF('Aqueous Species Options'!B46="H+", 0, 0.2037*'Aqueous Species Options'!H46 - 3.0346) ) ) )</f>
        <v>-9.6956850378240489</v>
      </c>
      <c r="O46" s="42">
        <f>IF(ISBLANK('Aqueous Species Options'!B46), "", IF('Aqueous Species Options'!K46=0, 'Aqueous Species Options'!I46, IF(OR('Aqueous Species Options'!J46&gt;4,'Aqueous Species Options'!J46&lt;-4), "", IF('Aqueous Species Options'!B46="H+", 0, IF('Aqueous Species Options'!J46=0, -0.038, IF(ISBLANK('Aqueous Species Options'!F46), "", -1514.4*'Aqueous Species Options'!F46*0.00001 + SUM(({4,3,2,1,-1,-2,-3,-4}='Aqueous Species Options'!J46)*{2.1764,1.5793,1.0579,0.5517,1.6291,3.2127,4.8115,6.486}) ) ) ) ) ) )</f>
        <v>1.29</v>
      </c>
      <c r="P46" s="1">
        <f>IF(ISBLANK('Aqueous Species Options'!J46), "", 'Aqueous Species Options'!J46)</f>
        <v>-1</v>
      </c>
      <c r="Q46" s="184" t="str">
        <f>IF(ISBLANK('Aqueous Species Options'!T46), "", 'Aqueous Species Options'!T46)</f>
        <v>Shock &amp; Helgeson (1988) revised with new predicted a1 for cations</v>
      </c>
    </row>
    <row r="47" spans="2:17" ht="15" customHeight="1" x14ac:dyDescent="0.2">
      <c r="B47" s="9" t="str">
        <f>IF(ISBLANK('Aqueous Species Options'!B47), "", 'Aqueous Species Options'!B47)</f>
        <v>CO,aq</v>
      </c>
      <c r="C47" s="9" t="str">
        <f>IF(ISBLANK('Aqueous Species Options'!C47), "", 'Aqueous Species Options'!C47)</f>
        <v>CO(0)</v>
      </c>
      <c r="D47" s="2">
        <f>IF(ISBLANK('Aqueous Species Options'!D47), "", 'Aqueous Species Options'!D47)</f>
        <v>-28682</v>
      </c>
      <c r="E47" s="1">
        <f>IF(ISBLANK('Aqueous Species Options'!E47), "", 'Aqueous Species Options'!E47)</f>
        <v>-28910</v>
      </c>
      <c r="F47" s="139">
        <f>IF(ISBLANK('Aqueous Species Options'!F47), "", 'Aqueous Species Options'!F47)</f>
        <v>24.53</v>
      </c>
      <c r="G47" s="29">
        <f>IF(ISBLANK('Aqueous Species Options'!B47), "", IF('Aqueous Species Options'!L47 = 1, IF(ISBLANK('Aqueous Species Options'!G47), "", 'Aqueous Species Options'!G47), ('Aqueous Species Table'!I47/10 + ('Aqueous Species Table'!J47*100)/(Calculations!$C$12+Calculations!$C$9) + ('Aqueous Species Table'!K47 + ('Aqueous Species Table'!L47*10000)/(Calculations!$C$12+Calculations!$C$9))*(1/(Calculations!$C$8-Calculations!$C$13)) - 'Aqueous Species Table'!O47*100000*0.0000005903)*41.8393))</f>
        <v>33.799999999999997</v>
      </c>
      <c r="H47" s="29">
        <f>IF(ISBLANK('Aqueous Species Options'!B47), "", IF('Aqueous Species Options'!L47 = 1, IF(ISBLANK('Aqueous Species Options'!H47), "", 'Aqueous Species Options'!H47), 'Aqueous Species Table'!M47 + 'Aqueous Species Table'!N47*10000*(1/(Calculations!$C$8-Calculations!$C$13))^2 + 'Aqueous Species Table'!O47*100000*Calculations!$C$8*Calculations!$C$7))</f>
        <v>64.5</v>
      </c>
      <c r="I47" s="42">
        <f>IF(ISBLANK('Aqueous Species Options'!B47), "", IF('Aqueous Species Options'!L47=0, 'Aqueous Species Options'!N47, IF(OR(ISBLANK('Aqueous Species Options'!G47),'Aqueous Species Table'!O47="", 'Aqueous Species Table'!P47=""), "", IF('Aqueous Species Options'!B47="H+", 0, (CHOOSE('Aqueous Species Options'!M47+1,'Aqueous Species Options'!$V$4*ABS('Aqueous Species Table'!P47)+'Aqueous Species Options'!$W$4,'Aqueous Species Options'!$Z$4)*('Aqueous Species Options'!G47 + 'Aqueous Species Table'!O47*100000*0.0000005903*41.8393) + CHOOSE('Aqueous Species Options'!M47+1,'Aqueous Species Options'!$X$4*ABS('Aqueous Species Table'!P47)+'Aqueous Species Options'!$Y$4,'Aqueous Species Options'!$AA$4))*10 ) ) ) )</f>
        <v>7.906506247357421</v>
      </c>
      <c r="J47" s="42">
        <f>IF(ISBLANK('Aqueous Species Options'!B47), "", IF('Aqueous Species Options'!L47 = 0, 'Aqueous Species Options'!O47, IF('Aqueous Species Table'!I47="", "", IF('Aqueous Species Options'!B47="H+", 0, ((1.11*('Aqueous Species Options'!G47 + 'Aqueous Species Table'!O47*100000*0.0000005903*41.8393)+1.8)/41.8393 - 'Aqueous Species Table'!I47/10)*26.01 ) ) ) )</f>
        <v>3.2446420258701605</v>
      </c>
      <c r="K47" s="42">
        <f>IF(ISBLANK('Aqueous Species Options'!B47), "", IF('Aqueous Species Options'!L47 = 0, 'Aqueous Species Options'!P47, IF('Aqueous Species Table'!I47="", "", IF('Aqueous Species Options'!B47="H+", 0, ('Aqueous Species Options'!G47/41.8393 + 'Aqueous Species Table'!O47*100000*0.0000005903 - 'Aqueous Species Table'!I47/10 - 'Aqueous Species Table'!J47*100/2601)*(298.15-228) - ('Aqueous Species Table'!L47*10000/2601) ) ) ) )</f>
        <v>2.1174991592365995</v>
      </c>
      <c r="L47" s="42">
        <f>IF(ISBLANK('Aqueous Species Options'!B47), "", IF('Aqueous Species Options'!L47 = 0, 'Aqueous Species Options'!Q47, IF('Aqueous Species Table'!J47="", "", IF('Aqueous Species Options'!B47="H+", 0, (-4.134*'Aqueous Species Table'!J47*100 - 27790)*0.0001) ) ) )</f>
        <v>-2.9131335013494728</v>
      </c>
      <c r="M47" s="42">
        <f>IF(ISBLANK('Aqueous Species Options'!B47), "", IF('Aqueous Species Options'!L47=0, 'Aqueous Species Options'!R47, IF('Aqueous Species Table'!N47="", "", IF('Aqueous Species Options'!B47="H+", 0, 'Aqueous Species Options'!H47 - 'Aqueous Species Table'!O47*100000*(-0.000000309)*298.15 - 'Aqueous Species Table'!N47*10000/(298.15-228)^2 ) ) ) )</f>
        <v>40.545011959956057</v>
      </c>
      <c r="N47" s="42">
        <f>IF(ISBLANK('Aqueous Species Options'!B47), "", IF('Aqueous Species Options'!L47=0, 'Aqueous Species Options'!S47, IF(OR(ISBLANK('Aqueous Species Options'!H47), 'Aqueous Species Table'!O47=""), "", IF('Aqueous Species Options'!B47="H+", 0, 0.2037*'Aqueous Species Options'!H47 - 3.0346) ) ) )</f>
        <v>10.104050000000001</v>
      </c>
      <c r="O47" s="42">
        <f>IF(ISBLANK('Aqueous Species Options'!B47), "", IF('Aqueous Species Options'!K47=0, 'Aqueous Species Options'!I47, IF(OR('Aqueous Species Options'!J47&gt;4,'Aqueous Species Options'!J47&lt;-4), "", IF('Aqueous Species Options'!B47="H+", 0, IF('Aqueous Species Options'!J47=0, -0.038, IF(ISBLANK('Aqueous Species Options'!F47), "", -1514.4*'Aqueous Species Options'!F47*0.00001 + SUM(({4,3,2,1,-1,-2,-3,-4}='Aqueous Species Options'!J47)*{2.1764,1.5793,1.0579,0.5517,1.6291,3.2127,4.8115,6.486}) ) ) ) ) ) )</f>
        <v>-0.3715</v>
      </c>
      <c r="P47" s="1">
        <f>IF(ISBLANK('Aqueous Species Options'!J47), "", 'Aqueous Species Options'!J47)</f>
        <v>0</v>
      </c>
      <c r="Q47" s="184" t="str">
        <f>IF(ISBLANK('Aqueous Species Options'!T47), "", 'Aqueous Species Options'!T47)</f>
        <v xml:space="preserve">Shock &amp; McKibben (1993) for c1, c2 and omega with revised a1 from correlation for complex species </v>
      </c>
    </row>
    <row r="48" spans="2:17" ht="15" customHeight="1" x14ac:dyDescent="0.2">
      <c r="B48" s="9" t="str">
        <f>IF(ISBLANK('Aqueous Species Options'!B48), "", 'Aqueous Species Options'!B48)</f>
        <v>Co+2</v>
      </c>
      <c r="C48" s="9" t="str">
        <f>IF(ISBLANK('Aqueous Species Options'!C48), "", 'Aqueous Species Options'!C48)</f>
        <v>Co(+2)</v>
      </c>
      <c r="D48" s="2">
        <f>IF(ISBLANK('Aqueous Species Options'!D48), "", 'Aqueous Species Options'!D48)</f>
        <v>-13000</v>
      </c>
      <c r="E48" s="1">
        <f>IF(ISBLANK('Aqueous Species Options'!E48), "", 'Aqueous Species Options'!E48)</f>
        <v>-13900</v>
      </c>
      <c r="F48" s="139">
        <f>IF(ISBLANK('Aqueous Species Options'!F48), "", 'Aqueous Species Options'!F48)</f>
        <v>-27</v>
      </c>
      <c r="G48" s="29">
        <f>IF(ISBLANK('Aqueous Species Options'!B48), "", IF('Aqueous Species Options'!L48 = 1, IF(ISBLANK('Aqueous Species Options'!G48), "", 'Aqueous Species Options'!G48), ('Aqueous Species Table'!I48/10 + ('Aqueous Species Table'!J48*100)/(Calculations!$C$12+Calculations!$C$9) + ('Aqueous Species Table'!K48 + ('Aqueous Species Table'!L48*10000)/(Calculations!$C$12+Calculations!$C$9))*(1/(Calculations!$C$8-Calculations!$C$13)) - 'Aqueous Species Table'!O48*100000*0.0000005903)*41.8393))</f>
        <v>-24.400262614870208</v>
      </c>
      <c r="H48" s="29">
        <f>IF(ISBLANK('Aqueous Species Options'!B48), "", IF('Aqueous Species Options'!L48 = 1, IF(ISBLANK('Aqueous Species Options'!H48), "", 'Aqueous Species Options'!H48), 'Aqueous Species Table'!M48 + 'Aqueous Species Table'!N48*10000*(1/(Calculations!$C$8-Calculations!$C$13))^2 + 'Aqueous Species Table'!O48*100000*Calculations!$C$8*Calculations!$C$7))</f>
        <v>-7.8004411330982109</v>
      </c>
      <c r="I48" s="42">
        <f>IF(ISBLANK('Aqueous Species Options'!B48), "", IF('Aqueous Species Options'!L48=0, 'Aqueous Species Options'!N48, IF(OR(ISBLANK('Aqueous Species Options'!G48),'Aqueous Species Table'!O48="", 'Aqueous Species Table'!P48=""), "", IF('Aqueous Species Options'!B48="H+", 0, (CHOOSE('Aqueous Species Options'!M48+1,'Aqueous Species Options'!$V$4*ABS('Aqueous Species Table'!P48)+'Aqueous Species Options'!$W$4,'Aqueous Species Options'!$Z$4)*('Aqueous Species Options'!G48 + 'Aqueous Species Table'!O48*100000*0.0000005903*41.8393) + CHOOSE('Aqueous Species Options'!M48+1,'Aqueous Species Options'!$X$4*ABS('Aqueous Species Table'!P48)+'Aqueous Species Options'!$Y$4,'Aqueous Species Options'!$AA$4))*10 ) ) ) )</f>
        <v>-1.4298594692983486</v>
      </c>
      <c r="J48" s="42">
        <f>IF(ISBLANK('Aqueous Species Options'!B48), "", IF('Aqueous Species Options'!L48 = 0, 'Aqueous Species Options'!O48, IF('Aqueous Species Table'!I48="", "", IF('Aqueous Species Options'!B48="H+", 0, ((1.11*('Aqueous Species Options'!G48 + 'Aqueous Species Table'!O48*100000*0.0000005903*41.8393)+1.8)/41.8393 - 'Aqueous Species Table'!I48/10)*26.01 ) ) ) )</f>
        <v>-9.4822542941088965</v>
      </c>
      <c r="K48" s="42">
        <f>IF(ISBLANK('Aqueous Species Options'!B48), "", IF('Aqueous Species Options'!L48 = 0, 'Aqueous Species Options'!P48, IF('Aqueous Species Table'!I48="", "", IF('Aqueous Species Options'!B48="H+", 0, ('Aqueous Species Options'!G48/41.8393 + 'Aqueous Species Table'!O48*100000*0.0000005903 - 'Aqueous Species Table'!I48/10 - 'Aqueous Species Table'!J48*100/2601)*(298.15-228) - ('Aqueous Species Table'!L48*10000/2601) ) ) ) )</f>
        <v>9.9867280087270309</v>
      </c>
      <c r="L48" s="42">
        <f>IF(ISBLANK('Aqueous Species Options'!B48), "", IF('Aqueous Species Options'!L48 = 0, 'Aqueous Species Options'!Q48, IF('Aqueous Species Table'!J48="", "", IF('Aqueous Species Options'!B48="H+", 0, (-4.134*'Aqueous Species Table'!J48*100 - 27790)*0.0001) ) ) )</f>
        <v>-2.3870036074815384</v>
      </c>
      <c r="M48" s="42">
        <f>IF(ISBLANK('Aqueous Species Options'!B48), "", IF('Aqueous Species Options'!L48=0, 'Aqueous Species Options'!R48, IF('Aqueous Species Table'!N48="", "", IF('Aqueous Species Options'!B48="H+", 0, 'Aqueous Species Options'!H48 - 'Aqueous Species Table'!O48*100000*(-0.000000309)*298.15 - 'Aqueous Species Table'!N48*10000/(298.15-228)^2 ) ) ) )</f>
        <v>15.201501317992561</v>
      </c>
      <c r="N48" s="42">
        <f>IF(ISBLANK('Aqueous Species Options'!B48), "", IF('Aqueous Species Options'!L48=0, 'Aqueous Species Options'!S48, IF(OR(ISBLANK('Aqueous Species Options'!H48), 'Aqueous Species Table'!O48=""), "", IF('Aqueous Species Options'!B48="H+", 0, 0.2037*'Aqueous Species Options'!H48 - 3.0346) ) ) )</f>
        <v>-4.6235498588121056</v>
      </c>
      <c r="O48" s="42">
        <f>IF(ISBLANK('Aqueous Species Options'!B48), "", IF('Aqueous Species Options'!K48=0, 'Aqueous Species Options'!I48, IF(OR('Aqueous Species Options'!J48&gt;4,'Aqueous Species Options'!J48&lt;-4), "", IF('Aqueous Species Options'!B48="H+", 0, IF('Aqueous Species Options'!J48=0, -0.038, IF(ISBLANK('Aqueous Species Options'!F48), "", -1514.4*'Aqueous Species Options'!F48*0.00001 + SUM(({4,3,2,1,-1,-2,-3,-4}='Aqueous Species Options'!J48)*{2.1764,1.5793,1.0579,0.5517,1.6291,3.2127,4.8115,6.486}) ) ) ) ) ) )</f>
        <v>1.4769000000000001</v>
      </c>
      <c r="P48" s="1">
        <f>IF(ISBLANK('Aqueous Species Options'!J48), "", 'Aqueous Species Options'!J48)</f>
        <v>2</v>
      </c>
      <c r="Q48" s="184" t="str">
        <f>IF(ISBLANK('Aqueous Species Options'!T48), "", 'Aqueous Species Options'!T48)</f>
        <v>Shock &amp; Helgeson (1988) revised with new predicted a1 for cations</v>
      </c>
    </row>
    <row r="49" spans="2:17" ht="15" customHeight="1" x14ac:dyDescent="0.2">
      <c r="B49" s="9" t="str">
        <f>IF(ISBLANK('Aqueous Species Options'!B49), "", 'Aqueous Species Options'!B49)</f>
        <v>Co+3</v>
      </c>
      <c r="C49" s="9" t="str">
        <f>IF(ISBLANK('Aqueous Species Options'!C49), "", 'Aqueous Species Options'!C49)</f>
        <v>Co(+3)</v>
      </c>
      <c r="D49" s="2">
        <f>IF(ISBLANK('Aqueous Species Options'!D49), "", 'Aqueous Species Options'!D49)</f>
        <v>32000</v>
      </c>
      <c r="E49" s="1">
        <f>IF(ISBLANK('Aqueous Species Options'!E49), "", 'Aqueous Species Options'!E49)</f>
        <v>22000</v>
      </c>
      <c r="F49" s="139">
        <f>IF(ISBLANK('Aqueous Species Options'!F49), "", 'Aqueous Species Options'!F49)</f>
        <v>-73</v>
      </c>
      <c r="G49" s="29">
        <f>IF(ISBLANK('Aqueous Species Options'!B49), "", IF('Aqueous Species Options'!L49 = 1, IF(ISBLANK('Aqueous Species Options'!G49), "", 'Aqueous Species Options'!G49), ('Aqueous Species Table'!I49/10 + ('Aqueous Species Table'!J49*100)/(Calculations!$C$12+Calculations!$C$9) + ('Aqueous Species Table'!K49 + ('Aqueous Species Table'!L49*10000)/(Calculations!$C$12+Calculations!$C$9))*(1/(Calculations!$C$8-Calculations!$C$13)) - 'Aqueous Species Table'!O49*100000*0.0000005903)*41.8393))</f>
        <v>-43.899845623366943</v>
      </c>
      <c r="H49" s="29">
        <f>IF(ISBLANK('Aqueous Species Options'!B49), "", IF('Aqueous Species Options'!L49 = 1, IF(ISBLANK('Aqueous Species Options'!H49), "", 'Aqueous Species Options'!H49), 'Aqueous Species Table'!M49 + 'Aqueous Species Table'!N49*10000*(1/(Calculations!$C$8-Calculations!$C$13))^2 + 'Aqueous Species Table'!O49*100000*Calculations!$C$8*Calculations!$C$7))</f>
        <v>-32.299640445473095</v>
      </c>
      <c r="I49" s="42">
        <f>IF(ISBLANK('Aqueous Species Options'!B49), "", IF('Aqueous Species Options'!L49=0, 'Aqueous Species Options'!N49, IF(OR(ISBLANK('Aqueous Species Options'!G49),'Aqueous Species Table'!O49="", 'Aqueous Species Table'!P49=""), "", IF('Aqueous Species Options'!B49="H+", 0, (CHOOSE('Aqueous Species Options'!M49+1,'Aqueous Species Options'!$V$4*ABS('Aqueous Species Table'!P49)+'Aqueous Species Options'!$W$4,'Aqueous Species Options'!$Z$4)*('Aqueous Species Options'!G49 + 'Aqueous Species Table'!O49*100000*0.0000005903*41.8393) + CHOOSE('Aqueous Species Options'!M49+1,'Aqueous Species Options'!$X$4*ABS('Aqueous Species Table'!P49)+'Aqueous Species Options'!$Y$4,'Aqueous Species Options'!$AA$4))*10 ) ) ) )</f>
        <v>-8.7545343257253787</v>
      </c>
      <c r="J49" s="42">
        <f>IF(ISBLANK('Aqueous Species Options'!B49), "", IF('Aqueous Species Options'!L49 = 0, 'Aqueous Species Options'!O49, IF('Aqueous Species Table'!I49="", "", IF('Aqueous Species Options'!B49="H+", 0, ((1.11*('Aqueous Species Options'!G49 + 'Aqueous Species Table'!O49*100000*0.0000005903*41.8393)+1.8)/41.8393 - 'Aqueous Species Table'!I49/10)*26.01 ) ) ) )</f>
        <v>-1.7763658784773348</v>
      </c>
      <c r="K49" s="42">
        <f>IF(ISBLANK('Aqueous Species Options'!B49), "", IF('Aqueous Species Options'!L49 = 0, 'Aqueous Species Options'!P49, IF('Aqueous Species Table'!I49="", "", IF('Aqueous Species Options'!B49="H+", 0, ('Aqueous Species Options'!G49/41.8393 + 'Aqueous Species Table'!O49*100000*0.0000005903 - 'Aqueous Species Table'!I49/10 - 'Aqueous Species Table'!J49*100/2601)*(298.15-228) - ('Aqueous Species Table'!L49*10000/2601) ) ) ) )</f>
        <v>14.243876869687082</v>
      </c>
      <c r="L49" s="42">
        <f>IF(ISBLANK('Aqueous Species Options'!B49), "", IF('Aqueous Species Options'!L49 = 0, 'Aqueous Species Options'!Q49, IF('Aqueous Species Table'!J49="", "", IF('Aqueous Species Options'!B49="H+", 0, (-4.134*'Aqueous Species Table'!J49*100 - 27790)*0.0001) ) ) )</f>
        <v>-2.705565034583747</v>
      </c>
      <c r="M49" s="42">
        <f>IF(ISBLANK('Aqueous Species Options'!B49), "", IF('Aqueous Species Options'!L49=0, 'Aqueous Species Options'!R49, IF('Aqueous Species Table'!N49="", "", IF('Aqueous Species Options'!B49="H+", 0, 'Aqueous Species Options'!H49 - 'Aqueous Species Table'!O49*100000*(-0.000000309)*298.15 - 'Aqueous Species Table'!N49*10000/(298.15-228)^2 ) ) ) )</f>
        <v>12.249871487567614</v>
      </c>
      <c r="N49" s="42">
        <f>IF(ISBLANK('Aqueous Species Options'!B49), "", IF('Aqueous Species Options'!L49=0, 'Aqueous Species Options'!S49, IF(OR(ISBLANK('Aqueous Species Options'!H49), 'Aqueous Species Table'!O49=""), "", IF('Aqueous Species Options'!B49="H+", 0, 0.2037*'Aqueous Species Options'!H49 - 3.0346) ) ) )</f>
        <v>-9.6140367587428699</v>
      </c>
      <c r="O49" s="42">
        <f>IF(ISBLANK('Aqueous Species Options'!B49), "", IF('Aqueous Species Options'!K49=0, 'Aqueous Species Options'!I49, IF(OR('Aqueous Species Options'!J49&gt;4,'Aqueous Species Options'!J49&lt;-4), "", IF('Aqueous Species Options'!B49="H+", 0, IF('Aqueous Species Options'!J49=0, -0.038, IF(ISBLANK('Aqueous Species Options'!F49), "", -1514.4*'Aqueous Species Options'!F49*0.00001 + SUM(({4,3,2,1,-1,-2,-3,-4}='Aqueous Species Options'!J49)*{2.1764,1.5793,1.0579,0.5517,1.6291,3.2127,4.8115,6.486}) ) ) ) ) ) )</f>
        <v>2.7149999999999999</v>
      </c>
      <c r="P49" s="1">
        <f>IF(ISBLANK('Aqueous Species Options'!J49), "", 'Aqueous Species Options'!J49)</f>
        <v>3</v>
      </c>
      <c r="Q49" s="184" t="str">
        <f>IF(ISBLANK('Aqueous Species Options'!T49), "", 'Aqueous Species Options'!T49)</f>
        <v>Shock &amp; Helgeson (1988) revised with new predicted a1 for cations</v>
      </c>
    </row>
    <row r="50" spans="2:17" ht="15" customHeight="1" x14ac:dyDescent="0.2">
      <c r="B50" s="9" t="str">
        <f>IF(ISBLANK('Aqueous Species Options'!B50), "", 'Aqueous Species Options'!B50)</f>
        <v>CO2,aq</v>
      </c>
      <c r="C50" s="9" t="str">
        <f>IF(ISBLANK('Aqueous Species Options'!C50), "", 'Aqueous Species Options'!C50)</f>
        <v>CO2(0)</v>
      </c>
      <c r="D50" s="2">
        <f>IF(ISBLANK('Aqueous Species Options'!D50), "", 'Aqueous Species Options'!D50)</f>
        <v>-92200</v>
      </c>
      <c r="E50" s="1" t="str">
        <f>IF(ISBLANK('Aqueous Species Options'!E50), "", 'Aqueous Species Options'!E50)</f>
        <v/>
      </c>
      <c r="F50" s="139">
        <f>IF(ISBLANK('Aqueous Species Options'!F50), "", 'Aqueous Species Options'!F50)</f>
        <v>35.799999999999997</v>
      </c>
      <c r="G50" s="29">
        <f>IF(ISBLANK('Aqueous Species Options'!B50), "", IF('Aqueous Species Options'!L50 = 1, IF(ISBLANK('Aqueous Species Options'!G50), "", 'Aqueous Species Options'!G50), ('Aqueous Species Table'!I50/10 + ('Aqueous Species Table'!J50*100)/(Calculations!$C$12+Calculations!$C$9) + ('Aqueous Species Table'!K50 + ('Aqueous Species Table'!L50*10000)/(Calculations!$C$12+Calculations!$C$9))*(1/(Calculations!$C$8-Calculations!$C$13)) - 'Aqueous Species Table'!O50*100000*0.0000005903)*41.8393))</f>
        <v>30</v>
      </c>
      <c r="H50" s="29">
        <f>IF(ISBLANK('Aqueous Species Options'!B50), "", IF('Aqueous Species Options'!L50 = 1, IF(ISBLANK('Aqueous Species Options'!H50), "", 'Aqueous Species Options'!H50), 'Aqueous Species Table'!M50 + 'Aqueous Species Table'!N50*10000*(1/(Calculations!$C$8-Calculations!$C$13))^2 + 'Aqueous Species Table'!O50*100000*Calculations!$C$8*Calculations!$C$7))</f>
        <v>16.899999999999999</v>
      </c>
      <c r="I50" s="42">
        <f>IF(ISBLANK('Aqueous Species Options'!B50), "", IF('Aqueous Species Options'!L50=0, 'Aqueous Species Options'!N50, IF(OR(ISBLANK('Aqueous Species Options'!G50),'Aqueous Species Table'!O50="", 'Aqueous Species Table'!P50=""), "", IF('Aqueous Species Options'!B50="H+", 0, (CHOOSE('Aqueous Species Options'!M50+1,'Aqueous Species Options'!$V$4*ABS('Aqueous Species Table'!P50)+'Aqueous Species Options'!$W$4,'Aqueous Species Options'!$Z$4)*('Aqueous Species Options'!G50 + 'Aqueous Species Table'!O50*100000*0.0000005903*41.8393) + CHOOSE('Aqueous Species Options'!M50+1,'Aqueous Species Options'!$X$4*ABS('Aqueous Species Table'!P50)+'Aqueous Species Options'!$Y$4,'Aqueous Species Options'!$AA$4))*10 ) ) ) )</f>
        <v>6.9629761719675276</v>
      </c>
      <c r="J50" s="42">
        <f>IF(ISBLANK('Aqueous Species Options'!B50), "", IF('Aqueous Species Options'!L50 = 0, 'Aqueous Species Options'!O50, IF('Aqueous Species Table'!I50="", "", IF('Aqueous Species Options'!B50="H+", 0, ((1.11*('Aqueous Species Options'!G50 + 'Aqueous Species Table'!O50*100000*0.0000005903*41.8393)+1.8)/41.8393 - 'Aqueous Species Table'!I50/10)*26.01 ) ) ) )</f>
        <v>2.34630779592317</v>
      </c>
      <c r="K50" s="42">
        <f>IF(ISBLANK('Aqueous Species Options'!B50), "", IF('Aqueous Species Options'!L50 = 0, 'Aqueous Species Options'!P50, IF('Aqueous Species Table'!I50="", "", IF('Aqueous Species Options'!B50="H+", 0, ('Aqueous Species Options'!G50/41.8393 + 'Aqueous Species Table'!O50*100000*0.0000005903 - 'Aqueous Species Table'!I50/10 - 'Aqueous Species Table'!J50*100/2601)*(298.15-228) - ('Aqueous Species Table'!L50*10000/2601) ) ) ) )</f>
        <v>2.8707438977614714</v>
      </c>
      <c r="L50" s="42">
        <f>IF(ISBLANK('Aqueous Species Options'!B50), "", IF('Aqueous Species Options'!L50 = 0, 'Aqueous Species Options'!Q50, IF('Aqueous Species Table'!J50="", "", IF('Aqueous Species Options'!B50="H+", 0, (-4.134*'Aqueous Species Table'!J50*100 - 27790)*0.0001) ) ) )</f>
        <v>-2.8759963642834641</v>
      </c>
      <c r="M50" s="42">
        <f>IF(ISBLANK('Aqueous Species Options'!B50), "", IF('Aqueous Species Options'!L50=0, 'Aqueous Species Options'!R50, IF('Aqueous Species Table'!N50="", "", IF('Aqueous Species Options'!B50="H+", 0, 'Aqueous Species Options'!H50 - 'Aqueous Species Table'!O50*100000*(-0.000000309)*298.15 - 'Aqueous Species Table'!N50*10000/(298.15-228)^2 ) ) ) )</f>
        <v>8.7007782612190852</v>
      </c>
      <c r="N50" s="42">
        <f>IF(ISBLANK('Aqueous Species Options'!B50), "", IF('Aqueous Species Options'!L50=0, 'Aqueous Species Options'!S50, IF(OR(ISBLANK('Aqueous Species Options'!H50), 'Aqueous Species Table'!O50=""), "", IF('Aqueous Species Options'!B50="H+", 0, 0.2037*'Aqueous Species Options'!H50 - 3.0346) ) ) )</f>
        <v>0.40792999999999946</v>
      </c>
      <c r="O50" s="42">
        <f>IF(ISBLANK('Aqueous Species Options'!B50), "", IF('Aqueous Species Options'!K50=0, 'Aqueous Species Options'!I50, IF(OR('Aqueous Species Options'!J50&gt;4,'Aqueous Species Options'!J50&lt;-4), "", IF('Aqueous Species Options'!B50="H+", 0, IF('Aqueous Species Options'!J50=0, -0.038, IF(ISBLANK('Aqueous Species Options'!F50), "", -1514.4*'Aqueous Species Options'!F50*0.00001 + SUM(({4,3,2,1,-1,-2,-3,-4}='Aqueous Species Options'!J50)*{2.1764,1.5793,1.0579,0.5517,1.6291,3.2127,4.8115,6.486}) ) ) ) ) ) )</f>
        <v>-0.8</v>
      </c>
      <c r="P50" s="1">
        <f>IF(ISBLANK('Aqueous Species Options'!J50), "", 'Aqueous Species Options'!J50)</f>
        <v>0</v>
      </c>
      <c r="Q50" s="184" t="str">
        <f>IF(ISBLANK('Aqueous Species Options'!T50), "", 'Aqueous Species Options'!T50)</f>
        <v>Simon October, 2024 fit to all low and high PT data</v>
      </c>
    </row>
    <row r="51" spans="2:17" ht="15" customHeight="1" x14ac:dyDescent="0.2">
      <c r="B51" s="9" t="str">
        <f>IF(ISBLANK('Aqueous Species Options'!B51), "", 'Aqueous Species Options'!B51)</f>
        <v>CO3-2</v>
      </c>
      <c r="C51" s="9" t="str">
        <f>IF(ISBLANK('Aqueous Species Options'!C51), "", 'Aqueous Species Options'!C51)</f>
        <v>CO3(-2)</v>
      </c>
      <c r="D51" s="2">
        <f>IF(ISBLANK('Aqueous Species Options'!D51), "", 'Aqueous Species Options'!D51)</f>
        <v>-126191</v>
      </c>
      <c r="E51" s="1">
        <f>IF(ISBLANK('Aqueous Species Options'!E51), "", 'Aqueous Species Options'!E51)</f>
        <v>-161385</v>
      </c>
      <c r="F51" s="139">
        <f>IF(ISBLANK('Aqueous Species Options'!F51), "", 'Aqueous Species Options'!F51)</f>
        <v>-12.95</v>
      </c>
      <c r="G51" s="29">
        <f>IF(ISBLANK('Aqueous Species Options'!B51), "", IF('Aqueous Species Options'!L51 = 1, IF(ISBLANK('Aqueous Species Options'!G51), "", 'Aqueous Species Options'!G51), ('Aqueous Species Table'!I51/10 + ('Aqueous Species Table'!J51*100)/(Calculations!$C$12+Calculations!$C$9) + ('Aqueous Species Table'!K51 + ('Aqueous Species Table'!L51*10000)/(Calculations!$C$12+Calculations!$C$9))*(1/(Calculations!$C$8-Calculations!$C$13)) - 'Aqueous Species Table'!O51*100000*0.0000005903)*41.8393))</f>
        <v>-5.0091954600039585</v>
      </c>
      <c r="H51" s="29">
        <f>IF(ISBLANK('Aqueous Species Options'!B51), "", IF('Aqueous Species Options'!L51 = 1, IF(ISBLANK('Aqueous Species Options'!H51), "", 'Aqueous Species Options'!H51), 'Aqueous Species Table'!M51 + 'Aqueous Species Table'!N51*10000*(1/(Calculations!$C$8-Calculations!$C$13))^2 + 'Aqueous Species Table'!O51*100000*Calculations!$C$8*Calculations!$C$7))</f>
        <v>-65.021001080450773</v>
      </c>
      <c r="I51" s="42">
        <f>IF(ISBLANK('Aqueous Species Options'!B51), "", IF('Aqueous Species Options'!L51=0, 'Aqueous Species Options'!N51, IF(OR(ISBLANK('Aqueous Species Options'!G51),'Aqueous Species Table'!O51="", 'Aqueous Species Table'!P51=""), "", IF('Aqueous Species Options'!B51="H+", 0, (CHOOSE('Aqueous Species Options'!M51+1,'Aqueous Species Options'!$V$4*ABS('Aqueous Species Table'!P51)+'Aqueous Species Options'!$W$4,'Aqueous Species Options'!$Z$4)*('Aqueous Species Options'!G51 + 'Aqueous Species Table'!O51*100000*0.0000005903*41.8393) + CHOOSE('Aqueous Species Options'!M51+1,'Aqueous Species Options'!$X$4*ABS('Aqueous Species Table'!P51)+'Aqueous Species Options'!$Y$4,'Aqueous Species Options'!$AA$4))*10 ) ) ) )</f>
        <v>5.8</v>
      </c>
      <c r="J51" s="42">
        <f>IF(ISBLANK('Aqueous Species Options'!B51), "", IF('Aqueous Species Options'!L51 = 0, 'Aqueous Species Options'!O51, IF('Aqueous Species Table'!I51="", "", IF('Aqueous Species Options'!B51="H+", 0, ((1.11*('Aqueous Species Options'!G51 + 'Aqueous Species Table'!O51*100000*0.0000005903*41.8393)+1.8)/41.8393 - 'Aqueous Species Table'!I51/10)*26.01 ) ) ) )</f>
        <v>5</v>
      </c>
      <c r="K51" s="42">
        <f>IF(ISBLANK('Aqueous Species Options'!B51), "", IF('Aqueous Species Options'!L51 = 0, 'Aqueous Species Options'!P51, IF('Aqueous Species Table'!I51="", "", IF('Aqueous Species Options'!B51="H+", 0, ('Aqueous Species Options'!G51/41.8393 + 'Aqueous Species Table'!O51*100000*0.0000005903 - 'Aqueous Species Table'!I51/10 - 'Aqueous Species Table'!J51*100/2601)*(298.15-228) - ('Aqueous Species Table'!L51*10000/2601) ) ) ) )</f>
        <v>-2</v>
      </c>
      <c r="L51" s="42">
        <f>IF(ISBLANK('Aqueous Species Options'!B51), "", IF('Aqueous Species Options'!L51 = 0, 'Aqueous Species Options'!Q51, IF('Aqueous Species Table'!J51="", "", IF('Aqueous Species Options'!B51="H+", 0, (-4.134*'Aqueous Species Table'!J51*100 - 27790)*0.0001) ) ) )</f>
        <v>-10.8</v>
      </c>
      <c r="M51" s="42">
        <f>IF(ISBLANK('Aqueous Species Options'!B51), "", IF('Aqueous Species Options'!L51=0, 'Aqueous Species Options'!R51, IF('Aqueous Species Table'!N51="", "", IF('Aqueous Species Options'!B51="H+", 0, 'Aqueous Species Options'!H51 - 'Aqueous Species Table'!O51*100000*(-0.000000309)*298.15 - 'Aqueous Species Table'!N51*10000/(298.15-228)^2 ) ) ) )</f>
        <v>18</v>
      </c>
      <c r="N51" s="42">
        <f>IF(ISBLANK('Aqueous Species Options'!B51), "", IF('Aqueous Species Options'!L51=0, 'Aqueous Species Options'!S51, IF(OR(ISBLANK('Aqueous Species Options'!H51), 'Aqueous Species Table'!O51=""), "", IF('Aqueous Species Options'!B51="H+", 0, 0.2037*'Aqueous Species Options'!H51 - 3.0346) ) ) )</f>
        <v>-20</v>
      </c>
      <c r="O51" s="42">
        <f>IF(ISBLANK('Aqueous Species Options'!B51), "", IF('Aqueous Species Options'!K51=0, 'Aqueous Species Options'!I51, IF(OR('Aqueous Species Options'!J51&gt;4,'Aqueous Species Options'!J51&lt;-4), "", IF('Aqueous Species Options'!B51="H+", 0, IF('Aqueous Species Options'!J51=0, -0.038, IF(ISBLANK('Aqueous Species Options'!F51), "", -1514.4*'Aqueous Species Options'!F51*0.00001 + SUM(({4,3,2,1,-1,-2,-3,-4}='Aqueous Species Options'!J51)*{2.1764,1.5793,1.0579,0.5517,1.6291,3.2127,4.8115,6.486}) ) ) ) ) ) )</f>
        <v>4.5999999999999996</v>
      </c>
      <c r="P51" s="1">
        <f>IF(ISBLANK('Aqueous Species Options'!J51), "", 'Aqueous Species Options'!J51)</f>
        <v>-2</v>
      </c>
      <c r="Q51" s="184" t="str">
        <f>IF(ISBLANK('Aqueous Species Options'!T51), "", 'Aqueous Species Options'!T51)</f>
        <v>Facq et al. (2014)</v>
      </c>
    </row>
    <row r="52" spans="2:17" ht="15" customHeight="1" x14ac:dyDescent="0.2">
      <c r="B52" s="9" t="str">
        <f>IF(ISBLANK('Aqueous Species Options'!B52), "", 'Aqueous Species Options'!B52)</f>
        <v>Cr+2</v>
      </c>
      <c r="C52" s="9" t="str">
        <f>IF(ISBLANK('Aqueous Species Options'!C52), "", 'Aqueous Species Options'!C52)</f>
        <v>Cr(+2)</v>
      </c>
      <c r="D52" s="2">
        <f>IF(ISBLANK('Aqueous Species Options'!D52), "", 'Aqueous Species Options'!D52)</f>
        <v>-39400</v>
      </c>
      <c r="E52" s="1">
        <f>IF(ISBLANK('Aqueous Species Options'!E52), "", 'Aqueous Species Options'!E52)</f>
        <v>-39000</v>
      </c>
      <c r="F52" s="139">
        <f>IF(ISBLANK('Aqueous Species Options'!F52), "", 'Aqueous Species Options'!F52)</f>
        <v>-24.2</v>
      </c>
      <c r="G52" s="29">
        <f>IF(ISBLANK('Aqueous Species Options'!B52), "", IF('Aqueous Species Options'!L52 = 1, IF(ISBLANK('Aqueous Species Options'!G52), "", 'Aqueous Species Options'!G52), ('Aqueous Species Table'!I52/10 + ('Aqueous Species Table'!J52*100)/(Calculations!$C$12+Calculations!$C$9) + ('Aqueous Species Table'!K52 + ('Aqueous Species Table'!L52*10000)/(Calculations!$C$12+Calculations!$C$9))*(1/(Calculations!$C$8-Calculations!$C$13)) - 'Aqueous Species Table'!O52*100000*0.0000005903)*41.8393))</f>
        <v>-22.3</v>
      </c>
      <c r="H52" s="29">
        <f>IF(ISBLANK('Aqueous Species Options'!B52), "", IF('Aqueous Species Options'!L52 = 1, IF(ISBLANK('Aqueous Species Options'!H52), "", 'Aqueous Species Options'!H52), 'Aqueous Species Table'!M52 + 'Aqueous Species Table'!N52*10000*(1/(Calculations!$C$8-Calculations!$C$13))^2 + 'Aqueous Species Table'!O52*100000*Calculations!$C$8*Calculations!$C$7))</f>
        <v>-7.3</v>
      </c>
      <c r="I52" s="42">
        <f>IF(ISBLANK('Aqueous Species Options'!B52), "", IF('Aqueous Species Options'!L52=0, 'Aqueous Species Options'!N52, IF(OR(ISBLANK('Aqueous Species Options'!G52),'Aqueous Species Table'!O52="", 'Aqueous Species Table'!P52=""), "", IF('Aqueous Species Options'!B52="H+", 0, (CHOOSE('Aqueous Species Options'!M52+1,'Aqueous Species Options'!$V$4*ABS('Aqueous Species Table'!P52)+'Aqueous Species Options'!$W$4,'Aqueous Species Options'!$Z$4)*('Aqueous Species Options'!G52 + 'Aqueous Species Table'!O52*100000*0.0000005903*41.8393) + CHOOSE('Aqueous Species Options'!M52+1,'Aqueous Species Options'!$X$4*ABS('Aqueous Species Table'!P52)+'Aqueous Species Options'!$Y$4,'Aqueous Species Options'!$AA$4))*10 ) ) ) )</f>
        <v>-0.95614988352428321</v>
      </c>
      <c r="J52" s="42">
        <f>IF(ISBLANK('Aqueous Species Options'!B52), "", IF('Aqueous Species Options'!L52 = 0, 'Aqueous Species Options'!O52, IF('Aqueous Species Table'!I52="", "", IF('Aqueous Species Options'!B52="H+", 0, ((1.11*('Aqueous Species Options'!G52 + 'Aqueous Species Table'!O52*100000*0.0000005903*41.8393)+1.8)/41.8393 - 'Aqueous Species Table'!I52/10)*26.01 ) ) ) )</f>
        <v>-9.3472375609667111</v>
      </c>
      <c r="K52" s="42">
        <f>IF(ISBLANK('Aqueous Species Options'!B52), "", IF('Aqueous Species Options'!L52 = 0, 'Aqueous Species Options'!P52, IF('Aqueous Species Table'!I52="", "", IF('Aqueous Species Options'!B52="H+", 0, ('Aqueous Species Options'!G52/41.8393 + 'Aqueous Species Table'!O52*100000*0.0000005903 - 'Aqueous Species Table'!I52/10 - 'Aqueous Species Table'!J52*100/2601)*(298.15-228) - ('Aqueous Species Table'!L52*10000/2601) ) ) ) )</f>
        <v>9.6427874118776611</v>
      </c>
      <c r="L52" s="42">
        <f>IF(ISBLANK('Aqueous Species Options'!B52), "", IF('Aqueous Species Options'!L52 = 0, 'Aqueous Species Options'!Q52, IF('Aqueous Species Table'!J52="", "", IF('Aqueous Species Options'!B52="H+", 0, (-4.134*'Aqueous Species Table'!J52*100 - 27790)*0.0001) ) ) )</f>
        <v>-2.3925851992296363</v>
      </c>
      <c r="M52" s="42">
        <f>IF(ISBLANK('Aqueous Species Options'!B52), "", IF('Aqueous Species Options'!L52=0, 'Aqueous Species Options'!R52, IF('Aqueous Species Table'!N52="", "", IF('Aqueous Species Options'!B52="H+", 0, 'Aqueous Species Options'!H52 - 'Aqueous Species Table'!O52*100000*(-0.000000309)*298.15 - 'Aqueous Species Table'!N52*10000/(298.15-228)^2 ) ) ) )</f>
        <v>15.050732020468352</v>
      </c>
      <c r="N52" s="42">
        <f>IF(ISBLANK('Aqueous Species Options'!B52), "", IF('Aqueous Species Options'!L52=0, 'Aqueous Species Options'!S52, IF(OR(ISBLANK('Aqueous Species Options'!H52), 'Aqueous Species Table'!O52=""), "", IF('Aqueous Species Options'!B52="H+", 0, 0.2037*'Aqueous Species Options'!H52 - 3.0346) ) ) )</f>
        <v>-4.5216099999999999</v>
      </c>
      <c r="O52" s="42">
        <f>IF(ISBLANK('Aqueous Species Options'!B52), "", IF('Aqueous Species Options'!K52=0, 'Aqueous Species Options'!I52, IF(OR('Aqueous Species Options'!J52&gt;4,'Aqueous Species Options'!J52&lt;-4), "", IF('Aqueous Species Options'!B52="H+", 0, IF('Aqueous Species Options'!J52=0, -0.038, IF(ISBLANK('Aqueous Species Options'!F52), "", -1514.4*'Aqueous Species Options'!F52*0.00001 + SUM(({4,3,2,1,-1,-2,-3,-4}='Aqueous Species Options'!J52)*{2.1764,1.5793,1.0579,0.5517,1.6291,3.2127,4.8115,6.486}) ) ) ) ) ) )</f>
        <v>1.4287000000000001</v>
      </c>
      <c r="P52" s="1">
        <f>IF(ISBLANK('Aqueous Species Options'!J52), "", 'Aqueous Species Options'!J52)</f>
        <v>2</v>
      </c>
      <c r="Q52" s="184" t="str">
        <f>IF(ISBLANK('Aqueous Species Options'!T52), "", 'Aqueous Species Options'!T52)</f>
        <v>Shock et al. (1997) revised with new predicted a1 for cations</v>
      </c>
    </row>
    <row r="53" spans="2:17" ht="15" customHeight="1" x14ac:dyDescent="0.2">
      <c r="B53" s="9" t="str">
        <f>IF(ISBLANK('Aqueous Species Options'!B53), "", 'Aqueous Species Options'!B53)</f>
        <v>Cr+3</v>
      </c>
      <c r="C53" s="9" t="str">
        <f>IF(ISBLANK('Aqueous Species Options'!C53), "", 'Aqueous Species Options'!C53)</f>
        <v>Cr(+3)</v>
      </c>
      <c r="D53" s="2">
        <f>IF(ISBLANK('Aqueous Species Options'!D53), "", 'Aqueous Species Options'!D53)</f>
        <v>-49300</v>
      </c>
      <c r="E53" s="1">
        <f>IF(ISBLANK('Aqueous Species Options'!E53), "", 'Aqueous Species Options'!E53)</f>
        <v>-60000</v>
      </c>
      <c r="F53" s="139">
        <f>IF(ISBLANK('Aqueous Species Options'!F53), "", 'Aqueous Species Options'!F53)</f>
        <v>-77</v>
      </c>
      <c r="G53" s="29">
        <f>IF(ISBLANK('Aqueous Species Options'!B53), "", IF('Aqueous Species Options'!L53 = 1, IF(ISBLANK('Aqueous Species Options'!G53), "", 'Aqueous Species Options'!G53), ('Aqueous Species Table'!I53/10 + ('Aqueous Species Table'!J53*100)/(Calculations!$C$12+Calculations!$C$9) + ('Aqueous Species Table'!K53 + ('Aqueous Species Table'!L53*10000)/(Calculations!$C$12+Calculations!$C$9))*(1/(Calculations!$C$8-Calculations!$C$13)) - 'Aqueous Species Table'!O53*100000*0.0000005903)*41.8393))</f>
        <v>-39.999995068836505</v>
      </c>
      <c r="H53" s="29">
        <f>IF(ISBLANK('Aqueous Species Options'!B53), "", IF('Aqueous Species Options'!L53 = 1, IF(ISBLANK('Aqueous Species Options'!H53), "", 'Aqueous Species Options'!H53), 'Aqueous Species Table'!M53 + 'Aqueous Species Table'!N53*10000*(1/(Calculations!$C$8-Calculations!$C$13))^2 + 'Aqueous Species Table'!O53*100000*Calculations!$C$8*Calculations!$C$7))</f>
        <v>-22.900060703070334</v>
      </c>
      <c r="I53" s="42">
        <f>IF(ISBLANK('Aqueous Species Options'!B53), "", IF('Aqueous Species Options'!L53=0, 'Aqueous Species Options'!N53, IF(OR(ISBLANK('Aqueous Species Options'!G53),'Aqueous Species Table'!O53="", 'Aqueous Species Table'!P53=""), "", IF('Aqueous Species Options'!B53="H+", 0, (CHOOSE('Aqueous Species Options'!M53+1,'Aqueous Species Options'!$V$4*ABS('Aqueous Species Table'!P53)+'Aqueous Species Options'!$W$4,'Aqueous Species Options'!$Z$4)*('Aqueous Species Options'!G53 + 'Aqueous Species Table'!O53*100000*0.0000005903*41.8393) + CHOOSE('Aqueous Species Options'!M53+1,'Aqueous Species Options'!$X$4*ABS('Aqueous Species Table'!P53)+'Aqueous Species Options'!$Y$4,'Aqueous Species Options'!$AA$4))*10 ) ) ) )</f>
        <v>-7.2904512351846318</v>
      </c>
      <c r="J53" s="42">
        <f>IF(ISBLANK('Aqueous Species Options'!B53), "", IF('Aqueous Species Options'!L53 = 0, 'Aqueous Species Options'!O53, IF('Aqueous Species Table'!I53="", "", IF('Aqueous Species Options'!B53="H+", 0, ((1.11*('Aqueous Species Options'!G53 + 'Aqueous Species Table'!O53*100000*0.0000005903*41.8393)+1.8)/41.8393 - 'Aqueous Species Table'!I53/10)*26.01 ) ) ) )</f>
        <v>-2.8502464743373253</v>
      </c>
      <c r="K53" s="42">
        <f>IF(ISBLANK('Aqueous Species Options'!B53), "", IF('Aqueous Species Options'!L53 = 0, 'Aqueous Species Options'!P53, IF('Aqueous Species Table'!I53="", "", IF('Aqueous Species Options'!B53="H+", 0, ('Aqueous Species Options'!G53/41.8393 + 'Aqueous Species Table'!O53*100000*0.0000005903 - 'Aqueous Species Table'!I53/10 - 'Aqueous Species Table'!J53*100/2601)*(298.15-228) - ('Aqueous Species Table'!L53*10000/2601) ) ) ) )</f>
        <v>13.342414526310122</v>
      </c>
      <c r="L53" s="42">
        <f>IF(ISBLANK('Aqueous Species Options'!B53), "", IF('Aqueous Species Options'!L53 = 0, 'Aqueous Species Options'!Q53, IF('Aqueous Species Table'!J53="", "", IF('Aqueous Species Options'!B53="H+", 0, (-4.134*'Aqueous Species Table'!J53*100 - 27790)*0.0001) ) ) )</f>
        <v>-2.6611708107508951</v>
      </c>
      <c r="M53" s="42">
        <f>IF(ISBLANK('Aqueous Species Options'!B53), "", IF('Aqueous Species Options'!L53=0, 'Aqueous Species Options'!R53, IF('Aqueous Species Table'!N53="", "", IF('Aqueous Species Options'!B53="H+", 0, 'Aqueous Species Options'!H53 - 'Aqueous Species Table'!O53*100000*(-0.000000309)*298.15 - 'Aqueous Species Table'!N53*10000/(298.15-228)^2 ) ) ) )</f>
        <v>17.991689300070114</v>
      </c>
      <c r="N53" s="42">
        <f>IF(ISBLANK('Aqueous Species Options'!B53), "", IF('Aqueous Species Options'!L53=0, 'Aqueous Species Options'!S53, IF(OR(ISBLANK('Aqueous Species Options'!H53), 'Aqueous Species Table'!O53=""), "", IF('Aqueous Species Options'!B53="H+", 0, 0.2037*'Aqueous Species Options'!H53 - 3.0346) ) ) )</f>
        <v>-7.6993423652154274</v>
      </c>
      <c r="O53" s="42">
        <f>IF(ISBLANK('Aqueous Species Options'!B53), "", IF('Aqueous Species Options'!K53=0, 'Aqueous Species Options'!I53, IF(OR('Aqueous Species Options'!J53&gt;4,'Aqueous Species Options'!J53&lt;-4), "", IF('Aqueous Species Options'!B53="H+", 0, IF('Aqueous Species Options'!J53=0, -0.038, IF(ISBLANK('Aqueous Species Options'!F53), "", -1514.4*'Aqueous Species Options'!F53*0.00001 + SUM(({4,3,2,1,-1,-2,-3,-4}='Aqueous Species Options'!J53)*{2.1764,1.5793,1.0579,0.5517,1.6291,3.2127,4.8115,6.486}) ) ) ) ) ) )</f>
        <v>2.7403</v>
      </c>
      <c r="P53" s="1">
        <f>IF(ISBLANK('Aqueous Species Options'!J53), "", 'Aqueous Species Options'!J53)</f>
        <v>3</v>
      </c>
      <c r="Q53" s="184" t="str">
        <f>IF(ISBLANK('Aqueous Species Options'!T53), "", 'Aqueous Species Options'!T53)</f>
        <v>Shock et al. (1997) revised with new predicted a1 for cations</v>
      </c>
    </row>
    <row r="54" spans="2:17" ht="15" customHeight="1" x14ac:dyDescent="0.2">
      <c r="B54" s="9" t="str">
        <f>IF(ISBLANK('Aqueous Species Options'!B54), "", 'Aqueous Species Options'!B54)</f>
        <v>Cr2O7-2</v>
      </c>
      <c r="C54" s="9" t="str">
        <f>IF(ISBLANK('Aqueous Species Options'!C54), "", 'Aqueous Species Options'!C54)</f>
        <v>Cr2O7(-2)</v>
      </c>
      <c r="D54" s="2">
        <f>IF(ISBLANK('Aqueous Species Options'!D54), "", 'Aqueous Species Options'!D54)</f>
        <v>-311000</v>
      </c>
      <c r="E54" s="1">
        <f>IF(ISBLANK('Aqueous Species Options'!E54), "", 'Aqueous Species Options'!E54)</f>
        <v>-356200</v>
      </c>
      <c r="F54" s="139">
        <f>IF(ISBLANK('Aqueous Species Options'!F54), "", 'Aqueous Species Options'!F54)</f>
        <v>62.6</v>
      </c>
      <c r="G54" s="29">
        <f>IF(ISBLANK('Aqueous Species Options'!B54), "", IF('Aqueous Species Options'!L54 = 1, IF(ISBLANK('Aqueous Species Options'!G54), "", 'Aqueous Species Options'!G54), ('Aqueous Species Table'!I54/10 + ('Aqueous Species Table'!J54*100)/(Calculations!$C$12+Calculations!$C$9) + ('Aqueous Species Table'!K54 + ('Aqueous Species Table'!L54*10000)/(Calculations!$C$12+Calculations!$C$9))*(1/(Calculations!$C$8-Calculations!$C$13)) - 'Aqueous Species Table'!O54*100000*0.0000005903)*41.8393))</f>
        <v>73.000200778376239</v>
      </c>
      <c r="H54" s="29">
        <f>IF(ISBLANK('Aqueous Species Options'!B54), "", IF('Aqueous Species Options'!L54 = 1, IF(ISBLANK('Aqueous Species Options'!H54), "", 'Aqueous Species Options'!H54), 'Aqueous Species Table'!M54 + 'Aqueous Species Table'!N54*10000*(1/(Calculations!$C$8-Calculations!$C$13))^2 + 'Aqueous Species Table'!O54*100000*Calculations!$C$8*Calculations!$C$7))</f>
        <v>-20.399744267722458</v>
      </c>
      <c r="I54" s="42">
        <f>IF(ISBLANK('Aqueous Species Options'!B54), "", IF('Aqueous Species Options'!L54=0, 'Aqueous Species Options'!N54, IF(OR(ISBLANK('Aqueous Species Options'!G54),'Aqueous Species Table'!O54="", 'Aqueous Species Table'!P54=""), "", IF('Aqueous Species Options'!B54="H+", 0, (CHOOSE('Aqueous Species Options'!M54+1,'Aqueous Species Options'!$V$4*ABS('Aqueous Species Table'!P54)+'Aqueous Species Options'!$W$4,'Aqueous Species Options'!$Z$4)*('Aqueous Species Options'!G54 + 'Aqueous Species Table'!O54*100000*0.0000005903*41.8393) + CHOOSE('Aqueous Species Options'!M54+1,'Aqueous Species Options'!$X$4*ABS('Aqueous Species Table'!P54)+'Aqueous Species Options'!$Y$4,'Aqueous Species Options'!$AA$4))*10 ) ) ) )</f>
        <v>16.7843789431994</v>
      </c>
      <c r="J54" s="42">
        <f>IF(ISBLANK('Aqueous Species Options'!B54), "", IF('Aqueous Species Options'!L54 = 0, 'Aqueous Species Options'!O54, IF('Aqueous Species Table'!I54="", "", IF('Aqueous Species Options'!B54="H+", 0, ((1.11*('Aqueous Species Options'!G54 + 'Aqueous Species Table'!O54*100000*0.0000005903*41.8393)+1.8)/41.8393 - 'Aqueous Species Table'!I54/10)*26.01 ) ) ) )</f>
        <v>11.697257517211119</v>
      </c>
      <c r="K54" s="42">
        <f>IF(ISBLANK('Aqueous Species Options'!B54), "", IF('Aqueous Species Options'!L54 = 0, 'Aqueous Species Options'!P54, IF('Aqueous Species Table'!I54="", "", IF('Aqueous Species Options'!B54="H+", 0, ('Aqueous Species Options'!G54/41.8393 + 'Aqueous Species Table'!O54*100000*0.0000005903 - 'Aqueous Species Table'!I54/10 - 'Aqueous Species Table'!J54*100/2601)*(298.15-228) - ('Aqueous Species Table'!L54*10000/2601) ) ) ) )</f>
        <v>-4.9699388269593427</v>
      </c>
      <c r="L54" s="42">
        <f>IF(ISBLANK('Aqueous Species Options'!B54), "", IF('Aqueous Species Options'!L54 = 0, 'Aqueous Species Options'!Q54, IF('Aqueous Species Table'!J54="", "", IF('Aqueous Species Options'!B54="H+", 0, (-4.134*'Aqueous Species Table'!J54*100 - 27790)*0.0001) ) ) )</f>
        <v>-3.2625646257615077</v>
      </c>
      <c r="M54" s="42">
        <f>IF(ISBLANK('Aqueous Species Options'!B54), "", IF('Aqueous Species Options'!L54=0, 'Aqueous Species Options'!R54, IF('Aqueous Species Table'!N54="", "", IF('Aqueous Species Options'!B54="H+", 0, 'Aqueous Species Options'!H54 - 'Aqueous Species Table'!O54*100000*(-0.000000309)*298.15 - 'Aqueous Species Table'!N54*10000/(298.15-228)^2 ) ) ) )</f>
        <v>15.081853500639481</v>
      </c>
      <c r="N54" s="42">
        <f>IF(ISBLANK('Aqueous Species Options'!B54), "", IF('Aqueous Species Options'!L54=0, 'Aqueous Species Options'!S54, IF(OR(ISBLANK('Aqueous Species Options'!H54), 'Aqueous Species Table'!O54=""), "", IF('Aqueous Species Options'!B54="H+", 0, 0.2037*'Aqueous Species Options'!H54 - 3.0346) ) ) )</f>
        <v>-7.1900279073350646</v>
      </c>
      <c r="O54" s="42">
        <f>IF(ISBLANK('Aqueous Species Options'!B54), "", IF('Aqueous Species Options'!K54=0, 'Aqueous Species Options'!I54, IF(OR('Aqueous Species Options'!J54&gt;4,'Aqueous Species Options'!J54&lt;-4), "", IF('Aqueous Species Options'!B54="H+", 0, IF('Aqueous Species Options'!J54=0, -0.038, IF(ISBLANK('Aqueous Species Options'!F54), "", -1514.4*'Aqueous Species Options'!F54*0.00001 + SUM(({4,3,2,1,-1,-2,-3,-4}='Aqueous Species Options'!J54)*{2.1764,1.5793,1.0579,0.5517,1.6291,3.2127,4.8115,6.486}) ) ) ) ) ) )</f>
        <v>2.2654000000000001</v>
      </c>
      <c r="P54" s="1">
        <f>IF(ISBLANK('Aqueous Species Options'!J54), "", 'Aqueous Species Options'!J54)</f>
        <v>-2</v>
      </c>
      <c r="Q54" s="184" t="str">
        <f>IF(ISBLANK('Aqueous Species Options'!T54), "", 'Aqueous Species Options'!T54)</f>
        <v>Shock et al. (1997) revised with new predicted a1 for cations</v>
      </c>
    </row>
    <row r="55" spans="2:17" ht="15" customHeight="1" x14ac:dyDescent="0.2">
      <c r="B55" s="9" t="str">
        <f>IF(ISBLANK('Aqueous Species Options'!B55), "", 'Aqueous Species Options'!B55)</f>
        <v>CrO4-2</v>
      </c>
      <c r="C55" s="9" t="str">
        <f>IF(ISBLANK('Aqueous Species Options'!C55), "", 'Aqueous Species Options'!C55)</f>
        <v>CrO4(-2)</v>
      </c>
      <c r="D55" s="2">
        <f>IF(ISBLANK('Aqueous Species Options'!D55), "", 'Aqueous Species Options'!D55)</f>
        <v>-174800</v>
      </c>
      <c r="E55" s="1">
        <f>IF(ISBLANK('Aqueous Species Options'!E55), "", 'Aqueous Species Options'!E55)</f>
        <v>-210930</v>
      </c>
      <c r="F55" s="139">
        <f>IF(ISBLANK('Aqueous Species Options'!F55), "", 'Aqueous Species Options'!F55)</f>
        <v>13.8</v>
      </c>
      <c r="G55" s="29">
        <f>IF(ISBLANK('Aqueous Species Options'!B55), "", IF('Aqueous Species Options'!L55 = 1, IF(ISBLANK('Aqueous Species Options'!G55), "", 'Aqueous Species Options'!G55), ('Aqueous Species Table'!I55/10 + ('Aqueous Species Table'!J55*100)/(Calculations!$C$12+Calculations!$C$9) + ('Aqueous Species Table'!K55 + ('Aqueous Species Table'!L55*10000)/(Calculations!$C$12+Calculations!$C$9))*(1/(Calculations!$C$8-Calculations!$C$13)) - 'Aqueous Species Table'!O55*100000*0.0000005903)*41.8393))</f>
        <v>19.799937438243095</v>
      </c>
      <c r="H55" s="29">
        <f>IF(ISBLANK('Aqueous Species Options'!B55), "", IF('Aqueous Species Options'!L55 = 1, IF(ISBLANK('Aqueous Species Options'!H55), "", 'Aqueous Species Options'!H55), 'Aqueous Species Table'!M55 + 'Aqueous Species Table'!N55*10000*(1/(Calculations!$C$8-Calculations!$C$13))^2 + 'Aqueous Species Table'!O55*100000*Calculations!$C$8*Calculations!$C$7))</f>
        <v>-62.600318105300204</v>
      </c>
      <c r="I55" s="42">
        <f>IF(ISBLANK('Aqueous Species Options'!B55), "", IF('Aqueous Species Options'!L55=0, 'Aqueous Species Options'!N55, IF(OR(ISBLANK('Aqueous Species Options'!G55),'Aqueous Species Table'!O55="", 'Aqueous Species Table'!P55=""), "", IF('Aqueous Species Options'!B55="H+", 0, (CHOOSE('Aqueous Species Options'!M55+1,'Aqueous Species Options'!$V$4*ABS('Aqueous Species Table'!P55)+'Aqueous Species Options'!$W$4,'Aqueous Species Options'!$Z$4)*('Aqueous Species Options'!G55 + 'Aqueous Species Table'!O55*100000*0.0000005903*41.8393) + CHOOSE('Aqueous Species Options'!M55+1,'Aqueous Species Options'!$X$4*ABS('Aqueous Species Table'!P55)+'Aqueous Species Options'!$Y$4,'Aqueous Species Options'!$AA$4))*10 ) ) ) )</f>
        <v>10.039251099933351</v>
      </c>
      <c r="J55" s="42">
        <f>IF(ISBLANK('Aqueous Species Options'!B55), "", IF('Aqueous Species Options'!L55 = 0, 'Aqueous Species Options'!O55, IF('Aqueous Species Table'!I55="", "", IF('Aqueous Species Options'!B55="H+", 0, ((1.11*('Aqueous Species Options'!G55 + 'Aqueous Species Table'!O55*100000*0.0000005903*41.8393)+1.8)/41.8393 - 'Aqueous Species Table'!I55/10)*26.01 ) ) ) )</f>
        <v>-6.21332774584448</v>
      </c>
      <c r="K55" s="42">
        <f>IF(ISBLANK('Aqueous Species Options'!B55), "", IF('Aqueous Species Options'!L55 = 0, 'Aqueous Species Options'!P55, IF('Aqueous Species Table'!I55="", "", IF('Aqueous Species Options'!B55="H+", 0, ('Aqueous Species Options'!G55/41.8393 + 'Aqueous Species Table'!O55*100000*0.0000005903 - 'Aqueous Species Table'!I55/10 - 'Aqueous Species Table'!J55*100/2601)*(298.15-228) - ('Aqueous Species Table'!L55*10000/2601) ) ) ) )</f>
        <v>1.6594894368767825</v>
      </c>
      <c r="L55" s="42">
        <f>IF(ISBLANK('Aqueous Species Options'!B55), "", IF('Aqueous Species Options'!L55 = 0, 'Aqueous Species Options'!Q55, IF('Aqueous Species Table'!J55="", "", IF('Aqueous Species Options'!B55="H+", 0, (-4.134*'Aqueous Species Table'!J55*100 - 27790)*0.0001) ) ) )</f>
        <v>-2.5221410309867891</v>
      </c>
      <c r="M55" s="42">
        <f>IF(ISBLANK('Aqueous Species Options'!B55), "", IF('Aqueous Species Options'!L55=0, 'Aqueous Species Options'!R55, IF('Aqueous Species Table'!N55="", "", IF('Aqueous Species Options'!B55="H+", 0, 'Aqueous Species Options'!H55 - 'Aqueous Species Table'!O55*100000*(-0.000000309)*298.15 - 'Aqueous Species Table'!N55*10000/(298.15-228)^2 ) ) ) )</f>
        <v>-2.8604244722521557</v>
      </c>
      <c r="N55" s="42">
        <f>IF(ISBLANK('Aqueous Species Options'!B55), "", IF('Aqueous Species Options'!L55=0, 'Aqueous Species Options'!S55, IF(OR(ISBLANK('Aqueous Species Options'!H55), 'Aqueous Species Table'!O55=""), "", IF('Aqueous Species Options'!B55="H+", 0, 0.2037*'Aqueous Species Options'!H55 - 3.0346) ) ) )</f>
        <v>-15.78628479804965</v>
      </c>
      <c r="O55" s="42">
        <f>IF(ISBLANK('Aqueous Species Options'!B55), "", IF('Aqueous Species Options'!K55=0, 'Aqueous Species Options'!I55, IF(OR('Aqueous Species Options'!J55&gt;4,'Aqueous Species Options'!J55&lt;-4), "", IF('Aqueous Species Options'!B55="H+", 0, IF('Aqueous Species Options'!J55=0, -0.038, IF(ISBLANK('Aqueous Species Options'!F55), "", -1514.4*'Aqueous Species Options'!F55*0.00001 + SUM(({4,3,2,1,-1,-2,-3,-4}='Aqueous Species Options'!J55)*{2.1764,1.5793,1.0579,0.5517,1.6291,3.2127,4.8115,6.486}) ) ) ) ) ) )</f>
        <v>3.0024000000000002</v>
      </c>
      <c r="P55" s="1">
        <f>IF(ISBLANK('Aqueous Species Options'!J55), "", 'Aqueous Species Options'!J55)</f>
        <v>-2</v>
      </c>
      <c r="Q55" s="184" t="str">
        <f>IF(ISBLANK('Aqueous Species Options'!T55), "", 'Aqueous Species Options'!T55)</f>
        <v>Shock et al. (1997) revised with new predicted a1 for cations</v>
      </c>
    </row>
    <row r="56" spans="2:17" ht="15" customHeight="1" x14ac:dyDescent="0.2">
      <c r="B56" s="9" t="str">
        <f>IF(ISBLANK('Aqueous Species Options'!B56), "", 'Aqueous Species Options'!B56)</f>
        <v>Cs+</v>
      </c>
      <c r="C56" s="9" t="str">
        <f>IF(ISBLANK('Aqueous Species Options'!C56), "", 'Aqueous Species Options'!C56)</f>
        <v>Cs(+)</v>
      </c>
      <c r="D56" s="2">
        <f>IF(ISBLANK('Aqueous Species Options'!D56), "", 'Aqueous Species Options'!D56)</f>
        <v>-69710</v>
      </c>
      <c r="E56" s="1">
        <f>IF(ISBLANK('Aqueous Species Options'!E56), "", 'Aqueous Species Options'!E56)</f>
        <v>-61670</v>
      </c>
      <c r="F56" s="139">
        <f>IF(ISBLANK('Aqueous Species Options'!F56), "", 'Aqueous Species Options'!F56)</f>
        <v>31.75</v>
      </c>
      <c r="G56" s="29">
        <f>IF(ISBLANK('Aqueous Species Options'!B56), "", IF('Aqueous Species Options'!L56 = 1, IF(ISBLANK('Aqueous Species Options'!G56), "", 'Aqueous Species Options'!G56), ('Aqueous Species Table'!I56/10 + ('Aqueous Species Table'!J56*100)/(Calculations!$C$12+Calculations!$C$9) + ('Aqueous Species Table'!K56 + ('Aqueous Species Table'!L56*10000)/(Calculations!$C$12+Calculations!$C$9))*(1/(Calculations!$C$8-Calculations!$C$13)) - 'Aqueous Species Table'!O56*100000*0.0000005903)*41.8393))</f>
        <v>21.420141142941581</v>
      </c>
      <c r="H56" s="29">
        <f>IF(ISBLANK('Aqueous Species Options'!B56), "", IF('Aqueous Species Options'!L56 = 1, IF(ISBLANK('Aqueous Species Options'!H56), "", 'Aqueous Species Options'!H56), 'Aqueous Species Table'!M56 + 'Aqueous Species Table'!N56*10000*(1/(Calculations!$C$8-Calculations!$C$13))^2 + 'Aqueous Species Table'!O56*100000*Calculations!$C$8*Calculations!$C$7))</f>
        <v>-6.2834442800732866</v>
      </c>
      <c r="I56" s="42">
        <f>IF(ISBLANK('Aqueous Species Options'!B56), "", IF('Aqueous Species Options'!L56=0, 'Aqueous Species Options'!N56, IF(OR(ISBLANK('Aqueous Species Options'!G56),'Aqueous Species Table'!O56="", 'Aqueous Species Table'!P56=""), "", IF('Aqueous Species Options'!B56="H+", 0, (CHOOSE('Aqueous Species Options'!M56+1,'Aqueous Species Options'!$V$4*ABS('Aqueous Species Table'!P56)+'Aqueous Species Options'!$W$4,'Aqueous Species Options'!$Z$4)*('Aqueous Species Options'!G56 + 'Aqueous Species Table'!O56*100000*0.0000005903*41.8393) + CHOOSE('Aqueous Species Options'!M56+1,'Aqueous Species Options'!$X$4*ABS('Aqueous Species Table'!P56)+'Aqueous Species Options'!$Y$4,'Aqueous Species Options'!$AA$4))*10 ) ) ) )</f>
        <v>6.1475</v>
      </c>
      <c r="J56" s="42">
        <f>IF(ISBLANK('Aqueous Species Options'!B56), "", IF('Aqueous Species Options'!L56 = 0, 'Aqueous Species Options'!O56, IF('Aqueous Species Table'!I56="", "", IF('Aqueous Species Options'!B56="H+", 0, ((1.11*('Aqueous Species Options'!G56 + 'Aqueous Species Table'!O56*100000*0.0000005903*41.8393)+1.8)/41.8393 - 'Aqueous Species Table'!I56/10)*26.01 ) ) ) )</f>
        <v>-0.13089999999999999</v>
      </c>
      <c r="K56" s="42">
        <f>IF(ISBLANK('Aqueous Species Options'!B56), "", IF('Aqueous Species Options'!L56 = 0, 'Aqueous Species Options'!P56, IF('Aqueous Species Table'!I56="", "", IF('Aqueous Species Options'!B56="H+", 0, ('Aqueous Species Options'!G56/41.8393 + 'Aqueous Species Table'!O56*100000*0.0000005903 - 'Aqueous Species Table'!I56/10 - 'Aqueous Species Table'!J56*100/2601)*(298.15-228) - ('Aqueous Species Table'!L56*10000/2601) ) ) ) )</f>
        <v>4.2093999999999996</v>
      </c>
      <c r="L56" s="42">
        <f>IF(ISBLANK('Aqueous Species Options'!B56), "", IF('Aqueous Species Options'!L56 = 0, 'Aqueous Species Options'!Q56, IF('Aqueous Species Table'!J56="", "", IF('Aqueous Species Options'!B56="H+", 0, (-4.134*'Aqueous Species Table'!J56*100 - 27790)*0.0001) ) ) )</f>
        <v>-2.7736000000000001</v>
      </c>
      <c r="M56" s="42">
        <f>IF(ISBLANK('Aqueous Species Options'!B56), "", IF('Aqueous Species Options'!L56=0, 'Aqueous Species Options'!R56, IF('Aqueous Species Table'!N56="", "", IF('Aqueous Species Options'!B56="H+", 0, 'Aqueous Species Options'!H56 - 'Aqueous Species Table'!O56*100000*(-0.000000309)*298.15 - 'Aqueous Species Table'!N56*10000/(298.15-228)^2 ) ) ) )</f>
        <v>6.27</v>
      </c>
      <c r="N56" s="42">
        <f>IF(ISBLANK('Aqueous Species Options'!B56), "", IF('Aqueous Species Options'!L56=0, 'Aqueous Species Options'!S56, IF(OR(ISBLANK('Aqueous Species Options'!H56), 'Aqueous Species Table'!O56=""), "", IF('Aqueous Species Options'!B56="H+", 0, 0.2037*'Aqueous Species Options'!H56 - 3.0346) ) ) )</f>
        <v>-5.7359999999999998</v>
      </c>
      <c r="O56" s="42">
        <f>IF(ISBLANK('Aqueous Species Options'!B56), "", IF('Aqueous Species Options'!K56=0, 'Aqueous Species Options'!I56, IF(OR('Aqueous Species Options'!J56&gt;4,'Aqueous Species Options'!J56&lt;-4), "", IF('Aqueous Species Options'!B56="H+", 0, IF('Aqueous Species Options'!J56=0, -0.038, IF(ISBLANK('Aqueous Species Options'!F56), "", -1514.4*'Aqueous Species Options'!F56*0.00001 + SUM(({4,3,2,1,-1,-2,-3,-4}='Aqueous Species Options'!J56)*{2.1764,1.5793,1.0579,0.5517,1.6291,3.2127,4.8115,6.486}) ) ) ) ) ) )</f>
        <v>9.74E-2</v>
      </c>
      <c r="P56" s="1">
        <f>IF(ISBLANK('Aqueous Species Options'!J56), "", 'Aqueous Species Options'!J56)</f>
        <v>1</v>
      </c>
      <c r="Q56" s="184" t="str">
        <f>IF(ISBLANK('Aqueous Species Options'!T56), "", 'Aqueous Species Options'!T56)</f>
        <v>Shock &amp; Helgeson (1988)</v>
      </c>
    </row>
    <row r="57" spans="2:17" ht="15" customHeight="1" x14ac:dyDescent="0.2">
      <c r="B57" s="9" t="str">
        <f>IF(ISBLANK('Aqueous Species Options'!B57), "", 'Aqueous Species Options'!B57)</f>
        <v>Cu+</v>
      </c>
      <c r="C57" s="9" t="str">
        <f>IF(ISBLANK('Aqueous Species Options'!C57), "", 'Aqueous Species Options'!C57)</f>
        <v>Cu(+)</v>
      </c>
      <c r="D57" s="2">
        <f>IF(ISBLANK('Aqueous Species Options'!D57), "", 'Aqueous Species Options'!D57)</f>
        <v>11950</v>
      </c>
      <c r="E57" s="1">
        <f>IF(ISBLANK('Aqueous Species Options'!E57), "", 'Aqueous Species Options'!E57)</f>
        <v>17132</v>
      </c>
      <c r="F57" s="139">
        <f>IF(ISBLANK('Aqueous Species Options'!F57), "", 'Aqueous Species Options'!F57)</f>
        <v>9.6999999999999993</v>
      </c>
      <c r="G57" s="29">
        <f>IF(ISBLANK('Aqueous Species Options'!B57), "", IF('Aqueous Species Options'!L57 = 1, IF(ISBLANK('Aqueous Species Options'!G57), "", 'Aqueous Species Options'!G57), ('Aqueous Species Table'!I57/10 + ('Aqueous Species Table'!J57*100)/(Calculations!$C$12+Calculations!$C$9) + ('Aqueous Species Table'!K57 + ('Aqueous Species Table'!L57*10000)/(Calculations!$C$12+Calculations!$C$9))*(1/(Calculations!$C$8-Calculations!$C$13)) - 'Aqueous Species Table'!O57*100000*0.0000005903)*41.8393))</f>
        <v>-8.0000338774825117</v>
      </c>
      <c r="H57" s="29">
        <f>IF(ISBLANK('Aqueous Species Options'!B57), "", IF('Aqueous Species Options'!L57 = 1, IF(ISBLANK('Aqueous Species Options'!H57), "", 'Aqueous Species Options'!H57), 'Aqueous Species Table'!M57 + 'Aqueous Species Table'!N57*10000*(1/(Calculations!$C$8-Calculations!$C$13))^2 + 'Aqueous Species Table'!O57*100000*Calculations!$C$8*Calculations!$C$7))</f>
        <v>13.700250288318903</v>
      </c>
      <c r="I57" s="42">
        <f>IF(ISBLANK('Aqueous Species Options'!B57), "", IF('Aqueous Species Options'!L57=0, 'Aqueous Species Options'!N57, IF(OR(ISBLANK('Aqueous Species Options'!G57),'Aqueous Species Table'!O57="", 'Aqueous Species Table'!P57=""), "", IF('Aqueous Species Options'!B57="H+", 0, (CHOOSE('Aqueous Species Options'!M57+1,'Aqueous Species Options'!$V$4*ABS('Aqueous Species Table'!P57)+'Aqueous Species Options'!$W$4,'Aqueous Species Options'!$Z$4)*('Aqueous Species Options'!G57 + 'Aqueous Species Table'!O57*100000*0.0000005903*41.8393) + CHOOSE('Aqueous Species Options'!M57+1,'Aqueous Species Options'!$X$4*ABS('Aqueous Species Table'!P57)+'Aqueous Species Options'!$Y$4,'Aqueous Species Options'!$AA$4))*10 ) ) ) )</f>
        <v>1.2957587448765611</v>
      </c>
      <c r="J57" s="42">
        <f>IF(ISBLANK('Aqueous Species Options'!B57), "", IF('Aqueous Species Options'!L57 = 0, 'Aqueous Species Options'!O57, IF('Aqueous Species Table'!I57="", "", IF('Aqueous Species Options'!B57="H+", 0, ((1.11*('Aqueous Species Options'!G57 + 'Aqueous Species Table'!O57*100000*0.0000005903*41.8393)+1.8)/41.8393 - 'Aqueous Species Table'!I57/10)*26.01 ) ) ) )</f>
        <v>-7.2005773886796218</v>
      </c>
      <c r="K57" s="42">
        <f>IF(ISBLANK('Aqueous Species Options'!B57), "", IF('Aqueous Species Options'!L57 = 0, 'Aqueous Species Options'!P57, IF('Aqueous Species Table'!I57="", "", IF('Aqueous Species Options'!B57="H+", 0, ('Aqueous Species Options'!G57/41.8393 + 'Aqueous Species Table'!O57*100000*0.0000005903 - 'Aqueous Species Table'!I57/10 - 'Aqueous Species Table'!J57*100/2601)*(298.15-228) - ('Aqueous Species Table'!L57*10000/2601) ) ) ) )</f>
        <v>7.8447460385269023</v>
      </c>
      <c r="L57" s="42">
        <f>IF(ISBLANK('Aqueous Species Options'!B57), "", IF('Aqueous Species Options'!L57 = 0, 'Aqueous Species Options'!Q57, IF('Aqueous Species Table'!J57="", "", IF('Aqueous Species Options'!B57="H+", 0, (-4.134*'Aqueous Species Table'!J57*100 - 27790)*0.0001) ) ) )</f>
        <v>-2.4813281307519843</v>
      </c>
      <c r="M57" s="42">
        <f>IF(ISBLANK('Aqueous Species Options'!B57), "", IF('Aqueous Species Options'!L57=0, 'Aqueous Species Options'!R57, IF('Aqueous Species Table'!N57="", "", IF('Aqueous Species Options'!B57="H+", 0, 'Aqueous Species Options'!H57 - 'Aqueous Species Table'!O57*100000*(-0.000000309)*298.15 - 'Aqueous Species Table'!N57*10000/(298.15-228)^2 ) ) ) )</f>
        <v>17.283016717042933</v>
      </c>
      <c r="N57" s="42">
        <f>IF(ISBLANK('Aqueous Species Options'!B57), "", IF('Aqueous Species Options'!L57=0, 'Aqueous Species Options'!S57, IF(OR(ISBLANK('Aqueous Species Options'!H57), 'Aqueous Species Table'!O57=""), "", IF('Aqueous Species Options'!B57="H+", 0, 0.2037*'Aqueous Species Options'!H57 - 3.0346) ) ) )</f>
        <v>-0.24385901626943962</v>
      </c>
      <c r="O57" s="42">
        <f>IF(ISBLANK('Aqueous Species Options'!B57), "", IF('Aqueous Species Options'!K57=0, 'Aqueous Species Options'!I57, IF(OR('Aqueous Species Options'!J57&gt;4,'Aqueous Species Options'!J57&lt;-4), "", IF('Aqueous Species Options'!B57="H+", 0, IF('Aqueous Species Options'!J57=0, -0.038, IF(ISBLANK('Aqueous Species Options'!F57), "", -1514.4*'Aqueous Species Options'!F57*0.00001 + SUM(({4,3,2,1,-1,-2,-3,-4}='Aqueous Species Options'!J57)*{2.1764,1.5793,1.0579,0.5517,1.6291,3.2127,4.8115,6.486}) ) ) ) ) ) )</f>
        <v>0.33510000000000001</v>
      </c>
      <c r="P57" s="1">
        <f>IF(ISBLANK('Aqueous Species Options'!J57), "", 'Aqueous Species Options'!J57)</f>
        <v>1</v>
      </c>
      <c r="Q57" s="184" t="str">
        <f>IF(ISBLANK('Aqueous Species Options'!T57), "", 'Aqueous Species Options'!T57)</f>
        <v>Shock et al. (1997) revised with new predicted a1 for cations</v>
      </c>
    </row>
    <row r="58" spans="2:17" ht="15" customHeight="1" x14ac:dyDescent="0.2">
      <c r="B58" s="9" t="str">
        <f>IF(ISBLANK('Aqueous Species Options'!B58), "", 'Aqueous Species Options'!B58)</f>
        <v>Cu+2</v>
      </c>
      <c r="C58" s="9" t="str">
        <f>IF(ISBLANK('Aqueous Species Options'!C58), "", 'Aqueous Species Options'!C58)</f>
        <v>Cu(+2)</v>
      </c>
      <c r="D58" s="2">
        <f>IF(ISBLANK('Aqueous Species Options'!D58), "", 'Aqueous Species Options'!D58)</f>
        <v>15675</v>
      </c>
      <c r="E58" s="1">
        <f>IF(ISBLANK('Aqueous Species Options'!E58), "", 'Aqueous Species Options'!E58)</f>
        <v>15700</v>
      </c>
      <c r="F58" s="139">
        <f>IF(ISBLANK('Aqueous Species Options'!F58), "", 'Aqueous Species Options'!F58)</f>
        <v>-23.2</v>
      </c>
      <c r="G58" s="29">
        <f>IF(ISBLANK('Aqueous Species Options'!B58), "", IF('Aqueous Species Options'!L58 = 1, IF(ISBLANK('Aqueous Species Options'!G58), "", 'Aqueous Species Options'!G58), ('Aqueous Species Table'!I58/10 + ('Aqueous Species Table'!J58*100)/(Calculations!$C$12+Calculations!$C$9) + ('Aqueous Species Table'!K58 + ('Aqueous Species Table'!L58*10000)/(Calculations!$C$12+Calculations!$C$9))*(1/(Calculations!$C$8-Calculations!$C$13)) - 'Aqueous Species Table'!O58*100000*0.0000005903)*41.8393))</f>
        <v>-24.600086775300493</v>
      </c>
      <c r="H58" s="29">
        <f>IF(ISBLANK('Aqueous Species Options'!B58), "", IF('Aqueous Species Options'!L58 = 1, IF(ISBLANK('Aqueous Species Options'!H58), "", 'Aqueous Species Options'!H58), 'Aqueous Species Table'!M58 + 'Aqueous Species Table'!N58*10000*(1/(Calculations!$C$8-Calculations!$C$13))^2 + 'Aqueous Species Table'!O58*100000*Calculations!$C$8*Calculations!$C$7))</f>
        <v>-2.2273462491589466</v>
      </c>
      <c r="I58" s="42">
        <f>IF(ISBLANK('Aqueous Species Options'!B58), "", IF('Aqueous Species Options'!L58=0, 'Aqueous Species Options'!N58, IF(OR(ISBLANK('Aqueous Species Options'!G58),'Aqueous Species Table'!O58="", 'Aqueous Species Table'!P58=""), "", IF('Aqueous Species Options'!B58="H+", 0, (CHOOSE('Aqueous Species Options'!M58+1,'Aqueous Species Options'!$V$4*ABS('Aqueous Species Table'!P58)+'Aqueous Species Options'!$W$4,'Aqueous Species Options'!$Z$4)*('Aqueous Species Options'!G58 + 'Aqueous Species Table'!O58*100000*0.0000005903*41.8393) + CHOOSE('Aqueous Species Options'!M58+1,'Aqueous Species Options'!$X$4*ABS('Aqueous Species Table'!P58)+'Aqueous Species Options'!$Y$4,'Aqueous Species Options'!$AA$4))*10 ) ) ) )</f>
        <v>-1.4776374260572296</v>
      </c>
      <c r="J58" s="42">
        <f>IF(ISBLANK('Aqueous Species Options'!B58), "", IF('Aqueous Species Options'!L58 = 0, 'Aqueous Species Options'!O58, IF('Aqueous Species Table'!I58="", "", IF('Aqueous Species Options'!B58="H+", 0, ((1.11*('Aqueous Species Options'!G58 + 'Aqueous Species Table'!O58*100000*0.0000005903*41.8393)+1.8)/41.8393 - 'Aqueous Species Table'!I58/10)*26.01 ) ) ) )</f>
        <v>-9.4958719700680039</v>
      </c>
      <c r="K58" s="42">
        <f>IF(ISBLANK('Aqueous Species Options'!B58), "", IF('Aqueous Species Options'!L58 = 0, 'Aqueous Species Options'!P58, IF('Aqueous Species Table'!I58="", "", IF('Aqueous Species Options'!B58="H+", 0, ('Aqueous Species Options'!G58/41.8393 + 'Aqueous Species Table'!O58*100000*0.0000005903 - 'Aqueous Species Table'!I58/10 - 'Aqueous Species Table'!J58*100/2601)*(298.15-228) - ('Aqueous Species Table'!L58*10000/2601) ) ) ) )</f>
        <v>10.021417572665333</v>
      </c>
      <c r="L58" s="42">
        <f>IF(ISBLANK('Aqueous Species Options'!B58), "", IF('Aqueous Species Options'!L58 = 0, 'Aqueous Species Options'!Q58, IF('Aqueous Species Table'!J58="", "", IF('Aqueous Species Options'!B58="H+", 0, (-4.134*'Aqueous Species Table'!J58*100 - 27790)*0.0001) ) ) )</f>
        <v>-2.3864406527573889</v>
      </c>
      <c r="M58" s="42">
        <f>IF(ISBLANK('Aqueous Species Options'!B58), "", IF('Aqueous Species Options'!L58=0, 'Aqueous Species Options'!R58, IF('Aqueous Species Table'!N58="", "", IF('Aqueous Species Options'!B58="H+", 0, 'Aqueous Species Options'!H58 - 'Aqueous Species Table'!O58*100000*(-0.000000309)*298.15 - 'Aqueous Species Table'!N58*10000/(298.15-228)^2 ) ) ) )</f>
        <v>18.467678426493023</v>
      </c>
      <c r="N58" s="42">
        <f>IF(ISBLANK('Aqueous Species Options'!B58), "", IF('Aqueous Species Options'!L58=0, 'Aqueous Species Options'!S58, IF(OR(ISBLANK('Aqueous Species Options'!H58), 'Aqueous Species Table'!O58=""), "", IF('Aqueous Species Options'!B58="H+", 0, 0.2037*'Aqueous Species Options'!H58 - 3.0346) ) ) )</f>
        <v>-3.4883104309536774</v>
      </c>
      <c r="O58" s="42">
        <f>IF(ISBLANK('Aqueous Species Options'!B58), "", IF('Aqueous Species Options'!K58=0, 'Aqueous Species Options'!I58, IF(OR('Aqueous Species Options'!J58&gt;4,'Aqueous Species Options'!J58&lt;-4), "", IF('Aqueous Species Options'!B58="H+", 0, IF('Aqueous Species Options'!J58=0, -0.038, IF(ISBLANK('Aqueous Species Options'!F58), "", -1514.4*'Aqueous Species Options'!F58*0.00001 + SUM(({4,3,2,1,-1,-2,-3,-4}='Aqueous Species Options'!J58)*{2.1764,1.5793,1.0579,0.5517,1.6291,3.2127,4.8115,6.486}) ) ) ) ) ) )</f>
        <v>1.4769000000000001</v>
      </c>
      <c r="P58" s="1">
        <f>IF(ISBLANK('Aqueous Species Options'!J58), "", 'Aqueous Species Options'!J58)</f>
        <v>2</v>
      </c>
      <c r="Q58" s="184" t="str">
        <f>IF(ISBLANK('Aqueous Species Options'!T58), "", 'Aqueous Species Options'!T58)</f>
        <v>Shock et al. (1997) revised with new predicted a1 for cations</v>
      </c>
    </row>
    <row r="59" spans="2:17" ht="15" customHeight="1" x14ac:dyDescent="0.2">
      <c r="B59" s="9" t="str">
        <f>IF(ISBLANK('Aqueous Species Options'!B59), "", 'Aqueous Species Options'!B59)</f>
        <v>CuCl,aq</v>
      </c>
      <c r="C59" s="9" t="str">
        <f>IF(ISBLANK('Aqueous Species Options'!C59), "", 'Aqueous Species Options'!C59)</f>
        <v>CuCl(0)</v>
      </c>
      <c r="D59" s="2">
        <f>IF(ISBLANK('Aqueous Species Options'!D59), "", 'Aqueous Species Options'!D59)</f>
        <v>-22608</v>
      </c>
      <c r="E59" s="1">
        <f>IF(ISBLANK('Aqueous Species Options'!E59), "", 'Aqueous Species Options'!E59)</f>
        <v>-26338</v>
      </c>
      <c r="F59" s="139">
        <f>IF(ISBLANK('Aqueous Species Options'!F59), "", 'Aqueous Species Options'!F59)</f>
        <v>22.06</v>
      </c>
      <c r="G59" s="29">
        <f>IF(ISBLANK('Aqueous Species Options'!B59), "", IF('Aqueous Species Options'!L59 = 1, IF(ISBLANK('Aqueous Species Options'!G59), "", 'Aqueous Species Options'!G59), ('Aqueous Species Table'!I59/10 + ('Aqueous Species Table'!J59*100)/(Calculations!$C$12+Calculations!$C$9) + ('Aqueous Species Table'!K59 + ('Aqueous Species Table'!L59*10000)/(Calculations!$C$12+Calculations!$C$9))*(1/(Calculations!$C$8-Calculations!$C$13)) - 'Aqueous Species Table'!O59*100000*0.0000005903)*41.8393))</f>
        <v>17.22</v>
      </c>
      <c r="H59" s="29">
        <f>IF(ISBLANK('Aqueous Species Options'!B59), "", IF('Aqueous Species Options'!L59 = 1, IF(ISBLANK('Aqueous Species Options'!H59), "", 'Aqueous Species Options'!H59), 'Aqueous Species Table'!M59 + 'Aqueous Species Table'!N59*10000*(1/(Calculations!$C$8-Calculations!$C$13))^2 + 'Aqueous Species Table'!O59*100000*Calculations!$C$8*Calculations!$C$7))</f>
        <v>19.64</v>
      </c>
      <c r="I59" s="42">
        <f>IF(ISBLANK('Aqueous Species Options'!B59), "", IF('Aqueous Species Options'!L59=0, 'Aqueous Species Options'!N59, IF(OR(ISBLANK('Aqueous Species Options'!G59),'Aqueous Species Table'!O59="", 'Aqueous Species Table'!P59=""), "", IF('Aqueous Species Options'!B59="H+", 0, (CHOOSE('Aqueous Species Options'!M59+1,'Aqueous Species Options'!$V$4*ABS('Aqueous Species Table'!P59)+'Aqueous Species Options'!$W$4,'Aqueous Species Options'!$Z$4)*('Aqueous Species Options'!G59 + 'Aqueous Species Table'!O59*100000*0.0000005903*41.8393) + CHOOSE('Aqueous Species Options'!M59+1,'Aqueous Species Options'!$X$4*ABS('Aqueous Species Table'!P59)+'Aqueous Species Options'!$Y$4,'Aqueous Species Options'!$AA$4))*10 ) ) ) )</f>
        <v>4.8464693181684577</v>
      </c>
      <c r="J59" s="42">
        <f>IF(ISBLANK('Aqueous Species Options'!B59), "", IF('Aqueous Species Options'!L59 = 0, 'Aqueous Species Options'!O59, IF('Aqueous Species Table'!I59="", "", IF('Aqueous Species Options'!B59="H+", 0, ((1.11*('Aqueous Species Options'!G59 + 'Aqueous Species Table'!O59*100000*0.0000005903*41.8393)+1.8)/41.8393 - 'Aqueous Species Table'!I59/10)*26.01 ) ) ) )</f>
        <v>0.33118331364373021</v>
      </c>
      <c r="K59" s="42">
        <f>IF(ISBLANK('Aqueous Species Options'!B59), "", IF('Aqueous Species Options'!L59 = 0, 'Aqueous Species Options'!P59, IF('Aqueous Species Table'!I59="", "", IF('Aqueous Species Options'!B59="H+", 0, ('Aqueous Species Options'!G59/41.8393 + 'Aqueous Species Table'!O59*100000*0.0000005903 - 'Aqueous Species Table'!I59/10 - 'Aqueous Species Table'!J59*100/2601)*(298.15-228) - ('Aqueous Species Table'!L59*10000/2601) ) ) ) )</f>
        <v>4.5604066793291018</v>
      </c>
      <c r="L59" s="42">
        <f>IF(ISBLANK('Aqueous Species Options'!B59), "", IF('Aqueous Species Options'!L59 = 0, 'Aqueous Species Options'!Q59, IF('Aqueous Species Table'!J59="", "", IF('Aqueous Species Options'!B59="H+", 0, (-4.134*'Aqueous Species Table'!J59*100 - 27790)*0.0001) ) ) )</f>
        <v>-2.7926911181860321</v>
      </c>
      <c r="M59" s="42">
        <f>IF(ISBLANK('Aqueous Species Options'!B59), "", IF('Aqueous Species Options'!L59=0, 'Aqueous Species Options'!R59, IF('Aqueous Species Table'!N59="", "", IF('Aqueous Species Options'!B59="H+", 0, 'Aqueous Species Options'!H59 - 'Aqueous Species Table'!O59*100000*(-0.000000309)*298.15 - 'Aqueous Species Table'!N59*10000/(298.15-228)^2 ) ) ) )</f>
        <v>17.326767415449957</v>
      </c>
      <c r="N59" s="42">
        <f>IF(ISBLANK('Aqueous Species Options'!B59), "", IF('Aqueous Species Options'!L59=0, 'Aqueous Species Options'!S59, IF(OR(ISBLANK('Aqueous Species Options'!H59), 'Aqueous Species Table'!O59=""), "", IF('Aqueous Species Options'!B59="H+", 0, 0.2037*'Aqueous Species Options'!H59 - 3.0346) ) ) )</f>
        <v>0.96606799999999993</v>
      </c>
      <c r="O59" s="42">
        <f>IF(ISBLANK('Aqueous Species Options'!B59), "", IF('Aqueous Species Options'!K59=0, 'Aqueous Species Options'!I59, IF(OR('Aqueous Species Options'!J59&gt;4,'Aqueous Species Options'!J59&lt;-4), "", IF('Aqueous Species Options'!B59="H+", 0, IF('Aqueous Species Options'!J59=0, -0.038, IF(ISBLANK('Aqueous Species Options'!F59), "", -1514.4*'Aqueous Species Options'!F59*0.00001 + SUM(({4,3,2,1,-1,-2,-3,-4}='Aqueous Species Options'!J59)*{2.1764,1.5793,1.0579,0.5517,1.6291,3.2127,4.8115,6.486}) ) ) ) ) ) )</f>
        <v>-3.7999999999999999E-2</v>
      </c>
      <c r="P59" s="1">
        <f>IF(ISBLANK('Aqueous Species Options'!J59), "", 'Aqueous Species Options'!J59)</f>
        <v>0</v>
      </c>
      <c r="Q59" s="184" t="str">
        <f>IF(ISBLANK('Aqueous Species Options'!T59), "", 'Aqueous Species Options'!T59)</f>
        <v>SSH97 for G, S, Cp, V, omega; a1 pred with SHA14</v>
      </c>
    </row>
    <row r="60" spans="2:17" ht="15" customHeight="1" x14ac:dyDescent="0.2">
      <c r="B60" s="9" t="str">
        <f>IF(ISBLANK('Aqueous Species Options'!B60), "", 'Aqueous Species Options'!B60)</f>
        <v>CuCl+</v>
      </c>
      <c r="C60" s="9" t="str">
        <f>IF(ISBLANK('Aqueous Species Options'!C60), "", 'Aqueous Species Options'!C60)</f>
        <v>CuCl(+)</v>
      </c>
      <c r="D60" s="2">
        <f>IF(ISBLANK('Aqueous Species Options'!D60), "", 'Aqueous Species Options'!D60)</f>
        <v>-16250</v>
      </c>
      <c r="E60" s="1">
        <f>IF(ISBLANK('Aqueous Species Options'!E60), "", 'Aqueous Species Options'!E60)</f>
        <v>-23847</v>
      </c>
      <c r="F60" s="139">
        <f>IF(ISBLANK('Aqueous Species Options'!F60), "", 'Aqueous Species Options'!F60)</f>
        <v>-6.51</v>
      </c>
      <c r="G60" s="29">
        <f>IF(ISBLANK('Aqueous Species Options'!B60), "", IF('Aqueous Species Options'!L60 = 1, IF(ISBLANK('Aqueous Species Options'!G60), "", 'Aqueous Species Options'!G60), ('Aqueous Species Table'!I60/10 + ('Aqueous Species Table'!J60*100)/(Calculations!$C$12+Calculations!$C$9) + ('Aqueous Species Table'!K60 + ('Aqueous Species Table'!L60*10000)/(Calculations!$C$12+Calculations!$C$9))*(1/(Calculations!$C$8-Calculations!$C$13)) - 'Aqueous Species Table'!O60*100000*0.0000005903)*41.8393))</f>
        <v>-1.72</v>
      </c>
      <c r="H60" s="29">
        <f>IF(ISBLANK('Aqueous Species Options'!B60), "", IF('Aqueous Species Options'!L60 = 1, IF(ISBLANK('Aqueous Species Options'!H60), "", 'Aqueous Species Options'!H60), 'Aqueous Species Table'!M60 + 'Aqueous Species Table'!N60*10000*(1/(Calculations!$C$8-Calculations!$C$13))^2 + 'Aqueous Species Table'!O60*100000*Calculations!$C$8*Calculations!$C$7))</f>
        <v>29.39</v>
      </c>
      <c r="I60" s="42">
        <f>IF(ISBLANK('Aqueous Species Options'!B60), "", IF('Aqueous Species Options'!L60=0, 'Aqueous Species Options'!N60, IF(OR(ISBLANK('Aqueous Species Options'!G60),'Aqueous Species Table'!O60="", 'Aqueous Species Table'!P60=""), "", IF('Aqueous Species Options'!B60="H+", 0, (CHOOSE('Aqueous Species Options'!M60+1,'Aqueous Species Options'!$V$4*ABS('Aqueous Species Table'!P60)+'Aqueous Species Options'!$W$4,'Aqueous Species Options'!$Z$4)*('Aqueous Species Options'!G60 + 'Aqueous Species Table'!O60*100000*0.0000005903*41.8393) + CHOOSE('Aqueous Species Options'!M60+1,'Aqueous Species Options'!$X$4*ABS('Aqueous Species Table'!P60)+'Aqueous Species Options'!$Y$4,'Aqueous Species Options'!$AA$4))*10 ) ) ) )</f>
        <v>1.4967913768782699</v>
      </c>
      <c r="J60" s="42">
        <f>IF(ISBLANK('Aqueous Species Options'!B60), "", IF('Aqueous Species Options'!L60 = 0, 'Aqueous Species Options'!O60, IF('Aqueous Species Table'!I60="", "", IF('Aqueous Species Options'!B60="H+", 0, ((1.11*('Aqueous Species Options'!G60 + 'Aqueous Species Table'!O60*100000*0.0000005903*41.8393)+1.8)/41.8393 - 'Aqueous Species Table'!I60/10)*26.01 ) ) ) )</f>
        <v>-2.8580423744891248</v>
      </c>
      <c r="K60" s="42">
        <f>IF(ISBLANK('Aqueous Species Options'!B60), "", IF('Aqueous Species Options'!L60 = 0, 'Aqueous Species Options'!P60, IF('Aqueous Species Table'!I60="", "", IF('Aqueous Species Options'!B60="H+", 0, ('Aqueous Species Options'!G60/41.8393 + 'Aqueous Species Table'!O60*100000*0.0000005903 - 'Aqueous Species Table'!I60/10 - 'Aqueous Species Table'!J60*100/2601)*(298.15-228) - ('Aqueous Species Table'!L60*10000/2601) ) ) ) )</f>
        <v>7.2345421953454423</v>
      </c>
      <c r="L60" s="42">
        <f>IF(ISBLANK('Aqueous Species Options'!B60), "", IF('Aqueous Species Options'!L60 = 0, 'Aqueous Species Options'!Q60, IF('Aqueous Species Table'!J60="", "", IF('Aqueous Species Options'!B60="H+", 0, (-4.134*'Aqueous Species Table'!J60*100 - 27790)*0.0001) ) ) )</f>
        <v>-2.6608485282386196</v>
      </c>
      <c r="M60" s="42">
        <f>IF(ISBLANK('Aqueous Species Options'!B60), "", IF('Aqueous Species Options'!L60=0, 'Aqueous Species Options'!R60, IF('Aqueous Species Table'!N60="", "", IF('Aqueous Species Options'!B60="H+", 0, 'Aqueous Species Options'!H60 - 'Aqueous Species Table'!O60*100000*(-0.000000309)*298.15 - 'Aqueous Species Table'!N60*10000/(298.15-228)^2 ) ) ) )</f>
        <v>29.353502914110891</v>
      </c>
      <c r="N60" s="42">
        <f>IF(ISBLANK('Aqueous Species Options'!B60), "", IF('Aqueous Species Options'!L60=0, 'Aqueous Species Options'!S60, IF(OR(ISBLANK('Aqueous Species Options'!H60), 'Aqueous Species Table'!O60=""), "", IF('Aqueous Species Options'!B60="H+", 0, 0.2037*'Aqueous Species Options'!H60 - 3.0346) ) ) )</f>
        <v>2.9521429999999995</v>
      </c>
      <c r="O60" s="42">
        <f>IF(ISBLANK('Aqueous Species Options'!B60), "", IF('Aqueous Species Options'!K60=0, 'Aqueous Species Options'!I60, IF(OR('Aqueous Species Options'!J60&gt;4,'Aqueous Species Options'!J60&lt;-4), "", IF('Aqueous Species Options'!B60="H+", 0, IF('Aqueous Species Options'!J60=0, -0.038, IF(ISBLANK('Aqueous Species Options'!F60), "", -1514.4*'Aqueous Species Options'!F60*0.00001 + SUM(({4,3,2,1,-1,-2,-3,-4}='Aqueous Species Options'!J60)*{2.1764,1.5793,1.0579,0.5517,1.6291,3.2127,4.8115,6.486}) ) ) ) ) ) )</f>
        <v>0.6472</v>
      </c>
      <c r="P60" s="1">
        <f>IF(ISBLANK('Aqueous Species Options'!J60), "", 'Aqueous Species Options'!J60)</f>
        <v>1</v>
      </c>
      <c r="Q60" s="184" t="str">
        <f>IF(ISBLANK('Aqueous Species Options'!T60), "", 'Aqueous Species Options'!T60)</f>
        <v>SSH97 for G, S, Cp, V, omega; a1 pred with SHA14</v>
      </c>
    </row>
    <row r="61" spans="2:17" ht="15" customHeight="1" x14ac:dyDescent="0.2">
      <c r="B61" s="9" t="str">
        <f>IF(ISBLANK('Aqueous Species Options'!B61), "", 'Aqueous Species Options'!B61)</f>
        <v>CuCl2-</v>
      </c>
      <c r="C61" s="9" t="str">
        <f>IF(ISBLANK('Aqueous Species Options'!C61), "", 'Aqueous Species Options'!C61)</f>
        <v>CuCl2(-)</v>
      </c>
      <c r="D61" s="2">
        <f>IF(ISBLANK('Aqueous Species Options'!D61), "", 'Aqueous Species Options'!D61)</f>
        <v>-58038</v>
      </c>
      <c r="E61" s="1">
        <f>IF(ISBLANK('Aqueous Species Options'!E61), "", 'Aqueous Species Options'!E61)</f>
        <v>-72903</v>
      </c>
      <c r="F61" s="139">
        <f>IF(ISBLANK('Aqueous Species Options'!F61), "", 'Aqueous Species Options'!F61)</f>
        <v>26.96</v>
      </c>
      <c r="G61" s="29">
        <f>IF(ISBLANK('Aqueous Species Options'!B61), "", IF('Aqueous Species Options'!L61 = 1, IF(ISBLANK('Aqueous Species Options'!G61), "", 'Aqueous Species Options'!G61), ('Aqueous Species Table'!I61/10 + ('Aqueous Species Table'!J61*100)/(Calculations!$C$12+Calculations!$C$9) + ('Aqueous Species Table'!K61 + ('Aqueous Species Table'!L61*10000)/(Calculations!$C$12+Calculations!$C$9))*(1/(Calculations!$C$8-Calculations!$C$13)) - 'Aqueous Species Table'!O61*100000*0.0000005903)*41.8393))</f>
        <v>45.53</v>
      </c>
      <c r="H61" s="29">
        <f>IF(ISBLANK('Aqueous Species Options'!B61), "", IF('Aqueous Species Options'!L61 = 1, IF(ISBLANK('Aqueous Species Options'!H61), "", 'Aqueous Species Options'!H61), 'Aqueous Species Table'!M61 + 'Aqueous Species Table'!N61*10000*(1/(Calculations!$C$8-Calculations!$C$13))^2 + 'Aqueous Species Table'!O61*100000*Calculations!$C$8*Calculations!$C$7))</f>
        <v>32.99</v>
      </c>
      <c r="I61" s="42">
        <f>IF(ISBLANK('Aqueous Species Options'!B61), "", IF('Aqueous Species Options'!L61=0, 'Aqueous Species Options'!N61, IF(OR(ISBLANK('Aqueous Species Options'!G61),'Aqueous Species Table'!O61="", 'Aqueous Species Table'!P61=""), "", IF('Aqueous Species Options'!B61="H+", 0, (CHOOSE('Aqueous Species Options'!M61+1,'Aqueous Species Options'!$V$4*ABS('Aqueous Species Table'!P61)+'Aqueous Species Options'!$W$4,'Aqueous Species Options'!$Z$4)*('Aqueous Species Options'!G61 + 'Aqueous Species Table'!O61*100000*0.0000005903*41.8393) + CHOOSE('Aqueous Species Options'!M61+1,'Aqueous Species Options'!$X$4*ABS('Aqueous Species Table'!P61)+'Aqueous Species Options'!$Y$4,'Aqueous Species Options'!$AA$4))*10 ) ) ) )</f>
        <v>10.948871481841099</v>
      </c>
      <c r="J61" s="42">
        <f>IF(ISBLANK('Aqueous Species Options'!B61), "", IF('Aqueous Species Options'!L61 = 0, 'Aqueous Species Options'!O61, IF('Aqueous Species Table'!I61="", "", IF('Aqueous Species Options'!B61="H+", 0, ((1.11*('Aqueous Species Options'!G61 + 'Aqueous Species Table'!O61*100000*0.0000005903*41.8393)+1.8)/41.8393 - 'Aqueous Species Table'!I61/10)*26.01 ) ) ) )</f>
        <v>6.1412755317051966</v>
      </c>
      <c r="K61" s="42">
        <f>IF(ISBLANK('Aqueous Species Options'!B61), "", IF('Aqueous Species Options'!L61 = 0, 'Aqueous Species Options'!P61, IF('Aqueous Species Table'!I61="", "", IF('Aqueous Species Options'!B61="H+", 0, ('Aqueous Species Options'!G61/41.8393 + 'Aqueous Species Table'!O61*100000*0.0000005903 - 'Aqueous Species Table'!I61/10 - 'Aqueous Species Table'!J61*100/2601)*(298.15-228) - ('Aqueous Species Table'!L61*10000/2601) ) ) ) )</f>
        <v>-0.31130058474493438</v>
      </c>
      <c r="L61" s="42">
        <f>IF(ISBLANK('Aqueous Species Options'!B61), "", IF('Aqueous Species Options'!L61 = 0, 'Aqueous Species Options'!Q61, IF('Aqueous Species Table'!J61="", "", IF('Aqueous Species Options'!B61="H+", 0, (-4.134*'Aqueous Species Table'!J61*100 - 27790)*0.0001) ) ) )</f>
        <v>-3.0328803304806931</v>
      </c>
      <c r="M61" s="42">
        <f>IF(ISBLANK('Aqueous Species Options'!B61), "", IF('Aqueous Species Options'!L61=0, 'Aqueous Species Options'!R61, IF('Aqueous Species Table'!N61="", "", IF('Aqueous Species Options'!B61="H+", 0, 'Aqueous Species Options'!H61 - 'Aqueous Species Table'!O61*100000*(-0.000000309)*298.15 - 'Aqueous Species Table'!N61*10000/(298.15-228)^2 ) ) ) )</f>
        <v>36.75794108030108</v>
      </c>
      <c r="N61" s="42">
        <f>IF(ISBLANK('Aqueous Species Options'!B61), "", IF('Aqueous Species Options'!L61=0, 'Aqueous Species Options'!S61, IF(OR(ISBLANK('Aqueous Species Options'!H61), 'Aqueous Species Table'!O61=""), "", IF('Aqueous Species Options'!B61="H+", 0, 0.2037*'Aqueous Species Options'!H61 - 3.0346) ) ) )</f>
        <v>3.6854630000000004</v>
      </c>
      <c r="O61" s="42">
        <f>IF(ISBLANK('Aqueous Species Options'!B61), "", IF('Aqueous Species Options'!K61=0, 'Aqueous Species Options'!I61, IF(OR('Aqueous Species Options'!J61&gt;4,'Aqueous Species Options'!J61&lt;-4), "", IF('Aqueous Species Options'!B61="H+", 0, IF('Aqueous Species Options'!J61=0, -0.038, IF(ISBLANK('Aqueous Species Options'!F61), "", -1514.4*'Aqueous Species Options'!F61*0.00001 + SUM(({4,3,2,1,-1,-2,-3,-4}='Aqueous Species Options'!J61)*{2.1764,1.5793,1.0579,0.5517,1.6291,3.2127,4.8115,6.486}) ) ) ) ) ) )</f>
        <v>1.2219</v>
      </c>
      <c r="P61" s="1">
        <f>IF(ISBLANK('Aqueous Species Options'!J61), "", 'Aqueous Species Options'!J61)</f>
        <v>-1</v>
      </c>
      <c r="Q61" s="184" t="str">
        <f>IF(ISBLANK('Aqueous Species Options'!T61), "", 'Aqueous Species Options'!T61)</f>
        <v>SSH97 for G, S, Cp, V, omega; a1 pred with SHA14</v>
      </c>
    </row>
    <row r="62" spans="2:17" ht="15" customHeight="1" x14ac:dyDescent="0.2">
      <c r="B62" s="9" t="str">
        <f>IF(ISBLANK('Aqueous Species Options'!B62), "", 'Aqueous Species Options'!B62)</f>
        <v>CuCl2,aq</v>
      </c>
      <c r="C62" s="9" t="str">
        <f>IF(ISBLANK('Aqueous Species Options'!C62), "", 'Aqueous Species Options'!C62)</f>
        <v>CuCl2(0)</v>
      </c>
      <c r="D62" s="2">
        <f>IF(ISBLANK('Aqueous Species Options'!D62), "", 'Aqueous Species Options'!D62)</f>
        <v>-46142</v>
      </c>
      <c r="E62" s="1">
        <f>IF(ISBLANK('Aqueous Species Options'!E62), "", 'Aqueous Species Options'!E62)</f>
        <v>-64160</v>
      </c>
      <c r="F62" s="139">
        <f>IF(ISBLANK('Aqueous Species Options'!F62), "", 'Aqueous Species Options'!F62)</f>
        <v>0.78</v>
      </c>
      <c r="G62" s="29">
        <f>IF(ISBLANK('Aqueous Species Options'!B62), "", IF('Aqueous Species Options'!L62 = 1, IF(ISBLANK('Aqueous Species Options'!G62), "", 'Aqueous Species Options'!G62), ('Aqueous Species Table'!I62/10 + ('Aqueous Species Table'!J62*100)/(Calculations!$C$12+Calculations!$C$9) + ('Aqueous Species Table'!K62 + ('Aqueous Species Table'!L62*10000)/(Calculations!$C$12+Calculations!$C$9))*(1/(Calculations!$C$8-Calculations!$C$13)) - 'Aqueous Species Table'!O62*100000*0.0000005903)*41.8393))</f>
        <v>24.32</v>
      </c>
      <c r="H62" s="29">
        <f>IF(ISBLANK('Aqueous Species Options'!B62), "", IF('Aqueous Species Options'!L62 = 1, IF(ISBLANK('Aqueous Species Options'!H62), "", 'Aqueous Species Options'!H62), 'Aqueous Species Table'!M62 + 'Aqueous Species Table'!N62*10000*(1/(Calculations!$C$8-Calculations!$C$13))^2 + 'Aqueous Species Table'!O62*100000*Calculations!$C$8*Calculations!$C$7))</f>
        <v>54.22</v>
      </c>
      <c r="I62" s="42">
        <f>IF(ISBLANK('Aqueous Species Options'!B62), "", IF('Aqueous Species Options'!L62=0, 'Aqueous Species Options'!N62, IF(OR(ISBLANK('Aqueous Species Options'!G62),'Aqueous Species Table'!O62="", 'Aqueous Species Table'!P62=""), "", IF('Aqueous Species Options'!B62="H+", 0, (CHOOSE('Aqueous Species Options'!M62+1,'Aqueous Species Options'!$V$4*ABS('Aqueous Species Table'!P62)+'Aqueous Species Options'!$W$4,'Aqueous Species Options'!$Z$4)*('Aqueous Species Options'!G62 + 'Aqueous Species Table'!O62*100000*0.0000005903*41.8393) + CHOOSE('Aqueous Species Options'!M62+1,'Aqueous Species Options'!$X$4*ABS('Aqueous Species Table'!P62)+'Aqueous Species Options'!$Y$4,'Aqueous Species Options'!$AA$4))*10 ) ) ) )</f>
        <v>6.225360318168458</v>
      </c>
      <c r="J62" s="42">
        <f>IF(ISBLANK('Aqueous Species Options'!B62), "", IF('Aqueous Species Options'!L62 = 0, 'Aqueous Species Options'!O62, IF('Aqueous Species Table'!I62="", "", IF('Aqueous Species Options'!B62="H+", 0, ((1.11*('Aqueous Species Options'!G62 + 'Aqueous Species Table'!O62*100000*0.0000005903*41.8393)+1.8)/41.8393 - 'Aqueous Species Table'!I62/10)*26.01 ) ) ) )</f>
        <v>1.6440243316197409</v>
      </c>
      <c r="K62" s="42">
        <f>IF(ISBLANK('Aqueous Species Options'!B62), "", IF('Aqueous Species Options'!L62 = 0, 'Aqueous Species Options'!P62, IF('Aqueous Species Table'!I62="", "", IF('Aqueous Species Options'!B62="H+", 0, ('Aqueous Species Options'!G62/41.8393 + 'Aqueous Species Table'!O62*100000*0.0000005903 - 'Aqueous Species Table'!I62/10 - 'Aqueous Species Table'!J62*100/2601)*(298.15-228) - ('Aqueous Species Table'!L62*10000/2601) ) ) ) )</f>
        <v>3.4596019272176042</v>
      </c>
      <c r="L62" s="42">
        <f>IF(ISBLANK('Aqueous Species Options'!B62), "", IF('Aqueous Species Options'!L62 = 0, 'Aqueous Species Options'!Q62, IF('Aqueous Species Table'!J62="", "", IF('Aqueous Species Options'!B62="H+", 0, (-4.134*'Aqueous Species Table'!J62*100 - 27790)*0.0001) ) ) )</f>
        <v>-2.8469639658691603</v>
      </c>
      <c r="M62" s="42">
        <f>IF(ISBLANK('Aqueous Species Options'!B62), "", IF('Aqueous Species Options'!L62=0, 'Aqueous Species Options'!R62, IF('Aqueous Species Table'!N62="", "", IF('Aqueous Species Options'!B62="H+", 0, 'Aqueous Species Options'!H62 - 'Aqueous Species Table'!O62*100000*(-0.000000309)*298.15 - 'Aqueous Species Table'!N62*10000/(298.15-228)^2 ) ) ) )</f>
        <v>37.592778808407402</v>
      </c>
      <c r="N62" s="42">
        <f>IF(ISBLANK('Aqueous Species Options'!B62), "", IF('Aqueous Species Options'!L62=0, 'Aqueous Species Options'!S62, IF(OR(ISBLANK('Aqueous Species Options'!H62), 'Aqueous Species Table'!O62=""), "", IF('Aqueous Species Options'!B62="H+", 0, 0.2037*'Aqueous Species Options'!H62 - 3.0346) ) ) )</f>
        <v>8.0100139999999982</v>
      </c>
      <c r="O62" s="42">
        <f>IF(ISBLANK('Aqueous Species Options'!B62), "", IF('Aqueous Species Options'!K62=0, 'Aqueous Species Options'!I62, IF(OR('Aqueous Species Options'!J62&gt;4,'Aqueous Species Options'!J62&lt;-4), "", IF('Aqueous Species Options'!B62="H+", 0, IF('Aqueous Species Options'!J62=0, -0.038, IF(ISBLANK('Aqueous Species Options'!F62), "", -1514.4*'Aqueous Species Options'!F62*0.00001 + SUM(({4,3,2,1,-1,-2,-3,-4}='Aqueous Species Options'!J62)*{2.1764,1.5793,1.0579,0.5517,1.6291,3.2127,4.8115,6.486}) ) ) ) ) ) )</f>
        <v>-3.7999999999999999E-2</v>
      </c>
      <c r="P62" s="1">
        <f>IF(ISBLANK('Aqueous Species Options'!J62), "", 'Aqueous Species Options'!J62)</f>
        <v>0</v>
      </c>
      <c r="Q62" s="184" t="str">
        <f>IF(ISBLANK('Aqueous Species Options'!T62), "", 'Aqueous Species Options'!T62)</f>
        <v>SSH97 for G, S, Cp, V, omega; a1 pred with SHA14</v>
      </c>
    </row>
    <row r="63" spans="2:17" ht="15" customHeight="1" x14ac:dyDescent="0.2">
      <c r="B63" s="9" t="str">
        <f>IF(ISBLANK('Aqueous Species Options'!B63), "", 'Aqueous Species Options'!B63)</f>
        <v>DIGLYCINE,AQ</v>
      </c>
      <c r="C63" s="9" t="str">
        <f>IF(ISBLANK('Aqueous Species Options'!C63), "", 'Aqueous Species Options'!C63)</f>
        <v>C4H8O3N2</v>
      </c>
      <c r="D63" s="2">
        <f>IF(ISBLANK('Aqueous Species Options'!D63), "", 'Aqueous Species Options'!D63)</f>
        <v>-119100</v>
      </c>
      <c r="E63" s="1">
        <f>IF(ISBLANK('Aqueous Species Options'!E63), "", 'Aqueous Species Options'!E63)</f>
        <v>0</v>
      </c>
      <c r="F63" s="139">
        <f>IF(ISBLANK('Aqueous Species Options'!F63), "", 'Aqueous Species Options'!F63)</f>
        <v>74.3</v>
      </c>
      <c r="G63" s="29">
        <f>IF(ISBLANK('Aqueous Species Options'!B63), "", IF('Aqueous Species Options'!L63 = 1, IF(ISBLANK('Aqueous Species Options'!G63), "", 'Aqueous Species Options'!G63), ('Aqueous Species Table'!I63/10 + ('Aqueous Species Table'!J63*100)/(Calculations!$C$12+Calculations!$C$9) + ('Aqueous Species Table'!K63 + ('Aqueous Species Table'!L63*10000)/(Calculations!$C$12+Calculations!$C$9))*(1/(Calculations!$C$8-Calculations!$C$13)) - 'Aqueous Species Table'!O63*100000*0.0000005903)*41.8393))</f>
        <v>76.3064512488193</v>
      </c>
      <c r="H63" s="29">
        <f>IF(ISBLANK('Aqueous Species Options'!B63), "", IF('Aqueous Species Options'!L63 = 1, IF(ISBLANK('Aqueous Species Options'!H63), "", 'Aqueous Species Options'!H63), 'Aqueous Species Table'!M63 + 'Aqueous Species Table'!N63*10000*(1/(Calculations!$C$8-Calculations!$C$13))^2 + 'Aqueous Species Table'!O63*100000*Calculations!$C$8*Calculations!$C$7))</f>
        <v>27.864991453740799</v>
      </c>
      <c r="I63" s="42">
        <f>IF(ISBLANK('Aqueous Species Options'!B63), "", IF('Aqueous Species Options'!L63=0, 'Aqueous Species Options'!N63, IF(OR(ISBLANK('Aqueous Species Options'!G63),'Aqueous Species Table'!O63="", 'Aqueous Species Table'!P63=""), "", IF('Aqueous Species Options'!B63="H+", 0, (CHOOSE('Aqueous Species Options'!M63+1,'Aqueous Species Options'!$V$4*ABS('Aqueous Species Table'!P63)+'Aqueous Species Options'!$W$4,'Aqueous Species Options'!$Z$4)*('Aqueous Species Options'!G63 + 'Aqueous Species Table'!O63*100000*0.0000005903*41.8393) + CHOOSE('Aqueous Species Options'!M63+1,'Aqueous Species Options'!$X$4*ABS('Aqueous Species Table'!P63)+'Aqueous Species Options'!$Y$4,'Aqueous Species Options'!$AA$4))*10 ) ) ) )</f>
        <v>15.81</v>
      </c>
      <c r="J63" s="42">
        <f>IF(ISBLANK('Aqueous Species Options'!B63), "", IF('Aqueous Species Options'!L63 = 0, 'Aqueous Species Options'!O63, IF('Aqueous Species Table'!I63="", "", IF('Aqueous Species Options'!B63="H+", 0, ((1.11*('Aqueous Species Options'!G63 + 'Aqueous Species Table'!O63*100000*0.0000005903*41.8393)+1.8)/41.8393 - 'Aqueous Species Table'!I63/10)*26.01 ) ) ) )</f>
        <v>10.77</v>
      </c>
      <c r="K63" s="42">
        <f>IF(ISBLANK('Aqueous Species Options'!B63), "", IF('Aqueous Species Options'!L63 = 0, 'Aqueous Species Options'!P63, IF('Aqueous Species Table'!I63="", "", IF('Aqueous Species Options'!B63="H+", 0, ('Aqueous Species Options'!G63/41.8393 + 'Aqueous Species Table'!O63*100000*0.0000005903 - 'Aqueous Species Table'!I63/10 - 'Aqueous Species Table'!J63*100/2601)*(298.15-228) - ('Aqueous Species Table'!L63*10000/2601) ) ) ) )</f>
        <v>-4.1900000000000004</v>
      </c>
      <c r="L63" s="42">
        <f>IF(ISBLANK('Aqueous Species Options'!B63), "", IF('Aqueous Species Options'!L63 = 0, 'Aqueous Species Options'!Q63, IF('Aqueous Species Table'!J63="", "", IF('Aqueous Species Options'!B63="H+", 0, (-4.134*'Aqueous Species Table'!J63*100 - 27790)*0.0001) ) ) )</f>
        <v>-3.22</v>
      </c>
      <c r="M63" s="42">
        <f>IF(ISBLANK('Aqueous Species Options'!B63), "", IF('Aqueous Species Options'!L63=0, 'Aqueous Species Options'!R63, IF('Aqueous Species Table'!N63="", "", IF('Aqueous Species Options'!B63="H+", 0, 'Aqueous Species Options'!H63 - 'Aqueous Species Table'!O63*100000*(-0.000000309)*298.15 - 'Aqueous Species Table'!N63*10000/(298.15-228)^2 ) ) ) )</f>
        <v>41.1</v>
      </c>
      <c r="N63" s="42">
        <f>IF(ISBLANK('Aqueous Species Options'!B63), "", IF('Aqueous Species Options'!L63=0, 'Aqueous Species Options'!S63, IF(OR(ISBLANK('Aqueous Species Options'!H63), 'Aqueous Species Table'!O63=""), "", IF('Aqueous Species Options'!B63="H+", 0, 0.2037*'Aqueous Species Options'!H63 - 3.0346) ) ) )</f>
        <v>-11.5</v>
      </c>
      <c r="O63" s="42">
        <f>IF(ISBLANK('Aqueous Species Options'!B63), "", IF('Aqueous Species Options'!K63=0, 'Aqueous Species Options'!I63, IF(OR('Aqueous Species Options'!J63&gt;4,'Aqueous Species Options'!J63&lt;-4), "", IF('Aqueous Species Options'!B63="H+", 0, IF('Aqueous Species Options'!J63=0, -0.038, IF(ISBLANK('Aqueous Species Options'!F63), "", -1514.4*'Aqueous Species Options'!F63*0.00001 + SUM(({4,3,2,1,-1,-2,-3,-4}='Aqueous Species Options'!J63)*{2.1764,1.5793,1.0579,0.5517,1.6291,3.2127,4.8115,6.486}) ) ) ) ) ) )</f>
        <v>-1.1000000000000001</v>
      </c>
      <c r="P63" s="1">
        <f>IF(ISBLANK('Aqueous Species Options'!J63), "", 'Aqueous Species Options'!J63)</f>
        <v>0</v>
      </c>
      <c r="Q63" s="184" t="str">
        <f>IF(ISBLANK('Aqueous Species Options'!T63), "", 'Aqueous Species Options'!T63)</f>
        <v>Jamie &amp; Dimitri fit to exptl Cp(T) and pred. a1-a4; delGf and S from fitting logK dimerisation values from Lemke et al. (2009).</v>
      </c>
    </row>
    <row r="64" spans="2:17" ht="15" customHeight="1" x14ac:dyDescent="0.2">
      <c r="B64" s="9" t="str">
        <f>IF(ISBLANK('Aqueous Species Options'!B64), "", 'Aqueous Species Options'!B64)</f>
        <v>DKP,AQ</v>
      </c>
      <c r="C64" s="9" t="str">
        <f>IF(ISBLANK('Aqueous Species Options'!C64), "", 'Aqueous Species Options'!C64)</f>
        <v>C4H6O2N2</v>
      </c>
      <c r="D64" s="2">
        <f>IF(ISBLANK('Aqueous Species Options'!D64), "", 'Aqueous Species Options'!D64)</f>
        <v>-62500</v>
      </c>
      <c r="E64" s="1">
        <f>IF(ISBLANK('Aqueous Species Options'!E64), "", 'Aqueous Species Options'!E64)</f>
        <v>0</v>
      </c>
      <c r="F64" s="139">
        <f>IF(ISBLANK('Aqueous Species Options'!F64), "", 'Aqueous Species Options'!F64)</f>
        <v>63</v>
      </c>
      <c r="G64" s="29">
        <f>IF(ISBLANK('Aqueous Species Options'!B64), "", IF('Aqueous Species Options'!L64 = 1, IF(ISBLANK('Aqueous Species Options'!G64), "", 'Aqueous Species Options'!G64), ('Aqueous Species Table'!I64/10 + ('Aqueous Species Table'!J64*100)/(Calculations!$C$12+Calculations!$C$9) + ('Aqueous Species Table'!K64 + ('Aqueous Species Table'!L64*10000)/(Calculations!$C$12+Calculations!$C$9))*(1/(Calculations!$C$8-Calculations!$C$13)) - 'Aqueous Species Table'!O64*100000*0.0000005903)*41.8393))</f>
        <v>76.730003275900486</v>
      </c>
      <c r="H64" s="29">
        <f>IF(ISBLANK('Aqueous Species Options'!B64), "", IF('Aqueous Species Options'!L64 = 1, IF(ISBLANK('Aqueous Species Options'!H64), "", 'Aqueous Species Options'!H64), 'Aqueous Species Table'!M64 + 'Aqueous Species Table'!N64*10000*(1/(Calculations!$C$8-Calculations!$C$13))^2 + 'Aqueous Species Table'!O64*100000*Calculations!$C$8*Calculations!$C$7))</f>
        <v>17.000136376097618</v>
      </c>
      <c r="I64" s="42">
        <f>IF(ISBLANK('Aqueous Species Options'!B64), "", IF('Aqueous Species Options'!L64=0, 'Aqueous Species Options'!N64, IF(OR(ISBLANK('Aqueous Species Options'!G64),'Aqueous Species Table'!O64="", 'Aqueous Species Table'!P64=""), "", IF('Aqueous Species Options'!B64="H+", 0, (CHOOSE('Aqueous Species Options'!M64+1,'Aqueous Species Options'!$V$4*ABS('Aqueous Species Table'!P64)+'Aqueous Species Options'!$W$4,'Aqueous Species Options'!$Z$4)*('Aqueous Species Options'!G64 + 'Aqueous Species Table'!O64*100000*0.0000005903*41.8393) + CHOOSE('Aqueous Species Options'!M64+1,'Aqueous Species Options'!$X$4*ABS('Aqueous Species Table'!P64)+'Aqueous Species Options'!$Y$4,'Aqueous Species Options'!$AA$4))*10 ) ) ) )</f>
        <v>16.196600256286548</v>
      </c>
      <c r="J64" s="42">
        <f>IF(ISBLANK('Aqueous Species Options'!B64), "", IF('Aqueous Species Options'!L64 = 0, 'Aqueous Species Options'!O64, IF('Aqueous Species Table'!I64="", "", IF('Aqueous Species Options'!B64="H+", 0, ((1.11*('Aqueous Species Options'!G64 + 'Aqueous Species Table'!O64*100000*0.0000005903*41.8393)+1.8)/41.8393 - 'Aqueous Species Table'!I64/10)*26.01 ) ) ) )</f>
        <v>11.137633899629105</v>
      </c>
      <c r="K64" s="42">
        <f>IF(ISBLANK('Aqueous Species Options'!B64), "", IF('Aqueous Species Options'!L64 = 0, 'Aqueous Species Options'!P64, IF('Aqueous Species Table'!I64="", "", IF('Aqueous Species Options'!B64="H+", 0, ('Aqueous Species Options'!G64/41.8393 + 'Aqueous Species Table'!O64*100000*0.0000005903 - 'Aqueous Species Table'!I64/10 - 'Aqueous Species Table'!J64*100/2601)*(298.15-228) - ('Aqueous Species Table'!L64*10000/2601) ) ) ) )</f>
        <v>-4.5006997270279392</v>
      </c>
      <c r="L64" s="42">
        <f>IF(ISBLANK('Aqueous Species Options'!B64), "", IF('Aqueous Species Options'!L64 = 0, 'Aqueous Species Options'!Q64, IF('Aqueous Species Table'!J64="", "", IF('Aqueous Species Options'!B64="H+", 0, (-4.134*'Aqueous Species Table'!J64*100 - 27790)*0.0001) ) ) )</f>
        <v>-3.2394297854106675</v>
      </c>
      <c r="M64" s="42">
        <f>IF(ISBLANK('Aqueous Species Options'!B64), "", IF('Aqueous Species Options'!L64=0, 'Aqueous Species Options'!R64, IF('Aqueous Species Table'!N64="", "", IF('Aqueous Species Options'!B64="H+", 0, 'Aqueous Species Options'!H64 - 'Aqueous Species Table'!O64*100000*(-0.000000309)*298.15 - 'Aqueous Species Table'!N64*10000/(298.15-228)^2 ) ) ) )</f>
        <v>11.797857332676108</v>
      </c>
      <c r="N64" s="42">
        <f>IF(ISBLANK('Aqueous Species Options'!B64), "", IF('Aqueous Species Options'!L64=0, 'Aqueous Species Options'!S64, IF(OR(ISBLANK('Aqueous Species Options'!H64), 'Aqueous Species Table'!O64=""), "", IF('Aqueous Species Options'!B64="H+", 0, 0.2037*'Aqueous Species Options'!H64 - 3.0346) ) ) )</f>
        <v>0.4283277798110845</v>
      </c>
      <c r="O64" s="42">
        <f>IF(ISBLANK('Aqueous Species Options'!B64), "", IF('Aqueous Species Options'!K64=0, 'Aqueous Species Options'!I64, IF(OR('Aqueous Species Options'!J64&gt;4,'Aqueous Species Options'!J64&lt;-4), "", IF('Aqueous Species Options'!B64="H+", 0, IF('Aqueous Species Options'!J64=0, -0.038, IF(ISBLANK('Aqueous Species Options'!F64), "", -1514.4*'Aqueous Species Options'!F64*0.00001 + SUM(({4,3,2,1,-1,-2,-3,-4}='Aqueous Species Options'!J64)*{2.1764,1.5793,1.0579,0.5517,1.6291,3.2127,4.8115,6.486}) ) ) ) ) ) )</f>
        <v>-0.47020000000000001</v>
      </c>
      <c r="P64" s="1">
        <f>IF(ISBLANK('Aqueous Species Options'!J64), "", 'Aqueous Species Options'!J64)</f>
        <v>0</v>
      </c>
      <c r="Q64" s="184" t="str">
        <f>IF(ISBLANK('Aqueous Species Options'!T64), "", 'Aqueous Species Options'!T64)</f>
        <v>Jamie &amp; Dimitri fit delGf and S from to logK dimerisation values from Lemke et al. (2009);  pred. a1-a4;</v>
      </c>
    </row>
    <row r="65" spans="2:17" ht="15" customHeight="1" x14ac:dyDescent="0.2">
      <c r="B65" s="9" t="str">
        <f>IF(ISBLANK('Aqueous Species Options'!B65), "", 'Aqueous Species Options'!B65)</f>
        <v>Dy+3</v>
      </c>
      <c r="C65" s="9" t="str">
        <f>IF(ISBLANK('Aqueous Species Options'!C65), "", 'Aqueous Species Options'!C65)</f>
        <v>Dy(+3)</v>
      </c>
      <c r="D65" s="2">
        <f>IF(ISBLANK('Aqueous Species Options'!D65), "", 'Aqueous Species Options'!D65)</f>
        <v>-158700</v>
      </c>
      <c r="E65" s="1">
        <f>IF(ISBLANK('Aqueous Species Options'!E65), "", 'Aqueous Species Options'!E65)</f>
        <v>-166500</v>
      </c>
      <c r="F65" s="139">
        <f>IF(ISBLANK('Aqueous Species Options'!F65), "", 'Aqueous Species Options'!F65)</f>
        <v>-55.2</v>
      </c>
      <c r="G65" s="29">
        <f>IF(ISBLANK('Aqueous Species Options'!B65), "", IF('Aqueous Species Options'!L65 = 1, IF(ISBLANK('Aqueous Species Options'!G65), "", 'Aqueous Species Options'!G65), ('Aqueous Species Table'!I65/10 + ('Aqueous Species Table'!J65*100)/(Calculations!$C$12+Calculations!$C$9) + ('Aqueous Species Table'!K65 + ('Aqueous Species Table'!L65*10000)/(Calculations!$C$12+Calculations!$C$9))*(1/(Calculations!$C$8-Calculations!$C$13)) - 'Aqueous Species Table'!O65*100000*0.0000005903)*41.8393))</f>
        <v>-40.700109236579323</v>
      </c>
      <c r="H65" s="29">
        <f>IF(ISBLANK('Aqueous Species Options'!B65), "", IF('Aqueous Species Options'!L65 = 1, IF(ISBLANK('Aqueous Species Options'!H65), "", 'Aqueous Species Options'!H65), 'Aqueous Species Table'!M65 + 'Aqueous Species Table'!N65*10000*(1/(Calculations!$C$8-Calculations!$C$13))^2 + 'Aqueous Species Table'!O65*100000*Calculations!$C$8*Calculations!$C$7))</f>
        <v>-31.700048076381538</v>
      </c>
      <c r="I65" s="42">
        <f>IF(ISBLANK('Aqueous Species Options'!B65), "", IF('Aqueous Species Options'!L65=0, 'Aqueous Species Options'!N65, IF(OR(ISBLANK('Aqueous Species Options'!G65),'Aqueous Species Table'!O65="", 'Aqueous Species Table'!P65=""), "", IF('Aqueous Species Options'!B65="H+", 0, (CHOOSE('Aqueous Species Options'!M65+1,'Aqueous Species Options'!$V$4*ABS('Aqueous Species Table'!P65)+'Aqueous Species Options'!$W$4,'Aqueous Species Options'!$Z$4)*('Aqueous Species Options'!G65 + 'Aqueous Species Table'!O65*100000*0.0000005903*41.8393) + CHOOSE('Aqueous Species Options'!M65+1,'Aqueous Species Options'!$X$4*ABS('Aqueous Species Table'!P65)+'Aqueous Species Options'!$Y$4,'Aqueous Species Options'!$AA$4))*10 ) ) ) )</f>
        <v>-7.8786765811433028</v>
      </c>
      <c r="J65" s="42">
        <f>IF(ISBLANK('Aqueous Species Options'!B65), "", IF('Aqueous Species Options'!L65 = 0, 'Aqueous Species Options'!O65, IF('Aqueous Species Table'!I65="", "", IF('Aqueous Species Options'!B65="H+", 0, ((1.11*('Aqueous Species Options'!G65 + 'Aqueous Species Table'!O65*100000*0.0000005903*41.8393)+1.8)/41.8393 - 'Aqueous Species Table'!I65/10)*26.01 ) ) ) )</f>
        <v>-2.4187929666100163</v>
      </c>
      <c r="K65" s="42">
        <f>IF(ISBLANK('Aqueous Species Options'!B65), "", IF('Aqueous Species Options'!L65 = 0, 'Aqueous Species Options'!P65, IF('Aqueous Species Table'!I65="", "", IF('Aqueous Species Options'!B65="H+", 0, ('Aqueous Species Options'!G65/41.8393 + 'Aqueous Species Table'!O65*100000*0.0000005903 - 'Aqueous Species Table'!I65/10 - 'Aqueous Species Table'!J65*100/2601)*(298.15-228) - ('Aqueous Species Table'!L65*10000/2601) ) ) ) )</f>
        <v>13.704595472342209</v>
      </c>
      <c r="L65" s="42">
        <f>IF(ISBLANK('Aqueous Species Options'!B65), "", IF('Aqueous Species Options'!L65 = 0, 'Aqueous Species Options'!Q65, IF('Aqueous Species Table'!J65="", "", IF('Aqueous Species Options'!B65="H+", 0, (-4.134*'Aqueous Species Table'!J65*100 - 27790)*0.0001) ) ) )</f>
        <v>-2.679007098760342</v>
      </c>
      <c r="M65" s="42">
        <f>IF(ISBLANK('Aqueous Species Options'!B65), "", IF('Aqueous Species Options'!L65=0, 'Aqueous Species Options'!R65, IF('Aqueous Species Table'!N65="", "", IF('Aqueous Species Options'!B65="H+", 0, 'Aqueous Species Options'!H65 - 'Aqueous Species Table'!O65*100000*(-0.000000309)*298.15 - 'Aqueous Species Table'!N65*10000/(298.15-228)^2 ) ) ) )</f>
        <v>9.5075995796786508</v>
      </c>
      <c r="N65" s="42">
        <f>IF(ISBLANK('Aqueous Species Options'!B65), "", IF('Aqueous Species Options'!L65=0, 'Aqueous Species Options'!S65, IF(OR(ISBLANK('Aqueous Species Options'!H65), 'Aqueous Species Table'!O65=""), "", IF('Aqueous Species Options'!B65="H+", 0, 0.2037*'Aqueous Species Options'!H65 - 3.0346) ) ) )</f>
        <v>-9.4918997931589182</v>
      </c>
      <c r="O65" s="42">
        <f>IF(ISBLANK('Aqueous Species Options'!B65), "", IF('Aqueous Species Options'!K65=0, 'Aqueous Species Options'!I65, IF(OR('Aqueous Species Options'!J65&gt;4,'Aqueous Species Options'!J65&lt;-4), "", IF('Aqueous Species Options'!B65="H+", 0, IF('Aqueous Species Options'!J65=0, -0.038, IF(ISBLANK('Aqueous Species Options'!F65), "", -1514.4*'Aqueous Species Options'!F65*0.00001 + SUM(({4,3,2,1,-1,-2,-3,-4}='Aqueous Species Options'!J65)*{2.1764,1.5793,1.0579,0.5517,1.6291,3.2127,4.8115,6.486}) ) ) ) ) ) )</f>
        <v>2.3792</v>
      </c>
      <c r="P65" s="1">
        <f>IF(ISBLANK('Aqueous Species Options'!J65), "", 'Aqueous Species Options'!J65)</f>
        <v>3</v>
      </c>
      <c r="Q65" s="184" t="str">
        <f>IF(ISBLANK('Aqueous Species Options'!T65), "", 'Aqueous Species Options'!T65)</f>
        <v>Shock et al. (1997) revised with new predicted a1 for cations</v>
      </c>
    </row>
    <row r="66" spans="2:17" ht="15" customHeight="1" x14ac:dyDescent="0.2">
      <c r="B66" s="9" t="str">
        <f>IF(ISBLANK('Aqueous Species Options'!B66), "", 'Aqueous Species Options'!B66)</f>
        <v>Er+3</v>
      </c>
      <c r="C66" s="9" t="str">
        <f>IF(ISBLANK('Aqueous Species Options'!C66), "", 'Aqueous Species Options'!C66)</f>
        <v>Er(+3)</v>
      </c>
      <c r="D66" s="2">
        <f>IF(ISBLANK('Aqueous Species Options'!D66), "", 'Aqueous Species Options'!D66)</f>
        <v>-159900</v>
      </c>
      <c r="E66" s="1">
        <f>IF(ISBLANK('Aqueous Species Options'!E66), "", 'Aqueous Species Options'!E66)</f>
        <v>-168500</v>
      </c>
      <c r="F66" s="139">
        <f>IF(ISBLANK('Aqueous Species Options'!F66), "", 'Aqueous Species Options'!F66)</f>
        <v>-58.3</v>
      </c>
      <c r="G66" s="29">
        <f>IF(ISBLANK('Aqueous Species Options'!B66), "", IF('Aqueous Species Options'!L66 = 1, IF(ISBLANK('Aqueous Species Options'!G66), "", 'Aqueous Species Options'!G66), ('Aqueous Species Table'!I66/10 + ('Aqueous Species Table'!J66*100)/(Calculations!$C$12+Calculations!$C$9) + ('Aqueous Species Table'!K66 + ('Aqueous Species Table'!L66*10000)/(Calculations!$C$12+Calculations!$C$9))*(1/(Calculations!$C$8-Calculations!$C$13)) - 'Aqueous Species Table'!O66*100000*0.0000005903)*41.8393))</f>
        <v>-42.999953994110861</v>
      </c>
      <c r="H66" s="29">
        <f>IF(ISBLANK('Aqueous Species Options'!B66), "", IF('Aqueous Species Options'!L66 = 1, IF(ISBLANK('Aqueous Species Options'!H66), "", 'Aqueous Species Options'!H66), 'Aqueous Species Table'!M66 + 'Aqueous Species Table'!N66*10000*(1/(Calculations!$C$8-Calculations!$C$13))^2 + 'Aqueous Species Table'!O66*100000*Calculations!$C$8*Calculations!$C$7))</f>
        <v>-34.299921749811872</v>
      </c>
      <c r="I66" s="42">
        <f>IF(ISBLANK('Aqueous Species Options'!B66), "", IF('Aqueous Species Options'!L66=0, 'Aqueous Species Options'!N66, IF(OR(ISBLANK('Aqueous Species Options'!G66),'Aqueous Species Table'!O66="", 'Aqueous Species Table'!P66=""), "", IF('Aqueous Species Options'!B66="H+", 0, (CHOOSE('Aqueous Species Options'!M66+1,'Aqueous Species Options'!$V$4*ABS('Aqueous Species Table'!P66)+'Aqueous Species Options'!$W$4,'Aqueous Species Options'!$Z$4)*('Aqueous Species Options'!G66 + 'Aqueous Species Table'!O66*100000*0.0000005903*41.8393) + CHOOSE('Aqueous Species Options'!M66+1,'Aqueous Species Options'!$X$4*ABS('Aqueous Species Table'!P66)+'Aqueous Species Options'!$Y$4,'Aqueous Species Options'!$AA$4))*10 ) ) ) )</f>
        <v>-8.6989928382714226</v>
      </c>
      <c r="J66" s="42">
        <f>IF(ISBLANK('Aqueous Species Options'!B66), "", IF('Aqueous Species Options'!L66 = 0, 'Aqueous Species Options'!O66, IF('Aqueous Species Table'!I66="", "", IF('Aqueous Species Options'!B66="H+", 0, ((1.11*('Aqueous Species Options'!G66 + 'Aqueous Species Table'!O66*100000*0.0000005903*41.8393)+1.8)/41.8393 - 'Aqueous Species Table'!I66/10)*26.01 ) ) ) )</f>
        <v>-1.8171046357427942</v>
      </c>
      <c r="K66" s="42">
        <f>IF(ISBLANK('Aqueous Species Options'!B66), "", IF('Aqueous Species Options'!L66 = 0, 'Aqueous Species Options'!P66, IF('Aqueous Species Table'!I66="", "", IF('Aqueous Species Options'!B66="H+", 0, ('Aqueous Species Options'!G66/41.8393 + 'Aqueous Species Table'!O66*100000*0.0000005903 - 'Aqueous Species Table'!I66/10 - 'Aqueous Species Table'!J66*100/2601)*(298.15-228) - ('Aqueous Species Table'!L66*10000/2601) ) ) ) )</f>
        <v>14.209678974937539</v>
      </c>
      <c r="L66" s="42">
        <f>IF(ISBLANK('Aqueous Species Options'!B66), "", IF('Aqueous Species Options'!L66 = 0, 'Aqueous Species Options'!Q66, IF('Aqueous Species Table'!J66="", "", IF('Aqueous Species Options'!B66="H+", 0, (-4.134*'Aqueous Species Table'!J66*100 - 27790)*0.0001) ) ) )</f>
        <v>-2.703880894358393</v>
      </c>
      <c r="M66" s="42">
        <f>IF(ISBLANK('Aqueous Species Options'!B66), "", IF('Aqueous Species Options'!L66=0, 'Aqueous Species Options'!R66, IF('Aqueous Species Table'!N66="", "", IF('Aqueous Species Options'!B66="H+", 0, 'Aqueous Species Options'!H66 - 'Aqueous Species Table'!O66*100000*(-0.000000309)*298.15 - 'Aqueous Species Table'!N66*10000/(298.15-228)^2 ) ) ) )</f>
        <v>8.2814879302252358</v>
      </c>
      <c r="N66" s="42">
        <f>IF(ISBLANK('Aqueous Species Options'!B66), "", IF('Aqueous Species Options'!L66=0, 'Aqueous Species Options'!S66, IF(OR(ISBLANK('Aqueous Species Options'!H66), 'Aqueous Species Table'!O66=""), "", IF('Aqueous Species Options'!B66="H+", 0, 0.2037*'Aqueous Species Options'!H66 - 3.0346) ) ) )</f>
        <v>-10.021494060436678</v>
      </c>
      <c r="O66" s="42">
        <f>IF(ISBLANK('Aqueous Species Options'!B66), "", IF('Aqueous Species Options'!K66=0, 'Aqueous Species Options'!I66, IF(OR('Aqueous Species Options'!J66&gt;4,'Aqueous Species Options'!J66&lt;-4), "", IF('Aqueous Species Options'!B66="H+", 0, IF('Aqueous Species Options'!J66=0, -0.038, IF(ISBLANK('Aqueous Species Options'!F66), "", -1514.4*'Aqueous Species Options'!F66*0.00001 + SUM(({4,3,2,1,-1,-2,-3,-4}='Aqueous Species Options'!J66)*{2.1764,1.5793,1.0579,0.5517,1.6291,3.2127,4.8115,6.486}) ) ) ) ) ) )</f>
        <v>2.4115000000000002</v>
      </c>
      <c r="P66" s="1">
        <f>IF(ISBLANK('Aqueous Species Options'!J66), "", 'Aqueous Species Options'!J66)</f>
        <v>3</v>
      </c>
      <c r="Q66" s="184" t="str">
        <f>IF(ISBLANK('Aqueous Species Options'!T66), "", 'Aqueous Species Options'!T66)</f>
        <v>Shock et al. (1997) revised with new predicted a1 for cations</v>
      </c>
    </row>
    <row r="67" spans="2:17" ht="15" customHeight="1" x14ac:dyDescent="0.2">
      <c r="B67" s="9" t="str">
        <f>IF(ISBLANK('Aqueous Species Options'!B67), "", 'Aqueous Species Options'!B67)</f>
        <v>ETHANE,AQ</v>
      </c>
      <c r="C67" s="9" t="str">
        <f>IF(ISBLANK('Aqueous Species Options'!C67), "", 'Aqueous Species Options'!C67)</f>
        <v>C2H6</v>
      </c>
      <c r="D67" s="2">
        <f>IF(ISBLANK('Aqueous Species Options'!D67), "", 'Aqueous Species Options'!D67)</f>
        <v>-3886</v>
      </c>
      <c r="E67" s="1">
        <f>IF(ISBLANK('Aqueous Species Options'!E67), "", 'Aqueous Species Options'!E67)</f>
        <v>-24650</v>
      </c>
      <c r="F67" s="139">
        <f>IF(ISBLANK('Aqueous Species Options'!F67), "", 'Aqueous Species Options'!F67)</f>
        <v>26.81</v>
      </c>
      <c r="G67" s="29">
        <f>IF(ISBLANK('Aqueous Species Options'!B67), "", IF('Aqueous Species Options'!L67 = 1, IF(ISBLANK('Aqueous Species Options'!G67), "", 'Aqueous Species Options'!G67), ('Aqueous Species Table'!I67/10 + ('Aqueous Species Table'!J67*100)/(Calculations!$C$12+Calculations!$C$9) + ('Aqueous Species Table'!K67 + ('Aqueous Species Table'!L67*10000)/(Calculations!$C$12+Calculations!$C$9))*(1/(Calculations!$C$8-Calculations!$C$13)) - 'Aqueous Species Table'!O67*100000*0.0000005903)*41.8393))</f>
        <v>51.200016666614502</v>
      </c>
      <c r="H67" s="29">
        <f>IF(ISBLANK('Aqueous Species Options'!B67), "", IF('Aqueous Species Options'!L67 = 1, IF(ISBLANK('Aqueous Species Options'!H67), "", 'Aqueous Species Options'!H67), 'Aqueous Species Table'!M67 + 'Aqueous Species Table'!N67*10000*(1/(Calculations!$C$8-Calculations!$C$13))^2 + 'Aqueous Species Table'!O67*100000*Calculations!$C$8*Calculations!$C$7))</f>
        <v>88.300043575945409</v>
      </c>
      <c r="I67" s="42">
        <f>IF(ISBLANK('Aqueous Species Options'!B67), "", IF('Aqueous Species Options'!L67=0, 'Aqueous Species Options'!N67, IF(OR(ISBLANK('Aqueous Species Options'!G67),'Aqueous Species Table'!O67="", 'Aqueous Species Table'!P67=""), "", IF('Aqueous Species Options'!B67="H+", 0, (CHOOSE('Aqueous Species Options'!M67+1,'Aqueous Species Options'!$V$4*ABS('Aqueous Species Table'!P67)+'Aqueous Species Options'!$W$4,'Aqueous Species Options'!$Z$4)*('Aqueous Species Options'!G67 + 'Aqueous Species Table'!O67*100000*0.0000005903*41.8393) + CHOOSE('Aqueous Species Options'!M67+1,'Aqueous Species Options'!$X$4*ABS('Aqueous Species Table'!P67)+'Aqueous Species Options'!$Y$4,'Aqueous Species Options'!$AA$4))*10 ) ) ) )</f>
        <v>11.269215394096722</v>
      </c>
      <c r="J67" s="42">
        <f>IF(ISBLANK('Aqueous Species Options'!B67), "", IF('Aqueous Species Options'!L67 = 0, 'Aqueous Species Options'!O67, IF('Aqueous Species Table'!I67="", "", IF('Aqueous Species Options'!B67="H+", 0, ((1.11*('Aqueous Species Options'!G67 + 'Aqueous Species Table'!O67*100000*0.0000005903*41.8393)+1.8)/41.8393 - 'Aqueous Species Table'!I67/10)*26.01 ) ) ) )</f>
        <v>6.4462747142860461</v>
      </c>
      <c r="K67" s="42">
        <f>IF(ISBLANK('Aqueous Species Options'!B67), "", IF('Aqueous Species Options'!L67 = 0, 'Aqueous Species Options'!P67, IF('Aqueous Species Table'!I67="", "", IF('Aqueous Species Options'!B67="H+", 0, ('Aqueous Species Options'!G67/41.8393 + 'Aqueous Species Table'!O67*100000*0.0000005903 - 'Aqueous Species Table'!I67/10 - 'Aqueous Species Table'!J67*100/2601)*(298.15-228) - ('Aqueous Species Table'!L67*10000/2601) ) ) ) )</f>
        <v>-0.56703950893905564</v>
      </c>
      <c r="L67" s="42">
        <f>IF(ISBLANK('Aqueous Species Options'!B67), "", IF('Aqueous Species Options'!L67 = 0, 'Aqueous Species Options'!Q67, IF('Aqueous Species Table'!J67="", "", IF('Aqueous Species Options'!B67="H+", 0, (-4.134*'Aqueous Species Table'!J67*100 - 27790)*0.0001) ) ) )</f>
        <v>-3.0454889966885852</v>
      </c>
      <c r="M67" s="42">
        <f>IF(ISBLANK('Aqueous Species Options'!B67), "", IF('Aqueous Species Options'!L67=0, 'Aqueous Species Options'!R67, IF('Aqueous Species Table'!N67="", "", IF('Aqueous Species Options'!B67="H+", 0, 'Aqueous Species Options'!H67 - 'Aqueous Species Table'!O67*100000*(-0.000000309)*298.15 - 'Aqueous Species Table'!N67*10000/(298.15-228)^2 ) ) ) )</f>
        <v>54.175461641264434</v>
      </c>
      <c r="N67" s="42">
        <f>IF(ISBLANK('Aqueous Species Options'!B67), "", IF('Aqueous Species Options'!L67=0, 'Aqueous Species Options'!S67, IF(OR(ISBLANK('Aqueous Species Options'!H67), 'Aqueous Species Table'!O67=""), "", IF('Aqueous Species Options'!B67="H+", 0, 0.2037*'Aqueous Species Options'!H67 - 3.0346) ) ) )</f>
        <v>14.952118876420077</v>
      </c>
      <c r="O67" s="42">
        <f>IF(ISBLANK('Aqueous Species Options'!B67), "", IF('Aqueous Species Options'!K67=0, 'Aqueous Species Options'!I67, IF(OR('Aqueous Species Options'!J67&gt;4,'Aqueous Species Options'!J67&lt;-4), "", IF('Aqueous Species Options'!B67="H+", 0, IF('Aqueous Species Options'!J67=0, -0.038, IF(ISBLANK('Aqueous Species Options'!F67), "", -1514.4*'Aqueous Species Options'!F67*0.00001 + SUM(({4,3,2,1,-1,-2,-3,-4}='Aqueous Species Options'!J67)*{2.1764,1.5793,1.0579,0.5517,1.6291,3.2127,4.8115,6.486}) ) ) ) ) ) )</f>
        <v>-0.40600000000000003</v>
      </c>
      <c r="P67" s="1">
        <f>IF(ISBLANK('Aqueous Species Options'!J67), "", 'Aqueous Species Options'!J67)</f>
        <v>0</v>
      </c>
      <c r="Q67" s="184" t="str">
        <f>IF(ISBLANK('Aqueous Species Options'!T67), "", 'Aqueous Species Options'!T67)</f>
        <v>Shock &amp; Helgeson (1990) revised with new predicted a1 for complex species</v>
      </c>
    </row>
    <row r="68" spans="2:17" ht="15" customHeight="1" x14ac:dyDescent="0.2">
      <c r="B68" s="9" t="str">
        <f>IF(ISBLANK('Aqueous Species Options'!B68), "", 'Aqueous Species Options'!B68)</f>
        <v>ETHANOL,AQ</v>
      </c>
      <c r="C68" s="9" t="str">
        <f>IF(ISBLANK('Aqueous Species Options'!C68), "", 'Aqueous Species Options'!C68)</f>
        <v>C2H5OH</v>
      </c>
      <c r="D68" s="2">
        <f>IF(ISBLANK('Aqueous Species Options'!D68), "", 'Aqueous Species Options'!D68)</f>
        <v>-43330</v>
      </c>
      <c r="E68" s="1">
        <f>IF(ISBLANK('Aqueous Species Options'!E68), "", 'Aqueous Species Options'!E68)</f>
        <v>-68650</v>
      </c>
      <c r="F68" s="139">
        <f>IF(ISBLANK('Aqueous Species Options'!F68), "", 'Aqueous Species Options'!F68)</f>
        <v>35.9</v>
      </c>
      <c r="G68" s="29">
        <f>IF(ISBLANK('Aqueous Species Options'!B68), "", IF('Aqueous Species Options'!L68 = 1, IF(ISBLANK('Aqueous Species Options'!G68), "", 'Aqueous Species Options'!G68), ('Aqueous Species Table'!I68/10 + ('Aqueous Species Table'!J68*100)/(Calculations!$C$12+Calculations!$C$9) + ('Aqueous Species Table'!K68 + ('Aqueous Species Table'!L68*10000)/(Calculations!$C$12+Calculations!$C$9))*(1/(Calculations!$C$8-Calculations!$C$13)) - 'Aqueous Species Table'!O68*100000*0.0000005903)*41.8393))</f>
        <v>55.080070558532036</v>
      </c>
      <c r="H68" s="29">
        <f>IF(ISBLANK('Aqueous Species Options'!B68), "", IF('Aqueous Species Options'!L68 = 1, IF(ISBLANK('Aqueous Species Options'!H68), "", 'Aqueous Species Options'!H68), 'Aqueous Species Table'!M68 + 'Aqueous Species Table'!N68*10000*(1/(Calculations!$C$8-Calculations!$C$13))^2 + 'Aqueous Species Table'!O68*100000*Calculations!$C$8*Calculations!$C$7))</f>
        <v>62.200391658706195</v>
      </c>
      <c r="I68" s="42">
        <f>IF(ISBLANK('Aqueous Species Options'!B68), "", IF('Aqueous Species Options'!L68=0, 'Aqueous Species Options'!N68, IF(OR(ISBLANK('Aqueous Species Options'!G68),'Aqueous Species Table'!O68="", 'Aqueous Species Table'!P68=""), "", IF('Aqueous Species Options'!B68="H+", 0, (CHOOSE('Aqueous Species Options'!M68+1,'Aqueous Species Options'!$V$4*ABS('Aqueous Species Table'!P68)+'Aqueous Species Options'!$W$4,'Aqueous Species Options'!$Z$4)*('Aqueous Species Options'!G68 + 'Aqueous Species Table'!O68*100000*0.0000005903*41.8393) + CHOOSE('Aqueous Species Options'!M68+1,'Aqueous Species Options'!$X$4*ABS('Aqueous Species Table'!P68)+'Aqueous Species Options'!$Y$4,'Aqueous Species Options'!$AA$4))*10 ) ) ) )</f>
        <v>9.2332999999999998</v>
      </c>
      <c r="J68" s="42">
        <f>IF(ISBLANK('Aqueous Species Options'!B68), "", IF('Aqueous Species Options'!L68 = 0, 'Aqueous Species Options'!O68, IF('Aqueous Species Table'!I68="", "", IF('Aqueous Species Options'!B68="H+", 0, ((1.11*('Aqueous Species Options'!G68 + 'Aqueous Species Table'!O68*100000*0.0000005903*41.8393)+1.8)/41.8393 - 'Aqueous Species Table'!I68/10)*26.01 ) ) ) )</f>
        <v>9.9581</v>
      </c>
      <c r="K68" s="42">
        <f>IF(ISBLANK('Aqueous Species Options'!B68), "", IF('Aqueous Species Options'!L68 = 0, 'Aqueous Species Options'!P68, IF('Aqueous Species Table'!I68="", "", IF('Aqueous Species Options'!B68="H+", 0, ('Aqueous Species Options'!G68/41.8393 + 'Aqueous Species Table'!O68*100000*0.0000005903 - 'Aqueous Species Table'!I68/10 - 'Aqueous Species Table'!J68*100/2601)*(298.15-228) - ('Aqueous Species Table'!L68*10000/2601) ) ) ) )</f>
        <v>12.144500000000001</v>
      </c>
      <c r="L68" s="42">
        <f>IF(ISBLANK('Aqueous Species Options'!B68), "", IF('Aqueous Species Options'!L68 = 0, 'Aqueous Species Options'!Q68, IF('Aqueous Species Table'!J68="", "", IF('Aqueous Species Options'!B68="H+", 0, (-4.134*'Aqueous Species Table'!J68*100 - 27790)*0.0001) ) ) )</f>
        <v>-3.1905999999999999</v>
      </c>
      <c r="M68" s="42">
        <f>IF(ISBLANK('Aqueous Species Options'!B68), "", IF('Aqueous Species Options'!L68=0, 'Aqueous Species Options'!R68, IF('Aqueous Species Table'!N68="", "", IF('Aqueous Species Options'!B68="H+", 0, 'Aqueous Species Options'!H68 - 'Aqueous Species Table'!O68*100000*(-0.000000309)*298.15 - 'Aqueous Species Table'!N68*10000/(298.15-228)^2 ) ) ) )</f>
        <v>60.017499999999998</v>
      </c>
      <c r="N68" s="42">
        <f>IF(ISBLANK('Aqueous Species Options'!B68), "", IF('Aqueous Species Options'!L68=0, 'Aqueous Species Options'!S68, IF(OR(ISBLANK('Aqueous Species Options'!H68), 'Aqueous Species Table'!O68=""), "", IF('Aqueous Species Options'!B68="H+", 0, 0.2037*'Aqueous Species Options'!H68 - 3.0346) ) ) )</f>
        <v>0.1507</v>
      </c>
      <c r="O68" s="42">
        <f>IF(ISBLANK('Aqueous Species Options'!B68), "", IF('Aqueous Species Options'!K68=0, 'Aqueous Species Options'!I68, IF(OR('Aqueous Species Options'!J68&gt;4,'Aqueous Species Options'!J68&lt;-4), "", IF('Aqueous Species Options'!B68="H+", 0, IF('Aqueous Species Options'!J68=0, -0.038, IF(ISBLANK('Aqueous Species Options'!F68), "", -1514.4*'Aqueous Species Options'!F68*0.00001 + SUM(({4,3,2,1,-1,-2,-3,-4}='Aqueous Species Options'!J68)*{2.1764,1.5793,1.0579,0.5517,1.6291,3.2127,4.8115,6.486}) ) ) ) ) ) )</f>
        <v>-0.20369999999999999</v>
      </c>
      <c r="P68" s="1">
        <f>IF(ISBLANK('Aqueous Species Options'!J68), "", 'Aqueous Species Options'!J68)</f>
        <v>0</v>
      </c>
      <c r="Q68" s="184" t="str">
        <f>IF(ISBLANK('Aqueous Species Options'!T68), "", 'Aqueous Species Options'!T68)</f>
        <v>Plyasunov &amp; Shock (2001)</v>
      </c>
    </row>
    <row r="69" spans="2:17" ht="15" customHeight="1" x14ac:dyDescent="0.2">
      <c r="B69" s="9" t="str">
        <f>IF(ISBLANK('Aqueous Species Options'!B69), "", 'Aqueous Species Options'!B69)</f>
        <v>ETHYLENE,AQ</v>
      </c>
      <c r="C69" s="9" t="str">
        <f>IF(ISBLANK('Aqueous Species Options'!C69), "", 'Aqueous Species Options'!C69)</f>
        <v>C2H4</v>
      </c>
      <c r="D69" s="2">
        <f>IF(ISBLANK('Aqueous Species Options'!D69), "", 'Aqueous Species Options'!D69)</f>
        <v>19450</v>
      </c>
      <c r="E69" s="1">
        <f>IF(ISBLANK('Aqueous Species Options'!E69), "", 'Aqueous Species Options'!E69)</f>
        <v>8570</v>
      </c>
      <c r="F69" s="139">
        <f>IF(ISBLANK('Aqueous Species Options'!F69), "", 'Aqueous Species Options'!F69)</f>
        <v>28.6</v>
      </c>
      <c r="G69" s="29">
        <f>IF(ISBLANK('Aqueous Species Options'!B69), "", IF('Aqueous Species Options'!L69 = 1, IF(ISBLANK('Aqueous Species Options'!G69), "", 'Aqueous Species Options'!G69), ('Aqueous Species Table'!I69/10 + ('Aqueous Species Table'!J69*100)/(Calculations!$C$12+Calculations!$C$9) + ('Aqueous Species Table'!K69 + ('Aqueous Species Table'!L69*10000)/(Calculations!$C$12+Calculations!$C$9))*(1/(Calculations!$C$8-Calculations!$C$13)) - 'Aqueous Species Table'!O69*100000*0.0000005903)*41.8393))</f>
        <v>46</v>
      </c>
      <c r="H69" s="29">
        <f>IF(ISBLANK('Aqueous Species Options'!B69), "", IF('Aqueous Species Options'!L69 = 1, IF(ISBLANK('Aqueous Species Options'!H69), "", 'Aqueous Species Options'!H69), 'Aqueous Species Table'!M69 + 'Aqueous Species Table'!N69*10000*(1/(Calculations!$C$8-Calculations!$C$13))^2 + 'Aqueous Species Table'!O69*100000*Calculations!$C$8*Calculations!$C$7))</f>
        <v>66.900000000000006</v>
      </c>
      <c r="I69" s="42">
        <f>IF(ISBLANK('Aqueous Species Options'!B69), "", IF('Aqueous Species Options'!L69=0, 'Aqueous Species Options'!N69, IF(OR(ISBLANK('Aqueous Species Options'!G69),'Aqueous Species Table'!O69="", 'Aqueous Species Table'!P69=""), "", IF('Aqueous Species Options'!B69="H+", 0, (CHOOSE('Aqueous Species Options'!M69+1,'Aqueous Species Options'!$V$4*ABS('Aqueous Species Table'!P69)+'Aqueous Species Options'!$W$4,'Aqueous Species Options'!$Z$4)*('Aqueous Species Options'!G69 + 'Aqueous Species Table'!O69*100000*0.0000005903*41.8393) + CHOOSE('Aqueous Species Options'!M69+1,'Aqueous Species Options'!$X$4*ABS('Aqueous Species Table'!P69)+'Aqueous Species Options'!$Y$4,'Aqueous Species Options'!$AA$4))*10 ) ) ) )</f>
        <v>10.305367016637419</v>
      </c>
      <c r="J69" s="42">
        <f>IF(ISBLANK('Aqueous Species Options'!B69), "", IF('Aqueous Species Options'!L69 = 0, 'Aqueous Species Options'!O69, IF('Aqueous Species Table'!I69="", "", IF('Aqueous Species Options'!B69="H+", 0, ((1.11*('Aqueous Species Options'!G69 + 'Aqueous Species Table'!O69*100000*0.0000005903*41.8393)+1.8)/41.8393 - 'Aqueous Species Table'!I69/10)*26.01 ) ) ) )</f>
        <v>5.5285954451935648</v>
      </c>
      <c r="K69" s="42">
        <f>IF(ISBLANK('Aqueous Species Options'!B69), "", IF('Aqueous Species Options'!L69 = 0, 'Aqueous Species Options'!P69, IF('Aqueous Species Table'!I69="", "", IF('Aqueous Species Options'!B69="H+", 0, ('Aqueous Species Options'!G69/41.8393 + 'Aqueous Species Table'!O69*100000*0.0000005903 - 'Aqueous Species Table'!I69/10 - 'Aqueous Species Table'!J69*100/2601)*(298.15-228) - ('Aqueous Species Table'!L69*10000/2601) ) ) ) )</f>
        <v>0.20242586158126663</v>
      </c>
      <c r="L69" s="42">
        <f>IF(ISBLANK('Aqueous Species Options'!B69), "", IF('Aqueous Species Options'!L69 = 0, 'Aqueous Species Options'!Q69, IF('Aqueous Species Table'!J69="", "", IF('Aqueous Species Options'!B69="H+", 0, (-4.134*'Aqueous Species Table'!J69*100 - 27790)*0.0001) ) ) )</f>
        <v>-3.007552135704302</v>
      </c>
      <c r="M69" s="42">
        <f>IF(ISBLANK('Aqueous Species Options'!B69), "", IF('Aqueous Species Options'!L69=0, 'Aqueous Species Options'!R69, IF('Aqueous Species Table'!N69="", "", IF('Aqueous Species Options'!B69="H+", 0, 'Aqueous Species Options'!H69 - 'Aqueous Species Table'!O69*100000*(-0.000000309)*298.15 - 'Aqueous Species Table'!N69*10000/(298.15-228)^2 ) ) ) )</f>
        <v>42.518149240249528</v>
      </c>
      <c r="N69" s="42">
        <f>IF(ISBLANK('Aqueous Species Options'!B69), "", IF('Aqueous Species Options'!L69=0, 'Aqueous Species Options'!S69, IF(OR(ISBLANK('Aqueous Species Options'!H69), 'Aqueous Species Table'!O69=""), "", IF('Aqueous Species Options'!B69="H+", 0, 0.2037*'Aqueous Species Options'!H69 - 3.0346) ) ) )</f>
        <v>10.592929999999999</v>
      </c>
      <c r="O69" s="42">
        <f>IF(ISBLANK('Aqueous Species Options'!B69), "", IF('Aqueous Species Options'!K69=0, 'Aqueous Species Options'!I69, IF(OR('Aqueous Species Options'!J69&gt;4,'Aqueous Species Options'!J69&lt;-4), "", IF('Aqueous Species Options'!B69="H+", 0, IF('Aqueous Species Options'!J69=0, -0.038, IF(ISBLANK('Aqueous Species Options'!F69), "", -1514.4*'Aqueous Species Options'!F69*0.00001 + SUM(({4,3,2,1,-1,-2,-3,-4}='Aqueous Species Options'!J69)*{2.1764,1.5793,1.0579,0.5517,1.6291,3.2127,4.8115,6.486}) ) ) ) ) ) )</f>
        <v>-0.31</v>
      </c>
      <c r="P69" s="1">
        <f>IF(ISBLANK('Aqueous Species Options'!J69), "", 'Aqueous Species Options'!J69)</f>
        <v>0</v>
      </c>
      <c r="Q69" s="184" t="str">
        <f>IF(ISBLANK('Aqueous Species Options'!T69), "", 'Aqueous Species Options'!T69)</f>
        <v>Plyasunov &amp; Shock (2001) for c1, c2 &amp; omega; a1 predicted with new correlation for complex species from Sverjensky et al. (2014)</v>
      </c>
    </row>
    <row r="70" spans="2:17" ht="15" customHeight="1" x14ac:dyDescent="0.2">
      <c r="B70" s="9" t="str">
        <f>IF(ISBLANK('Aqueous Species Options'!B70), "", 'Aqueous Species Options'!B70)</f>
        <v>Eu+2</v>
      </c>
      <c r="C70" s="9" t="str">
        <f>IF(ISBLANK('Aqueous Species Options'!C70), "", 'Aqueous Species Options'!C70)</f>
        <v>Eu(+2)</v>
      </c>
      <c r="D70" s="2">
        <f>IF(ISBLANK('Aqueous Species Options'!D70), "", 'Aqueous Species Options'!D70)</f>
        <v>-129200</v>
      </c>
      <c r="E70" s="1">
        <f>IF(ISBLANK('Aqueous Species Options'!E70), "", 'Aqueous Species Options'!E70)</f>
        <v>-126150</v>
      </c>
      <c r="F70" s="139">
        <f>IF(ISBLANK('Aqueous Species Options'!F70), "", 'Aqueous Species Options'!F70)</f>
        <v>-2.4</v>
      </c>
      <c r="G70" s="29">
        <f>IF(ISBLANK('Aqueous Species Options'!B70), "", IF('Aqueous Species Options'!L70 = 1, IF(ISBLANK('Aqueous Species Options'!G70), "", 'Aqueous Species Options'!G70), ('Aqueous Species Table'!I70/10 + ('Aqueous Species Table'!J70*100)/(Calculations!$C$12+Calculations!$C$9) + ('Aqueous Species Table'!K70 + ('Aqueous Species Table'!L70*10000)/(Calculations!$C$12+Calculations!$C$9))*(1/(Calculations!$C$8-Calculations!$C$13)) - 'Aqueous Species Table'!O70*100000*0.0000005903)*41.8393))</f>
        <v>-15.300001424806071</v>
      </c>
      <c r="H70" s="29">
        <f>IF(ISBLANK('Aqueous Species Options'!B70), "", IF('Aqueous Species Options'!L70 = 1, IF(ISBLANK('Aqueous Species Options'!H70), "", 'Aqueous Species Options'!H70), 'Aqueous Species Table'!M70 + 'Aqueous Species Table'!N70*10000*(1/(Calculations!$C$8-Calculations!$C$13))^2 + 'Aqueous Species Table'!O70*100000*Calculations!$C$8*Calculations!$C$7))</f>
        <v>-11.400146749647535</v>
      </c>
      <c r="I70" s="42">
        <f>IF(ISBLANK('Aqueous Species Options'!B70), "", IF('Aqueous Species Options'!L70=0, 'Aqueous Species Options'!N70, IF(OR(ISBLANK('Aqueous Species Options'!G70),'Aqueous Species Table'!O70="", 'Aqueous Species Table'!P70=""), "", IF('Aqueous Species Options'!B70="H+", 0, (CHOOSE('Aqueous Species Options'!M70+1,'Aqueous Species Options'!$V$4*ABS('Aqueous Species Table'!P70)+'Aqueous Species Options'!$W$4,'Aqueous Species Options'!$Z$4)*('Aqueous Species Options'!G70 + 'Aqueous Species Table'!O70*100000*0.0000005903*41.8393) + CHOOSE('Aqueous Species Options'!M70+1,'Aqueous Species Options'!$X$4*ABS('Aqueous Species Table'!P70)+'Aqueous Species Options'!$Y$4,'Aqueous Species Options'!$AA$4))*10 ) ) ) )</f>
        <v>0.51925217440992877</v>
      </c>
      <c r="J70" s="42">
        <f>IF(ISBLANK('Aqueous Species Options'!B70), "", IF('Aqueous Species Options'!L70 = 0, 'Aqueous Species Options'!O70, IF('Aqueous Species Table'!I70="", "", IF('Aqueous Species Options'!B70="H+", 0, ((1.11*('Aqueous Species Options'!G70 + 'Aqueous Species Table'!O70*100000*0.0000005903*41.8393)+1.8)/41.8393 - 'Aqueous Species Table'!I70/10)*26.01 ) ) ) )</f>
        <v>-8.9267183823057472</v>
      </c>
      <c r="K70" s="42">
        <f>IF(ISBLANK('Aqueous Species Options'!B70), "", IF('Aqueous Species Options'!L70 = 0, 'Aqueous Species Options'!P70, IF('Aqueous Species Table'!I70="", "", IF('Aqueous Species Options'!B70="H+", 0, ('Aqueous Species Options'!G70/41.8393 + 'Aqueous Species Table'!O70*100000*0.0000005903 - 'Aqueous Species Table'!I70/10 - 'Aqueous Species Table'!J70*100/2601)*(298.15-228) - ('Aqueous Species Table'!L70*10000/2601) ) ) ) )</f>
        <v>8.5715600615391931</v>
      </c>
      <c r="L70" s="42">
        <f>IF(ISBLANK('Aqueous Species Options'!B70), "", IF('Aqueous Species Options'!L70 = 0, 'Aqueous Species Options'!Q70, IF('Aqueous Species Table'!J70="", "", IF('Aqueous Species Options'!B70="H+", 0, (-4.134*'Aqueous Species Table'!J70*100 - 27790)*0.0001) ) ) )</f>
        <v>-2.4099694620754804</v>
      </c>
      <c r="M70" s="42">
        <f>IF(ISBLANK('Aqueous Species Options'!B70), "", IF('Aqueous Species Options'!L70=0, 'Aqueous Species Options'!R70, IF('Aqueous Species Table'!N70="", "", IF('Aqueous Species Options'!B70="H+", 0, 'Aqueous Species Options'!H70 - 'Aqueous Species Table'!O70*100000*(-0.000000309)*298.15 - 'Aqueous Species Table'!N70*10000/(298.15-228)^2 ) ) ) )</f>
        <v>9.5541233131492564</v>
      </c>
      <c r="N70" s="42">
        <f>IF(ISBLANK('Aqueous Species Options'!B70), "", IF('Aqueous Species Options'!L70=0, 'Aqueous Species Options'!S70, IF(OR(ISBLANK('Aqueous Species Options'!H70), 'Aqueous Species Table'!O70=""), "", IF('Aqueous Species Options'!B70="H+", 0, 0.2037*'Aqueous Species Options'!H70 - 3.0346) ) ) )</f>
        <v>-5.3568098929032031</v>
      </c>
      <c r="O70" s="42">
        <f>IF(ISBLANK('Aqueous Species Options'!B70), "", IF('Aqueous Species Options'!K70=0, 'Aqueous Species Options'!I70, IF(OR('Aqueous Species Options'!J70&gt;4,'Aqueous Species Options'!J70&lt;-4), "", IF('Aqueous Species Options'!B70="H+", 0, IF('Aqueous Species Options'!J70=0, -0.038, IF(ISBLANK('Aqueous Species Options'!F70), "", -1514.4*'Aqueous Species Options'!F70*0.00001 + SUM(({4,3,2,1,-1,-2,-3,-4}='Aqueous Species Options'!J70)*{2.1764,1.5793,1.0579,0.5517,1.6291,3.2127,4.8115,6.486}) ) ) ) ) ) )</f>
        <v>1.0929</v>
      </c>
      <c r="P70" s="1">
        <f>IF(ISBLANK('Aqueous Species Options'!J70), "", 'Aqueous Species Options'!J70)</f>
        <v>2</v>
      </c>
      <c r="Q70" s="184" t="str">
        <f>IF(ISBLANK('Aqueous Species Options'!T70), "", 'Aqueous Species Options'!T70)</f>
        <v>Shock et al. (1997) revised with new predicted a1 for cations</v>
      </c>
    </row>
    <row r="71" spans="2:17" ht="15" customHeight="1" x14ac:dyDescent="0.2">
      <c r="B71" s="9" t="str">
        <f>IF(ISBLANK('Aqueous Species Options'!B71), "", 'Aqueous Species Options'!B71)</f>
        <v>Eu+3</v>
      </c>
      <c r="C71" s="9" t="str">
        <f>IF(ISBLANK('Aqueous Species Options'!C71), "", 'Aqueous Species Options'!C71)</f>
        <v>Eu(+3)</v>
      </c>
      <c r="D71" s="2">
        <f>IF(ISBLANK('Aqueous Species Options'!D71), "", 'Aqueous Species Options'!D71)</f>
        <v>-137300</v>
      </c>
      <c r="E71" s="1">
        <f>IF(ISBLANK('Aqueous Species Options'!E71), "", 'Aqueous Species Options'!E71)</f>
        <v>-144700</v>
      </c>
      <c r="F71" s="139">
        <f>IF(ISBLANK('Aqueous Species Options'!F71), "", 'Aqueous Species Options'!F71)</f>
        <v>-53</v>
      </c>
      <c r="G71" s="29">
        <f>IF(ISBLANK('Aqueous Species Options'!B71), "", IF('Aqueous Species Options'!L71 = 1, IF(ISBLANK('Aqueous Species Options'!G71), "", 'Aqueous Species Options'!G71), ('Aqueous Species Table'!I71/10 + ('Aqueous Species Table'!J71*100)/(Calculations!$C$12+Calculations!$C$9) + ('Aqueous Species Table'!K71 + ('Aqueous Species Table'!L71*10000)/(Calculations!$C$12+Calculations!$C$9))*(1/(Calculations!$C$8-Calculations!$C$13)) - 'Aqueous Species Table'!O71*100000*0.0000005903)*41.8393))</f>
        <v>-41.299809954205777</v>
      </c>
      <c r="H71" s="29">
        <f>IF(ISBLANK('Aqueous Species Options'!B71), "", IF('Aqueous Species Options'!L71 = 1, IF(ISBLANK('Aqueous Species Options'!H71), "", 'Aqueous Species Options'!H71), 'Aqueous Species Table'!M71 + 'Aqueous Species Table'!N71*10000*(1/(Calculations!$C$8-Calculations!$C$13))^2 + 'Aqueous Species Table'!O71*100000*Calculations!$C$8*Calculations!$C$7))</f>
        <v>-36.599755205696439</v>
      </c>
      <c r="I71" s="42">
        <f>IF(ISBLANK('Aqueous Species Options'!B71), "", IF('Aqueous Species Options'!L71=0, 'Aqueous Species Options'!N71, IF(OR(ISBLANK('Aqueous Species Options'!G71),'Aqueous Species Table'!O71="", 'Aqueous Species Table'!P71=""), "", IF('Aqueous Species Options'!B71="H+", 0, (CHOOSE('Aqueous Species Options'!M71+1,'Aqueous Species Options'!$V$4*ABS('Aqueous Species Table'!P71)+'Aqueous Species Options'!$W$4,'Aqueous Species Options'!$Z$4)*('Aqueous Species Options'!G71 + 'Aqueous Species Table'!O71*100000*0.0000005903*41.8393) + CHOOSE('Aqueous Species Options'!M71+1,'Aqueous Species Options'!$X$4*ABS('Aqueous Species Table'!P71)+'Aqueous Species Options'!$Y$4,'Aqueous Species Options'!$AA$4))*10 ) ) ) )</f>
        <v>-8.157849885693409</v>
      </c>
      <c r="J71" s="42">
        <f>IF(ISBLANK('Aqueous Species Options'!B71), "", IF('Aqueous Species Options'!L71 = 0, 'Aqueous Species Options'!O71, IF('Aqueous Species Table'!I71="", "", IF('Aqueous Species Options'!B71="H+", 0, ((1.11*('Aqueous Species Options'!G71 + 'Aqueous Species Table'!O71*100000*0.0000005903*41.8393)+1.8)/41.8393 - 'Aqueous Species Table'!I71/10)*26.01 ) ) ) )</f>
        <v>-2.2140239910133177</v>
      </c>
      <c r="K71" s="42">
        <f>IF(ISBLANK('Aqueous Species Options'!B71), "", IF('Aqueous Species Options'!L71 = 0, 'Aqueous Species Options'!P71, IF('Aqueous Species Table'!I71="", "", IF('Aqueous Species Options'!B71="H+", 0, ('Aqueous Species Options'!G71/41.8393 + 'Aqueous Species Table'!O71*100000*0.0000005903 - 'Aqueous Species Table'!I71/10 - 'Aqueous Species Table'!J71*100/2601)*(298.15-228) - ('Aqueous Species Table'!L71*10000/2601) ) ) ) )</f>
        <v>13.876487506991058</v>
      </c>
      <c r="L71" s="42">
        <f>IF(ISBLANK('Aqueous Species Options'!B71), "", IF('Aqueous Species Options'!L71 = 0, 'Aqueous Species Options'!Q71, IF('Aqueous Species Table'!J71="", "", IF('Aqueous Species Options'!B71="H+", 0, (-4.134*'Aqueous Species Table'!J71*100 - 27790)*0.0001) ) ) )</f>
        <v>-2.6874722482115097</v>
      </c>
      <c r="M71" s="42">
        <f>IF(ISBLANK('Aqueous Species Options'!B71), "", IF('Aqueous Species Options'!L71=0, 'Aqueous Species Options'!R71, IF('Aqueous Species Table'!N71="", "", IF('Aqueous Species Options'!B71="H+", 0, 'Aqueous Species Options'!H71 - 'Aqueous Species Table'!O71*100000*(-0.000000309)*298.15 - 'Aqueous Species Table'!N71*10000/(298.15-228)^2 ) ) ) )</f>
        <v>6.054739312206685</v>
      </c>
      <c r="N71" s="42">
        <f>IF(ISBLANK('Aqueous Species Options'!B71), "", IF('Aqueous Species Options'!L71=0, 'Aqueous Species Options'!S71, IF(OR(ISBLANK('Aqueous Species Options'!H71), 'Aqueous Species Table'!O71=""), "", IF('Aqueous Species Options'!B71="H+", 0, 0.2037*'Aqueous Species Options'!H71 - 3.0346) ) ) )</f>
        <v>-10.489970135400364</v>
      </c>
      <c r="O71" s="42">
        <f>IF(ISBLANK('Aqueous Species Options'!B71), "", IF('Aqueous Species Options'!K71=0, 'Aqueous Species Options'!I71, IF(OR('Aqueous Species Options'!J71&gt;4,'Aqueous Species Options'!J71&lt;-4), "", IF('Aqueous Species Options'!B71="H+", 0, IF('Aqueous Species Options'!J71=0, -0.038, IF(ISBLANK('Aqueous Species Options'!F71), "", -1514.4*'Aqueous Species Options'!F71*0.00001 + SUM(({4,3,2,1,-1,-2,-3,-4}='Aqueous Species Options'!J71)*{2.1764,1.5793,1.0579,0.5517,1.6291,3.2127,4.8115,6.486}) ) ) ) ) ) )</f>
        <v>2.3161</v>
      </c>
      <c r="P71" s="1">
        <f>IF(ISBLANK('Aqueous Species Options'!J71), "", 'Aqueous Species Options'!J71)</f>
        <v>3</v>
      </c>
      <c r="Q71" s="184" t="str">
        <f>IF(ISBLANK('Aqueous Species Options'!T71), "", 'Aqueous Species Options'!T71)</f>
        <v>Shock et al. (1997) revised with new predicted a1 for cations</v>
      </c>
    </row>
    <row r="72" spans="2:17" ht="15" customHeight="1" x14ac:dyDescent="0.2">
      <c r="B72" s="9" t="str">
        <f>IF(ISBLANK('Aqueous Species Options'!B72), "", 'Aqueous Species Options'!B72)</f>
        <v>F-</v>
      </c>
      <c r="C72" s="9" t="str">
        <f>IF(ISBLANK('Aqueous Species Options'!C72), "", 'Aqueous Species Options'!C72)</f>
        <v>F(-)</v>
      </c>
      <c r="D72" s="2">
        <f>IF(ISBLANK('Aqueous Species Options'!D72), "", 'Aqueous Species Options'!D72)</f>
        <v>-67340</v>
      </c>
      <c r="E72" s="1">
        <f>IF(ISBLANK('Aqueous Species Options'!E72), "", 'Aqueous Species Options'!E72)</f>
        <v>-80150</v>
      </c>
      <c r="F72" s="139">
        <f>IF(ISBLANK('Aqueous Species Options'!F72), "", 'Aqueous Species Options'!F72)</f>
        <v>-3.15</v>
      </c>
      <c r="G72" s="29">
        <f>IF(ISBLANK('Aqueous Species Options'!B72), "", IF('Aqueous Species Options'!L72 = 1, IF(ISBLANK('Aqueous Species Options'!G72), "", 'Aqueous Species Options'!G72), ('Aqueous Species Table'!I72/10 + ('Aqueous Species Table'!J72*100)/(Calculations!$C$12+Calculations!$C$9) + ('Aqueous Species Table'!K72 + ('Aqueous Species Table'!L72*10000)/(Calculations!$C$12+Calculations!$C$9))*(1/(Calculations!$C$8-Calculations!$C$13)) - 'Aqueous Species Table'!O72*100000*0.0000005903)*41.8393))</f>
        <v>-1.3198710849504034</v>
      </c>
      <c r="H72" s="29">
        <f>IF(ISBLANK('Aqueous Species Options'!B72), "", IF('Aqueous Species Options'!L72 = 1, IF(ISBLANK('Aqueous Species Options'!H72), "", 'Aqueous Species Options'!H72), 'Aqueous Species Table'!M72 + 'Aqueous Species Table'!N72*10000*(1/(Calculations!$C$8-Calculations!$C$13))^2 + 'Aqueous Species Table'!O72*100000*Calculations!$C$8*Calculations!$C$7))</f>
        <v>-27.21968599912077</v>
      </c>
      <c r="I72" s="42">
        <f>IF(ISBLANK('Aqueous Species Options'!B72), "", IF('Aqueous Species Options'!L72=0, 'Aqueous Species Options'!N72, IF(OR(ISBLANK('Aqueous Species Options'!G72),'Aqueous Species Table'!O72="", 'Aqueous Species Table'!P72=""), "", IF('Aqueous Species Options'!B72="H+", 0, (CHOOSE('Aqueous Species Options'!M72+1,'Aqueous Species Options'!$V$4*ABS('Aqueous Species Table'!P72)+'Aqueous Species Options'!$W$4,'Aqueous Species Options'!$Z$4)*('Aqueous Species Options'!G72 + 'Aqueous Species Table'!O72*100000*0.0000005903*41.8393) + CHOOSE('Aqueous Species Options'!M72+1,'Aqueous Species Options'!$X$4*ABS('Aqueous Species Table'!P72)+'Aqueous Species Options'!$Y$4,'Aqueous Species Options'!$AA$4))*10 ) ) ) )</f>
        <v>0.68700000000000006</v>
      </c>
      <c r="J72" s="42">
        <f>IF(ISBLANK('Aqueous Species Options'!B72), "", IF('Aqueous Species Options'!L72 = 0, 'Aqueous Species Options'!O72, IF('Aqueous Species Table'!I72="", "", IF('Aqueous Species Options'!B72="H+", 0, ((1.11*('Aqueous Species Options'!G72 + 'Aqueous Species Table'!O72*100000*0.0000005903*41.8393)+1.8)/41.8393 - 'Aqueous Species Table'!I72/10)*26.01 ) ) ) )</f>
        <v>1.3588</v>
      </c>
      <c r="K72" s="42">
        <f>IF(ISBLANK('Aqueous Species Options'!B72), "", IF('Aqueous Species Options'!L72 = 0, 'Aqueous Species Options'!P72, IF('Aqueous Species Table'!I72="", "", IF('Aqueous Species Options'!B72="H+", 0, ('Aqueous Species Options'!G72/41.8393 + 'Aqueous Species Table'!O72*100000*0.0000005903 - 'Aqueous Species Table'!I72/10 - 'Aqueous Species Table'!J72*100/2601)*(298.15-228) - ('Aqueous Species Table'!L72*10000/2601) ) ) ) )</f>
        <v>7.6032999999999999</v>
      </c>
      <c r="L72" s="42">
        <f>IF(ISBLANK('Aqueous Species Options'!B72), "", IF('Aqueous Species Options'!L72 = 0, 'Aqueous Species Options'!Q72, IF('Aqueous Species Table'!J72="", "", IF('Aqueous Species Options'!B72="H+", 0, (-4.134*'Aqueous Species Table'!J72*100 - 27790)*0.0001) ) ) )</f>
        <v>-2.8351999999999999</v>
      </c>
      <c r="M72" s="42">
        <f>IF(ISBLANK('Aqueous Species Options'!B72), "", IF('Aqueous Species Options'!L72=0, 'Aqueous Species Options'!R72, IF('Aqueous Species Table'!N72="", "", IF('Aqueous Species Options'!B72="H+", 0, 'Aqueous Species Options'!H72 - 'Aqueous Species Table'!O72*100000*(-0.000000309)*298.15 - 'Aqueous Species Table'!N72*10000/(298.15-228)^2 ) ) ) )</f>
        <v>4.46</v>
      </c>
      <c r="N72" s="42">
        <f>IF(ISBLANK('Aqueous Species Options'!B72), "", IF('Aqueous Species Options'!L72=0, 'Aqueous Species Options'!S72, IF(OR(ISBLANK('Aqueous Species Options'!H72), 'Aqueous Species Table'!O72=""), "", IF('Aqueous Species Options'!B72="H+", 0, 0.2037*'Aqueous Species Options'!H72 - 3.0346) ) ) )</f>
        <v>-7.4880000000000004</v>
      </c>
      <c r="O72" s="42">
        <f>IF(ISBLANK('Aqueous Species Options'!B72), "", IF('Aqueous Species Options'!K72=0, 'Aqueous Species Options'!I72, IF(OR('Aqueous Species Options'!J72&gt;4,'Aqueous Species Options'!J72&lt;-4), "", IF('Aqueous Species Options'!B72="H+", 0, IF('Aqueous Species Options'!J72=0, -0.038, IF(ISBLANK('Aqueous Species Options'!F72), "", -1514.4*'Aqueous Species Options'!F72*0.00001 + SUM(({4,3,2,1,-1,-2,-3,-4}='Aqueous Species Options'!J72)*{2.1764,1.5793,1.0579,0.5517,1.6291,3.2127,4.8115,6.486}) ) ) ) ) ) )</f>
        <v>1.7869999999999999</v>
      </c>
      <c r="P72" s="1">
        <f>IF(ISBLANK('Aqueous Species Options'!J72), "", 'Aqueous Species Options'!J72)</f>
        <v>-1</v>
      </c>
      <c r="Q72" s="184" t="str">
        <f>IF(ISBLANK('Aqueous Species Options'!T72), "", 'Aqueous Species Options'!T72)</f>
        <v>Shock &amp; Helgeson (1988)</v>
      </c>
    </row>
    <row r="73" spans="2:17" ht="15" customHeight="1" x14ac:dyDescent="0.2">
      <c r="B73" s="9" t="str">
        <f>IF(ISBLANK('Aqueous Species Options'!B73), "", 'Aqueous Species Options'!B73)</f>
        <v>Fe(CH3COO)+</v>
      </c>
      <c r="C73" s="9" t="str">
        <f>IF(ISBLANK('Aqueous Species Options'!C73), "", 'Aqueous Species Options'!C73)</f>
        <v>Fe(CH3COO)(+)</v>
      </c>
      <c r="D73" s="2">
        <f>IF(ISBLANK('Aqueous Species Options'!D73), "", 'Aqueous Species Options'!D73)</f>
        <v>-111900</v>
      </c>
      <c r="E73" s="1">
        <f>IF(ISBLANK('Aqueous Species Options'!E73), "", 'Aqueous Species Options'!E73)</f>
        <v>-139060</v>
      </c>
      <c r="F73" s="139">
        <f>IF(ISBLANK('Aqueous Species Options'!F73), "", 'Aqueous Species Options'!F73)</f>
        <v>-1.5</v>
      </c>
      <c r="G73" s="29">
        <f>IF(ISBLANK('Aqueous Species Options'!B73), "", IF('Aqueous Species Options'!L73 = 1, IF(ISBLANK('Aqueous Species Options'!G73), "", 'Aqueous Species Options'!G73), ('Aqueous Species Table'!I73/10 + ('Aqueous Species Table'!J73*100)/(Calculations!$C$12+Calculations!$C$9) + ('Aqueous Species Table'!K73 + ('Aqueous Species Table'!L73*10000)/(Calculations!$C$12+Calculations!$C$9))*(1/(Calculations!$C$8-Calculations!$C$13)) - 'Aqueous Species Table'!O73*100000*0.0000005903)*41.8393))</f>
        <v>25.2</v>
      </c>
      <c r="H73" s="29">
        <f>IF(ISBLANK('Aqueous Species Options'!B73), "", IF('Aqueous Species Options'!L73 = 1, IF(ISBLANK('Aqueous Species Options'!H73), "", 'Aqueous Species Options'!H73), 'Aqueous Species Table'!M73 + 'Aqueous Species Table'!N73*10000*(1/(Calculations!$C$8-Calculations!$C$13))^2 + 'Aqueous Species Table'!O73*100000*Calculations!$C$8*Calculations!$C$7))</f>
        <v>81.199801396727622</v>
      </c>
      <c r="I73" s="42">
        <f>IF(ISBLANK('Aqueous Species Options'!B73), "", IF('Aqueous Species Options'!L73=0, 'Aqueous Species Options'!N73, IF(OR(ISBLANK('Aqueous Species Options'!G73),'Aqueous Species Table'!O73="", 'Aqueous Species Table'!P73=""), "", IF('Aqueous Species Options'!B73="H+", 0, (CHOOSE('Aqueous Species Options'!M73+1,'Aqueous Species Options'!$V$4*ABS('Aqueous Species Table'!P73)+'Aqueous Species Options'!$W$4,'Aqueous Species Options'!$Z$4)*('Aqueous Species Options'!G73 + 'Aqueous Species Table'!O73*100000*0.0000005903*41.8393) + CHOOSE('Aqueous Species Options'!M73+1,'Aqueous Species Options'!$X$4*ABS('Aqueous Species Table'!P73)+'Aqueous Species Options'!$Y$4,'Aqueous Species Options'!$AA$4))*10 ) ) ) )</f>
        <v>6.6905812942693643</v>
      </c>
      <c r="J73" s="42">
        <f>IF(ISBLANK('Aqueous Species Options'!B73), "", IF('Aqueous Species Options'!L73 = 0, 'Aqueous Species Options'!O73, IF('Aqueous Species Table'!I73="", "", IF('Aqueous Species Options'!B73="H+", 0, ((1.11*('Aqueous Species Options'!G73 + 'Aqueous Species Table'!O73*100000*0.0000005903*41.8393)+1.8)/41.8393 - 'Aqueous Species Table'!I73/10)*26.01 ) ) ) )</f>
        <v>2.0869608507848545</v>
      </c>
      <c r="K73" s="42">
        <f>IF(ISBLANK('Aqueous Species Options'!B73), "", IF('Aqueous Species Options'!L73 = 0, 'Aqueous Species Options'!P73, IF('Aqueous Species Table'!I73="", "", IF('Aqueous Species Options'!B73="H+", 0, ('Aqueous Species Options'!G73/41.8393 + 'Aqueous Species Table'!O73*100000*0.0000005903 - 'Aqueous Species Table'!I73/10 - 'Aqueous Species Table'!J73*100/2601)*(298.15-228) - ('Aqueous Species Table'!L73*10000/2601) ) ) ) )</f>
        <v>3.0882038534947238</v>
      </c>
      <c r="L73" s="42">
        <f>IF(ISBLANK('Aqueous Species Options'!B73), "", IF('Aqueous Species Options'!L73 = 0, 'Aqueous Species Options'!Q73, IF('Aqueous Species Table'!J73="", "", IF('Aqueous Species Options'!B73="H+", 0, (-4.134*'Aqueous Species Table'!J73*100 - 27790)*0.0001) ) ) )</f>
        <v>-2.8652749615714459</v>
      </c>
      <c r="M73" s="42">
        <f>IF(ISBLANK('Aqueous Species Options'!B73), "", IF('Aqueous Species Options'!L73=0, 'Aqueous Species Options'!R73, IF('Aqueous Species Table'!N73="", "", IF('Aqueous Species Options'!B73="H+", 0, 'Aqueous Species Options'!H73 - 'Aqueous Species Table'!O73*100000*(-0.000000309)*298.15 - 'Aqueous Species Table'!N73*10000/(298.15-228)^2 ) ) ) )</f>
        <v>59.057600925593384</v>
      </c>
      <c r="N73" s="42">
        <f>IF(ISBLANK('Aqueous Species Options'!B73), "", IF('Aqueous Species Options'!L73=0, 'Aqueous Species Options'!S73, IF(OR(ISBLANK('Aqueous Species Options'!H73), 'Aqueous Species Table'!O73=""), "", IF('Aqueous Species Options'!B73="H+", 0, 0.2037*'Aqueous Species Options'!H73 - 3.0346) ) ) )</f>
        <v>13.505799544513415</v>
      </c>
      <c r="O73" s="42">
        <f>IF(ISBLANK('Aqueous Species Options'!B73), "", IF('Aqueous Species Options'!K73=0, 'Aqueous Species Options'!I73, IF(OR('Aqueous Species Options'!J73&gt;4,'Aqueous Species Options'!J73&lt;-4), "", IF('Aqueous Species Options'!B73="H+", 0, IF('Aqueous Species Options'!J73=0, -0.038, IF(ISBLANK('Aqueous Species Options'!F73), "", -1514.4*'Aqueous Species Options'!F73*0.00001 + SUM(({4,3,2,1,-1,-2,-3,-4}='Aqueous Species Options'!J73)*{2.1764,1.5793,1.0579,0.5517,1.6291,3.2127,4.8115,6.486}) ) ) ) ) ) )</f>
        <v>0.5756</v>
      </c>
      <c r="P73" s="1">
        <f>IF(ISBLANK('Aqueous Species Options'!J73), "", 'Aqueous Species Options'!J73)</f>
        <v>1</v>
      </c>
      <c r="Q73" s="184" t="str">
        <f>IF(ISBLANK('Aqueous Species Options'!T73), "", 'Aqueous Species Options'!T73)</f>
        <v>Sverjensky et al. (1997) with revised volume increased in order that a1 of the complex is the sum of the a1 values of the ions</v>
      </c>
    </row>
    <row r="74" spans="2:17" ht="15" customHeight="1" x14ac:dyDescent="0.2">
      <c r="B74" s="9" t="str">
        <f>IF(ISBLANK('Aqueous Species Options'!B74), "", 'Aqueous Species Options'!B74)</f>
        <v>Fe(CH3COO)2,aq</v>
      </c>
      <c r="C74" s="9" t="str">
        <f>IF(ISBLANK('Aqueous Species Options'!C74), "", 'Aqueous Species Options'!C74)</f>
        <v>Fe(CH3COO)2(0)</v>
      </c>
      <c r="D74" s="2">
        <f>IF(ISBLANK('Aqueous Species Options'!D74), "", 'Aqueous Species Options'!D74)</f>
        <v>-201800</v>
      </c>
      <c r="E74" s="1">
        <f>IF(ISBLANK('Aqueous Species Options'!E74), "", 'Aqueous Species Options'!E74)</f>
        <v>-259100</v>
      </c>
      <c r="F74" s="139">
        <f>IF(ISBLANK('Aqueous Species Options'!F74), "", 'Aqueous Species Options'!F74)</f>
        <v>11.53</v>
      </c>
      <c r="G74" s="29">
        <f>IF(ISBLANK('Aqueous Species Options'!B74), "", IF('Aqueous Species Options'!L74 = 1, IF(ISBLANK('Aqueous Species Options'!G74), "", 'Aqueous Species Options'!G74), ('Aqueous Species Table'!I74/10 + ('Aqueous Species Table'!J74*100)/(Calculations!$C$12+Calculations!$C$9) + ('Aqueous Species Table'!K74 + ('Aqueous Species Table'!L74*10000)/(Calculations!$C$12+Calculations!$C$9))*(1/(Calculations!$C$8-Calculations!$C$13)) - 'Aqueous Species Table'!O74*100000*0.0000005903)*41.8393))</f>
        <v>66.900000000000006</v>
      </c>
      <c r="H74" s="29">
        <f>IF(ISBLANK('Aqueous Species Options'!B74), "", IF('Aqueous Species Options'!L74 = 1, IF(ISBLANK('Aqueous Species Options'!H74), "", 'Aqueous Species Options'!H74), 'Aqueous Species Table'!M74 + 'Aqueous Species Table'!N74*10000*(1/(Calculations!$C$8-Calculations!$C$13))^2 + 'Aqueous Species Table'!O74*100000*Calculations!$C$8*Calculations!$C$7))</f>
        <v>184.20004838492494</v>
      </c>
      <c r="I74" s="42">
        <f>IF(ISBLANK('Aqueous Species Options'!B74), "", IF('Aqueous Species Options'!L74=0, 'Aqueous Species Options'!N74, IF(OR(ISBLANK('Aqueous Species Options'!G74),'Aqueous Species Table'!O74="", 'Aqueous Species Table'!P74=""), "", IF('Aqueous Species Options'!B74="H+", 0, (CHOOSE('Aqueous Species Options'!M74+1,'Aqueous Species Options'!$V$4*ABS('Aqueous Species Table'!P74)+'Aqueous Species Options'!$W$4,'Aqueous Species Options'!$Z$4)*('Aqueous Species Options'!G74 + 'Aqueous Species Table'!O74*100000*0.0000005903*41.8393) + CHOOSE('Aqueous Species Options'!M74+1,'Aqueous Species Options'!$X$4*ABS('Aqueous Species Table'!P74)+'Aqueous Species Options'!$Y$4,'Aqueous Species Options'!$AA$4))*10 ) ) ) )</f>
        <v>14.494822118168457</v>
      </c>
      <c r="J74" s="42">
        <f>IF(ISBLANK('Aqueous Species Options'!B74), "", IF('Aqueous Species Options'!L74 = 0, 'Aqueous Species Options'!O74, IF('Aqueous Species Table'!I74="", "", IF('Aqueous Species Options'!B74="H+", 0, ((1.11*('Aqueous Species Options'!G74 + 'Aqueous Species Table'!O74*100000*0.0000005903*41.8393)+1.8)/41.8393 - 'Aqueous Species Table'!I74/10)*26.01 ) ) ) )</f>
        <v>9.5173722957632059</v>
      </c>
      <c r="K74" s="42">
        <f>IF(ISBLANK('Aqueous Species Options'!B74), "", IF('Aqueous Species Options'!L74 = 0, 'Aqueous Species Options'!P74, IF('Aqueous Species Table'!I74="", "", IF('Aqueous Species Options'!B74="H+", 0, ('Aqueous Species Options'!G74/41.8393 + 'Aqueous Species Table'!O74*100000*0.0000005903 - 'Aqueous Species Table'!I74/10 - 'Aqueous Species Table'!J74*100/2601)*(298.15-228) - ('Aqueous Species Table'!L74*10000/2601) ) ) ) )</f>
        <v>-3.142125726994724</v>
      </c>
      <c r="L74" s="42">
        <f>IF(ISBLANK('Aqueous Species Options'!B74), "", IF('Aqueous Species Options'!L74 = 0, 'Aqueous Species Options'!Q74, IF('Aqueous Species Table'!J74="", "", IF('Aqueous Species Options'!B74="H+", 0, (-4.134*'Aqueous Species Table'!J74*100 - 27790)*0.0001) ) ) )</f>
        <v>-3.172448170706851</v>
      </c>
      <c r="M74" s="42">
        <f>IF(ISBLANK('Aqueous Species Options'!B74), "", IF('Aqueous Species Options'!L74=0, 'Aqueous Species Options'!R74, IF('Aqueous Species Table'!N74="", "", IF('Aqueous Species Options'!B74="H+", 0, 'Aqueous Species Options'!H74 - 'Aqueous Species Table'!O74*100000*(-0.000000309)*298.15 - 'Aqueous Species Table'!N74*10000/(298.15-228)^2 ) ) ) )</f>
        <v>113.76909868770321</v>
      </c>
      <c r="N74" s="42">
        <f>IF(ISBLANK('Aqueous Species Options'!B74), "", IF('Aqueous Species Options'!L74=0, 'Aqueous Species Options'!S74, IF(OR(ISBLANK('Aqueous Species Options'!H74), 'Aqueous Species Table'!O74=""), "", IF('Aqueous Species Options'!B74="H+", 0, 0.2037*'Aqueous Species Options'!H74 - 3.0346) ) ) )</f>
        <v>34.486949856009211</v>
      </c>
      <c r="O74" s="42">
        <f>IF(ISBLANK('Aqueous Species Options'!B74), "", IF('Aqueous Species Options'!K74=0, 'Aqueous Species Options'!I74, IF(OR('Aqueous Species Options'!J74&gt;4,'Aqueous Species Options'!J74&lt;-4), "", IF('Aqueous Species Options'!B74="H+", 0, IF('Aqueous Species Options'!J74=0, -0.038, IF(ISBLANK('Aqueous Species Options'!F74), "", -1514.4*'Aqueous Species Options'!F74*0.00001 + SUM(({4,3,2,1,-1,-2,-3,-4}='Aqueous Species Options'!J74)*{2.1764,1.5793,1.0579,0.5517,1.6291,3.2127,4.8115,6.486}) ) ) ) ) ) )</f>
        <v>-3.7999999999999999E-2</v>
      </c>
      <c r="P74" s="1">
        <f>IF(ISBLANK('Aqueous Species Options'!J74), "", 'Aqueous Species Options'!J74)</f>
        <v>0</v>
      </c>
      <c r="Q74" s="184" t="str">
        <f>IF(ISBLANK('Aqueous Species Options'!T74), "", 'Aqueous Species Options'!T74)</f>
        <v>Sverjensky et al. (1997) with revised volume increased in order that a1 of the complex is the sum of the a1 values of the ions</v>
      </c>
    </row>
    <row r="75" spans="2:17" ht="15" customHeight="1" x14ac:dyDescent="0.2">
      <c r="B75" s="9" t="str">
        <f>IF(ISBLANK('Aqueous Species Options'!B75), "", 'Aqueous Species Options'!B75)</f>
        <v>Fe(HCOO)+</v>
      </c>
      <c r="C75" s="9" t="str">
        <f>IF(ISBLANK('Aqueous Species Options'!C75), "", 'Aqueous Species Options'!C75)</f>
        <v>Fe(HCOO)+</v>
      </c>
      <c r="D75" s="2">
        <f>IF(ISBLANK('Aqueous Species Options'!D75), "", 'Aqueous Species Options'!D75)</f>
        <v>-111800</v>
      </c>
      <c r="E75" s="1">
        <f>IF(ISBLANK('Aqueous Species Options'!E75), "", 'Aqueous Species Options'!E75)</f>
        <v>-112263</v>
      </c>
      <c r="F75" s="139">
        <f>IF(ISBLANK('Aqueous Species Options'!F75), "", 'Aqueous Species Options'!F75)</f>
        <v>59</v>
      </c>
      <c r="G75" s="29">
        <f>IF(ISBLANK('Aqueous Species Options'!B75), "", IF('Aqueous Species Options'!L75 = 1, IF(ISBLANK('Aqueous Species Options'!G75), "", 'Aqueous Species Options'!G75), ('Aqueous Species Table'!I75/10 + ('Aqueous Species Table'!J75*100)/(Calculations!$C$12+Calculations!$C$9) + ('Aqueous Species Table'!K75 + ('Aqueous Species Table'!L75*10000)/(Calculations!$C$12+Calculations!$C$9))*(1/(Calculations!$C$8-Calculations!$C$13)) - 'Aqueous Species Table'!O75*100000*0.0000005903)*41.8393))</f>
        <v>27</v>
      </c>
      <c r="H75" s="29">
        <f>IF(ISBLANK('Aqueous Species Options'!B75), "", IF('Aqueous Species Options'!L75 = 1, IF(ISBLANK('Aqueous Species Options'!H75), "", 'Aqueous Species Options'!H75), 'Aqueous Species Table'!M75 + 'Aqueous Species Table'!N75*10000*(1/(Calculations!$C$8-Calculations!$C$13))^2 + 'Aqueous Species Table'!O75*100000*Calculations!$C$8*Calculations!$C$7))</f>
        <v>30</v>
      </c>
      <c r="I75" s="42">
        <f>IF(ISBLANK('Aqueous Species Options'!B75), "", IF('Aqueous Species Options'!L75=0, 'Aqueous Species Options'!N75, IF(OR(ISBLANK('Aqueous Species Options'!G75),'Aqueous Species Table'!O75="", 'Aqueous Species Table'!P75=""), "", IF('Aqueous Species Options'!B75="H+", 0, (CHOOSE('Aqueous Species Options'!M75+1,'Aqueous Species Options'!$V$4*ABS('Aqueous Species Table'!P75)+'Aqueous Species Options'!$W$4,'Aqueous Species Options'!$Z$4)*('Aqueous Species Options'!G75 + 'Aqueous Species Table'!O75*100000*0.0000005903*41.8393) + CHOOSE('Aqueous Species Options'!M75+1,'Aqueous Species Options'!$X$4*ABS('Aqueous Species Table'!P75)+'Aqueous Species Options'!$Y$4,'Aqueous Species Options'!$AA$4))*10 ) ) ) )</f>
        <v>6.6001259130922669</v>
      </c>
      <c r="J75" s="42">
        <f>IF(ISBLANK('Aqueous Species Options'!B75), "", IF('Aqueous Species Options'!L75 = 0, 'Aqueous Species Options'!O75, IF('Aqueous Species Table'!I75="", "", IF('Aqueous Species Options'!B75="H+", 0, ((1.11*('Aqueous Species Options'!G75 + 'Aqueous Species Table'!O75*100000*0.0000005903*41.8393)+1.8)/41.8393 - 'Aqueous Species Table'!I75/10)*26.01 ) ) ) )</f>
        <v>2.0008383547311785</v>
      </c>
      <c r="K75" s="42">
        <f>IF(ISBLANK('Aqueous Species Options'!B75), "", IF('Aqueous Species Options'!L75 = 0, 'Aqueous Species Options'!P75, IF('Aqueous Species Table'!I75="", "", IF('Aqueous Species Options'!B75="H+", 0, ('Aqueous Species Options'!G75/41.8393 + 'Aqueous Species Table'!O75*100000*0.0000005903 - 'Aqueous Species Table'!I75/10 - 'Aqueous Species Table'!J75*100/2601)*(298.15-228) - ('Aqueous Species Table'!L75*10000/2601) ) ) ) )</f>
        <v>3.1604167502746714</v>
      </c>
      <c r="L75" s="42">
        <f>IF(ISBLANK('Aqueous Species Options'!B75), "", IF('Aqueous Species Options'!L75 = 0, 'Aqueous Species Options'!Q75, IF('Aqueous Species Table'!J75="", "", IF('Aqueous Species Options'!B75="H+", 0, (-4.134*'Aqueous Species Table'!J75*100 - 27790)*0.0001) ) ) )</f>
        <v>-2.8617146575845869</v>
      </c>
      <c r="M75" s="42">
        <f>IF(ISBLANK('Aqueous Species Options'!B75), "", IF('Aqueous Species Options'!L75=0, 'Aqueous Species Options'!R75, IF('Aqueous Species Table'!N75="", "", IF('Aqueous Species Options'!B75="H+", 0, 'Aqueous Species Options'!H75 - 'Aqueous Species Table'!O75*100000*(-0.000000309)*298.15 - 'Aqueous Species Table'!N75*10000/(298.15-228)^2 ) ) ) )</f>
        <v>20.599543548765059</v>
      </c>
      <c r="N75" s="42">
        <f>IF(ISBLANK('Aqueous Species Options'!B75), "", IF('Aqueous Species Options'!L75=0, 'Aqueous Species Options'!S75, IF(OR(ISBLANK('Aqueous Species Options'!H75), 'Aqueous Species Table'!O75=""), "", IF('Aqueous Species Options'!B75="H+", 0, 0.2037*'Aqueous Species Options'!H75 - 3.0346) ) ) )</f>
        <v>3.0763999999999996</v>
      </c>
      <c r="O75" s="42">
        <f>IF(ISBLANK('Aqueous Species Options'!B75), "", IF('Aqueous Species Options'!K75=0, 'Aqueous Species Options'!I75, IF(OR('Aqueous Species Options'!J75&gt;4,'Aqueous Species Options'!J75&lt;-4), "", IF('Aqueous Species Options'!B75="H+", 0, IF('Aqueous Species Options'!J75=0, -0.038, IF(ISBLANK('Aqueous Species Options'!F75), "", -1514.4*'Aqueous Species Options'!F75*0.00001 + SUM(({4,3,2,1,-1,-2,-3,-4}='Aqueous Species Options'!J75)*{2.1764,1.5793,1.0579,0.5517,1.6291,3.2127,4.8115,6.486}) ) ) ) ) ) )</f>
        <v>-0.34179600000000021</v>
      </c>
      <c r="P75" s="1">
        <f>IF(ISBLANK('Aqueous Species Options'!J75), "", 'Aqueous Species Options'!J75)</f>
        <v>1</v>
      </c>
      <c r="Q75" s="184" t="str">
        <f>IF(ISBLANK('Aqueous Species Options'!T75), "", 'Aqueous Species Options'!T75)</f>
        <v>Huang &amp; Sverjensky (2019)</v>
      </c>
    </row>
    <row r="76" spans="2:17" ht="15" customHeight="1" x14ac:dyDescent="0.2">
      <c r="B76" s="9" t="str">
        <f>IF(ISBLANK('Aqueous Species Options'!B76), "", 'Aqueous Species Options'!B76)</f>
        <v>Fe(HSiO3)+</v>
      </c>
      <c r="C76" s="9" t="str">
        <f>IF(ISBLANK('Aqueous Species Options'!C76), "", 'Aqueous Species Options'!C76)</f>
        <v>Fe(HSiO3)+</v>
      </c>
      <c r="D76" s="2">
        <f>IF(ISBLANK('Aqueous Species Options'!D76), "", 'Aqueous Species Options'!D76)</f>
        <v>-277500</v>
      </c>
      <c r="E76" s="1">
        <f>IF(ISBLANK('Aqueous Species Options'!E76), "", 'Aqueous Species Options'!E76)</f>
        <v>-298539</v>
      </c>
      <c r="F76" s="139">
        <f>IF(ISBLANK('Aqueous Species Options'!F76), "", 'Aqueous Species Options'!F76)</f>
        <v>14</v>
      </c>
      <c r="G76" s="29">
        <f>IF(ISBLANK('Aqueous Species Options'!B76), "", IF('Aqueous Species Options'!L76 = 1, IF(ISBLANK('Aqueous Species Options'!G76), "", 'Aqueous Species Options'!G76), ('Aqueous Species Table'!I76/10 + ('Aqueous Species Table'!J76*100)/(Calculations!$C$12+Calculations!$C$9) + ('Aqueous Species Table'!K76 + ('Aqueous Species Table'!L76*10000)/(Calculations!$C$12+Calculations!$C$9))*(1/(Calculations!$C$8-Calculations!$C$13)) - 'Aqueous Species Table'!O76*100000*0.0000005903)*41.8393))</f>
        <v>38.200000000000003</v>
      </c>
      <c r="H76" s="29">
        <f>IF(ISBLANK('Aqueous Species Options'!B76), "", IF('Aqueous Species Options'!L76 = 1, IF(ISBLANK('Aqueous Species Options'!H76), "", 'Aqueous Species Options'!H76), 'Aqueous Species Table'!M76 + 'Aqueous Species Table'!N76*10000*(1/(Calculations!$C$8-Calculations!$C$13))^2 + 'Aqueous Species Table'!O76*100000*Calculations!$C$8*Calculations!$C$7))</f>
        <v>77</v>
      </c>
      <c r="I76" s="1">
        <f>IF(ISBLANK('Aqueous Species Options'!B76), "", IF('Aqueous Species Options'!L76=0, 'Aqueous Species Options'!N76, IF(OR(ISBLANK('Aqueous Species Options'!G76),'Aqueous Species Table'!O76="", 'Aqueous Species Table'!P76=""), "", IF('Aqueous Species Options'!B76="H+", 0, (CHOOSE('Aqueous Species Options'!M76+1,'Aqueous Species Options'!$V$4*ABS('Aqueous Species Table'!P76)+'Aqueous Species Options'!$W$4,'Aqueous Species Options'!$Z$4)*('Aqueous Species Options'!G76 + 'Aqueous Species Table'!O76*100000*0.0000005903*41.8393) + CHOOSE('Aqueous Species Options'!M76+1,'Aqueous Species Options'!$X$4*ABS('Aqueous Species Table'!P76)+'Aqueous Species Options'!$Y$4,'Aqueous Species Options'!$AA$4))*10 ) ) ) )</f>
        <v>9.102153056001729</v>
      </c>
      <c r="J76" s="1">
        <f>IF(ISBLANK('Aqueous Species Options'!B76), "", IF('Aqueous Species Options'!L76 = 0, 'Aqueous Species Options'!O76, IF('Aqueous Species Table'!I76="", "", IF('Aqueous Species Options'!B76="H+", 0, ((1.11*('Aqueous Species Options'!G76 + 'Aqueous Species Table'!O76*100000*0.0000005903*41.8393)+1.8)/41.8393 - 'Aqueous Species Table'!I76/10)*26.01 ) ) ) )</f>
        <v>4.3830163958532582</v>
      </c>
      <c r="K76" s="1">
        <f>IF(ISBLANK('Aqueous Species Options'!B76), "", IF('Aqueous Species Options'!L76 = 0, 'Aqueous Species Options'!P76, IF('Aqueous Species Table'!I76="", "", IF('Aqueous Species Options'!B76="H+", 0, ('Aqueous Species Options'!G76/41.8393 + 'Aqueous Species Table'!O76*100000*0.0000005903 - 'Aqueous Species Table'!I76/10 - 'Aqueous Species Table'!J76*100/2601)*(298.15-228) - ('Aqueous Species Table'!L76*10000/2601) ) ) ) )</f>
        <v>1.1629830380909905</v>
      </c>
      <c r="L76" s="1">
        <f>IF(ISBLANK('Aqueous Species Options'!B76), "", IF('Aqueous Species Options'!L76 = 0, 'Aqueous Species Options'!Q76, IF('Aqueous Species Table'!J76="", "", IF('Aqueous Species Options'!B76="H+", 0, (-4.134*'Aqueous Species Table'!J76*100 - 27790)*0.0001) ) ) )</f>
        <v>-2.9601938978045741</v>
      </c>
      <c r="M76" s="1">
        <f>IF(ISBLANK('Aqueous Species Options'!B76), "", IF('Aqueous Species Options'!L76=0, 'Aqueous Species Options'!R76, IF('Aqueous Species Table'!N76="", "", IF('Aqueous Species Options'!B76="H+", 0, 'Aqueous Species Options'!H76 - 'Aqueous Species Table'!O76*100000*(-0.000000309)*298.15 - 'Aqueous Species Table'!N76*10000/(298.15-228)^2 ) ) ) )</f>
        <v>54.422803263853673</v>
      </c>
      <c r="N76" s="1">
        <f>IF(ISBLANK('Aqueous Species Options'!B76), "", IF('Aqueous Species Options'!L76=0, 'Aqueous Species Options'!S76, IF(OR(ISBLANK('Aqueous Species Options'!H76), 'Aqueous Species Table'!O76=""), "", IF('Aqueous Species Options'!B76="H+", 0, 0.2037*'Aqueous Species Options'!H76 - 3.0346) ) ) )</f>
        <v>12.650299999999998</v>
      </c>
      <c r="O76" s="1">
        <f>IF(ISBLANK('Aqueous Species Options'!B76), "", IF('Aqueous Species Options'!K76=0, 'Aqueous Species Options'!I76, IF(OR('Aqueous Species Options'!J76&gt;4,'Aqueous Species Options'!J76&lt;-4), "", IF('Aqueous Species Options'!B76="H+", 0, IF('Aqueous Species Options'!J76=0, -0.038, IF(ISBLANK('Aqueous Species Options'!F76), "", -1514.4*'Aqueous Species Options'!F76*0.00001 + SUM(({4,3,2,1,-1,-2,-3,-4}='Aqueous Species Options'!J76)*{2.1764,1.5793,1.0579,0.5517,1.6291,3.2127,4.8115,6.486}) ) ) ) ) ) )</f>
        <v>0.33968399999999993</v>
      </c>
      <c r="P76" s="1">
        <f>IF(ISBLANK('Aqueous Species Options'!J76), "", 'Aqueous Species Options'!J76)</f>
        <v>1</v>
      </c>
      <c r="Q76" s="184" t="str">
        <f>IF(ISBLANK('Aqueous Species Options'!T76), "", 'Aqueous Species Options'!T76)</f>
        <v>Huang &amp; Sverjensky (2019)</v>
      </c>
    </row>
    <row r="77" spans="2:17" ht="15" customHeight="1" x14ac:dyDescent="0.2">
      <c r="B77" s="9" t="str">
        <f>IF(ISBLANK('Aqueous Species Options'!B77), "", 'Aqueous Species Options'!B77)</f>
        <v>Fe(OH)+</v>
      </c>
      <c r="C77" s="9" t="str">
        <f>IF(ISBLANK('Aqueous Species Options'!C77), "", 'Aqueous Species Options'!C77)</f>
        <v>FeOH(+)</v>
      </c>
      <c r="D77" s="2">
        <f>IF(ISBLANK('Aqueous Species Options'!D77), "", 'Aqueous Species Options'!D77)</f>
        <v>-65850</v>
      </c>
      <c r="E77" s="1">
        <f>IF(ISBLANK('Aqueous Species Options'!E77), "", 'Aqueous Species Options'!E77)</f>
        <v>0</v>
      </c>
      <c r="F77" s="139">
        <f>IF(ISBLANK('Aqueous Species Options'!F77), "", 'Aqueous Species Options'!F77)</f>
        <v>-10</v>
      </c>
      <c r="G77" s="29">
        <f>IF(ISBLANK('Aqueous Species Options'!B77), "", IF('Aqueous Species Options'!L77 = 1, IF(ISBLANK('Aqueous Species Options'!G77), "", 'Aqueous Species Options'!G77), ('Aqueous Species Table'!I77/10 + ('Aqueous Species Table'!J77*100)/(Calculations!$C$12+Calculations!$C$9) + ('Aqueous Species Table'!K77 + ('Aqueous Species Table'!L77*10000)/(Calculations!$C$12+Calculations!$C$9))*(1/(Calculations!$C$8-Calculations!$C$13)) - 'Aqueous Species Table'!O77*100000*0.0000005903)*41.8393))</f>
        <v>2</v>
      </c>
      <c r="H77" s="29">
        <f>IF(ISBLANK('Aqueous Species Options'!B77), "", IF('Aqueous Species Options'!L77 = 1, IF(ISBLANK('Aqueous Species Options'!H77), "", 'Aqueous Species Options'!H77), 'Aqueous Species Table'!M77 + 'Aqueous Species Table'!N77*10000*(1/(Calculations!$C$8-Calculations!$C$13))^2 + 'Aqueous Species Table'!O77*100000*Calculations!$C$8*Calculations!$C$7))</f>
        <v>15</v>
      </c>
      <c r="I77" s="42">
        <f>IF(ISBLANK('Aqueous Species Options'!B77), "", IF('Aqueous Species Options'!L77=0, 'Aqueous Species Options'!N77, IF(OR(ISBLANK('Aqueous Species Options'!G77),'Aqueous Species Table'!O77="", 'Aqueous Species Table'!P77=""), "", IF('Aqueous Species Options'!B77="H+", 0, (CHOOSE('Aqueous Species Options'!M77+1,'Aqueous Species Options'!$V$4*ABS('Aqueous Species Table'!P77)+'Aqueous Species Options'!$W$4,'Aqueous Species Options'!$Z$4)*('Aqueous Species Options'!G77 + 'Aqueous Species Table'!O77*100000*0.0000005903*41.8393) + CHOOSE('Aqueous Species Options'!M77+1,'Aqueous Species Options'!$X$4*ABS('Aqueous Species Table'!P77)+'Aqueous Species Options'!$Y$4,'Aqueous Species Options'!$AA$4))*10 ) ) ) )</f>
        <v>2.2460844655534409</v>
      </c>
      <c r="J77" s="42">
        <f>IF(ISBLANK('Aqueous Species Options'!B77), "", IF('Aqueous Species Options'!L77 = 0, 'Aqueous Species Options'!O77, IF('Aqueous Species Table'!I77="", "", IF('Aqueous Species Options'!B77="H+", 0, ((1.11*('Aqueous Species Options'!G77 + 'Aqueous Species Table'!O77*100000*0.0000005903*41.8393)+1.8)/41.8393 - 'Aqueous Species Table'!I77/10)*26.01 ) ) ) )</f>
        <v>-2.1446410242020466</v>
      </c>
      <c r="K77" s="42">
        <f>IF(ISBLANK('Aqueous Species Options'!B77), "", IF('Aqueous Species Options'!L77 = 0, 'Aqueous Species Options'!P77, IF('Aqueous Species Table'!I77="", "", IF('Aqueous Species Options'!B77="H+", 0, ('Aqueous Species Options'!G77/41.8393 + 'Aqueous Species Table'!O77*100000*0.0000005903 - 'Aqueous Species Table'!I77/10 - 'Aqueous Species Table'!J77*100/2601)*(298.15-228) - ('Aqueous Species Table'!L77*10000/2601) ) ) ) )</f>
        <v>6.6363619238534035</v>
      </c>
      <c r="L77" s="42">
        <f>IF(ISBLANK('Aqueous Species Options'!B77), "", IF('Aqueous Species Options'!L77 = 0, 'Aqueous Species Options'!Q77, IF('Aqueous Species Table'!J77="", "", IF('Aqueous Species Options'!B77="H+", 0, (-4.134*'Aqueous Species Table'!J77*100 - 27790)*0.0001) ) ) )</f>
        <v>-2.6903405400594878</v>
      </c>
      <c r="M77" s="42">
        <f>IF(ISBLANK('Aqueous Species Options'!B77), "", IF('Aqueous Species Options'!L77=0, 'Aqueous Species Options'!R77, IF('Aqueous Species Table'!N77="", "", IF('Aqueous Species Options'!B77="H+", 0, 'Aqueous Species Options'!H77 - 'Aqueous Species Table'!O77*100000*(-0.000000309)*298.15 - 'Aqueous Species Table'!N77*10000/(298.15-228)^2 ) ) ) )</f>
        <v>21.435441953615925</v>
      </c>
      <c r="N77" s="42">
        <f>IF(ISBLANK('Aqueous Species Options'!B77), "", IF('Aqueous Species Options'!L77=0, 'Aqueous Species Options'!S77, IF(OR(ISBLANK('Aqueous Species Options'!H77), 'Aqueous Species Table'!O77=""), "", IF('Aqueous Species Options'!B77="H+", 0, 0.2037*'Aqueous Species Options'!H77 - 3.0346) ) ) )</f>
        <v>2.0899999999999697E-2</v>
      </c>
      <c r="O77" s="42">
        <f>IF(ISBLANK('Aqueous Species Options'!B77), "", IF('Aqueous Species Options'!K77=0, 'Aqueous Species Options'!I77, IF(OR('Aqueous Species Options'!J77&gt;4,'Aqueous Species Options'!J77&lt;-4), "", IF('Aqueous Species Options'!B77="H+", 0, IF('Aqueous Species Options'!J77=0, -0.038, IF(ISBLANK('Aqueous Species Options'!F77), "", -1514.4*'Aqueous Species Options'!F77*0.00001 + SUM(({4,3,2,1,-1,-2,-3,-4}='Aqueous Species Options'!J77)*{2.1764,1.5793,1.0579,0.5517,1.6291,3.2127,4.8115,6.486}) ) ) ) ) ) )</f>
        <v>0.70313999999999999</v>
      </c>
      <c r="P77" s="1">
        <f>IF(ISBLANK('Aqueous Species Options'!J77), "", 'Aqueous Species Options'!J77)</f>
        <v>1</v>
      </c>
      <c r="Q77" s="184" t="str">
        <f>IF(ISBLANK('Aqueous Species Options'!T77), "", 'Aqueous Species Options'!T77)</f>
        <v>31/1/17 G, S, Cp from SSWS97 regression of Sweeton &amp; Baes (1970); V from estimate to have similar behavior to MgO,aq</v>
      </c>
    </row>
    <row r="78" spans="2:17" ht="15" customHeight="1" x14ac:dyDescent="0.2">
      <c r="B78" s="9" t="str">
        <f>IF(ISBLANK('Aqueous Species Options'!B78), "", 'Aqueous Species Options'!B78)</f>
        <v>Fe+2</v>
      </c>
      <c r="C78" s="9" t="str">
        <f>IF(ISBLANK('Aqueous Species Options'!C78), "", 'Aqueous Species Options'!C78)</f>
        <v>Fe(+2)</v>
      </c>
      <c r="D78" s="2">
        <f>IF(ISBLANK('Aqueous Species Options'!D78), "", 'Aqueous Species Options'!D78)</f>
        <v>-21870</v>
      </c>
      <c r="E78" s="1" t="str">
        <f>IF(ISBLANK('Aqueous Species Options'!E78), "", 'Aqueous Species Options'!E78)</f>
        <v/>
      </c>
      <c r="F78" s="139">
        <f>IF(ISBLANK('Aqueous Species Options'!F78), "", 'Aqueous Species Options'!F78)</f>
        <v>-25.3</v>
      </c>
      <c r="G78" s="29">
        <f>IF(ISBLANK('Aqueous Species Options'!B78), "", IF('Aqueous Species Options'!L78 = 1, IF(ISBLANK('Aqueous Species Options'!G78), "", 'Aqueous Species Options'!G78), ('Aqueous Species Table'!I78/10 + ('Aqueous Species Table'!J78*100)/(Calculations!$C$12+Calculations!$C$9) + ('Aqueous Species Table'!K78 + ('Aqueous Species Table'!L78*10000)/(Calculations!$C$12+Calculations!$C$9))*(1/(Calculations!$C$8-Calculations!$C$13)) - 'Aqueous Species Table'!O78*100000*0.0000005903)*41.8393))</f>
        <v>-22.200111111436492</v>
      </c>
      <c r="H78" s="29">
        <f>IF(ISBLANK('Aqueous Species Options'!B78), "", IF('Aqueous Species Options'!L78 = 1, IF(ISBLANK('Aqueous Species Options'!H78), "", 'Aqueous Species Options'!H78), 'Aqueous Species Table'!M78 + 'Aqueous Species Table'!N78*10000*(1/(Calculations!$C$8-Calculations!$C$13))^2 + 'Aqueous Species Table'!O78*100000*Calculations!$C$8*Calculations!$C$7))</f>
        <v>-7.9002424400798663</v>
      </c>
      <c r="I78" s="42">
        <f>IF(ISBLANK('Aqueous Species Options'!B78), "", IF('Aqueous Species Options'!L78=0, 'Aqueous Species Options'!N78, IF(OR(ISBLANK('Aqueous Species Options'!G78),'Aqueous Species Table'!O78="", 'Aqueous Species Table'!P78=""), "", IF('Aqueous Species Options'!B78="H+", 0, (CHOOSE('Aqueous Species Options'!M78+1,'Aqueous Species Options'!$V$4*ABS('Aqueous Species Table'!P78)+'Aqueous Species Options'!$W$4,'Aqueous Species Options'!$Z$4)*('Aqueous Species Options'!G78 + 'Aqueous Species Table'!O78*100000*0.0000005903*41.8393) + CHOOSE('Aqueous Species Options'!M78+1,'Aqueous Species Options'!$X$4*ABS('Aqueous Species Table'!P78)+'Aqueous Species Options'!$Y$4,'Aqueous Species Options'!$AA$4))*10 ) ) ) )</f>
        <v>-0.91531844204949087</v>
      </c>
      <c r="J78" s="42">
        <f>IF(ISBLANK('Aqueous Species Options'!B78), "", IF('Aqueous Species Options'!L78 = 0, 'Aqueous Species Options'!O78, IF('Aqueous Species Table'!I78="", "", IF('Aqueous Species Options'!B78="H+", 0, ((1.11*('Aqueous Species Options'!G78 + 'Aqueous Species Table'!O78*100000*0.0000005903*41.8393)+1.8)/41.8393 - 'Aqueous Species Table'!I78/10)*26.01 ) ) ) )</f>
        <v>-9.335599781189881</v>
      </c>
      <c r="K78" s="42">
        <f>IF(ISBLANK('Aqueous Species Options'!B78), "", IF('Aqueous Species Options'!L78 = 0, 'Aqueous Species Options'!P78, IF('Aqueous Species Table'!I78="", "", IF('Aqueous Species Options'!B78="H+", 0, ('Aqueous Species Options'!G78/41.8393 + 'Aqueous Species Table'!O78*100000*0.0000005903 - 'Aqueous Species Table'!I78/10 - 'Aqueous Species Table'!J78*100/2601)*(298.15-228) - ('Aqueous Species Table'!L78*10000/2601) ) ) ) )</f>
        <v>9.6131414203824548</v>
      </c>
      <c r="L78" s="42">
        <f>IF(ISBLANK('Aqueous Species Options'!B78), "", IF('Aqueous Species Options'!L78 = 0, 'Aqueous Species Options'!Q78, IF('Aqueous Species Table'!J78="", "", IF('Aqueous Species Options'!B78="H+", 0, (-4.134*'Aqueous Species Table'!J78*100 - 27790)*0.0001) ) ) )</f>
        <v>-2.3930663050456107</v>
      </c>
      <c r="M78" s="42">
        <f>IF(ISBLANK('Aqueous Species Options'!B78), "", IF('Aqueous Species Options'!L78=0, 'Aqueous Species Options'!R78, IF('Aqueous Species Table'!N78="", "", IF('Aqueous Species Options'!B78="H+", 0, 'Aqueous Species Options'!H78 - 'Aqueous Species Table'!O78*100000*(-0.000000309)*298.15 - 'Aqueous Species Table'!N78*10000/(298.15-228)^2 ) ) ) )</f>
        <v>14.963361318190007</v>
      </c>
      <c r="N78" s="42">
        <f>IF(ISBLANK('Aqueous Species Options'!B78), "", IF('Aqueous Species Options'!L78=0, 'Aqueous Species Options'!S78, IF(OR(ISBLANK('Aqueous Species Options'!H78), 'Aqueous Species Table'!O78=""), "", IF('Aqueous Species Options'!B78="H+", 0, 0.2037*'Aqueous Species Options'!H78 - 3.0346) ) ) )</f>
        <v>-4.6438793850442686</v>
      </c>
      <c r="O78" s="42">
        <f>IF(ISBLANK('Aqueous Species Options'!B78), "", IF('Aqueous Species Options'!K78=0, 'Aqueous Species Options'!I78, IF(OR('Aqueous Species Options'!J78&gt;4,'Aqueous Species Options'!J78&lt;-4), "", IF('Aqueous Species Options'!B78="H+", 0, IF('Aqueous Species Options'!J78=0, -0.038, IF(ISBLANK('Aqueous Species Options'!F78), "", -1514.4*'Aqueous Species Options'!F78*0.00001 + SUM(({4,3,2,1,-1,-2,-3,-4}='Aqueous Species Options'!J78)*{2.1764,1.5793,1.0579,0.5517,1.6291,3.2127,4.8115,6.486}) ) ) ) ) ) )</f>
        <v>1.4574</v>
      </c>
      <c r="P78" s="1">
        <f>IF(ISBLANK('Aqueous Species Options'!J78), "", 'Aqueous Species Options'!J78)</f>
        <v>2</v>
      </c>
      <c r="Q78" s="184" t="str">
        <f>IF(ISBLANK('Aqueous Species Options'!T78), "", 'Aqueous Species Options'!T78)</f>
        <v>Shock et al. (1997) revised with new predicted a1 for cations</v>
      </c>
    </row>
    <row r="79" spans="2:17" ht="15" customHeight="1" x14ac:dyDescent="0.2">
      <c r="B79" s="9" t="str">
        <f>IF(ISBLANK('Aqueous Species Options'!B79), "", 'Aqueous Species Options'!B79)</f>
        <v>Fe+3</v>
      </c>
      <c r="C79" s="9" t="str">
        <f>IF(ISBLANK('Aqueous Species Options'!C79), "", 'Aqueous Species Options'!C79)</f>
        <v>Fe(+3)</v>
      </c>
      <c r="D79" s="2">
        <f>IF(ISBLANK('Aqueous Species Options'!D79), "", 'Aqueous Species Options'!D79)</f>
        <v>-4120</v>
      </c>
      <c r="E79" s="1">
        <f>IF(ISBLANK('Aqueous Species Options'!E79), "", 'Aqueous Species Options'!E79)</f>
        <v>-11850</v>
      </c>
      <c r="F79" s="139">
        <f>IF(ISBLANK('Aqueous Species Options'!F79), "", 'Aqueous Species Options'!F79)</f>
        <v>-66.3</v>
      </c>
      <c r="G79" s="29">
        <f>IF(ISBLANK('Aqueous Species Options'!B79), "", IF('Aqueous Species Options'!L79 = 1, IF(ISBLANK('Aqueous Species Options'!G79), "", 'Aqueous Species Options'!G79), ('Aqueous Species Table'!I79/10 + ('Aqueous Species Table'!J79*100)/(Calculations!$C$12+Calculations!$C$9) + ('Aqueous Species Table'!K79 + ('Aqueous Species Table'!L79*10000)/(Calculations!$C$12+Calculations!$C$9))*(1/(Calculations!$C$8-Calculations!$C$13)) - 'Aqueous Species Table'!O79*100000*0.0000005903)*41.8393))</f>
        <v>-36.999988512098852</v>
      </c>
      <c r="H79" s="29">
        <f>IF(ISBLANK('Aqueous Species Options'!B79), "", IF('Aqueous Species Options'!L79 = 1, IF(ISBLANK('Aqueous Species Options'!H79), "", 'Aqueous Species Options'!H79), 'Aqueous Species Table'!M79 + 'Aqueous Species Table'!N79*10000*(1/(Calculations!$C$8-Calculations!$C$13))^2 + 'Aqueous Species Table'!O79*100000*Calculations!$C$8*Calculations!$C$7))</f>
        <v>-18.599884012846992</v>
      </c>
      <c r="I79" s="42">
        <f>IF(ISBLANK('Aqueous Species Options'!B79), "", IF('Aqueous Species Options'!L79=0, 'Aqueous Species Options'!N79, IF(OR(ISBLANK('Aqueous Species Options'!G79),'Aqueous Species Table'!O79="", 'Aqueous Species Table'!P79=""), "", IF('Aqueous Species Options'!B79="H+", 0, (CHOOSE('Aqueous Species Options'!M79+1,'Aqueous Species Options'!$V$4*ABS('Aqueous Species Table'!P79)+'Aqueous Species Options'!$W$4,'Aqueous Species Options'!$Z$4)*('Aqueous Species Options'!G79 + 'Aqueous Species Table'!O79*100000*0.0000005903*41.8393) + CHOOSE('Aqueous Species Options'!M79+1,'Aqueous Species Options'!$X$4*ABS('Aqueous Species Table'!P79)+'Aqueous Species Options'!$Y$4,'Aqueous Species Options'!$AA$4))*10 ) ) ) )</f>
        <v>-6.3271405208930886</v>
      </c>
      <c r="J79" s="42">
        <f>IF(ISBLANK('Aqueous Species Options'!B79), "", IF('Aqueous Species Options'!L79 = 0, 'Aqueous Species Options'!O79, IF('Aqueous Species Table'!I79="", "", IF('Aqueous Species Options'!B79="H+", 0, ((1.11*('Aqueous Species Options'!G79 + 'Aqueous Species Table'!O79*100000*0.0000005903*41.8393)+1.8)/41.8393 - 'Aqueous Species Table'!I79/10)*26.01 ) ) ) )</f>
        <v>-3.556818861208916</v>
      </c>
      <c r="K79" s="42">
        <f>IF(ISBLANK('Aqueous Species Options'!B79), "", IF('Aqueous Species Options'!L79 = 0, 'Aqueous Species Options'!P79, IF('Aqueous Species Table'!I79="", "", IF('Aqueous Species Options'!B79="H+", 0, ('Aqueous Species Options'!G79/41.8393 + 'Aqueous Species Table'!O79*100000*0.0000005903 - 'Aqueous Species Table'!I79/10 - 'Aqueous Species Table'!J79*100/2601)*(298.15-228) - ('Aqueous Species Table'!L79*10000/2601) ) ) ) )</f>
        <v>12.749286759507843</v>
      </c>
      <c r="L79" s="42">
        <f>IF(ISBLANK('Aqueous Species Options'!B79), "", IF('Aqueous Species Options'!L79 = 0, 'Aqueous Species Options'!Q79, IF('Aqueous Species Table'!J79="", "", IF('Aqueous Species Options'!B79="H+", 0, (-4.134*'Aqueous Species Table'!J79*100 - 27790)*0.0001) ) ) )</f>
        <v>-2.6319611082776238</v>
      </c>
      <c r="M79" s="42">
        <f>IF(ISBLANK('Aqueous Species Options'!B79), "", IF('Aqueous Species Options'!L79=0, 'Aqueous Species Options'!R79, IF('Aqueous Species Table'!N79="", "", IF('Aqueous Species Options'!B79="H+", 0, 'Aqueous Species Options'!H79 - 'Aqueous Species Table'!O79*100000*(-0.000000309)*298.15 - 'Aqueous Species Table'!N79*10000/(298.15-228)^2 ) ) ) )</f>
        <v>19.046095840228187</v>
      </c>
      <c r="N79" s="42">
        <f>IF(ISBLANK('Aqueous Species Options'!B79), "", IF('Aqueous Species Options'!L79=0, 'Aqueous Species Options'!S79, IF(OR(ISBLANK('Aqueous Species Options'!H79), 'Aqueous Species Table'!O79=""), "", IF('Aqueous Species Options'!B79="H+", 0, 0.2037*'Aqueous Species Options'!H79 - 3.0346) ) ) )</f>
        <v>-6.8233963734169318</v>
      </c>
      <c r="O79" s="42">
        <f>IF(ISBLANK('Aqueous Species Options'!B79), "", IF('Aqueous Species Options'!K79=0, 'Aqueous Species Options'!I79, IF(OR('Aqueous Species Options'!J79&gt;4,'Aqueous Species Options'!J79&lt;-4), "", IF('Aqueous Species Options'!B79="H+", 0, IF('Aqueous Species Options'!J79=0, -0.038, IF(ISBLANK('Aqueous Species Options'!F79), "", -1514.4*'Aqueous Species Options'!F79*0.00001 + SUM(({4,3,2,1,-1,-2,-3,-4}='Aqueous Species Options'!J79)*{2.1764,1.5793,1.0579,0.5517,1.6291,3.2127,4.8115,6.486}) ) ) ) ) ) )</f>
        <v>2.5811999999999999</v>
      </c>
      <c r="P79" s="1">
        <f>IF(ISBLANK('Aqueous Species Options'!J79), "", 'Aqueous Species Options'!J79)</f>
        <v>3</v>
      </c>
      <c r="Q79" s="184" t="str">
        <f>IF(ISBLANK('Aqueous Species Options'!T79), "", 'Aqueous Species Options'!T79)</f>
        <v>Shock et al. (1997) revised with new predicted a1 for cations</v>
      </c>
    </row>
    <row r="80" spans="2:17" ht="15" customHeight="1" x14ac:dyDescent="0.2">
      <c r="B80" s="9" t="str">
        <f>IF(ISBLANK('Aqueous Species Options'!B80), "", 'Aqueous Species Options'!B80)</f>
        <v>FeCl+</v>
      </c>
      <c r="C80" s="9" t="str">
        <f>IF(ISBLANK('Aqueous Species Options'!C80), "", 'Aqueous Species Options'!C80)</f>
        <v>FeCl(+)</v>
      </c>
      <c r="D80" s="2">
        <f>IF(ISBLANK('Aqueous Species Options'!D80), "", 'Aqueous Species Options'!D80)</f>
        <v>-53030</v>
      </c>
      <c r="E80" s="1">
        <f>IF(ISBLANK('Aqueous Species Options'!E80), "", 'Aqueous Species Options'!E80)</f>
        <v>-61260</v>
      </c>
      <c r="F80" s="139">
        <f>IF(ISBLANK('Aqueous Species Options'!F80), "", 'Aqueous Species Options'!F80)</f>
        <v>-10.06</v>
      </c>
      <c r="G80" s="29">
        <f>IF(ISBLANK('Aqueous Species Options'!B80), "", IF('Aqueous Species Options'!L80 = 1, IF(ISBLANK('Aqueous Species Options'!G80), "", 'Aqueous Species Options'!G80), ('Aqueous Species Table'!I80/10 + ('Aqueous Species Table'!J80*100)/(Calculations!$C$12+Calculations!$C$9) + ('Aqueous Species Table'!K80 + ('Aqueous Species Table'!L80*10000)/(Calculations!$C$12+Calculations!$C$9))*(1/(Calculations!$C$8-Calculations!$C$13)) - 'Aqueous Species Table'!O80*100000*0.0000005903)*41.8393))</f>
        <v>5.8</v>
      </c>
      <c r="H80" s="29">
        <f>IF(ISBLANK('Aqueous Species Options'!B80), "", IF('Aqueous Species Options'!L80 = 1, IF(ISBLANK('Aqueous Species Options'!H80), "", 'Aqueous Species Options'!H80), 'Aqueous Species Table'!M80 + 'Aqueous Species Table'!N80*10000*(1/(Calculations!$C$8-Calculations!$C$13))^2 + 'Aqueous Species Table'!O80*100000*Calculations!$C$8*Calculations!$C$7))</f>
        <v>20.570040893148047</v>
      </c>
      <c r="I80" s="42">
        <f>IF(ISBLANK('Aqueous Species Options'!B80), "", IF('Aqueous Species Options'!L80=0, 'Aqueous Species Options'!N80, IF(OR(ISBLANK('Aqueous Species Options'!G80),'Aqueous Species Table'!O80="", 'Aqueous Species Table'!P80=""), "", IF('Aqueous Species Options'!B80="H+", 0, (CHOOSE('Aqueous Species Options'!M80+1,'Aqueous Species Options'!$V$4*ABS('Aqueous Species Table'!P80)+'Aqueous Species Options'!$W$4,'Aqueous Species Options'!$Z$4)*('Aqueous Species Options'!G80 + 'Aqueous Species Table'!O80*100000*0.0000005903*41.8393) + CHOOSE('Aqueous Species Options'!M80+1,'Aqueous Species Options'!$X$4*ABS('Aqueous Species Table'!P80)+'Aqueous Species Options'!$Y$4,'Aqueous Species Options'!$AA$4))*10 ) ) ) )</f>
        <v>2.9827202459639257</v>
      </c>
      <c r="J80" s="42">
        <f>IF(ISBLANK('Aqueous Species Options'!B80), "", IF('Aqueous Species Options'!L80 = 0, 'Aqueous Species Options'!O80, IF('Aqueous Species Table'!I80="", "", IF('Aqueous Species Options'!B80="H+", 0, ((1.11*('Aqueous Species Options'!G80 + 'Aqueous Species Table'!O80*100000*0.0000005903*41.8393)+1.8)/41.8393 - 'Aqueous Species Table'!I80/10)*26.01 ) ) ) )</f>
        <v>-1.4432906869878268</v>
      </c>
      <c r="K80" s="42">
        <f>IF(ISBLANK('Aqueous Species Options'!B80), "", IF('Aqueous Species Options'!L80 = 0, 'Aqueous Species Options'!P80, IF('Aqueous Species Table'!I80="", "", IF('Aqueous Species Options'!B80="H+", 0, ('Aqueous Species Options'!G80/41.8393 + 'Aqueous Species Table'!O80*100000*0.0000005903 - 'Aqueous Species Table'!I80/10 - 'Aqueous Species Table'!J80*100/2601)*(298.15-228) - ('Aqueous Species Table'!L80*10000/2601) ) ) ) )</f>
        <v>6.0482863126185658</v>
      </c>
      <c r="L80" s="42">
        <f>IF(ISBLANK('Aqueous Species Options'!B80), "", IF('Aqueous Species Options'!L80 = 0, 'Aqueous Species Options'!Q80, IF('Aqueous Species Table'!J80="", "", IF('Aqueous Species Options'!B80="H+", 0, (-4.134*'Aqueous Species Table'!J80*100 - 27790)*0.0001) ) ) )</f>
        <v>-2.7193343629999234</v>
      </c>
      <c r="M80" s="42">
        <f>IF(ISBLANK('Aqueous Species Options'!B80), "", IF('Aqueous Species Options'!L80=0, 'Aqueous Species Options'!R80, IF('Aqueous Species Table'!N80="", "", IF('Aqueous Species Options'!B80="H+", 0, 'Aqueous Species Options'!H80 - 'Aqueous Species Table'!O80*100000*(-0.000000309)*298.15 - 'Aqueous Species Table'!N80*10000/(298.15-228)^2 ) ) ) )</f>
        <v>24.673664783875186</v>
      </c>
      <c r="N80" s="42">
        <f>IF(ISBLANK('Aqueous Species Options'!B80), "", IF('Aqueous Species Options'!L80=0, 'Aqueous Species Options'!S80, IF(OR(ISBLANK('Aqueous Species Options'!H80), 'Aqueous Species Table'!O80=""), "", IF('Aqueous Species Options'!B80="H+", 0, 0.2037*'Aqueous Species Options'!H80 - 3.0346) ) ) )</f>
        <v>1.1555173299342565</v>
      </c>
      <c r="O80" s="42">
        <f>IF(ISBLANK('Aqueous Species Options'!B80), "", IF('Aqueous Species Options'!K80=0, 'Aqueous Species Options'!I80, IF(OR('Aqueous Species Options'!J80&gt;4,'Aqueous Species Options'!J80&lt;-4), "", IF('Aqueous Species Options'!B80="H+", 0, IF('Aqueous Species Options'!J80=0, -0.038, IF(ISBLANK('Aqueous Species Options'!F80), "", -1514.4*'Aqueous Species Options'!F80*0.00001 + SUM(({4,3,2,1,-1,-2,-3,-4}='Aqueous Species Options'!J80)*{2.1764,1.5793,1.0579,0.5517,1.6291,3.2127,4.8115,6.486}) ) ) ) ) ) )</f>
        <v>0.70030000000000003</v>
      </c>
      <c r="P80" s="1">
        <f>IF(ISBLANK('Aqueous Species Options'!J80), "", 'Aqueous Species Options'!J80)</f>
        <v>1</v>
      </c>
      <c r="Q80" s="184" t="str">
        <f>IF(ISBLANK('Aqueous Species Options'!T80), "", 'Aqueous Species Options'!T80)</f>
        <v>Sverjensky et al. (1997) with revised volume increased in order that a1 of the complex is the sum of the a1 values of the ions</v>
      </c>
    </row>
    <row r="81" spans="2:17" ht="15" customHeight="1" x14ac:dyDescent="0.2">
      <c r="B81" s="9" t="str">
        <f>IF(ISBLANK('Aqueous Species Options'!B81), "", 'Aqueous Species Options'!B81)</f>
        <v>FeCl++</v>
      </c>
      <c r="C81" s="9" t="str">
        <f>IF(ISBLANK('Aqueous Species Options'!C81), "", 'Aqueous Species Options'!C81)</f>
        <v>FeCl(++)</v>
      </c>
      <c r="D81" s="2">
        <f>IF(ISBLANK('Aqueous Species Options'!D81), "", 'Aqueous Species Options'!D81)</f>
        <v>-37573</v>
      </c>
      <c r="E81" s="1">
        <f>IF(ISBLANK('Aqueous Species Options'!E81), "", 'Aqueous Species Options'!E81)</f>
        <v>-50875</v>
      </c>
      <c r="F81" s="139">
        <f>IF(ISBLANK('Aqueous Species Options'!F81), "", 'Aqueous Species Options'!F81)</f>
        <v>-28.7</v>
      </c>
      <c r="G81" s="29">
        <f>IF(ISBLANK('Aqueous Species Options'!B81), "", IF('Aqueous Species Options'!L81 = 1, IF(ISBLANK('Aqueous Species Options'!G81), "", 'Aqueous Species Options'!G81), ('Aqueous Species Table'!I81/10 + ('Aqueous Species Table'!J81*100)/(Calculations!$C$12+Calculations!$C$9) + ('Aqueous Species Table'!K81 + ('Aqueous Species Table'!L81*10000)/(Calculations!$C$12+Calculations!$C$9))*(1/(Calculations!$C$8-Calculations!$C$13)) - 'Aqueous Species Table'!O81*100000*0.0000005903)*41.8393))</f>
        <v>-19</v>
      </c>
      <c r="H81" s="29">
        <f>IF(ISBLANK('Aqueous Species Options'!B81), "", IF('Aqueous Species Options'!L81 = 1, IF(ISBLANK('Aqueous Species Options'!H81), "", 'Aqueous Species Options'!H81), 'Aqueous Species Table'!M81 + 'Aqueous Species Table'!N81*10000*(1/(Calculations!$C$8-Calculations!$C$13))^2 + 'Aqueous Species Table'!O81*100000*Calculations!$C$8*Calculations!$C$7))</f>
        <v>3.3</v>
      </c>
      <c r="I81" s="42">
        <f>IF(ISBLANK('Aqueous Species Options'!B81), "", IF('Aqueous Species Options'!L81=0, 'Aqueous Species Options'!N81, IF(OR(ISBLANK('Aqueous Species Options'!G81),'Aqueous Species Table'!O81="", 'Aqueous Species Table'!P81=""), "", IF('Aqueous Species Options'!B81="H+", 0, (CHOOSE('Aqueous Species Options'!M81+1,'Aqueous Species Options'!$V$4*ABS('Aqueous Species Table'!P81)+'Aqueous Species Options'!$W$4,'Aqueous Species Options'!$Z$4)*('Aqueous Species Options'!G81 + 'Aqueous Species Table'!O81*100000*0.0000005903*41.8393) + CHOOSE('Aqueous Species Options'!M81+1,'Aqueous Species Options'!$X$4*ABS('Aqueous Species Table'!P81)+'Aqueous Species Options'!$Y$4,'Aqueous Species Options'!$AA$4))*10 ) ) ) )</f>
        <v>-1.4536895006499702</v>
      </c>
      <c r="J81" s="42">
        <f>IF(ISBLANK('Aqueous Species Options'!B81), "", IF('Aqueous Species Options'!L81 = 0, 'Aqueous Species Options'!O81, IF('Aqueous Species Table'!I81="", "", IF('Aqueous Species Options'!B81="H+", 0, ((1.11*('Aqueous Species Options'!G81 + 'Aqueous Species Table'!O81*100000*0.0000005903*41.8393)+1.8)/41.8393 - 'Aqueous Species Table'!I81/10)*26.01 ) ) ) )</f>
        <v>-5.6671928575751176</v>
      </c>
      <c r="K81" s="42">
        <f>IF(ISBLANK('Aqueous Species Options'!B81), "", IF('Aqueous Species Options'!L81 = 0, 'Aqueous Species Options'!P81, IF('Aqueous Species Table'!I81="", "", IF('Aqueous Species Options'!B81="H+", 0, ('Aqueous Species Options'!G81/41.8393 + 'Aqueous Species Table'!O81*100000*0.0000005903 - 'Aqueous Species Table'!I81/10 - 'Aqueous Species Table'!J81*100/2601)*(298.15-228) - ('Aqueous Species Table'!L81*10000/2601) ) ) ) )</f>
        <v>9.5899882538063235</v>
      </c>
      <c r="L81" s="42">
        <f>IF(ISBLANK('Aqueous Species Options'!B81), "", IF('Aqueous Species Options'!L81 = 0, 'Aqueous Species Options'!Q81, IF('Aqueous Species Table'!J81="", "", IF('Aqueous Species Options'!B81="H+", 0, (-4.134*'Aqueous Species Table'!J81*100 - 27790)*0.0001) ) ) )</f>
        <v>-2.5447182472678449</v>
      </c>
      <c r="M81" s="42">
        <f>IF(ISBLANK('Aqueous Species Options'!B81), "", IF('Aqueous Species Options'!L81=0, 'Aqueous Species Options'!R81, IF('Aqueous Species Table'!N81="", "", IF('Aqueous Species Options'!B81="H+", 0, 'Aqueous Species Options'!H81 - 'Aqueous Species Table'!O81*100000*(-0.000000309)*298.15 - 'Aqueous Species Table'!N81*10000/(298.15-228)^2 ) ) ) )</f>
        <v>21.851066422210806</v>
      </c>
      <c r="N81" s="42">
        <f>IF(ISBLANK('Aqueous Species Options'!B81), "", IF('Aqueous Species Options'!L81=0, 'Aqueous Species Options'!S81, IF(OR(ISBLANK('Aqueous Species Options'!H81), 'Aqueous Species Table'!O81=""), "", IF('Aqueous Species Options'!B81="H+", 0, 0.2037*'Aqueous Species Options'!H81 - 3.0346) ) ) )</f>
        <v>-2.3623900000000004</v>
      </c>
      <c r="O81" s="42">
        <f>IF(ISBLANK('Aqueous Species Options'!B81), "", IF('Aqueous Species Options'!K81=0, 'Aqueous Species Options'!I81, IF(OR('Aqueous Species Options'!J81&gt;4,'Aqueous Species Options'!J81&lt;-4), "", IF('Aqueous Species Options'!B81="H+", 0, IF('Aqueous Species Options'!J81=0, -0.038, IF(ISBLANK('Aqueous Species Options'!F81), "", -1514.4*'Aqueous Species Options'!F81*0.00001 + SUM(({4,3,2,1,-1,-2,-3,-4}='Aqueous Species Options'!J81)*{2.1764,1.5793,1.0579,0.5517,1.6291,3.2127,4.8115,6.486}) ) ) ) ) ) )</f>
        <v>1.4925328000000002</v>
      </c>
      <c r="P81" s="1">
        <f>IF(ISBLANK('Aqueous Species Options'!J81), "", 'Aqueous Species Options'!J81)</f>
        <v>2</v>
      </c>
      <c r="Q81" s="184" t="str">
        <f>IF(ISBLANK('Aqueous Species Options'!T81), "", 'Aqueous Species Options'!T81)</f>
        <v>29/11/16: Fit to Tagirov et al. (2000) with revised volume increased in order that a1 of the complex a bit greater than the sum of the a1 values of the ions</v>
      </c>
    </row>
    <row r="82" spans="2:17" ht="15" customHeight="1" x14ac:dyDescent="0.2">
      <c r="B82" s="9" t="str">
        <f>IF(ISBLANK('Aqueous Species Options'!B82), "", 'Aqueous Species Options'!B82)</f>
        <v>FeCl2,aq</v>
      </c>
      <c r="C82" s="9" t="str">
        <f>IF(ISBLANK('Aqueous Species Options'!C82), "", 'Aqueous Species Options'!C82)</f>
        <v>FeCl2(0)</v>
      </c>
      <c r="D82" s="2">
        <f>IF(ISBLANK('Aqueous Species Options'!D82), "", 'Aqueous Species Options'!D82)</f>
        <v>-73480</v>
      </c>
      <c r="E82" s="1">
        <f>IF(ISBLANK('Aqueous Species Options'!E82), "", 'Aqueous Species Options'!E82)</f>
        <v>-78490</v>
      </c>
      <c r="F82" s="139">
        <f>IF(ISBLANK('Aqueous Species Options'!F82), "", 'Aqueous Species Options'!F82)</f>
        <v>43</v>
      </c>
      <c r="G82" s="29">
        <f>IF(ISBLANK('Aqueous Species Options'!B82), "", IF('Aqueous Species Options'!L82 = 1, IF(ISBLANK('Aqueous Species Options'!G82), "", 'Aqueous Species Options'!G82), ('Aqueous Species Table'!I82/10 + ('Aqueous Species Table'!J82*100)/(Calculations!$C$12+Calculations!$C$9) + ('Aqueous Species Table'!K82 + ('Aqueous Species Table'!L82*10000)/(Calculations!$C$12+Calculations!$C$9))*(1/(Calculations!$C$8-Calculations!$C$13)) - 'Aqueous Species Table'!O82*100000*0.0000005903)*41.8393))</f>
        <v>28.4</v>
      </c>
      <c r="H82" s="29">
        <f>IF(ISBLANK('Aqueous Species Options'!B82), "", IF('Aqueous Species Options'!L82 = 1, IF(ISBLANK('Aqueous Species Options'!H82), "", 'Aqueous Species Options'!H82), 'Aqueous Species Table'!M82 + 'Aqueous Species Table'!N82*10000*(1/(Calculations!$C$8-Calculations!$C$13))^2 + 'Aqueous Species Table'!O82*100000*Calculations!$C$8*Calculations!$C$7))</f>
        <v>28.140072095850797</v>
      </c>
      <c r="I82" s="42">
        <f>IF(ISBLANK('Aqueous Species Options'!B82), "", IF('Aqueous Species Options'!L82=0, 'Aqueous Species Options'!N82, IF(OR(ISBLANK('Aqueous Species Options'!G82),'Aqueous Species Table'!O82="", 'Aqueous Species Table'!P82=""), "", IF('Aqueous Species Options'!B82="H+", 0, (CHOOSE('Aqueous Species Options'!M82+1,'Aqueous Species Options'!$V$4*ABS('Aqueous Species Table'!P82)+'Aqueous Species Options'!$W$4,'Aqueous Species Options'!$Z$4)*('Aqueous Species Options'!G82 + 'Aqueous Species Table'!O82*100000*0.0000005903*41.8393) + CHOOSE('Aqueous Species Options'!M82+1,'Aqueous Species Options'!$X$4*ABS('Aqueous Species Table'!P82)+'Aqueous Species Options'!$Y$4,'Aqueous Species Options'!$AA$4))*10 ) ) ) )</f>
        <v>7.0177371181684567</v>
      </c>
      <c r="J82" s="42">
        <f>IF(ISBLANK('Aqueous Species Options'!B82), "", IF('Aqueous Species Options'!L82 = 0, 'Aqueous Species Options'!O82, IF('Aqueous Species Table'!I82="", "", IF('Aqueous Species Options'!B82="H+", 0, ((1.11*('Aqueous Species Options'!G82 + 'Aqueous Species Table'!O82*100000*0.0000005903*41.8393)+1.8)/41.8393 - 'Aqueous Species Table'!I82/10)*26.01 ) ) ) )</f>
        <v>2.3984456489918737</v>
      </c>
      <c r="K82" s="42">
        <f>IF(ISBLANK('Aqueous Species Options'!B82), "", IF('Aqueous Species Options'!L82 = 0, 'Aqueous Species Options'!P82, IF('Aqueous Species Table'!I82="", "", IF('Aqueous Species Options'!B82="H+", 0, ('Aqueous Species Options'!G82/41.8393 + 'Aqueous Species Table'!O82*100000*0.0000005903 - 'Aqueous Species Table'!I82/10 - 'Aqueous Species Table'!J82*100/2601)*(298.15-228) - ('Aqueous Species Table'!L82*10000/2601) ) ) ) )</f>
        <v>2.8270268020605762</v>
      </c>
      <c r="L82" s="42">
        <f>IF(ISBLANK('Aqueous Species Options'!B82), "", IF('Aqueous Species Options'!L82 = 0, 'Aqueous Species Options'!Q82, IF('Aqueous Species Table'!J82="", "", IF('Aqueous Species Options'!B82="H+", 0, (-4.134*'Aqueous Species Table'!J82*100 - 27790)*0.0001) ) ) )</f>
        <v>-2.8781517431293242</v>
      </c>
      <c r="M82" s="42">
        <f>IF(ISBLANK('Aqueous Species Options'!B82), "", IF('Aqueous Species Options'!L82=0, 'Aqueous Species Options'!R82, IF('Aqueous Species Table'!N82="", "", IF('Aqueous Species Options'!B82="H+", 0, 'Aqueous Species Options'!H82 - 'Aqueous Species Table'!O82*100000*(-0.000000309)*298.15 - 'Aqueous Species Table'!N82*10000/(298.15-228)^2 ) ) ) )</f>
        <v>22.308333578997438</v>
      </c>
      <c r="N82" s="42">
        <f>IF(ISBLANK('Aqueous Species Options'!B82), "", IF('Aqueous Species Options'!L82=0, 'Aqueous Species Options'!S82, IF(OR(ISBLANK('Aqueous Species Options'!H82), 'Aqueous Species Table'!O82=""), "", IF('Aqueous Species Options'!B82="H+", 0, 0.2037*'Aqueous Species Options'!H82 - 3.0346) ) ) )</f>
        <v>2.6975326859248074</v>
      </c>
      <c r="O82" s="42">
        <f>IF(ISBLANK('Aqueous Species Options'!B82), "", IF('Aqueous Species Options'!K82=0, 'Aqueous Species Options'!I82, IF(OR('Aqueous Species Options'!J82&gt;4,'Aqueous Species Options'!J82&lt;-4), "", IF('Aqueous Species Options'!B82="H+", 0, IF('Aqueous Species Options'!J82=0, -0.038, IF(ISBLANK('Aqueous Species Options'!F82), "", -1514.4*'Aqueous Species Options'!F82*0.00001 + SUM(({4,3,2,1,-1,-2,-3,-4}='Aqueous Species Options'!J82)*{2.1764,1.5793,1.0579,0.5517,1.6291,3.2127,4.8115,6.486}) ) ) ) ) ) )</f>
        <v>-3.7999999999999999E-2</v>
      </c>
      <c r="P82" s="1">
        <f>IF(ISBLANK('Aqueous Species Options'!J82), "", 'Aqueous Species Options'!J82)</f>
        <v>0</v>
      </c>
      <c r="Q82" s="184" t="str">
        <f>IF(ISBLANK('Aqueous Species Options'!T82), "", 'Aqueous Species Options'!T82)</f>
        <v>Sverjensky et al. (1997) with revised volume increased in order that a1 of the complex is the sum of the a1 values of the ions</v>
      </c>
    </row>
    <row r="83" spans="2:17" ht="15" customHeight="1" x14ac:dyDescent="0.2">
      <c r="B83" s="9" t="str">
        <f>IF(ISBLANK('Aqueous Species Options'!B83), "", 'Aqueous Species Options'!B83)</f>
        <v>FeCl2+</v>
      </c>
      <c r="C83" s="9" t="str">
        <f>IF(ISBLANK('Aqueous Species Options'!C83), "", 'Aqueous Species Options'!C83)</f>
        <v>FeCl2(+)</v>
      </c>
      <c r="D83" s="2">
        <f>IF(ISBLANK('Aqueous Species Options'!D83), "", 'Aqueous Species Options'!D83)</f>
        <v>-69429</v>
      </c>
      <c r="E83" s="1">
        <f>IF(ISBLANK('Aqueous Species Options'!E83), "", 'Aqueous Species Options'!E83)</f>
        <v>-91824</v>
      </c>
      <c r="F83" s="139">
        <f>IF(ISBLANK('Aqueous Species Options'!F83), "", 'Aqueous Species Options'!F83)</f>
        <v>-2</v>
      </c>
      <c r="G83" s="29">
        <f>IF(ISBLANK('Aqueous Species Options'!B83), "", IF('Aqueous Species Options'!L83 = 1, IF(ISBLANK('Aqueous Species Options'!G83), "", 'Aqueous Species Options'!G83), ('Aqueous Species Table'!I83/10 + ('Aqueous Species Table'!J83*100)/(Calculations!$C$12+Calculations!$C$9) + ('Aqueous Species Table'!K83 + ('Aqueous Species Table'!L83*10000)/(Calculations!$C$12+Calculations!$C$9))*(1/(Calculations!$C$8-Calculations!$C$13)) - 'Aqueous Species Table'!O83*100000*0.0000005903)*41.8393))</f>
        <v>8</v>
      </c>
      <c r="H83" s="29">
        <f>IF(ISBLANK('Aqueous Species Options'!B83), "", IF('Aqueous Species Options'!L83 = 1, IF(ISBLANK('Aqueous Species Options'!H83), "", 'Aqueous Species Options'!H83), 'Aqueous Species Table'!M83 + 'Aqueous Species Table'!N83*10000*(1/(Calculations!$C$8-Calculations!$C$13))^2 + 'Aqueous Species Table'!O83*100000*Calculations!$C$8*Calculations!$C$7))</f>
        <v>5.0999999999999996</v>
      </c>
      <c r="I83" s="42">
        <f>IF(ISBLANK('Aqueous Species Options'!B83), "", IF('Aqueous Species Options'!L83=0, 'Aqueous Species Options'!N83, IF(OR(ISBLANK('Aqueous Species Options'!G83),'Aqueous Species Table'!O83="", 'Aqueous Species Table'!P83=""), "", IF('Aqueous Species Options'!B83="H+", 0, (CHOOSE('Aqueous Species Options'!M83+1,'Aqueous Species Options'!$V$4*ABS('Aqueous Species Table'!P83)+'Aqueous Species Options'!$W$4,'Aqueous Species Options'!$Z$4)*('Aqueous Species Options'!G83 + 'Aqueous Species Table'!O83*100000*0.0000005903*41.8393) + CHOOSE('Aqueous Species Options'!M83+1,'Aqueous Species Options'!$X$4*ABS('Aqueous Species Table'!P83)+'Aqueous Species Options'!$Y$4,'Aqueous Species Options'!$AA$4))*10 ) ) ) )</f>
        <v>3.353766705157168</v>
      </c>
      <c r="J83" s="42">
        <f>IF(ISBLANK('Aqueous Species Options'!B83), "", IF('Aqueous Species Options'!L83 = 0, 'Aqueous Species Options'!O83, IF('Aqueous Species Table'!I83="", "", IF('Aqueous Species Options'!B83="H+", 0, ((1.11*('Aqueous Species Options'!G83 + 'Aqueous Species Table'!O83*100000*0.0000005903*41.8393)+1.8)/41.8393 - 'Aqueous Species Table'!I83/10)*26.01 ) ) ) )</f>
        <v>-1.0900176500301157</v>
      </c>
      <c r="K83" s="42">
        <f>IF(ISBLANK('Aqueous Species Options'!B83), "", IF('Aqueous Species Options'!L83 = 0, 'Aqueous Species Options'!P83, IF('Aqueous Species Table'!I83="", "", IF('Aqueous Species Options'!B83="H+", 0, ('Aqueous Species Options'!G83/41.8393 + 'Aqueous Species Table'!O83*100000*0.0000005903 - 'Aqueous Species Table'!I83/10 - 'Aqueous Species Table'!J83*100/2601)*(298.15-228) - ('Aqueous Species Table'!L83*10000/2601) ) ) ) )</f>
        <v>5.7520702190085062</v>
      </c>
      <c r="L83" s="42">
        <f>IF(ISBLANK('Aqueous Species Options'!B83), "", IF('Aqueous Species Options'!L83 = 0, 'Aqueous Species Options'!Q83, IF('Aqueous Species Table'!J83="", "", IF('Aqueous Species Options'!B83="H+", 0, (-4.134*'Aqueous Species Table'!J83*100 - 27790)*0.0001) ) ) )</f>
        <v>-2.7339386703477553</v>
      </c>
      <c r="M83" s="42">
        <f>IF(ISBLANK('Aqueous Species Options'!B83), "", IF('Aqueous Species Options'!L83=0, 'Aqueous Species Options'!R83, IF('Aqueous Species Table'!N83="", "", IF('Aqueous Species Options'!B83="H+", 0, 'Aqueous Species Options'!H83 - 'Aqueous Species Table'!O83*100000*(-0.000000309)*298.15 - 'Aqueous Species Table'!N83*10000/(298.15-228)^2 ) ) ) )</f>
        <v>14.527523038067901</v>
      </c>
      <c r="N83" s="42">
        <f>IF(ISBLANK('Aqueous Species Options'!B83), "", IF('Aqueous Species Options'!L83=0, 'Aqueous Species Options'!S83, IF(OR(ISBLANK('Aqueous Species Options'!H83), 'Aqueous Species Table'!O83=""), "", IF('Aqueous Species Options'!B83="H+", 0, 0.2037*'Aqueous Species Options'!H83 - 3.0346) ) ) )</f>
        <v>-1.9957300000000002</v>
      </c>
      <c r="O83" s="42">
        <f>IF(ISBLANK('Aqueous Species Options'!B83), "", IF('Aqueous Species Options'!K83=0, 'Aqueous Species Options'!I83, IF(OR('Aqueous Species Options'!J83&gt;4,'Aqueous Species Options'!J83&lt;-4), "", IF('Aqueous Species Options'!B83="H+", 0, IF('Aqueous Species Options'!J83=0, -0.038, IF(ISBLANK('Aqueous Species Options'!F83), "", -1514.4*'Aqueous Species Options'!F83*0.00001 + SUM(({4,3,2,1,-1,-2,-3,-4}='Aqueous Species Options'!J83)*{2.1764,1.5793,1.0579,0.5517,1.6291,3.2127,4.8115,6.486}) ) ) ) ) ) )</f>
        <v>0.58309999999999995</v>
      </c>
      <c r="P83" s="1">
        <f>IF(ISBLANK('Aqueous Species Options'!J83), "", 'Aqueous Species Options'!J83)</f>
        <v>1</v>
      </c>
      <c r="Q83" s="184" t="str">
        <f>IF(ISBLANK('Aqueous Species Options'!T83), "", 'Aqueous Species Options'!T83)</f>
        <v>29/11/16: Fit to Liu et al. (2006) with revised volume increased in order that a1 of the complex a bit greater than the sum of the a1 values of the ions</v>
      </c>
    </row>
    <row r="84" spans="2:17" ht="15" customHeight="1" x14ac:dyDescent="0.2">
      <c r="B84" s="9" t="str">
        <f>IF(ISBLANK('Aqueous Species Options'!B84), "", 'Aqueous Species Options'!B84)</f>
        <v>FeCl3,aq</v>
      </c>
      <c r="C84" s="9" t="str">
        <f>IF(ISBLANK('Aqueous Species Options'!C84), "", 'Aqueous Species Options'!C84)</f>
        <v>FeCl3(0)</v>
      </c>
      <c r="D84" s="2">
        <f>IF(ISBLANK('Aqueous Species Options'!D84), "", 'Aqueous Species Options'!D84)</f>
        <v>-99307</v>
      </c>
      <c r="E84" s="1">
        <f>IF(ISBLANK('Aqueous Species Options'!E84), "", 'Aqueous Species Options'!E84)</f>
        <v>-134400</v>
      </c>
      <c r="F84" s="139">
        <f>IF(ISBLANK('Aqueous Species Options'!F84), "", 'Aqueous Species Options'!F84)</f>
        <v>18</v>
      </c>
      <c r="G84" s="29">
        <f>IF(ISBLANK('Aqueous Species Options'!B84), "", IF('Aqueous Species Options'!L84 = 1, IF(ISBLANK('Aqueous Species Options'!G84), "", 'Aqueous Species Options'!G84), ('Aqueous Species Table'!I84/10 + ('Aqueous Species Table'!J84*100)/(Calculations!$C$12+Calculations!$C$9) + ('Aqueous Species Table'!K84 + ('Aqueous Species Table'!L84*10000)/(Calculations!$C$12+Calculations!$C$9))*(1/(Calculations!$C$8-Calculations!$C$13)) - 'Aqueous Species Table'!O84*100000*0.0000005903)*41.8393))</f>
        <v>37.4</v>
      </c>
      <c r="H84" s="29">
        <f>IF(ISBLANK('Aqueous Species Options'!B84), "", IF('Aqueous Species Options'!L84 = 1, IF(ISBLANK('Aqueous Species Options'!H84), "", 'Aqueous Species Options'!H84), 'Aqueous Species Table'!M84 + 'Aqueous Species Table'!N84*10000*(1/(Calculations!$C$8-Calculations!$C$13))^2 + 'Aqueous Species Table'!O84*100000*Calculations!$C$8*Calculations!$C$7))</f>
        <v>-28</v>
      </c>
      <c r="I84" s="42">
        <f>IF(ISBLANK('Aqueous Species Options'!B84), "", IF('Aqueous Species Options'!L84=0, 'Aqueous Species Options'!N84, IF(OR(ISBLANK('Aqueous Species Options'!G84),'Aqueous Species Table'!O84="", 'Aqueous Species Table'!P84=""), "", IF('Aqueous Species Options'!B84="H+", 0, (CHOOSE('Aqueous Species Options'!M84+1,'Aqueous Species Options'!$V$4*ABS('Aqueous Species Table'!P84)+'Aqueous Species Options'!$W$4,'Aqueous Species Options'!$Z$4)*('Aqueous Species Options'!G84 + 'Aqueous Species Table'!O84*100000*0.0000005903*41.8393) + CHOOSE('Aqueous Species Options'!M84+1,'Aqueous Species Options'!$X$4*ABS('Aqueous Species Table'!P84)+'Aqueous Species Options'!$Y$4,'Aqueous Species Options'!$AA$4))*10 ) ) ) )</f>
        <v>8.9277504355121788</v>
      </c>
      <c r="J84" s="42">
        <f>IF(ISBLANK('Aqueous Species Options'!B84), "", IF('Aqueous Species Options'!L84 = 0, 'Aqueous Species Options'!O84, IF('Aqueous Species Table'!I84="", "", IF('Aqueous Species Options'!B84="H+", 0, ((1.11*('Aqueous Species Options'!G84 + 'Aqueous Species Table'!O84*100000*0.0000005903*41.8393)+1.8)/41.8393 - 'Aqueous Species Table'!I84/10)*26.01 ) ) ) )</f>
        <v>4.2169678004086695</v>
      </c>
      <c r="K84" s="42">
        <f>IF(ISBLANK('Aqueous Species Options'!B84), "", IF('Aqueous Species Options'!L84 = 0, 'Aqueous Species Options'!P84, IF('Aqueous Species Table'!I84="", "", IF('Aqueous Species Options'!B84="H+", 0, ('Aqueous Species Options'!G84/41.8393 + 'Aqueous Species Table'!O84*100000*0.0000005903 - 'Aqueous Species Table'!I84/10 - 'Aqueous Species Table'!J84*100/2601)*(298.15-228) - ('Aqueous Species Table'!L84*10000/2601) ) ) ) )</f>
        <v>1.3022132117708338</v>
      </c>
      <c r="L84" s="42">
        <f>IF(ISBLANK('Aqueous Species Options'!B84), "", IF('Aqueous Species Options'!L84 = 0, 'Aqueous Species Options'!Q84, IF('Aqueous Species Table'!J84="", "", IF('Aqueous Species Options'!B84="H+", 0, (-4.134*'Aqueous Species Table'!J84*100 - 27790)*0.0001) ) ) )</f>
        <v>-2.9533294488688946</v>
      </c>
      <c r="M84" s="42">
        <f>IF(ISBLANK('Aqueous Species Options'!B84), "", IF('Aqueous Species Options'!L84=0, 'Aqueous Species Options'!R84, IF('Aqueous Species Table'!N84="", "", IF('Aqueous Species Options'!B84="H+", 0, 'Aqueous Species Options'!H84 - 'Aqueous Species Table'!O84*100000*(-0.000000309)*298.15 - 'Aqueous Species Table'!N84*10000/(298.15-228)^2 ) ) ) )</f>
        <v>-7.4792707212502485</v>
      </c>
      <c r="N84" s="42">
        <f>IF(ISBLANK('Aqueous Species Options'!B84), "", IF('Aqueous Species Options'!L84=0, 'Aqueous Species Options'!S84, IF(OR(ISBLANK('Aqueous Species Options'!H84), 'Aqueous Species Table'!O84=""), "", IF('Aqueous Species Options'!B84="H+", 0, 0.2037*'Aqueous Species Options'!H84 - 3.0346) ) ) )</f>
        <v>-8.7381999999999991</v>
      </c>
      <c r="O84" s="42">
        <f>IF(ISBLANK('Aqueous Species Options'!B84), "", IF('Aqueous Species Options'!K84=0, 'Aqueous Species Options'!I84, IF(OR('Aqueous Species Options'!J84&gt;4,'Aqueous Species Options'!J84&lt;-4), "", IF('Aqueous Species Options'!B84="H+", 0, IF('Aqueous Species Options'!J84=0, -0.038, IF(ISBLANK('Aqueous Species Options'!F84), "", -1514.4*'Aqueous Species Options'!F84*0.00001 + SUM(({4,3,2,1,-1,-2,-3,-4}='Aqueous Species Options'!J84)*{2.1764,1.5793,1.0579,0.5517,1.6291,3.2127,4.8115,6.486}) ) ) ) ) ) )</f>
        <v>0.3</v>
      </c>
      <c r="P84" s="1">
        <f>IF(ISBLANK('Aqueous Species Options'!J84), "", 'Aqueous Species Options'!J84)</f>
        <v>0</v>
      </c>
      <c r="Q84" s="184" t="str">
        <f>IF(ISBLANK('Aqueous Species Options'!T84), "", 'Aqueous Species Options'!T84)</f>
        <v>29/11/16: Fit to Liu et al. (2006) with revised volume increased in order that a1 of the complex is equal to the sum of the a1 values of the ions</v>
      </c>
    </row>
    <row r="85" spans="2:17" ht="15" customHeight="1" x14ac:dyDescent="0.2">
      <c r="B85" s="9" t="str">
        <f>IF(ISBLANK('Aqueous Species Options'!B85), "", 'Aqueous Species Options'!B85)</f>
        <v>FeCl4-</v>
      </c>
      <c r="C85" s="9" t="str">
        <f>IF(ISBLANK('Aqueous Species Options'!C85), "", 'Aqueous Species Options'!C85)</f>
        <v>FeCl4(-)</v>
      </c>
      <c r="D85" s="2">
        <f>IF(ISBLANK('Aqueous Species Options'!D85), "", 'Aqueous Species Options'!D85)</f>
        <v>-127917</v>
      </c>
      <c r="E85" s="1">
        <f>IF(ISBLANK('Aqueous Species Options'!E85), "", 'Aqueous Species Options'!E85)</f>
        <v>-180057</v>
      </c>
      <c r="F85" s="139">
        <f>IF(ISBLANK('Aqueous Species Options'!F85), "", 'Aqueous Species Options'!F85)</f>
        <v>26</v>
      </c>
      <c r="G85" s="29">
        <f>IF(ISBLANK('Aqueous Species Options'!B85), "", IF('Aqueous Species Options'!L85 = 1, IF(ISBLANK('Aqueous Species Options'!G85), "", 'Aqueous Species Options'!G85), ('Aqueous Species Table'!I85/10 + ('Aqueous Species Table'!J85*100)/(Calculations!$C$12+Calculations!$C$9) + ('Aqueous Species Table'!K85 + ('Aqueous Species Table'!L85*10000)/(Calculations!$C$12+Calculations!$C$9))*(1/(Calculations!$C$8-Calculations!$C$13)) - 'Aqueous Species Table'!O85*100000*0.0000005903)*41.8393))</f>
        <v>55.8</v>
      </c>
      <c r="H85" s="29">
        <f>IF(ISBLANK('Aqueous Species Options'!B85), "", IF('Aqueous Species Options'!L85 = 1, IF(ISBLANK('Aqueous Species Options'!H85), "", 'Aqueous Species Options'!H85), 'Aqueous Species Table'!M85 + 'Aqueous Species Table'!N85*10000*(1/(Calculations!$C$8-Calculations!$C$13))^2 + 'Aqueous Species Table'!O85*100000*Calculations!$C$8*Calculations!$C$7))</f>
        <v>-95.9</v>
      </c>
      <c r="I85" s="42">
        <f>IF(ISBLANK('Aqueous Species Options'!B85), "", IF('Aqueous Species Options'!L85=0, 'Aqueous Species Options'!N85, IF(OR(ISBLANK('Aqueous Species Options'!G85),'Aqueous Species Table'!O85="", 'Aqueous Species Table'!P85=""), "", IF('Aqueous Species Options'!B85="H+", 0, (CHOOSE('Aqueous Species Options'!M85+1,'Aqueous Species Options'!$V$4*ABS('Aqueous Species Table'!P85)+'Aqueous Species Options'!$W$4,'Aqueous Species Options'!$Z$4)*('Aqueous Species Options'!G85 + 'Aqueous Species Table'!O85*100000*0.0000005903*41.8393) + CHOOSE('Aqueous Species Options'!M85+1,'Aqueous Species Options'!$X$4*ABS('Aqueous Species Table'!P85)+'Aqueous Species Options'!$Y$4,'Aqueous Species Options'!$AA$4))*10 ) ) ) )</f>
        <v>12.950315210745682</v>
      </c>
      <c r="J85" s="42">
        <f>IF(ISBLANK('Aqueous Species Options'!B85), "", IF('Aqueous Species Options'!L85 = 0, 'Aqueous Species Options'!O85, IF('Aqueous Species Table'!I85="", "", IF('Aqueous Species Options'!B85="H+", 0, ((1.11*('Aqueous Species Options'!G85 + 'Aqueous Species Table'!O85*100000*0.0000005903*41.8393)+1.8)/41.8393 - 'Aqueous Species Table'!I85/10)*26.01 ) ) ) )</f>
        <v>8.0468485048240286</v>
      </c>
      <c r="K85" s="42">
        <f>IF(ISBLANK('Aqueous Species Options'!B85), "", IF('Aqueous Species Options'!L85 = 0, 'Aqueous Species Options'!P85, IF('Aqueous Species Table'!I85="", "", IF('Aqueous Species Options'!B85="H+", 0, ('Aqueous Species Options'!G85/41.8393 + 'Aqueous Species Table'!O85*100000*0.0000005903 - 'Aqueous Species Table'!I85/10 - 'Aqueous Species Table'!J85*100/2601)*(298.15-228) - ('Aqueous Species Table'!L85*10000/2601) ) ) ) )</f>
        <v>-1.9091054640732654</v>
      </c>
      <c r="L85" s="42">
        <f>IF(ISBLANK('Aqueous Species Options'!B85), "", IF('Aqueous Species Options'!L85 = 0, 'Aqueous Species Options'!Q85, IF('Aqueous Species Table'!J85="", "", IF('Aqueous Species Options'!B85="H+", 0, (-4.134*'Aqueous Species Table'!J85*100 - 27790)*0.0001) ) ) )</f>
        <v>-3.1116567171894256</v>
      </c>
      <c r="M85" s="42">
        <f>IF(ISBLANK('Aqueous Species Options'!B85), "", IF('Aqueous Species Options'!L85=0, 'Aqueous Species Options'!R85, IF('Aqueous Species Table'!N85="", "", IF('Aqueous Species Options'!B85="H+", 0, 'Aqueous Species Options'!H85 - 'Aqueous Species Table'!O85*100000*(-0.000000309)*298.15 - 'Aqueous Species Table'!N85*10000/(298.15-228)^2 ) ) ) )</f>
        <v>-38.646878434573573</v>
      </c>
      <c r="N85" s="42">
        <f>IF(ISBLANK('Aqueous Species Options'!B85), "", IF('Aqueous Species Options'!L85=0, 'Aqueous Species Options'!S85, IF(OR(ISBLANK('Aqueous Species Options'!H85), 'Aqueous Species Table'!O85=""), "", IF('Aqueous Species Options'!B85="H+", 0, 0.2037*'Aqueous Species Options'!H85 - 3.0346) ) ) )</f>
        <v>-22.569430000000001</v>
      </c>
      <c r="O85" s="42">
        <f>IF(ISBLANK('Aqueous Species Options'!B85), "", IF('Aqueous Species Options'!K85=0, 'Aqueous Species Options'!I85, IF(OR('Aqueous Species Options'!J85&gt;4,'Aqueous Species Options'!J85&lt;-4), "", IF('Aqueous Species Options'!B85="H+", 0, IF('Aqueous Species Options'!J85=0, -0.038, IF(ISBLANK('Aqueous Species Options'!F85), "", -1514.4*'Aqueous Species Options'!F85*0.00001 + SUM(({4,3,2,1,-1,-2,-3,-4}='Aqueous Species Options'!J85)*{2.1764,1.5793,1.0579,0.5517,1.6291,3.2127,4.8115,6.486}) ) ) ) ) ) )</f>
        <v>1.2363</v>
      </c>
      <c r="P85" s="1">
        <f>IF(ISBLANK('Aqueous Species Options'!J85), "", 'Aqueous Species Options'!J85)</f>
        <v>-1</v>
      </c>
      <c r="Q85" s="184" t="str">
        <f>IF(ISBLANK('Aqueous Species Options'!T85), "", 'Aqueous Species Options'!T85)</f>
        <v>29/11/16: Fit to Liu et al. (200vv6) with revised volume increased in order that a1 of the complex is equal to the sum of the a1 values of the ions</v>
      </c>
    </row>
    <row r="86" spans="2:17" ht="15" customHeight="1" x14ac:dyDescent="0.2">
      <c r="B86" s="9" t="str">
        <f>IF(ISBLANK('Aqueous Species Options'!B86), "", 'Aqueous Species Options'!B86)</f>
        <v>FeO,aq</v>
      </c>
      <c r="C86" s="9" t="str">
        <f>IF(ISBLANK('Aqueous Species Options'!C86), "", 'Aqueous Species Options'!C86)</f>
        <v>FeO(0)</v>
      </c>
      <c r="D86" s="2">
        <f>IF(ISBLANK('Aqueous Species Options'!D86), "", 'Aqueous Species Options'!D86)</f>
        <v>-50720</v>
      </c>
      <c r="E86" s="1" t="str">
        <f>IF(ISBLANK('Aqueous Species Options'!E86), "", 'Aqueous Species Options'!E86)</f>
        <v/>
      </c>
      <c r="F86" s="139">
        <f>IF(ISBLANK('Aqueous Species Options'!F86), "", 'Aqueous Species Options'!F86)</f>
        <v>-10</v>
      </c>
      <c r="G86" s="29">
        <f>IF(ISBLANK('Aqueous Species Options'!B86), "", IF('Aqueous Species Options'!L86 = 1, IF(ISBLANK('Aqueous Species Options'!G86), "", 'Aqueous Species Options'!G86), ('Aqueous Species Table'!I86/10 + ('Aqueous Species Table'!J86*100)/(Calculations!$C$12+Calculations!$C$9) + ('Aqueous Species Table'!K86 + ('Aqueous Species Table'!L86*10000)/(Calculations!$C$12+Calculations!$C$9))*(1/(Calculations!$C$8-Calculations!$C$13)) - 'Aqueous Species Table'!O86*100000*0.0000005903)*41.8393))</f>
        <v>3</v>
      </c>
      <c r="H86" s="29">
        <f>IF(ISBLANK('Aqueous Species Options'!B86), "", IF('Aqueous Species Options'!L86 = 1, IF(ISBLANK('Aqueous Species Options'!H86), "", 'Aqueous Species Options'!H86), 'Aqueous Species Table'!M86 + 'Aqueous Species Table'!N86*10000*(1/(Calculations!$C$8-Calculations!$C$13))^2 + 'Aqueous Species Table'!O86*100000*Calculations!$C$8*Calculations!$C$7))</f>
        <v>0</v>
      </c>
      <c r="I86" s="42">
        <f>IF(ISBLANK('Aqueous Species Options'!B86), "", IF('Aqueous Species Options'!L86=0, 'Aqueous Species Options'!N86, IF(OR(ISBLANK('Aqueous Species Options'!G86),'Aqueous Species Table'!O86="", 'Aqueous Species Table'!P86=""), "", IF('Aqueous Species Options'!B86="H+", 0, (CHOOSE('Aqueous Species Options'!M86+1,'Aqueous Species Options'!$V$4*ABS('Aqueous Species Table'!P86)+'Aqueous Species Options'!$W$4,'Aqueous Species Options'!$Z$4)*('Aqueous Species Options'!G86 + 'Aqueous Species Table'!O86*100000*0.0000005903*41.8393) + CHOOSE('Aqueous Species Options'!M86+1,'Aqueous Species Options'!$X$4*ABS('Aqueous Species Table'!P86)+'Aqueous Species Options'!$Y$4,'Aqueous Species Options'!$AA$4))*10 ) ) ) )</f>
        <v>2.2469264355121772</v>
      </c>
      <c r="J86" s="42">
        <f>IF(ISBLANK('Aqueous Species Options'!B86), "", IF('Aqueous Species Options'!L86 = 0, 'Aqueous Species Options'!O86, IF('Aqueous Species Table'!I86="", "", IF('Aqueous Species Options'!B86="H+", 0, ((1.11*('Aqueous Species Options'!G86 + 'Aqueous Species Table'!O86*100000*0.0000005903*41.8393)+1.8)/41.8393 - 'Aqueous Species Table'!I86/10)*26.01 ) ) ) )</f>
        <v>-2.1438393852779156</v>
      </c>
      <c r="K86" s="42">
        <f>IF(ISBLANK('Aqueous Species Options'!B86), "", IF('Aqueous Species Options'!L86 = 0, 'Aqueous Species Options'!P86, IF('Aqueous Species Table'!I86="", "", IF('Aqueous Species Options'!B86="H+", 0, ('Aqueous Species Options'!G86/41.8393 + 'Aqueous Species Table'!O86*100000*0.0000005903 - 'Aqueous Species Table'!I86/10 - 'Aqueous Species Table'!J86*100/2601)*(298.15-228) - ('Aqueous Species Table'!L86*10000/2601) ) ) ) )</f>
        <v>6.6356897572124494</v>
      </c>
      <c r="L86" s="42">
        <f>IF(ISBLANK('Aqueous Species Options'!B86), "", IF('Aqueous Species Options'!L86 = 0, 'Aqueous Species Options'!Q86, IF('Aqueous Species Table'!J86="", "", IF('Aqueous Species Options'!B86="H+", 0, (-4.134*'Aqueous Species Table'!J86*100 - 27790)*0.0001) ) ) )</f>
        <v>-2.6903736798126108</v>
      </c>
      <c r="M86" s="42">
        <f>IF(ISBLANK('Aqueous Species Options'!B86), "", IF('Aqueous Species Options'!L86=0, 'Aqueous Species Options'!R86, IF('Aqueous Species Table'!N86="", "", IF('Aqueous Species Options'!B86="H+", 0, 'Aqueous Species Options'!H86 - 'Aqueous Species Table'!O86*100000*(-0.000000309)*298.15 - 'Aqueous Species Table'!N86*10000/(298.15-228)^2 ) ) ) )</f>
        <v>8.930455103006798</v>
      </c>
      <c r="N86" s="42">
        <f>IF(ISBLANK('Aqueous Species Options'!B86), "", IF('Aqueous Species Options'!L86=0, 'Aqueous Species Options'!S86, IF(OR(ISBLANK('Aqueous Species Options'!H86), 'Aqueous Species Table'!O86=""), "", IF('Aqueous Species Options'!B86="H+", 0, 0.2037*'Aqueous Species Options'!H86 - 3.0346) ) ) )</f>
        <v>-3.0346000000000002</v>
      </c>
      <c r="O86" s="42">
        <f>IF(ISBLANK('Aqueous Species Options'!B86), "", IF('Aqueous Species Options'!K86=0, 'Aqueous Species Options'!I86, IF(OR('Aqueous Species Options'!J86&gt;4,'Aqueous Species Options'!J86&lt;-4), "", IF('Aqueous Species Options'!B86="H+", 0, IF('Aqueous Species Options'!J86=0, -0.038, IF(ISBLANK('Aqueous Species Options'!F86), "", -1514.4*'Aqueous Species Options'!F86*0.00001 + SUM(({4,3,2,1,-1,-2,-3,-4}='Aqueous Species Options'!J86)*{2.1764,1.5793,1.0579,0.5517,1.6291,3.2127,4.8115,6.486}) ) ) ) ) ) )</f>
        <v>0.3</v>
      </c>
      <c r="P86" s="1">
        <f>IF(ISBLANK('Aqueous Species Options'!J86), "", 'Aqueous Species Options'!J86)</f>
        <v>0</v>
      </c>
      <c r="Q86" s="184" t="str">
        <f>IF(ISBLANK('Aqueous Species Options'!T86), "", 'Aqueous Species Options'!T86)</f>
        <v>31/1/17 G, S, Cp from SSWS97 regression of Sweeton &amp; Baes (1970); V from estimate to have similar behavior to MgO,aq</v>
      </c>
    </row>
    <row r="87" spans="2:17" ht="15" customHeight="1" x14ac:dyDescent="0.2">
      <c r="B87" s="9" t="str">
        <f>IF(ISBLANK('Aqueous Species Options'!B87), "", 'Aqueous Species Options'!B87)</f>
        <v>FORMATE,AQ</v>
      </c>
      <c r="C87" s="9" t="str">
        <f>IF(ISBLANK('Aqueous Species Options'!C87), "", 'Aqueous Species Options'!C87)</f>
        <v>HCOO-</v>
      </c>
      <c r="D87" s="2">
        <f>IF(ISBLANK('Aqueous Species Options'!D87), "", 'Aqueous Species Options'!D87)</f>
        <v>-83862</v>
      </c>
      <c r="E87" s="1">
        <f>IF(ISBLANK('Aqueous Species Options'!E87), "", 'Aqueous Species Options'!E87)</f>
        <v>-101680</v>
      </c>
      <c r="F87" s="139">
        <f>IF(ISBLANK('Aqueous Species Options'!F87), "", 'Aqueous Species Options'!F87)</f>
        <v>21.7</v>
      </c>
      <c r="G87" s="29">
        <f>IF(ISBLANK('Aqueous Species Options'!B87), "", IF('Aqueous Species Options'!L87 = 1, IF(ISBLANK('Aqueous Species Options'!G87), "", 'Aqueous Species Options'!G87), ('Aqueous Species Table'!I87/10 + ('Aqueous Species Table'!J87*100)/(Calculations!$C$12+Calculations!$C$9) + ('Aqueous Species Table'!K87 + ('Aqueous Species Table'!L87*10000)/(Calculations!$C$12+Calculations!$C$9))*(1/(Calculations!$C$8-Calculations!$C$13)) - 'Aqueous Species Table'!O87*100000*0.0000005903)*41.8393))</f>
        <v>26.159971565219035</v>
      </c>
      <c r="H87" s="29">
        <f>IF(ISBLANK('Aqueous Species Options'!B87), "", IF('Aqueous Species Options'!L87 = 1, IF(ISBLANK('Aqueous Species Options'!H87), "", 'Aqueous Species Options'!H87), 'Aqueous Species Table'!M87 + 'Aqueous Species Table'!N87*10000*(1/(Calculations!$C$8-Calculations!$C$13))^2 + 'Aqueous Species Table'!O87*100000*Calculations!$C$8*Calculations!$C$7))</f>
        <v>-20.177464600379487</v>
      </c>
      <c r="I87" s="42">
        <f>IF(ISBLANK('Aqueous Species Options'!B87), "", IF('Aqueous Species Options'!L87=0, 'Aqueous Species Options'!N87, IF(OR(ISBLANK('Aqueous Species Options'!G87),'Aqueous Species Table'!O87="", 'Aqueous Species Table'!P87=""), "", IF('Aqueous Species Options'!B87="H+", 0, (CHOOSE('Aqueous Species Options'!M87+1,'Aqueous Species Options'!$V$4*ABS('Aqueous Species Table'!P87)+'Aqueous Species Options'!$W$4,'Aqueous Species Options'!$Z$4)*('Aqueous Species Options'!G87 + 'Aqueous Species Table'!O87*100000*0.0000005903*41.8393) + CHOOSE('Aqueous Species Options'!M87+1,'Aqueous Species Options'!$X$4*ABS('Aqueous Species Table'!P87)+'Aqueous Species Options'!$Y$4,'Aqueous Species Options'!$AA$4))*10 ) ) ) )</f>
        <v>5.2683669094923946</v>
      </c>
      <c r="J87" s="42">
        <f>IF(ISBLANK('Aqueous Species Options'!B87), "", IF('Aqueous Species Options'!L87 = 0, 'Aqueous Species Options'!O87, IF('Aqueous Species Table'!I87="", "", IF('Aqueous Species Options'!B87="H+", 0, ((1.11*('Aqueous Species Options'!G87 + 'Aqueous Species Table'!O87*100000*0.0000005903*41.8393)+1.8)/41.8393 - 'Aqueous Species Table'!I87/10)*26.01 ) ) ) )</f>
        <v>7.6836443146635105</v>
      </c>
      <c r="K87" s="42">
        <f>IF(ISBLANK('Aqueous Species Options'!B87), "", IF('Aqueous Species Options'!L87 = 0, 'Aqueous Species Options'!P87, IF('Aqueous Species Table'!I87="", "", IF('Aqueous Species Options'!B87="H+", 0, ('Aqueous Species Options'!G87/41.8393 + 'Aqueous Species Table'!O87*100000*0.0000005903 - 'Aqueous Species Table'!I87/10 - 'Aqueous Species Table'!J87*100/2601)*(298.15-228) - ('Aqueous Species Table'!L87*10000/2601) ) ) ) )</f>
        <v>3.4705805840890083</v>
      </c>
      <c r="L87" s="42">
        <f>IF(ISBLANK('Aqueous Species Options'!B87), "", IF('Aqueous Species Options'!L87 = 0, 'Aqueous Species Options'!Q87, IF('Aqueous Species Table'!J87="", "", IF('Aqueous Species Options'!B87="H+", 0, (-4.134*'Aqueous Species Table'!J87*100 - 27790)*0.0001) ) ) )</f>
        <v>-3.0966418559681896</v>
      </c>
      <c r="M87" s="42">
        <f>IF(ISBLANK('Aqueous Species Options'!B87), "", IF('Aqueous Species Options'!L87=0, 'Aqueous Species Options'!R87, IF('Aqueous Species Table'!N87="", "", IF('Aqueous Species Options'!B87="H+", 0, 'Aqueous Species Options'!H87 - 'Aqueous Species Table'!O87*100000*(-0.000000309)*298.15 - 'Aqueous Species Table'!N87*10000/(298.15-228)^2 ) ) ) )</f>
        <v>17</v>
      </c>
      <c r="N87" s="42">
        <f>IF(ISBLANK('Aqueous Species Options'!B87), "", IF('Aqueous Species Options'!L87=0, 'Aqueous Species Options'!S87, IF(OR(ISBLANK('Aqueous Species Options'!H87), 'Aqueous Species Table'!O87=""), "", IF('Aqueous Species Options'!B87="H+", 0, 0.2037*'Aqueous Species Options'!H87 - 3.0346) ) ) )</f>
        <v>-12.4</v>
      </c>
      <c r="O87" s="42">
        <f>IF(ISBLANK('Aqueous Species Options'!B87), "", IF('Aqueous Species Options'!K87=0, 'Aqueous Species Options'!I87, IF(OR('Aqueous Species Options'!J87&gt;4,'Aqueous Species Options'!J87&lt;-4), "", IF('Aqueous Species Options'!B87="H+", 0, IF('Aqueous Species Options'!J87=0, -0.038, IF(ISBLANK('Aqueous Species Options'!F87), "", -1514.4*'Aqueous Species Options'!F87*0.00001 + SUM(({4,3,2,1,-1,-2,-3,-4}='Aqueous Species Options'!J87)*{2.1764,1.5793,1.0579,0.5517,1.6291,3.2127,4.8115,6.486}) ) ) ) ) ) )</f>
        <v>1.3003</v>
      </c>
      <c r="P87" s="1">
        <f>IF(ISBLANK('Aqueous Species Options'!J87), "", 'Aqueous Species Options'!J87)</f>
        <v>-1</v>
      </c>
      <c r="Q87" s="184" t="str">
        <f>IF(ISBLANK('Aqueous Species Options'!T87), "", 'Aqueous Species Options'!T87)</f>
        <v>Shock &amp; Helgeson (1990) revised with new predicted a1 for ions</v>
      </c>
    </row>
    <row r="88" spans="2:17" ht="15" customHeight="1" x14ac:dyDescent="0.2">
      <c r="B88" s="9" t="str">
        <f>IF(ISBLANK('Aqueous Species Options'!B88), "", 'Aqueous Species Options'!B88)</f>
        <v>FORMIC-ACID,AQ</v>
      </c>
      <c r="C88" s="9" t="str">
        <f>IF(ISBLANK('Aqueous Species Options'!C88), "", 'Aqueous Species Options'!C88)</f>
        <v>HCOOH</v>
      </c>
      <c r="D88" s="2">
        <f>IF(ISBLANK('Aqueous Species Options'!D88), "", 'Aqueous Species Options'!D88)</f>
        <v>-88982</v>
      </c>
      <c r="E88" s="1">
        <f>IF(ISBLANK('Aqueous Species Options'!E88), "", 'Aqueous Species Options'!E88)</f>
        <v>-101680</v>
      </c>
      <c r="F88" s="139">
        <f>IF(ISBLANK('Aqueous Species Options'!F88), "", 'Aqueous Species Options'!F88)</f>
        <v>38.9</v>
      </c>
      <c r="G88" s="29">
        <f>IF(ISBLANK('Aqueous Species Options'!B88), "", IF('Aqueous Species Options'!L88 = 1, IF(ISBLANK('Aqueous Species Options'!G88), "", 'Aqueous Species Options'!G88), ('Aqueous Species Table'!I88/10 + ('Aqueous Species Table'!J88*100)/(Calculations!$C$12+Calculations!$C$9) + ('Aqueous Species Table'!K88 + ('Aqueous Species Table'!L88*10000)/(Calculations!$C$12+Calculations!$C$9))*(1/(Calculations!$C$8-Calculations!$C$13)) - 'Aqueous Species Table'!O88*100000*0.0000005903)*41.8393))</f>
        <v>34.690014309712879</v>
      </c>
      <c r="H88" s="29">
        <f>IF(ISBLANK('Aqueous Species Options'!B88), "", IF('Aqueous Species Options'!L88 = 1, IF(ISBLANK('Aqueous Species Options'!H88), "", 'Aqueous Species Options'!H88), 'Aqueous Species Table'!M88 + 'Aqueous Species Table'!N88*10000*(1/(Calculations!$C$8-Calculations!$C$13))^2 + 'Aqueous Species Table'!O88*100000*Calculations!$C$8*Calculations!$C$7))</f>
        <v>19.024124873651285</v>
      </c>
      <c r="I88" s="42">
        <f>IF(ISBLANK('Aqueous Species Options'!B88), "", IF('Aqueous Species Options'!L88=0, 'Aqueous Species Options'!N88, IF(OR(ISBLANK('Aqueous Species Options'!G88),'Aqueous Species Table'!O88="", 'Aqueous Species Table'!P88=""), "", IF('Aqueous Species Options'!B88="H+", 0, (CHOOSE('Aqueous Species Options'!M88+1,'Aqueous Species Options'!$V$4*ABS('Aqueous Species Table'!P88)+'Aqueous Species Options'!$W$4,'Aqueous Species Options'!$Z$4)*('Aqueous Species Options'!G88 + 'Aqueous Species Table'!O88*100000*0.0000005903*41.8393) + CHOOSE('Aqueous Species Options'!M88+1,'Aqueous Species Options'!$X$4*ABS('Aqueous Species Table'!P88)+'Aqueous Species Options'!$Y$4,'Aqueous Species Options'!$AA$4))*10 ) ) ) )</f>
        <v>8.0924505020783677</v>
      </c>
      <c r="J88" s="42">
        <f>IF(ISBLANK('Aqueous Species Options'!B88), "", IF('Aqueous Species Options'!L88 = 0, 'Aqueous Species Options'!O88, IF('Aqueous Species Table'!I88="", "", IF('Aqueous Species Options'!B88="H+", 0, ((1.11*('Aqueous Species Options'!G88 + 'Aqueous Species Table'!O88*100000*0.0000005903*41.8393)+1.8)/41.8393 - 'Aqueous Species Table'!I88/10)*26.01 ) ) ) )</f>
        <v>3.4216794020330656</v>
      </c>
      <c r="K88" s="42">
        <f>IF(ISBLANK('Aqueous Species Options'!B88), "", IF('Aqueous Species Options'!L88 = 0, 'Aqueous Species Options'!P88, IF('Aqueous Species Table'!I88="", "", IF('Aqueous Species Options'!B88="H+", 0, ('Aqueous Species Options'!G88/41.8393 + 'Aqueous Species Table'!O88*100000*0.0000005903 - 'Aqueous Species Table'!I88/10 - 'Aqueous Species Table'!J88*100/2601)*(298.15-228) - ('Aqueous Species Table'!L88*10000/2601) ) ) ) )</f>
        <v>1.9690549970623223</v>
      </c>
      <c r="L88" s="42">
        <f>IF(ISBLANK('Aqueous Species Options'!B88), "", IF('Aqueous Species Options'!L88 = 0, 'Aqueous Species Options'!Q88, IF('Aqueous Species Table'!J88="", "", IF('Aqueous Species Options'!B88="H+", 0, (-4.134*'Aqueous Species Table'!J88*100 - 27790)*0.0001) ) ) )</f>
        <v>-2.9204522264800472</v>
      </c>
      <c r="M88" s="42">
        <f>IF(ISBLANK('Aqueous Species Options'!B88), "", IF('Aqueous Species Options'!L88=0, 'Aqueous Species Options'!R88, IF('Aqueous Species Table'!N88="", "", IF('Aqueous Species Options'!B88="H+", 0, 'Aqueous Species Options'!H88 - 'Aqueous Species Table'!O88*100000*(-0.000000309)*298.15 - 'Aqueous Species Table'!N88*10000/(298.15-228)^2 ) ) ) )</f>
        <v>22.192399999999999</v>
      </c>
      <c r="N88" s="42">
        <f>IF(ISBLANK('Aqueous Species Options'!B88), "", IF('Aqueous Species Options'!L88=0, 'Aqueous Species Options'!S88, IF(OR(ISBLANK('Aqueous Species Options'!H88), 'Aqueous Species Table'!O88=""), "", IF('Aqueous Species Options'!B88="H+", 0, 0.2037*'Aqueous Species Options'!H88 - 3.0346) ) ) )</f>
        <v>-3.1196000000000002</v>
      </c>
      <c r="O88" s="42">
        <f>IF(ISBLANK('Aqueous Species Options'!B88), "", IF('Aqueous Species Options'!K88=0, 'Aqueous Species Options'!I88, IF(OR('Aqueous Species Options'!J88&gt;4,'Aqueous Species Options'!J88&lt;-4), "", IF('Aqueous Species Options'!B88="H+", 0, IF('Aqueous Species Options'!J88=0, -0.038, IF(ISBLANK('Aqueous Species Options'!F88), "", -1514.4*'Aqueous Species Options'!F88*0.00001 + SUM(({4,3,2,1,-1,-2,-3,-4}='Aqueous Species Options'!J88)*{2.1764,1.5793,1.0579,0.5517,1.6291,3.2127,4.8115,6.486}) ) ) ) ) ) )</f>
        <v>-0.34420000000000001</v>
      </c>
      <c r="P88" s="1">
        <f>IF(ISBLANK('Aqueous Species Options'!J88), "", 'Aqueous Species Options'!J88)</f>
        <v>0</v>
      </c>
      <c r="Q88" s="184" t="str">
        <f>IF(ISBLANK('Aqueous Species Options'!T88), "", 'Aqueous Species Options'!T88)</f>
        <v>Shock &amp; Helgeson (1990) revised with new predicted a1 for complex species</v>
      </c>
    </row>
    <row r="89" spans="2:17" ht="15" customHeight="1" x14ac:dyDescent="0.2">
      <c r="B89" s="9" t="str">
        <f>IF(ISBLANK('Aqueous Species Options'!B89), "", 'Aqueous Species Options'!B89)</f>
        <v>Ga+3</v>
      </c>
      <c r="C89" s="9" t="str">
        <f>IF(ISBLANK('Aqueous Species Options'!C89), "", 'Aqueous Species Options'!C89)</f>
        <v>Ga(+3)</v>
      </c>
      <c r="D89" s="2">
        <f>IF(ISBLANK('Aqueous Species Options'!D89), "", 'Aqueous Species Options'!D89)</f>
        <v>-38000</v>
      </c>
      <c r="E89" s="1">
        <f>IF(ISBLANK('Aqueous Species Options'!E89), "", 'Aqueous Species Options'!E89)</f>
        <v>-50600</v>
      </c>
      <c r="F89" s="139">
        <f>IF(ISBLANK('Aqueous Species Options'!F89), "", 'Aqueous Species Options'!F89)</f>
        <v>-79</v>
      </c>
      <c r="G89" s="29">
        <f>IF(ISBLANK('Aqueous Species Options'!B89), "", IF('Aqueous Species Options'!L89 = 1, IF(ISBLANK('Aqueous Species Options'!G89), "", 'Aqueous Species Options'!G89), ('Aqueous Species Table'!I89/10 + ('Aqueous Species Table'!J89*100)/(Calculations!$C$12+Calculations!$C$9) + ('Aqueous Species Table'!K89 + ('Aqueous Species Table'!L89*10000)/(Calculations!$C$12+Calculations!$C$9))*(1/(Calculations!$C$8-Calculations!$C$13)) - 'Aqueous Species Table'!O89*100000*0.0000005903)*41.8393))</f>
        <v>-44.900021278327145</v>
      </c>
      <c r="H89" s="29">
        <f>IF(ISBLANK('Aqueous Species Options'!B89), "", IF('Aqueous Species Options'!L89 = 1, IF(ISBLANK('Aqueous Species Options'!H89), "", 'Aqueous Species Options'!H89), 'Aqueous Species Table'!M89 + 'Aqueous Species Table'!N89*10000*(1/(Calculations!$C$8-Calculations!$C$13))^2 + 'Aqueous Species Table'!O89*100000*Calculations!$C$8*Calculations!$C$7))</f>
        <v>-30.799816226244204</v>
      </c>
      <c r="I89" s="42">
        <f>IF(ISBLANK('Aqueous Species Options'!B89), "", IF('Aqueous Species Options'!L89=0, 'Aqueous Species Options'!N89, IF(OR(ISBLANK('Aqueous Species Options'!G89),'Aqueous Species Table'!O89="", 'Aqueous Species Table'!P89=""), "", IF('Aqueous Species Options'!B89="H+", 0, (CHOOSE('Aqueous Species Options'!M89+1,'Aqueous Species Options'!$V$4*ABS('Aqueous Species Table'!P89)+'Aqueous Species Options'!$W$4,'Aqueous Species Options'!$Z$4)*('Aqueous Species Options'!G89 + 'Aqueous Species Table'!O89*100000*0.0000005903*41.8393) + CHOOSE('Aqueous Species Options'!M89+1,'Aqueous Species Options'!$X$4*ABS('Aqueous Species Table'!P89)+'Aqueous Species Options'!$Y$4,'Aqueous Species Options'!$AA$4))*10 ) ) ) )</f>
        <v>-9.1126007039847128</v>
      </c>
      <c r="J89" s="42">
        <f>IF(ISBLANK('Aqueous Species Options'!B89), "", IF('Aqueous Species Options'!L89 = 0, 'Aqueous Species Options'!O89, IF('Aqueous Species Table'!I89="", "", IF('Aqueous Species Options'!B89="H+", 0, ((1.11*('Aqueous Species Options'!G89 + 'Aqueous Species Table'!O89*100000*0.0000005903*41.8393)+1.8)/41.8393 - 'Aqueous Species Table'!I89/10)*26.01 ) ) ) )</f>
        <v>-1.513730145487252</v>
      </c>
      <c r="K89" s="42">
        <f>IF(ISBLANK('Aqueous Species Options'!B89), "", IF('Aqueous Species Options'!L89 = 0, 'Aqueous Species Options'!P89, IF('Aqueous Species Table'!I89="", "", IF('Aqueous Species Options'!B89="H+", 0, ('Aqueous Species Options'!G89/41.8393 + 'Aqueous Species Table'!O89*100000*0.0000005903 - 'Aqueous Species Table'!I89/10 - 'Aqueous Species Table'!J89*100/2601)*(298.15-228) - ('Aqueous Species Table'!L89*10000/2601) ) ) ) )</f>
        <v>14.464344791566415</v>
      </c>
      <c r="L89" s="42">
        <f>IF(ISBLANK('Aqueous Species Options'!B89), "", IF('Aqueous Species Options'!L89 = 0, 'Aqueous Species Options'!Q89, IF('Aqueous Species Table'!J89="", "", IF('Aqueous Species Options'!B89="H+", 0, (-4.134*'Aqueous Species Table'!J89*100 - 27790)*0.0001) ) ) )</f>
        <v>-2.7164223957855573</v>
      </c>
      <c r="M89" s="42">
        <f>IF(ISBLANK('Aqueous Species Options'!B89), "", IF('Aqueous Species Options'!L89=0, 'Aqueous Species Options'!R89, IF('Aqueous Species Table'!N89="", "", IF('Aqueous Species Options'!B89="H+", 0, 'Aqueous Species Options'!H89 - 'Aqueous Species Table'!O89*100000*(-0.000000309)*298.15 - 'Aqueous Species Table'!N89*10000/(298.15-228)^2 ) ) ) )</f>
        <v>13.244942645072129</v>
      </c>
      <c r="N89" s="42">
        <f>IF(ISBLANK('Aqueous Species Options'!B89), "", IF('Aqueous Species Options'!L89=0, 'Aqueous Species Options'!S89, IF(OR(ISBLANK('Aqueous Species Options'!H89), 'Aqueous Species Table'!O89=""), "", IF('Aqueous Species Options'!B89="H+", 0, 0.2037*'Aqueous Species Options'!H89 - 3.0346) ) ) )</f>
        <v>-9.3085225652859442</v>
      </c>
      <c r="O89" s="42">
        <f>IF(ISBLANK('Aqueous Species Options'!B89), "", IF('Aqueous Species Options'!K89=0, 'Aqueous Species Options'!I89, IF(OR('Aqueous Species Options'!J89&gt;4,'Aqueous Species Options'!J89&lt;-4), "", IF('Aqueous Species Options'!B89="H+", 0, IF('Aqueous Species Options'!J89=0, -0.038, IF(ISBLANK('Aqueous Species Options'!F89), "", -1514.4*'Aqueous Species Options'!F89*0.00001 + SUM(({4,3,2,1,-1,-2,-3,-4}='Aqueous Species Options'!J89)*{2.1764,1.5793,1.0579,0.5517,1.6291,3.2127,4.8115,6.486}) ) ) ) ) ) )</f>
        <v>2.7275999999999998</v>
      </c>
      <c r="P89" s="1">
        <f>IF(ISBLANK('Aqueous Species Options'!J89), "", 'Aqueous Species Options'!J89)</f>
        <v>3</v>
      </c>
      <c r="Q89" s="184" t="str">
        <f>IF(ISBLANK('Aqueous Species Options'!T89), "", 'Aqueous Species Options'!T89)</f>
        <v>Shock et al. (1997) revised with new predicted a1 for cations</v>
      </c>
    </row>
    <row r="90" spans="2:17" ht="15" customHeight="1" x14ac:dyDescent="0.2">
      <c r="B90" s="9" t="str">
        <f>IF(ISBLANK('Aqueous Species Options'!B90), "", 'Aqueous Species Options'!B90)</f>
        <v>Gd+3</v>
      </c>
      <c r="C90" s="9" t="str">
        <f>IF(ISBLANK('Aqueous Species Options'!C90), "", 'Aqueous Species Options'!C90)</f>
        <v>Gd(+3)</v>
      </c>
      <c r="D90" s="2">
        <f>IF(ISBLANK('Aqueous Species Options'!D90), "", 'Aqueous Species Options'!D90)</f>
        <v>-158600</v>
      </c>
      <c r="E90" s="1">
        <f>IF(ISBLANK('Aqueous Species Options'!E90), "", 'Aqueous Species Options'!E90)</f>
        <v>-164200</v>
      </c>
      <c r="F90" s="139">
        <f>IF(ISBLANK('Aqueous Species Options'!F90), "", 'Aqueous Species Options'!F90)</f>
        <v>-49.2</v>
      </c>
      <c r="G90" s="29">
        <f>IF(ISBLANK('Aqueous Species Options'!B90), "", IF('Aqueous Species Options'!L90 = 1, IF(ISBLANK('Aqueous Species Options'!G90), "", 'Aqueous Species Options'!G90), ('Aqueous Species Table'!I90/10 + ('Aqueous Species Table'!J90*100)/(Calculations!$C$12+Calculations!$C$9) + ('Aqueous Species Table'!K90 + ('Aqueous Species Table'!L90*10000)/(Calculations!$C$12+Calculations!$C$9))*(1/(Calculations!$C$8-Calculations!$C$13)) - 'Aqueous Species Table'!O90*100000*0.0000005903)*41.8393))</f>
        <v>-40.400091694714845</v>
      </c>
      <c r="H90" s="29">
        <f>IF(ISBLANK('Aqueous Species Options'!B90), "", IF('Aqueous Species Options'!L90 = 1, IF(ISBLANK('Aqueous Species Options'!H90), "", 'Aqueous Species Options'!H90), 'Aqueous Species Table'!M90 + 'Aqueous Species Table'!N90*10000*(1/(Calculations!$C$8-Calculations!$C$13))^2 + 'Aqueous Species Table'!O90*100000*Calculations!$C$8*Calculations!$C$7))</f>
        <v>-35.899991514322814</v>
      </c>
      <c r="I90" s="42">
        <f>IF(ISBLANK('Aqueous Species Options'!B90), "", IF('Aqueous Species Options'!L90=0, 'Aqueous Species Options'!N90, IF(OR(ISBLANK('Aqueous Species Options'!G90),'Aqueous Species Table'!O90="", 'Aqueous Species Table'!P90=""), "", IF('Aqueous Species Options'!B90="H+", 0, (CHOOSE('Aqueous Species Options'!M90+1,'Aqueous Species Options'!$V$4*ABS('Aqueous Species Table'!P90)+'Aqueous Species Options'!$W$4,'Aqueous Species Options'!$Z$4)*('Aqueous Species Options'!G90 + 'Aqueous Species Table'!O90*100000*0.0000005903*41.8393) + CHOOSE('Aqueous Species Options'!M90+1,'Aqueous Species Options'!$X$4*ABS('Aqueous Species Table'!P90)+'Aqueous Species Options'!$Y$4,'Aqueous Species Options'!$AA$4))*10 ) ) ) )</f>
        <v>-7.8159131417492889</v>
      </c>
      <c r="J90" s="42">
        <f>IF(ISBLANK('Aqueous Species Options'!B90), "", IF('Aqueous Species Options'!L90 = 0, 'Aqueous Species Options'!O90, IF('Aqueous Species Table'!I90="", "", IF('Aqueous Species Options'!B90="H+", 0, ((1.11*('Aqueous Species Options'!G90 + 'Aqueous Species Table'!O90*100000*0.0000005903*41.8393)+1.8)/41.8393 - 'Aqueous Species Table'!I90/10)*26.01 ) ) ) )</f>
        <v>-2.4648289055059194</v>
      </c>
      <c r="K90" s="42">
        <f>IF(ISBLANK('Aqueous Species Options'!B90), "", IF('Aqueous Species Options'!L90 = 0, 'Aqueous Species Options'!P90, IF('Aqueous Species Table'!I90="", "", IF('Aqueous Species Options'!B90="H+", 0, ('Aqueous Species Options'!G90/41.8393 + 'Aqueous Species Table'!O90*100000*0.0000005903 - 'Aqueous Species Table'!I90/10 - 'Aqueous Species Table'!J90*100/2601)*(298.15-228) - ('Aqueous Species Table'!L90*10000/2601) ) ) ) )</f>
        <v>13.665950891634948</v>
      </c>
      <c r="L90" s="42">
        <f>IF(ISBLANK('Aqueous Species Options'!B90), "", IF('Aqueous Species Options'!L90 = 0, 'Aqueous Species Options'!Q90, IF('Aqueous Species Table'!J90="", "", IF('Aqueous Species Options'!B90="H+", 0, (-4.134*'Aqueous Species Table'!J90*100 - 27790)*0.0001) ) ) )</f>
        <v>-2.6771039730463855</v>
      </c>
      <c r="M90" s="42">
        <f>IF(ISBLANK('Aqueous Species Options'!B90), "", IF('Aqueous Species Options'!L90=0, 'Aqueous Species Options'!R90, IF('Aqueous Species Table'!N90="", "", IF('Aqueous Species Options'!B90="H+", 0, 'Aqueous Species Options'!H90 - 'Aqueous Species Table'!O90*100000*(-0.000000309)*298.15 - 'Aqueous Species Table'!N90*10000/(298.15-228)^2 ) ) ) )</f>
        <v>6.560657450392803</v>
      </c>
      <c r="N90" s="42">
        <f>IF(ISBLANK('Aqueous Species Options'!B90), "", IF('Aqueous Species Options'!L90=0, 'Aqueous Species Options'!S90, IF(OR(ISBLANK('Aqueous Species Options'!H90), 'Aqueous Species Table'!O90=""), "", IF('Aqueous Species Options'!B90="H+", 0, 0.2037*'Aqueous Species Options'!H90 - 3.0346) ) ) )</f>
        <v>-10.347428271467557</v>
      </c>
      <c r="O90" s="42">
        <f>IF(ISBLANK('Aqueous Species Options'!B90), "", IF('Aqueous Species Options'!K90=0, 'Aqueous Species Options'!I90, IF(OR('Aqueous Species Options'!J90&gt;4,'Aqueous Species Options'!J90&lt;-4), "", IF('Aqueous Species Options'!B90="H+", 0, IF('Aqueous Species Options'!J90=0, -0.038, IF(ISBLANK('Aqueous Species Options'!F90), "", -1514.4*'Aqueous Species Options'!F90*0.00001 + SUM(({4,3,2,1,-1,-2,-3,-4}='Aqueous Species Options'!J90)*{2.1764,1.5793,1.0579,0.5517,1.6291,3.2127,4.8115,6.486}) ) ) ) ) ) )</f>
        <v>2.3264999999999998</v>
      </c>
      <c r="P90" s="1">
        <f>IF(ISBLANK('Aqueous Species Options'!J90), "", 'Aqueous Species Options'!J90)</f>
        <v>3</v>
      </c>
      <c r="Q90" s="184" t="str">
        <f>IF(ISBLANK('Aqueous Species Options'!T90), "", 'Aqueous Species Options'!T90)</f>
        <v>Shock et al. (1997) revised with new predicted a1 for cations</v>
      </c>
    </row>
    <row r="91" spans="2:17" ht="15" customHeight="1" x14ac:dyDescent="0.2">
      <c r="B91" s="9" t="str">
        <f>IF(ISBLANK('Aqueous Species Options'!B91), "", 'Aqueous Species Options'!B91)</f>
        <v>GLUTAMATE</v>
      </c>
      <c r="C91" s="9" t="str">
        <f>IF(ISBLANK('Aqueous Species Options'!C91), "", 'Aqueous Species Options'!C91)</f>
        <v>C5H8NO4-</v>
      </c>
      <c r="D91" s="2">
        <f>IF(ISBLANK('Aqueous Species Options'!D91), "", 'Aqueous Species Options'!D91)</f>
        <v>-167258</v>
      </c>
      <c r="E91" s="1">
        <f>IF(ISBLANK('Aqueous Species Options'!E91), "", 'Aqueous Species Options'!E91)</f>
        <v>0</v>
      </c>
      <c r="F91" s="139">
        <f>IF(ISBLANK('Aqueous Species Options'!F91), "", 'Aqueous Species Options'!F91)</f>
        <v>44.4</v>
      </c>
      <c r="G91" s="29">
        <f>IF(ISBLANK('Aqueous Species Options'!B91), "", IF('Aqueous Species Options'!L91 = 1, IF(ISBLANK('Aqueous Species Options'!G91), "", 'Aqueous Species Options'!G91), ('Aqueous Species Table'!I91/10 + ('Aqueous Species Table'!J91*100)/(Calculations!$C$12+Calculations!$C$9) + ('Aqueous Species Table'!K91 + ('Aqueous Species Table'!L91*10000)/(Calculations!$C$12+Calculations!$C$9))*(1/(Calculations!$C$8-Calculations!$C$13)) - 'Aqueous Species Table'!O91*100000*0.0000005903)*41.8393))</f>
        <v>79.707539378461064</v>
      </c>
      <c r="H91" s="29">
        <f>IF(ISBLANK('Aqueous Species Options'!B91), "", IF('Aqueous Species Options'!L91 = 1, IF(ISBLANK('Aqueous Species Options'!H91), "", 'Aqueous Species Options'!H91), 'Aqueous Species Table'!M91 + 'Aqueous Species Table'!N91*10000*(1/(Calculations!$C$8-Calculations!$C$13))^2 + 'Aqueous Species Table'!O91*100000*Calculations!$C$8*Calculations!$C$7))</f>
        <v>11.10918772896642</v>
      </c>
      <c r="I91" s="42">
        <f>IF(ISBLANK('Aqueous Species Options'!B91), "", IF('Aqueous Species Options'!L91=0, 'Aqueous Species Options'!N91, IF(OR(ISBLANK('Aqueous Species Options'!G91),'Aqueous Species Table'!O91="", 'Aqueous Species Table'!P91=""), "", IF('Aqueous Species Options'!B91="H+", 0, (CHOOSE('Aqueous Species Options'!M91+1,'Aqueous Species Options'!$V$4*ABS('Aqueous Species Table'!P91)+'Aqueous Species Options'!$W$4,'Aqueous Species Options'!$Z$4)*('Aqueous Species Options'!G91 + 'Aqueous Species Table'!O91*100000*0.0000005903*41.8393) + CHOOSE('Aqueous Species Options'!M91+1,'Aqueous Species Options'!$X$4*ABS('Aqueous Species Table'!P91)+'Aqueous Species Options'!$Y$4,'Aqueous Species Options'!$AA$4))*10 ) ) ) )</f>
        <v>17.46</v>
      </c>
      <c r="J91" s="42">
        <f>IF(ISBLANK('Aqueous Species Options'!B91), "", IF('Aqueous Species Options'!L91 = 0, 'Aqueous Species Options'!O91, IF('Aqueous Species Table'!I91="", "", IF('Aqueous Species Options'!B91="H+", 0, ((1.11*('Aqueous Species Options'!G91 + 'Aqueous Species Table'!O91*100000*0.0000005903*41.8393)+1.8)/41.8393 - 'Aqueous Species Table'!I91/10)*26.01 ) ) ) )</f>
        <v>12.34</v>
      </c>
      <c r="K91" s="42">
        <f>IF(ISBLANK('Aqueous Species Options'!B91), "", IF('Aqueous Species Options'!L91 = 0, 'Aqueous Species Options'!P91, IF('Aqueous Species Table'!I91="", "", IF('Aqueous Species Options'!B91="H+", 0, ('Aqueous Species Options'!G91/41.8393 + 'Aqueous Species Table'!O91*100000*0.0000005903 - 'Aqueous Species Table'!I91/10 - 'Aqueous Species Table'!J91*100/2601)*(298.15-228) - ('Aqueous Species Table'!L91*10000/2601) ) ) ) )</f>
        <v>-5.51</v>
      </c>
      <c r="L91" s="42">
        <f>IF(ISBLANK('Aqueous Species Options'!B91), "", IF('Aqueous Species Options'!L91 = 0, 'Aqueous Species Options'!Q91, IF('Aqueous Species Table'!J91="", "", IF('Aqueous Species Options'!B91="H+", 0, (-4.134*'Aqueous Species Table'!J91*100 - 27790)*0.0001) ) ) )</f>
        <v>-3.29</v>
      </c>
      <c r="M91" s="42">
        <f>IF(ISBLANK('Aqueous Species Options'!B91), "", IF('Aqueous Species Options'!L91=0, 'Aqueous Species Options'!R91, IF('Aqueous Species Table'!N91="", "", IF('Aqueous Species Options'!B91="H+", 0, 'Aqueous Species Options'!H91 - 'Aqueous Species Table'!O91*100000*(-0.000000309)*298.15 - 'Aqueous Species Table'!N91*10000/(298.15-228)^2 ) ) ) )</f>
        <v>50</v>
      </c>
      <c r="N91" s="42">
        <f>IF(ISBLANK('Aqueous Species Options'!B91), "", IF('Aqueous Species Options'!L91=0, 'Aqueous Species Options'!S91, IF(OR(ISBLANK('Aqueous Species Options'!H91), 'Aqueous Species Table'!O91=""), "", IF('Aqueous Species Options'!B91="H+", 0, 0.2037*'Aqueous Species Options'!H91 - 3.0346) ) ) )</f>
        <v>-14.8</v>
      </c>
      <c r="O91" s="42">
        <f>IF(ISBLANK('Aqueous Species Options'!B91), "", IF('Aqueous Species Options'!K91=0, 'Aqueous Species Options'!I91, IF(OR('Aqueous Species Options'!J91&gt;4,'Aqueous Species Options'!J91&lt;-4), "", IF('Aqueous Species Options'!B91="H+", 0, IF('Aqueous Species Options'!J91=0, -0.038, IF(ISBLANK('Aqueous Species Options'!F91), "", -1514.4*'Aqueous Species Options'!F91*0.00001 + SUM(({4,3,2,1,-1,-2,-3,-4}='Aqueous Species Options'!J91)*{2.1764,1.5793,1.0579,0.5517,1.6291,3.2127,4.8115,6.486}) ) ) ) ) ) )</f>
        <v>0.95689999999999997</v>
      </c>
      <c r="P91" s="1">
        <f>IF(ISBLANK('Aqueous Species Options'!J91), "", 'Aqueous Species Options'!J91)</f>
        <v>-1</v>
      </c>
      <c r="Q91" s="184" t="str">
        <f>IF(ISBLANK('Aqueous Species Options'!T91), "", 'Aqueous Species Options'!T91)</f>
        <v>Revised 1/22/15 based on V at 25 C from Ziemer &amp; Woolley (2007) and predicted a1, a2, and a4; c1 and c2 from fits to delCpr protonation of Ziemer &amp; Woolley (2007); S from fitting temperature dependence of logK from Ziemer &amp; Woolley (2007); omega predicted from S using ion correlation.</v>
      </c>
    </row>
    <row r="92" spans="2:17" ht="96" x14ac:dyDescent="0.2">
      <c r="B92" s="9" t="str">
        <f>IF(ISBLANK('Aqueous Species Options'!B92), "", 'Aqueous Species Options'!B92)</f>
        <v>GLUTAMIC,AQ</v>
      </c>
      <c r="C92" s="9" t="str">
        <f>IF(ISBLANK('Aqueous Species Options'!C92), "", 'Aqueous Species Options'!C92)</f>
        <v>C5H9NO4</v>
      </c>
      <c r="D92" s="2">
        <f>IF(ISBLANK('Aqueous Species Options'!D92), "", 'Aqueous Species Options'!D92)</f>
        <v>-173050</v>
      </c>
      <c r="E92" s="1">
        <f>IF(ISBLANK('Aqueous Species Options'!E92), "", 'Aqueous Species Options'!E92)</f>
        <v>-234820</v>
      </c>
      <c r="F92" s="139">
        <f>IF(ISBLANK('Aqueous Species Options'!F92), "", 'Aqueous Species Options'!F92)</f>
        <v>61.2</v>
      </c>
      <c r="G92" s="29">
        <f>IF(ISBLANK('Aqueous Species Options'!B92), "", IF('Aqueous Species Options'!L92 = 1, IF(ISBLANK('Aqueous Species Options'!G92), "", 'Aqueous Species Options'!G92), ('Aqueous Species Table'!I92/10 + ('Aqueous Species Table'!J92*100)/(Calculations!$C$12+Calculations!$C$9) + ('Aqueous Species Table'!K92 + ('Aqueous Species Table'!L92*10000)/(Calculations!$C$12+Calculations!$C$9))*(1/(Calculations!$C$8-Calculations!$C$13)) - 'Aqueous Species Table'!O92*100000*0.0000005903)*41.8393))</f>
        <v>90.155007752363773</v>
      </c>
      <c r="H92" s="29">
        <f>IF(ISBLANK('Aqueous Species Options'!B92), "", IF('Aqueous Species Options'!L92 = 1, IF(ISBLANK('Aqueous Species Options'!H92), "", 'Aqueous Species Options'!H92), 'Aqueous Species Table'!M92 + 'Aqueous Species Table'!N92*10000*(1/(Calculations!$C$8-Calculations!$C$13))^2 + 'Aqueous Species Table'!O92*100000*Calculations!$C$8*Calculations!$C$7))</f>
        <v>44.01507190291219</v>
      </c>
      <c r="I92" s="42">
        <f>IF(ISBLANK('Aqueous Species Options'!B92), "", IF('Aqueous Species Options'!L92=0, 'Aqueous Species Options'!N92, IF(OR(ISBLANK('Aqueous Species Options'!G92),'Aqueous Species Table'!O92="", 'Aqueous Species Table'!P92=""), "", IF('Aqueous Species Options'!B92="H+", 0, (CHOOSE('Aqueous Species Options'!M92+1,'Aqueous Species Options'!$V$4*ABS('Aqueous Species Table'!P92)+'Aqueous Species Options'!$W$4,'Aqueous Species Options'!$Z$4)*('Aqueous Species Options'!G92 + 'Aqueous Species Table'!O92*100000*0.0000005903*41.8393) + CHOOSE('Aqueous Species Options'!M92+1,'Aqueous Species Options'!$X$4*ABS('Aqueous Species Table'!P92)+'Aqueous Species Options'!$Y$4,'Aqueous Species Options'!$AA$4))*10 ) ) ) )</f>
        <v>19.3</v>
      </c>
      <c r="J92" s="42">
        <f>IF(ISBLANK('Aqueous Species Options'!B92), "", IF('Aqueous Species Options'!L92 = 0, 'Aqueous Species Options'!O92, IF('Aqueous Species Table'!I92="", "", IF('Aqueous Species Options'!B92="H+", 0, ((1.11*('Aqueous Species Options'!G92 + 'Aqueous Species Table'!O92*100000*0.0000005903*41.8393)+1.8)/41.8393 - 'Aqueous Species Table'!I92/10)*26.01 ) ) ) )</f>
        <v>13.3</v>
      </c>
      <c r="K92" s="42">
        <f>IF(ISBLANK('Aqueous Species Options'!B92), "", IF('Aqueous Species Options'!L92 = 0, 'Aqueous Species Options'!P92, IF('Aqueous Species Table'!I92="", "", IF('Aqueous Species Options'!B92="H+", 0, ('Aqueous Species Options'!G92/41.8393 + 'Aqueous Species Table'!O92*100000*0.0000005903 - 'Aqueous Species Table'!I92/10 - 'Aqueous Species Table'!J92*100/2601)*(298.15-228) - ('Aqueous Species Table'!L92*10000/2601) ) ) ) )</f>
        <v>-4.4000000000000004</v>
      </c>
      <c r="L92" s="42">
        <f>IF(ISBLANK('Aqueous Species Options'!B92), "", IF('Aqueous Species Options'!L92 = 0, 'Aqueous Species Options'!Q92, IF('Aqueous Species Table'!J92="", "", IF('Aqueous Species Options'!B92="H+", 0, (-4.134*'Aqueous Species Table'!J92*100 - 27790)*0.0001) ) ) )</f>
        <v>-3.33</v>
      </c>
      <c r="M92" s="42">
        <f>IF(ISBLANK('Aqueous Species Options'!B92), "", IF('Aqueous Species Options'!L92=0, 'Aqueous Species Options'!R92, IF('Aqueous Species Table'!N92="", "", IF('Aqueous Species Options'!B92="H+", 0, 'Aqueous Species Options'!H92 - 'Aqueous Species Table'!O92*100000*(-0.000000309)*298.15 - 'Aqueous Species Table'!N92*10000/(298.15-228)^2 ) ) ) )</f>
        <v>69.2</v>
      </c>
      <c r="N92" s="42">
        <f>IF(ISBLANK('Aqueous Species Options'!B92), "", IF('Aqueous Species Options'!L92=0, 'Aqueous Species Options'!S92, IF(OR(ISBLANK('Aqueous Species Options'!H92), 'Aqueous Species Table'!O92=""), "", IF('Aqueous Species Options'!B92="H+", 0, 0.2037*'Aqueous Species Options'!H92 - 3.0346) ) ) )</f>
        <v>-9.2200000000000006</v>
      </c>
      <c r="O92" s="42">
        <f>IF(ISBLANK('Aqueous Species Options'!B92), "", IF('Aqueous Species Options'!K92=0, 'Aqueous Species Options'!I92, IF(OR('Aqueous Species Options'!J92&gt;4,'Aqueous Species Options'!J92&lt;-4), "", IF('Aqueous Species Options'!B92="H+", 0, IF('Aqueous Species Options'!J92=0, -0.038, IF(ISBLANK('Aqueous Species Options'!F92), "", -1514.4*'Aqueous Species Options'!F92*0.00001 + SUM(({4,3,2,1,-1,-2,-3,-4}='Aqueous Species Options'!J92)*{2.1764,1.5793,1.0579,0.5517,1.6291,3.2127,4.8115,6.486}) ) ) ) ) ) )</f>
        <v>0.7</v>
      </c>
      <c r="P92" s="1">
        <f>IF(ISBLANK('Aqueous Species Options'!J92), "", 'Aqueous Species Options'!J92)</f>
        <v>0</v>
      </c>
      <c r="Q92" s="184" t="str">
        <f>IF(ISBLANK('Aqueous Species Options'!T92), "", 'Aqueous Species Options'!T92)</f>
        <v>Revised 1/22/15 based on fitting Cp and V vs T data from Hakin et al. (1994) + revised correlation for a1 from Sverjensky et al. (2014); omega from delCPr above 100 °C (Ziemer &amp; Woolley, 2007); G, H, and S from Amend &amp; Helgeson (1997).</v>
      </c>
    </row>
    <row r="93" spans="2:17" ht="15" customHeight="1" x14ac:dyDescent="0.2">
      <c r="B93" s="9" t="str">
        <f>IF(ISBLANK('Aqueous Species Options'!B93), "", 'Aqueous Species Options'!B93)</f>
        <v>GLUTAMINE,AQ</v>
      </c>
      <c r="C93" s="9" t="str">
        <f>IF(ISBLANK('Aqueous Species Options'!C93), "", 'Aqueous Species Options'!C93)</f>
        <v>C5H10N2O3</v>
      </c>
      <c r="D93" s="2">
        <f>IF(ISBLANK('Aqueous Species Options'!D93), "", 'Aqueous Species Options'!D93)</f>
        <v>-126280</v>
      </c>
      <c r="E93" s="1">
        <f>IF(ISBLANK('Aqueous Species Options'!E93), "", 'Aqueous Species Options'!E93)</f>
        <v>-191860</v>
      </c>
      <c r="F93" s="139">
        <f>IF(ISBLANK('Aqueous Species Options'!F93), "", 'Aqueous Species Options'!F93)</f>
        <v>62.41</v>
      </c>
      <c r="G93" s="29">
        <f>IF(ISBLANK('Aqueous Species Options'!B93), "", IF('Aqueous Species Options'!L93 = 1, IF(ISBLANK('Aqueous Species Options'!G93), "", 'Aqueous Species Options'!G93), ('Aqueous Species Table'!I93/10 + ('Aqueous Species Table'!J93*100)/(Calculations!$C$12+Calculations!$C$9) + ('Aqueous Species Table'!K93 + ('Aqueous Species Table'!L93*10000)/(Calculations!$C$12+Calculations!$C$9))*(1/(Calculations!$C$8-Calculations!$C$13)) - 'Aqueous Species Table'!O93*100000*0.0000005903)*41.8393))</f>
        <v>93.7168584488672</v>
      </c>
      <c r="H93" s="29">
        <f>IF(ISBLANK('Aqueous Species Options'!B93), "", IF('Aqueous Species Options'!L93 = 1, IF(ISBLANK('Aqueous Species Options'!H93), "", 'Aqueous Species Options'!H93), 'Aqueous Species Table'!M93 + 'Aqueous Species Table'!N93*10000*(1/(Calculations!$C$8-Calculations!$C$13))^2 + 'Aqueous Species Table'!O93*100000*Calculations!$C$8*Calculations!$C$7))</f>
        <v>43.775772454143052</v>
      </c>
      <c r="I93" s="42">
        <f>IF(ISBLANK('Aqueous Species Options'!B93), "", IF('Aqueous Species Options'!L93=0, 'Aqueous Species Options'!N93, IF(OR(ISBLANK('Aqueous Species Options'!G93),'Aqueous Species Table'!O93="", 'Aqueous Species Table'!P93=""), "", IF('Aqueous Species Options'!B93="H+", 0, (CHOOSE('Aqueous Species Options'!M93+1,'Aqueous Species Options'!$V$4*ABS('Aqueous Species Table'!P93)+'Aqueous Species Options'!$W$4,'Aqueous Species Options'!$Z$4)*('Aqueous Species Options'!G93 + 'Aqueous Species Table'!O93*100000*0.0000005903*41.8393) + CHOOSE('Aqueous Species Options'!M93+1,'Aqueous Species Options'!$X$4*ABS('Aqueous Species Table'!P93)+'Aqueous Species Options'!$Y$4,'Aqueous Species Options'!$AA$4))*10 ) ) ) )</f>
        <v>19.807488940661806</v>
      </c>
      <c r="J93" s="42">
        <f>IF(ISBLANK('Aqueous Species Options'!B93), "", IF('Aqueous Species Options'!L93 = 0, 'Aqueous Species Options'!O93, IF('Aqueous Species Table'!I93="", "", IF('Aqueous Species Options'!B93="H+", 0, ((1.11*('Aqueous Species Options'!G93 + 'Aqueous Species Table'!O93*100000*0.0000005903*41.8393)+1.8)/41.8393 - 'Aqueous Species Table'!I93/10)*26.01 ) ) ) )</f>
        <v>14.575558127282536</v>
      </c>
      <c r="K93" s="42">
        <f>IF(ISBLANK('Aqueous Species Options'!B93), "", IF('Aqueous Species Options'!L93 = 0, 'Aqueous Species Options'!P93, IF('Aqueous Species Table'!I93="", "", IF('Aqueous Species Options'!B93="H+", 0, ('Aqueous Species Options'!G93/41.8393 + 'Aqueous Species Table'!O93*100000*0.0000005903 - 'Aqueous Species Table'!I93/10 - 'Aqueous Species Table'!J93*100/2601)*(298.15-228) - ('Aqueous Species Table'!L93*10000/2601) ) ) ) )</f>
        <v>-7.3833666115792944</v>
      </c>
      <c r="L93" s="42">
        <f>IF(ISBLANK('Aqueous Species Options'!B93), "", IF('Aqueous Species Options'!L93 = 0, 'Aqueous Species Options'!Q93, IF('Aqueous Species Table'!J93="", "", IF('Aqueous Species Options'!B93="H+", 0, (-4.134*'Aqueous Species Table'!J93*100 - 27790)*0.0001) ) ) )</f>
        <v>-3.38155357298186</v>
      </c>
      <c r="M93" s="42">
        <f>IF(ISBLANK('Aqueous Species Options'!B93), "", IF('Aqueous Species Options'!L93=0, 'Aqueous Species Options'!R93, IF('Aqueous Species Table'!N93="", "", IF('Aqueous Species Options'!B93="H+", 0, 'Aqueous Species Options'!H93 - 'Aqueous Species Table'!O93*100000*(-0.000000309)*298.15 - 'Aqueous Species Table'!N93*10000/(298.15-228)^2 ) ) ) )</f>
        <v>33.4802157500622</v>
      </c>
      <c r="N93" s="42">
        <f>IF(ISBLANK('Aqueous Species Options'!B93), "", IF('Aqueous Species Options'!L93=0, 'Aqueous Species Options'!S93, IF(OR(ISBLANK('Aqueous Species Options'!H93), 'Aqueous Species Table'!O93=""), "", IF('Aqueous Species Options'!B93="H+", 0, 0.2037*'Aqueous Species Options'!H93 - 3.0346) ) ) )</f>
        <v>5.8825248489089388</v>
      </c>
      <c r="O93" s="42">
        <f>IF(ISBLANK('Aqueous Species Options'!B93), "", IF('Aqueous Species Options'!K93=0, 'Aqueous Species Options'!I93, IF(OR('Aqueous Species Options'!J93&gt;4,'Aqueous Species Options'!J93&lt;-4), "", IF('Aqueous Species Options'!B93="H+", 0, IF('Aqueous Species Options'!J93=0, -0.038, IF(ISBLANK('Aqueous Species Options'!F93), "", -1514.4*'Aqueous Species Options'!F93*0.00001 + SUM(({4,3,2,1,-1,-2,-3,-4}='Aqueous Species Options'!J93)*{2.1764,1.5793,1.0579,0.5517,1.6291,3.2127,4.8115,6.486}) ) ) ) ) ) )</f>
        <v>0.18</v>
      </c>
      <c r="P93" s="1">
        <f>IF(ISBLANK('Aqueous Species Options'!J93), "", 'Aqueous Species Options'!J93)</f>
        <v>0</v>
      </c>
      <c r="Q93" s="184" t="str">
        <f>IF(ISBLANK('Aqueous Species Options'!T93), "", 'Aqueous Species Options'!T93)</f>
        <v>Shock &amp; Helgeson (1990) revised with new predicted a1 for complex species</v>
      </c>
    </row>
    <row r="94" spans="2:17" ht="15" customHeight="1" x14ac:dyDescent="0.2">
      <c r="B94" s="9" t="str">
        <f>IF(ISBLANK('Aqueous Species Options'!B94), "", 'Aqueous Species Options'!B94)</f>
        <v>GLUTARATE-</v>
      </c>
      <c r="C94" s="9" t="str">
        <f>IF(ISBLANK('Aqueous Species Options'!C94), "", 'Aqueous Species Options'!C94)</f>
        <v>C5H7O4-</v>
      </c>
      <c r="D94" s="2">
        <f>IF(ISBLANK('Aqueous Species Options'!D94), "", 'Aqueous Species Options'!D94)</f>
        <v>-170860</v>
      </c>
      <c r="E94" s="1">
        <f>IF(ISBLANK('Aqueous Species Options'!E94), "", 'Aqueous Species Options'!E94)</f>
        <v>-223570</v>
      </c>
      <c r="F94" s="139">
        <f>IF(ISBLANK('Aqueous Species Options'!F94), "", 'Aqueous Species Options'!F94)</f>
        <v>52.9</v>
      </c>
      <c r="G94" s="29">
        <f>IF(ISBLANK('Aqueous Species Options'!B94), "", IF('Aqueous Species Options'!L94 = 1, IF(ISBLANK('Aqueous Species Options'!G94), "", 'Aqueous Species Options'!G94), ('Aqueous Species Table'!I94/10 + ('Aqueous Species Table'!J94*100)/(Calculations!$C$12+Calculations!$C$9) + ('Aqueous Species Table'!K94 + ('Aqueous Species Table'!L94*10000)/(Calculations!$C$12+Calculations!$C$9))*(1/(Calculations!$C$8-Calculations!$C$13)) - 'Aqueous Species Table'!O94*100000*0.0000005903)*41.8393))</f>
        <v>85.909059482449251</v>
      </c>
      <c r="H94" s="29">
        <f>IF(ISBLANK('Aqueous Species Options'!B94), "", IF('Aqueous Species Options'!L94 = 1, IF(ISBLANK('Aqueous Species Options'!H94), "", 'Aqueous Species Options'!H94), 'Aqueous Species Table'!M94 + 'Aqueous Species Table'!N94*10000*(1/(Calculations!$C$8-Calculations!$C$13))^2 + 'Aqueous Species Table'!O94*100000*Calculations!$C$8*Calculations!$C$7))</f>
        <v>20.108795607973001</v>
      </c>
      <c r="I94" s="42">
        <f>IF(ISBLANK('Aqueous Species Options'!B94), "", IF('Aqueous Species Options'!L94=0, 'Aqueous Species Options'!N94, IF(OR(ISBLANK('Aqueous Species Options'!G94),'Aqueous Species Table'!O94="", 'Aqueous Species Table'!P94=""), "", IF('Aqueous Species Options'!B94="H+", 0, (CHOOSE('Aqueous Species Options'!M94+1,'Aqueous Species Options'!$V$4*ABS('Aqueous Species Table'!P94)+'Aqueous Species Options'!$W$4,'Aqueous Species Options'!$Z$4)*('Aqueous Species Options'!G94 + 'Aqueous Species Table'!O94*100000*0.0000005903*41.8393) + CHOOSE('Aqueous Species Options'!M94+1,'Aqueous Species Options'!$X$4*ABS('Aqueous Species Table'!P94)+'Aqueous Species Options'!$Y$4,'Aqueous Species Options'!$AA$4))*10 ) ) ) )</f>
        <v>18.601904638621573</v>
      </c>
      <c r="J94" s="42">
        <f>IF(ISBLANK('Aqueous Species Options'!B94), "", IF('Aqueous Species Options'!L94 = 0, 'Aqueous Species Options'!O94, IF('Aqueous Species Table'!I94="", "", IF('Aqueous Species Options'!B94="H+", 0, ((1.11*('Aqueous Species Options'!G94 + 'Aqueous Species Table'!O94*100000*0.0000005903*41.8393)+1.8)/41.8393 - 'Aqueous Species Table'!I94/10)*26.01 ) ) ) )</f>
        <v>13.427722277787266</v>
      </c>
      <c r="K94" s="42">
        <f>IF(ISBLANK('Aqueous Species Options'!B94), "", IF('Aqueous Species Options'!L94 = 0, 'Aqueous Species Options'!P94, IF('Aqueous Species Table'!I94="", "", IF('Aqueous Species Options'!B94="H+", 0, ('Aqueous Species Options'!G94/41.8393 + 'Aqueous Species Table'!O94*100000*0.0000005903 - 'Aqueous Species Table'!I94/10 - 'Aqueous Species Table'!J94*100/2601)*(298.15-228) - ('Aqueous Species Table'!L94*10000/2601) ) ) ) )</f>
        <v>-6.4209171295267886</v>
      </c>
      <c r="L94" s="42">
        <f>IF(ISBLANK('Aqueous Species Options'!B94), "", IF('Aqueous Species Options'!L94 = 0, 'Aqueous Species Options'!Q94, IF('Aqueous Species Table'!J94="", "", IF('Aqueous Species Options'!B94="H+", 0, (-4.134*'Aqueous Species Table'!J94*100 - 27790)*0.0001) ) ) )</f>
        <v>-3.3341020389637257</v>
      </c>
      <c r="M94" s="42">
        <f>IF(ISBLANK('Aqueous Species Options'!B94), "", IF('Aqueous Species Options'!L94=0, 'Aqueous Species Options'!R94, IF('Aqueous Species Table'!N94="", "", IF('Aqueous Species Options'!B94="H+", 0, 'Aqueous Species Options'!H94 - 'Aqueous Species Table'!O94*100000*(-0.000000309)*298.15 - 'Aqueous Species Table'!N94*10000/(298.15-228)^2 ) ) ) )</f>
        <v>25.578904363180413</v>
      </c>
      <c r="N94" s="42">
        <f>IF(ISBLANK('Aqueous Species Options'!B94), "", IF('Aqueous Species Options'!L94=0, 'Aqueous Species Options'!S94, IF(OR(ISBLANK('Aqueous Species Options'!H94), 'Aqueous Species Table'!O94=""), "", IF('Aqueous Species Options'!B94="H+", 0, 0.2037*'Aqueous Species Options'!H94 - 3.0346) ) ) )</f>
        <v>1.0615616653441</v>
      </c>
      <c r="O94" s="42">
        <f>IF(ISBLANK('Aqueous Species Options'!B94), "", IF('Aqueous Species Options'!K94=0, 'Aqueous Species Options'!I94, IF(OR('Aqueous Species Options'!J94&gt;4,'Aqueous Species Options'!J94&lt;-4), "", IF('Aqueous Species Options'!B94="H+", 0, IF('Aqueous Species Options'!J94=0, -0.038, IF(ISBLANK('Aqueous Species Options'!F94), "", -1514.4*'Aqueous Species Options'!F94*0.00001 + SUM(({4,3,2,1,-1,-2,-3,-4}='Aqueous Species Options'!J94)*{2.1764,1.5793,1.0579,0.5517,1.6291,3.2127,4.8115,6.486}) ) ) ) ) ) )</f>
        <v>0.82789999999999997</v>
      </c>
      <c r="P94" s="1">
        <f>IF(ISBLANK('Aqueous Species Options'!J94), "", 'Aqueous Species Options'!J94)</f>
        <v>-1</v>
      </c>
      <c r="Q94" s="184" t="str">
        <f>IF(ISBLANK('Aqueous Species Options'!T94), "", 'Aqueous Species Options'!T94)</f>
        <v>Shock &amp; Helgeson (1990) revised with new predicted a1 for complex species</v>
      </c>
    </row>
    <row r="95" spans="2:17" ht="15" customHeight="1" x14ac:dyDescent="0.2">
      <c r="B95" s="9" t="str">
        <f>IF(ISBLANK('Aqueous Species Options'!B95), "", 'Aqueous Species Options'!B95)</f>
        <v>GLUTARIC-ACID,AQ</v>
      </c>
      <c r="C95" s="9" t="str">
        <f>IF(ISBLANK('Aqueous Species Options'!C95), "", 'Aqueous Species Options'!C95)</f>
        <v>C5H8O4</v>
      </c>
      <c r="D95" s="2">
        <f>IF(ISBLANK('Aqueous Species Options'!D95), "", 'Aqueous Species Options'!D95)</f>
        <v>-176780</v>
      </c>
      <c r="E95" s="1">
        <f>IF(ISBLANK('Aqueous Species Options'!E95), "", 'Aqueous Species Options'!E95)</f>
        <v>-223440</v>
      </c>
      <c r="F95" s="139">
        <f>IF(ISBLANK('Aqueous Species Options'!F95), "", 'Aqueous Species Options'!F95)</f>
        <v>73.2</v>
      </c>
      <c r="G95" s="29">
        <f>IF(ISBLANK('Aqueous Species Options'!B95), "", IF('Aqueous Species Options'!L95 = 1, IF(ISBLANK('Aqueous Species Options'!G95), "", 'Aqueous Species Options'!G95), ('Aqueous Species Table'!I95/10 + ('Aqueous Species Table'!J95*100)/(Calculations!$C$12+Calculations!$C$9) + ('Aqueous Species Table'!K95 + ('Aqueous Species Table'!L95*10000)/(Calculations!$C$12+Calculations!$C$9))*(1/(Calculations!$C$8-Calculations!$C$13)) - 'Aqueous Species Table'!O95*100000*0.0000005903)*41.8393))</f>
        <v>99.0911049024688</v>
      </c>
      <c r="H95" s="29">
        <f>IF(ISBLANK('Aqueous Species Options'!B95), "", IF('Aqueous Species Options'!L95 = 1, IF(ISBLANK('Aqueous Species Options'!H95), "", 'Aqueous Species Options'!H95), 'Aqueous Species Table'!M95 + 'Aqueous Species Table'!N95*10000*(1/(Calculations!$C$8-Calculations!$C$13))^2 + 'Aqueous Species Table'!O95*100000*Calculations!$C$8*Calculations!$C$7))</f>
        <v>64.105257765510871</v>
      </c>
      <c r="I95" s="42">
        <f>IF(ISBLANK('Aqueous Species Options'!B95), "", IF('Aqueous Species Options'!L95=0, 'Aqueous Species Options'!N95, IF(OR(ISBLANK('Aqueous Species Options'!G95),'Aqueous Species Table'!O95="", 'Aqueous Species Table'!P95=""), "", IF('Aqueous Species Options'!B95="H+", 0, (CHOOSE('Aqueous Species Options'!M95+1,'Aqueous Species Options'!$V$4*ABS('Aqueous Species Table'!P95)+'Aqueous Species Options'!$W$4,'Aqueous Species Options'!$Z$4)*('Aqueous Species Options'!G95 + 'Aqueous Species Table'!O95*100000*0.0000005903*41.8393) + CHOOSE('Aqueous Species Options'!M95+1,'Aqueous Species Options'!$X$4*ABS('Aqueous Species Table'!P95)+'Aqueous Species Options'!$Y$4,'Aqueous Species Options'!$AA$4))*10 ) ) ) )</f>
        <v>20.716918004604405</v>
      </c>
      <c r="J95" s="42">
        <f>IF(ISBLANK('Aqueous Species Options'!B95), "", IF('Aqueous Species Options'!L95 = 0, 'Aqueous Species Options'!O95, IF('Aqueous Species Table'!I95="", "", IF('Aqueous Species Options'!B95="H+", 0, ((1.11*('Aqueous Species Options'!G95 + 'Aqueous Species Table'!O95*100000*0.0000005903*41.8393)+1.8)/41.8393 - 'Aqueous Species Table'!I95/10)*26.01 ) ) ) )</f>
        <v>15.44142481151167</v>
      </c>
      <c r="K95" s="42">
        <f>IF(ISBLANK('Aqueous Species Options'!B95), "", IF('Aqueous Species Options'!L95 = 0, 'Aqueous Species Options'!P95, IF('Aqueous Species Table'!I95="", "", IF('Aqueous Species Options'!B95="H+", 0, ('Aqueous Species Options'!G95/41.8393 + 'Aqueous Species Table'!O95*100000*0.0000005903 - 'Aqueous Species Table'!I95/10 - 'Aqueous Species Table'!J95*100/2601)*(298.15-228) - ('Aqueous Species Table'!L95*10000/2601) ) ) ) )</f>
        <v>-8.1093876207064408</v>
      </c>
      <c r="L95" s="42">
        <f>IF(ISBLANK('Aqueous Species Options'!B95), "", IF('Aqueous Species Options'!L95 = 0, 'Aqueous Species Options'!Q95, IF('Aqueous Species Table'!J95="", "", IF('Aqueous Species Options'!B95="H+", 0, (-4.134*'Aqueous Species Table'!J95*100 - 27790)*0.0001) ) ) )</f>
        <v>-3.4173485017078922</v>
      </c>
      <c r="M95" s="42">
        <f>IF(ISBLANK('Aqueous Species Options'!B95), "", IF('Aqueous Species Options'!L95=0, 'Aqueous Species Options'!R95, IF('Aqueous Species Table'!N95="", "", IF('Aqueous Species Options'!B95="H+", 0, 'Aqueous Species Options'!H95 - 'Aqueous Species Table'!O95*100000*(-0.000000309)*298.15 - 'Aqueous Species Table'!N95*10000/(298.15-228)^2 ) ) ) )</f>
        <v>42.814953382483878</v>
      </c>
      <c r="N95" s="42">
        <f>IF(ISBLANK('Aqueous Species Options'!B95), "", IF('Aqueous Species Options'!L95=0, 'Aqueous Species Options'!S95, IF(OR(ISBLANK('Aqueous Species Options'!H95), 'Aqueous Species Table'!O95=""), "", IF('Aqueous Species Options'!B95="H+", 0, 0.2037*'Aqueous Species Options'!H95 - 3.0346) ) ) )</f>
        <v>10.023641006834563</v>
      </c>
      <c r="O95" s="42">
        <f>IF(ISBLANK('Aqueous Species Options'!B95), "", IF('Aqueous Species Options'!K95=0, 'Aqueous Species Options'!I95, IF(OR('Aqueous Species Options'!J95&gt;4,'Aqueous Species Options'!J95&lt;-4), "", IF('Aqueous Species Options'!B95="H+", 0, IF('Aqueous Species Options'!J95=0, -0.038, IF(ISBLANK('Aqueous Species Options'!F95), "", -1514.4*'Aqueous Species Options'!F95*0.00001 + SUM(({4,3,2,1,-1,-2,-3,-4}='Aqueous Species Options'!J95)*{2.1764,1.5793,1.0579,0.5517,1.6291,3.2127,4.8115,6.486}) ) ) ) ) ) )</f>
        <v>-0.1</v>
      </c>
      <c r="P95" s="1">
        <f>IF(ISBLANK('Aqueous Species Options'!J95), "", 'Aqueous Species Options'!J95)</f>
        <v>0</v>
      </c>
      <c r="Q95" s="184" t="str">
        <f>IF(ISBLANK('Aqueous Species Options'!T95), "", 'Aqueous Species Options'!T95)</f>
        <v>Shock &amp; Helgeson (1990) revised with new predicted a1 for complex species</v>
      </c>
    </row>
    <row r="96" spans="2:17" ht="15" customHeight="1" x14ac:dyDescent="0.2">
      <c r="B96" s="9" t="str">
        <f>IF(ISBLANK('Aqueous Species Options'!B96), "", 'Aqueous Species Options'!B96)</f>
        <v>Glycinate,aq</v>
      </c>
      <c r="C96" s="9" t="str">
        <f>IF(ISBLANK('Aqueous Species Options'!C96), "", 'Aqueous Species Options'!C96)</f>
        <v/>
      </c>
      <c r="D96" s="2">
        <f>IF(ISBLANK('Aqueous Species Options'!D96), "", 'Aqueous Species Options'!D96)</f>
        <v>-77610</v>
      </c>
      <c r="E96" s="1">
        <f>IF(ISBLANK('Aqueous Species Options'!E96), "", 'Aqueous Species Options'!E96)</f>
        <v>-114190</v>
      </c>
      <c r="F96" s="139">
        <f>IF(ISBLANK('Aqueous Species Options'!F96), "", 'Aqueous Species Options'!F96)</f>
        <v>30.07</v>
      </c>
      <c r="G96" s="29">
        <f>IF(ISBLANK('Aqueous Species Options'!B96), "", IF('Aqueous Species Options'!L96 = 1, IF(ISBLANK('Aqueous Species Options'!G96), "", 'Aqueous Species Options'!G96), ('Aqueous Species Table'!I96/10 + ('Aqueous Species Table'!J96*100)/(Calculations!$C$12+Calculations!$C$9) + ('Aqueous Species Table'!K96 + ('Aqueous Species Table'!L96*10000)/(Calculations!$C$12+Calculations!$C$9))*(1/(Calculations!$C$8-Calculations!$C$13)) - 'Aqueous Species Table'!O96*100000*0.0000005903)*41.8393))</f>
        <v>43.77</v>
      </c>
      <c r="H96" s="29">
        <f>IF(ISBLANK('Aqueous Species Options'!B96), "", IF('Aqueous Species Options'!L96 = 1, IF(ISBLANK('Aqueous Species Options'!H96), "", 'Aqueous Species Options'!H96), 'Aqueous Species Table'!M96 + 'Aqueous Species Table'!N96*10000*(1/(Calculations!$C$8-Calculations!$C$13))^2 + 'Aqueous Species Table'!O96*100000*Calculations!$C$8*Calculations!$C$7))</f>
        <v>-6.6</v>
      </c>
      <c r="I96" s="42">
        <f>IF(ISBLANK('Aqueous Species Options'!B96), "", IF('Aqueous Species Options'!L96=0, 'Aqueous Species Options'!N96, IF(OR(ISBLANK('Aqueous Species Options'!G96),'Aqueous Species Table'!O96="", 'Aqueous Species Table'!P96=""), "", IF('Aqueous Species Options'!B96="H+", 0, (CHOOSE('Aqueous Species Options'!M96+1,'Aqueous Species Options'!$V$4*ABS('Aqueous Species Table'!P96)+'Aqueous Species Options'!$W$4,'Aqueous Species Options'!$Z$4)*('Aqueous Species Options'!G96 + 'Aqueous Species Table'!O96*100000*0.0000005903*41.8393) + CHOOSE('Aqueous Species Options'!M96+1,'Aqueous Species Options'!$X$4*ABS('Aqueous Species Table'!P96)+'Aqueous Species Options'!$Y$4,'Aqueous Species Options'!$AA$4))*10 ) ) ) )</f>
        <v>10.583952075925458</v>
      </c>
      <c r="J96" s="42">
        <f>IF(ISBLANK('Aqueous Species Options'!B96), "", IF('Aqueous Species Options'!L96 = 0, 'Aqueous Species Options'!O96, IF('Aqueous Species Table'!I96="", "", IF('Aqueous Species Options'!B96="H+", 0, ((1.11*('Aqueous Species Options'!G96 + 'Aqueous Species Table'!O96*100000*0.0000005903*41.8393)+1.8)/41.8393 - 'Aqueous Species Table'!I96/10)*26.01 ) ) ) )</f>
        <v>5.7938360572714007</v>
      </c>
      <c r="K96" s="42">
        <f>IF(ISBLANK('Aqueous Species Options'!B96), "", IF('Aqueous Species Options'!L96 = 0, 'Aqueous Species Options'!P96, IF('Aqueous Species Table'!I96="", "", IF('Aqueous Species Options'!B96="H+", 0, ('Aqueous Species Options'!G96/41.8393 + 'Aqueous Species Table'!O96*100000*0.0000005903 - 'Aqueous Species Table'!I96/10 - 'Aqueous Species Table'!J96*100/2601)*(298.15-228) - ('Aqueous Species Table'!L96*10000/2601) ) ) ) )</f>
        <v>-1.9975878027960192E-2</v>
      </c>
      <c r="L96" s="42">
        <f>IF(ISBLANK('Aqueous Species Options'!B96), "", IF('Aqueous Species Options'!L96 = 0, 'Aqueous Species Options'!Q96, IF('Aqueous Species Table'!J96="", "", IF('Aqueous Species Options'!B96="H+", 0, (-4.134*'Aqueous Species Table'!J96*100 - 27790)*0.0001) ) ) )</f>
        <v>-3.0185171826075998</v>
      </c>
      <c r="M96" s="42">
        <f>IF(ISBLANK('Aqueous Species Options'!B96), "", IF('Aqueous Species Options'!L96=0, 'Aqueous Species Options'!R96, IF('Aqueous Species Table'!N96="", "", IF('Aqueous Species Options'!B96="H+", 0, 'Aqueous Species Options'!H96 - 'Aqueous Species Table'!O96*100000*(-0.000000309)*298.15 - 'Aqueous Species Table'!N96*10000/(298.15-228)^2 ) ) ) )</f>
        <v>13.111885760747979</v>
      </c>
      <c r="N96" s="42">
        <f>IF(ISBLANK('Aqueous Species Options'!B96), "", IF('Aqueous Species Options'!L96=0, 'Aqueous Species Options'!S96, IF(OR(ISBLANK('Aqueous Species Options'!H96), 'Aqueous Species Table'!O96=""), "", IF('Aqueous Species Options'!B96="H+", 0, 0.2037*'Aqueous Species Options'!H96 - 3.0346) ) ) )</f>
        <v>-4.3790200000000006</v>
      </c>
      <c r="O96" s="42">
        <f>IF(ISBLANK('Aqueous Species Options'!B96), "", IF('Aqueous Species Options'!K96=0, 'Aqueous Species Options'!I96, IF(OR('Aqueous Species Options'!J96&gt;4,'Aqueous Species Options'!J96&lt;-4), "", IF('Aqueous Species Options'!B96="H+", 0, IF('Aqueous Species Options'!J96=0, -0.038, IF(ISBLANK('Aqueous Species Options'!F96), "", -1514.4*'Aqueous Species Options'!F96*0.00001 + SUM(({4,3,2,1,-1,-2,-3,-4}='Aqueous Species Options'!J96)*{2.1764,1.5793,1.0579,0.5517,1.6291,3.2127,4.8115,6.486}) ) ) ) ) ) )</f>
        <v>1.1737199199999999</v>
      </c>
      <c r="P96" s="1">
        <f>IF(ISBLANK('Aqueous Species Options'!J96), "", 'Aqueous Species Options'!J96)</f>
        <v>-1</v>
      </c>
      <c r="Q96" s="184" t="str">
        <f>IF(ISBLANK('Aqueous Species Options'!T96), "", 'Aqueous Species Options'!T96)</f>
        <v>AH97 for the G, H, S, Cp, V</v>
      </c>
    </row>
    <row r="97" spans="2:17" ht="15" customHeight="1" x14ac:dyDescent="0.2">
      <c r="B97" s="9" t="str">
        <f>IF(ISBLANK('Aqueous Species Options'!B97), "", 'Aqueous Species Options'!B97)</f>
        <v>GLYCINE,AQ</v>
      </c>
      <c r="C97" s="9" t="str">
        <f>IF(ISBLANK('Aqueous Species Options'!C97), "", 'Aqueous Species Options'!C97)</f>
        <v>C2H5NO2</v>
      </c>
      <c r="D97" s="2">
        <f>IF(ISBLANK('Aqueous Species Options'!D97), "", 'Aqueous Species Options'!D97)</f>
        <v>-90950</v>
      </c>
      <c r="E97" s="1">
        <f>IF(ISBLANK('Aqueous Species Options'!E97), "", 'Aqueous Species Options'!E97)</f>
        <v>-124780</v>
      </c>
      <c r="F97" s="139">
        <f>IF(ISBLANK('Aqueous Species Options'!F97), "", 'Aqueous Species Options'!F97)</f>
        <v>39.299999999999997</v>
      </c>
      <c r="G97" s="29">
        <f>IF(ISBLANK('Aqueous Species Options'!B97), "", IF('Aqueous Species Options'!L97 = 1, IF(ISBLANK('Aqueous Species Options'!G97), "", 'Aqueous Species Options'!G97), ('Aqueous Species Table'!I97/10 + ('Aqueous Species Table'!J97*100)/(Calculations!$C$12+Calculations!$C$9) + ('Aqueous Species Table'!K97 + ('Aqueous Species Table'!L97*10000)/(Calculations!$C$12+Calculations!$C$9))*(1/(Calculations!$C$8-Calculations!$C$13)) - 'Aqueous Species Table'!O97*100000*0.0000005903)*41.8393))</f>
        <v>43.290761466275875</v>
      </c>
      <c r="H97" s="29">
        <f>IF(ISBLANK('Aqueous Species Options'!B97), "", IF('Aqueous Species Options'!L97 = 1, IF(ISBLANK('Aqueous Species Options'!H97), "", 'Aqueous Species Options'!H97), 'Aqueous Species Table'!M97 + 'Aqueous Species Table'!N97*10000*(1/(Calculations!$C$8-Calculations!$C$13))^2 + 'Aqueous Species Table'!O97*100000*Calculations!$C$8*Calculations!$C$7))</f>
        <v>9.4942293670151798</v>
      </c>
      <c r="I97" s="42">
        <f>IF(ISBLANK('Aqueous Species Options'!B97), "", IF('Aqueous Species Options'!L97=0, 'Aqueous Species Options'!N97, IF(OR(ISBLANK('Aqueous Species Options'!G97),'Aqueous Species Table'!O97="", 'Aqueous Species Table'!P97=""), "", IF('Aqueous Species Options'!B97="H+", 0, (CHOOSE('Aqueous Species Options'!M97+1,'Aqueous Species Options'!$V$4*ABS('Aqueous Species Table'!P97)+'Aqueous Species Options'!$W$4,'Aqueous Species Options'!$Z$4)*('Aqueous Species Options'!G97 + 'Aqueous Species Table'!O97*100000*0.0000005903*41.8393) + CHOOSE('Aqueous Species Options'!M97+1,'Aqueous Species Options'!$X$4*ABS('Aqueous Species Table'!P97)+'Aqueous Species Options'!$Y$4,'Aqueous Species Options'!$AA$4))*10 ) ) ) )</f>
        <v>10.8</v>
      </c>
      <c r="J97" s="42">
        <f>IF(ISBLANK('Aqueous Species Options'!B97), "", IF('Aqueous Species Options'!L97 = 0, 'Aqueous Species Options'!O97, IF('Aqueous Species Table'!I97="", "", IF('Aqueous Species Options'!B97="H+", 0, ((1.11*('Aqueous Species Options'!G97 + 'Aqueous Species Table'!O97*100000*0.0000005903*41.8393)+1.8)/41.8393 - 'Aqueous Species Table'!I97/10)*26.01 ) ) ) )</f>
        <v>1.3</v>
      </c>
      <c r="K97" s="42">
        <f>IF(ISBLANK('Aqueous Species Options'!B97), "", IF('Aqueous Species Options'!L97 = 0, 'Aqueous Species Options'!P97, IF('Aqueous Species Table'!I97="", "", IF('Aqueous Species Options'!B97="H+", 0, ('Aqueous Species Options'!G97/41.8393 + 'Aqueous Species Table'!O97*100000*0.0000005903 - 'Aqueous Species Table'!I97/10 - 'Aqueous Species Table'!J97*100/2601)*(298.15-228) - ('Aqueous Species Table'!L97*10000/2601) ) ) ) )</f>
        <v>7.6</v>
      </c>
      <c r="L97" s="42">
        <f>IF(ISBLANK('Aqueous Species Options'!B97), "", IF('Aqueous Species Options'!L97 = 0, 'Aqueous Species Options'!Q97, IF('Aqueous Species Table'!J97="", "", IF('Aqueous Species Options'!B97="H+", 0, (-4.134*'Aqueous Species Table'!J97*100 - 27790)*0.0001) ) ) )</f>
        <v>-3.5</v>
      </c>
      <c r="M97" s="42">
        <f>IF(ISBLANK('Aqueous Species Options'!B97), "", IF('Aqueous Species Options'!L97=0, 'Aqueous Species Options'!R97, IF('Aqueous Species Table'!N97="", "", IF('Aqueous Species Options'!B97="H+", 0, 'Aqueous Species Options'!H97 - 'Aqueous Species Table'!O97*100000*(-0.000000309)*298.15 - 'Aqueous Species Table'!N97*10000/(298.15-228)^2 ) ) ) )</f>
        <v>28</v>
      </c>
      <c r="N97" s="42">
        <f>IF(ISBLANK('Aqueous Species Options'!B97), "", IF('Aqueous Species Options'!L97=0, 'Aqueous Species Options'!S97, IF(OR(ISBLANK('Aqueous Species Options'!H97), 'Aqueous Species Table'!O97=""), "", IF('Aqueous Species Options'!B97="H+", 0, 0.2037*'Aqueous Species Options'!H97 - 3.0346) ) ) )</f>
        <v>-8.1999999999999993</v>
      </c>
      <c r="O97" s="42">
        <f>IF(ISBLANK('Aqueous Species Options'!B97), "", IF('Aqueous Species Options'!K97=0, 'Aqueous Species Options'!I97, IF(OR('Aqueous Species Options'!J97&gt;4,'Aqueous Species Options'!J97&lt;-4), "", IF('Aqueous Species Options'!B97="H+", 0, IF('Aqueous Species Options'!J97=0, -0.038, IF(ISBLANK('Aqueous Species Options'!F97), "", -1514.4*'Aqueous Species Options'!F97*0.00001 + SUM(({4,3,2,1,-1,-2,-3,-4}='Aqueous Species Options'!J97)*{2.1764,1.5793,1.0579,0.5517,1.6291,3.2127,4.8115,6.486}) ) ) ) ) ) )</f>
        <v>0.2</v>
      </c>
      <c r="P97" s="1">
        <f>IF(ISBLANK('Aqueous Species Options'!J97), "", 'Aqueous Species Options'!J97)</f>
        <v>0</v>
      </c>
      <c r="Q97" s="184" t="str">
        <f>IF(ISBLANK('Aqueous Species Options'!T97), "", 'Aqueous Species Options'!T97)</f>
        <v>Plyasunov &amp; Shock (2001)</v>
      </c>
    </row>
    <row r="98" spans="2:17" ht="15" customHeight="1" x14ac:dyDescent="0.2">
      <c r="B98" s="9" t="str">
        <f>IF(ISBLANK('Aqueous Species Options'!B98), "", 'Aqueous Species Options'!B98)</f>
        <v>GLYCOLATE,AQ</v>
      </c>
      <c r="C98" s="9" t="str">
        <f>IF(ISBLANK('Aqueous Species Options'!C98), "", 'Aqueous Species Options'!C98)</f>
        <v>C2H3O3-</v>
      </c>
      <c r="D98" s="2">
        <f>IF(ISBLANK('Aqueous Species Options'!D98), "", 'Aqueous Species Options'!D98)</f>
        <v>-121170</v>
      </c>
      <c r="E98" s="1">
        <f>IF(ISBLANK('Aqueous Species Options'!E98), "", 'Aqueous Species Options'!E98)</f>
        <v>-154700</v>
      </c>
      <c r="F98" s="139">
        <f>IF(ISBLANK('Aqueous Species Options'!F98), "", 'Aqueous Species Options'!F98)</f>
        <v>26.2</v>
      </c>
      <c r="G98" s="29">
        <f>IF(ISBLANK('Aqueous Species Options'!B98), "", IF('Aqueous Species Options'!L98 = 1, IF(ISBLANK('Aqueous Species Options'!G98), "", 'Aqueous Species Options'!G98), ('Aqueous Species Table'!I98/10 + ('Aqueous Species Table'!J98*100)/(Calculations!$C$12+Calculations!$C$9) + ('Aqueous Species Table'!K98 + ('Aqueous Species Table'!L98*10000)/(Calculations!$C$12+Calculations!$C$9))*(1/(Calculations!$C$8-Calculations!$C$13)) - 'Aqueous Species Table'!O98*100000*0.0000005903)*41.8393))</f>
        <v>39.849961091675077</v>
      </c>
      <c r="H98" s="29">
        <f>IF(ISBLANK('Aqueous Species Options'!B98), "", IF('Aqueous Species Options'!L98 = 1, IF(ISBLANK('Aqueous Species Options'!H98), "", 'Aqueous Species Options'!H98), 'Aqueous Species Table'!M98 + 'Aqueous Species Table'!N98*10000*(1/(Calculations!$C$8-Calculations!$C$13))^2 + 'Aqueous Species Table'!O98*100000*Calculations!$C$8*Calculations!$C$7))</f>
        <v>6.4997274390008322</v>
      </c>
      <c r="I98" s="42">
        <f>IF(ISBLANK('Aqueous Species Options'!B98), "", IF('Aqueous Species Options'!L98=0, 'Aqueous Species Options'!N98, IF(OR(ISBLANK('Aqueous Species Options'!G98),'Aqueous Species Table'!O98="", 'Aqueous Species Table'!P98=""), "", IF('Aqueous Species Options'!B98="H+", 0, (CHOOSE('Aqueous Species Options'!M98+1,'Aqueous Species Options'!$V$4*ABS('Aqueous Species Table'!P98)+'Aqueous Species Options'!$W$4,'Aqueous Species Options'!$Z$4)*('Aqueous Species Options'!G98 + 'Aqueous Species Table'!O98*100000*0.0000005903*41.8393) + CHOOSE('Aqueous Species Options'!M98+1,'Aqueous Species Options'!$X$4*ABS('Aqueous Species Table'!P98)+'Aqueous Species Options'!$Y$4,'Aqueous Species Options'!$AA$4))*10 ) ) ) )</f>
        <v>6.7382147870914615</v>
      </c>
      <c r="J98" s="42">
        <f>IF(ISBLANK('Aqueous Species Options'!B98), "", IF('Aqueous Species Options'!L98 = 0, 'Aqueous Species Options'!O98, IF('Aqueous Species Table'!I98="", "", IF('Aqueous Species Options'!B98="H+", 0, ((1.11*('Aqueous Species Options'!G98 + 'Aqueous Species Table'!O98*100000*0.0000005903*41.8393)+1.8)/41.8393 - 'Aqueous Species Table'!I98/10)*26.01 ) ) ) )</f>
        <v>13.193296540859411</v>
      </c>
      <c r="K98" s="42">
        <f>IF(ISBLANK('Aqueous Species Options'!B98), "", IF('Aqueous Species Options'!L98 = 0, 'Aqueous Species Options'!P98, IF('Aqueous Species Table'!I98="", "", IF('Aqueous Species Options'!B98="H+", 0, ('Aqueous Species Options'!G98/41.8393 + 'Aqueous Species Table'!O98*100000*0.0000005903 - 'Aqueous Species Table'!I98/10 - 'Aqueous Species Table'!J98*100/2601)*(298.15-228) - ('Aqueous Species Table'!L98*10000/2601) ) ) ) )</f>
        <v>1.8518815074471107</v>
      </c>
      <c r="L98" s="42">
        <f>IF(ISBLANK('Aqueous Species Options'!B98), "", IF('Aqueous Species Options'!L98 = 0, 'Aqueous Species Options'!Q98, IF('Aqueous Species Table'!J98="", "", IF('Aqueous Species Options'!B98="H+", 0, (-4.134*'Aqueous Species Table'!J98*100 - 27790)*0.0001) ) ) )</f>
        <v>-3.3244108789991285</v>
      </c>
      <c r="M98" s="42">
        <f>IF(ISBLANK('Aqueous Species Options'!B98), "", IF('Aqueous Species Options'!L98=0, 'Aqueous Species Options'!R98, IF('Aqueous Species Table'!N98="", "", IF('Aqueous Species Options'!B98="H+", 0, 'Aqueous Species Options'!H98 - 'Aqueous Species Table'!O98*100000*(-0.000000309)*298.15 - 'Aqueous Species Table'!N98*10000/(298.15-228)^2 ) ) ) )</f>
        <v>21.338956192235514</v>
      </c>
      <c r="N98" s="42">
        <f>IF(ISBLANK('Aqueous Species Options'!B98), "", IF('Aqueous Species Options'!L98=0, 'Aqueous Species Options'!S98, IF(OR(ISBLANK('Aqueous Species Options'!H98), 'Aqueous Species Table'!O98=""), "", IF('Aqueous Species Options'!B98="H+", 0, 0.2037*'Aqueous Species Options'!H98 - 3.0346) ) ) )</f>
        <v>-1.7106055206755306</v>
      </c>
      <c r="O98" s="42">
        <f>IF(ISBLANK('Aqueous Species Options'!B98), "", IF('Aqueous Species Options'!K98=0, 'Aqueous Species Options'!I98, IF(OR('Aqueous Species Options'!J98&gt;4,'Aqueous Species Options'!J98&lt;-4), "", IF('Aqueous Species Options'!B98="H+", 0, IF('Aqueous Species Options'!J98=0, -0.038, IF(ISBLANK('Aqueous Species Options'!F98), "", -1514.4*'Aqueous Species Options'!F98*0.00001 + SUM(({4,3,2,1,-1,-2,-3,-4}='Aqueous Species Options'!J98)*{2.1764,1.5793,1.0579,0.5517,1.6291,3.2127,4.8115,6.486}) ) ) ) ) ) )</f>
        <v>1.2334000000000001</v>
      </c>
      <c r="P98" s="1">
        <f>IF(ISBLANK('Aqueous Species Options'!J98), "", 'Aqueous Species Options'!J98)</f>
        <v>-1</v>
      </c>
      <c r="Q98" s="184" t="str">
        <f>IF(ISBLANK('Aqueous Species Options'!T98), "", 'Aqueous Species Options'!T98)</f>
        <v>Shock &amp; Helgeson (1990) revised with new predicted a1 for complex species</v>
      </c>
    </row>
    <row r="99" spans="2:17" ht="15" customHeight="1" x14ac:dyDescent="0.2">
      <c r="B99" s="9" t="str">
        <f>IF(ISBLANK('Aqueous Species Options'!B99), "", 'Aqueous Species Options'!B99)</f>
        <v>GLYCOLIC-ACID,AQ</v>
      </c>
      <c r="C99" s="9" t="str">
        <f>IF(ISBLANK('Aqueous Species Options'!C99), "", 'Aqueous Species Options'!C99)</f>
        <v>C2H4O3</v>
      </c>
      <c r="D99" s="2">
        <f>IF(ISBLANK('Aqueous Species Options'!D99), "", 'Aqueous Species Options'!D99)</f>
        <v>-126400</v>
      </c>
      <c r="E99" s="1">
        <f>IF(ISBLANK('Aqueous Species Options'!E99), "", 'Aqueous Species Options'!E99)</f>
        <v>-154890</v>
      </c>
      <c r="F99" s="139">
        <f>IF(ISBLANK('Aqueous Species Options'!F99), "", 'Aqueous Species Options'!F99)</f>
        <v>43.1</v>
      </c>
      <c r="G99" s="29">
        <f>IF(ISBLANK('Aqueous Species Options'!B99), "", IF('Aqueous Species Options'!L99 = 1, IF(ISBLANK('Aqueous Species Options'!G99), "", 'Aqueous Species Options'!G99), ('Aqueous Species Table'!I99/10 + ('Aqueous Species Table'!J99*100)/(Calculations!$C$12+Calculations!$C$9) + ('Aqueous Species Table'!K99 + ('Aqueous Species Table'!L99*10000)/(Calculations!$C$12+Calculations!$C$9))*(1/(Calculations!$C$8-Calculations!$C$13)) - 'Aqueous Species Table'!O99*100000*0.0000005903)*41.8393))</f>
        <v>51.750113330887849</v>
      </c>
      <c r="H99" s="29">
        <f>IF(ISBLANK('Aqueous Species Options'!B99), "", IF('Aqueous Species Options'!L99 = 1, IF(ISBLANK('Aqueous Species Options'!H99), "", 'Aqueous Species Options'!H99), 'Aqueous Species Table'!M99 + 'Aqueous Species Table'!N99*10000*(1/(Calculations!$C$8-Calculations!$C$13))^2 + 'Aqueous Species Table'!O99*100000*Calculations!$C$8*Calculations!$C$7))</f>
        <v>45.50047069862751</v>
      </c>
      <c r="I99" s="42">
        <f>IF(ISBLANK('Aqueous Species Options'!B99), "", IF('Aqueous Species Options'!L99=0, 'Aqueous Species Options'!N99, IF(OR(ISBLANK('Aqueous Species Options'!G99),'Aqueous Species Table'!O99="", 'Aqueous Species Table'!P99=""), "", IF('Aqueous Species Options'!B99="H+", 0, (CHOOSE('Aqueous Species Options'!M99+1,'Aqueous Species Options'!$V$4*ABS('Aqueous Species Table'!P99)+'Aqueous Species Options'!$W$4,'Aqueous Species Options'!$Z$4)*('Aqueous Species Options'!G99 + 'Aqueous Species Table'!O99*100000*0.0000005903*41.8393) + CHOOSE('Aqueous Species Options'!M99+1,'Aqueous Species Options'!$X$4*ABS('Aqueous Species Table'!P99)+'Aqueous Species Options'!$Y$4,'Aqueous Species Options'!$AA$4))*10 ) ) ) )</f>
        <v>11.426077661344983</v>
      </c>
      <c r="J99" s="42">
        <f>IF(ISBLANK('Aqueous Species Options'!B99), "", IF('Aqueous Species Options'!L99 = 0, 'Aqueous Species Options'!O99, IF('Aqueous Species Table'!I99="", "", IF('Aqueous Species Options'!B99="H+", 0, ((1.11*('Aqueous Species Options'!G99 + 'Aqueous Species Table'!O99*100000*0.0000005903*41.8393)+1.8)/41.8393 - 'Aqueous Species Table'!I99/10)*26.01 ) ) ) )</f>
        <v>6.5956231534420304</v>
      </c>
      <c r="K99" s="42">
        <f>IF(ISBLANK('Aqueous Species Options'!B99), "", IF('Aqueous Species Options'!L99 = 0, 'Aqueous Species Options'!P99, IF('Aqueous Species Table'!I99="", "", IF('Aqueous Species Options'!B99="H+", 0, ('Aqueous Species Options'!G99/41.8393 + 'Aqueous Species Table'!O99*100000*0.0000005903 - 'Aqueous Species Table'!I99/10 - 'Aqueous Species Table'!J99*100/2601)*(298.15-228) - ('Aqueous Species Table'!L99*10000/2601) ) ) ) )</f>
        <v>-0.69226675983406771</v>
      </c>
      <c r="L99" s="42">
        <f>IF(ISBLANK('Aqueous Species Options'!B99), "", IF('Aqueous Species Options'!L99 = 0, 'Aqueous Species Options'!Q99, IF('Aqueous Species Table'!J99="", "", IF('Aqueous Species Options'!B99="H+", 0, (-4.134*'Aqueous Species Table'!J99*100 - 27790)*0.0001) ) ) )</f>
        <v>-3.0516630611632936</v>
      </c>
      <c r="M99" s="42">
        <f>IF(ISBLANK('Aqueous Species Options'!B99), "", IF('Aqueous Species Options'!L99=0, 'Aqueous Species Options'!R99, IF('Aqueous Species Table'!N99="", "", IF('Aqueous Species Options'!B99="H+", 0, 'Aqueous Species Options'!H99 - 'Aqueous Species Table'!O99*100000*(-0.000000309)*298.15 - 'Aqueous Species Table'!N99*10000/(298.15-228)^2 ) ) ) )</f>
        <v>30.05317260633247</v>
      </c>
      <c r="N99" s="42">
        <f>IF(ISBLANK('Aqueous Species Options'!B99), "", IF('Aqueous Species Options'!L99=0, 'Aqueous Species Options'!S99, IF(OR(ISBLANK('Aqueous Species Options'!H99), 'Aqueous Species Table'!O99=""), "", IF('Aqueous Species Options'!B99="H+", 0, 0.2037*'Aqueous Species Options'!H99 - 3.0346) ) ) )</f>
        <v>6.2338458813104234</v>
      </c>
      <c r="O99" s="42">
        <f>IF(ISBLANK('Aqueous Species Options'!B99), "", IF('Aqueous Species Options'!K99=0, 'Aqueous Species Options'!I99, IF(OR('Aqueous Species Options'!J99&gt;4,'Aqueous Species Options'!J99&lt;-4), "", IF('Aqueous Species Options'!B99="H+", 0, IF('Aqueous Species Options'!J99=0, -0.038, IF(ISBLANK('Aqueous Species Options'!F99), "", -1514.4*'Aqueous Species Options'!F99*0.00001 + SUM(({4,3,2,1,-1,-2,-3,-4}='Aqueous Species Options'!J99)*{2.1764,1.5793,1.0579,0.5517,1.6291,3.2127,4.8115,6.486}) ) ) ) ) ) )</f>
        <v>-0.30170000000000002</v>
      </c>
      <c r="P99" s="1">
        <f>IF(ISBLANK('Aqueous Species Options'!J99), "", 'Aqueous Species Options'!J99)</f>
        <v>0</v>
      </c>
      <c r="Q99" s="184" t="str">
        <f>IF(ISBLANK('Aqueous Species Options'!T99), "", 'Aqueous Species Options'!T99)</f>
        <v>Shock &amp; Helgeson (1990) revised with new predicted a1 for complex species</v>
      </c>
    </row>
    <row r="100" spans="2:17" ht="15" customHeight="1" x14ac:dyDescent="0.2">
      <c r="B100" s="9" t="str">
        <f>IF(ISBLANK('Aqueous Species Options'!B100), "", 'Aqueous Species Options'!B100)</f>
        <v>H-SUCCINATE,AQ</v>
      </c>
      <c r="C100" s="9" t="str">
        <f>IF(ISBLANK('Aqueous Species Options'!C100), "", 'Aqueous Species Options'!C100)</f>
        <v>C4H504-</v>
      </c>
      <c r="D100" s="2">
        <f>IF(ISBLANK('Aqueous Species Options'!D100), "", 'Aqueous Species Options'!D100)</f>
        <v>-172060</v>
      </c>
      <c r="E100" s="1">
        <f>IF(ISBLANK('Aqueous Species Options'!E100), "", 'Aqueous Species Options'!E100)</f>
        <v>-217350</v>
      </c>
      <c r="F100" s="139">
        <f>IF(ISBLANK('Aqueous Species Options'!F100), "", 'Aqueous Species Options'!F100)</f>
        <v>45.2</v>
      </c>
      <c r="G100" s="29">
        <f>IF(ISBLANK('Aqueous Species Options'!B100), "", IF('Aqueous Species Options'!L100 = 1, IF(ISBLANK('Aqueous Species Options'!G100), "", 'Aqueous Species Options'!G100), ('Aqueous Species Table'!I100/10 + ('Aqueous Species Table'!J100*100)/(Calculations!$C$12+Calculations!$C$9) + ('Aqueous Species Table'!K100 + ('Aqueous Species Table'!L100*10000)/(Calculations!$C$12+Calculations!$C$9))*(1/(Calculations!$C$8-Calculations!$C$13)) - 'Aqueous Species Table'!O100*100000*0.0000005903)*41.8393))</f>
        <v>69.990077113880361</v>
      </c>
      <c r="H100" s="29">
        <f>IF(ISBLANK('Aqueous Species Options'!B100), "", IF('Aqueous Species Options'!L100 = 1, IF(ISBLANK('Aqueous Species Options'!H100), "", 'Aqueous Species Options'!H100), 'Aqueous Species Table'!M100 + 'Aqueous Species Table'!N100*10000*(1/(Calculations!$C$8-Calculations!$C$13))^2 + 'Aqueous Species Table'!O100*100000*Calculations!$C$8*Calculations!$C$7))</f>
        <v>9.2999823093371994</v>
      </c>
      <c r="I100" s="42">
        <f>IF(ISBLANK('Aqueous Species Options'!B100), "", IF('Aqueous Species Options'!L100=0, 'Aqueous Species Options'!N100, IF(OR(ISBLANK('Aqueous Species Options'!G100),'Aqueous Species Table'!O100="", 'Aqueous Species Table'!P100=""), "", IF('Aqueous Species Options'!B100="H+", 0, (CHOOSE('Aqueous Species Options'!M100+1,'Aqueous Species Options'!$V$4*ABS('Aqueous Species Table'!P100)+'Aqueous Species Options'!$W$4,'Aqueous Species Options'!$Z$4)*('Aqueous Species Options'!G100 + 'Aqueous Species Table'!O100*100000*0.0000005903*41.8393) + CHOOSE('Aqueous Species Options'!M100+1,'Aqueous Species Options'!$X$4*ABS('Aqueous Species Table'!P100)+'Aqueous Species Options'!$Y$4,'Aqueous Species Options'!$AA$4))*10 ) ) ) )</f>
        <v>15.566254786236048</v>
      </c>
      <c r="J100" s="42">
        <f>IF(ISBLANK('Aqueous Species Options'!B100), "", IF('Aqueous Species Options'!L100 = 0, 'Aqueous Species Options'!O100, IF('Aqueous Species Table'!I100="", "", IF('Aqueous Species Options'!B100="H+", 0, ((1.11*('Aqueous Species Options'!G100 + 'Aqueous Species Table'!O100*100000*0.0000005903*41.8393)+1.8)/41.8393 - 'Aqueous Species Table'!I100/10)*26.01 ) ) ) )</f>
        <v>10.53748248187552</v>
      </c>
      <c r="K100" s="42">
        <f>IF(ISBLANK('Aqueous Species Options'!B100), "", IF('Aqueous Species Options'!L100 = 0, 'Aqueous Species Options'!P100, IF('Aqueous Species Table'!I100="", "", IF('Aqueous Species Options'!B100="H+", 0, ('Aqueous Species Options'!G100/41.8393 + 'Aqueous Species Table'!O100*100000*0.0000005903 - 'Aqueous Species Table'!I100/10 - 'Aqueous Species Table'!J100*100/2601)*(298.15-228) - ('Aqueous Species Table'!L100*10000/2601) ) ) ) )</f>
        <v>-3.9974784507243619</v>
      </c>
      <c r="L100" s="42">
        <f>IF(ISBLANK('Aqueous Species Options'!B100), "", IF('Aqueous Species Options'!L100 = 0, 'Aqueous Species Options'!Q100, IF('Aqueous Species Table'!J100="", "", IF('Aqueous Species Options'!B100="H+", 0, (-4.134*'Aqueous Species Table'!J100*100 - 27790)*0.0001) ) ) )</f>
        <v>-3.2146195258007344</v>
      </c>
      <c r="M100" s="42">
        <f>IF(ISBLANK('Aqueous Species Options'!B100), "", IF('Aqueous Species Options'!L100=0, 'Aqueous Species Options'!R100, IF('Aqueous Species Table'!N100="", "", IF('Aqueous Species Options'!B100="H+", 0, 'Aqueous Species Options'!H100 - 'Aqueous Species Table'!O100*100000*(-0.000000309)*298.15 - 'Aqueous Species Table'!N100*10000/(298.15-228)^2 ) ) ) )</f>
        <v>20.319411396387665</v>
      </c>
      <c r="N100" s="42">
        <f>IF(ISBLANK('Aqueous Species Options'!B100), "", IF('Aqueous Species Options'!L100=0, 'Aqueous Species Options'!S100, IF(OR(ISBLANK('Aqueous Species Options'!H100), 'Aqueous Species Table'!O100=""), "", IF('Aqueous Species Options'!B100="H+", 0, 0.2037*'Aqueous Species Options'!H100 - 3.0346) ) ) )</f>
        <v>-1.1401936035880127</v>
      </c>
      <c r="O100" s="42">
        <f>IF(ISBLANK('Aqueous Species Options'!B100), "", IF('Aqueous Species Options'!K100=0, 'Aqueous Species Options'!I100, IF(OR('Aqueous Species Options'!J100&gt;4,'Aqueous Species Options'!J100&lt;-4), "", IF('Aqueous Species Options'!B100="H+", 0, IF('Aqueous Species Options'!J100=0, -0.038, IF(ISBLANK('Aqueous Species Options'!F100), "", -1514.4*'Aqueous Species Options'!F100*0.00001 + SUM(({4,3,2,1,-1,-2,-3,-4}='Aqueous Species Options'!J100)*{2.1764,1.5793,1.0579,0.5517,1.6291,3.2127,4.8115,6.486}) ) ) ) ) ) )</f>
        <v>0.9446</v>
      </c>
      <c r="P100" s="1">
        <f>IF(ISBLANK('Aqueous Species Options'!J100), "", 'Aqueous Species Options'!J100)</f>
        <v>-1</v>
      </c>
      <c r="Q100" s="184" t="str">
        <f>IF(ISBLANK('Aqueous Species Options'!T100), "", 'Aqueous Species Options'!T100)</f>
        <v>Shock &amp; Helgeson (1990) revised with new predicted a1 for complex species</v>
      </c>
    </row>
    <row r="101" spans="2:17" ht="15" customHeight="1" x14ac:dyDescent="0.2">
      <c r="B101" s="9" t="str">
        <f>IF(ISBLANK('Aqueous Species Options'!B101), "", 'Aqueous Species Options'!B101)</f>
        <v>H+</v>
      </c>
      <c r="C101" s="9" t="str">
        <f>IF(ISBLANK('Aqueous Species Options'!C101), "", 'Aqueous Species Options'!C101)</f>
        <v>H(+)</v>
      </c>
      <c r="D101" s="2">
        <f>IF(ISBLANK('Aqueous Species Options'!D101), "", 'Aqueous Species Options'!D101)</f>
        <v>0</v>
      </c>
      <c r="E101" s="1">
        <f>IF(ISBLANK('Aqueous Species Options'!E101), "", 'Aqueous Species Options'!E101)</f>
        <v>0</v>
      </c>
      <c r="F101" s="139">
        <f>IF(ISBLANK('Aqueous Species Options'!F101), "", 'Aqueous Species Options'!F101)</f>
        <v>0</v>
      </c>
      <c r="G101" s="29">
        <f>IF(ISBLANK('Aqueous Species Options'!B101), "", IF('Aqueous Species Options'!L101 = 1, IF(ISBLANK('Aqueous Species Options'!G101), "", 'Aqueous Species Options'!G101), ('Aqueous Species Table'!I101/10 + ('Aqueous Species Table'!J101*100)/(Calculations!$C$12+Calculations!$C$9) + ('Aqueous Species Table'!K101 + ('Aqueous Species Table'!L101*10000)/(Calculations!$C$12+Calculations!$C$9))*(1/(Calculations!$C$8-Calculations!$C$13)) - 'Aqueous Species Table'!O101*100000*0.0000005903)*41.8393))</f>
        <v>0</v>
      </c>
      <c r="H101" s="29">
        <f>IF(ISBLANK('Aqueous Species Options'!B101), "", IF('Aqueous Species Options'!L101 = 1, IF(ISBLANK('Aqueous Species Options'!H101), "", 'Aqueous Species Options'!H101), 'Aqueous Species Table'!M101 + 'Aqueous Species Table'!N101*10000*(1/(Calculations!$C$8-Calculations!$C$13))^2 + 'Aqueous Species Table'!O101*100000*Calculations!$C$8*Calculations!$C$7))</f>
        <v>0</v>
      </c>
      <c r="I101" s="42">
        <f>IF(ISBLANK('Aqueous Species Options'!B101), "", IF('Aqueous Species Options'!L101=0, 'Aqueous Species Options'!N101, IF(OR(ISBLANK('Aqueous Species Options'!G101),'Aqueous Species Table'!O101="", 'Aqueous Species Table'!P101=""), "", IF('Aqueous Species Options'!B101="H+", 0, (CHOOSE('Aqueous Species Options'!M101+1,'Aqueous Species Options'!$V$4*ABS('Aqueous Species Table'!P101)+'Aqueous Species Options'!$W$4,'Aqueous Species Options'!$Z$4)*('Aqueous Species Options'!G101 + 'Aqueous Species Table'!O101*100000*0.0000005903*41.8393) + CHOOSE('Aqueous Species Options'!M101+1,'Aqueous Species Options'!$X$4*ABS('Aqueous Species Table'!P101)+'Aqueous Species Options'!$Y$4,'Aqueous Species Options'!$AA$4))*10 ) ) ) )</f>
        <v>0</v>
      </c>
      <c r="J101" s="42">
        <f>IF(ISBLANK('Aqueous Species Options'!B101), "", IF('Aqueous Species Options'!L101 = 0, 'Aqueous Species Options'!O101, IF('Aqueous Species Table'!I101="", "", IF('Aqueous Species Options'!B101="H+", 0, ((1.11*('Aqueous Species Options'!G101 + 'Aqueous Species Table'!O101*100000*0.0000005903*41.8393)+1.8)/41.8393 - 'Aqueous Species Table'!I101/10)*26.01 ) ) ) )</f>
        <v>0</v>
      </c>
      <c r="K101" s="42">
        <f>IF(ISBLANK('Aqueous Species Options'!B101), "", IF('Aqueous Species Options'!L101 = 0, 'Aqueous Species Options'!P101, IF('Aqueous Species Table'!I101="", "", IF('Aqueous Species Options'!B101="H+", 0, ('Aqueous Species Options'!G101/41.8393 + 'Aqueous Species Table'!O101*100000*0.0000005903 - 'Aqueous Species Table'!I101/10 - 'Aqueous Species Table'!J101*100/2601)*(298.15-228) - ('Aqueous Species Table'!L101*10000/2601) ) ) ) )</f>
        <v>0</v>
      </c>
      <c r="L101" s="42">
        <f>IF(ISBLANK('Aqueous Species Options'!B101), "", IF('Aqueous Species Options'!L101 = 0, 'Aqueous Species Options'!Q101, IF('Aqueous Species Table'!J101="", "", IF('Aqueous Species Options'!B101="H+", 0, (-4.134*'Aqueous Species Table'!J101*100 - 27790)*0.0001) ) ) )</f>
        <v>0</v>
      </c>
      <c r="M101" s="42">
        <f>IF(ISBLANK('Aqueous Species Options'!B101), "", IF('Aqueous Species Options'!L101=0, 'Aqueous Species Options'!R101, IF('Aqueous Species Table'!N101="", "", IF('Aqueous Species Options'!B101="H+", 0, 'Aqueous Species Options'!H101 - 'Aqueous Species Table'!O101*100000*(-0.000000309)*298.15 - 'Aqueous Species Table'!N101*10000/(298.15-228)^2 ) ) ) )</f>
        <v>0</v>
      </c>
      <c r="N101" s="42">
        <f>IF(ISBLANK('Aqueous Species Options'!B101), "", IF('Aqueous Species Options'!L101=0, 'Aqueous Species Options'!S101, IF(OR(ISBLANK('Aqueous Species Options'!H101), 'Aqueous Species Table'!O101=""), "", IF('Aqueous Species Options'!B101="H+", 0, 0.2037*'Aqueous Species Options'!H101 - 3.0346) ) ) )</f>
        <v>0</v>
      </c>
      <c r="O101" s="42">
        <f>IF(ISBLANK('Aqueous Species Options'!B101), "", IF('Aqueous Species Options'!K101=0, 'Aqueous Species Options'!I101, IF(OR('Aqueous Species Options'!J101&gt;4,'Aqueous Species Options'!J101&lt;-4), "", IF('Aqueous Species Options'!B101="H+", 0, IF('Aqueous Species Options'!J101=0, -0.038, IF(ISBLANK('Aqueous Species Options'!F101), "", -1514.4*'Aqueous Species Options'!F101*0.00001 + SUM(({4,3,2,1,-1,-2,-3,-4}='Aqueous Species Options'!J101)*{2.1764,1.5793,1.0579,0.5517,1.6291,3.2127,4.8115,6.486}) ) ) ) ) ) )</f>
        <v>0</v>
      </c>
      <c r="P101" s="1">
        <f>IF(ISBLANK('Aqueous Species Options'!J101), "", 'Aqueous Species Options'!J101)</f>
        <v>1</v>
      </c>
      <c r="Q101" s="184" t="str">
        <f>IF(ISBLANK('Aqueous Species Options'!T101), "", 'Aqueous Species Options'!T101)</f>
        <v>Perfectly known, by convention!</v>
      </c>
    </row>
    <row r="102" spans="2:17" ht="15" customHeight="1" x14ac:dyDescent="0.2">
      <c r="B102" s="9" t="str">
        <f>IF(ISBLANK('Aqueous Species Options'!B102), "", 'Aqueous Species Options'!B102)</f>
        <v>H2,aq</v>
      </c>
      <c r="C102" s="9" t="str">
        <f>IF(ISBLANK('Aqueous Species Options'!C102), "", 'Aqueous Species Options'!C102)</f>
        <v>H2(0)</v>
      </c>
      <c r="D102" s="2">
        <f>IF(ISBLANK('Aqueous Species Options'!D102), "", 'Aqueous Species Options'!D102)</f>
        <v>4236</v>
      </c>
      <c r="E102" s="1">
        <f>IF(ISBLANK('Aqueous Species Options'!E102), "", 'Aqueous Species Options'!E102)</f>
        <v>-1000</v>
      </c>
      <c r="F102" s="139">
        <f>IF(ISBLANK('Aqueous Species Options'!F102), "", 'Aqueous Species Options'!F102)</f>
        <v>13.8</v>
      </c>
      <c r="G102" s="29">
        <f>IF(ISBLANK('Aqueous Species Options'!B102), "", IF('Aqueous Species Options'!L102 = 1, IF(ISBLANK('Aqueous Species Options'!G102), "", 'Aqueous Species Options'!G102), ('Aqueous Species Table'!I102/10 + ('Aqueous Species Table'!J102*100)/(Calculations!$C$12+Calculations!$C$9) + ('Aqueous Species Table'!K102 + ('Aqueous Species Table'!L102*10000)/(Calculations!$C$12+Calculations!$C$9))*(1/(Calculations!$C$8-Calculations!$C$13)) - 'Aqueous Species Table'!O102*100000*0.0000005903)*41.8393))</f>
        <v>25.199980771681883</v>
      </c>
      <c r="H102" s="29">
        <f>IF(ISBLANK('Aqueous Species Options'!B102), "", IF('Aqueous Species Options'!L102 = 1, IF(ISBLANK('Aqueous Species Options'!H102), "", 'Aqueous Species Options'!H102), 'Aqueous Species Table'!M102 + 'Aqueous Species Table'!N102*10000*(1/(Calculations!$C$8-Calculations!$C$13))^2 + 'Aqueous Species Table'!O102*100000*Calculations!$C$8*Calculations!$C$7))</f>
        <v>39.90005764948679</v>
      </c>
      <c r="I102" s="42">
        <f>IF(ISBLANK('Aqueous Species Options'!B102), "", IF('Aqueous Species Options'!L102=0, 'Aqueous Species Options'!N102, IF(OR(ISBLANK('Aqueous Species Options'!G102),'Aqueous Species Table'!O102="", 'Aqueous Species Table'!P102=""), "", IF('Aqueous Species Options'!B102="H+", 0, (CHOOSE('Aqueous Species Options'!M102+1,'Aqueous Species Options'!$V$4*ABS('Aqueous Species Table'!P102)+'Aqueous Species Options'!$W$4,'Aqueous Species Options'!$Z$4)*('Aqueous Species Options'!G102 + 'Aqueous Species Table'!O102*100000*0.0000005903*41.8393) + CHOOSE('Aqueous Species Options'!M102+1,'Aqueous Species Options'!$X$4*ABS('Aqueous Species Table'!P102)+'Aqueous Species Options'!$Y$4,'Aqueous Species Options'!$AA$4))*10 ) ) ) )</f>
        <v>5.1426999999999996</v>
      </c>
      <c r="J102" s="42">
        <f>IF(ISBLANK('Aqueous Species Options'!B102), "", IF('Aqueous Species Options'!L102 = 0, 'Aqueous Species Options'!O102, IF('Aqueous Species Table'!I102="", "", IF('Aqueous Species Options'!B102="H+", 0, ((1.11*('Aqueous Species Options'!G102 + 'Aqueous Species Table'!O102*100000*0.0000005903*41.8393)+1.8)/41.8393 - 'Aqueous Species Table'!I102/10)*26.01 ) ) ) )</f>
        <v>4.7758000000000003</v>
      </c>
      <c r="K102" s="42">
        <f>IF(ISBLANK('Aqueous Species Options'!B102), "", IF('Aqueous Species Options'!L102 = 0, 'Aqueous Species Options'!P102, IF('Aqueous Species Table'!I102="", "", IF('Aqueous Species Options'!B102="H+", 0, ('Aqueous Species Options'!G102/41.8393 + 'Aqueous Species Table'!O102*100000*0.0000005903 - 'Aqueous Species Table'!I102/10 - 'Aqueous Species Table'!J102*100/2601)*(298.15-228) - ('Aqueous Species Table'!L102*10000/2601) ) ) ) )</f>
        <v>3.8729</v>
      </c>
      <c r="L102" s="42">
        <f>IF(ISBLANK('Aqueous Species Options'!B102), "", IF('Aqueous Species Options'!L102 = 0, 'Aqueous Species Options'!Q102, IF('Aqueous Species Table'!J102="", "", IF('Aqueous Species Options'!B102="H+", 0, (-4.134*'Aqueous Species Table'!J102*100 - 27790)*0.0001) ) ) )</f>
        <v>-2.9763999999999999</v>
      </c>
      <c r="M102" s="42">
        <f>IF(ISBLANK('Aqueous Species Options'!B102), "", IF('Aqueous Species Options'!L102=0, 'Aqueous Species Options'!R102, IF('Aqueous Species Table'!N102="", "", IF('Aqueous Species Options'!B102="H+", 0, 'Aqueous Species Options'!H102 - 'Aqueous Species Table'!O102*100000*(-0.000000309)*298.15 - 'Aqueous Species Table'!N102*10000/(298.15-228)^2 ) ) ) )</f>
        <v>27.6251</v>
      </c>
      <c r="N102" s="42">
        <f>IF(ISBLANK('Aqueous Species Options'!B102), "", IF('Aqueous Species Options'!L102=0, 'Aqueous Species Options'!S102, IF(OR(ISBLANK('Aqueous Species Options'!H102), 'Aqueous Species Table'!O102=""), "", IF('Aqueous Species Options'!B102="H+", 0, 0.2037*'Aqueous Species Options'!H102 - 3.0346) ) ) )</f>
        <v>5.093</v>
      </c>
      <c r="O102" s="42">
        <f>IF(ISBLANK('Aqueous Species Options'!B102), "", IF('Aqueous Species Options'!K102=0, 'Aqueous Species Options'!I102, IF(OR('Aqueous Species Options'!J102&gt;4,'Aqueous Species Options'!J102&lt;-4), "", IF('Aqueous Species Options'!B102="H+", 0, IF('Aqueous Species Options'!J102=0, -0.038, IF(ISBLANK('Aqueous Species Options'!F102), "", -1514.4*'Aqueous Species Options'!F102*0.00001 + SUM(({4,3,2,1,-1,-2,-3,-4}='Aqueous Species Options'!J102)*{2.1764,1.5793,1.0579,0.5517,1.6291,3.2127,4.8115,6.486}) ) ) ) ) ) )</f>
        <v>-0.20899999999999999</v>
      </c>
      <c r="P102" s="1">
        <f>IF(ISBLANK('Aqueous Species Options'!J102), "", 'Aqueous Species Options'!J102)</f>
        <v>0</v>
      </c>
      <c r="Q102" s="184" t="str">
        <f>IF(ISBLANK('Aqueous Species Options'!T102), "", 'Aqueous Species Options'!T102)</f>
        <v>Shock et al. (1989)</v>
      </c>
    </row>
    <row r="103" spans="2:17" ht="15" customHeight="1" x14ac:dyDescent="0.2">
      <c r="B103" s="9" t="str">
        <f>IF(ISBLANK('Aqueous Species Options'!B103), "", 'Aqueous Species Options'!B103)</f>
        <v>H2AsO3-</v>
      </c>
      <c r="C103" s="9" t="str">
        <f>IF(ISBLANK('Aqueous Species Options'!C103), "", 'Aqueous Species Options'!C103)</f>
        <v>H2AsO3(-)</v>
      </c>
      <c r="D103" s="2">
        <f>IF(ISBLANK('Aqueous Species Options'!D103), "", 'Aqueous Species Options'!D103)</f>
        <v>-140330</v>
      </c>
      <c r="E103" s="1">
        <f>IF(ISBLANK('Aqueous Species Options'!E103), "", 'Aqueous Species Options'!E103)</f>
        <v>-170840</v>
      </c>
      <c r="F103" s="139">
        <f>IF(ISBLANK('Aqueous Species Options'!F103), "", 'Aqueous Species Options'!F103)</f>
        <v>26.4</v>
      </c>
      <c r="G103" s="29">
        <f>IF(ISBLANK('Aqueous Species Options'!B103), "", IF('Aqueous Species Options'!L103 = 1, IF(ISBLANK('Aqueous Species Options'!G103), "", 'Aqueous Species Options'!G103), ('Aqueous Species Table'!I103/10 + ('Aqueous Species Table'!J103*100)/(Calculations!$C$12+Calculations!$C$9) + ('Aqueous Species Table'!K103 + ('Aqueous Species Table'!L103*10000)/(Calculations!$C$12+Calculations!$C$9))*(1/(Calculations!$C$8-Calculations!$C$13)) - 'Aqueous Species Table'!O103*100000*0.0000005903)*41.8393))</f>
        <v>26.399881711344126</v>
      </c>
      <c r="H103" s="29">
        <f>IF(ISBLANK('Aqueous Species Options'!B103), "", IF('Aqueous Species Options'!L103 = 1, IF(ISBLANK('Aqueous Species Options'!H103), "", 'Aqueous Species Options'!H103), 'Aqueous Species Table'!M103 + 'Aqueous Species Table'!N103*10000*(1/(Calculations!$C$8-Calculations!$C$13))^2 + 'Aqueous Species Table'!O103*100000*Calculations!$C$8*Calculations!$C$7))</f>
        <v>-2.9001583614829087</v>
      </c>
      <c r="I103" s="42">
        <f>IF(ISBLANK('Aqueous Species Options'!B103), "", IF('Aqueous Species Options'!L103=0, 'Aqueous Species Options'!N103, IF(OR(ISBLANK('Aqueous Species Options'!G103),'Aqueous Species Table'!O103="", 'Aqueous Species Table'!P103=""), "", IF('Aqueous Species Options'!B103="H+", 0, (CHOOSE('Aqueous Species Options'!M103+1,'Aqueous Species Options'!$V$4*ABS('Aqueous Species Table'!P103)+'Aqueous Species Options'!$W$4,'Aqueous Species Options'!$Z$4)*('Aqueous Species Options'!G103 + 'Aqueous Species Table'!O103*100000*0.0000005903*41.8393) + CHOOSE('Aqueous Species Options'!M103+1,'Aqueous Species Options'!$X$4*ABS('Aqueous Species Table'!P103)+'Aqueous Species Options'!$Y$4,'Aqueous Species Options'!$AA$4))*10 ) ) ) )</f>
        <v>7.2377362401525875</v>
      </c>
      <c r="J103" s="42">
        <f>IF(ISBLANK('Aqueous Species Options'!B103), "", IF('Aqueous Species Options'!L103 = 0, 'Aqueous Species Options'!O103, IF('Aqueous Species Table'!I103="", "", IF('Aqueous Species Options'!B103="H+", 0, ((1.11*('Aqueous Species Options'!G103 + 'Aqueous Species Table'!O103*100000*0.0000005903*41.8393)+1.8)/41.8393 - 'Aqueous Species Table'!I103/10)*26.01 ) ) ) )</f>
        <v>2.6079066370318795</v>
      </c>
      <c r="K103" s="42">
        <f>IF(ISBLANK('Aqueous Species Options'!B103), "", IF('Aqueous Species Options'!L103 = 0, 'Aqueous Species Options'!P103, IF('Aqueous Species Table'!I103="", "", IF('Aqueous Species Options'!B103="H+", 0, ('Aqueous Species Options'!G103/41.8393 + 'Aqueous Species Table'!O103*100000*0.0000005903 - 'Aqueous Species Table'!I103/10 - 'Aqueous Species Table'!J103*100/2601)*(298.15-228) - ('Aqueous Species Table'!L103*10000/2601) ) ) ) )</f>
        <v>2.6513957485976949</v>
      </c>
      <c r="L103" s="42">
        <f>IF(ISBLANK('Aqueous Species Options'!B103), "", IF('Aqueous Species Options'!L103 = 0, 'Aqueous Species Options'!Q103, IF('Aqueous Species Table'!J103="", "", IF('Aqueous Species Options'!B103="H+", 0, (-4.134*'Aqueous Species Table'!J103*100 - 27790)*0.0001) ) ) )</f>
        <v>-2.8868108603748981</v>
      </c>
      <c r="M103" s="42">
        <f>IF(ISBLANK('Aqueous Species Options'!B103), "", IF('Aqueous Species Options'!L103=0, 'Aqueous Species Options'!R103, IF('Aqueous Species Table'!N103="", "", IF('Aqueous Species Options'!B103="H+", 0, 'Aqueous Species Options'!H103 - 'Aqueous Species Table'!O103*100000*(-0.000000309)*298.15 - 'Aqueous Species Table'!N103*10000/(298.15-228)^2 ) ) ) )</f>
        <v>15.803326514833184</v>
      </c>
      <c r="N103" s="42">
        <f>IF(ISBLANK('Aqueous Species Options'!B103), "", IF('Aqueous Species Options'!L103=0, 'Aqueous Species Options'!S103, IF(OR(ISBLANK('Aqueous Species Options'!H103), 'Aqueous Species Table'!O103=""), "", IF('Aqueous Species Options'!B103="H+", 0, 0.2037*'Aqueous Species Options'!H103 - 3.0346) ) ) )</f>
        <v>-3.6253622582340688</v>
      </c>
      <c r="O103" s="42">
        <f>IF(ISBLANK('Aqueous Species Options'!B103), "", IF('Aqueous Species Options'!K103=0, 'Aqueous Species Options'!I103, IF(OR('Aqueous Species Options'!J103&gt;4,'Aqueous Species Options'!J103&lt;-4), "", IF('Aqueous Species Options'!B103="H+", 0, IF('Aqueous Species Options'!J103=0, -0.038, IF(ISBLANK('Aqueous Species Options'!F103), "", -1514.4*'Aqueous Species Options'!F103*0.00001 + SUM(({4,3,2,1,-1,-2,-3,-4}='Aqueous Species Options'!J103)*{2.1764,1.5793,1.0579,0.5517,1.6291,3.2127,4.8115,6.486}) ) ) ) ) ) )</f>
        <v>1.2304999999999999</v>
      </c>
      <c r="P103" s="1">
        <f>IF(ISBLANK('Aqueous Species Options'!J103), "", 'Aqueous Species Options'!J103)</f>
        <v>-1</v>
      </c>
      <c r="Q103" s="184" t="str">
        <f>IF(ISBLANK('Aqueous Species Options'!T103), "", 'Aqueous Species Options'!T103)</f>
        <v>Shock et al. (1997) revised with new predicted a1 for complex species</v>
      </c>
    </row>
    <row r="104" spans="2:17" ht="15" customHeight="1" x14ac:dyDescent="0.2">
      <c r="B104" s="9" t="str">
        <f>IF(ISBLANK('Aqueous Species Options'!B104), "", 'Aqueous Species Options'!B104)</f>
        <v>H2AsO4-</v>
      </c>
      <c r="C104" s="9" t="str">
        <f>IF(ISBLANK('Aqueous Species Options'!C104), "", 'Aqueous Species Options'!C104)</f>
        <v>H2AsO4(-)</v>
      </c>
      <c r="D104" s="2">
        <f>IF(ISBLANK('Aqueous Species Options'!D104), "", 'Aqueous Species Options'!D104)</f>
        <v>-180010</v>
      </c>
      <c r="E104" s="1">
        <f>IF(ISBLANK('Aqueous Species Options'!E104), "", 'Aqueous Species Options'!E104)</f>
        <v>-217390</v>
      </c>
      <c r="F104" s="139">
        <f>IF(ISBLANK('Aqueous Species Options'!F104), "", 'Aqueous Species Options'!F104)</f>
        <v>28</v>
      </c>
      <c r="G104" s="29">
        <f>IF(ISBLANK('Aqueous Species Options'!B104), "", IF('Aqueous Species Options'!L104 = 1, IF(ISBLANK('Aqueous Species Options'!G104), "", 'Aqueous Species Options'!G104), ('Aqueous Species Table'!I104/10 + ('Aqueous Species Table'!J104*100)/(Calculations!$C$12+Calculations!$C$9) + ('Aqueous Species Table'!K104 + ('Aqueous Species Table'!L104*10000)/(Calculations!$C$12+Calculations!$C$9))*(1/(Calculations!$C$8-Calculations!$C$13)) - 'Aqueous Species Table'!O104*100000*0.0000005903)*41.8393))</f>
        <v>35.100100834909682</v>
      </c>
      <c r="H104" s="29">
        <f>IF(ISBLANK('Aqueous Species Options'!B104), "", IF('Aqueous Species Options'!L104 = 1, IF(ISBLANK('Aqueous Species Options'!H104), "", 'Aqueous Species Options'!H104), 'Aqueous Species Table'!M104 + 'Aqueous Species Table'!N104*10000*(1/(Calculations!$C$8-Calculations!$C$13))^2 + 'Aqueous Species Table'!O104*100000*Calculations!$C$8*Calculations!$C$7))</f>
        <v>-0.70025437088040832</v>
      </c>
      <c r="I104" s="42">
        <f>IF(ISBLANK('Aqueous Species Options'!B104), "", IF('Aqueous Species Options'!L104=0, 'Aqueous Species Options'!N104, IF(OR(ISBLANK('Aqueous Species Options'!G104),'Aqueous Species Table'!O104="", 'Aqueous Species Table'!P104=""), "", IF('Aqueous Species Options'!B104="H+", 0, (CHOOSE('Aqueous Species Options'!M104+1,'Aqueous Species Options'!$V$4*ABS('Aqueous Species Table'!P104)+'Aqueous Species Options'!$W$4,'Aqueous Species Options'!$Z$4)*('Aqueous Species Options'!G104 + 'Aqueous Species Table'!O104*100000*0.0000005903*41.8393) + CHOOSE('Aqueous Species Options'!M104+1,'Aqueous Species Options'!$X$4*ABS('Aqueous Species Table'!P104)+'Aqueous Species Options'!$Y$4,'Aqueous Species Options'!$AA$4))*10 ) ) ) )</f>
        <v>8.915414426514241</v>
      </c>
      <c r="J104" s="42">
        <f>IF(ISBLANK('Aqueous Species Options'!B104), "", IF('Aqueous Species Options'!L104 = 0, 'Aqueous Species Options'!O104, IF('Aqueous Species Table'!I104="", "", IF('Aqueous Species Options'!B104="H+", 0, ((1.11*('Aqueous Species Options'!G104 + 'Aqueous Species Table'!O104*100000*0.0000005903*41.8393)+1.8)/41.8393 - 'Aqueous Species Table'!I104/10)*26.01 ) ) ) )</f>
        <v>4.2052226961106403</v>
      </c>
      <c r="K104" s="42">
        <f>IF(ISBLANK('Aqueous Species Options'!B104), "", IF('Aqueous Species Options'!L104 = 0, 'Aqueous Species Options'!P104, IF('Aqueous Species Table'!I104="", "", IF('Aqueous Species Options'!B104="H+", 0, ('Aqueous Species Options'!G104/41.8393 + 'Aqueous Species Table'!O104*100000*0.0000005903 - 'Aqueous Species Table'!I104/10 - 'Aqueous Species Table'!J104*100/2601)*(298.15-228) - ('Aqueous Species Table'!L104*10000/2601) ) ) ) )</f>
        <v>1.3120613704193662</v>
      </c>
      <c r="L104" s="42">
        <f>IF(ISBLANK('Aqueous Species Options'!B104), "", IF('Aqueous Species Options'!L104 = 0, 'Aqueous Species Options'!Q104, IF('Aqueous Species Table'!J104="", "", IF('Aqueous Species Options'!B104="H+", 0, (-4.134*'Aqueous Species Table'!J104*100 - 27790)*0.0001) ) ) )</f>
        <v>-2.9528439062572138</v>
      </c>
      <c r="M104" s="42">
        <f>IF(ISBLANK('Aqueous Species Options'!B104), "", IF('Aqueous Species Options'!L104=0, 'Aqueous Species Options'!R104, IF('Aqueous Species Table'!N104="", "", IF('Aqueous Species Options'!B104="H+", 0, 'Aqueous Species Options'!H104 - 'Aqueous Species Table'!O104*100000*(-0.000000309)*298.15 - 'Aqueous Species Table'!N104*10000/(298.15-228)^2 ) ) ) )</f>
        <v>16.862284972885902</v>
      </c>
      <c r="N104" s="42">
        <f>IF(ISBLANK('Aqueous Species Options'!B104), "", IF('Aqueous Species Options'!L104=0, 'Aqueous Species Options'!S104, IF(OR(ISBLANK('Aqueous Species Options'!H104), 'Aqueous Species Table'!O104=""), "", IF('Aqueous Species Options'!B104="H+", 0, 0.2037*'Aqueous Species Options'!H104 - 3.0346) ) ) )</f>
        <v>-3.1772418153483395</v>
      </c>
      <c r="O104" s="42">
        <f>IF(ISBLANK('Aqueous Species Options'!B104), "", IF('Aqueous Species Options'!K104=0, 'Aqueous Species Options'!I104, IF(OR('Aqueous Species Options'!J104&gt;4,'Aqueous Species Options'!J104&lt;-4), "", IF('Aqueous Species Options'!B104="H+", 0, IF('Aqueous Species Options'!J104=0, -0.038, IF(ISBLANK('Aqueous Species Options'!F104), "", -1514.4*'Aqueous Species Options'!F104*0.00001 + SUM(({4,3,2,1,-1,-2,-3,-4}='Aqueous Species Options'!J104)*{2.1764,1.5793,1.0579,0.5517,1.6291,3.2127,4.8115,6.486}) ) ) ) ) ) )</f>
        <v>1.2055</v>
      </c>
      <c r="P104" s="1">
        <f>IF(ISBLANK('Aqueous Species Options'!J104), "", 'Aqueous Species Options'!J104)</f>
        <v>-1</v>
      </c>
      <c r="Q104" s="184" t="str">
        <f>IF(ISBLANK('Aqueous Species Options'!T104), "", 'Aqueous Species Options'!T104)</f>
        <v>Shock et al. (1997) revised with new predicted a1 for complex species</v>
      </c>
    </row>
    <row r="105" spans="2:17" ht="15" customHeight="1" x14ac:dyDescent="0.2">
      <c r="B105" s="9" t="str">
        <f>IF(ISBLANK('Aqueous Species Options'!B105), "", 'Aqueous Species Options'!B105)</f>
        <v>H2CO3,aq</v>
      </c>
      <c r="C105" s="9" t="str">
        <f>IF(ISBLANK('Aqueous Species Options'!C105), "", 'Aqueous Species Options'!C105)</f>
        <v/>
      </c>
      <c r="D105" s="2">
        <f>IF(ISBLANK('Aqueous Species Options'!D105), "", 'Aqueous Species Options'!D105)</f>
        <v>-145400</v>
      </c>
      <c r="E105" s="1">
        <f>IF(ISBLANK('Aqueous Species Options'!E105), "", 'Aqueous Species Options'!E105)</f>
        <v>-164229</v>
      </c>
      <c r="F105" s="139">
        <f>IF(ISBLANK('Aqueous Species Options'!F105), "", 'Aqueous Species Options'!F105)</f>
        <v>43</v>
      </c>
      <c r="G105" s="29">
        <f>IF(ISBLANK('Aqueous Species Options'!B105), "", IF('Aqueous Species Options'!L105 = 1, IF(ISBLANK('Aqueous Species Options'!G105), "", 'Aqueous Species Options'!G105), ('Aqueous Species Table'!I105/10 + ('Aqueous Species Table'!J105*100)/(Calculations!$C$12+Calculations!$C$9) + ('Aqueous Species Table'!K105 + ('Aqueous Species Table'!L105*10000)/(Calculations!$C$12+Calculations!$C$9))*(1/(Calculations!$C$8-Calculations!$C$13)) - 'Aqueous Species Table'!O105*100000*0.0000005903)*41.8393))</f>
        <v>46</v>
      </c>
      <c r="H105" s="29">
        <f>IF(ISBLANK('Aqueous Species Options'!B105), "", IF('Aqueous Species Options'!L105 = 1, IF(ISBLANK('Aqueous Species Options'!H105), "", 'Aqueous Species Options'!H105), 'Aqueous Species Table'!M105 + 'Aqueous Species Table'!N105*10000*(1/(Calculations!$C$8-Calculations!$C$13))^2 + 'Aqueous Species Table'!O105*100000*Calculations!$C$8*Calculations!$C$7))</f>
        <v>86.5</v>
      </c>
      <c r="I105" s="42">
        <f>IF(ISBLANK('Aqueous Species Options'!B105), "", IF('Aqueous Species Options'!L105=0, 'Aqueous Species Options'!N105, IF(OR(ISBLANK('Aqueous Species Options'!G105),'Aqueous Species Table'!O105="", 'Aqueous Species Table'!P105=""), "", IF('Aqueous Species Options'!B105="H+", 0, (CHOOSE('Aqueous Species Options'!M105+1,'Aqueous Species Options'!$V$4*ABS('Aqueous Species Table'!P105)+'Aqueous Species Options'!$W$4,'Aqueous Species Options'!$Z$4)*('Aqueous Species Options'!G105 + 'Aqueous Species Table'!O105*100000*0.0000005903*41.8393) + CHOOSE('Aqueous Species Options'!M105+1,'Aqueous Species Options'!$X$4*ABS('Aqueous Species Table'!P105)+'Aqueous Species Options'!$Y$4,'Aqueous Species Options'!$AA$4))*10 ) ) ) )</f>
        <v>10.310163564487823</v>
      </c>
      <c r="J105" s="42">
        <f>IF(ISBLANK('Aqueous Species Options'!B105), "", IF('Aqueous Species Options'!L105 = 0, 'Aqueous Species Options'!O105, IF('Aqueous Species Table'!I105="", "", IF('Aqueous Species Options'!B105="H+", 0, ((1.11*('Aqueous Species Options'!G105 + 'Aqueous Species Table'!O105*100000*0.0000005903*41.8393)+1.8)/41.8393 - 'Aqueous Species Table'!I105/10)*26.01 ) ) ) )</f>
        <v>5.5331622345646618</v>
      </c>
      <c r="K105" s="42">
        <f>IF(ISBLANK('Aqueous Species Options'!B105), "", IF('Aqueous Species Options'!L105 = 0, 'Aqueous Species Options'!P105, IF('Aqueous Species Table'!I105="", "", IF('Aqueous Species Options'!B105="H+", 0, ('Aqueous Species Options'!G105/41.8393 + 'Aqueous Species Table'!O105*100000*0.0000005903 - 'Aqueous Species Table'!I105/10 - 'Aqueous Species Table'!J105*100/2601)*(298.15-228) - ('Aqueous Species Table'!L105*10000/2601) ) ) ) )</f>
        <v>0.19859665197192378</v>
      </c>
      <c r="L105" s="42">
        <f>IF(ISBLANK('Aqueous Species Options'!B105), "", IF('Aqueous Species Options'!L105 = 0, 'Aqueous Species Options'!Q105, IF('Aqueous Species Table'!J105="", "", IF('Aqueous Species Options'!B105="H+", 0, (-4.134*'Aqueous Species Table'!J105*100 - 27790)*0.0001) ) ) )</f>
        <v>-3.0077409267769033</v>
      </c>
      <c r="M105" s="42">
        <f>IF(ISBLANK('Aqueous Species Options'!B105), "", IF('Aqueous Species Options'!L105=0, 'Aqueous Species Options'!R105, IF('Aqueous Species Table'!N105="", "", IF('Aqueous Species Options'!B105="H+", 0, 'Aqueous Species Options'!H105 - 'Aqueous Species Table'!O105*100000*(-0.000000309)*298.15 - 'Aqueous Species Table'!N105*10000/(298.15-228)^2 ) ) ) )</f>
        <v>54.09708566722945</v>
      </c>
      <c r="N105" s="42">
        <f>IF(ISBLANK('Aqueous Species Options'!B105), "", IF('Aqueous Species Options'!L105=0, 'Aqueous Species Options'!S105, IF(OR(ISBLANK('Aqueous Species Options'!H105), 'Aqueous Species Table'!O105=""), "", IF('Aqueous Species Options'!B105="H+", 0, 0.2037*'Aqueous Species Options'!H105 - 3.0346) ) ) )</f>
        <v>14.585449999999998</v>
      </c>
      <c r="O105" s="42">
        <f>IF(ISBLANK('Aqueous Species Options'!B105), "", IF('Aqueous Species Options'!K105=0, 'Aqueous Species Options'!I105, IF(OR('Aqueous Species Options'!J105&gt;4,'Aqueous Species Options'!J105&lt;-4), "", IF('Aqueous Species Options'!B105="H+", 0, IF('Aqueous Species Options'!J105=0, -0.038, IF(ISBLANK('Aqueous Species Options'!F105), "", -1514.4*'Aqueous Species Options'!F105*0.00001 + SUM(({4,3,2,1,-1,-2,-3,-4}='Aqueous Species Options'!J105)*{2.1764,1.5793,1.0579,0.5517,1.6291,3.2127,4.8115,6.486}) ) ) ) ) ) )</f>
        <v>-0.3</v>
      </c>
      <c r="P105" s="1">
        <f>IF(ISBLANK('Aqueous Species Options'!J105), "", 'Aqueous Species Options'!J105)</f>
        <v>0</v>
      </c>
      <c r="Q105" s="184" t="str">
        <f>IF(ISBLANK('Aqueous Species Options'!T105), "", 'Aqueous Species Options'!T105)</f>
        <v>Huang &amp; Sverjensky (2019)</v>
      </c>
    </row>
    <row r="106" spans="2:17" ht="15" customHeight="1" x14ac:dyDescent="0.2">
      <c r="B106" s="9" t="str">
        <f>IF(ISBLANK('Aqueous Species Options'!B106), "", 'Aqueous Species Options'!B106)</f>
        <v>H2P2O7-2</v>
      </c>
      <c r="C106" s="9" t="str">
        <f>IF(ISBLANK('Aqueous Species Options'!C106), "", 'Aqueous Species Options'!C106)</f>
        <v>H2P2O7(-2)</v>
      </c>
      <c r="D106" s="2">
        <f>IF(ISBLANK('Aqueous Species Options'!D106), "", 'Aqueous Species Options'!D106)</f>
        <v>-480400</v>
      </c>
      <c r="E106" s="1">
        <f>IF(ISBLANK('Aqueous Species Options'!E106), "", 'Aqueous Species Options'!E106)</f>
        <v>-544600</v>
      </c>
      <c r="F106" s="139">
        <f>IF(ISBLANK('Aqueous Species Options'!F106), "", 'Aqueous Species Options'!F106)</f>
        <v>39</v>
      </c>
      <c r="G106" s="29">
        <f>IF(ISBLANK('Aqueous Species Options'!B106), "", IF('Aqueous Species Options'!L106 = 1, IF(ISBLANK('Aqueous Species Options'!G106), "", 'Aqueous Species Options'!G106), ('Aqueous Species Table'!I106/10 + ('Aqueous Species Table'!J106*100)/(Calculations!$C$12+Calculations!$C$9) + ('Aqueous Species Table'!K106 + ('Aqueous Species Table'!L106*10000)/(Calculations!$C$12+Calculations!$C$9))*(1/(Calculations!$C$8-Calculations!$C$13)) - 'Aqueous Species Table'!O106*100000*0.0000005903)*41.8393))</f>
        <v>52.400027441768785</v>
      </c>
      <c r="H106" s="29">
        <f>IF(ISBLANK('Aqueous Species Options'!B106), "", IF('Aqueous Species Options'!L106 = 1, IF(ISBLANK('Aqueous Species Options'!H106), "", 'Aqueous Species Options'!H106), 'Aqueous Species Table'!M106 + 'Aqueous Species Table'!N106*10000*(1/(Calculations!$C$8-Calculations!$C$13))^2 + 'Aqueous Species Table'!O106*100000*Calculations!$C$8*Calculations!$C$7))</f>
        <v>-20.299643862440398</v>
      </c>
      <c r="I106" s="42">
        <f>IF(ISBLANK('Aqueous Species Options'!B106), "", IF('Aqueous Species Options'!L106=0, 'Aqueous Species Options'!N106, IF(OR(ISBLANK('Aqueous Species Options'!G106),'Aqueous Species Table'!O106="", 'Aqueous Species Table'!P106=""), "", IF('Aqueous Species Options'!B106="H+", 0, (CHOOSE('Aqueous Species Options'!M106+1,'Aqueous Species Options'!$V$4*ABS('Aqueous Species Table'!P106)+'Aqueous Species Options'!$W$4,'Aqueous Species Options'!$Z$4)*('Aqueous Species Options'!G106 + 'Aqueous Species Table'!O106*100000*0.0000005903*41.8393) + CHOOSE('Aqueous Species Options'!M106+1,'Aqueous Species Options'!$X$4*ABS('Aqueous Species Table'!P106)+'Aqueous Species Options'!$Y$4,'Aqueous Species Options'!$AA$4))*10 ) ) ) )</f>
        <v>12.954568244885333</v>
      </c>
      <c r="J106" s="42">
        <f>IF(ISBLANK('Aqueous Species Options'!B106), "", IF('Aqueous Species Options'!L106 = 0, 'Aqueous Species Options'!O106, IF('Aqueous Species Table'!I106="", "", IF('Aqueous Species Options'!B106="H+", 0, ((1.11*('Aqueous Species Options'!G106 + 'Aqueous Species Table'!O106*100000*0.0000005903*41.8393)+1.8)/41.8393 - 'Aqueous Species Table'!I106/10)*26.01 ) ) ) )</f>
        <v>8.0508978152259338</v>
      </c>
      <c r="K106" s="42">
        <f>IF(ISBLANK('Aqueous Species Options'!B106), "", IF('Aqueous Species Options'!L106 = 0, 'Aqueous Species Options'!P106, IF('Aqueous Species Table'!I106="", "", IF('Aqueous Species Options'!B106="H+", 0, ('Aqueous Species Options'!G106/41.8393 + 'Aqueous Species Table'!O106*100000*0.0000005903 - 'Aqueous Species Table'!I106/10 - 'Aqueous Species Table'!J106*100/2601)*(298.15-228) - ('Aqueous Species Table'!L106*10000/2601) ) ) ) )</f>
        <v>-1.9125007724709686</v>
      </c>
      <c r="L106" s="42">
        <f>IF(ISBLANK('Aqueous Species Options'!B106), "", IF('Aqueous Species Options'!L106 = 0, 'Aqueous Species Options'!Q106, IF('Aqueous Species Table'!J106="", "", IF('Aqueous Species Options'!B106="H+", 0, (-4.134*'Aqueous Species Table'!J106*100 - 27790)*0.0001) ) ) )</f>
        <v>-3.1118241156814404</v>
      </c>
      <c r="M106" s="42">
        <f>IF(ISBLANK('Aqueous Species Options'!B106), "", IF('Aqueous Species Options'!L106=0, 'Aqueous Species Options'!R106, IF('Aqueous Species Table'!N106="", "", IF('Aqueous Species Options'!B106="H+", 0, 'Aqueous Species Options'!H106 - 'Aqueous Species Table'!O106*100000*(-0.000000309)*298.15 - 'Aqueous Species Table'!N106*10000/(298.15-228)^2 ) ) ) )</f>
        <v>18.423972901981472</v>
      </c>
      <c r="N106" s="42">
        <f>IF(ISBLANK('Aqueous Species Options'!B106), "", IF('Aqueous Species Options'!L106=0, 'Aqueous Species Options'!S106, IF(OR(ISBLANK('Aqueous Species Options'!H106), 'Aqueous Species Table'!O106=""), "", IF('Aqueous Species Options'!B106="H+", 0, 0.2037*'Aqueous Species Options'!H106 - 3.0346) ) ) )</f>
        <v>-7.1696374547791093</v>
      </c>
      <c r="O106" s="42">
        <f>IF(ISBLANK('Aqueous Species Options'!B106), "", IF('Aqueous Species Options'!K106=0, 'Aqueous Species Options'!I106, IF(OR('Aqueous Species Options'!J106&gt;4,'Aqueous Species Options'!J106&lt;-4), "", IF('Aqueous Species Options'!B106="H+", 0, IF('Aqueous Species Options'!J106=0, -0.038, IF(ISBLANK('Aqueous Species Options'!F106), "", -1514.4*'Aqueous Species Options'!F106*0.00001 + SUM(({4,3,2,1,-1,-2,-3,-4}='Aqueous Species Options'!J106)*{2.1764,1.5793,1.0579,0.5517,1.6291,3.2127,4.8115,6.486}) ) ) ) ) ) )</f>
        <v>2.6217999999999999</v>
      </c>
      <c r="P106" s="1">
        <f>IF(ISBLANK('Aqueous Species Options'!J106), "", 'Aqueous Species Options'!J106)</f>
        <v>-2</v>
      </c>
      <c r="Q106" s="184" t="str">
        <f>IF(ISBLANK('Aqueous Species Options'!T106), "", 'Aqueous Species Options'!T106)</f>
        <v>Shock et al. (1997) revised with new predicted a1 for complex species</v>
      </c>
    </row>
    <row r="107" spans="2:17" ht="15" customHeight="1" x14ac:dyDescent="0.2">
      <c r="B107" s="9" t="str">
        <f>IF(ISBLANK('Aqueous Species Options'!B107), "", 'Aqueous Species Options'!B107)</f>
        <v>H2PO4-</v>
      </c>
      <c r="C107" s="9" t="str">
        <f>IF(ISBLANK('Aqueous Species Options'!C107), "", 'Aqueous Species Options'!C107)</f>
        <v>H2PO4(-)</v>
      </c>
      <c r="D107" s="2">
        <f>IF(ISBLANK('Aqueous Species Options'!D107), "", 'Aqueous Species Options'!D107)</f>
        <v>-270140</v>
      </c>
      <c r="E107" s="1">
        <f>IF(ISBLANK('Aqueous Species Options'!E107), "", 'Aqueous Species Options'!E107)</f>
        <v>-309820</v>
      </c>
      <c r="F107" s="139">
        <f>IF(ISBLANK('Aqueous Species Options'!F107), "", 'Aqueous Species Options'!F107)</f>
        <v>21.6</v>
      </c>
      <c r="G107" s="29">
        <f>IF(ISBLANK('Aqueous Species Options'!B107), "", IF('Aqueous Species Options'!L107 = 1, IF(ISBLANK('Aqueous Species Options'!G107), "", 'Aqueous Species Options'!G107), ('Aqueous Species Table'!I107/10 + ('Aqueous Species Table'!J107*100)/(Calculations!$C$12+Calculations!$C$9) + ('Aqueous Species Table'!K107 + ('Aqueous Species Table'!L107*10000)/(Calculations!$C$12+Calculations!$C$9))*(1/(Calculations!$C$8-Calculations!$C$13)) - 'Aqueous Species Table'!O107*100000*0.0000005903)*41.8393))</f>
        <v>31.299704419202733</v>
      </c>
      <c r="H107" s="29">
        <f>IF(ISBLANK('Aqueous Species Options'!B107), "", IF('Aqueous Species Options'!L107 = 1, IF(ISBLANK('Aqueous Species Options'!H107), "", 'Aqueous Species Options'!H107), 'Aqueous Species Table'!M107 + 'Aqueous Species Table'!N107*10000*(1/(Calculations!$C$8-Calculations!$C$13))^2 + 'Aqueous Species Table'!O107*100000*Calculations!$C$8*Calculations!$C$7))</f>
        <v>-7.0001224974425362</v>
      </c>
      <c r="I107" s="42">
        <f>IF(ISBLANK('Aqueous Species Options'!B107), "", IF('Aqueous Species Options'!L107=0, 'Aqueous Species Options'!N107, IF(OR(ISBLANK('Aqueous Species Options'!G107),'Aqueous Species Table'!O107="", 'Aqueous Species Table'!P107=""), "", IF('Aqueous Species Options'!B107="H+", 0, (CHOOSE('Aqueous Species Options'!M107+1,'Aqueous Species Options'!$V$4*ABS('Aqueous Species Table'!P107)+'Aqueous Species Options'!$W$4,'Aqueous Species Options'!$Z$4)*('Aqueous Species Options'!G107 + 'Aqueous Species Table'!O107*100000*0.0000005903*41.8393) + CHOOSE('Aqueous Species Options'!M107+1,'Aqueous Species Options'!$X$4*ABS('Aqueous Species Table'!P107)+'Aqueous Species Options'!$Y$4,'Aqueous Species Options'!$AA$4))*10 ) ) ) )</f>
        <v>8.2228107122416425</v>
      </c>
      <c r="J107" s="42">
        <f>IF(ISBLANK('Aqueous Species Options'!B107), "", IF('Aqueous Species Options'!L107 = 0, 'Aqueous Species Options'!O107, IF('Aqueous Species Table'!I107="", "", IF('Aqueous Species Options'!B107="H+", 0, ((1.11*('Aqueous Species Options'!G107 + 'Aqueous Species Table'!O107*100000*0.0000005903*41.8393)+1.8)/41.8393 - 'Aqueous Species Table'!I107/10)*26.01 ) ) ) )</f>
        <v>3.5457952538402897</v>
      </c>
      <c r="K107" s="42">
        <f>IF(ISBLANK('Aqueous Species Options'!B107), "", IF('Aqueous Species Options'!L107 = 0, 'Aqueous Species Options'!P107, IF('Aqueous Species Table'!I107="", "", IF('Aqueous Species Options'!B107="H+", 0, ('Aqueous Species Options'!G107/41.8393 + 'Aqueous Species Table'!O107*100000*0.0000005903 - 'Aqueous Species Table'!I107/10 - 'Aqueous Species Table'!J107*100/2601)*(298.15-228) - ('Aqueous Species Table'!L107*10000/2601) ) ) ) )</f>
        <v>1.8649850315364205</v>
      </c>
      <c r="L107" s="42">
        <f>IF(ISBLANK('Aqueous Species Options'!B107), "", IF('Aqueous Species Options'!L107 = 0, 'Aqueous Species Options'!Q107, IF('Aqueous Species Table'!J107="", "", IF('Aqueous Species Options'!B107="H+", 0, (-4.134*'Aqueous Species Table'!J107*100 - 27790)*0.0001) ) ) )</f>
        <v>-2.9255831757937578</v>
      </c>
      <c r="M107" s="42">
        <f>IF(ISBLANK('Aqueous Species Options'!B107), "", IF('Aqueous Species Options'!L107=0, 'Aqueous Species Options'!R107, IF('Aqueous Species Table'!N107="", "", IF('Aqueous Species Options'!B107="H+", 0, 'Aqueous Species Options'!H107 - 'Aqueous Species Table'!O107*100000*(-0.000000309)*298.15 - 'Aqueous Species Table'!N107*10000/(298.15-228)^2 ) ) ) )</f>
        <v>14.043550706390885</v>
      </c>
      <c r="N107" s="42">
        <f>IF(ISBLANK('Aqueous Species Options'!B107), "", IF('Aqueous Species Options'!L107=0, 'Aqueous Species Options'!S107, IF(OR(ISBLANK('Aqueous Species Options'!H107), 'Aqueous Species Table'!O107=""), "", IF('Aqueous Species Options'!B107="H+", 0, 0.2037*'Aqueous Species Options'!H107 - 3.0346) ) ) )</f>
        <v>-4.4605249527290445</v>
      </c>
      <c r="O107" s="42">
        <f>IF(ISBLANK('Aqueous Species Options'!B107), "", IF('Aqueous Species Options'!K107=0, 'Aqueous Species Options'!I107, IF(OR('Aqueous Species Options'!J107&gt;4,'Aqueous Species Options'!J107&lt;-4), "", IF('Aqueous Species Options'!B107="H+", 0, IF('Aqueous Species Options'!J107=0, -0.038, IF(ISBLANK('Aqueous Species Options'!F107), "", -1514.4*'Aqueous Species Options'!F107*0.00001 + SUM(({4,3,2,1,-1,-2,-3,-4}='Aqueous Species Options'!J107)*{2.1764,1.5793,1.0579,0.5517,1.6291,3.2127,4.8115,6.486}) ) ) ) ) ) )</f>
        <v>1.3003</v>
      </c>
      <c r="P107" s="1">
        <f>IF(ISBLANK('Aqueous Species Options'!J107), "", 'Aqueous Species Options'!J107)</f>
        <v>-1</v>
      </c>
      <c r="Q107" s="184" t="str">
        <f>IF(ISBLANK('Aqueous Species Options'!T107), "", 'Aqueous Species Options'!T107)</f>
        <v>Shock et al. (1997) revised with new predicted a1 for complex species</v>
      </c>
    </row>
    <row r="108" spans="2:17" ht="15" customHeight="1" x14ac:dyDescent="0.2">
      <c r="B108" s="9" t="str">
        <f>IF(ISBLANK('Aqueous Species Options'!B108), "", 'Aqueous Species Options'!B108)</f>
        <v>H2S,aq</v>
      </c>
      <c r="C108" s="9" t="str">
        <f>IF(ISBLANK('Aqueous Species Options'!C108), "", 'Aqueous Species Options'!C108)</f>
        <v>H2S(0)</v>
      </c>
      <c r="D108" s="2">
        <f>IF(ISBLANK('Aqueous Species Options'!D108), "", 'Aqueous Species Options'!D108)</f>
        <v>-6673</v>
      </c>
      <c r="E108" s="1">
        <f>IF(ISBLANK('Aqueous Species Options'!E108), "", 'Aqueous Species Options'!E108)</f>
        <v>-9001</v>
      </c>
      <c r="F108" s="139">
        <f>IF(ISBLANK('Aqueous Species Options'!F108), "", 'Aqueous Species Options'!F108)</f>
        <v>30</v>
      </c>
      <c r="G108" s="29">
        <f>IF(ISBLANK('Aqueous Species Options'!B108), "", IF('Aqueous Species Options'!L108 = 1, IF(ISBLANK('Aqueous Species Options'!G108), "", 'Aqueous Species Options'!G108), ('Aqueous Species Table'!I108/10 + ('Aqueous Species Table'!J108*100)/(Calculations!$C$12+Calculations!$C$9) + ('Aqueous Species Table'!K108 + ('Aqueous Species Table'!L108*10000)/(Calculations!$C$12+Calculations!$C$9))*(1/(Calculations!$C$8-Calculations!$C$13)) - 'Aqueous Species Table'!O108*100000*0.0000005903)*41.8393))</f>
        <v>34.920046426392013</v>
      </c>
      <c r="H108" s="29">
        <f>IF(ISBLANK('Aqueous Species Options'!B108), "", IF('Aqueous Species Options'!L108 = 1, IF(ISBLANK('Aqueous Species Options'!H108), "", 'Aqueous Species Options'!H108), 'Aqueous Species Table'!M108 + 'Aqueous Species Table'!N108*10000*(1/(Calculations!$C$8-Calculations!$C$13))^2 + 'Aqueous Species Table'!O108*100000*Calculations!$C$8*Calculations!$C$7))</f>
        <v>42.833107059026609</v>
      </c>
      <c r="I108" s="42">
        <f>IF(ISBLANK('Aqueous Species Options'!B108), "", IF('Aqueous Species Options'!L108=0, 'Aqueous Species Options'!N108, IF(OR(ISBLANK('Aqueous Species Options'!G108),'Aqueous Species Table'!O108="", 'Aqueous Species Table'!P108=""), "", IF('Aqueous Species Options'!B108="H+", 0, (CHOOSE('Aqueous Species Options'!M108+1,'Aqueous Species Options'!$V$4*ABS('Aqueous Species Table'!P108)+'Aqueous Species Options'!$W$4,'Aqueous Species Options'!$Z$4)*('Aqueous Species Options'!G108 + 'Aqueous Species Table'!O108*100000*0.0000005903*41.8393) + CHOOSE('Aqueous Species Options'!M108+1,'Aqueous Species Options'!$X$4*ABS('Aqueous Species Table'!P108)+'Aqueous Species Options'!$Y$4,'Aqueous Species Options'!$AA$4))*10 ) ) ) )</f>
        <v>8.2542567379655338</v>
      </c>
      <c r="J108" s="42">
        <f>IF(ISBLANK('Aqueous Species Options'!B108), "", IF('Aqueous Species Options'!L108 = 0, 'Aqueous Species Options'!O108, IF('Aqueous Species Table'!I108="", "", IF('Aqueous Species Options'!B108="H+", 0, ((1.11*('Aqueous Species Options'!G108 + 'Aqueous Species Table'!O108*100000*0.0000005903*41.8393)+1.8)/41.8393 - 'Aqueous Species Table'!I108/10)*26.01 ) ) ) )</f>
        <v>3.5757349897749315</v>
      </c>
      <c r="K108" s="42">
        <f>IF(ISBLANK('Aqueous Species Options'!B108), "", IF('Aqueous Species Options'!L108 = 0, 'Aqueous Species Options'!P108, IF('Aqueous Species Table'!I108="", "", IF('Aqueous Species Options'!B108="H+", 0, ('Aqueous Species Options'!G108/41.8393 + 'Aqueous Species Table'!O108*100000*0.0000005903 - 'Aqueous Species Table'!I108/10 - 'Aqueous Species Table'!J108*100/2601)*(298.15-228) - ('Aqueous Species Table'!L108*10000/2601) ) ) ) )</f>
        <v>1.8398808466865155</v>
      </c>
      <c r="L108" s="42">
        <f>IF(ISBLANK('Aqueous Species Options'!B108), "", IF('Aqueous Species Options'!L108 = 0, 'Aqueous Species Options'!Q108, IF('Aqueous Species Table'!J108="", "", IF('Aqueous Species Options'!B108="H+", 0, (-4.134*'Aqueous Species Table'!J108*100 - 27790)*0.0001) ) ) )</f>
        <v>-2.926820884477296</v>
      </c>
      <c r="M108" s="42">
        <f>IF(ISBLANK('Aqueous Species Options'!B108), "", IF('Aqueous Species Options'!L108=0, 'Aqueous Species Options'!R108, IF('Aqueous Species Table'!N108="", "", IF('Aqueous Species Options'!B108="H+", 0, 'Aqueous Species Options'!H108 - 'Aqueous Species Table'!O108*100000*(-0.000000309)*298.15 - 'Aqueous Species Table'!N108*10000/(298.15-228)^2 ) ) ) )</f>
        <v>30.348161925852359</v>
      </c>
      <c r="N108" s="42">
        <f>IF(ISBLANK('Aqueous Species Options'!B108), "", IF('Aqueous Species Options'!L108=0, 'Aqueous Species Options'!S108, IF(OR(ISBLANK('Aqueous Species Options'!H108), 'Aqueous Species Table'!O108=""), "", IF('Aqueous Species Options'!B108="H+", 0, 0.2037*'Aqueous Species Options'!H108 - 3.0346) ) ) )</f>
        <v>5.690503907923719</v>
      </c>
      <c r="O108" s="42">
        <f>IF(ISBLANK('Aqueous Species Options'!B108), "", IF('Aqueous Species Options'!K108=0, 'Aqueous Species Options'!I108, IF(OR('Aqueous Species Options'!J108&gt;4,'Aqueous Species Options'!J108&lt;-4), "", IF('Aqueous Species Options'!B108="H+", 0, IF('Aqueous Species Options'!J108=0, -0.038, IF(ISBLANK('Aqueous Species Options'!F108), "", -1514.4*'Aqueous Species Options'!F108*0.00001 + SUM(({4,3,2,1,-1,-2,-3,-4}='Aqueous Species Options'!J108)*{2.1764,1.5793,1.0579,0.5517,1.6291,3.2127,4.8115,6.486}) ) ) ) ) ) )</f>
        <v>-0.1</v>
      </c>
      <c r="P108" s="1">
        <f>IF(ISBLANK('Aqueous Species Options'!J108), "", 'Aqueous Species Options'!J108)</f>
        <v>0</v>
      </c>
      <c r="Q108" s="184" t="str">
        <f>IF(ISBLANK('Aqueous Species Options'!T108), "", 'Aqueous Species Options'!T108)</f>
        <v>Beaudry et al. (2024)</v>
      </c>
    </row>
    <row r="109" spans="2:17" ht="16" x14ac:dyDescent="0.2">
      <c r="B109" s="9" t="str">
        <f>IF(ISBLANK('Aqueous Species Options'!B109), "", 'Aqueous Species Options'!B109)</f>
        <v>H2SO4,aq</v>
      </c>
      <c r="C109" s="9" t="str">
        <f>IF(ISBLANK('Aqueous Species Options'!C109), "", 'Aqueous Species Options'!C109)</f>
        <v>H2SO4(0)</v>
      </c>
      <c r="D109" s="2">
        <f>IF(ISBLANK('Aqueous Species Options'!D109), "", 'Aqueous Species Options'!D109)</f>
        <v>-123800</v>
      </c>
      <c r="E109" s="1">
        <f>IF(ISBLANK('Aqueous Species Options'!E109), "", 'Aqueous Species Options'!E109)</f>
        <v>-159845</v>
      </c>
      <c r="F109" s="139">
        <f>IF(ISBLANK('Aqueous Species Options'!F109), "", 'Aqueous Species Options'!F109)</f>
        <v>16</v>
      </c>
      <c r="G109" s="29">
        <f>IF(ISBLANK('Aqueous Species Options'!B109), "", IF('Aqueous Species Options'!L109 = 1, IF(ISBLANK('Aqueous Species Options'!G109), "", 'Aqueous Species Options'!G109), ('Aqueous Species Table'!I109/10 + ('Aqueous Species Table'!J109*100)/(Calculations!$C$12+Calculations!$C$9) + ('Aqueous Species Table'!K109 + ('Aqueous Species Table'!L109*10000)/(Calculations!$C$12+Calculations!$C$9))*(1/(Calculations!$C$8-Calculations!$C$13)) - 'Aqueous Species Table'!O109*100000*0.0000005903)*41.8393))</f>
        <v>38</v>
      </c>
      <c r="H109" s="29">
        <f>IF(ISBLANK('Aqueous Species Options'!B109), "", IF('Aqueous Species Options'!L109 = 1, IF(ISBLANK('Aqueous Species Options'!H109), "", 'Aqueous Species Options'!H109), 'Aqueous Species Table'!M109 + 'Aqueous Species Table'!N109*10000*(1/(Calculations!$C$8-Calculations!$C$13))^2 + 'Aqueous Species Table'!O109*100000*Calculations!$C$8*Calculations!$C$7))</f>
        <v>20</v>
      </c>
      <c r="I109" s="42">
        <f>IF(ISBLANK('Aqueous Species Options'!B109), "", IF('Aqueous Species Options'!L109=0, 'Aqueous Species Options'!N109, IF(OR(ISBLANK('Aqueous Species Options'!G109),'Aqueous Species Table'!O109="", 'Aqueous Species Table'!P109=""), "", IF('Aqueous Species Options'!B109="H+", 0, (CHOOSE('Aqueous Species Options'!M109+1,'Aqueous Species Options'!$V$4*ABS('Aqueous Species Table'!P109)+'Aqueous Species Options'!$W$4,'Aqueous Species Options'!$Z$4)*('Aqueous Species Options'!G109 + 'Aqueous Species Table'!O109*100000*0.0000005903*41.8393) + CHOOSE('Aqueous Species Options'!M109+1,'Aqueous Species Options'!$X$4*ABS('Aqueous Species Table'!P109)+'Aqueous Species Options'!$Y$4,'Aqueous Species Options'!$AA$4))*10 ) ) ) )</f>
        <v>8.948345478504061</v>
      </c>
      <c r="J109" s="42">
        <f>IF(ISBLANK('Aqueous Species Options'!B109), "", IF('Aqueous Species Options'!L109 = 0, 'Aqueous Species Options'!O109, IF('Aqueous Species Table'!I109="", "", IF('Aqueous Species Options'!B109="H+", 0, ((1.11*('Aqueous Species Options'!G109 + 'Aqueous Species Table'!O109*100000*0.0000005903*41.8393)+1.8)/41.8393 - 'Aqueous Species Table'!I109/10)*26.01 ) ) ) )</f>
        <v>4.2365763243650356</v>
      </c>
      <c r="K109" s="42">
        <f>IF(ISBLANK('Aqueous Species Options'!B109), "", IF('Aqueous Species Options'!L109 = 0, 'Aqueous Species Options'!P109, IF('Aqueous Species Table'!I109="", "", IF('Aqueous Species Options'!B109="H+", 0, ('Aqueous Species Options'!G109/41.8393 + 'Aqueous Species Table'!O109*100000*0.0000005903 - 'Aqueous Species Table'!I109/10 - 'Aqueous Species Table'!J109*100/2601)*(298.15-228) - ('Aqueous Species Table'!L109*10000/2601) ) ) ) )</f>
        <v>1.2857716502584395</v>
      </c>
      <c r="L109" s="42">
        <f>IF(ISBLANK('Aqueous Species Options'!B109), "", IF('Aqueous Species Options'!L109 = 0, 'Aqueous Species Options'!Q109, IF('Aqueous Species Table'!J109="", "", IF('Aqueous Species Options'!B109="H+", 0, (-4.134*'Aqueous Species Table'!J109*100 - 27790)*0.0001) ) ) )</f>
        <v>-2.9541400652492507</v>
      </c>
      <c r="M109" s="42">
        <f>IF(ISBLANK('Aqueous Species Options'!B109), "", IF('Aqueous Species Options'!L109=0, 'Aqueous Species Options'!R109, IF('Aqueous Species Table'!N109="", "", IF('Aqueous Species Options'!B109="H+", 0, 'Aqueous Species Options'!H109 - 'Aqueous Species Table'!O109*100000*(-0.000000309)*298.15 - 'Aqueous Species Table'!N109*10000/(298.15-228)^2 ) ) ) )</f>
        <v>18.809120834618973</v>
      </c>
      <c r="N109" s="42">
        <f>IF(ISBLANK('Aqueous Species Options'!B109), "", IF('Aqueous Species Options'!L109=0, 'Aqueous Species Options'!S109, IF(OR(ISBLANK('Aqueous Species Options'!H109), 'Aqueous Species Table'!O109=""), "", IF('Aqueous Species Options'!B109="H+", 0, 0.2037*'Aqueous Species Options'!H109 - 3.0346) ) ) )</f>
        <v>1.0393999999999997</v>
      </c>
      <c r="O109" s="42">
        <f>IF(ISBLANK('Aqueous Species Options'!B109), "", IF('Aqueous Species Options'!K109=0, 'Aqueous Species Options'!I109, IF(OR('Aqueous Species Options'!J109&gt;4,'Aqueous Species Options'!J109&lt;-4), "", IF('Aqueous Species Options'!B109="H+", 0, IF('Aqueous Species Options'!J109=0, -0.038, IF(ISBLANK('Aqueous Species Options'!F109), "", -1514.4*'Aqueous Species Options'!F109*0.00001 + SUM(({4,3,2,1,-1,-2,-3,-4}='Aqueous Species Options'!J109)*{2.1764,1.5793,1.0579,0.5517,1.6291,3.2127,4.8115,6.486}) ) ) ) ) ) )</f>
        <v>0.1</v>
      </c>
      <c r="P109" s="1">
        <f>IF(ISBLANK('Aqueous Species Options'!J109), "", 'Aqueous Species Options'!J109)</f>
        <v>0</v>
      </c>
      <c r="Q109" s="184" t="str">
        <f>IF(ISBLANK('Aqueous Species Options'!T109), "", 'Aqueous Species Options'!T109)</f>
        <v>Beaudry et al. (2024)</v>
      </c>
    </row>
    <row r="110" spans="2:17" ht="15" customHeight="1" x14ac:dyDescent="0.2">
      <c r="B110" s="9" t="str">
        <f>IF(ISBLANK('Aqueous Species Options'!B110), "", 'Aqueous Species Options'!B110)</f>
        <v>H2VO4-</v>
      </c>
      <c r="C110" s="9" t="str">
        <f>IF(ISBLANK('Aqueous Species Options'!C110), "", 'Aqueous Species Options'!C110)</f>
        <v>H2VO4(-)</v>
      </c>
      <c r="D110" s="2">
        <f>IF(ISBLANK('Aqueous Species Options'!D110), "", 'Aqueous Species Options'!D110)</f>
        <v>-244000</v>
      </c>
      <c r="E110" s="1">
        <f>IF(ISBLANK('Aqueous Species Options'!E110), "", 'Aqueous Species Options'!E110)</f>
        <v>-280600</v>
      </c>
      <c r="F110" s="139">
        <f>IF(ISBLANK('Aqueous Species Options'!F110), "", 'Aqueous Species Options'!F110)</f>
        <v>29</v>
      </c>
      <c r="G110" s="29">
        <f>IF(ISBLANK('Aqueous Species Options'!B110), "", IF('Aqueous Species Options'!L110 = 1, IF(ISBLANK('Aqueous Species Options'!G110), "", 'Aqueous Species Options'!G110), ('Aqueous Species Table'!I110/10 + ('Aqueous Species Table'!J110*100)/(Calculations!$C$12+Calculations!$C$9) + ('Aqueous Species Table'!K110 + ('Aqueous Species Table'!L110*10000)/(Calculations!$C$12+Calculations!$C$9))*(1/(Calculations!$C$8-Calculations!$C$13)) - 'Aqueous Species Table'!O110*100000*0.0000005903)*41.8393))</f>
        <v>29.000135951263612</v>
      </c>
      <c r="H110" s="29">
        <f>IF(ISBLANK('Aqueous Species Options'!B110), "", IF('Aqueous Species Options'!L110 = 1, IF(ISBLANK('Aqueous Species Options'!H110), "", 'Aqueous Species Options'!H110), 'Aqueous Species Table'!M110 + 'Aqueous Species Table'!N110*10000*(1/(Calculations!$C$8-Calculations!$C$13))^2 + 'Aqueous Species Table'!O110*100000*Calculations!$C$8*Calculations!$C$7))</f>
        <v>0.59978669008475904</v>
      </c>
      <c r="I110" s="42">
        <f>IF(ISBLANK('Aqueous Species Options'!B110), "", IF('Aqueous Species Options'!L110=0, 'Aqueous Species Options'!N110, IF(OR(ISBLANK('Aqueous Species Options'!G110),'Aqueous Species Table'!O110="", 'Aqueous Species Table'!P110=""), "", IF('Aqueous Species Options'!B110="H+", 0, (CHOOSE('Aqueous Species Options'!M110+1,'Aqueous Species Options'!$V$4*ABS('Aqueous Species Table'!P110)+'Aqueous Species Options'!$W$4,'Aqueous Species Options'!$Z$4)*('Aqueous Species Options'!G110 + 'Aqueous Species Table'!O110*100000*0.0000005903*41.8393) + CHOOSE('Aqueous Species Options'!M110+1,'Aqueous Species Options'!$X$4*ABS('Aqueous Species Table'!P110)+'Aqueous Species Options'!$Y$4,'Aqueous Species Options'!$AA$4))*10 ) ) ) )</f>
        <v>7.7232096663361993</v>
      </c>
      <c r="J110" s="42">
        <f>IF(ISBLANK('Aqueous Species Options'!B110), "", IF('Aqueous Species Options'!L110 = 0, 'Aqueous Species Options'!O110, IF('Aqueous Species Table'!I110="", "", IF('Aqueous Species Options'!B110="H+", 0, ((1.11*('Aqueous Species Options'!G110 + 'Aqueous Species Table'!O110*100000*0.0000005903*41.8393)+1.8)/41.8393 - 'Aqueous Species Table'!I110/10)*26.01 ) ) ) )</f>
        <v>3.0701254977186139</v>
      </c>
      <c r="K110" s="42">
        <f>IF(ISBLANK('Aqueous Species Options'!B110), "", IF('Aqueous Species Options'!L110 = 0, 'Aqueous Species Options'!P110, IF('Aqueous Species Table'!I110="", "", IF('Aqueous Species Options'!B110="H+", 0, ('Aqueous Species Options'!G110/41.8393 + 'Aqueous Species Table'!O110*100000*0.0000005903 - 'Aqueous Species Table'!I110/10 - 'Aqueous Species Table'!J110*100/2601)*(298.15-228) - ('Aqueous Species Table'!L110*10000/2601) ) ) ) )</f>
        <v>2.2638296142428036</v>
      </c>
      <c r="L110" s="42">
        <f>IF(ISBLANK('Aqueous Species Options'!B110), "", IF('Aqueous Species Options'!L110 = 0, 'Aqueous Species Options'!Q110, IF('Aqueous Species Table'!J110="", "", IF('Aqueous Species Options'!B110="H+", 0, (-4.134*'Aqueous Species Table'!J110*100 - 27790)*0.0001) ) ) )</f>
        <v>-2.9059189880756877</v>
      </c>
      <c r="M110" s="42">
        <f>IF(ISBLANK('Aqueous Species Options'!B110), "", IF('Aqueous Species Options'!L110=0, 'Aqueous Species Options'!R110, IF('Aqueous Species Table'!N110="", "", IF('Aqueous Species Options'!B110="H+", 0, 'Aqueous Species Options'!H110 - 'Aqueous Species Table'!O110*100000*(-0.000000309)*298.15 - 'Aqueous Species Table'!N110*10000/(298.15-228)^2 ) ) ) )</f>
        <v>17.479547655197138</v>
      </c>
      <c r="N110" s="42">
        <f>IF(ISBLANK('Aqueous Species Options'!B110), "", IF('Aqueous Species Options'!L110=0, 'Aqueous Species Options'!S110, IF(OR(ISBLANK('Aqueous Species Options'!H110), 'Aqueous Species Table'!O110=""), "", IF('Aqueous Species Options'!B110="H+", 0, 0.2037*'Aqueous Species Options'!H110 - 3.0346) ) ) )</f>
        <v>-2.9124234512297349</v>
      </c>
      <c r="O110" s="42">
        <f>IF(ISBLANK('Aqueous Species Options'!B110), "", IF('Aqueous Species Options'!K110=0, 'Aqueous Species Options'!I110, IF(OR('Aqueous Species Options'!J110&gt;4,'Aqueous Species Options'!J110&lt;-4), "", IF('Aqueous Species Options'!B110="H+", 0, IF('Aqueous Species Options'!J110=0, -0.038, IF(ISBLANK('Aqueous Species Options'!F110), "", -1514.4*'Aqueous Species Options'!F110*0.00001 + SUM(({4,3,2,1,-1,-2,-3,-4}='Aqueous Species Options'!J110)*{2.1764,1.5793,1.0579,0.5517,1.6291,3.2127,4.8115,6.486}) ) ) ) ) ) )</f>
        <v>1.1898</v>
      </c>
      <c r="P110" s="1">
        <f>IF(ISBLANK('Aqueous Species Options'!J110), "", 'Aqueous Species Options'!J110)</f>
        <v>-1</v>
      </c>
      <c r="Q110" s="184" t="str">
        <f>IF(ISBLANK('Aqueous Species Options'!T110), "", 'Aqueous Species Options'!T110)</f>
        <v>Shock et al. (1997) revised with new predicted a1 for complex species</v>
      </c>
    </row>
    <row r="111" spans="2:17" ht="32" x14ac:dyDescent="0.2">
      <c r="B111" s="9" t="str">
        <f>IF(ISBLANK('Aqueous Species Options'!B111), "", 'Aqueous Species Options'!B111)</f>
        <v>H3P2O7-</v>
      </c>
      <c r="C111" s="9" t="str">
        <f>IF(ISBLANK('Aqueous Species Options'!C111), "", 'Aqueous Species Options'!C111)</f>
        <v>H3P2O7(-)</v>
      </c>
      <c r="D111" s="2">
        <f>IF(ISBLANK('Aqueous Species Options'!D111), "", 'Aqueous Species Options'!D111)</f>
        <v>-483600</v>
      </c>
      <c r="E111" s="1">
        <f>IF(ISBLANK('Aqueous Species Options'!E111), "", 'Aqueous Species Options'!E111)</f>
        <v>-544100</v>
      </c>
      <c r="F111" s="139">
        <f>IF(ISBLANK('Aqueous Species Options'!F111), "", 'Aqueous Species Options'!F111)</f>
        <v>51</v>
      </c>
      <c r="G111" s="29">
        <f>IF(ISBLANK('Aqueous Species Options'!B111), "", IF('Aqueous Species Options'!L111 = 1, IF(ISBLANK('Aqueous Species Options'!G111), "", 'Aqueous Species Options'!G111), ('Aqueous Species Table'!I111/10 + ('Aqueous Species Table'!J111*100)/(Calculations!$C$12+Calculations!$C$9) + ('Aqueous Species Table'!K111 + ('Aqueous Species Table'!L111*10000)/(Calculations!$C$12+Calculations!$C$9))*(1/(Calculations!$C$8-Calculations!$C$13)) - 'Aqueous Species Table'!O111*100000*0.0000005903)*41.8393))</f>
        <v>50.999858157206482</v>
      </c>
      <c r="H111" s="29">
        <f>IF(ISBLANK('Aqueous Species Options'!B111), "", IF('Aqueous Species Options'!L111 = 1, IF(ISBLANK('Aqueous Species Options'!H111), "", 'Aqueous Species Options'!H111), 'Aqueous Species Table'!M111 + 'Aqueous Species Table'!N111*10000*(1/(Calculations!$C$8-Calculations!$C$13))^2 + 'Aqueous Species Table'!O111*100000*Calculations!$C$8*Calculations!$C$7))</f>
        <v>29.599573284247107</v>
      </c>
      <c r="I111" s="42">
        <f>IF(ISBLANK('Aqueous Species Options'!B111), "", IF('Aqueous Species Options'!L111=0, 'Aqueous Species Options'!N111, IF(OR(ISBLANK('Aqueous Species Options'!G111),'Aqueous Species Table'!O111="", 'Aqueous Species Table'!P111=""), "", IF('Aqueous Species Options'!B111="H+", 0, (CHOOSE('Aqueous Species Options'!M111+1,'Aqueous Species Options'!$V$4*ABS('Aqueous Species Table'!P111)+'Aqueous Species Options'!$W$4,'Aqueous Species Options'!$Z$4)*('Aqueous Species Options'!G111 + 'Aqueous Species Table'!O111*100000*0.0000005903*41.8393) + CHOOSE('Aqueous Species Options'!M111+1,'Aqueous Species Options'!$X$4*ABS('Aqueous Species Table'!P111)+'Aqueous Species Options'!$Y$4,'Aqueous Species Options'!$AA$4))*10 ) ) ) )</f>
        <v>11.836050672533849</v>
      </c>
      <c r="J111" s="42">
        <f>IF(ISBLANK('Aqueous Species Options'!B111), "", IF('Aqueous Species Options'!L111 = 0, 'Aqueous Species Options'!O111, IF('Aqueous Species Table'!I111="", "", IF('Aqueous Species Options'!B111="H+", 0, ((1.11*('Aqueous Species Options'!G111 + 'Aqueous Species Table'!O111*100000*0.0000005903*41.8393)+1.8)/41.8393 - 'Aqueous Species Table'!I111/10)*26.01 ) ) ) )</f>
        <v>6.9859581294132171</v>
      </c>
      <c r="K111" s="42">
        <f>IF(ISBLANK('Aqueous Species Options'!B111), "", IF('Aqueous Species Options'!L111 = 0, 'Aqueous Species Options'!P111, IF('Aqueous Species Table'!I111="", "", IF('Aqueous Species Options'!B111="H+", 0, ('Aqueous Species Options'!G111/41.8393 + 'Aqueous Species Table'!O111*100000*0.0000005903 - 'Aqueous Species Table'!I111/10 - 'Aqueous Species Table'!J111*100/2601)*(298.15-228) - ('Aqueous Species Table'!L111*10000/2601) ) ) ) )</f>
        <v>-1.0195589380803387</v>
      </c>
      <c r="L111" s="42">
        <f>IF(ISBLANK('Aqueous Species Options'!B111), "", IF('Aqueous Species Options'!L111 = 0, 'Aqueous Species Options'!Q111, IF('Aqueous Species Table'!J111="", "", IF('Aqueous Species Options'!B111="H+", 0, (-4.134*'Aqueous Species Table'!J111*100 - 27790)*0.0001) ) ) )</f>
        <v>-3.0677995090699426</v>
      </c>
      <c r="M111" s="42">
        <f>IF(ISBLANK('Aqueous Species Options'!B111), "", IF('Aqueous Species Options'!L111=0, 'Aqueous Species Options'!R111, IF('Aqueous Species Table'!N111="", "", IF('Aqueous Species Options'!B111="H+", 0, 'Aqueous Species Options'!H111 - 'Aqueous Species Table'!O111*100000*(-0.000000309)*298.15 - 'Aqueous Species Table'!N111*10000/(298.15-228)^2 ) ) ) )</f>
        <v>31.407335992060318</v>
      </c>
      <c r="N111" s="42">
        <f>IF(ISBLANK('Aqueous Species Options'!B111), "", IF('Aqueous Species Options'!L111=0, 'Aqueous Species Options'!S111, IF(OR(ISBLANK('Aqueous Species Options'!H111), 'Aqueous Species Table'!O111=""), "", IF('Aqueous Species Options'!B111="H+", 0, 0.2037*'Aqueous Species Options'!H111 - 3.0346) ) ) )</f>
        <v>2.9948330780011352</v>
      </c>
      <c r="O111" s="42">
        <f>IF(ISBLANK('Aqueous Species Options'!B111), "", IF('Aqueous Species Options'!K111=0, 'Aqueous Species Options'!I111, IF(OR('Aqueous Species Options'!J111&gt;4,'Aqueous Species Options'!J111&lt;-4), "", IF('Aqueous Species Options'!B111="H+", 0, IF('Aqueous Species Options'!J111=0, -0.038, IF(ISBLANK('Aqueous Species Options'!F111), "", -1514.4*'Aqueous Species Options'!F111*0.00001 + SUM(({4,3,2,1,-1,-2,-3,-4}='Aqueous Species Options'!J111)*{2.1764,1.5793,1.0579,0.5517,1.6291,3.2127,4.8115,6.486}) ) ) ) ) ) )</f>
        <v>0.85680000000000001</v>
      </c>
      <c r="P111" s="1">
        <f>IF(ISBLANK('Aqueous Species Options'!J111), "", 'Aqueous Species Options'!J111)</f>
        <v>-1</v>
      </c>
      <c r="Q111" s="184" t="str">
        <f>IF(ISBLANK('Aqueous Species Options'!T111), "", 'Aqueous Species Options'!T111)</f>
        <v>Shock et al. (1997) revised with new predicted a1 for complex species</v>
      </c>
    </row>
    <row r="112" spans="2:17" ht="15" customHeight="1" x14ac:dyDescent="0.2">
      <c r="B112" s="9" t="str">
        <f>IF(ISBLANK('Aqueous Species Options'!B112), "", 'Aqueous Species Options'!B112)</f>
        <v>H3PO4,aq</v>
      </c>
      <c r="C112" s="9" t="str">
        <f>IF(ISBLANK('Aqueous Species Options'!C112), "", 'Aqueous Species Options'!C112)</f>
        <v>H3PO4(0)</v>
      </c>
      <c r="D112" s="2">
        <f>IF(ISBLANK('Aqueous Species Options'!D112), "", 'Aqueous Species Options'!D112)</f>
        <v>-273100</v>
      </c>
      <c r="E112" s="1">
        <f>IF(ISBLANK('Aqueous Species Options'!E112), "", 'Aqueous Species Options'!E112)</f>
        <v>-307920</v>
      </c>
      <c r="F112" s="139">
        <f>IF(ISBLANK('Aqueous Species Options'!F112), "", 'Aqueous Species Options'!F112)</f>
        <v>38</v>
      </c>
      <c r="G112" s="29">
        <f>IF(ISBLANK('Aqueous Species Options'!B112), "", IF('Aqueous Species Options'!L112 = 1, IF(ISBLANK('Aqueous Species Options'!G112), "", 'Aqueous Species Options'!G112), ('Aqueous Species Table'!I112/10 + ('Aqueous Species Table'!J112*100)/(Calculations!$C$12+Calculations!$C$9) + ('Aqueous Species Table'!K112 + ('Aqueous Species Table'!L112*10000)/(Calculations!$C$12+Calculations!$C$9))*(1/(Calculations!$C$8-Calculations!$C$13)) - 'Aqueous Species Table'!O112*100000*0.0000005903)*41.8393))</f>
        <v>48.100146731576729</v>
      </c>
      <c r="H112" s="29">
        <f>IF(ISBLANK('Aqueous Species Options'!B112), "", IF('Aqueous Species Options'!L112 = 1, IF(ISBLANK('Aqueous Species Options'!H112), "", 'Aqueous Species Options'!H112), 'Aqueous Species Table'!M112 + 'Aqueous Species Table'!N112*10000*(1/(Calculations!$C$8-Calculations!$C$13))^2 + 'Aqueous Species Table'!O112*100000*Calculations!$C$8*Calculations!$C$7))</f>
        <v>23.599923831730756</v>
      </c>
      <c r="I112" s="42">
        <f>IF(ISBLANK('Aqueous Species Options'!B112), "", IF('Aqueous Species Options'!L112=0, 'Aqueous Species Options'!N112, IF(OR(ISBLANK('Aqueous Species Options'!G112),'Aqueous Species Table'!O112="", 'Aqueous Species Table'!P112=""), "", IF('Aqueous Species Options'!B112="H+", 0, (CHOOSE('Aqueous Species Options'!M112+1,'Aqueous Species Options'!$V$4*ABS('Aqueous Species Table'!P112)+'Aqueous Species Options'!$W$4,'Aqueous Species Options'!$Z$4)*('Aqueous Species Options'!G112 + 'Aqueous Species Table'!O112*100000*0.0000005903*41.8393) + CHOOSE('Aqueous Species Options'!M112+1,'Aqueous Species Options'!$X$4*ABS('Aqueous Species Table'!P112)+'Aqueous Species Options'!$Y$4,'Aqueous Species Options'!$AA$4))*10 ) ) ) )</f>
        <v>10.756405444030587</v>
      </c>
      <c r="J112" s="42">
        <f>IF(ISBLANK('Aqueous Species Options'!B112), "", IF('Aqueous Species Options'!L112 = 0, 'Aqueous Species Options'!O112, IF('Aqueous Species Table'!I112="", "", IF('Aqueous Species Options'!B112="H+", 0, ((1.11*('Aqueous Species Options'!G112 + 'Aqueous Species Table'!O112*100000*0.0000005903*41.8393)+1.8)/41.8393 - 'Aqueous Species Table'!I112/10)*26.01 ) ) ) )</f>
        <v>5.958028771080202</v>
      </c>
      <c r="K112" s="42">
        <f>IF(ISBLANK('Aqueous Species Options'!B112), "", IF('Aqueous Species Options'!L112 = 0, 'Aqueous Species Options'!P112, IF('Aqueous Species Table'!I112="", "", IF('Aqueous Species Options'!B112="H+", 0, ('Aqueous Species Options'!G112/41.8393 + 'Aqueous Species Table'!O112*100000*0.0000005903 - 'Aqueous Species Table'!I112/10 - 'Aqueous Species Table'!J112*100/2601)*(298.15-228) - ('Aqueous Species Table'!L112*10000/2601) ) ) ) )</f>
        <v>-0.15764991254395611</v>
      </c>
      <c r="L112" s="42">
        <f>IF(ISBLANK('Aqueous Species Options'!B112), "", IF('Aqueous Species Options'!L112 = 0, 'Aqueous Species Options'!Q112, IF('Aqueous Species Table'!J112="", "", IF('Aqueous Species Options'!B112="H+", 0, (-4.134*'Aqueous Species Table'!J112*100 - 27790)*0.0001) ) ) )</f>
        <v>-3.0253049093964557</v>
      </c>
      <c r="M112" s="42">
        <f>IF(ISBLANK('Aqueous Species Options'!B112), "", IF('Aqueous Species Options'!L112=0, 'Aqueous Species Options'!R112, IF('Aqueous Species Table'!N112="", "", IF('Aqueous Species Options'!B112="H+", 0, 'Aqueous Species Options'!H112 - 'Aqueous Species Table'!O112*100000*(-0.000000309)*298.15 - 'Aqueous Species Table'!N112*10000/(298.15-228)^2 ) ) ) )</f>
        <v>17.970790887008633</v>
      </c>
      <c r="N112" s="42">
        <f>IF(ISBLANK('Aqueous Species Options'!B112), "", IF('Aqueous Species Options'!L112=0, 'Aqueous Species Options'!S112, IF(OR(ISBLANK('Aqueous Species Options'!H112), 'Aqueous Species Table'!O112=""), "", IF('Aqueous Species Options'!B112="H+", 0, 0.2037*'Aqueous Species Options'!H112 - 3.0346) ) ) )</f>
        <v>1.7727044845235547</v>
      </c>
      <c r="O112" s="42">
        <f>IF(ISBLANK('Aqueous Species Options'!B112), "", IF('Aqueous Species Options'!K112=0, 'Aqueous Species Options'!I112, IF(OR('Aqueous Species Options'!J112&gt;4,'Aqueous Species Options'!J112&lt;-4), "", IF('Aqueous Species Options'!B112="H+", 0, IF('Aqueous Species Options'!J112=0, -0.038, IF(ISBLANK('Aqueous Species Options'!F112), "", -1514.4*'Aqueous Species Options'!F112*0.00001 + SUM(({4,3,2,1,-1,-2,-3,-4}='Aqueous Species Options'!J112)*{2.1764,1.5793,1.0579,0.5517,1.6291,3.2127,4.8115,6.486}) ) ) ) ) ) )</f>
        <v>-0.22</v>
      </c>
      <c r="P112" s="1">
        <f>IF(ISBLANK('Aqueous Species Options'!J112), "", 'Aqueous Species Options'!J112)</f>
        <v>0</v>
      </c>
      <c r="Q112" s="184" t="str">
        <f>IF(ISBLANK('Aqueous Species Options'!T112), "", 'Aqueous Species Options'!T112)</f>
        <v>Shock et al. (1989) with revised prediction of a1 using new correlation</v>
      </c>
    </row>
    <row r="113" spans="2:17" ht="15" customHeight="1" x14ac:dyDescent="0.2">
      <c r="B113" s="9" t="str">
        <f>IF(ISBLANK('Aqueous Species Options'!B113), "", 'Aqueous Species Options'!B113)</f>
        <v>HAlO2,aq</v>
      </c>
      <c r="C113" s="9" t="str">
        <f>IF(ISBLANK('Aqueous Species Options'!C113), "", 'Aqueous Species Options'!C113)</f>
        <v>HAlO2(0)</v>
      </c>
      <c r="D113" s="2">
        <f>IF(ISBLANK('Aqueous Species Options'!D113), "", 'Aqueous Species Options'!D113)</f>
        <v>-207500</v>
      </c>
      <c r="E113" s="1">
        <f>IF(ISBLANK('Aqueous Species Options'!E113), "", 'Aqueous Species Options'!E113)</f>
        <v>-230730</v>
      </c>
      <c r="F113" s="139">
        <f>IF(ISBLANK('Aqueous Species Options'!F113), "", 'Aqueous Species Options'!F113)</f>
        <v>-6.5</v>
      </c>
      <c r="G113" s="29">
        <f>IF(ISBLANK('Aqueous Species Options'!B113), "", IF('Aqueous Species Options'!L113 = 1, IF(ISBLANK('Aqueous Species Options'!G113), "", 'Aqueous Species Options'!G113), ('Aqueous Species Table'!I113/10 + ('Aqueous Species Table'!J113*100)/(Calculations!$C$12+Calculations!$C$9) + ('Aqueous Species Table'!K113 + ('Aqueous Species Table'!L113*10000)/(Calculations!$C$12+Calculations!$C$9))*(1/(Calculations!$C$8-Calculations!$C$13)) - 'Aqueous Species Table'!O113*100000*0.0000005903)*41.8393))</f>
        <v>13</v>
      </c>
      <c r="H113" s="29">
        <f>IF(ISBLANK('Aqueous Species Options'!B113), "", IF('Aqueous Species Options'!L113 = 1, IF(ISBLANK('Aqueous Species Options'!H113), "", 'Aqueous Species Options'!H113), 'Aqueous Species Table'!M113 + 'Aqueous Species Table'!N113*10000*(1/(Calculations!$C$8-Calculations!$C$13))^2 + 'Aqueous Species Table'!O113*100000*Calculations!$C$8*Calculations!$C$7))</f>
        <v>47.500000000000007</v>
      </c>
      <c r="I113" s="42">
        <f>IF(ISBLANK('Aqueous Species Options'!B113), "", IF('Aqueous Species Options'!L113=0, 'Aqueous Species Options'!N113, IF(OR(ISBLANK('Aqueous Species Options'!G113),'Aqueous Species Table'!O113="", 'Aqueous Species Table'!P113=""), "", IF('Aqueous Species Options'!B113="H+", 0, (CHOOSE('Aqueous Species Options'!M113+1,'Aqueous Species Options'!$V$4*ABS('Aqueous Species Table'!P113)+'Aqueous Species Options'!$W$4,'Aqueous Species Options'!$Z$4)*('Aqueous Species Options'!G113 + 'Aqueous Species Table'!O113*100000*0.0000005903*41.8393) + CHOOSE('Aqueous Species Options'!M113+1,'Aqueous Species Options'!$X$4*ABS('Aqueous Species Table'!P113)+'Aqueous Species Options'!$Y$4,'Aqueous Species Options'!$AA$4))*10 ) ) ) )</f>
        <v>4.2849573925202957</v>
      </c>
      <c r="J113" s="42">
        <f>IF(ISBLANK('Aqueous Species Options'!B113), "", IF('Aqueous Species Options'!L113 = 0, 'Aqueous Species Options'!O113, IF('Aqueous Species Table'!I113="", "", IF('Aqueous Species Options'!B113="H+", 0, ((1.11*('Aqueous Species Options'!G113 + 'Aqueous Species Table'!O113*100000*0.0000005903*41.8393)+1.8)/41.8393 - 'Aqueous Species Table'!I113/10)*26.01 ) ) ) )</f>
        <v>-0.20343174155179186</v>
      </c>
      <c r="K113" s="42">
        <f>IF(ISBLANK('Aqueous Species Options'!B113), "", IF('Aqueous Species Options'!L113 = 0, 'Aqueous Species Options'!P113, IF('Aqueous Species Table'!I113="", "", IF('Aqueous Species Options'!B113="H+", 0, ('Aqueous Species Options'!G113/41.8393 + 'Aqueous Species Table'!O113*100000*0.0000005903 - 'Aqueous Species Table'!I113/10 - 'Aqueous Species Table'!J113*100/2601)*(298.15-228) - ('Aqueous Species Table'!L113*10000/2601) ) ) ) )</f>
        <v>5.0086763366992475</v>
      </c>
      <c r="L113" s="42">
        <f>IF(ISBLANK('Aqueous Species Options'!B113), "", IF('Aqueous Species Options'!L113 = 0, 'Aqueous Species Options'!Q113, IF('Aqueous Species Table'!J113="", "", IF('Aqueous Species Options'!B113="H+", 0, (-4.134*'Aqueous Species Table'!J113*100 - 27790)*0.0001) ) ) )</f>
        <v>-2.7705901318042487</v>
      </c>
      <c r="M113" s="42">
        <f>IF(ISBLANK('Aqueous Species Options'!B113), "", IF('Aqueous Species Options'!L113=0, 'Aqueous Species Options'!R113, IF('Aqueous Species Table'!N113="", "", IF('Aqueous Species Options'!B113="H+", 0, 'Aqueous Species Options'!H113 - 'Aqueous Species Table'!O113*100000*(-0.000000309)*298.15 - 'Aqueous Species Table'!N113*10000/(298.15-228)^2 ) ) ) )</f>
        <v>38.610949840585718</v>
      </c>
      <c r="N113" s="42">
        <f>IF(ISBLANK('Aqueous Species Options'!B113), "", IF('Aqueous Species Options'!L113=0, 'Aqueous Species Options'!S113, IF(OR(ISBLANK('Aqueous Species Options'!H113), 'Aqueous Species Table'!O113=""), "", IF('Aqueous Species Options'!B113="H+", 0, 0.2037*'Aqueous Species Options'!H113 - 3.0346) ) ) )</f>
        <v>6.6411499999999988</v>
      </c>
      <c r="O113" s="42">
        <f>IF(ISBLANK('Aqueous Species Options'!B113), "", IF('Aqueous Species Options'!K113=0, 'Aqueous Species Options'!I113, IF(OR('Aqueous Species Options'!J113&gt;4,'Aqueous Species Options'!J113&lt;-4), "", IF('Aqueous Species Options'!B113="H+", 0, IF('Aqueous Species Options'!J113=0, -0.038, IF(ISBLANK('Aqueous Species Options'!F113), "", -1514.4*'Aqueous Species Options'!F113*0.00001 + SUM(({4,3,2,1,-1,-2,-3,-4}='Aqueous Species Options'!J113)*{2.1764,1.5793,1.0579,0.5517,1.6291,3.2127,4.8115,6.486}) ) ) ) ) ) )</f>
        <v>0.5</v>
      </c>
      <c r="P113" s="1">
        <f>IF(ISBLANK('Aqueous Species Options'!J113), "", 'Aqueous Species Options'!J113)</f>
        <v>0</v>
      </c>
      <c r="Q113" s="184" t="str">
        <f>IF(ISBLANK('Aqueous Species Options'!T113), "", 'Aqueous Species Options'!T113)</f>
        <v>Sverjensky et al. (2014)</v>
      </c>
    </row>
    <row r="114" spans="2:17" ht="32" x14ac:dyDescent="0.2">
      <c r="B114" s="9" t="str">
        <f>IF(ISBLANK('Aqueous Species Options'!B114), "", 'Aqueous Species Options'!B114)</f>
        <v>HAsO4-2</v>
      </c>
      <c r="C114" s="9" t="str">
        <f>IF(ISBLANK('Aqueous Species Options'!C114), "", 'Aqueous Species Options'!C114)</f>
        <v>HAsO4(-2)</v>
      </c>
      <c r="D114" s="2">
        <f>IF(ISBLANK('Aqueous Species Options'!D114), "", 'Aqueous Species Options'!D114)</f>
        <v>-170790</v>
      </c>
      <c r="E114" s="1">
        <f>IF(ISBLANK('Aqueous Species Options'!E114), "", 'Aqueous Species Options'!E114)</f>
        <v>-216620</v>
      </c>
      <c r="F114" s="139">
        <f>IF(ISBLANK('Aqueous Species Options'!F114), "", 'Aqueous Species Options'!F114)</f>
        <v>-0.4</v>
      </c>
      <c r="G114" s="29">
        <f>IF(ISBLANK('Aqueous Species Options'!B114), "", IF('Aqueous Species Options'!L114 = 1, IF(ISBLANK('Aqueous Species Options'!G114), "", 'Aqueous Species Options'!G114), ('Aqueous Species Table'!I114/10 + ('Aqueous Species Table'!J114*100)/(Calculations!$C$12+Calculations!$C$9) + ('Aqueous Species Table'!K114 + ('Aqueous Species Table'!L114*10000)/(Calculations!$C$12+Calculations!$C$9))*(1/(Calculations!$C$8-Calculations!$C$13)) - 'Aqueous Species Table'!O114*100000*0.0000005903)*41.8393))</f>
        <v>13.000048067928327</v>
      </c>
      <c r="H114" s="29">
        <f>IF(ISBLANK('Aqueous Species Options'!B114), "", IF('Aqueous Species Options'!L114 = 1, IF(ISBLANK('Aqueous Species Options'!H114), "", 'Aqueous Species Options'!H114), 'Aqueous Species Table'!M114 + 'Aqueous Species Table'!N114*10000*(1/(Calculations!$C$8-Calculations!$C$13))^2 + 'Aqueous Species Table'!O114*100000*Calculations!$C$8*Calculations!$C$7))</f>
        <v>-51.800257961551424</v>
      </c>
      <c r="I114" s="42">
        <f>IF(ISBLANK('Aqueous Species Options'!B114), "", IF('Aqueous Species Options'!L114=0, 'Aqueous Species Options'!N114, IF(OR(ISBLANK('Aqueous Species Options'!G114),'Aqueous Species Table'!O114="", 'Aqueous Species Table'!P114=""), "", IF('Aqueous Species Options'!B114="H+", 0, (CHOOSE('Aqueous Species Options'!M114+1,'Aqueous Species Options'!$V$4*ABS('Aqueous Species Table'!P114)+'Aqueous Species Options'!$W$4,'Aqueous Species Options'!$Z$4)*('Aqueous Species Options'!G114 + 'Aqueous Species Table'!O114*100000*0.0000005903*41.8393) + CHOOSE('Aqueous Species Options'!M114+1,'Aqueous Species Options'!$X$4*ABS('Aqueous Species Table'!P114)+'Aqueous Species Options'!$Y$4,'Aqueous Species Options'!$AA$4))*10 ) ) ) )</f>
        <v>5.5894838466675489</v>
      </c>
      <c r="J114" s="42">
        <f>IF(ISBLANK('Aqueous Species Options'!B114), "", IF('Aqueous Species Options'!L114 = 0, 'Aqueous Species Options'!O114, IF('Aqueous Species Table'!I114="", "", IF('Aqueous Species Options'!B114="H+", 0, ((1.11*('Aqueous Species Options'!G114 + 'Aqueous Species Table'!O114*100000*0.0000005903*41.8393)+1.8)/41.8393 - 'Aqueous Species Table'!I114/10)*26.01 ) ) ) )</f>
        <v>1.0386068518100611</v>
      </c>
      <c r="K114" s="42">
        <f>IF(ISBLANK('Aqueous Species Options'!B114), "", IF('Aqueous Species Options'!L114 = 0, 'Aqueous Species Options'!P114, IF('Aqueous Species Table'!I114="", "", IF('Aqueous Species Options'!B114="H+", 0, ('Aqueous Species Options'!G114/41.8393 + 'Aqueous Species Table'!O114*100000*0.0000005903 - 'Aqueous Species Table'!I114/10 - 'Aqueous Species Table'!J114*100/2601)*(298.15-228) - ('Aqueous Species Table'!L114*10000/2601) ) ) ) )</f>
        <v>3.9672387466500956</v>
      </c>
      <c r="L114" s="42">
        <f>IF(ISBLANK('Aqueous Species Options'!B114), "", IF('Aqueous Species Options'!L114 = 0, 'Aqueous Species Options'!Q114, IF('Aqueous Species Table'!J114="", "", IF('Aqueous Species Options'!B114="H+", 0, (-4.134*'Aqueous Species Table'!J114*100 - 27790)*0.0001) ) ) )</f>
        <v>-2.8219360072538278</v>
      </c>
      <c r="M114" s="42">
        <f>IF(ISBLANK('Aqueous Species Options'!B114), "", IF('Aqueous Species Options'!L114=0, 'Aqueous Species Options'!R114, IF('Aqueous Species Table'!N114="", "", IF('Aqueous Species Options'!B114="H+", 0, 'Aqueous Species Options'!H114 - 'Aqueous Species Table'!O114*100000*(-0.000000309)*298.15 - 'Aqueous Species Table'!N114*10000/(298.15-228)^2 ) ) ) )</f>
        <v>5.4710254962622606</v>
      </c>
      <c r="N114" s="42">
        <f>IF(ISBLANK('Aqueous Species Options'!B114), "", IF('Aqueous Species Options'!L114=0, 'Aqueous Species Options'!S114, IF(OR(ISBLANK('Aqueous Species Options'!H114), 'Aqueous Species Table'!O114=""), "", IF('Aqueous Species Options'!B114="H+", 0, 0.2037*'Aqueous Species Options'!H114 - 3.0346) ) ) )</f>
        <v>-13.586312546768024</v>
      </c>
      <c r="O114" s="42">
        <f>IF(ISBLANK('Aqueous Species Options'!B114), "", IF('Aqueous Species Options'!K114=0, 'Aqueous Species Options'!I114, IF(OR('Aqueous Species Options'!J114&gt;4,'Aqueous Species Options'!J114&lt;-4), "", IF('Aqueous Species Options'!B114="H+", 0, IF('Aqueous Species Options'!J114=0, -0.038, IF(ISBLANK('Aqueous Species Options'!F114), "", -1514.4*'Aqueous Species Options'!F114*0.00001 + SUM(({4,3,2,1,-1,-2,-3,-4}='Aqueous Species Options'!J114)*{2.1764,1.5793,1.0579,0.5517,1.6291,3.2127,4.8115,6.486}) ) ) ) ) ) )</f>
        <v>3.2197</v>
      </c>
      <c r="P114" s="1">
        <f>IF(ISBLANK('Aqueous Species Options'!J114), "", 'Aqueous Species Options'!J114)</f>
        <v>-2</v>
      </c>
      <c r="Q114" s="184" t="str">
        <f>IF(ISBLANK('Aqueous Species Options'!T114), "", 'Aqueous Species Options'!T114)</f>
        <v>Shock et al. (1997) revised with new predicted a1 for complex species</v>
      </c>
    </row>
    <row r="115" spans="2:17" ht="15" customHeight="1" x14ac:dyDescent="0.2">
      <c r="B115" s="9" t="str">
        <f>IF(ISBLANK('Aqueous Species Options'!B115), "", 'Aqueous Species Options'!B115)</f>
        <v>HCl,aq</v>
      </c>
      <c r="C115" s="9" t="str">
        <f>IF(ISBLANK('Aqueous Species Options'!C115), "", 'Aqueous Species Options'!C115)</f>
        <v>HCl(0)</v>
      </c>
      <c r="D115" s="2">
        <f>IF(ISBLANK('Aqueous Species Options'!D115), "", 'Aqueous Species Options'!D115)</f>
        <v>-30410</v>
      </c>
      <c r="E115" s="1">
        <f>IF(ISBLANK('Aqueous Species Options'!E115), "", 'Aqueous Species Options'!E115)</f>
        <v>-42054</v>
      </c>
      <c r="F115" s="139">
        <f>IF(ISBLANK('Aqueous Species Options'!F115), "", 'Aqueous Species Options'!F115)</f>
        <v>3.2</v>
      </c>
      <c r="G115" s="29">
        <f>IF(ISBLANK('Aqueous Species Options'!B115), "", IF('Aqueous Species Options'!L115 = 1, IF(ISBLANK('Aqueous Species Options'!G115), "", 'Aqueous Species Options'!G115), ('Aqueous Species Table'!I115/10 + ('Aqueous Species Table'!J115*100)/(Calculations!$C$12+Calculations!$C$9) + ('Aqueous Species Table'!K115 + ('Aqueous Species Table'!L115*10000)/(Calculations!$C$12+Calculations!$C$9))*(1/(Calculations!$C$8-Calculations!$C$13)) - 'Aqueous Species Table'!O115*100000*0.0000005903)*41.8393))</f>
        <v>15</v>
      </c>
      <c r="H115" s="29">
        <f>IF(ISBLANK('Aqueous Species Options'!B115), "", IF('Aqueous Species Options'!L115 = 1, IF(ISBLANK('Aqueous Species Options'!H115), "", 'Aqueous Species Options'!H115), 'Aqueous Species Table'!M115 + 'Aqueous Species Table'!N115*10000*(1/(Calculations!$C$8-Calculations!$C$13))^2 + 'Aqueous Species Table'!O115*100000*Calculations!$C$8*Calculations!$C$7))</f>
        <v>39</v>
      </c>
      <c r="I115" s="42">
        <f>IF(ISBLANK('Aqueous Species Options'!B115), "", IF('Aqueous Species Options'!L115=0, 'Aqueous Species Options'!N115, IF(OR(ISBLANK('Aqueous Species Options'!G115),'Aqueous Species Table'!O115="", 'Aqueous Species Table'!P115=""), "", IF('Aqueous Species Options'!B115="H+", 0, (CHOOSE('Aqueous Species Options'!M115+1,'Aqueous Species Options'!$V$4*ABS('Aqueous Species Table'!P115)+'Aqueous Species Options'!$W$4,'Aqueous Species Options'!$Z$4)*('Aqueous Species Options'!G115 + 'Aqueous Species Table'!O115*100000*0.0000005903*41.8393) + CHOOSE('Aqueous Species Options'!M115+1,'Aqueous Species Options'!$X$4*ABS('Aqueous Species Table'!P115)+'Aqueous Species Options'!$Y$4,'Aqueous Species Options'!$AA$4))*10 ) ) ) )</f>
        <v>4.3376190429918822</v>
      </c>
      <c r="J115" s="42">
        <f>IF(ISBLANK('Aqueous Species Options'!B115), "", IF('Aqueous Species Options'!L115 = 0, 'Aqueous Species Options'!O115, IF('Aqueous Species Table'!I115="", "", IF('Aqueous Species Options'!B115="H+", 0, ((1.11*('Aqueous Species Options'!G115 + 'Aqueous Species Table'!O115*100000*0.0000005903*41.8393)+1.8)/41.8393 - 'Aqueous Species Table'!I115/10)*26.01 ) ) ) )</f>
        <v>-0.1532926262675389</v>
      </c>
      <c r="K115" s="42">
        <f>IF(ISBLANK('Aqueous Species Options'!B115), "", IF('Aqueous Species Options'!L115 = 0, 'Aqueous Species Options'!P115, IF('Aqueous Species Table'!I115="", "", IF('Aqueous Species Options'!B115="H+", 0, ('Aqueous Species Options'!G115/41.8393 + 'Aqueous Species Table'!O115*100000*0.0000005903 - 'Aqueous Species Table'!I115/10 - 'Aqueous Species Table'!J115*100/2601)*(298.15-228) - ('Aqueous Species Table'!L115*10000/2601) ) ) ) )</f>
        <v>4.9666351636890838</v>
      </c>
      <c r="L115" s="42">
        <f>IF(ISBLANK('Aqueous Species Options'!B115), "", IF('Aqueous Species Options'!L115 = 0, 'Aqueous Species Options'!Q115, IF('Aqueous Species Table'!J115="", "", IF('Aqueous Species Options'!B115="H+", 0, (-4.134*'Aqueous Species Table'!J115*100 - 27790)*0.0001) ) ) )</f>
        <v>-2.7726628828301001</v>
      </c>
      <c r="M115" s="42">
        <f>IF(ISBLANK('Aqueous Species Options'!B115), "", IF('Aqueous Species Options'!L115=0, 'Aqueous Species Options'!R115, IF('Aqueous Species Table'!N115="", "", IF('Aqueous Species Options'!B115="H+", 0, 'Aqueous Species Options'!H115 - 'Aqueous Species Table'!O115*100000*(-0.000000309)*298.15 - 'Aqueous Species Table'!N115*10000/(298.15-228)^2 ) ) ) )</f>
        <v>27.180441429650536</v>
      </c>
      <c r="N115" s="42">
        <f>IF(ISBLANK('Aqueous Species Options'!B115), "", IF('Aqueous Species Options'!L115=0, 'Aqueous Species Options'!S115, IF(OR(ISBLANK('Aqueous Species Options'!H115), 'Aqueous Species Table'!O115=""), "", IF('Aqueous Species Options'!B115="H+", 0, 0.2037*'Aqueous Species Options'!H115 - 3.0346) ) ) )</f>
        <v>4.9097</v>
      </c>
      <c r="O115" s="42">
        <f>IF(ISBLANK('Aqueous Species Options'!B115), "", IF('Aqueous Species Options'!K115=0, 'Aqueous Species Options'!I115, IF(OR('Aqueous Species Options'!J115&gt;4,'Aqueous Species Options'!J115&lt;-4), "", IF('Aqueous Species Options'!B115="H+", 0, IF('Aqueous Species Options'!J115=0, -0.038, IF(ISBLANK('Aqueous Species Options'!F115), "", -1514.4*'Aqueous Species Options'!F115*0.00001 + SUM(({4,3,2,1,-1,-2,-3,-4}='Aqueous Species Options'!J115)*{2.1764,1.5793,1.0579,0.5517,1.6291,3.2127,4.8115,6.486}) ) ) ) ) ) )</f>
        <v>-0.2</v>
      </c>
      <c r="P115" s="1">
        <f>IF(ISBLANK('Aqueous Species Options'!J115), "", 'Aqueous Species Options'!J115)</f>
        <v>0</v>
      </c>
      <c r="Q115" s="184" t="str">
        <f>IF(ISBLANK('Aqueous Species Options'!T115), "", 'Aqueous Species Options'!T115)</f>
        <v>Regression of Ruaya &amp; Seward (1987) &amp; Tagirov et al. (1997) with new full correlations</v>
      </c>
    </row>
    <row r="116" spans="2:17" ht="15" customHeight="1" x14ac:dyDescent="0.2">
      <c r="B116" s="9" t="str">
        <f>IF(ISBLANK('Aqueous Species Options'!B116), "", 'Aqueous Species Options'!B116)</f>
        <v>HCN,aq</v>
      </c>
      <c r="C116" s="9" t="str">
        <f>IF(ISBLANK('Aqueous Species Options'!C116), "", 'Aqueous Species Options'!C116)</f>
        <v>HCN(0)</v>
      </c>
      <c r="D116" s="2">
        <f>IF(ISBLANK('Aqueous Species Options'!D116), "", 'Aqueous Species Options'!D116)</f>
        <v>28600</v>
      </c>
      <c r="E116" s="1">
        <f>IF(ISBLANK('Aqueous Species Options'!E116), "", 'Aqueous Species Options'!E116)</f>
        <v>26500</v>
      </c>
      <c r="F116" s="139">
        <f>IF(ISBLANK('Aqueous Species Options'!F116), "", 'Aqueous Species Options'!F116)</f>
        <v>29.8</v>
      </c>
      <c r="G116" s="29">
        <f>IF(ISBLANK('Aqueous Species Options'!B116), "", IF('Aqueous Species Options'!L116 = 1, IF(ISBLANK('Aqueous Species Options'!G116), "", 'Aqueous Species Options'!G116), ('Aqueous Species Table'!I116/10 + ('Aqueous Species Table'!J116*100)/(Calculations!$C$12+Calculations!$C$9) + ('Aqueous Species Table'!K116 + ('Aqueous Species Table'!L116*10000)/(Calculations!$C$12+Calculations!$C$9))*(1/(Calculations!$C$8-Calculations!$C$13)) - 'Aqueous Species Table'!O116*100000*0.0000005903)*41.8393))</f>
        <v>45.9</v>
      </c>
      <c r="H116" s="29">
        <f>IF(ISBLANK('Aqueous Species Options'!B116), "", IF('Aqueous Species Options'!L116 = 1, IF(ISBLANK('Aqueous Species Options'!H116), "", 'Aqueous Species Options'!H116), 'Aqueous Species Table'!M116 + 'Aqueous Species Table'!N116*10000*(1/(Calculations!$C$8-Calculations!$C$13))^2 + 'Aqueous Species Table'!O116*100000*Calculations!$C$8*Calculations!$C$7))</f>
        <v>40.700000000000003</v>
      </c>
      <c r="I116" s="42">
        <f>IF(ISBLANK('Aqueous Species Options'!B116), "", IF('Aqueous Species Options'!L116=0, 'Aqueous Species Options'!N116, IF(OR(ISBLANK('Aqueous Species Options'!G116),'Aqueous Species Table'!O116="", 'Aqueous Species Table'!P116=""), "", IF('Aqueous Species Options'!B116="H+", 0, (CHOOSE('Aqueous Species Options'!M116+1,'Aqueous Species Options'!$V$4*ABS('Aqueous Species Table'!P116)+'Aqueous Species Options'!$W$4,'Aqueous Species Options'!$Z$4)*('Aqueous Species Options'!G116 + 'Aqueous Species Table'!O116*100000*0.0000005903*41.8393) + CHOOSE('Aqueous Species Options'!M116+1,'Aqueous Species Options'!$X$4*ABS('Aqueous Species Table'!P116)+'Aqueous Species Options'!$Y$4,'Aqueous Species Options'!$AA$4))*10 ) ) ) )</f>
        <v>10.381253422424983</v>
      </c>
      <c r="J116" s="42">
        <f>IF(ISBLANK('Aqueous Species Options'!B116), "", IF('Aqueous Species Options'!L116 = 0, 'Aqueous Species Options'!O116, IF('Aqueous Species Table'!I116="", "", IF('Aqueous Species Options'!B116="H+", 0, ((1.11*('Aqueous Species Options'!G116 + 'Aqueous Species Table'!O116*100000*0.0000005903*41.8393)+1.8)/41.8393 - 'Aqueous Species Table'!I116/10)*26.01 ) ) ) )</f>
        <v>5.6008468314341693</v>
      </c>
      <c r="K116" s="42">
        <f>IF(ISBLANK('Aqueous Species Options'!B116), "", IF('Aqueous Species Options'!L116 = 0, 'Aqueous Species Options'!P116, IF('Aqueous Species Table'!I116="", "", IF('Aqueous Species Options'!B116="H+", 0, ('Aqueous Species Options'!G116/41.8393 + 'Aqueous Species Table'!O116*100000*0.0000005903 - 'Aqueous Species Table'!I116/10 - 'Aqueous Species Table'!J116*100/2601)*(298.15-228) - ('Aqueous Species Table'!L116*10000/2601) ) ) ) )</f>
        <v>0.14184375892657997</v>
      </c>
      <c r="L116" s="42">
        <f>IF(ISBLANK('Aqueous Species Options'!B116), "", IF('Aqueous Species Options'!L116 = 0, 'Aqueous Species Options'!Q116, IF('Aqueous Species Table'!J116="", "", IF('Aqueous Species Options'!B116="H+", 0, (-4.134*'Aqueous Species Table'!J116*100 - 27790)*0.0001) ) ) )</f>
        <v>-3.0105390080114884</v>
      </c>
      <c r="M116" s="42">
        <f>IF(ISBLANK('Aqueous Species Options'!B116), "", IF('Aqueous Species Options'!L116=0, 'Aqueous Species Options'!R116, IF('Aqueous Species Table'!N116="", "", IF('Aqueous Species Options'!B116="H+", 0, 'Aqueous Species Options'!H116 - 'Aqueous Species Table'!O116*100000*(-0.000000309)*298.15 - 'Aqueous Species Table'!N116*10000/(298.15-228)^2 ) ) ) )</f>
        <v>28.993924676337578</v>
      </c>
      <c r="N116" s="42">
        <f>IF(ISBLANK('Aqueous Species Options'!B116), "", IF('Aqueous Species Options'!L116=0, 'Aqueous Species Options'!S116, IF(OR(ISBLANK('Aqueous Species Options'!H116), 'Aqueous Species Table'!O116=""), "", IF('Aqueous Species Options'!B116="H+", 0, 0.2037*'Aqueous Species Options'!H116 - 3.0346) ) ) )</f>
        <v>5.2559899999999997</v>
      </c>
      <c r="O116" s="42">
        <f>IF(ISBLANK('Aqueous Species Options'!B116), "", IF('Aqueous Species Options'!K116=0, 'Aqueous Species Options'!I116, IF(OR('Aqueous Species Options'!J116&gt;4,'Aqueous Species Options'!J116&lt;-4), "", IF('Aqueous Species Options'!B116="H+", 0, IF('Aqueous Species Options'!J116=0, -0.038, IF(ISBLANK('Aqueous Species Options'!F116), "", -1514.4*'Aqueous Species Options'!F116*0.00001 + SUM(({4,3,2,1,-1,-2,-3,-4}='Aqueous Species Options'!J116)*{2.1764,1.5793,1.0579,0.5517,1.6291,3.2127,4.8115,6.486}) ) ) ) ) ) )</f>
        <v>-0.1113</v>
      </c>
      <c r="P116" s="1">
        <f>IF(ISBLANK('Aqueous Species Options'!J116), "", 'Aqueous Species Options'!J116)</f>
        <v>0</v>
      </c>
      <c r="Q116" s="184" t="str">
        <f>IF(ISBLANK('Aqueous Species Options'!T116), "", 'Aqueous Species Options'!T116)</f>
        <v xml:space="preserve">Shock &amp; McKibben (1993) for c1, c2 and omega with revised a1 from correlation for complex species </v>
      </c>
    </row>
    <row r="117" spans="2:17" ht="15" customHeight="1" x14ac:dyDescent="0.2">
      <c r="B117" s="9" t="str">
        <f>IF(ISBLANK('Aqueous Species Options'!B117), "", 'Aqueous Species Options'!B117)</f>
        <v>HCO3-</v>
      </c>
      <c r="C117" s="9" t="str">
        <f>IF(ISBLANK('Aqueous Species Options'!C117), "", 'Aqueous Species Options'!C117)</f>
        <v>HCO3(-)</v>
      </c>
      <c r="D117" s="2">
        <f>IF(ISBLANK('Aqueous Species Options'!D117), "", 'Aqueous Species Options'!D117)</f>
        <v>-140282</v>
      </c>
      <c r="E117" s="1">
        <f>IF(ISBLANK('Aqueous Species Options'!E117), "", 'Aqueous Species Options'!E117)</f>
        <v>-164898</v>
      </c>
      <c r="F117" s="139">
        <f>IF(ISBLANK('Aqueous Species Options'!F117), "", 'Aqueous Species Options'!F117)</f>
        <v>23.53</v>
      </c>
      <c r="G117" s="29">
        <f>IF(ISBLANK('Aqueous Species Options'!B117), "", IF('Aqueous Species Options'!L117 = 1, IF(ISBLANK('Aqueous Species Options'!G117), "", 'Aqueous Species Options'!G117), ('Aqueous Species Table'!I117/10 + ('Aqueous Species Table'!J117*100)/(Calculations!$C$12+Calculations!$C$9) + ('Aqueous Species Table'!K117 + ('Aqueous Species Table'!L117*10000)/(Calculations!$C$12+Calculations!$C$9))*(1/(Calculations!$C$8-Calculations!$C$13)) - 'Aqueous Species Table'!O117*100000*0.0000005903)*41.8393))</f>
        <v>24.233611954909417</v>
      </c>
      <c r="H117" s="29">
        <f>IF(ISBLANK('Aqueous Species Options'!B117), "", IF('Aqueous Species Options'!L117 = 1, IF(ISBLANK('Aqueous Species Options'!H117), "", 'Aqueous Species Options'!H117), 'Aqueous Species Table'!M117 + 'Aqueous Species Table'!N117*10000*(1/(Calculations!$C$8-Calculations!$C$13))^2 + 'Aqueous Species Table'!O117*100000*Calculations!$C$8*Calculations!$C$7))</f>
        <v>-8.4526752207856468</v>
      </c>
      <c r="I117" s="42">
        <f>IF(ISBLANK('Aqueous Species Options'!B117), "", IF('Aqueous Species Options'!L117=0, 'Aqueous Species Options'!N117, IF(OR(ISBLANK('Aqueous Species Options'!G117),'Aqueous Species Table'!O117="", 'Aqueous Species Table'!P117=""), "", IF('Aqueous Species Options'!B117="H+", 0, (CHOOSE('Aqueous Species Options'!M117+1,'Aqueous Species Options'!$V$4*ABS('Aqueous Species Table'!P117)+'Aqueous Species Options'!$W$4,'Aqueous Species Options'!$Z$4)*('Aqueous Species Options'!G117 + 'Aqueous Species Table'!O117*100000*0.0000005903*41.8393) + CHOOSE('Aqueous Species Options'!M117+1,'Aqueous Species Options'!$X$4*ABS('Aqueous Species Table'!P117)+'Aqueous Species Options'!$Y$4,'Aqueous Species Options'!$AA$4))*10 ) ) ) )</f>
        <v>7.65</v>
      </c>
      <c r="J117" s="42">
        <f>IF(ISBLANK('Aqueous Species Options'!B117), "", IF('Aqueous Species Options'!L117 = 0, 'Aqueous Species Options'!O117, IF('Aqueous Species Table'!I117="", "", IF('Aqueous Species Options'!B117="H+", 0, ((1.11*('Aqueous Species Options'!G117 + 'Aqueous Species Table'!O117*100000*0.0000005903*41.8393)+1.8)/41.8393 - 'Aqueous Species Table'!I117/10)*26.01 ) ) ) )</f>
        <v>0.92</v>
      </c>
      <c r="K117" s="42">
        <f>IF(ISBLANK('Aqueous Species Options'!B117), "", IF('Aqueous Species Options'!L117 = 0, 'Aqueous Species Options'!P117, IF('Aqueous Species Table'!I117="", "", IF('Aqueous Species Options'!B117="H+", 0, ('Aqueous Species Options'!G117/41.8393 + 'Aqueous Species Table'!O117*100000*0.0000005903 - 'Aqueous Species Table'!I117/10 - 'Aqueous Species Table'!J117*100/2601)*(298.15-228) - ('Aqueous Species Table'!L117*10000/2601) ) ) ) )</f>
        <v>0.6</v>
      </c>
      <c r="L117" s="42">
        <f>IF(ISBLANK('Aqueous Species Options'!B117), "", IF('Aqueous Species Options'!L117 = 0, 'Aqueous Species Options'!Q117, IF('Aqueous Species Table'!J117="", "", IF('Aqueous Species Options'!B117="H+", 0, (-4.134*'Aqueous Species Table'!J117*100 - 27790)*0.0001) ) ) )</f>
        <v>-2.82</v>
      </c>
      <c r="M117" s="42">
        <f>IF(ISBLANK('Aqueous Species Options'!B117), "", IF('Aqueous Species Options'!L117=0, 'Aqueous Species Options'!R117, IF('Aqueous Species Table'!N117="", "", IF('Aqueous Species Options'!B117="H+", 0, 'Aqueous Species Options'!H117 - 'Aqueous Species Table'!O117*100000*(-0.000000309)*298.15 - 'Aqueous Species Table'!N117*10000/(298.15-228)^2 ) ) ) )</f>
        <v>11</v>
      </c>
      <c r="N117" s="42">
        <f>IF(ISBLANK('Aqueous Species Options'!B117), "", IF('Aqueous Species Options'!L117=0, 'Aqueous Species Options'!S117, IF(OR(ISBLANK('Aqueous Species Options'!H117), 'Aqueous Species Table'!O117=""), "", IF('Aqueous Species Options'!B117="H+", 0, 0.2037*'Aqueous Species Options'!H117 - 3.0346) ) ) )</f>
        <v>-3.8</v>
      </c>
      <c r="O117" s="42">
        <f>IF(ISBLANK('Aqueous Species Options'!B117), "", IF('Aqueous Species Options'!K117=0, 'Aqueous Species Options'!I117, IF(OR('Aqueous Species Options'!J117&gt;4,'Aqueous Species Options'!J117&lt;-4), "", IF('Aqueous Species Options'!B117="H+", 0, IF('Aqueous Species Options'!J117=0, -0.038, IF(ISBLANK('Aqueous Species Options'!F117), "", -1514.4*'Aqueous Species Options'!F117*0.00001 + SUM(({4,3,2,1,-1,-2,-3,-4}='Aqueous Species Options'!J117)*{2.1764,1.5793,1.0579,0.5517,1.6291,3.2127,4.8115,6.486}) ) ) ) ) ) )</f>
        <v>1.2733000000000001</v>
      </c>
      <c r="P117" s="1">
        <f>IF(ISBLANK('Aqueous Species Options'!J117), "", 'Aqueous Species Options'!J117)</f>
        <v>-1</v>
      </c>
      <c r="Q117" s="184" t="str">
        <f>IF(ISBLANK('Aqueous Species Options'!T117), "", 'Aqueous Species Options'!T117)</f>
        <v>Facq et al. (2014)</v>
      </c>
    </row>
    <row r="118" spans="2:17" ht="15" customHeight="1" x14ac:dyDescent="0.2">
      <c r="B118" s="9" t="str">
        <f>IF(ISBLANK('Aqueous Species Options'!B118), "", 'Aqueous Species Options'!B118)</f>
        <v>HCrO4-</v>
      </c>
      <c r="C118" s="9" t="str">
        <f>IF(ISBLANK('Aqueous Species Options'!C118), "", 'Aqueous Species Options'!C118)</f>
        <v>HCrO4(-)</v>
      </c>
      <c r="D118" s="2">
        <f>IF(ISBLANK('Aqueous Species Options'!D118), "", 'Aqueous Species Options'!D118)</f>
        <v>-182800</v>
      </c>
      <c r="E118" s="1">
        <f>IF(ISBLANK('Aqueous Species Options'!E118), "", 'Aqueous Species Options'!E118)</f>
        <v>-209900</v>
      </c>
      <c r="F118" s="139">
        <f>IF(ISBLANK('Aqueous Species Options'!F118), "", 'Aqueous Species Options'!F118)</f>
        <v>44</v>
      </c>
      <c r="G118" s="29">
        <f>IF(ISBLANK('Aqueous Species Options'!B118), "", IF('Aqueous Species Options'!L118 = 1, IF(ISBLANK('Aqueous Species Options'!G118), "", 'Aqueous Species Options'!G118), ('Aqueous Species Table'!I118/10 + ('Aqueous Species Table'!J118*100)/(Calculations!$C$12+Calculations!$C$9) + ('Aqueous Species Table'!K118 + ('Aqueous Species Table'!L118*10000)/(Calculations!$C$12+Calculations!$C$9))*(1/(Calculations!$C$8-Calculations!$C$13)) - 'Aqueous Species Table'!O118*100000*0.0000005903)*41.8393))</f>
        <v>44.0002332549264</v>
      </c>
      <c r="H118" s="29">
        <f>IF(ISBLANK('Aqueous Species Options'!B118), "", IF('Aqueous Species Options'!L118 = 1, IF(ISBLANK('Aqueous Species Options'!H118), "", 'Aqueous Species Options'!H118), 'Aqueous Species Table'!M118 + 'Aqueous Species Table'!N118*10000*(1/(Calculations!$C$8-Calculations!$C$13))^2 + 'Aqueous Species Table'!O118*100000*Calculations!$C$8*Calculations!$C$7))</f>
        <v>20.400388815708865</v>
      </c>
      <c r="I118" s="42">
        <f>IF(ISBLANK('Aqueous Species Options'!B118), "", IF('Aqueous Species Options'!L118=0, 'Aqueous Species Options'!N118, IF(OR(ISBLANK('Aqueous Species Options'!G118),'Aqueous Species Table'!O118="", 'Aqueous Species Table'!P118=""), "", IF('Aqueous Species Options'!B118="H+", 0, (CHOOSE('Aqueous Species Options'!M118+1,'Aqueous Species Options'!$V$4*ABS('Aqueous Species Table'!P118)+'Aqueous Species Options'!$W$4,'Aqueous Species Options'!$Z$4)*('Aqueous Species Options'!G118 + 'Aqueous Species Table'!O118*100000*0.0000005903*41.8393) + CHOOSE('Aqueous Species Options'!M118+1,'Aqueous Species Options'!$X$4*ABS('Aqueous Species Table'!P118)+'Aqueous Species Options'!$Y$4,'Aqueous Species Options'!$AA$4))*10 ) ) ) )</f>
        <v>10.527209134605313</v>
      </c>
      <c r="J118" s="42">
        <f>IF(ISBLANK('Aqueous Species Options'!B118), "", IF('Aqueous Species Options'!L118 = 0, 'Aqueous Species Options'!O118, IF('Aqueous Species Table'!I118="", "", IF('Aqueous Species Options'!B118="H+", 0, ((1.11*('Aqueous Species Options'!G118 + 'Aqueous Species Table'!O118*100000*0.0000005903*41.8393)+1.8)/41.8393 - 'Aqueous Species Table'!I118/10)*26.01 ) ) ) )</f>
        <v>5.7398111482353009</v>
      </c>
      <c r="K118" s="42">
        <f>IF(ISBLANK('Aqueous Species Options'!B118), "", IF('Aqueous Species Options'!L118 = 0, 'Aqueous Species Options'!P118, IF('Aqueous Species Table'!I118="", "", IF('Aqueous Species Options'!B118="H+", 0, ('Aqueous Species Options'!G118/41.8393 + 'Aqueous Species Table'!O118*100000*0.0000005903 - 'Aqueous Species Table'!I118/10 - 'Aqueous Species Table'!J118*100/2601)*(298.15-228) - ('Aqueous Species Table'!L118*10000/2601) ) ) ) )</f>
        <v>2.5323496218435437E-2</v>
      </c>
      <c r="L118" s="42">
        <f>IF(ISBLANK('Aqueous Species Options'!B118), "", IF('Aqueous Species Options'!L118 = 0, 'Aqueous Species Options'!Q118, IF('Aqueous Species Table'!J118="", "", IF('Aqueous Species Options'!B118="H+", 0, (-4.134*'Aqueous Species Table'!J118*100 - 27790)*0.0001) ) ) )</f>
        <v>-3.0162837928680477</v>
      </c>
      <c r="M118" s="42">
        <f>IF(ISBLANK('Aqueous Species Options'!B118), "", IF('Aqueous Species Options'!L118=0, 'Aqueous Species Options'!R118, IF('Aqueous Species Table'!N118="", "", IF('Aqueous Species Options'!B118="H+", 0, 'Aqueous Species Options'!H118 - 'Aqueous Species Table'!O118*100000*(-0.000000309)*298.15 - 'Aqueous Species Table'!N118*10000/(298.15-228)^2 ) ) ) )</f>
        <v>26.98707969622188</v>
      </c>
      <c r="N118" s="42">
        <f>IF(ISBLANK('Aqueous Species Options'!B118), "", IF('Aqueous Species Options'!L118=0, 'Aqueous Species Options'!S118, IF(OR(ISBLANK('Aqueous Species Options'!H118), 'Aqueous Species Table'!O118=""), "", IF('Aqueous Species Options'!B118="H+", 0, 0.2037*'Aqueous Species Options'!H118 - 3.0346) ) ) )</f>
        <v>1.1209592017598959</v>
      </c>
      <c r="O118" s="42">
        <f>IF(ISBLANK('Aqueous Species Options'!B118), "", IF('Aqueous Species Options'!K118=0, 'Aqueous Species Options'!I118, IF(OR('Aqueous Species Options'!J118&gt;4,'Aqueous Species Options'!J118&lt;-4), "", IF('Aqueous Species Options'!B118="H+", 0, IF('Aqueous Species Options'!J118=0, -0.038, IF(ISBLANK('Aqueous Species Options'!F118), "", -1514.4*'Aqueous Species Options'!F118*0.00001 + SUM(({4,3,2,1,-1,-2,-3,-4}='Aqueous Species Options'!J118)*{2.1764,1.5793,1.0579,0.5517,1.6291,3.2127,4.8115,6.486}) ) ) ) ) ) )</f>
        <v>0.96220000000000006</v>
      </c>
      <c r="P118" s="1">
        <f>IF(ISBLANK('Aqueous Species Options'!J118), "", 'Aqueous Species Options'!J118)</f>
        <v>-1</v>
      </c>
      <c r="Q118" s="184" t="str">
        <f>IF(ISBLANK('Aqueous Species Options'!T118), "", 'Aqueous Species Options'!T118)</f>
        <v>Shock et al. (1997) revised with new predicted a1 for complex species</v>
      </c>
    </row>
    <row r="119" spans="2:17" ht="15" customHeight="1" x14ac:dyDescent="0.2">
      <c r="B119" s="9" t="str">
        <f>IF(ISBLANK('Aqueous Species Options'!B119), "", 'Aqueous Species Options'!B119)</f>
        <v>He,aq</v>
      </c>
      <c r="C119" s="9" t="str">
        <f>IF(ISBLANK('Aqueous Species Options'!C119), "", 'Aqueous Species Options'!C119)</f>
        <v>He(0)</v>
      </c>
      <c r="D119" s="2">
        <f>IF(ISBLANK('Aqueous Species Options'!D119), "", 'Aqueous Species Options'!D119)</f>
        <v>4658</v>
      </c>
      <c r="E119" s="1">
        <f>IF(ISBLANK('Aqueous Species Options'!E119), "", 'Aqueous Species Options'!E119)</f>
        <v>-150</v>
      </c>
      <c r="F119" s="139">
        <f>IF(ISBLANK('Aqueous Species Options'!F119), "", 'Aqueous Species Options'!F119)</f>
        <v>14.02</v>
      </c>
      <c r="G119" s="29">
        <f>IF(ISBLANK('Aqueous Species Options'!B119), "", IF('Aqueous Species Options'!L119 = 1, IF(ISBLANK('Aqueous Species Options'!G119), "", 'Aqueous Species Options'!G119), ('Aqueous Species Table'!I119/10 + ('Aqueous Species Table'!J119*100)/(Calculations!$C$12+Calculations!$C$9) + ('Aqueous Species Table'!K119 + ('Aqueous Species Table'!L119*10000)/(Calculations!$C$12+Calculations!$C$9))*(1/(Calculations!$C$8-Calculations!$C$13)) - 'Aqueous Species Table'!O119*100000*0.0000005903)*41.8393))</f>
        <v>13.000157183830472</v>
      </c>
      <c r="H119" s="29">
        <f>IF(ISBLANK('Aqueous Species Options'!B119), "", IF('Aqueous Species Options'!L119 = 1, IF(ISBLANK('Aqueous Species Options'!H119), "", 'Aqueous Species Options'!H119), 'Aqueous Species Table'!M119 + 'Aqueous Species Table'!N119*10000*(1/(Calculations!$C$8-Calculations!$C$13))^2 + 'Aqueous Species Table'!O119*100000*Calculations!$C$8*Calculations!$C$7))</f>
        <v>37.299860902056452</v>
      </c>
      <c r="I119" s="42">
        <f>IF(ISBLANK('Aqueous Species Options'!B119), "", IF('Aqueous Species Options'!L119=0, 'Aqueous Species Options'!N119, IF(OR(ISBLANK('Aqueous Species Options'!G119),'Aqueous Species Table'!O119="", 'Aqueous Species Table'!P119=""), "", IF('Aqueous Species Options'!B119="H+", 0, (CHOOSE('Aqueous Species Options'!M119+1,'Aqueous Species Options'!$V$4*ABS('Aqueous Species Table'!P119)+'Aqueous Species Options'!$W$4,'Aqueous Species Options'!$Z$4)*('Aqueous Species Options'!G119 + 'Aqueous Species Table'!O119*100000*0.0000005903*41.8393) + CHOOSE('Aqueous Species Options'!M119+1,'Aqueous Species Options'!$X$4*ABS('Aqueous Species Table'!P119)+'Aqueous Species Options'!$Y$4,'Aqueous Species Options'!$AA$4))*10 ) ) ) )</f>
        <v>3.4722</v>
      </c>
      <c r="J119" s="42">
        <f>IF(ISBLANK('Aqueous Species Options'!B119), "", IF('Aqueous Species Options'!L119 = 0, 'Aqueous Species Options'!O119, IF('Aqueous Species Table'!I119="", "", IF('Aqueous Species Options'!B119="H+", 0, ((1.11*('Aqueous Species Options'!G119 + 'Aqueous Species Table'!O119*100000*0.0000005903*41.8393)+1.8)/41.8393 - 'Aqueous Species Table'!I119/10)*26.01 ) ) ) )</f>
        <v>0.69669999999999999</v>
      </c>
      <c r="K119" s="42">
        <f>IF(ISBLANK('Aqueous Species Options'!B119), "", IF('Aqueous Species Options'!L119 = 0, 'Aqueous Species Options'!P119, IF('Aqueous Species Table'!I119="", "", IF('Aqueous Species Options'!B119="H+", 0, ('Aqueous Species Options'!G119/41.8393 + 'Aqueous Species Table'!O119*100000*0.0000005903 - 'Aqueous Species Table'!I119/10 - 'Aqueous Species Table'!J119*100/2601)*(298.15-228) - ('Aqueous Species Table'!L119*10000/2601) ) ) ) )</f>
        <v>5.4762000000000004</v>
      </c>
      <c r="L119" s="42">
        <f>IF(ISBLANK('Aqueous Species Options'!B119), "", IF('Aqueous Species Options'!L119 = 0, 'Aqueous Species Options'!Q119, IF('Aqueous Species Table'!J119="", "", IF('Aqueous Species Options'!B119="H+", 0, (-4.134*'Aqueous Species Table'!J119*100 - 27790)*0.0001) ) ) )</f>
        <v>-2.8077999999999999</v>
      </c>
      <c r="M119" s="42">
        <f>IF(ISBLANK('Aqueous Species Options'!B119), "", IF('Aqueous Species Options'!L119=0, 'Aqueous Species Options'!R119, IF('Aqueous Species Table'!N119="", "", IF('Aqueous Species Options'!B119="H+", 0, 'Aqueous Species Options'!H119 - 'Aqueous Species Table'!O119*100000*(-0.000000309)*298.15 - 'Aqueous Species Table'!N119*10000/(298.15-228)^2 ) ) ) )</f>
        <v>26.070699999999999</v>
      </c>
      <c r="N119" s="42">
        <f>IF(ISBLANK('Aqueous Species Options'!B119), "", IF('Aqueous Species Options'!L119=0, 'Aqueous Species Options'!S119, IF(OR(ISBLANK('Aqueous Species Options'!H119), 'Aqueous Species Table'!O119=""), "", IF('Aqueous Species Options'!B119="H+", 0, 0.2037*'Aqueous Species Options'!H119 - 3.0346) ) ) )</f>
        <v>4.5633999999999997</v>
      </c>
      <c r="O119" s="42">
        <f>IF(ISBLANK('Aqueous Species Options'!B119), "", IF('Aqueous Species Options'!K119=0, 'Aqueous Species Options'!I119, IF(OR('Aqueous Species Options'!J119&gt;4,'Aqueous Species Options'!J119&lt;-4), "", IF('Aqueous Species Options'!B119="H+", 0, IF('Aqueous Species Options'!J119=0, -0.038, IF(ISBLANK('Aqueous Species Options'!F119), "", -1514.4*'Aqueous Species Options'!F119*0.00001 + SUM(({4,3,2,1,-1,-2,-3,-4}='Aqueous Species Options'!J119)*{2.1764,1.5793,1.0579,0.5517,1.6291,3.2127,4.8115,6.486}) ) ) ) ) ) )</f>
        <v>-0.21229999999999999</v>
      </c>
      <c r="P119" s="1">
        <f>IF(ISBLANK('Aqueous Species Options'!J119), "", 'Aqueous Species Options'!J119)</f>
        <v>0</v>
      </c>
      <c r="Q119" s="184" t="str">
        <f>IF(ISBLANK('Aqueous Species Options'!T119), "", 'Aqueous Species Options'!T119)</f>
        <v>Shock et al. (1989)</v>
      </c>
    </row>
    <row r="120" spans="2:17" ht="48" x14ac:dyDescent="0.2">
      <c r="B120" s="9" t="str">
        <f>IF(ISBLANK('Aqueous Species Options'!B120), "", 'Aqueous Species Options'!B120)</f>
        <v>HEXANE,AQ</v>
      </c>
      <c r="C120" s="9" t="str">
        <f>IF(ISBLANK('Aqueous Species Options'!C120), "", 'Aqueous Species Options'!C120)</f>
        <v>C6H14</v>
      </c>
      <c r="D120" s="2">
        <f>IF(ISBLANK('Aqueous Species Options'!D120), "", 'Aqueous Species Options'!D120)</f>
        <v>4420</v>
      </c>
      <c r="E120" s="1">
        <f>IF(ISBLANK('Aqueous Species Options'!E120), "", 'Aqueous Species Options'!E120)</f>
        <v>-47400</v>
      </c>
      <c r="F120" s="139">
        <f>IF(ISBLANK('Aqueous Species Options'!F120), "", 'Aqueous Species Options'!F120)</f>
        <v>53.2</v>
      </c>
      <c r="G120" s="29">
        <f>IF(ISBLANK('Aqueous Species Options'!B120), "", IF('Aqueous Species Options'!L120 = 1, IF(ISBLANK('Aqueous Species Options'!G120), "", 'Aqueous Species Options'!G120), ('Aqueous Species Table'!I120/10 + ('Aqueous Species Table'!J120*100)/(Calculations!$C$12+Calculations!$C$9) + ('Aqueous Species Table'!K120 + ('Aqueous Species Table'!L120*10000)/(Calculations!$C$12+Calculations!$C$9))*(1/(Calculations!$C$8-Calculations!$C$13)) - 'Aqueous Species Table'!O120*100000*0.0000005903)*41.8393))</f>
        <v>114</v>
      </c>
      <c r="H120" s="29">
        <f>IF(ISBLANK('Aqueous Species Options'!B120), "", IF('Aqueous Species Options'!L120 = 1, IF(ISBLANK('Aqueous Species Options'!H120), "", 'Aqueous Species Options'!H120), 'Aqueous Species Table'!M120 + 'Aqueous Species Table'!N120*10000*(1/(Calculations!$C$8-Calculations!$C$13))^2 + 'Aqueous Species Table'!O120*100000*Calculations!$C$8*Calculations!$C$7))</f>
        <v>159.06828654251839</v>
      </c>
      <c r="I120" s="42">
        <f>IF(ISBLANK('Aqueous Species Options'!B120), "", IF('Aqueous Species Options'!L120=0, 'Aqueous Species Options'!N120, IF(OR(ISBLANK('Aqueous Species Options'!G120),'Aqueous Species Table'!O120="", 'Aqueous Species Table'!P120=""), "", IF('Aqueous Species Options'!B120="H+", 0, (CHOOSE('Aqueous Species Options'!M120+1,'Aqueous Species Options'!$V$4*ABS('Aqueous Species Table'!P120)+'Aqueous Species Options'!$W$4,'Aqueous Species Options'!$Z$4)*('Aqueous Species Options'!G120 + 'Aqueous Species Table'!O120*100000*0.0000005903*41.8393) + CHOOSE('Aqueous Species Options'!M120+1,'Aqueous Species Options'!$X$4*ABS('Aqueous Species Table'!P120)+'Aqueous Species Options'!$Y$4,'Aqueous Species Options'!$AA$4))*10 ) ) ) )</f>
        <v>23.434902251030923</v>
      </c>
      <c r="J120" s="42">
        <f>IF(ISBLANK('Aqueous Species Options'!B120), "", IF('Aqueous Species Options'!L120 = 0, 'Aqueous Species Options'!O120, IF('Aqueous Species Table'!I120="", "", IF('Aqueous Species Options'!B120="H+", 0, ((1.11*('Aqueous Species Options'!G120 + 'Aqueous Species Table'!O120*100000*0.0000005903*41.8393)+1.8)/41.8393 - 'Aqueous Species Table'!I120/10)*26.01 ) ) ) )</f>
        <v>18.029215438124901</v>
      </c>
      <c r="K120" s="42">
        <f>IF(ISBLANK('Aqueous Species Options'!B120), "", IF('Aqueous Species Options'!L120 = 0, 'Aqueous Species Options'!P120, IF('Aqueous Species Table'!I120="", "", IF('Aqueous Species Options'!B120="H+", 0, ('Aqueous Species Options'!G120/41.8393 + 'Aqueous Species Table'!O120*100000*0.0000005903 - 'Aqueous Species Table'!I120/10 - 'Aqueous Species Table'!J120*100/2601)*(298.15-228) - ('Aqueous Species Table'!L120*10000/2601) ) ) ) )</f>
        <v>-10.279225537286145</v>
      </c>
      <c r="L120" s="42">
        <f>IF(ISBLANK('Aqueous Species Options'!B120), "", IF('Aqueous Species Options'!L120 = 0, 'Aqueous Species Options'!Q120, IF('Aqueous Species Table'!J120="", "", IF('Aqueous Species Options'!B120="H+", 0, (-4.134*'Aqueous Species Table'!J120*100 - 27790)*0.0001) ) ) )</f>
        <v>-3.5243277662120835</v>
      </c>
      <c r="M120" s="42">
        <f>IF(ISBLANK('Aqueous Species Options'!B120), "", IF('Aqueous Species Options'!L120=0, 'Aqueous Species Options'!R120, IF('Aqueous Species Table'!N120="", "", IF('Aqueous Species Options'!B120="H+", 0, 'Aqueous Species Options'!H120 - 'Aqueous Species Table'!O120*100000*(-0.000000309)*298.15 - 'Aqueous Species Table'!N120*10000/(298.15-228)^2 ) ) ) )</f>
        <v>108</v>
      </c>
      <c r="N120" s="42">
        <f>IF(ISBLANK('Aqueous Species Options'!B120), "", IF('Aqueous Species Options'!L120=0, 'Aqueous Species Options'!S120, IF(OR(ISBLANK('Aqueous Species Options'!H120), 'Aqueous Species Table'!O120=""), "", IF('Aqueous Species Options'!B120="H+", 0, 0.2037*'Aqueous Species Options'!H120 - 3.0346) ) ) )</f>
        <v>23</v>
      </c>
      <c r="O120" s="42">
        <f>IF(ISBLANK('Aqueous Species Options'!B120), "", IF('Aqueous Species Options'!K120=0, 'Aqueous Species Options'!I120, IF(OR('Aqueous Species Options'!J120&gt;4,'Aqueous Species Options'!J120&lt;-4), "", IF('Aqueous Species Options'!B120="H+", 0, IF('Aqueous Species Options'!J120=0, -0.038, IF(ISBLANK('Aqueous Species Options'!F120), "", -1514.4*'Aqueous Species Options'!F120*0.00001 + SUM(({4,3,2,1,-1,-2,-3,-4}='Aqueous Species Options'!J120)*{2.1764,1.5793,1.0579,0.5517,1.6291,3.2127,4.8115,6.486}) ) ) ) ) ) )</f>
        <v>-0.47</v>
      </c>
      <c r="P120" s="1">
        <f>IF(ISBLANK('Aqueous Species Options'!J120), "", 'Aqueous Species Options'!J120)</f>
        <v>0</v>
      </c>
      <c r="Q120" s="184" t="str">
        <f>IF(ISBLANK('Aqueous Species Options'!T120), "", 'Aqueous Species Options'!T120)</f>
        <v>Plyasunov &amp; Shock (2001) for c1, c2 &amp; omega; a1 predicted with new correlation for complex species from Sverjensky et al. (2014)</v>
      </c>
    </row>
    <row r="121" spans="2:17" ht="15" customHeight="1" x14ac:dyDescent="0.2">
      <c r="B121" s="9" t="str">
        <f>IF(ISBLANK('Aqueous Species Options'!B121), "", 'Aqueous Species Options'!B121)</f>
        <v>HFeO2-</v>
      </c>
      <c r="C121" s="9" t="str">
        <f>IF(ISBLANK('Aqueous Species Options'!C121), "", 'Aqueous Species Options'!C121)</f>
        <v>HFeO2(-)</v>
      </c>
      <c r="D121" s="2">
        <f>IF(ISBLANK('Aqueous Species Options'!D121), "", 'Aqueous Species Options'!D121)</f>
        <v>-94400</v>
      </c>
      <c r="E121" s="1" t="str">
        <f>IF(ISBLANK('Aqueous Species Options'!E121), "", 'Aqueous Species Options'!E121)</f>
        <v/>
      </c>
      <c r="F121" s="139">
        <f>IF(ISBLANK('Aqueous Species Options'!F121), "", 'Aqueous Species Options'!F121)</f>
        <v>-15</v>
      </c>
      <c r="G121" s="29">
        <f>IF(ISBLANK('Aqueous Species Options'!B121), "", IF('Aqueous Species Options'!L121 = 1, IF(ISBLANK('Aqueous Species Options'!G121), "", 'Aqueous Species Options'!G121), ('Aqueous Species Table'!I121/10 + ('Aqueous Species Table'!J121*100)/(Calculations!$C$12+Calculations!$C$9) + ('Aqueous Species Table'!K121 + ('Aqueous Species Table'!L121*10000)/(Calculations!$C$12+Calculations!$C$9))*(1/(Calculations!$C$8-Calculations!$C$13)) - 'Aqueous Species Table'!O121*100000*0.0000005903)*41.8393))</f>
        <v>20</v>
      </c>
      <c r="H121" s="29">
        <f>IF(ISBLANK('Aqueous Species Options'!B121), "", IF('Aqueous Species Options'!L121 = 1, IF(ISBLANK('Aqueous Species Options'!H121), "", 'Aqueous Species Options'!H121), 'Aqueous Species Table'!M121 + 'Aqueous Species Table'!N121*10000*(1/(Calculations!$C$8-Calculations!$C$13))^2 + 'Aqueous Species Table'!O121*100000*Calculations!$C$8*Calculations!$C$7))</f>
        <v>22</v>
      </c>
      <c r="I121" s="42">
        <f>IF(ISBLANK('Aqueous Species Options'!B121), "", IF('Aqueous Species Options'!L121=0, 'Aqueous Species Options'!N121, IF(OR(ISBLANK('Aqueous Species Options'!G121),'Aqueous Species Table'!O121="", 'Aqueous Species Table'!P121=""), "", IF('Aqueous Species Options'!B121="H+", 0, (CHOOSE('Aqueous Species Options'!M121+1,'Aqueous Species Options'!$V$4*ABS('Aqueous Species Table'!P121)+'Aqueous Species Options'!$W$4,'Aqueous Species Options'!$Z$4)*('Aqueous Species Options'!G121 + 'Aqueous Species Table'!O121*100000*0.0000005903*41.8393) + CHOOSE('Aqueous Species Options'!M121+1,'Aqueous Species Options'!$X$4*ABS('Aqueous Species Table'!P121)+'Aqueous Species Options'!$Y$4,'Aqueous Species Options'!$AA$4))*10 ) ) ) )</f>
        <v>6.2949639912794453</v>
      </c>
      <c r="J121" s="42">
        <f>IF(ISBLANK('Aqueous Species Options'!B121), "", IF('Aqueous Species Options'!L121 = 0, 'Aqueous Species Options'!O121, IF('Aqueous Species Table'!I121="", "", IF('Aqueous Species Options'!B121="H+", 0, ((1.11*('Aqueous Species Options'!G121 + 'Aqueous Species Table'!O121*100000*0.0000005903*41.8393)+1.8)/41.8393 - 'Aqueous Species Table'!I121/10)*26.01 ) ) ) )</f>
        <v>1.7102939331052087</v>
      </c>
      <c r="K121" s="42">
        <f>IF(ISBLANK('Aqueous Species Options'!B121), "", IF('Aqueous Species Options'!L121 = 0, 'Aqueous Species Options'!P121, IF('Aqueous Species Table'!I121="", "", IF('Aqueous Species Options'!B121="H+", 0, ('Aqueous Species Options'!G121/41.8393 + 'Aqueous Species Table'!O121*100000*0.0000005903 - 'Aqueous Species Table'!I121/10 - 'Aqueous Species Table'!J121*100/2601)*(298.15-228) - ('Aqueous Species Table'!L121*10000/2601) ) ) ) )</f>
        <v>3.4040354943922511</v>
      </c>
      <c r="L121" s="42">
        <f>IF(ISBLANK('Aqueous Species Options'!B121), "", IF('Aqueous Species Options'!L121 = 0, 'Aqueous Species Options'!Q121, IF('Aqueous Species Table'!J121="", "", IF('Aqueous Species Options'!B121="H+", 0, (-4.134*'Aqueous Species Table'!J121*100 - 27790)*0.0001) ) ) )</f>
        <v>-2.8497035511945694</v>
      </c>
      <c r="M121" s="42">
        <f>IF(ISBLANK('Aqueous Species Options'!B121), "", IF('Aqueous Species Options'!L121=0, 'Aqueous Species Options'!R121, IF('Aqueous Species Table'!N121="", "", IF('Aqueous Species Options'!B121="H+", 0, 'Aqueous Species Options'!H121 - 'Aqueous Species Table'!O121*100000*(-0.000000309)*298.15 - 'Aqueous Species Table'!N121*10000/(298.15-228)^2 ) ) ) )</f>
        <v>36.161377704880188</v>
      </c>
      <c r="N121" s="42">
        <f>IF(ISBLANK('Aqueous Species Options'!B121), "", IF('Aqueous Species Options'!L121=0, 'Aqueous Species Options'!S121, IF(OR(ISBLANK('Aqueous Species Options'!H121), 'Aqueous Species Table'!O121=""), "", IF('Aqueous Species Options'!B121="H+", 0, 0.2037*'Aqueous Species Options'!H121 - 3.0346) ) ) )</f>
        <v>1.4467999999999996</v>
      </c>
      <c r="O121" s="42">
        <f>IF(ISBLANK('Aqueous Species Options'!B121), "", IF('Aqueous Species Options'!K121=0, 'Aqueous Species Options'!I121, IF(OR('Aqueous Species Options'!J121&gt;4,'Aqueous Species Options'!J121&lt;-4), "", IF('Aqueous Species Options'!B121="H+", 0, IF('Aqueous Species Options'!J121=0, -0.038, IF(ISBLANK('Aqueous Species Options'!F121), "", -1514.4*'Aqueous Species Options'!F121*0.00001 + SUM(({4,3,2,1,-1,-2,-3,-4}='Aqueous Species Options'!J121)*{2.1764,1.5793,1.0579,0.5517,1.6291,3.2127,4.8115,6.486}) ) ) ) ) ) )</f>
        <v>1.85626</v>
      </c>
      <c r="P121" s="1">
        <f>IF(ISBLANK('Aqueous Species Options'!J121), "", 'Aqueous Species Options'!J121)</f>
        <v>-1</v>
      </c>
      <c r="Q121" s="184" t="str">
        <f>IF(ISBLANK('Aqueous Species Options'!T121), "", 'Aqueous Species Options'!T121)</f>
        <v>31/1/17 G, S, Cp from SSWS97 regression of Sweeton &amp; Baes (1970); V from estimate to have similar behavior to MgO,aq</v>
      </c>
    </row>
    <row r="122" spans="2:17" ht="15" customHeight="1" x14ac:dyDescent="0.2">
      <c r="B122" s="9" t="str">
        <f>IF(ISBLANK('Aqueous Species Options'!B122), "", 'Aqueous Species Options'!B122)</f>
        <v>Hg+2</v>
      </c>
      <c r="C122" s="9" t="str">
        <f>IF(ISBLANK('Aqueous Species Options'!C122), "", 'Aqueous Species Options'!C122)</f>
        <v>Hg(+2)</v>
      </c>
      <c r="D122" s="2">
        <f>IF(ISBLANK('Aqueous Species Options'!D122), "", 'Aqueous Species Options'!D122)</f>
        <v>39360</v>
      </c>
      <c r="E122" s="1">
        <f>IF(ISBLANK('Aqueous Species Options'!E122), "", 'Aqueous Species Options'!E122)</f>
        <v>40670</v>
      </c>
      <c r="F122" s="139">
        <f>IF(ISBLANK('Aqueous Species Options'!F122), "", 'Aqueous Species Options'!F122)</f>
        <v>-8.68</v>
      </c>
      <c r="G122" s="29">
        <f>IF(ISBLANK('Aqueous Species Options'!B122), "", IF('Aqueous Species Options'!L122 = 1, IF(ISBLANK('Aqueous Species Options'!G122), "", 'Aqueous Species Options'!G122), ('Aqueous Species Table'!I122/10 + ('Aqueous Species Table'!J122*100)/(Calculations!$C$12+Calculations!$C$9) + ('Aqueous Species Table'!K122 + ('Aqueous Species Table'!L122*10000)/(Calculations!$C$12+Calculations!$C$9))*(1/(Calculations!$C$8-Calculations!$C$13)) - 'Aqueous Species Table'!O122*100000*0.0000005903)*41.8393))</f>
        <v>-19.600010995812212</v>
      </c>
      <c r="H122" s="29">
        <f>IF(ISBLANK('Aqueous Species Options'!B122), "", IF('Aqueous Species Options'!L122 = 1, IF(ISBLANK('Aqueous Species Options'!H122), "", 'Aqueous Species Options'!H122), 'Aqueous Species Table'!M122 + 'Aqueous Species Table'!N122*10000*(1/(Calculations!$C$8-Calculations!$C$13))^2 + 'Aqueous Species Table'!O122*100000*Calculations!$C$8*Calculations!$C$7))</f>
        <v>2.1994628605957036</v>
      </c>
      <c r="I122" s="42">
        <f>IF(ISBLANK('Aqueous Species Options'!B122), "", IF('Aqueous Species Options'!L122=0, 'Aqueous Species Options'!N122, IF(OR(ISBLANK('Aqueous Species Options'!G122),'Aqueous Species Table'!O122="", 'Aqueous Species Table'!P122=""), "", IF('Aqueous Species Options'!B122="H+", 0, (CHOOSE('Aqueous Species Options'!M122+1,'Aqueous Species Options'!$V$4*ABS('Aqueous Species Table'!P122)+'Aqueous Species Options'!$W$4,'Aqueous Species Options'!$Z$4)*('Aqueous Species Options'!G122 + 'Aqueous Species Table'!O122*100000*0.0000005903*41.8393) + CHOOSE('Aqueous Species Options'!M122+1,'Aqueous Species Options'!$X$4*ABS('Aqueous Species Table'!P122)+'Aqueous Species Options'!$Y$4,'Aqueous Species Options'!$AA$4))*10 ) ) ) )</f>
        <v>-0.47445262693810275</v>
      </c>
      <c r="J122" s="42">
        <f>IF(ISBLANK('Aqueous Species Options'!B122), "", IF('Aqueous Species Options'!L122 = 0, 'Aqueous Species Options'!O122, IF('Aqueous Species Table'!I122="", "", IF('Aqueous Species Options'!B122="H+", 0, ((1.11*('Aqueous Species Options'!G122 + 'Aqueous Species Table'!O122*100000*0.0000005903*41.8393)+1.8)/41.8393 - 'Aqueous Species Table'!I122/10)*26.01 ) ) ) )</f>
        <v>-9.2099441814343024</v>
      </c>
      <c r="K122" s="42">
        <f>IF(ISBLANK('Aqueous Species Options'!B122), "", IF('Aqueous Species Options'!L122 = 0, 'Aqueous Species Options'!P122, IF('Aqueous Species Table'!I122="", "", IF('Aqueous Species Options'!B122="H+", 0, ('Aqueous Species Options'!G122/41.8393 + 'Aqueous Species Table'!O122*100000*0.0000005903 - 'Aqueous Species Table'!I122/10 - 'Aqueous Species Table'!J122*100/2601)*(298.15-228) - ('Aqueous Species Table'!L122*10000/2601) ) ) ) )</f>
        <v>9.2930473033674446</v>
      </c>
      <c r="L122" s="42">
        <f>IF(ISBLANK('Aqueous Species Options'!B122), "", IF('Aqueous Species Options'!L122 = 0, 'Aqueous Species Options'!Q122, IF('Aqueous Species Table'!J122="", "", IF('Aqueous Species Options'!B122="H+", 0, (-4.134*'Aqueous Species Table'!J122*100 - 27790)*0.0001) ) ) )</f>
        <v>-2.3982609075395063</v>
      </c>
      <c r="M122" s="42">
        <f>IF(ISBLANK('Aqueous Species Options'!B122), "", IF('Aqueous Species Options'!L122=0, 'Aqueous Species Options'!R122, IF('Aqueous Species Table'!N122="", "", IF('Aqueous Species Options'!B122="H+", 0, 'Aqueous Species Options'!H122 - 'Aqueous Species Table'!O122*100000*(-0.000000309)*298.15 - 'Aqueous Species Table'!N122*10000/(298.15-228)^2 ) ) ) )</f>
        <v>18.061441058685784</v>
      </c>
      <c r="N122" s="42">
        <f>IF(ISBLANK('Aqueous Species Options'!B122), "", IF('Aqueous Species Options'!L122=0, 'Aqueous Species Options'!S122, IF(OR(ISBLANK('Aqueous Species Options'!H122), 'Aqueous Species Table'!O122=""), "", IF('Aqueous Species Options'!B122="H+", 0, 0.2037*'Aqueous Species Options'!H122 - 3.0346) ) ) )</f>
        <v>-2.5865694152966552</v>
      </c>
      <c r="O122" s="42">
        <f>IF(ISBLANK('Aqueous Species Options'!B122), "", IF('Aqueous Species Options'!K122=0, 'Aqueous Species Options'!I122, IF(OR('Aqueous Species Options'!J122&gt;4,'Aqueous Species Options'!J122&lt;-4), "", IF('Aqueous Species Options'!B122="H+", 0, IF('Aqueous Species Options'!J122=0, -0.038, IF(ISBLANK('Aqueous Species Options'!F122), "", -1514.4*'Aqueous Species Options'!F122*0.00001 + SUM(({4,3,2,1,-1,-2,-3,-4}='Aqueous Species Options'!J122)*{2.1764,1.5793,1.0579,0.5517,1.6291,3.2127,4.8115,6.486}) ) ) ) ) ) )</f>
        <v>1.1512</v>
      </c>
      <c r="P122" s="1">
        <f>IF(ISBLANK('Aqueous Species Options'!J122), "", 'Aqueous Species Options'!J122)</f>
        <v>2</v>
      </c>
      <c r="Q122" s="184" t="str">
        <f>IF(ISBLANK('Aqueous Species Options'!T122), "", 'Aqueous Species Options'!T122)</f>
        <v>Shock et al. (1997) revised with new predicted a1 for cations</v>
      </c>
    </row>
    <row r="123" spans="2:17" ht="32" x14ac:dyDescent="0.2">
      <c r="B123" s="9" t="str">
        <f>IF(ISBLANK('Aqueous Species Options'!B123), "", 'Aqueous Species Options'!B123)</f>
        <v>Hg2+2</v>
      </c>
      <c r="C123" s="9" t="str">
        <f>IF(ISBLANK('Aqueous Species Options'!C123), "", 'Aqueous Species Options'!C123)</f>
        <v>Hg2(+2)</v>
      </c>
      <c r="D123" s="2">
        <f>IF(ISBLANK('Aqueous Species Options'!D123), "", 'Aqueous Species Options'!D123)</f>
        <v>36710</v>
      </c>
      <c r="E123" s="1">
        <f>IF(ISBLANK('Aqueous Species Options'!E123), "", 'Aqueous Species Options'!E123)</f>
        <v>39870</v>
      </c>
      <c r="F123" s="139">
        <f>IF(ISBLANK('Aqueous Species Options'!F123), "", 'Aqueous Species Options'!F123)</f>
        <v>-15.66</v>
      </c>
      <c r="G123" s="29">
        <f>IF(ISBLANK('Aqueous Species Options'!B123), "", IF('Aqueous Species Options'!L123 = 1, IF(ISBLANK('Aqueous Species Options'!G123), "", 'Aqueous Species Options'!G123), ('Aqueous Species Table'!I123/10 + ('Aqueous Species Table'!J123*100)/(Calculations!$C$12+Calculations!$C$9) + ('Aqueous Species Table'!K123 + ('Aqueous Species Table'!L123*10000)/(Calculations!$C$12+Calculations!$C$9))*(1/(Calculations!$C$8-Calculations!$C$13)) - 'Aqueous Species Table'!O123*100000*0.0000005903)*41.8393))</f>
        <v>14.399640599138547</v>
      </c>
      <c r="H123" s="29">
        <f>IF(ISBLANK('Aqueous Species Options'!B123), "", IF('Aqueous Species Options'!L123 = 1, IF(ISBLANK('Aqueous Species Options'!H123), "", 'Aqueous Species Options'!H123), 'Aqueous Species Table'!M123 + 'Aqueous Species Table'!N123*10000*(1/(Calculations!$C$8-Calculations!$C$13))^2 + 'Aqueous Species Table'!O123*100000*Calculations!$C$8*Calculations!$C$7))</f>
        <v>17.099656390904919</v>
      </c>
      <c r="I123" s="42">
        <f>IF(ISBLANK('Aqueous Species Options'!B123), "", IF('Aqueous Species Options'!L123=0, 'Aqueous Species Options'!N123, IF(OR(ISBLANK('Aqueous Species Options'!G123),'Aqueous Species Table'!O123="", 'Aqueous Species Table'!P123=""), "", IF('Aqueous Species Options'!B123="H+", 0, (CHOOSE('Aqueous Species Options'!M123+1,'Aqueous Species Options'!$V$4*ABS('Aqueous Species Table'!P123)+'Aqueous Species Options'!$W$4,'Aqueous Species Options'!$Z$4)*('Aqueous Species Options'!G123 + 'Aqueous Species Table'!O123*100000*0.0000005903*41.8393) + CHOOSE('Aqueous Species Options'!M123+1,'Aqueous Species Options'!$X$4*ABS('Aqueous Species Table'!P123)+'Aqueous Species Options'!$Y$4,'Aqueous Species Options'!$AA$4))*10 ) ) ) )</f>
        <v>4.7103190899704854</v>
      </c>
      <c r="J123" s="42">
        <f>IF(ISBLANK('Aqueous Species Options'!B123), "", IF('Aqueous Species Options'!L123 = 0, 'Aqueous Species Options'!O123, IF('Aqueous Species Table'!I123="", "", IF('Aqueous Species Options'!B123="H+", 0, ((1.11*('Aqueous Species Options'!G123 + 'Aqueous Species Table'!O123*100000*0.0000005903*41.8393)+1.8)/41.8393 - 'Aqueous Species Table'!I123/10)*26.01 ) ) ) )</f>
        <v>0.20155479029772719</v>
      </c>
      <c r="K123" s="42">
        <f>IF(ISBLANK('Aqueous Species Options'!B123), "", IF('Aqueous Species Options'!L123 = 0, 'Aqueous Species Options'!P123, IF('Aqueous Species Table'!I123="", "", IF('Aqueous Species Options'!B123="H+", 0, ('Aqueous Species Options'!G123/41.8393 + 'Aqueous Species Table'!O123*100000*0.0000005903 - 'Aqueous Species Table'!I123/10 - 'Aqueous Species Table'!J123*100/2601)*(298.15-228) - ('Aqueous Species Table'!L123*10000/2601) ) ) ) )</f>
        <v>4.669098967698079</v>
      </c>
      <c r="L123" s="42">
        <f>IF(ISBLANK('Aqueous Species Options'!B123), "", IF('Aqueous Species Options'!L123 = 0, 'Aqueous Species Options'!Q123, IF('Aqueous Species Table'!J123="", "", IF('Aqueous Species Options'!B123="H+", 0, (-4.134*'Aqueous Species Table'!J123*100 - 27790)*0.0001) ) ) )</f>
        <v>-2.7873322750309084</v>
      </c>
      <c r="M123" s="42">
        <f>IF(ISBLANK('Aqueous Species Options'!B123), "", IF('Aqueous Species Options'!L123=0, 'Aqueous Species Options'!R123, IF('Aqueous Species Table'!N123="", "", IF('Aqueous Species Options'!B123="H+", 0, 'Aqueous Species Options'!H123 - 'Aqueous Species Table'!O123*100000*(-0.000000309)*298.15 - 'Aqueous Species Table'!N123*10000/(298.15-228)^2 ) ) ) )</f>
        <v>23.7435031959266</v>
      </c>
      <c r="N123" s="42">
        <f>IF(ISBLANK('Aqueous Species Options'!B123), "", IF('Aqueous Species Options'!L123=0, 'Aqueous Species Options'!S123, IF(OR(ISBLANK('Aqueous Species Options'!H123), 'Aqueous Species Table'!O123=""), "", IF('Aqueous Species Options'!B123="H+", 0, 0.2037*'Aqueous Species Options'!H123 - 3.0346) ) ) )</f>
        <v>0.44860000682733148</v>
      </c>
      <c r="O123" s="42">
        <f>IF(ISBLANK('Aqueous Species Options'!B123), "", IF('Aqueous Species Options'!K123=0, 'Aqueous Species Options'!I123, IF(OR('Aqueous Species Options'!J123&gt;4,'Aqueous Species Options'!J123&lt;-4), "", IF('Aqueous Species Options'!B123="H+", 0, IF('Aqueous Species Options'!J123=0, -0.038, IF(ISBLANK('Aqueous Species Options'!F123), "", -1514.4*'Aqueous Species Options'!F123*0.00001 + SUM(({4,3,2,1,-1,-2,-3,-4}='Aqueous Species Options'!J123)*{2.1764,1.5793,1.0579,0.5517,1.6291,3.2127,4.8115,6.486}) ) ) ) ) ) )</f>
        <v>0.82010000000000005</v>
      </c>
      <c r="P123" s="1">
        <f>IF(ISBLANK('Aqueous Species Options'!J123), "", 'Aqueous Species Options'!J123)</f>
        <v>2</v>
      </c>
      <c r="Q123" s="184" t="str">
        <f>IF(ISBLANK('Aqueous Species Options'!T123), "", 'Aqueous Species Options'!T123)</f>
        <v>Shock et al. (1997) revised with new predicted a1 for complex species</v>
      </c>
    </row>
    <row r="124" spans="2:17" ht="15" customHeight="1" x14ac:dyDescent="0.2">
      <c r="B124" s="9" t="str">
        <f>IF(ISBLANK('Aqueous Species Options'!B124), "", 'Aqueous Species Options'!B124)</f>
        <v>Ho+3</v>
      </c>
      <c r="C124" s="9" t="str">
        <f>IF(ISBLANK('Aqueous Species Options'!C124), "", 'Aqueous Species Options'!C124)</f>
        <v>Ho(+3)</v>
      </c>
      <c r="D124" s="2">
        <f>IF(ISBLANK('Aqueous Species Options'!D124), "", 'Aqueous Species Options'!D124)</f>
        <v>-161400</v>
      </c>
      <c r="E124" s="1">
        <f>IF(ISBLANK('Aqueous Species Options'!E124), "", 'Aqueous Species Options'!E124)</f>
        <v>-169000</v>
      </c>
      <c r="F124" s="139">
        <f>IF(ISBLANK('Aqueous Species Options'!F124), "", 'Aqueous Species Options'!F124)</f>
        <v>-54.3</v>
      </c>
      <c r="G124" s="29">
        <f>IF(ISBLANK('Aqueous Species Options'!B124), "", IF('Aqueous Species Options'!L124 = 1, IF(ISBLANK('Aqueous Species Options'!G124), "", 'Aqueous Species Options'!G124), ('Aqueous Species Table'!I124/10 + ('Aqueous Species Table'!J124*100)/(Calculations!$C$12+Calculations!$C$9) + ('Aqueous Species Table'!K124 + ('Aqueous Species Table'!L124*10000)/(Calculations!$C$12+Calculations!$C$9))*(1/(Calculations!$C$8-Calculations!$C$13)) - 'Aqueous Species Table'!O124*100000*0.0000005903)*41.8393))</f>
        <v>-41.599744425547541</v>
      </c>
      <c r="H124" s="29">
        <f>IF(ISBLANK('Aqueous Species Options'!B124), "", IF('Aqueous Species Options'!L124 = 1, IF(ISBLANK('Aqueous Species Options'!H124), "", 'Aqueous Species Options'!H124), 'Aqueous Species Table'!M124 + 'Aqueous Species Table'!N124*10000*(1/(Calculations!$C$8-Calculations!$C$13))^2 + 'Aqueous Species Table'!O124*100000*Calculations!$C$8*Calculations!$C$7))</f>
        <v>-33.299886150392481</v>
      </c>
      <c r="I124" s="42">
        <f>IF(ISBLANK('Aqueous Species Options'!B124), "", IF('Aqueous Species Options'!L124=0, 'Aqueous Species Options'!N124, IF(OR(ISBLANK('Aqueous Species Options'!G124),'Aqueous Species Table'!O124="", 'Aqueous Species Table'!P124=""), "", IF('Aqueous Species Options'!B124="H+", 0, (CHOOSE('Aqueous Species Options'!M124+1,'Aqueous Species Options'!$V$4*ABS('Aqueous Species Table'!P124)+'Aqueous Species Options'!$W$4,'Aqueous Species Options'!$Z$4)*('Aqueous Species Options'!G124 + 'Aqueous Species Table'!O124*100000*0.0000005903*41.8393) + CHOOSE('Aqueous Species Options'!M124+1,'Aqueous Species Options'!$X$4*ABS('Aqueous Species Table'!P124)+'Aqueous Species Options'!$Y$4,'Aqueous Species Options'!$AA$4))*10 ) ) ) )</f>
        <v>-8.2013271619703509</v>
      </c>
      <c r="J124" s="42">
        <f>IF(ISBLANK('Aqueous Species Options'!B124), "", IF('Aqueous Species Options'!L124 = 0, 'Aqueous Species Options'!O124, IF('Aqueous Species Table'!I124="", "", IF('Aqueous Species Options'!B124="H+", 0, ((1.11*('Aqueous Species Options'!G124 + 'Aqueous Species Table'!O124*100000*0.0000005903*41.8393)+1.8)/41.8393 - 'Aqueous Species Table'!I124/10)*26.01 ) ) ) )</f>
        <v>-2.1821341319907637</v>
      </c>
      <c r="K124" s="42">
        <f>IF(ISBLANK('Aqueous Species Options'!B124), "", IF('Aqueous Species Options'!L124 = 0, 'Aqueous Species Options'!P124, IF('Aqueous Species Table'!I124="", "", IF('Aqueous Species Options'!B124="H+", 0, ('Aqueous Species Options'!G124/41.8393 + 'Aqueous Species Table'!O124*100000*0.0000005903 - 'Aqueous Species Table'!I124/10 - 'Aqueous Species Table'!J124*100/2601)*(298.15-228) - ('Aqueous Species Table'!L124*10000/2601) ) ) ) )</f>
        <v>13.903257249507377</v>
      </c>
      <c r="L124" s="42">
        <f>IF(ISBLANK('Aqueous Species Options'!B124), "", IF('Aqueous Species Options'!L124 = 0, 'Aqueous Species Options'!Q124, IF('Aqueous Species Table'!J124="", "", IF('Aqueous Species Options'!B124="H+", 0, (-4.134*'Aqueous Species Table'!J124*100 - 27790)*0.0001) ) ) )</f>
        <v>-2.6887905749835022</v>
      </c>
      <c r="M124" s="42">
        <f>IF(ISBLANK('Aqueous Species Options'!B124), "", IF('Aqueous Species Options'!L124=0, 'Aqueous Species Options'!R124, IF('Aqueous Species Table'!N124="", "", IF('Aqueous Species Options'!B124="H+", 0, 'Aqueous Species Options'!H124 - 'Aqueous Species Table'!O124*100000*(-0.000000309)*298.15 - 'Aqueous Species Table'!N124*10000/(298.15-228)^2 ) ) ) )</f>
        <v>8.6685731942598352</v>
      </c>
      <c r="N124" s="42">
        <f>IF(ISBLANK('Aqueous Species Options'!B124), "", IF('Aqueous Species Options'!L124=0, 'Aqueous Species Options'!S124, IF(OR(ISBLANK('Aqueous Species Options'!H124), 'Aqueous Species Table'!O124=""), "", IF('Aqueous Species Options'!B124="H+", 0, 0.2037*'Aqueous Species Options'!H124 - 3.0346) ) ) )</f>
        <v>-9.8177868088349491</v>
      </c>
      <c r="O124" s="42">
        <f>IF(ISBLANK('Aqueous Species Options'!B124), "", IF('Aqueous Species Options'!K124=0, 'Aqueous Species Options'!I124, IF(OR('Aqueous Species Options'!J124&gt;4,'Aqueous Species Options'!J124&lt;-4), "", IF('Aqueous Species Options'!B124="H+", 0, IF('Aqueous Species Options'!J124=0, -0.038, IF(ISBLANK('Aqueous Species Options'!F124), "", -1514.4*'Aqueous Species Options'!F124*0.00001 + SUM(({4,3,2,1,-1,-2,-3,-4}='Aqueous Species Options'!J124)*{2.1764,1.5793,1.0579,0.5517,1.6291,3.2127,4.8115,6.486}) ) ) ) ) ) )</f>
        <v>2.3898999999999999</v>
      </c>
      <c r="P124" s="1">
        <f>IF(ISBLANK('Aqueous Species Options'!J124), "", 'Aqueous Species Options'!J124)</f>
        <v>3</v>
      </c>
      <c r="Q124" s="184" t="str">
        <f>IF(ISBLANK('Aqueous Species Options'!T124), "", 'Aqueous Species Options'!T124)</f>
        <v>Shock et al. (1997) revised with new predicted a1 for cations</v>
      </c>
    </row>
    <row r="125" spans="2:17" ht="15" customHeight="1" x14ac:dyDescent="0.2">
      <c r="B125" s="9" t="str">
        <f>IF(ISBLANK('Aqueous Species Options'!B125), "", 'Aqueous Species Options'!B125)</f>
        <v>HO2-</v>
      </c>
      <c r="C125" s="9" t="str">
        <f>IF(ISBLANK('Aqueous Species Options'!C125), "", 'Aqueous Species Options'!C125)</f>
        <v>HO2(-)</v>
      </c>
      <c r="D125" s="2">
        <f>IF(ISBLANK('Aqueous Species Options'!D125), "", 'Aqueous Species Options'!D125)</f>
        <v>-16100</v>
      </c>
      <c r="E125" s="1">
        <f>IF(ISBLANK('Aqueous Species Options'!E125), "", 'Aqueous Species Options'!E125)</f>
        <v>-38320</v>
      </c>
      <c r="F125" s="139">
        <f>IF(ISBLANK('Aqueous Species Options'!F125), "", 'Aqueous Species Options'!F125)</f>
        <v>5.7</v>
      </c>
      <c r="G125" s="29">
        <f>IF(ISBLANK('Aqueous Species Options'!B125), "", IF('Aqueous Species Options'!L125 = 1, IF(ISBLANK('Aqueous Species Options'!G125), "", 'Aqueous Species Options'!G125), ('Aqueous Species Table'!I125/10 + ('Aqueous Species Table'!J125*100)/(Calculations!$C$12+Calculations!$C$9) + ('Aqueous Species Table'!K125 + ('Aqueous Species Table'!L125*10000)/(Calculations!$C$12+Calculations!$C$9))*(1/(Calculations!$C$8-Calculations!$C$13)) - 'Aqueous Species Table'!O125*100000*0.0000005903)*41.8393))</f>
        <v>5.6999261368646055</v>
      </c>
      <c r="H125" s="29">
        <f>IF(ISBLANK('Aqueous Species Options'!B125), "", IF('Aqueous Species Options'!L125 = 1, IF(ISBLANK('Aqueous Species Options'!H125), "", 'Aqueous Species Options'!H125), 'Aqueous Species Table'!M125 + 'Aqueous Species Table'!N125*10000*(1/(Calculations!$C$8-Calculations!$C$13))^2 + 'Aqueous Species Table'!O125*100000*Calculations!$C$8*Calculations!$C$7))</f>
        <v>-30.199670685852247</v>
      </c>
      <c r="I125" s="42">
        <f>IF(ISBLANK('Aqueous Species Options'!B125), "", IF('Aqueous Species Options'!L125=0, 'Aqueous Species Options'!N125, IF(OR(ISBLANK('Aqueous Species Options'!G125),'Aqueous Species Table'!O125="", 'Aqueous Species Table'!P125=""), "", IF('Aqueous Species Options'!B125="H+", 0, (CHOOSE('Aqueous Species Options'!M125+1,'Aqueous Species Options'!$V$4*ABS('Aqueous Species Table'!P125)+'Aqueous Species Options'!$W$4,'Aqueous Species Options'!$Z$4)*('Aqueous Species Options'!G125 + 'Aqueous Species Table'!O125*100000*0.0000005903*41.8393) + CHOOSE('Aqueous Species Options'!M125+1,'Aqueous Species Options'!$X$4*ABS('Aqueous Species Table'!P125)+'Aqueous Species Options'!$Y$4,'Aqueous Species Options'!$AA$4))*10 ) ) ) )</f>
        <v>3.3684013324496833</v>
      </c>
      <c r="J125" s="42">
        <f>IF(ISBLANK('Aqueous Species Options'!B125), "", IF('Aqueous Species Options'!L125 = 0, 'Aqueous Species Options'!O125, IF('Aqueous Species Table'!I125="", "", IF('Aqueous Species Options'!B125="H+", 0, ((1.11*('Aqueous Species Options'!G125 + 'Aqueous Species Table'!O125*100000*0.0000005903*41.8393)+1.8)/41.8393 - 'Aqueous Species Table'!I125/10)*26.01 ) ) ) )</f>
        <v>-1.0760840330927344</v>
      </c>
      <c r="K125" s="42">
        <f>IF(ISBLANK('Aqueous Species Options'!B125), "", IF('Aqueous Species Options'!L125 = 0, 'Aqueous Species Options'!P125, IF('Aqueous Species Table'!I125="", "", IF('Aqueous Species Options'!B125="H+", 0, ('Aqueous Species Options'!G125/41.8393 + 'Aqueous Species Table'!O125*100000*0.0000005903 - 'Aqueous Species Table'!I125/10 - 'Aqueous Species Table'!J125*100/2601)*(298.15-228) - ('Aqueous Species Table'!L125*10000/2601) ) ) ) )</f>
        <v>5.7403870132518584</v>
      </c>
      <c r="L125" s="42">
        <f>IF(ISBLANK('Aqueous Species Options'!B125), "", IF('Aqueous Species Options'!L125 = 0, 'Aqueous Species Options'!Q125, IF('Aqueous Species Table'!J125="", "", IF('Aqueous Species Options'!B125="H+", 0, (-4.134*'Aqueous Species Table'!J125*100 - 27790)*0.0001) ) ) )</f>
        <v>-2.7345146860719463</v>
      </c>
      <c r="M125" s="42">
        <f>IF(ISBLANK('Aqueous Species Options'!B125), "", IF('Aqueous Species Options'!L125=0, 'Aqueous Species Options'!R125, IF('Aqueous Species Table'!N125="", "", IF('Aqueous Species Options'!B125="H+", 0, 'Aqueous Species Options'!H125 - 'Aqueous Species Table'!O125*100000*(-0.000000309)*298.15 - 'Aqueous Species Table'!N125*10000/(298.15-228)^2 ) ) ) )</f>
        <v>2.7006449681607929</v>
      </c>
      <c r="N125" s="42">
        <f>IF(ISBLANK('Aqueous Species Options'!B125), "", IF('Aqueous Species Options'!L125=0, 'Aqueous Species Options'!S125, IF(OR(ISBLANK('Aqueous Species Options'!H125), 'Aqueous Species Table'!O125=""), "", IF('Aqueous Species Options'!B125="H+", 0, 0.2037*'Aqueous Species Options'!H125 - 3.0346) ) ) )</f>
        <v>-9.1862729187081023</v>
      </c>
      <c r="O125" s="42">
        <f>IF(ISBLANK('Aqueous Species Options'!B125), "", IF('Aqueous Species Options'!K125=0, 'Aqueous Species Options'!I125, IF(OR('Aqueous Species Options'!J125&gt;4,'Aqueous Species Options'!J125&lt;-4), "", IF('Aqueous Species Options'!B125="H+", 0, IF('Aqueous Species Options'!J125=0, -0.038, IF(ISBLANK('Aqueous Species Options'!F125), "", -1514.4*'Aqueous Species Options'!F125*0.00001 + SUM(({4,3,2,1,-1,-2,-3,-4}='Aqueous Species Options'!J125)*{2.1764,1.5793,1.0579,0.5517,1.6291,3.2127,4.8115,6.486}) ) ) ) ) ) )</f>
        <v>1.5448999999999999</v>
      </c>
      <c r="P125" s="1">
        <f>IF(ISBLANK('Aqueous Species Options'!J125), "", 'Aqueous Species Options'!J125)</f>
        <v>-1</v>
      </c>
      <c r="Q125" s="184" t="str">
        <f>IF(ISBLANK('Aqueous Species Options'!T125), "", 'Aqueous Species Options'!T125)</f>
        <v>Shock et al. (1997) revised with new predicted a1 for complex species</v>
      </c>
    </row>
    <row r="126" spans="2:17" ht="32" x14ac:dyDescent="0.2">
      <c r="B126" s="9" t="str">
        <f>IF(ISBLANK('Aqueous Species Options'!B126), "", 'Aqueous Species Options'!B126)</f>
        <v>HPO4-2</v>
      </c>
      <c r="C126" s="9" t="str">
        <f>IF(ISBLANK('Aqueous Species Options'!C126), "", 'Aqueous Species Options'!C126)</f>
        <v>HPO4(-2)</v>
      </c>
      <c r="D126" s="2">
        <f>IF(ISBLANK('Aqueous Species Options'!D126), "", 'Aqueous Species Options'!D126)</f>
        <v>-260310</v>
      </c>
      <c r="E126" s="1">
        <f>IF(ISBLANK('Aqueous Species Options'!E126), "", 'Aqueous Species Options'!E126)</f>
        <v>-308815</v>
      </c>
      <c r="F126" s="139">
        <f>IF(ISBLANK('Aqueous Species Options'!F126), "", 'Aqueous Species Options'!F126)</f>
        <v>-8</v>
      </c>
      <c r="G126" s="29">
        <f>IF(ISBLANK('Aqueous Species Options'!B126), "", IF('Aqueous Species Options'!L126 = 1, IF(ISBLANK('Aqueous Species Options'!G126), "", 'Aqueous Species Options'!G126), ('Aqueous Species Table'!I126/10 + ('Aqueous Species Table'!J126*100)/(Calculations!$C$12+Calculations!$C$9) + ('Aqueous Species Table'!K126 + ('Aqueous Species Table'!L126*10000)/(Calculations!$C$12+Calculations!$C$9))*(1/(Calculations!$C$8-Calculations!$C$13)) - 'Aqueous Species Table'!O126*100000*0.0000005903)*41.8393))</f>
        <v>5.4000453544615912</v>
      </c>
      <c r="H126" s="29">
        <f>IF(ISBLANK('Aqueous Species Options'!B126), "", IF('Aqueous Species Options'!L126 = 1, IF(ISBLANK('Aqueous Species Options'!H126), "", 'Aqueous Species Options'!H126), 'Aqueous Species Table'!M126 + 'Aqueous Species Table'!N126*10000*(1/(Calculations!$C$8-Calculations!$C$13))^2 + 'Aqueous Species Table'!O126*100000*Calculations!$C$8*Calculations!$C$7))</f>
        <v>-58.300272279877262</v>
      </c>
      <c r="I126" s="42">
        <f>IF(ISBLANK('Aqueous Species Options'!B126), "", IF('Aqueous Species Options'!L126=0, 'Aqueous Species Options'!N126, IF(OR(ISBLANK('Aqueous Species Options'!G126),'Aqueous Species Table'!O126="", 'Aqueous Species Table'!P126=""), "", IF('Aqueous Species Options'!B126="H+", 0, (CHOOSE('Aqueous Species Options'!M126+1,'Aqueous Species Options'!$V$4*ABS('Aqueous Species Table'!P126)+'Aqueous Species Options'!$W$4,'Aqueous Species Options'!$Z$4)*('Aqueous Species Options'!G126 + 'Aqueous Species Table'!O126*100000*0.0000005903*41.8393) + CHOOSE('Aqueous Species Options'!M126+1,'Aqueous Species Options'!$X$4*ABS('Aqueous Species Table'!P126)+'Aqueous Species Options'!$Y$4,'Aqueous Species Options'!$AA$4))*10 ) ) ) )</f>
        <v>4.1694150676209061</v>
      </c>
      <c r="J126" s="42">
        <f>IF(ISBLANK('Aqueous Species Options'!B126), "", IF('Aqueous Species Options'!L126 = 0, 'Aqueous Species Options'!O126, IF('Aqueous Species Table'!I126="", "", IF('Aqueous Species Options'!B126="H+", 0, ((1.11*('Aqueous Species Options'!G126 + 'Aqueous Species Table'!O126*100000*0.0000005903*41.8393)+1.8)/41.8393 - 'Aqueous Species Table'!I126/10)*26.01 ) ) ) )</f>
        <v>-0.31343949665370058</v>
      </c>
      <c r="K126" s="42">
        <f>IF(ISBLANK('Aqueous Species Options'!B126), "", IF('Aqueous Species Options'!L126 = 0, 'Aqueous Species Options'!P126, IF('Aqueous Species Table'!I126="", "", IF('Aqueous Species Options'!B126="H+", 0, ('Aqueous Species Options'!G126/41.8393 + 'Aqueous Species Table'!O126*100000*0.0000005903 - 'Aqueous Species Table'!I126/10 - 'Aqueous Species Table'!J126*100/2601)*(298.15-228) - ('Aqueous Species Table'!L126*10000/2601) ) ) ) )</f>
        <v>5.1009167968366027</v>
      </c>
      <c r="L126" s="42">
        <f>IF(ISBLANK('Aqueous Species Options'!B126), "", IF('Aqueous Species Options'!L126 = 0, 'Aqueous Species Options'!Q126, IF('Aqueous Species Table'!J126="", "", IF('Aqueous Species Options'!B126="H+", 0, (-4.134*'Aqueous Species Table'!J126*100 - 27790)*0.0001) ) ) )</f>
        <v>-2.7660424112083364</v>
      </c>
      <c r="M126" s="42">
        <f>IF(ISBLANK('Aqueous Species Options'!B126), "", IF('Aqueous Species Options'!L126=0, 'Aqueous Species Options'!R126, IF('Aqueous Species Table'!N126="", "", IF('Aqueous Species Options'!B126="H+", 0, 'Aqueous Species Options'!H126 - 'Aqueous Species Table'!O126*100000*(-0.000000309)*298.15 - 'Aqueous Species Table'!N126*10000/(298.15-228)^2 ) ) ) )</f>
        <v>2.7358330280668284</v>
      </c>
      <c r="N126" s="42">
        <f>IF(ISBLANK('Aqueous Species Options'!B126), "", IF('Aqueous Species Options'!L126=0, 'Aqueous Species Options'!S126, IF(OR(ISBLANK('Aqueous Species Options'!H126), 'Aqueous Species Table'!O126=""), "", IF('Aqueous Species Options'!B126="H+", 0, 0.2037*'Aqueous Species Options'!H126 - 3.0346) ) ) )</f>
        <v>-14.910365463410997</v>
      </c>
      <c r="O126" s="42">
        <f>IF(ISBLANK('Aqueous Species Options'!B126), "", IF('Aqueous Species Options'!K126=0, 'Aqueous Species Options'!I126, IF(OR('Aqueous Species Options'!J126&gt;4,'Aqueous Species Options'!J126&lt;-4), "", IF('Aqueous Species Options'!B126="H+", 0, IF('Aqueous Species Options'!J126=0, -0.038, IF(ISBLANK('Aqueous Species Options'!F126), "", -1514.4*'Aqueous Species Options'!F126*0.00001 + SUM(({4,3,2,1,-1,-2,-3,-4}='Aqueous Species Options'!J126)*{2.1764,1.5793,1.0579,0.5517,1.6291,3.2127,4.8115,6.486}) ) ) ) ) ) )</f>
        <v>3.3363</v>
      </c>
      <c r="P126" s="1">
        <f>IF(ISBLANK('Aqueous Species Options'!J126), "", 'Aqueous Species Options'!J126)</f>
        <v>-2</v>
      </c>
      <c r="Q126" s="184" t="str">
        <f>IF(ISBLANK('Aqueous Species Options'!T126), "", 'Aqueous Species Options'!T126)</f>
        <v>Shock et al. (1997) revised with new predicted a1 for complex species</v>
      </c>
    </row>
    <row r="127" spans="2:17" ht="15" customHeight="1" x14ac:dyDescent="0.2">
      <c r="B127" s="9" t="str">
        <f>IF(ISBLANK('Aqueous Species Options'!B127), "", 'Aqueous Species Options'!B127)</f>
        <v>HS-</v>
      </c>
      <c r="C127" s="9" t="str">
        <f>IF(ISBLANK('Aqueous Species Options'!C127), "", 'Aqueous Species Options'!C127)</f>
        <v>HS(-)</v>
      </c>
      <c r="D127" s="2">
        <f>IF(ISBLANK('Aqueous Species Options'!D127), "", 'Aqueous Species Options'!D127)</f>
        <v>2860</v>
      </c>
      <c r="E127" s="1">
        <f>IF(ISBLANK('Aqueous Species Options'!E127), "", 'Aqueous Species Options'!E127)</f>
        <v>-3850</v>
      </c>
      <c r="F127" s="139">
        <f>IF(ISBLANK('Aqueous Species Options'!F127), "", 'Aqueous Species Options'!F127)</f>
        <v>16.3</v>
      </c>
      <c r="G127" s="29">
        <f>IF(ISBLANK('Aqueous Species Options'!B127), "", IF('Aqueous Species Options'!L127 = 1, IF(ISBLANK('Aqueous Species Options'!G127), "", 'Aqueous Species Options'!G127), ('Aqueous Species Table'!I127/10 + ('Aqueous Species Table'!J127*100)/(Calculations!$C$12+Calculations!$C$9) + ('Aqueous Species Table'!K127 + ('Aqueous Species Table'!L127*10000)/(Calculations!$C$12+Calculations!$C$9))*(1/(Calculations!$C$8-Calculations!$C$13)) - 'Aqueous Species Table'!O127*100000*0.0000005903)*41.8393))</f>
        <v>20.649993647767907</v>
      </c>
      <c r="H127" s="29">
        <f>IF(ISBLANK('Aqueous Species Options'!B127), "", IF('Aqueous Species Options'!L127 = 1, IF(ISBLANK('Aqueous Species Options'!H127), "", 'Aqueous Species Options'!H127), 'Aqueous Species Table'!M127 + 'Aqueous Species Table'!N127*10000*(1/(Calculations!$C$8-Calculations!$C$13))^2 + 'Aqueous Species Table'!O127*100000*Calculations!$C$8*Calculations!$C$7))</f>
        <v>-22.596949720221318</v>
      </c>
      <c r="I127" s="42">
        <f>IF(ISBLANK('Aqueous Species Options'!B127), "", IF('Aqueous Species Options'!L127=0, 'Aqueous Species Options'!N127, IF(OR(ISBLANK('Aqueous Species Options'!G127),'Aqueous Species Table'!O127="", 'Aqueous Species Table'!P127=""), "", IF('Aqueous Species Options'!B127="H+", 0, (CHOOSE('Aqueous Species Options'!M127+1,'Aqueous Species Options'!$V$4*ABS('Aqueous Species Table'!P127)+'Aqueous Species Options'!$W$4,'Aqueous Species Options'!$Z$4)*('Aqueous Species Options'!G127 + 'Aqueous Species Table'!O127*100000*0.0000005903*41.8393) + CHOOSE('Aqueous Species Options'!M127+1,'Aqueous Species Options'!$X$4*ABS('Aqueous Species Table'!P127)+'Aqueous Species Options'!$Y$4,'Aqueous Species Options'!$AA$4))*10 ) ) ) )</f>
        <v>6.2220178115764959</v>
      </c>
      <c r="J127" s="42">
        <f>IF(ISBLANK('Aqueous Species Options'!B127), "", IF('Aqueous Species Options'!L127 = 0, 'Aqueous Species Options'!O127, IF('Aqueous Species Table'!I127="", "", IF('Aqueous Species Options'!B127="H+", 0, ((1.11*('Aqueous Species Options'!G127 + 'Aqueous Species Table'!O127*100000*0.0000005903*41.8393)+1.8)/41.8393 - 'Aqueous Species Table'!I127/10)*26.01 ) ) ) )</f>
        <v>1.6408419337675646</v>
      </c>
      <c r="K127" s="42">
        <f>IF(ISBLANK('Aqueous Species Options'!B127), "", IF('Aqueous Species Options'!L127 = 0, 'Aqueous Species Options'!P127, IF('Aqueous Species Table'!I127="", "", IF('Aqueous Species Options'!B127="H+", 0, ('Aqueous Species Options'!G127/41.8393 + 'Aqueous Species Table'!O127*100000*0.0000005903 - 'Aqueous Species Table'!I127/10 - 'Aqueous Species Table'!J127*100/2601)*(298.15-228) - ('Aqueous Species Table'!L127*10000/2601) ) ) ) )</f>
        <v>3.4622703376578796</v>
      </c>
      <c r="L127" s="42">
        <f>IF(ISBLANK('Aqueous Species Options'!B127), "", IF('Aqueous Species Options'!L127 = 0, 'Aqueous Species Options'!Q127, IF('Aqueous Species Table'!J127="", "", IF('Aqueous Species Options'!B127="H+", 0, (-4.134*'Aqueous Species Table'!J127*100 - 27790)*0.0001) ) ) )</f>
        <v>-2.8468324055419512</v>
      </c>
      <c r="M127" s="42">
        <f>IF(ISBLANK('Aqueous Species Options'!B127), "", IF('Aqueous Species Options'!L127=0, 'Aqueous Species Options'!R127, IF('Aqueous Species Table'!N127="", "", IF('Aqueous Species Options'!B127="H+", 0, 'Aqueous Species Options'!H127 - 'Aqueous Species Table'!O127*100000*(-0.000000309)*298.15 - 'Aqueous Species Table'!N127*10000/(298.15-228)^2 ) ) ) )</f>
        <v>6.1990945032441633</v>
      </c>
      <c r="N127" s="42">
        <f>IF(ISBLANK('Aqueous Species Options'!B127), "", IF('Aqueous Species Options'!L127=0, 'Aqueous Species Options'!S127, IF(OR(ISBLANK('Aqueous Species Options'!H127), 'Aqueous Species Table'!O127=""), "", IF('Aqueous Species Options'!B127="H+", 0, 0.2037*'Aqueous Species Options'!H127 - 3.0346) ) ) )</f>
        <v>-7.6375986580090824</v>
      </c>
      <c r="O127" s="42">
        <f>IF(ISBLANK('Aqueous Species Options'!B127), "", IF('Aqueous Species Options'!K127=0, 'Aqueous Species Options'!I127, IF(OR('Aqueous Species Options'!J127&gt;4,'Aqueous Species Options'!J127&lt;-4), "", IF('Aqueous Species Options'!B127="H+", 0, IF('Aqueous Species Options'!J127=0, -0.038, IF(ISBLANK('Aqueous Species Options'!F127), "", -1514.4*'Aqueous Species Options'!F127*0.00001 + SUM(({4,3,2,1,-1,-2,-3,-4}='Aqueous Species Options'!J127)*{2.1764,1.5793,1.0579,0.5517,1.6291,3.2127,4.8115,6.486}) ) ) ) ) ) )</f>
        <v>1.4410000000000001</v>
      </c>
      <c r="P127" s="1">
        <f>IF(ISBLANK('Aqueous Species Options'!J127), "", 'Aqueous Species Options'!J127)</f>
        <v>-1</v>
      </c>
      <c r="Q127" s="184" t="str">
        <f>IF(ISBLANK('Aqueous Species Options'!T127), "", 'Aqueous Species Options'!T127)</f>
        <v>Beaudry et al. (2024)</v>
      </c>
    </row>
    <row r="128" spans="2:17" ht="15" customHeight="1" x14ac:dyDescent="0.2">
      <c r="B128" s="9" t="str">
        <f>IF(ISBLANK('Aqueous Species Options'!B128), "", 'Aqueous Species Options'!B128)</f>
        <v>HSe-</v>
      </c>
      <c r="C128" s="9" t="str">
        <f>IF(ISBLANK('Aqueous Species Options'!C128), "", 'Aqueous Species Options'!C128)</f>
        <v>HSe(-)</v>
      </c>
      <c r="D128" s="2">
        <f>IF(ISBLANK('Aqueous Species Options'!D128), "", 'Aqueous Species Options'!D128)</f>
        <v>10500</v>
      </c>
      <c r="E128" s="1">
        <f>IF(ISBLANK('Aqueous Species Options'!E128), "", 'Aqueous Species Options'!E128)</f>
        <v>3800</v>
      </c>
      <c r="F128" s="139">
        <f>IF(ISBLANK('Aqueous Species Options'!F128), "", 'Aqueous Species Options'!F128)</f>
        <v>19</v>
      </c>
      <c r="G128" s="29">
        <f>IF(ISBLANK('Aqueous Species Options'!B128), "", IF('Aqueous Species Options'!L128 = 1, IF(ISBLANK('Aqueous Species Options'!G128), "", 'Aqueous Species Options'!G128), ('Aqueous Species Table'!I128/10 + ('Aqueous Species Table'!J128*100)/(Calculations!$C$12+Calculations!$C$9) + ('Aqueous Species Table'!K128 + ('Aqueous Species Table'!L128*10000)/(Calculations!$C$12+Calculations!$C$9))*(1/(Calculations!$C$8-Calculations!$C$13)) - 'Aqueous Species Table'!O128*100000*0.0000005903)*41.8393))</f>
        <v>18.999925721536577</v>
      </c>
      <c r="H128" s="29">
        <f>IF(ISBLANK('Aqueous Species Options'!B128), "", IF('Aqueous Species Options'!L128 = 1, IF(ISBLANK('Aqueous Species Options'!H128), "", 'Aqueous Species Options'!H128), 'Aqueous Species Table'!M128 + 'Aqueous Species Table'!N128*10000*(1/(Calculations!$C$8-Calculations!$C$13))^2 + 'Aqueous Species Table'!O128*100000*Calculations!$C$8*Calculations!$C$7))</f>
        <v>-12.600256508131048</v>
      </c>
      <c r="I128" s="42">
        <f>IF(ISBLANK('Aqueous Species Options'!B128), "", IF('Aqueous Species Options'!L128=0, 'Aqueous Species Options'!N128, IF(OR(ISBLANK('Aqueous Species Options'!G128),'Aqueous Species Table'!O128="", 'Aqueous Species Table'!P128=""), "", IF('Aqueous Species Options'!B128="H+", 0, (CHOOSE('Aqueous Species Options'!M128+1,'Aqueous Species Options'!$V$4*ABS('Aqueous Species Table'!P128)+'Aqueous Species Options'!$W$4,'Aqueous Species Options'!$Z$4)*('Aqueous Species Options'!G128 + 'Aqueous Species Table'!O128*100000*0.0000005903*41.8393) + CHOOSE('Aqueous Species Options'!M128+1,'Aqueous Species Options'!$X$4*ABS('Aqueous Species Table'!P128)+'Aqueous Species Options'!$Y$4,'Aqueous Species Options'!$AA$4))*10 ) ) ) )</f>
        <v>5.8534967101620419</v>
      </c>
      <c r="J128" s="42">
        <f>IF(ISBLANK('Aqueous Species Options'!B128), "", IF('Aqueous Species Options'!L128 = 0, 'Aqueous Species Options'!O128, IF('Aqueous Species Table'!I128="", "", IF('Aqueous Species Options'!B128="H+", 0, ((1.11*('Aqueous Species Options'!G128 + 'Aqueous Species Table'!O128*100000*0.0000005903*41.8393)+1.8)/41.8393 - 'Aqueous Species Table'!I128/10)*26.01 ) ) ) )</f>
        <v>1.2899732879307344</v>
      </c>
      <c r="K128" s="42">
        <f>IF(ISBLANK('Aqueous Species Options'!B128), "", IF('Aqueous Species Options'!L128 = 0, 'Aqueous Species Options'!P128, IF('Aqueous Species Table'!I128="", "", IF('Aqueous Species Options'!B128="H+", 0, ('Aqueous Species Options'!G128/41.8393 + 'Aqueous Species Table'!O128*100000*0.0000005903 - 'Aqueous Species Table'!I128/10 - 'Aqueous Species Table'!J128*100/2601)*(298.15-228) - ('Aqueous Species Table'!L128*10000/2601) ) ) ) )</f>
        <v>3.7564703720988852</v>
      </c>
      <c r="L128" s="42">
        <f>IF(ISBLANK('Aqueous Species Options'!B128), "", IF('Aqueous Species Options'!L128 = 0, 'Aqueous Species Options'!Q128, IF('Aqueous Species Table'!J128="", "", IF('Aqueous Species Options'!B128="H+", 0, (-4.134*'Aqueous Species Table'!J128*100 - 27790)*0.0001) ) ) )</f>
        <v>-2.8323274957230566</v>
      </c>
      <c r="M128" s="42">
        <f>IF(ISBLANK('Aqueous Species Options'!B128), "", IF('Aqueous Species Options'!L128=0, 'Aqueous Species Options'!R128, IF('Aqueous Species Table'!N128="", "", IF('Aqueous Species Options'!B128="H+", 0, 'Aqueous Species Options'!H128 - 'Aqueous Species Table'!O128*100000*(-0.000000309)*298.15 - 'Aqueous Species Table'!N128*10000/(298.15-228)^2 ) ) ) )</f>
        <v>11.134646820516048</v>
      </c>
      <c r="N128" s="42">
        <f>IF(ISBLANK('Aqueous Species Options'!B128), "", IF('Aqueous Species Options'!L128=0, 'Aqueous Species Options'!S128, IF(OR(ISBLANK('Aqueous Species Options'!H128), 'Aqueous Species Table'!O128=""), "", IF('Aqueous Species Options'!B128="H+", 0, 0.2037*'Aqueous Species Options'!H128 - 3.0346) ) ) )</f>
        <v>-5.6012722507062946</v>
      </c>
      <c r="O128" s="42">
        <f>IF(ISBLANK('Aqueous Species Options'!B128), "", IF('Aqueous Species Options'!K128=0, 'Aqueous Species Options'!I128, IF(OR('Aqueous Species Options'!J128&gt;4,'Aqueous Species Options'!J128&lt;-4), "", IF('Aqueous Species Options'!B128="H+", 0, IF('Aqueous Species Options'!J128=0, -0.038, IF(ISBLANK('Aqueous Species Options'!F128), "", -1514.4*'Aqueous Species Options'!F128*0.00001 + SUM(({4,3,2,1,-1,-2,-3,-4}='Aqueous Species Options'!J128)*{2.1764,1.5793,1.0579,0.5517,1.6291,3.2127,4.8115,6.486}) ) ) ) ) ) )</f>
        <v>1.3408</v>
      </c>
      <c r="P128" s="1">
        <f>IF(ISBLANK('Aqueous Species Options'!J128), "", 'Aqueous Species Options'!J128)</f>
        <v>-1</v>
      </c>
      <c r="Q128" s="184" t="str">
        <f>IF(ISBLANK('Aqueous Species Options'!T128), "", 'Aqueous Species Options'!T128)</f>
        <v>Shock et al. (1997) revised with new predicted a1 for complex species</v>
      </c>
    </row>
    <row r="129" spans="2:17" ht="15" customHeight="1" x14ac:dyDescent="0.2">
      <c r="B129" s="9" t="str">
        <f>IF(ISBLANK('Aqueous Species Options'!B129), "", 'Aqueous Species Options'!B129)</f>
        <v>HSeO3-</v>
      </c>
      <c r="C129" s="9" t="str">
        <f>IF(ISBLANK('Aqueous Species Options'!C129), "", 'Aqueous Species Options'!C129)</f>
        <v>HSeO3(-)</v>
      </c>
      <c r="D129" s="2">
        <f>IF(ISBLANK('Aqueous Species Options'!D129), "", 'Aqueous Species Options'!D129)</f>
        <v>-98340</v>
      </c>
      <c r="E129" s="1">
        <f>IF(ISBLANK('Aqueous Species Options'!E129), "", 'Aqueous Species Options'!E129)</f>
        <v>-122980</v>
      </c>
      <c r="F129" s="139">
        <f>IF(ISBLANK('Aqueous Species Options'!F129), "", 'Aqueous Species Options'!F129)</f>
        <v>32.299999999999997</v>
      </c>
      <c r="G129" s="29">
        <f>IF(ISBLANK('Aqueous Species Options'!B129), "", IF('Aqueous Species Options'!L129 = 1, IF(ISBLANK('Aqueous Species Options'!G129), "", 'Aqueous Species Options'!G129), ('Aqueous Species Table'!I129/10 + ('Aqueous Species Table'!J129*100)/(Calculations!$C$12+Calculations!$C$9) + ('Aqueous Species Table'!K129 + ('Aqueous Species Table'!L129*10000)/(Calculations!$C$12+Calculations!$C$9))*(1/(Calculations!$C$8-Calculations!$C$13)) - 'Aqueous Species Table'!O129*100000*0.0000005903)*41.8393))</f>
        <v>32.300250999119342</v>
      </c>
      <c r="H129" s="29">
        <f>IF(ISBLANK('Aqueous Species Options'!B129), "", IF('Aqueous Species Options'!L129 = 1, IF(ISBLANK('Aqueous Species Options'!H129), "", 'Aqueous Species Options'!H129), 'Aqueous Species Table'!M129 + 'Aqueous Species Table'!N129*10000*(1/(Calculations!$C$8-Calculations!$C$13))^2 + 'Aqueous Species Table'!O129*100000*Calculations!$C$8*Calculations!$C$7))</f>
        <v>4.9003579478080983</v>
      </c>
      <c r="I129" s="42">
        <f>IF(ISBLANK('Aqueous Species Options'!B129), "", IF('Aqueous Species Options'!L129=0, 'Aqueous Species Options'!N129, IF(OR(ISBLANK('Aqueous Species Options'!G129),'Aqueous Species Table'!O129="", 'Aqueous Species Table'!P129=""), "", IF('Aqueous Species Options'!B129="H+", 0, (CHOOSE('Aqueous Species Options'!M129+1,'Aqueous Species Options'!$V$4*ABS('Aqueous Species Table'!P129)+'Aqueous Species Options'!$W$4,'Aqueous Species Options'!$Z$4)*('Aqueous Species Options'!G129 + 'Aqueous Species Table'!O129*100000*0.0000005903*41.8393) + CHOOSE('Aqueous Species Options'!M129+1,'Aqueous Species Options'!$X$4*ABS('Aqueous Species Table'!P129)+'Aqueous Species Options'!$Y$4,'Aqueous Species Options'!$AA$4))*10 ) ) ) )</f>
        <v>8.3403341324422477</v>
      </c>
      <c r="J129" s="42">
        <f>IF(ISBLANK('Aqueous Species Options'!B129), "", IF('Aqueous Species Options'!L129 = 0, 'Aqueous Species Options'!O129, IF('Aqueous Species Table'!I129="", "", IF('Aqueous Species Options'!B129="H+", 0, ((1.11*('Aqueous Species Options'!G129 + 'Aqueous Species Table'!O129*100000*0.0000005903*41.8393)+1.8)/41.8393 - 'Aqueous Species Table'!I129/10)*26.01 ) ) ) )</f>
        <v>3.6576892081936037</v>
      </c>
      <c r="K129" s="42">
        <f>IF(ISBLANK('Aqueous Species Options'!B129), "", IF('Aqueous Species Options'!L129 = 0, 'Aqueous Species Options'!P129, IF('Aqueous Species Table'!I129="", "", IF('Aqueous Species Options'!B129="H+", 0, ('Aqueous Species Options'!G129/41.8393 + 'Aqueous Species Table'!O129*100000*0.0000005903 - 'Aqueous Species Table'!I129/10 - 'Aqueous Species Table'!J129*100/2601)*(298.15-228) - ('Aqueous Species Table'!L129*10000/2601) ) ) ) )</f>
        <v>1.7711630112017964</v>
      </c>
      <c r="L129" s="42">
        <f>IF(ISBLANK('Aqueous Species Options'!B129), "", IF('Aqueous Species Options'!L129 = 0, 'Aqueous Species Options'!Q129, IF('Aqueous Species Table'!J129="", "", IF('Aqueous Species Options'!B129="H+", 0, (-4.134*'Aqueous Species Table'!J129*100 - 27790)*0.0001) ) ) )</f>
        <v>-2.9302088718667241</v>
      </c>
      <c r="M129" s="42">
        <f>IF(ISBLANK('Aqueous Species Options'!B129), "", IF('Aqueous Species Options'!L129=0, 'Aqueous Species Options'!R129, IF('Aqueous Species Table'!N129="", "", IF('Aqueous Species Options'!B129="H+", 0, 'Aqueous Species Options'!H129 - 'Aqueous Species Table'!O129*100000*(-0.000000309)*298.15 - 'Aqueous Species Table'!N129*10000/(298.15-228)^2 ) ) ) )</f>
        <v>19.542990868730005</v>
      </c>
      <c r="N129" s="42">
        <f>IF(ISBLANK('Aqueous Species Options'!B129), "", IF('Aqueous Species Options'!L129=0, 'Aqueous Species Options'!S129, IF(OR(ISBLANK('Aqueous Species Options'!H129), 'Aqueous Species Table'!O129=""), "", IF('Aqueous Species Options'!B129="H+", 0, 0.2037*'Aqueous Species Options'!H129 - 3.0346) ) ) )</f>
        <v>-2.0363970860314904</v>
      </c>
      <c r="O129" s="42">
        <f>IF(ISBLANK('Aqueous Species Options'!B129), "", IF('Aqueous Species Options'!K129=0, 'Aqueous Species Options'!I129, IF(OR('Aqueous Species Options'!J129&gt;4,'Aqueous Species Options'!J129&lt;-4), "", IF('Aqueous Species Options'!B129="H+", 0, IF('Aqueous Species Options'!J129=0, -0.038, IF(ISBLANK('Aqueous Species Options'!F129), "", -1514.4*'Aqueous Species Options'!F129*0.00001 + SUM(({4,3,2,1,-1,-2,-3,-4}='Aqueous Species Options'!J129)*{2.1764,1.5793,1.0579,0.5517,1.6291,3.2127,4.8115,6.486}) ) ) ) ) ) )</f>
        <v>1.1402000000000001</v>
      </c>
      <c r="P129" s="1">
        <f>IF(ISBLANK('Aqueous Species Options'!J129), "", 'Aqueous Species Options'!J129)</f>
        <v>-1</v>
      </c>
      <c r="Q129" s="184" t="str">
        <f>IF(ISBLANK('Aqueous Species Options'!T129), "", 'Aqueous Species Options'!T129)</f>
        <v>Shock et al. (1997) revised with new predicted a1 for complex species</v>
      </c>
    </row>
    <row r="130" spans="2:17" ht="15" customHeight="1" x14ac:dyDescent="0.2">
      <c r="B130" s="9" t="str">
        <f>IF(ISBLANK('Aqueous Species Options'!B130), "", 'Aqueous Species Options'!B130)</f>
        <v>HSeO4-</v>
      </c>
      <c r="C130" s="9" t="str">
        <f>IF(ISBLANK('Aqueous Species Options'!C130), "", 'Aqueous Species Options'!C130)</f>
        <v>HSeO4(-)</v>
      </c>
      <c r="D130" s="2">
        <f>IF(ISBLANK('Aqueous Species Options'!D130), "", 'Aqueous Species Options'!D130)</f>
        <v>-108100</v>
      </c>
      <c r="E130" s="1">
        <f>IF(ISBLANK('Aqueous Species Options'!E130), "", 'Aqueous Species Options'!E130)</f>
        <v>-139000</v>
      </c>
      <c r="F130" s="139">
        <f>IF(ISBLANK('Aqueous Species Options'!F130), "", 'Aqueous Species Options'!F130)</f>
        <v>35.700000000000003</v>
      </c>
      <c r="G130" s="29">
        <f>IF(ISBLANK('Aqueous Species Options'!B130), "", IF('Aqueous Species Options'!L130 = 1, IF(ISBLANK('Aqueous Species Options'!G130), "", 'Aqueous Species Options'!G130), ('Aqueous Species Table'!I130/10 + ('Aqueous Species Table'!J130*100)/(Calculations!$C$12+Calculations!$C$9) + ('Aqueous Species Table'!K130 + ('Aqueous Species Table'!L130*10000)/(Calculations!$C$12+Calculations!$C$9))*(1/(Calculations!$C$8-Calculations!$C$13)) - 'Aqueous Species Table'!O130*100000*0.0000005903)*41.8393))</f>
        <v>30.999945707315852</v>
      </c>
      <c r="H130" s="29">
        <f>IF(ISBLANK('Aqueous Species Options'!B130), "", IF('Aqueous Species Options'!L130 = 1, IF(ISBLANK('Aqueous Species Options'!H130), "", 'Aqueous Species Options'!H130), 'Aqueous Species Table'!M130 + 'Aqueous Species Table'!N130*10000*(1/(Calculations!$C$8-Calculations!$C$13))^2 + 'Aqueous Species Table'!O130*100000*Calculations!$C$8*Calculations!$C$7))</f>
        <v>-41.900331964839168</v>
      </c>
      <c r="I130" s="42">
        <f>IF(ISBLANK('Aqueous Species Options'!B130), "", IF('Aqueous Species Options'!L130=0, 'Aqueous Species Options'!N130, IF(OR(ISBLANK('Aqueous Species Options'!G130),'Aqueous Species Table'!O130="", 'Aqueous Species Table'!P130=""), "", IF('Aqueous Species Options'!B130="H+", 0, (CHOOSE('Aqueous Species Options'!M130+1,'Aqueous Species Options'!$V$4*ABS('Aqueous Species Table'!P130)+'Aqueous Species Options'!$W$4,'Aqueous Species Options'!$Z$4)*('Aqueous Species Options'!G130 + 'Aqueous Species Table'!O130*100000*0.0000005903*41.8393) + CHOOSE('Aqueous Species Options'!M130+1,'Aqueous Species Options'!$X$4*ABS('Aqueous Species Table'!P130)+'Aqueous Species Options'!$Y$4,'Aqueous Species Options'!$AA$4))*10 ) ) ) )</f>
        <v>8.0630036893344936</v>
      </c>
      <c r="J130" s="42">
        <f>IF(ISBLANK('Aqueous Species Options'!B130), "", IF('Aqueous Species Options'!L130 = 0, 'Aqueous Species Options'!O130, IF('Aqueous Species Table'!I130="", "", IF('Aqueous Species Options'!B130="H+", 0, ((1.11*('Aqueous Species Options'!G130 + 'Aqueous Species Table'!O130*100000*0.0000005903*41.8393)+1.8)/41.8393 - 'Aqueous Species Table'!I130/10)*26.01 ) ) ) )</f>
        <v>3.393643115177313</v>
      </c>
      <c r="K130" s="42">
        <f>IF(ISBLANK('Aqueous Species Options'!B130), "", IF('Aqueous Species Options'!L130 = 0, 'Aqueous Species Options'!P130, IF('Aqueous Species Table'!I130="", "", IF('Aqueous Species Options'!B130="H+", 0, ('Aqueous Species Options'!G130/41.8393 + 'Aqueous Species Table'!O130*100000*0.0000005903 - 'Aqueous Species Table'!I130/10 - 'Aqueous Species Table'!J130*100/2601)*(298.15-228) - ('Aqueous Species Table'!L130*10000/2601) ) ) ) )</f>
        <v>1.9925631578980951</v>
      </c>
      <c r="L130" s="42">
        <f>IF(ISBLANK('Aqueous Species Options'!B130), "", IF('Aqueous Species Options'!L130 = 0, 'Aqueous Species Options'!Q130, IF('Aqueous Species Table'!J130="", "", IF('Aqueous Species Options'!B130="H+", 0, (-4.134*'Aqueous Species Table'!J130*100 - 27790)*0.0001) ) ) )</f>
        <v>-2.9192932063814303</v>
      </c>
      <c r="M130" s="42">
        <f>IF(ISBLANK('Aqueous Species Options'!B130), "", IF('Aqueous Species Options'!L130=0, 'Aqueous Species Options'!R130, IF('Aqueous Species Table'!N130="", "", IF('Aqueous Species Options'!B130="H+", 0, 'Aqueous Species Options'!H130 - 'Aqueous Species Table'!O130*100000*(-0.000000309)*298.15 - 'Aqueous Species Table'!N130*10000/(298.15-228)^2 ) ) ) )</f>
        <v>-8.3614016240776365</v>
      </c>
      <c r="N130" s="42">
        <f>IF(ISBLANK('Aqueous Species Options'!B130), "", IF('Aqueous Species Options'!L130=0, 'Aqueous Species Options'!S130, IF(OR(ISBLANK('Aqueous Species Options'!H130), 'Aqueous Species Table'!O130=""), "", IF('Aqueous Species Options'!B130="H+", 0, 0.2037*'Aqueous Species Options'!H130 - 3.0346) ) ) )</f>
        <v>-11.56969762123774</v>
      </c>
      <c r="O130" s="42">
        <f>IF(ISBLANK('Aqueous Species Options'!B130), "", IF('Aqueous Species Options'!K130=0, 'Aqueous Species Options'!I130, IF(OR('Aqueous Species Options'!J130&gt;4,'Aqueous Species Options'!J130&lt;-4), "", IF('Aqueous Species Options'!B130="H+", 0, IF('Aqueous Species Options'!J130=0, -0.038, IF(ISBLANK('Aqueous Species Options'!F130), "", -1514.4*'Aqueous Species Options'!F130*0.00001 + SUM(({4,3,2,1,-1,-2,-3,-4}='Aqueous Species Options'!J130)*{2.1764,1.5793,1.0579,0.5517,1.6291,3.2127,4.8115,6.486}) ) ) ) ) ) )</f>
        <v>1.0885</v>
      </c>
      <c r="P130" s="1">
        <f>IF(ISBLANK('Aqueous Species Options'!J130), "", 'Aqueous Species Options'!J130)</f>
        <v>-1</v>
      </c>
      <c r="Q130" s="184" t="str">
        <f>IF(ISBLANK('Aqueous Species Options'!T130), "", 'Aqueous Species Options'!T130)</f>
        <v>Shock et al. (1997) revised with new predicted a1 for complex species</v>
      </c>
    </row>
    <row r="131" spans="2:17" ht="15" customHeight="1" x14ac:dyDescent="0.2">
      <c r="B131" s="9" t="str">
        <f>IF(ISBLANK('Aqueous Species Options'!B131), "", 'Aqueous Species Options'!B131)</f>
        <v>HSiO3-</v>
      </c>
      <c r="C131" s="9" t="str">
        <f>IF(ISBLANK('Aqueous Species Options'!C131), "", 'Aqueous Species Options'!C131)</f>
        <v>HSiO3(-)</v>
      </c>
      <c r="D131" s="2">
        <f>IF(ISBLANK('Aqueous Species Options'!D131), "", 'Aqueous Species Options'!D131)</f>
        <v>-242855</v>
      </c>
      <c r="E131" s="1">
        <f>IF(ISBLANK('Aqueous Species Options'!E131), "", 'Aqueous Species Options'!E131)</f>
        <v>-276479</v>
      </c>
      <c r="F131" s="139">
        <f>IF(ISBLANK('Aqueous Species Options'!F131), "", 'Aqueous Species Options'!F131)</f>
        <v>-3.5</v>
      </c>
      <c r="G131" s="29">
        <f>IF(ISBLANK('Aqueous Species Options'!B131), "", IF('Aqueous Species Options'!L131 = 1, IF(ISBLANK('Aqueous Species Options'!G131), "", 'Aqueous Species Options'!G131), ('Aqueous Species Table'!I131/10 + ('Aqueous Species Table'!J131*100)/(Calculations!$C$12+Calculations!$C$9) + ('Aqueous Species Table'!K131 + ('Aqueous Species Table'!L131*10000)/(Calculations!$C$12+Calculations!$C$9))*(1/(Calculations!$C$8-Calculations!$C$13)) - 'Aqueous Species Table'!O131*100000*0.0000005903)*41.8393))</f>
        <v>21.2</v>
      </c>
      <c r="H131" s="29">
        <f>IF(ISBLANK('Aqueous Species Options'!B131), "", IF('Aqueous Species Options'!L131 = 1, IF(ISBLANK('Aqueous Species Options'!H131), "", 'Aqueous Species Options'!H131), 'Aqueous Species Table'!M131 + 'Aqueous Species Table'!N131*10000*(1/(Calculations!$C$8-Calculations!$C$13))^2 + 'Aqueous Species Table'!O131*100000*Calculations!$C$8*Calculations!$C$7))</f>
        <v>16</v>
      </c>
      <c r="I131" s="42">
        <f>IF(ISBLANK('Aqueous Species Options'!B131), "", IF('Aqueous Species Options'!L131=0, 'Aqueous Species Options'!N131, IF(OR(ISBLANK('Aqueous Species Options'!G131),'Aqueous Species Table'!O131="", 'Aqueous Species Table'!P131=""), "", IF('Aqueous Species Options'!B131="H+", 0, (CHOOSE('Aqueous Species Options'!M131+1,'Aqueous Species Options'!$V$4*ABS('Aqueous Species Table'!P131)+'Aqueous Species Options'!$W$4,'Aqueous Species Options'!$Z$4)*('Aqueous Species Options'!G131 + 'Aqueous Species Table'!O131*100000*0.0000005903*41.8393) + CHOOSE('Aqueous Species Options'!M131+1,'Aqueous Species Options'!$X$4*ABS('Aqueous Species Table'!P131)+'Aqueous Species Options'!$Y$4,'Aqueous Species Options'!$AA$4))*10 ) ) ) )</f>
        <v>6.4444812325359173</v>
      </c>
      <c r="J131" s="42">
        <f>IF(ISBLANK('Aqueous Species Options'!B131), "", IF('Aqueous Species Options'!L131 = 0, 'Aqueous Species Options'!O131, IF('Aqueous Species Table'!I131="", "", IF('Aqueous Species Options'!B131="H+", 0, ((1.11*('Aqueous Species Options'!G131 + 'Aqueous Species Table'!O131*100000*0.0000005903*41.8393)+1.8)/41.8393 - 'Aqueous Species Table'!I131/10)*26.01 ) ) ) )</f>
        <v>1.8526491788904882</v>
      </c>
      <c r="K131" s="42">
        <f>IF(ISBLANK('Aqueous Species Options'!B131), "", IF('Aqueous Species Options'!L131 = 0, 'Aqueous Species Options'!P131, IF('Aqueous Species Table'!I131="", "", IF('Aqueous Species Options'!B131="H+", 0, ('Aqueous Species Options'!G131/41.8393 + 'Aqueous Species Table'!O131*100000*0.0000005903 - 'Aqueous Species Table'!I131/10 - 'Aqueous Species Table'!J131*100/2601)*(298.15-228) - ('Aqueous Species Table'!L131*10000/2601) ) ) ) )</f>
        <v>3.284671969865852</v>
      </c>
      <c r="L131" s="42">
        <f>IF(ISBLANK('Aqueous Species Options'!B131), "", IF('Aqueous Species Options'!L131 = 0, 'Aqueous Species Options'!Q131, IF('Aqueous Species Table'!J131="", "", IF('Aqueous Species Options'!B131="H+", 0, (-4.134*'Aqueous Species Table'!J131*100 - 27790)*0.0001) ) ) )</f>
        <v>-2.8555885170553328</v>
      </c>
      <c r="M131" s="42">
        <f>IF(ISBLANK('Aqueous Species Options'!B131), "", IF('Aqueous Species Options'!L131=0, 'Aqueous Species Options'!R131, IF('Aqueous Species Table'!N131="", "", IF('Aqueous Species Options'!B131="H+", 0, 'Aqueous Species Options'!H131 - 'Aqueous Species Table'!O131*100000*(-0.000000309)*298.15 - 'Aqueous Species Table'!N131*10000/(298.15-228)^2 ) ) ) )</f>
        <v>31.040537393136535</v>
      </c>
      <c r="N131" s="42">
        <f>IF(ISBLANK('Aqueous Species Options'!B131), "", IF('Aqueous Species Options'!L131=0, 'Aqueous Species Options'!S131, IF(OR(ISBLANK('Aqueous Species Options'!H131), 'Aqueous Species Table'!O131=""), "", IF('Aqueous Species Options'!B131="H+", 0, 0.2037*'Aqueous Species Options'!H131 - 3.0346) ) ) )</f>
        <v>0.22459999999999969</v>
      </c>
      <c r="O131" s="42">
        <f>IF(ISBLANK('Aqueous Species Options'!B131), "", IF('Aqueous Species Options'!K131=0, 'Aqueous Species Options'!I131, IF(OR('Aqueous Species Options'!J131&gt;4,'Aqueous Species Options'!J131&lt;-4), "", IF('Aqueous Species Options'!B131="H+", 0, IF('Aqueous Species Options'!J131=0, -0.038, IF(ISBLANK('Aqueous Species Options'!F131), "", -1514.4*'Aqueous Species Options'!F131*0.00001 + SUM(({4,3,2,1,-1,-2,-3,-4}='Aqueous Species Options'!J131)*{2.1764,1.5793,1.0579,0.5517,1.6291,3.2127,4.8115,6.486}) ) ) ) ) ) )</f>
        <v>1.682104</v>
      </c>
      <c r="P131" s="1">
        <f>IF(ISBLANK('Aqueous Species Options'!J131), "", 'Aqueous Species Options'!J131)</f>
        <v>-1</v>
      </c>
      <c r="Q131" s="184" t="str">
        <f>IF(ISBLANK('Aqueous Species Options'!T131), "", 'Aqueous Species Options'!T131)</f>
        <v>Huang &amp; Sverjensky (2019)</v>
      </c>
    </row>
    <row r="132" spans="2:17" ht="15" customHeight="1" x14ac:dyDescent="0.2">
      <c r="B132" s="9" t="str">
        <f>IF(ISBLANK('Aqueous Species Options'!B132), "", 'Aqueous Species Options'!B132)</f>
        <v>HSO3-</v>
      </c>
      <c r="C132" s="9" t="str">
        <f>IF(ISBLANK('Aqueous Species Options'!C132), "", 'Aqueous Species Options'!C132)</f>
        <v>HSO3(-)</v>
      </c>
      <c r="D132" s="2">
        <f>IF(ISBLANK('Aqueous Species Options'!D132), "", 'Aqueous Species Options'!D132)</f>
        <v>-126130</v>
      </c>
      <c r="E132" s="1">
        <f>IF(ISBLANK('Aqueous Species Options'!E132), "", 'Aqueous Species Options'!E132)</f>
        <v>-149670</v>
      </c>
      <c r="F132" s="139">
        <f>IF(ISBLANK('Aqueous Species Options'!F132), "", 'Aqueous Species Options'!F132)</f>
        <v>33.4</v>
      </c>
      <c r="G132" s="29">
        <f>IF(ISBLANK('Aqueous Species Options'!B132), "", IF('Aqueous Species Options'!L132 = 1, IF(ISBLANK('Aqueous Species Options'!G132), "", 'Aqueous Species Options'!G132), ('Aqueous Species Table'!I132/10 + ('Aqueous Species Table'!J132*100)/(Calculations!$C$12+Calculations!$C$9) + ('Aqueous Species Table'!K132 + ('Aqueous Species Table'!L132*10000)/(Calculations!$C$12+Calculations!$C$9))*(1/(Calculations!$C$8-Calculations!$C$13)) - 'Aqueous Species Table'!O132*100000*0.0000005903)*41.8393))</f>
        <v>33.299883324899049</v>
      </c>
      <c r="H132" s="29">
        <f>IF(ISBLANK('Aqueous Species Options'!B132), "", IF('Aqueous Species Options'!L132 = 1, IF(ISBLANK('Aqueous Species Options'!H132), "", 'Aqueous Species Options'!H132), 'Aqueous Species Table'!M132 + 'Aqueous Species Table'!N132*10000*(1/(Calculations!$C$8-Calculations!$C$13))^2 + 'Aqueous Species Table'!O132*100000*Calculations!$C$8*Calculations!$C$7))</f>
        <v>-1.4000365092540239</v>
      </c>
      <c r="I132" s="42">
        <f>IF(ISBLANK('Aqueous Species Options'!B132), "", IF('Aqueous Species Options'!L132=0, 'Aqueous Species Options'!N132, IF(OR(ISBLANK('Aqueous Species Options'!G132),'Aqueous Species Table'!O132="", 'Aqueous Species Table'!P132=""), "", IF('Aqueous Species Options'!B132="H+", 0, (CHOOSE('Aqueous Species Options'!M132+1,'Aqueous Species Options'!$V$4*ABS('Aqueous Species Table'!P132)+'Aqueous Species Options'!$W$4,'Aqueous Species Options'!$Z$4)*('Aqueous Species Options'!G132 + 'Aqueous Species Table'!O132*100000*0.0000005903*41.8393) + CHOOSE('Aqueous Species Options'!M132+1,'Aqueous Species Options'!$X$4*ABS('Aqueous Species Table'!P132)+'Aqueous Species Options'!$Y$4,'Aqueous Species Options'!$AA$4))*10 ) ) ) )</f>
        <v>6.7013999999999996</v>
      </c>
      <c r="J132" s="42">
        <f>IF(ISBLANK('Aqueous Species Options'!B132), "", IF('Aqueous Species Options'!L132 = 0, 'Aqueous Species Options'!O132, IF('Aqueous Species Table'!I132="", "", IF('Aqueous Species Options'!B132="H+", 0, ((1.11*('Aqueous Species Options'!G132 + 'Aqueous Species Table'!O132*100000*0.0000005903*41.8393)+1.8)/41.8393 - 'Aqueous Species Table'!I132/10)*26.01 ) ) ) )</f>
        <v>8.5815999999999999</v>
      </c>
      <c r="K132" s="42">
        <f>IF(ISBLANK('Aqueous Species Options'!B132), "", IF('Aqueous Species Options'!L132 = 0, 'Aqueous Species Options'!P132, IF('Aqueous Species Table'!I132="", "", IF('Aqueous Species Options'!B132="H+", 0, ('Aqueous Species Options'!G132/41.8393 + 'Aqueous Species Table'!O132*100000*0.0000005903 - 'Aqueous Species Table'!I132/10 - 'Aqueous Species Table'!J132*100/2601)*(298.15-228) - ('Aqueous Species Table'!L132*10000/2601) ) ) ) )</f>
        <v>2.3771</v>
      </c>
      <c r="L132" s="42">
        <f>IF(ISBLANK('Aqueous Species Options'!B132), "", IF('Aqueous Species Options'!L132 = 0, 'Aqueous Species Options'!Q132, IF('Aqueous Species Table'!J132="", "", IF('Aqueous Species Options'!B132="H+", 0, (-4.134*'Aqueous Species Table'!J132*100 - 27790)*0.0001) ) ) )</f>
        <v>-3.1337999999999999</v>
      </c>
      <c r="M132" s="42">
        <f>IF(ISBLANK('Aqueous Species Options'!B132), "", IF('Aqueous Species Options'!L132=0, 'Aqueous Species Options'!R132, IF('Aqueous Species Table'!N132="", "", IF('Aqueous Species Options'!B132="H+", 0, 'Aqueous Species Options'!H132 - 'Aqueous Species Table'!O132*100000*(-0.000000309)*298.15 - 'Aqueous Species Table'!N132*10000/(298.15-228)^2 ) ) ) )</f>
        <v>15.694900000000001</v>
      </c>
      <c r="N132" s="42">
        <f>IF(ISBLANK('Aqueous Species Options'!B132), "", IF('Aqueous Species Options'!L132=0, 'Aqueous Species Options'!S132, IF(OR(ISBLANK('Aqueous Species Options'!H132), 'Aqueous Species Table'!O132=""), "", IF('Aqueous Species Options'!B132="H+", 0, 0.2037*'Aqueous Species Options'!H132 - 3.0346) ) ) )</f>
        <v>-3.3197999999999999</v>
      </c>
      <c r="O132" s="42">
        <f>IF(ISBLANK('Aqueous Species Options'!B132), "", IF('Aqueous Species Options'!K132=0, 'Aqueous Species Options'!I132, IF(OR('Aqueous Species Options'!J132&gt;4,'Aqueous Species Options'!J132&lt;-4), "", IF('Aqueous Species Options'!B132="H+", 0, IF('Aqueous Species Options'!J132=0, -0.038, IF(ISBLANK('Aqueous Species Options'!F132), "", -1514.4*'Aqueous Species Options'!F132*0.00001 + SUM(({4,3,2,1,-1,-2,-3,-4}='Aqueous Species Options'!J132)*{2.1764,1.5793,1.0579,0.5517,1.6291,3.2127,4.8115,6.486}) ) ) ) ) ) )</f>
        <v>1.1233</v>
      </c>
      <c r="P132" s="1">
        <f>IF(ISBLANK('Aqueous Species Options'!J132), "", 'Aqueous Species Options'!J132)</f>
        <v>-1</v>
      </c>
      <c r="Q132" s="184" t="str">
        <f>IF(ISBLANK('Aqueous Species Options'!T132), "", 'Aqueous Species Options'!T132)</f>
        <v>Sverjensky et al. (1997) revised using published estimated V and pred. a1 from new correlation</v>
      </c>
    </row>
    <row r="133" spans="2:17" ht="15" customHeight="1" x14ac:dyDescent="0.2">
      <c r="B133" s="9" t="str">
        <f>IF(ISBLANK('Aqueous Species Options'!B133), "", 'Aqueous Species Options'!B133)</f>
        <v>HSO4-</v>
      </c>
      <c r="C133" s="9" t="str">
        <f>IF(ISBLANK('Aqueous Species Options'!C133), "", 'Aqueous Species Options'!C133)</f>
        <v>HSO4(-)</v>
      </c>
      <c r="D133" s="2">
        <f>IF(ISBLANK('Aqueous Species Options'!D133), "", 'Aqueous Species Options'!D133)</f>
        <v>-180630</v>
      </c>
      <c r="E133" s="1">
        <f>IF(ISBLANK('Aqueous Species Options'!E133), "", 'Aqueous Species Options'!E133)</f>
        <v>-212500</v>
      </c>
      <c r="F133" s="139">
        <f>IF(ISBLANK('Aqueous Species Options'!F133), "", 'Aqueous Species Options'!F133)</f>
        <v>30</v>
      </c>
      <c r="G133" s="29">
        <f>IF(ISBLANK('Aqueous Species Options'!B133), "", IF('Aqueous Species Options'!L133 = 1, IF(ISBLANK('Aqueous Species Options'!G133), "", 'Aqueous Species Options'!G133), ('Aqueous Species Table'!I133/10 + ('Aqueous Species Table'!J133*100)/(Calculations!$C$12+Calculations!$C$9) + ('Aqueous Species Table'!K133 + ('Aqueous Species Table'!L133*10000)/(Calculations!$C$12+Calculations!$C$9))*(1/(Calculations!$C$8-Calculations!$C$13)) - 'Aqueous Species Table'!O133*100000*0.0000005903)*41.8393))</f>
        <v>35.199933611817556</v>
      </c>
      <c r="H133" s="29">
        <f>IF(ISBLANK('Aqueous Species Options'!B133), "", IF('Aqueous Species Options'!L133 = 1, IF(ISBLANK('Aqueous Species Options'!H133), "", 'Aqueous Species Options'!H133), 'Aqueous Species Table'!M133 + 'Aqueous Species Table'!N133*10000*(1/(Calculations!$C$8-Calculations!$C$13))^2 + 'Aqueous Species Table'!O133*100000*Calculations!$C$8*Calculations!$C$7))</f>
        <v>5.3001098441359353</v>
      </c>
      <c r="I133" s="42">
        <f>IF(ISBLANK('Aqueous Species Options'!B133), "", IF('Aqueous Species Options'!L133=0, 'Aqueous Species Options'!N133, IF(OR(ISBLANK('Aqueous Species Options'!G133),'Aqueous Species Table'!O133="", 'Aqueous Species Table'!P133=""), "", IF('Aqueous Species Options'!B133="H+", 0, (CHOOSE('Aqueous Species Options'!M133+1,'Aqueous Species Options'!$V$4*ABS('Aqueous Species Table'!P133)+'Aqueous Species Options'!$W$4,'Aqueous Species Options'!$Z$4)*('Aqueous Species Options'!G133 + 'Aqueous Species Table'!O133*100000*0.0000005903*41.8393) + CHOOSE('Aqueous Species Options'!M133+1,'Aqueous Species Options'!$X$4*ABS('Aqueous Species Table'!P133)+'Aqueous Species Options'!$Y$4,'Aqueous Species Options'!$AA$4))*10 ) ) ) )</f>
        <v>8.9200775482167742</v>
      </c>
      <c r="J133" s="42">
        <f>IF(ISBLANK('Aqueous Species Options'!B133), "", IF('Aqueous Species Options'!L133 = 0, 'Aqueous Species Options'!O133, IF('Aqueous Species Table'!I133="", "", IF('Aqueous Species Options'!B133="H+", 0, ((1.11*('Aqueous Species Options'!G133 + 'Aqueous Species Table'!O133*100000*0.0000005903*41.8393)+1.8)/41.8393 - 'Aqueous Species Table'!I133/10)*26.01 ) ) ) )</f>
        <v>4.2096624505530826</v>
      </c>
      <c r="K133" s="42">
        <f>IF(ISBLANK('Aqueous Species Options'!B133), "", IF('Aqueous Species Options'!L133 = 0, 'Aqueous Species Options'!P133, IF('Aqueous Species Table'!I133="", "", IF('Aqueous Species Options'!B133="H+", 0, ('Aqueous Species Options'!G133/41.8393 + 'Aqueous Species Table'!O133*100000*0.0000005903 - 'Aqueous Species Table'!I133/10 - 'Aqueous Species Table'!J133*100/2601)*(298.15-228) - ('Aqueous Species Table'!L133*10000/2601) ) ) ) )</f>
        <v>1.3083386783938131</v>
      </c>
      <c r="L133" s="42">
        <f>IF(ISBLANK('Aqueous Species Options'!B133), "", IF('Aqueous Species Options'!L133 = 0, 'Aqueous Species Options'!Q133, IF('Aqueous Species Table'!J133="", "", IF('Aqueous Species Options'!B133="H+", 0, (-4.134*'Aqueous Species Table'!J133*100 - 27790)*0.0001) ) ) )</f>
        <v>-2.9530274457058647</v>
      </c>
      <c r="M133" s="42">
        <f>IF(ISBLANK('Aqueous Species Options'!B133), "", IF('Aqueous Species Options'!L133=0, 'Aqueous Species Options'!R133, IF('Aqueous Species Table'!N133="", "", IF('Aqueous Species Options'!B133="H+", 0, 'Aqueous Species Options'!H133 - 'Aqueous Species Table'!O133*100000*(-0.000000309)*298.15 - 'Aqueous Species Table'!N133*10000/(298.15-228)^2 ) ) ) )</f>
        <v>20.096034210318095</v>
      </c>
      <c r="N133" s="42">
        <f>IF(ISBLANK('Aqueous Species Options'!B133), "", IF('Aqueous Species Options'!L133=0, 'Aqueous Species Options'!S133, IF(OR(ISBLANK('Aqueous Species Options'!H133), 'Aqueous Species Table'!O133=""), "", IF('Aqueous Species Options'!B133="H+", 0, 0.2037*'Aqueous Species Options'!H133 - 3.0346) ) ) )</f>
        <v>-1.9549676247495102</v>
      </c>
      <c r="O133" s="42">
        <f>IF(ISBLANK('Aqueous Species Options'!B133), "", IF('Aqueous Species Options'!K133=0, 'Aqueous Species Options'!I133, IF(OR('Aqueous Species Options'!J133&gt;4,'Aqueous Species Options'!J133&lt;-4), "", IF('Aqueous Species Options'!B133="H+", 0, IF('Aqueous Species Options'!J133=0, -0.038, IF(ISBLANK('Aqueous Species Options'!F133), "", -1514.4*'Aqueous Species Options'!F133*0.00001 + SUM(({4,3,2,1,-1,-2,-3,-4}='Aqueous Species Options'!J133)*{2.1764,1.5793,1.0579,0.5517,1.6291,3.2127,4.8115,6.486}) ) ) ) ) ) )</f>
        <v>1.1748000000000001</v>
      </c>
      <c r="P133" s="1">
        <f>IF(ISBLANK('Aqueous Species Options'!J133), "", 'Aqueous Species Options'!J133)</f>
        <v>-1</v>
      </c>
      <c r="Q133" s="184" t="str">
        <f>IF(ISBLANK('Aqueous Species Options'!T133), "", 'Aqueous Species Options'!T133)</f>
        <v>Beaudry et al. (2024)</v>
      </c>
    </row>
    <row r="134" spans="2:17" ht="15" customHeight="1" x14ac:dyDescent="0.2">
      <c r="B134" s="9" t="str">
        <f>IF(ISBLANK('Aqueous Species Options'!B134), "", 'Aqueous Species Options'!B134)</f>
        <v>HSO5-</v>
      </c>
      <c r="C134" s="9" t="str">
        <f>IF(ISBLANK('Aqueous Species Options'!C134), "", 'Aqueous Species Options'!C134)</f>
        <v>HSO5(-)</v>
      </c>
      <c r="D134" s="2">
        <f>IF(ISBLANK('Aqueous Species Options'!D134), "", 'Aqueous Species Options'!D134)</f>
        <v>-152370</v>
      </c>
      <c r="E134" s="1">
        <f>IF(ISBLANK('Aqueous Species Options'!E134), "", 'Aqueous Species Options'!E134)</f>
        <v>-185380</v>
      </c>
      <c r="F134" s="139">
        <f>IF(ISBLANK('Aqueous Species Options'!F134), "", 'Aqueous Species Options'!F134)</f>
        <v>50.7</v>
      </c>
      <c r="G134" s="29">
        <f>IF(ISBLANK('Aqueous Species Options'!B134), "", IF('Aqueous Species Options'!L134 = 1, IF(ISBLANK('Aqueous Species Options'!G134), "", 'Aqueous Species Options'!G134), ('Aqueous Species Table'!I134/10 + ('Aqueous Species Table'!J134*100)/(Calculations!$C$12+Calculations!$C$9) + ('Aqueous Species Table'!K134 + ('Aqueous Species Table'!L134*10000)/(Calculations!$C$12+Calculations!$C$9))*(1/(Calculations!$C$8-Calculations!$C$13)) - 'Aqueous Species Table'!O134*100000*0.0000005903)*41.8393))</f>
        <v>50.69984077367306</v>
      </c>
      <c r="H134" s="29">
        <f>IF(ISBLANK('Aqueous Species Options'!B134), "", IF('Aqueous Species Options'!L134 = 1, IF(ISBLANK('Aqueous Species Options'!H134), "", 'Aqueous Species Options'!H134), 'Aqueous Species Table'!M134 + 'Aqueous Species Table'!N134*10000*(1/(Calculations!$C$8-Calculations!$C$13))^2 + 'Aqueous Species Table'!O134*100000*Calculations!$C$8*Calculations!$C$7))</f>
        <v>29.199742106419265</v>
      </c>
      <c r="I134" s="42">
        <f>IF(ISBLANK('Aqueous Species Options'!B134), "", IF('Aqueous Species Options'!L134=0, 'Aqueous Species Options'!N134, IF(OR(ISBLANK('Aqueous Species Options'!G134),'Aqueous Species Table'!O134="", 'Aqueous Species Table'!P134=""), "", IF('Aqueous Species Options'!B134="H+", 0, (CHOOSE('Aqueous Species Options'!M134+1,'Aqueous Species Options'!$V$4*ABS('Aqueous Species Table'!P134)+'Aqueous Species Options'!$W$4,'Aqueous Species Options'!$Z$4)*('Aqueous Species Options'!G134 + 'Aqueous Species Table'!O134*100000*0.0000005903*41.8393) + CHOOSE('Aqueous Species Options'!M134+1,'Aqueous Species Options'!$X$4*ABS('Aqueous Species Table'!P134)+'Aqueous Species Options'!$Y$4,'Aqueous Species Options'!$AA$4))*10 ) ) ) )</f>
        <v>11.779846812053499</v>
      </c>
      <c r="J134" s="42">
        <f>IF(ISBLANK('Aqueous Species Options'!B134), "", IF('Aqueous Species Options'!L134 = 0, 'Aqueous Species Options'!O134, IF('Aqueous Species Table'!I134="", "", IF('Aqueous Species Options'!B134="H+", 0, ((1.11*('Aqueous Species Options'!G134 + 'Aqueous Species Table'!O134*100000*0.0000005903*41.8393)+1.8)/41.8393 - 'Aqueous Species Table'!I134/10)*26.01 ) ) ) )</f>
        <v>6.9324464788134179</v>
      </c>
      <c r="K134" s="42">
        <f>IF(ISBLANK('Aqueous Species Options'!B134), "", IF('Aqueous Species Options'!L134 = 0, 'Aqueous Species Options'!P134, IF('Aqueous Species Table'!I134="", "", IF('Aqueous Species Options'!B134="H+", 0, ('Aqueous Species Options'!G134/41.8393 + 'Aqueous Species Table'!O134*100000*0.0000005903 - 'Aqueous Species Table'!I134/10 - 'Aqueous Species Table'!J134*100/2601)*(298.15-228) - ('Aqueous Species Table'!L134*10000/2601) ) ) ) )</f>
        <v>-0.97468992616875916</v>
      </c>
      <c r="L134" s="42">
        <f>IF(ISBLANK('Aqueous Species Options'!B134), "", IF('Aqueous Species Options'!L134 = 0, 'Aqueous Species Options'!Q134, IF('Aqueous Species Table'!J134="", "", IF('Aqueous Species Options'!B134="H+", 0, (-4.134*'Aqueous Species Table'!J134*100 - 27790)*0.0001) ) ) )</f>
        <v>-3.0655873374341467</v>
      </c>
      <c r="M134" s="42">
        <f>IF(ISBLANK('Aqueous Species Options'!B134), "", IF('Aqueous Species Options'!L134=0, 'Aqueous Species Options'!R134, IF('Aqueous Species Table'!N134="", "", IF('Aqueous Species Options'!B134="H+", 0, 'Aqueous Species Options'!H134 - 'Aqueous Species Table'!O134*100000*(-0.000000309)*298.15 - 'Aqueous Species Table'!N134*10000/(298.15-228)^2 ) ) ) )</f>
        <v>31.212625468126582</v>
      </c>
      <c r="N134" s="42">
        <f>IF(ISBLANK('Aqueous Species Options'!B134), "", IF('Aqueous Species Options'!L134=0, 'Aqueous Species Options'!S134, IF(OR(ISBLANK('Aqueous Species Options'!H134), 'Aqueous Species Table'!O134=""), "", IF('Aqueous Species Options'!B134="H+", 0, 0.2037*'Aqueous Species Options'!H134 - 3.0346) ) ) )</f>
        <v>2.9133874670776034</v>
      </c>
      <c r="O134" s="42">
        <f>IF(ISBLANK('Aqueous Species Options'!B134), "", IF('Aqueous Species Options'!K134=0, 'Aqueous Species Options'!I134, IF(OR('Aqueous Species Options'!J134&gt;4,'Aqueous Species Options'!J134&lt;-4), "", IF('Aqueous Species Options'!B134="H+", 0, IF('Aqueous Species Options'!J134=0, -0.038, IF(ISBLANK('Aqueous Species Options'!F134), "", -1514.4*'Aqueous Species Options'!F134*0.00001 + SUM(({4,3,2,1,-1,-2,-3,-4}='Aqueous Species Options'!J134)*{2.1764,1.5793,1.0579,0.5517,1.6291,3.2127,4.8115,6.486}) ) ) ) ) ) )</f>
        <v>0.86109999999999998</v>
      </c>
      <c r="P134" s="1">
        <f>IF(ISBLANK('Aqueous Species Options'!J134), "", 'Aqueous Species Options'!J134)</f>
        <v>-1</v>
      </c>
      <c r="Q134" s="184" t="str">
        <f>IF(ISBLANK('Aqueous Species Options'!T134), "", 'Aqueous Species Options'!T134)</f>
        <v>Shock et al. (1997) revised with new predicted a1 for complex species</v>
      </c>
    </row>
    <row r="135" spans="2:17" ht="15" customHeight="1" x14ac:dyDescent="0.2">
      <c r="B135" s="9" t="str">
        <f>IF(ISBLANK('Aqueous Species Options'!B135), "", 'Aqueous Species Options'!B135)</f>
        <v>HVO4-2</v>
      </c>
      <c r="C135" s="9" t="str">
        <f>IF(ISBLANK('Aqueous Species Options'!C135), "", 'Aqueous Species Options'!C135)</f>
        <v>HVO4(-2)</v>
      </c>
      <c r="D135" s="2">
        <f>IF(ISBLANK('Aqueous Species Options'!D135), "", 'Aqueous Species Options'!D135)</f>
        <v>-233000</v>
      </c>
      <c r="E135" s="1">
        <f>IF(ISBLANK('Aqueous Species Options'!E135), "", 'Aqueous Species Options'!E135)</f>
        <v>-277000</v>
      </c>
      <c r="F135" s="139">
        <f>IF(ISBLANK('Aqueous Species Options'!F135), "", 'Aqueous Species Options'!F135)</f>
        <v>4</v>
      </c>
      <c r="G135" s="29">
        <f>IF(ISBLANK('Aqueous Species Options'!B135), "", IF('Aqueous Species Options'!L135 = 1, IF(ISBLANK('Aqueous Species Options'!G135), "", 'Aqueous Species Options'!G135), ('Aqueous Species Table'!I135/10 + ('Aqueous Species Table'!J135*100)/(Calculations!$C$12+Calculations!$C$9) + ('Aqueous Species Table'!K135 + ('Aqueous Species Table'!L135*10000)/(Calculations!$C$12+Calculations!$C$9))*(1/(Calculations!$C$8-Calculations!$C$13)) - 'Aqueous Species Table'!O135*100000*0.0000005903)*41.8393))</f>
        <v>17.399862168169946</v>
      </c>
      <c r="H135" s="29">
        <f>IF(ISBLANK('Aqueous Species Options'!B135), "", IF('Aqueous Species Options'!L135 = 1, IF(ISBLANK('Aqueous Species Options'!H135), "", 'Aqueous Species Options'!H135), 'Aqueous Species Table'!M135 + 'Aqueous Species Table'!N135*10000*(1/(Calculations!$C$8-Calculations!$C$13))^2 + 'Aqueous Species Table'!O135*100000*Calculations!$C$8*Calculations!$C$7))</f>
        <v>-48.299612139683347</v>
      </c>
      <c r="I135" s="42">
        <f>IF(ISBLANK('Aqueous Species Options'!B135), "", IF('Aqueous Species Options'!L135=0, 'Aqueous Species Options'!N135, IF(OR(ISBLANK('Aqueous Species Options'!G135),'Aqueous Species Table'!O135="", 'Aqueous Species Table'!P135=""), "", IF('Aqueous Species Options'!B135="H+", 0, (CHOOSE('Aqueous Species Options'!M135+1,'Aqueous Species Options'!$V$4*ABS('Aqueous Species Table'!P135)+'Aqueous Species Options'!$W$4,'Aqueous Species Options'!$Z$4)*('Aqueous Species Options'!G135 + 'Aqueous Species Table'!O135*100000*0.0000005903*41.8393) + CHOOSE('Aqueous Species Options'!M135+1,'Aqueous Species Options'!$X$4*ABS('Aqueous Species Table'!P135)+'Aqueous Species Options'!$Y$4,'Aqueous Species Options'!$AA$4))*10 ) ) ) )</f>
        <v>6.411834872477753</v>
      </c>
      <c r="J135" s="42">
        <f>IF(ISBLANK('Aqueous Species Options'!B135), "", IF('Aqueous Species Options'!L135 = 0, 'Aqueous Species Options'!O135, IF('Aqueous Species Table'!I135="", "", IF('Aqueous Species Options'!B135="H+", 0, ((1.11*('Aqueous Species Options'!G135 + 'Aqueous Species Table'!O135*100000*0.0000005903*41.8393)+1.8)/41.8393 - 'Aqueous Species Table'!I135/10)*26.01 ) ) ) )</f>
        <v>1.8215666055964654</v>
      </c>
      <c r="K135" s="42">
        <f>IF(ISBLANK('Aqueous Species Options'!B135), "", IF('Aqueous Species Options'!L135 = 0, 'Aqueous Species Options'!P135, IF('Aqueous Species Table'!I135="", "", IF('Aqueous Species Options'!B135="H+", 0, ('Aqueous Species Options'!G135/41.8393 + 'Aqueous Species Table'!O135*100000*0.0000005903 - 'Aqueous Species Table'!I135/10 - 'Aqueous Species Table'!J135*100/2601)*(298.15-228) - ('Aqueous Species Table'!L135*10000/2601) ) ) ) )</f>
        <v>3.3107344130112253</v>
      </c>
      <c r="L135" s="42">
        <f>IF(ISBLANK('Aqueous Species Options'!B135), "", IF('Aqueous Species Options'!L135 = 0, 'Aqueous Species Options'!Q135, IF('Aqueous Species Table'!J135="", "", IF('Aqueous Species Options'!B135="H+", 0, (-4.134*'Aqueous Species Table'!J135*100 - 27790)*0.0001) ) ) )</f>
        <v>-2.8543035634753577</v>
      </c>
      <c r="M135" s="42">
        <f>IF(ISBLANK('Aqueous Species Options'!B135), "", IF('Aqueous Species Options'!L135=0, 'Aqueous Species Options'!R135, IF('Aqueous Species Table'!N135="", "", IF('Aqueous Species Options'!B135="H+", 0, 'Aqueous Species Options'!H135 - 'Aqueous Species Table'!O135*100000*(-0.000000309)*298.15 - 'Aqueous Species Table'!N135*10000/(298.15-228)^2 ) ) ) )</f>
        <v>6.9053597707153287</v>
      </c>
      <c r="N135" s="42">
        <f>IF(ISBLANK('Aqueous Species Options'!B135), "", IF('Aqueous Species Options'!L135=0, 'Aqueous Species Options'!S135, IF(OR(ISBLANK('Aqueous Species Options'!H135), 'Aqueous Species Table'!O135=""), "", IF('Aqueous Species Options'!B135="H+", 0, 0.2037*'Aqueous Species Options'!H135 - 3.0346) ) ) )</f>
        <v>-12.873230992853497</v>
      </c>
      <c r="O135" s="42">
        <f>IF(ISBLANK('Aqueous Species Options'!B135), "", IF('Aqueous Species Options'!K135=0, 'Aqueous Species Options'!I135, IF(OR('Aqueous Species Options'!J135&gt;4,'Aqueous Species Options'!J135&lt;-4), "", IF('Aqueous Species Options'!B135="H+", 0, IF('Aqueous Species Options'!J135=0, -0.038, IF(ISBLANK('Aqueous Species Options'!F135), "", -1514.4*'Aqueous Species Options'!F135*0.00001 + SUM(({4,3,2,1,-1,-2,-3,-4}='Aqueous Species Options'!J135)*{2.1764,1.5793,1.0579,0.5517,1.6291,3.2127,4.8115,6.486}) ) ) ) ) ) )</f>
        <v>3.1526999999999998</v>
      </c>
      <c r="P135" s="1">
        <f>IF(ISBLANK('Aqueous Species Options'!J135), "", 'Aqueous Species Options'!J135)</f>
        <v>-2</v>
      </c>
      <c r="Q135" s="184" t="str">
        <f>IF(ISBLANK('Aqueous Species Options'!T135), "", 'Aqueous Species Options'!T135)</f>
        <v>Shock et al. (1997) revised with new predicted a1 for complex species</v>
      </c>
    </row>
    <row r="136" spans="2:17" ht="15" customHeight="1" x14ac:dyDescent="0.2">
      <c r="B136" s="9" t="str">
        <f>IF(ISBLANK('Aqueous Species Options'!B136), "", 'Aqueous Species Options'!B136)</f>
        <v>I-</v>
      </c>
      <c r="C136" s="9" t="str">
        <f>IF(ISBLANK('Aqueous Species Options'!C136), "", 'Aqueous Species Options'!C136)</f>
        <v>I(-)</v>
      </c>
      <c r="D136" s="2">
        <f>IF(ISBLANK('Aqueous Species Options'!D136), "", 'Aqueous Species Options'!D136)</f>
        <v>-12410</v>
      </c>
      <c r="E136" s="1">
        <f>IF(ISBLANK('Aqueous Species Options'!E136), "", 'Aqueous Species Options'!E136)</f>
        <v>-13600</v>
      </c>
      <c r="F136" s="139">
        <f>IF(ISBLANK('Aqueous Species Options'!F136), "", 'Aqueous Species Options'!F136)</f>
        <v>25.5</v>
      </c>
      <c r="G136" s="29">
        <f>IF(ISBLANK('Aqueous Species Options'!B136), "", IF('Aqueous Species Options'!L136 = 1, IF(ISBLANK('Aqueous Species Options'!G136), "", 'Aqueous Species Options'!G136), ('Aqueous Species Table'!I136/10 + ('Aqueous Species Table'!J136*100)/(Calculations!$C$12+Calculations!$C$9) + ('Aqueous Species Table'!K136 + ('Aqueous Species Table'!L136*10000)/(Calculations!$C$12+Calculations!$C$9))*(1/(Calculations!$C$8-Calculations!$C$13)) - 'Aqueous Species Table'!O136*100000*0.0000005903)*41.8393))</f>
        <v>36.309920432501357</v>
      </c>
      <c r="H136" s="29">
        <f>IF(ISBLANK('Aqueous Species Options'!B136), "", IF('Aqueous Species Options'!L136 = 1, IF(ISBLANK('Aqueous Species Options'!H136), "", 'Aqueous Species Options'!H136), 'Aqueous Species Table'!M136 + 'Aqueous Species Table'!N136*10000*(1/(Calculations!$C$8-Calculations!$C$13))^2 + 'Aqueous Species Table'!O136*100000*Calculations!$C$8*Calculations!$C$7))</f>
        <v>-28.232573320887433</v>
      </c>
      <c r="I136" s="42">
        <f>IF(ISBLANK('Aqueous Species Options'!B136), "", IF('Aqueous Species Options'!L136=0, 'Aqueous Species Options'!N136, IF(OR(ISBLANK('Aqueous Species Options'!G136),'Aqueous Species Table'!O136="", 'Aqueous Species Table'!P136=""), "", IF('Aqueous Species Options'!B136="H+", 0, (CHOOSE('Aqueous Species Options'!M136+1,'Aqueous Species Options'!$V$4*ABS('Aqueous Species Table'!P136)+'Aqueous Species Options'!$W$4,'Aqueous Species Options'!$Z$4)*('Aqueous Species Options'!G136 + 'Aqueous Species Table'!O136*100000*0.0000005903*41.8393) + CHOOSE('Aqueous Species Options'!M136+1,'Aqueous Species Options'!$X$4*ABS('Aqueous Species Table'!P136)+'Aqueous Species Options'!$Y$4,'Aqueous Species Options'!$AA$4))*10 ) ) ) )</f>
        <v>7.7622999999999998</v>
      </c>
      <c r="J136" s="42">
        <f>IF(ISBLANK('Aqueous Species Options'!B136), "", IF('Aqueous Species Options'!L136 = 0, 'Aqueous Species Options'!O136, IF('Aqueous Species Table'!I136="", "", IF('Aqueous Species Options'!B136="H+", 0, ((1.11*('Aqueous Species Options'!G136 + 'Aqueous Species Table'!O136*100000*0.0000005903*41.8393)+1.8)/41.8393 - 'Aqueous Species Table'!I136/10)*26.01 ) ) ) )</f>
        <v>8.2761999999999993</v>
      </c>
      <c r="K136" s="42">
        <f>IF(ISBLANK('Aqueous Species Options'!B136), "", IF('Aqueous Species Options'!L136 = 0, 'Aqueous Species Options'!P136, IF('Aqueous Species Table'!I136="", "", IF('Aqueous Species Options'!B136="H+", 0, ('Aqueous Species Options'!G136/41.8393 + 'Aqueous Species Table'!O136*100000*0.0000005903 - 'Aqueous Species Table'!I136/10 - 'Aqueous Species Table'!J136*100/2601)*(298.15-228) - ('Aqueous Species Table'!L136*10000/2601) ) ) ) )</f>
        <v>1.4609000000000001</v>
      </c>
      <c r="L136" s="42">
        <f>IF(ISBLANK('Aqueous Species Options'!B136), "", IF('Aqueous Species Options'!L136 = 0, 'Aqueous Species Options'!Q136, IF('Aqueous Species Table'!J136="", "", IF('Aqueous Species Options'!B136="H+", 0, (-4.134*'Aqueous Species Table'!J136*100 - 27790)*0.0001) ) ) )</f>
        <v>-3.1211000000000002</v>
      </c>
      <c r="M136" s="42">
        <f>IF(ISBLANK('Aqueous Species Options'!B136), "", IF('Aqueous Species Options'!L136=0, 'Aqueous Species Options'!R136, IF('Aqueous Species Table'!N136="", "", IF('Aqueous Species Options'!B136="H+", 0, 'Aqueous Species Options'!H136 - 'Aqueous Species Table'!O136*100000*(-0.000000309)*298.15 - 'Aqueous Species Table'!N136*10000/(298.15-228)^2 ) ) ) )</f>
        <v>-6.27</v>
      </c>
      <c r="N136" s="42">
        <f>IF(ISBLANK('Aqueous Species Options'!B136), "", IF('Aqueous Species Options'!L136=0, 'Aqueous Species Options'!S136, IF(OR(ISBLANK('Aqueous Species Options'!H136), 'Aqueous Species Table'!O136=""), "", IF('Aqueous Species Options'!B136="H+", 0, 0.2037*'Aqueous Species Options'!H136 - 3.0346) ) ) )</f>
        <v>-4.944</v>
      </c>
      <c r="O136" s="42">
        <f>IF(ISBLANK('Aqueous Species Options'!B136), "", IF('Aqueous Species Options'!K136=0, 'Aqueous Species Options'!I136, IF(OR('Aqueous Species Options'!J136&gt;4,'Aqueous Species Options'!J136&lt;-4), "", IF('Aqueous Species Options'!B136="H+", 0, IF('Aqueous Species Options'!J136=0, -0.038, IF(ISBLANK('Aqueous Species Options'!F136), "", -1514.4*'Aqueous Species Options'!F136*0.00001 + SUM(({4,3,2,1,-1,-2,-3,-4}='Aqueous Species Options'!J136)*{2.1764,1.5793,1.0579,0.5517,1.6291,3.2127,4.8115,6.486}) ) ) ) ) ) )</f>
        <v>1.2934000000000001</v>
      </c>
      <c r="P136" s="1">
        <f>IF(ISBLANK('Aqueous Species Options'!J136), "", 'Aqueous Species Options'!J136)</f>
        <v>-1</v>
      </c>
      <c r="Q136" s="184" t="str">
        <f>IF(ISBLANK('Aqueous Species Options'!T136), "", 'Aqueous Species Options'!T136)</f>
        <v>Shock &amp; Helgeson (1988)</v>
      </c>
    </row>
    <row r="137" spans="2:17" ht="15" customHeight="1" x14ac:dyDescent="0.2">
      <c r="B137" s="9" t="str">
        <f>IF(ISBLANK('Aqueous Species Options'!B137), "", 'Aqueous Species Options'!B137)</f>
        <v>In+3</v>
      </c>
      <c r="C137" s="9" t="str">
        <f>IF(ISBLANK('Aqueous Species Options'!C137), "", 'Aqueous Species Options'!C137)</f>
        <v>In(+3)</v>
      </c>
      <c r="D137" s="2">
        <f>IF(ISBLANK('Aqueous Species Options'!D137), "", 'Aqueous Species Options'!D137)</f>
        <v>-23400</v>
      </c>
      <c r="E137" s="1">
        <f>IF(ISBLANK('Aqueous Species Options'!E137), "", 'Aqueous Species Options'!E137)</f>
        <v>-25000</v>
      </c>
      <c r="F137" s="139">
        <f>IF(ISBLANK('Aqueous Species Options'!F137), "", 'Aqueous Species Options'!F137)</f>
        <v>-63</v>
      </c>
      <c r="G137" s="29">
        <f>IF(ISBLANK('Aqueous Species Options'!B137), "", IF('Aqueous Species Options'!L137 = 1, IF(ISBLANK('Aqueous Species Options'!G137), "", 'Aqueous Species Options'!G137), ('Aqueous Species Table'!I137/10 + ('Aqueous Species Table'!J137*100)/(Calculations!$C$12+Calculations!$C$9) + ('Aqueous Species Table'!K137 + ('Aqueous Species Table'!L137*10000)/(Calculations!$C$12+Calculations!$C$9))*(1/(Calculations!$C$8-Calculations!$C$13)) - 'Aqueous Species Table'!O137*100000*0.0000005903)*41.8393))</f>
        <v>-42.199861621477424</v>
      </c>
      <c r="H137" s="29">
        <f>IF(ISBLANK('Aqueous Species Options'!B137), "", IF('Aqueous Species Options'!L137 = 1, IF(ISBLANK('Aqueous Species Options'!H137), "", 'Aqueous Species Options'!H137), 'Aqueous Species Table'!M137 + 'Aqueous Species Table'!N137*10000*(1/(Calculations!$C$8-Calculations!$C$13))^2 + 'Aqueous Species Table'!O137*100000*Calculations!$C$8*Calculations!$C$7))</f>
        <v>-34.900243873903435</v>
      </c>
      <c r="I137" s="42">
        <f>IF(ISBLANK('Aqueous Species Options'!B137), "", IF('Aqueous Species Options'!L137=0, 'Aqueous Species Options'!N137, IF(OR(ISBLANK('Aqueous Species Options'!G137),'Aqueous Species Table'!O137="", 'Aqueous Species Table'!P137=""), "", IF('Aqueous Species Options'!B137="H+", 0, (CHOOSE('Aqueous Species Options'!M137+1,'Aqueous Species Options'!$V$4*ABS('Aqueous Species Table'!P137)+'Aqueous Species Options'!$W$4,'Aqueous Species Options'!$Z$4)*('Aqueous Species Options'!G137 + 'Aqueous Species Table'!O137*100000*0.0000005903*41.8393) + CHOOSE('Aqueous Species Options'!M137+1,'Aqueous Species Options'!$X$4*ABS('Aqueous Species Table'!P137)+'Aqueous Species Options'!$Y$4,'Aqueous Species Options'!$AA$4))*10 ) ) ) )</f>
        <v>-8.3223214739751743</v>
      </c>
      <c r="J137" s="42">
        <f>IF(ISBLANK('Aqueous Species Options'!B137), "", IF('Aqueous Species Options'!L137 = 0, 'Aqueous Species Options'!O137, IF('Aqueous Species Table'!I137="", "", IF('Aqueous Species Options'!B137="H+", 0, ((1.11*('Aqueous Species Options'!G137 + 'Aqueous Species Table'!O137*100000*0.0000005903*41.8393)+1.8)/41.8393 - 'Aqueous Species Table'!I137/10)*26.01 ) ) ) )</f>
        <v>-2.0933868165474703</v>
      </c>
      <c r="K137" s="42">
        <f>IF(ISBLANK('Aqueous Species Options'!B137), "", IF('Aqueous Species Options'!L137 = 0, 'Aqueous Species Options'!P137, IF('Aqueous Species Table'!I137="", "", IF('Aqueous Species Options'!B137="H+", 0, ('Aqueous Species Options'!G137/41.8393 + 'Aqueous Species Table'!O137*100000*0.0000005903 - 'Aqueous Species Table'!I137/10 - 'Aqueous Species Table'!J137*100/2601)*(298.15-228) - ('Aqueous Species Table'!L137*10000/2601) ) ) ) )</f>
        <v>13.97775562787117</v>
      </c>
      <c r="L137" s="42">
        <f>IF(ISBLANK('Aqueous Species Options'!B137), "", IF('Aqueous Species Options'!L137 = 0, 'Aqueous Species Options'!Q137, IF('Aqueous Species Table'!J137="", "", IF('Aqueous Species Options'!B137="H+", 0, (-4.134*'Aqueous Species Table'!J137*100 - 27790)*0.0001) ) ) )</f>
        <v>-2.6924593890039277</v>
      </c>
      <c r="M137" s="42">
        <f>IF(ISBLANK('Aqueous Species Options'!B137), "", IF('Aqueous Species Options'!L137=0, 'Aqueous Species Options'!R137, IF('Aqueous Species Table'!N137="", "", IF('Aqueous Species Options'!B137="H+", 0, 'Aqueous Species Options'!H137 - 'Aqueous Species Table'!O137*100000*(-0.000000309)*298.15 - 'Aqueous Species Table'!N137*10000/(298.15-228)^2 ) ) ) )</f>
        <v>8.7477619117045862</v>
      </c>
      <c r="N137" s="42">
        <f>IF(ISBLANK('Aqueous Species Options'!B137), "", IF('Aqueous Species Options'!L137=0, 'Aqueous Species Options'!S137, IF(OR(ISBLANK('Aqueous Species Options'!H137), 'Aqueous Species Table'!O137=""), "", IF('Aqueous Species Options'!B137="H+", 0, 0.2037*'Aqueous Species Options'!H137 - 3.0346) ) ) )</f>
        <v>-10.143779677114129</v>
      </c>
      <c r="O137" s="42">
        <f>IF(ISBLANK('Aqueous Species Options'!B137), "", IF('Aqueous Species Options'!K137=0, 'Aqueous Species Options'!I137, IF(OR('Aqueous Species Options'!J137&gt;4,'Aqueous Species Options'!J137&lt;-4), "", IF('Aqueous Species Options'!B137="H+", 0, IF('Aqueous Species Options'!J137=0, -0.038, IF(ISBLANK('Aqueous Species Options'!F137), "", -1514.4*'Aqueous Species Options'!F137*0.00001 + SUM(({4,3,2,1,-1,-2,-3,-4}='Aqueous Species Options'!J137)*{2.1764,1.5793,1.0579,0.5517,1.6291,3.2127,4.8115,6.486}) ) ) ) ) ) )</f>
        <v>2.5003000000000002</v>
      </c>
      <c r="P137" s="1">
        <f>IF(ISBLANK('Aqueous Species Options'!J137), "", 'Aqueous Species Options'!J137)</f>
        <v>3</v>
      </c>
      <c r="Q137" s="184" t="str">
        <f>IF(ISBLANK('Aqueous Species Options'!T137), "", 'Aqueous Species Options'!T137)</f>
        <v>Shock et al. (1997) revised with new predicted a1 for cations</v>
      </c>
    </row>
    <row r="138" spans="2:17" ht="48" x14ac:dyDescent="0.2">
      <c r="B138" s="9" t="str">
        <f>IF(ISBLANK('Aqueous Species Options'!B138), "", 'Aqueous Species Options'!B138)</f>
        <v>Isobutane,aq</v>
      </c>
      <c r="C138" s="9" t="str">
        <f>IF(ISBLANK('Aqueous Species Options'!C138), "", 'Aqueous Species Options'!C138)</f>
        <v>C4H10(0)</v>
      </c>
      <c r="D138" s="2">
        <f>IF(ISBLANK('Aqueous Species Options'!D138), "", 'Aqueous Species Options'!D138)</f>
        <v>36</v>
      </c>
      <c r="E138" s="1">
        <f>IF(ISBLANK('Aqueous Species Options'!E138), "", 'Aqueous Species Options'!E138)</f>
        <v>-36230</v>
      </c>
      <c r="F138" s="139">
        <f>IF(ISBLANK('Aqueous Species Options'!F138), "", 'Aqueous Species Options'!F138)</f>
        <v>40.020000000000003</v>
      </c>
      <c r="G138" s="29">
        <f>IF(ISBLANK('Aqueous Species Options'!B138), "", IF('Aqueous Species Options'!L138 = 1, IF(ISBLANK('Aqueous Species Options'!G138), "", 'Aqueous Species Options'!G138), ('Aqueous Species Table'!I138/10 + ('Aqueous Species Table'!J138*100)/(Calculations!$C$12+Calculations!$C$9) + ('Aqueous Species Table'!K138 + ('Aqueous Species Table'!L138*10000)/(Calculations!$C$12+Calculations!$C$9))*(1/(Calculations!$C$8-Calculations!$C$13)) - 'Aqueous Species Table'!O138*100000*0.0000005903)*41.8393))</f>
        <v>82.81179816697616</v>
      </c>
      <c r="H138" s="29">
        <f>IF(ISBLANK('Aqueous Species Options'!B138), "", IF('Aqueous Species Options'!L138 = 1, IF(ISBLANK('Aqueous Species Options'!H138), "", 'Aqueous Species Options'!H138), 'Aqueous Species Table'!M138 + 'Aqueous Species Table'!N138*10000*(1/(Calculations!$C$8-Calculations!$C$13))^2 + 'Aqueous Species Table'!O138*100000*Calculations!$C$8*Calculations!$C$7))</f>
        <v>133.91756433691094</v>
      </c>
      <c r="I138" s="42">
        <f>IF(ISBLANK('Aqueous Species Options'!B138), "", IF('Aqueous Species Options'!L138=0, 'Aqueous Species Options'!N138, IF(OR(ISBLANK('Aqueous Species Options'!G138),'Aqueous Species Table'!O138="", 'Aqueous Species Table'!P138=""), "", IF('Aqueous Species Options'!B138="H+", 0, (CHOOSE('Aqueous Species Options'!M138+1,'Aqueous Species Options'!$V$4*ABS('Aqueous Species Table'!P138)+'Aqueous Species Options'!$W$4,'Aqueous Species Options'!$Z$4)*('Aqueous Species Options'!G138 + 'Aqueous Species Table'!O138*100000*0.0000005903*41.8393) + CHOOSE('Aqueous Species Options'!M138+1,'Aqueous Species Options'!$X$4*ABS('Aqueous Species Table'!P138)+'Aqueous Species Options'!$Y$4,'Aqueous Species Options'!$AA$4))*10 ) ) ) )</f>
        <v>17.46</v>
      </c>
      <c r="J138" s="42">
        <f>IF(ISBLANK('Aqueous Species Options'!B138), "", IF('Aqueous Species Options'!L138 = 0, 'Aqueous Species Options'!O138, IF('Aqueous Species Table'!I138="", "", IF('Aqueous Species Options'!B138="H+", 0, ((1.11*('Aqueous Species Options'!G138 + 'Aqueous Species Table'!O138*100000*0.0000005903*41.8393)+1.8)/41.8393 - 'Aqueous Species Table'!I138/10)*26.01 ) ) ) )</f>
        <v>12.34</v>
      </c>
      <c r="K138" s="42">
        <f>IF(ISBLANK('Aqueous Species Options'!B138), "", IF('Aqueous Species Options'!L138 = 0, 'Aqueous Species Options'!P138, IF('Aqueous Species Table'!I138="", "", IF('Aqueous Species Options'!B138="H+", 0, ('Aqueous Species Options'!G138/41.8393 + 'Aqueous Species Table'!O138*100000*0.0000005903 - 'Aqueous Species Table'!I138/10 - 'Aqueous Species Table'!J138*100/2601)*(298.15-228) - ('Aqueous Species Table'!L138*10000/2601) ) ) ) )</f>
        <v>-5.51</v>
      </c>
      <c r="L138" s="42">
        <f>IF(ISBLANK('Aqueous Species Options'!B138), "", IF('Aqueous Species Options'!L138 = 0, 'Aqueous Species Options'!Q138, IF('Aqueous Species Table'!J138="", "", IF('Aqueous Species Options'!B138="H+", 0, (-4.134*'Aqueous Species Table'!J138*100 - 27790)*0.0001) ) ) )</f>
        <v>-3.29</v>
      </c>
      <c r="M138" s="42">
        <f>IF(ISBLANK('Aqueous Species Options'!B138), "", IF('Aqueous Species Options'!L138=0, 'Aqueous Species Options'!R138, IF('Aqueous Species Table'!N138="", "", IF('Aqueous Species Options'!B138="H+", 0, 'Aqueous Species Options'!H138 - 'Aqueous Species Table'!O138*100000*(-0.000000309)*298.15 - 'Aqueous Species Table'!N138*10000/(298.15-228)^2 ) ) ) )</f>
        <v>92.3</v>
      </c>
      <c r="N138" s="42">
        <f>IF(ISBLANK('Aqueous Species Options'!B138), "", IF('Aqueous Species Options'!L138=0, 'Aqueous Species Options'!S138, IF(OR(ISBLANK('Aqueous Species Options'!H138), 'Aqueous Species Table'!O138=""), "", IF('Aqueous Species Options'!B138="H+", 0, 0.2037*'Aqueous Species Options'!H138 - 3.0346) ) ) )</f>
        <v>19.12</v>
      </c>
      <c r="O138" s="42">
        <f>IF(ISBLANK('Aqueous Species Options'!B138), "", IF('Aqueous Species Options'!K138=0, 'Aqueous Species Options'!I138, IF(OR('Aqueous Species Options'!J138&gt;4,'Aqueous Species Options'!J138&lt;-4), "", IF('Aqueous Species Options'!B138="H+", 0, IF('Aqueous Species Options'!J138=0, -0.038, IF(ISBLANK('Aqueous Species Options'!F138), "", -1514.4*'Aqueous Species Options'!F138*0.00001 + SUM(({4,3,2,1,-1,-2,-3,-4}='Aqueous Species Options'!J138)*{2.1764,1.5793,1.0579,0.5517,1.6291,3.2127,4.8115,6.486}) ) ) ) ) ) )</f>
        <v>-0.3</v>
      </c>
      <c r="P138" s="1">
        <f>IF(ISBLANK('Aqueous Species Options'!J138), "", 'Aqueous Species Options'!J138)</f>
        <v>0</v>
      </c>
      <c r="Q138" s="184" t="str">
        <f>IF(ISBLANK('Aqueous Species Options'!T138), "", 'Aqueous Species Options'!T138)</f>
        <v>G, H, S, Cp, V from Shock &amp; Helgeson (1990); a1 estimated with Sverjensky et al. (2014; c2 estimated with a new hydrocarbon correlation.</v>
      </c>
    </row>
    <row r="139" spans="2:17" ht="15" customHeight="1" x14ac:dyDescent="0.2">
      <c r="B139" s="9" t="str">
        <f>IF(ISBLANK('Aqueous Species Options'!B139), "", 'Aqueous Species Options'!B139)</f>
        <v>K+</v>
      </c>
      <c r="C139" s="9" t="str">
        <f>IF(ISBLANK('Aqueous Species Options'!C139), "", 'Aqueous Species Options'!C139)</f>
        <v>K(+)</v>
      </c>
      <c r="D139" s="2">
        <f>IF(ISBLANK('Aqueous Species Options'!D139), "", 'Aqueous Species Options'!D139)</f>
        <v>-67510</v>
      </c>
      <c r="E139" s="1">
        <f>IF(ISBLANK('Aqueous Species Options'!E139), "", 'Aqueous Species Options'!E139)</f>
        <v>-60270</v>
      </c>
      <c r="F139" s="139">
        <f>IF(ISBLANK('Aqueous Species Options'!F139), "", 'Aqueous Species Options'!F139)</f>
        <v>24.15</v>
      </c>
      <c r="G139" s="29">
        <f>IF(ISBLANK('Aqueous Species Options'!B139), "", IF('Aqueous Species Options'!L139 = 1, IF(ISBLANK('Aqueous Species Options'!G139), "", 'Aqueous Species Options'!G139), ('Aqueous Species Table'!I139/10 + ('Aqueous Species Table'!J139*100)/(Calculations!$C$12+Calculations!$C$9) + ('Aqueous Species Table'!K139 + ('Aqueous Species Table'!L139*10000)/(Calculations!$C$12+Calculations!$C$9))*(1/(Calculations!$C$8-Calculations!$C$13)) - 'Aqueous Species Table'!O139*100000*0.0000005903)*41.8393))</f>
        <v>9.0680195409697575</v>
      </c>
      <c r="H139" s="29">
        <f>IF(ISBLANK('Aqueous Species Options'!B139), "", IF('Aqueous Species Options'!L139 = 1, IF(ISBLANK('Aqueous Species Options'!H139), "", 'Aqueous Species Options'!H139), 'Aqueous Species Table'!M139 + 'Aqueous Species Table'!N139*10000*(1/(Calculations!$C$8-Calculations!$C$13))^2 + 'Aqueous Species Table'!O139*100000*Calculations!$C$8*Calculations!$C$7))</f>
        <v>1.9851991702956326</v>
      </c>
      <c r="I139" s="42">
        <f>IF(ISBLANK('Aqueous Species Options'!B139), "", IF('Aqueous Species Options'!L139=0, 'Aqueous Species Options'!N139, IF(OR(ISBLANK('Aqueous Species Options'!G139),'Aqueous Species Table'!O139="", 'Aqueous Species Table'!P139=""), "", IF('Aqueous Species Options'!B139="H+", 0, (CHOOSE('Aqueous Species Options'!M139+1,'Aqueous Species Options'!$V$4*ABS('Aqueous Species Table'!P139)+'Aqueous Species Options'!$W$4,'Aqueous Species Options'!$Z$4)*('Aqueous Species Options'!G139 + 'Aqueous Species Table'!O139*100000*0.0000005903*41.8393) + CHOOSE('Aqueous Species Options'!M139+1,'Aqueous Species Options'!$X$4*ABS('Aqueous Species Table'!P139)+'Aqueous Species Options'!$Y$4,'Aqueous Species Options'!$AA$4))*10 ) ) ) )</f>
        <v>3.5590000000000002</v>
      </c>
      <c r="J139" s="42">
        <f>IF(ISBLANK('Aqueous Species Options'!B139), "", IF('Aqueous Species Options'!L139 = 0, 'Aqueous Species Options'!O139, IF('Aqueous Species Table'!I139="", "", IF('Aqueous Species Options'!B139="H+", 0, ((1.11*('Aqueous Species Options'!G139 + 'Aqueous Species Table'!O139*100000*0.0000005903*41.8393)+1.8)/41.8393 - 'Aqueous Species Table'!I139/10)*26.01 ) ) ) )</f>
        <v>-1.4730000000000001</v>
      </c>
      <c r="K139" s="42">
        <f>IF(ISBLANK('Aqueous Species Options'!B139), "", IF('Aqueous Species Options'!L139 = 0, 'Aqueous Species Options'!P139, IF('Aqueous Species Table'!I139="", "", IF('Aqueous Species Options'!B139="H+", 0, ('Aqueous Species Options'!G139/41.8393 + 'Aqueous Species Table'!O139*100000*0.0000005903 - 'Aqueous Species Table'!I139/10 - 'Aqueous Species Table'!J139*100/2601)*(298.15-228) - ('Aqueous Species Table'!L139*10000/2601) ) ) ) )</f>
        <v>5.4349999999999996</v>
      </c>
      <c r="L139" s="42">
        <f>IF(ISBLANK('Aqueous Species Options'!B139), "", IF('Aqueous Species Options'!L139 = 0, 'Aqueous Species Options'!Q139, IF('Aqueous Species Table'!J139="", "", IF('Aqueous Species Options'!B139="H+", 0, (-4.134*'Aqueous Species Table'!J139*100 - 27790)*0.0001) ) ) )</f>
        <v>-2.7120000000000002</v>
      </c>
      <c r="M139" s="42">
        <f>IF(ISBLANK('Aqueous Species Options'!B139), "", IF('Aqueous Species Options'!L139=0, 'Aqueous Species Options'!R139, IF('Aqueous Species Table'!N139="", "", IF('Aqueous Species Options'!B139="H+", 0, 'Aqueous Species Options'!H139 - 'Aqueous Species Table'!O139*100000*(-0.000000309)*298.15 - 'Aqueous Species Table'!N139*10000/(298.15-228)^2 ) ) ) )</f>
        <v>7.4</v>
      </c>
      <c r="N139" s="42">
        <f>IF(ISBLANK('Aqueous Species Options'!B139), "", IF('Aqueous Species Options'!L139=0, 'Aqueous Species Options'!S139, IF(OR(ISBLANK('Aqueous Species Options'!H139), 'Aqueous Species Table'!O139=""), "", IF('Aqueous Species Options'!B139="H+", 0, 0.2037*'Aqueous Species Options'!H139 - 3.0346) ) ) )</f>
        <v>-1.7909999999999999</v>
      </c>
      <c r="O139" s="42">
        <f>IF(ISBLANK('Aqueous Species Options'!B139), "", IF('Aqueous Species Options'!K139=0, 'Aqueous Species Options'!I139, IF(OR('Aqueous Species Options'!J139&gt;4,'Aqueous Species Options'!J139&lt;-4), "", IF('Aqueous Species Options'!B139="H+", 0, IF('Aqueous Species Options'!J139=0, -0.038, IF(ISBLANK('Aqueous Species Options'!F139), "", -1514.4*'Aqueous Species Options'!F139*0.00001 + SUM(({4,3,2,1,-1,-2,-3,-4}='Aqueous Species Options'!J139)*{2.1764,1.5793,1.0579,0.5517,1.6291,3.2127,4.8115,6.486}) ) ) ) ) ) )</f>
        <v>0.19270000000000001</v>
      </c>
      <c r="P139" s="1">
        <f>IF(ISBLANK('Aqueous Species Options'!J139), "", 'Aqueous Species Options'!J139)</f>
        <v>1</v>
      </c>
      <c r="Q139" s="184" t="str">
        <f>IF(ISBLANK('Aqueous Species Options'!T139), "", 'Aqueous Species Options'!T139)</f>
        <v>Shock &amp; Helgeson (1988)</v>
      </c>
    </row>
    <row r="140" spans="2:17" ht="15" customHeight="1" x14ac:dyDescent="0.2">
      <c r="B140" s="9" t="str">
        <f>IF(ISBLANK('Aqueous Species Options'!B140), "", 'Aqueous Species Options'!B140)</f>
        <v>KCl,aq</v>
      </c>
      <c r="C140" s="9" t="str">
        <f>IF(ISBLANK('Aqueous Species Options'!C140), "", 'Aqueous Species Options'!C140)</f>
        <v>KCl(0)</v>
      </c>
      <c r="D140" s="2">
        <f>IF(ISBLANK('Aqueous Species Options'!D140), "", 'Aqueous Species Options'!D140)</f>
        <v>-98850</v>
      </c>
      <c r="E140" s="1" t="str">
        <f>IF(ISBLANK('Aqueous Species Options'!E140), "", 'Aqueous Species Options'!E140)</f>
        <v/>
      </c>
      <c r="F140" s="139">
        <f>IF(ISBLANK('Aqueous Species Options'!F140), "", 'Aqueous Species Options'!F140)</f>
        <v>34</v>
      </c>
      <c r="G140" s="29">
        <f>IF(ISBLANK('Aqueous Species Options'!B140), "", IF('Aqueous Species Options'!L140 = 1, IF(ISBLANK('Aqueous Species Options'!G140), "", 'Aqueous Species Options'!G140), ('Aqueous Species Table'!I140/10 + ('Aqueous Species Table'!J140*100)/(Calculations!$C$12+Calculations!$C$9) + ('Aqueous Species Table'!K140 + ('Aqueous Species Table'!L140*10000)/(Calculations!$C$12+Calculations!$C$9))*(1/(Calculations!$C$8-Calculations!$C$13)) - 'Aqueous Species Table'!O140*100000*0.0000005903)*41.8393))</f>
        <v>34</v>
      </c>
      <c r="H140" s="29">
        <f>IF(ISBLANK('Aqueous Species Options'!B140), "", IF('Aqueous Species Options'!L140 = 1, IF(ISBLANK('Aqueous Species Options'!H140), "", 'Aqueous Species Options'!H140), 'Aqueous Species Table'!M140 + 'Aqueous Species Table'!N140*10000*(1/(Calculations!$C$8-Calculations!$C$13))^2 + 'Aqueous Species Table'!O140*100000*Calculations!$C$8*Calculations!$C$7))</f>
        <v>-1.5</v>
      </c>
      <c r="I140" s="42">
        <f>IF(ISBLANK('Aqueous Species Options'!B140), "", IF('Aqueous Species Options'!L140=0, 'Aqueous Species Options'!N140, IF(OR(ISBLANK('Aqueous Species Options'!G140),'Aqueous Species Table'!O140="", 'Aqueous Species Table'!P140=""), "", IF('Aqueous Species Options'!B140="H+", 0, (CHOOSE('Aqueous Species Options'!M140+1,'Aqueous Species Options'!$V$4*ABS('Aqueous Species Table'!P140)+'Aqueous Species Options'!$W$4,'Aqueous Species Options'!$Z$4)*('Aqueous Species Options'!G140 + 'Aqueous Species Table'!O140*100000*0.0000005903*41.8393) + CHOOSE('Aqueous Species Options'!M140+1,'Aqueous Species Options'!$X$4*ABS('Aqueous Species Table'!P140)+'Aqueous Species Options'!$Y$4,'Aqueous Species Options'!$AA$4))*10 ) ) ) )</f>
        <v>8.1715054785040593</v>
      </c>
      <c r="J140" s="42">
        <f>IF(ISBLANK('Aqueous Species Options'!B140), "", IF('Aqueous Species Options'!L140 = 0, 'Aqueous Species Options'!O140, IF('Aqueous Species Table'!I140="", "", IF('Aqueous Species Options'!B140="H+", 0, ((1.11*('Aqueous Species Options'!G140 + 'Aqueous Species Table'!O140*100000*0.0000005903*41.8393)+1.8)/41.8393 - 'Aqueous Species Table'!I140/10)*26.01 ) ) ) )</f>
        <v>3.4969475818433433</v>
      </c>
      <c r="K140" s="42">
        <f>IF(ISBLANK('Aqueous Species Options'!B140), "", IF('Aqueous Species Options'!L140 = 0, 'Aqueous Species Options'!P140, IF('Aqueous Species Table'!I140="", "", IF('Aqueous Species Options'!B140="H+", 0, ('Aqueous Species Options'!G140/41.8393 + 'Aqueous Species Table'!O140*100000*0.0000005903 - 'Aqueous Species Table'!I140/10 - 'Aqueous Species Table'!J140*100/2601)*(298.15-228) - ('Aqueous Species Table'!L140*10000/2601) ) ) ) )</f>
        <v>1.9059433415888574</v>
      </c>
      <c r="L140" s="42">
        <f>IF(ISBLANK('Aqueous Species Options'!B140), "", IF('Aqueous Species Options'!L140 = 0, 'Aqueous Species Options'!Q140, IF('Aqueous Species Table'!J140="", "", IF('Aqueous Species Options'!B140="H+", 0, (-4.134*'Aqueous Species Table'!J140*100 - 27790)*0.0001) ) ) )</f>
        <v>-2.9235638130334038</v>
      </c>
      <c r="M140" s="42">
        <f>IF(ISBLANK('Aqueous Species Options'!B140), "", IF('Aqueous Species Options'!L140=0, 'Aqueous Species Options'!R140, IF('Aqueous Species Table'!N140="", "", IF('Aqueous Species Options'!B140="H+", 0, 'Aqueous Species Options'!H140 - 'Aqueous Species Table'!O140*100000*(-0.000000309)*298.15 - 'Aqueous Species Table'!N140*10000/(298.15-228)^2 ) ) ) )</f>
        <v>6.2087956481358866</v>
      </c>
      <c r="N140" s="42">
        <f>IF(ISBLANK('Aqueous Species Options'!B140), "", IF('Aqueous Species Options'!L140=0, 'Aqueous Species Options'!S140, IF(OR(ISBLANK('Aqueous Species Options'!H140), 'Aqueous Species Table'!O140=""), "", IF('Aqueous Species Options'!B140="H+", 0, 0.2037*'Aqueous Species Options'!H140 - 3.0346) ) ) )</f>
        <v>-3.3401500000000004</v>
      </c>
      <c r="O140" s="42">
        <f>IF(ISBLANK('Aqueous Species Options'!B140), "", IF('Aqueous Species Options'!K140=0, 'Aqueous Species Options'!I140, IF(OR('Aqueous Species Options'!J140&gt;4,'Aqueous Species Options'!J140&lt;-4), "", IF('Aqueous Species Options'!B140="H+", 0, IF('Aqueous Species Options'!J140=0, -0.038, IF(ISBLANK('Aqueous Species Options'!F140), "", -1514.4*'Aqueous Species Options'!F140*0.00001 + SUM(({4,3,2,1,-1,-2,-3,-4}='Aqueous Species Options'!J140)*{2.1764,1.5793,1.0579,0.5517,1.6291,3.2127,4.8115,6.486}) ) ) ) ) ) )</f>
        <v>0.1</v>
      </c>
      <c r="P140" s="1">
        <f>IF(ISBLANK('Aqueous Species Options'!J140), "", 'Aqueous Species Options'!J140)</f>
        <v>0</v>
      </c>
      <c r="Q140" s="184" t="str">
        <f>IF(ISBLANK('Aqueous Species Options'!T140), "", 'Aqueous Species Options'!T140)</f>
        <v>May, 2017 Fitted to logKs from Oelkers &amp; Helgeson (1988) + retrieved logKs from Hemley experiments at 1.0 kb using the HCl referred to above</v>
      </c>
    </row>
    <row r="141" spans="2:17" ht="15" customHeight="1" x14ac:dyDescent="0.2">
      <c r="B141" s="9" t="str">
        <f>IF(ISBLANK('Aqueous Species Options'!B141), "", 'Aqueous Species Options'!B141)</f>
        <v>KOH,aq</v>
      </c>
      <c r="C141" s="9" t="str">
        <f>IF(ISBLANK('Aqueous Species Options'!C141), "", 'Aqueous Species Options'!C141)</f>
        <v>KOH(0)</v>
      </c>
      <c r="D141" s="2">
        <f>IF(ISBLANK('Aqueous Species Options'!D141), "", 'Aqueous Species Options'!D141)</f>
        <v>-102800</v>
      </c>
      <c r="E141" s="1">
        <f>IF(ISBLANK('Aqueous Species Options'!E141), "", 'Aqueous Species Options'!E141)</f>
        <v>-180000</v>
      </c>
      <c r="F141" s="139">
        <f>IF(ISBLANK('Aqueous Species Options'!F141), "", 'Aqueous Species Options'!F141)</f>
        <v>36.299999999999997</v>
      </c>
      <c r="G141" s="29">
        <f>IF(ISBLANK('Aqueous Species Options'!B141), "", IF('Aqueous Species Options'!L141 = 1, IF(ISBLANK('Aqueous Species Options'!G141), "", 'Aqueous Species Options'!G141), ('Aqueous Species Table'!I141/10 + ('Aqueous Species Table'!J141*100)/(Calculations!$C$12+Calculations!$C$9) + ('Aqueous Species Table'!K141 + ('Aqueous Species Table'!L141*10000)/(Calculations!$C$12+Calculations!$C$9))*(1/(Calculations!$C$8-Calculations!$C$13)) - 'Aqueous Species Table'!O141*100000*0.0000005903)*41.8393))</f>
        <v>20.3</v>
      </c>
      <c r="H141" s="29">
        <f>IF(ISBLANK('Aqueous Species Options'!B141), "", IF('Aqueous Species Options'!L141 = 1, IF(ISBLANK('Aqueous Species Options'!H141), "", 'Aqueous Species Options'!H141), 'Aqueous Species Table'!M141 + 'Aqueous Species Table'!N141*10000*(1/(Calculations!$C$8-Calculations!$C$13))^2 + 'Aqueous Species Table'!O141*100000*Calculations!$C$8*Calculations!$C$7))</f>
        <v>-6.5</v>
      </c>
      <c r="I141" s="42">
        <f>IF(ISBLANK('Aqueous Species Options'!B141), "", IF('Aqueous Species Options'!L141=0, 'Aqueous Species Options'!N141, IF(OR(ISBLANK('Aqueous Species Options'!G141),'Aqueous Species Table'!O141="", 'Aqueous Species Table'!P141=""), "", IF('Aqueous Species Options'!B141="H+", 0, (CHOOSE('Aqueous Species Options'!M141+1,'Aqueous Species Options'!$V$4*ABS('Aqueous Species Table'!P141)+'Aqueous Species Options'!$W$4,'Aqueous Species Options'!$Z$4)*('Aqueous Species Options'!G141 + 'Aqueous Species Table'!O141*100000*0.0000005903*41.8393) + CHOOSE('Aqueous Species Options'!M141+1,'Aqueous Species Options'!$X$4*ABS('Aqueous Species Table'!P141)+'Aqueous Species Options'!$Y$4,'Aqueous Species Options'!$AA$4))*10 ) ) ) )</f>
        <v>5.6930972968194835</v>
      </c>
      <c r="J141" s="42">
        <f>IF(ISBLANK('Aqueous Species Options'!B141), "", IF('Aqueous Species Options'!L141 = 0, 'Aqueous Species Options'!O141, IF('Aqueous Species Table'!I141="", "", IF('Aqueous Species Options'!B141="H+", 0, ((1.11*('Aqueous Species Options'!G141 + 'Aqueous Species Table'!O141*100000*0.0000005903*41.8393)+1.8)/41.8393 - 'Aqueous Species Table'!I141/10)*26.01 ) ) ) )</f>
        <v>1.1372571348081169</v>
      </c>
      <c r="K141" s="42">
        <f>IF(ISBLANK('Aqueous Species Options'!B141), "", IF('Aqueous Species Options'!L141 = 0, 'Aqueous Species Options'!P141, IF('Aqueous Species Table'!I141="", "", IF('Aqueous Species Options'!B141="H+", 0, ('Aqueous Species Options'!G141/41.8393 + 'Aqueous Species Table'!O141*100000*0.0000005903 - 'Aqueous Species Table'!I141/10 - 'Aqueous Species Table'!J141*100/2601)*(298.15-228) - ('Aqueous Species Table'!L141*10000/2601) ) ) ) )</f>
        <v>3.8845214192399462</v>
      </c>
      <c r="L141" s="42">
        <f>IF(ISBLANK('Aqueous Species Options'!B141), "", IF('Aqueous Species Options'!L141 = 0, 'Aqueous Species Options'!Q141, IF('Aqueous Species Table'!J141="", "", IF('Aqueous Species Options'!B141="H+", 0, (-4.134*'Aqueous Species Table'!J141*100 - 27790)*0.0001) ) ) )</f>
        <v>-2.8260142099529677</v>
      </c>
      <c r="M141" s="42">
        <f>IF(ISBLANK('Aqueous Species Options'!B141), "", IF('Aqueous Species Options'!L141=0, 'Aqueous Species Options'!R141, IF('Aqueous Species Table'!N141="", "", IF('Aqueous Species Options'!B141="H+", 0, 'Aqueous Species Options'!H141 - 'Aqueous Species Table'!O141*100000*(-0.000000309)*298.15 - 'Aqueous Species Table'!N141*10000/(298.15-228)^2 ) ) ) )</f>
        <v>6.7793647652328408</v>
      </c>
      <c r="N141" s="42">
        <f>IF(ISBLANK('Aqueous Species Options'!B141), "", IF('Aqueous Species Options'!L141=0, 'Aqueous Species Options'!S141, IF(OR(ISBLANK('Aqueous Species Options'!H141), 'Aqueous Species Table'!O141=""), "", IF('Aqueous Species Options'!B141="H+", 0, 0.2037*'Aqueous Species Options'!H141 - 3.0346) ) ) )</f>
        <v>-4.3586499999999999</v>
      </c>
      <c r="O141" s="42">
        <f>IF(ISBLANK('Aqueous Species Options'!B141), "", IF('Aqueous Species Options'!K141=0, 'Aqueous Species Options'!I141, IF(OR('Aqueous Species Options'!J141&gt;4,'Aqueous Species Options'!J141&lt;-4), "", IF('Aqueous Species Options'!B141="H+", 0, IF('Aqueous Species Options'!J141=0, -0.038, IF(ISBLANK('Aqueous Species Options'!F141), "", -1514.4*'Aqueous Species Options'!F141*0.00001 + SUM(({4,3,2,1,-1,-2,-3,-4}='Aqueous Species Options'!J141)*{2.1764,1.5793,1.0579,0.5517,1.6291,3.2127,4.8115,6.486}) ) ) ) ) ) )</f>
        <v>0.48</v>
      </c>
      <c r="P141" s="1">
        <f>IF(ISBLANK('Aqueous Species Options'!J141), "", 'Aqueous Species Options'!J141)</f>
        <v>0</v>
      </c>
      <c r="Q141" s="184" t="str">
        <f>IF(ISBLANK('Aqueous Species Options'!T141), "", 'Aqueous Species Options'!T141)</f>
        <v>Fitted to Ho &amp; Palmer (1997) data with a1 pred. from the sum of the ions and used to predict the volume</v>
      </c>
    </row>
    <row r="142" spans="2:17" ht="15" customHeight="1" x14ac:dyDescent="0.2">
      <c r="B142" s="9" t="str">
        <f>IF(ISBLANK('Aqueous Species Options'!B142), "", 'Aqueous Species Options'!B142)</f>
        <v>Kr,aq</v>
      </c>
      <c r="C142" s="9" t="str">
        <f>IF(ISBLANK('Aqueous Species Options'!C142), "", 'Aqueous Species Options'!C142)</f>
        <v>Kr(0)</v>
      </c>
      <c r="D142" s="2">
        <f>IF(ISBLANK('Aqueous Species Options'!D142), "", 'Aqueous Species Options'!D142)</f>
        <v>3554</v>
      </c>
      <c r="E142" s="1">
        <f>IF(ISBLANK('Aqueous Species Options'!E142), "", 'Aqueous Species Options'!E142)</f>
        <v>-3650</v>
      </c>
      <c r="F142" s="139">
        <f>IF(ISBLANK('Aqueous Species Options'!F142), "", 'Aqueous Species Options'!F142)</f>
        <v>15.06</v>
      </c>
      <c r="G142" s="29">
        <f>IF(ISBLANK('Aqueous Species Options'!B142), "", IF('Aqueous Species Options'!L142 = 1, IF(ISBLANK('Aqueous Species Options'!G142), "", 'Aqueous Species Options'!G142), ('Aqueous Species Table'!I142/10 + ('Aqueous Species Table'!J142*100)/(Calculations!$C$12+Calculations!$C$9) + ('Aqueous Species Table'!K142 + ('Aqueous Species Table'!L142*10000)/(Calculations!$C$12+Calculations!$C$9))*(1/(Calculations!$C$8-Calculations!$C$13)) - 'Aqueous Species Table'!O142*100000*0.0000005903)*41.8393))</f>
        <v>33.500341404615675</v>
      </c>
      <c r="H142" s="29">
        <f>IF(ISBLANK('Aqueous Species Options'!B142), "", IF('Aqueous Species Options'!L142 = 1, IF(ISBLANK('Aqueous Species Options'!H142), "", 'Aqueous Species Options'!H142), 'Aqueous Species Table'!M142 + 'Aqueous Species Table'!N142*10000*(1/(Calculations!$C$8-Calculations!$C$13))^2 + 'Aqueous Species Table'!O142*100000*Calculations!$C$8*Calculations!$C$7))</f>
        <v>57.600252151490054</v>
      </c>
      <c r="I142" s="42">
        <f>IF(ISBLANK('Aqueous Species Options'!B142), "", IF('Aqueous Species Options'!L142=0, 'Aqueous Species Options'!N142, IF(OR(ISBLANK('Aqueous Species Options'!G142),'Aqueous Species Table'!O142="", 'Aqueous Species Table'!P142=""), "", IF('Aqueous Species Options'!B142="H+", 0, (CHOOSE('Aqueous Species Options'!M142+1,'Aqueous Species Options'!$V$4*ABS('Aqueous Species Table'!P142)+'Aqueous Species Options'!$W$4,'Aqueous Species Options'!$Z$4)*('Aqueous Species Options'!G142 + 'Aqueous Species Table'!O142*100000*0.0000005903*41.8393) + CHOOSE('Aqueous Species Options'!M142+1,'Aqueous Species Options'!$X$4*ABS('Aqueous Species Table'!P142)+'Aqueous Species Options'!$Y$4,'Aqueous Species Options'!$AA$4))*10 ) ) ) )</f>
        <v>6.2721</v>
      </c>
      <c r="J142" s="42">
        <f>IF(ISBLANK('Aqueous Species Options'!B142), "", IF('Aqueous Species Options'!L142 = 0, 'Aqueous Species Options'!O142, IF('Aqueous Species Table'!I142="", "", IF('Aqueous Species Options'!B142="H+", 0, ((1.11*('Aqueous Species Options'!G142 + 'Aqueous Species Table'!O142*100000*0.0000005903*41.8393)+1.8)/41.8393 - 'Aqueous Species Table'!I142/10)*26.01 ) ) ) )</f>
        <v>7.5332999999999997</v>
      </c>
      <c r="K142" s="42">
        <f>IF(ISBLANK('Aqueous Species Options'!B142), "", IF('Aqueous Species Options'!L142 = 0, 'Aqueous Species Options'!P142, IF('Aqueous Species Table'!I142="", "", IF('Aqueous Species Options'!B142="H+", 0, ('Aqueous Species Options'!G142/41.8393 + 'Aqueous Species Table'!O142*100000*0.0000005903 - 'Aqueous Species Table'!I142/10 - 'Aqueous Species Table'!J142*100/2601)*(298.15-228) - ('Aqueous Species Table'!L142*10000/2601) ) ) ) )</f>
        <v>2.7890999999999999</v>
      </c>
      <c r="L142" s="42">
        <f>IF(ISBLANK('Aqueous Species Options'!B142), "", IF('Aqueous Species Options'!L142 = 0, 'Aqueous Species Options'!Q142, IF('Aqueous Species Table'!J142="", "", IF('Aqueous Species Options'!B142="H+", 0, (-4.134*'Aqueous Species Table'!J142*100 - 27790)*0.0001) ) ) )</f>
        <v>-3.0903999999999998</v>
      </c>
      <c r="M142" s="42">
        <f>IF(ISBLANK('Aqueous Species Options'!B142), "", IF('Aqueous Species Options'!L142=0, 'Aqueous Species Options'!R142, IF('Aqueous Species Table'!N142="", "", IF('Aqueous Species Options'!B142="H+", 0, 'Aqueous Species Options'!H142 - 'Aqueous Species Table'!O142*100000*(-0.000000309)*298.15 - 'Aqueous Species Table'!N142*10000/(298.15-228)^2 ) ) ) )</f>
        <v>37.822600000000001</v>
      </c>
      <c r="N142" s="42">
        <f>IF(ISBLANK('Aqueous Species Options'!B142), "", IF('Aqueous Species Options'!L142=0, 'Aqueous Species Options'!S142, IF(OR(ISBLANK('Aqueous Species Options'!H142), 'Aqueous Species Table'!O142=""), "", IF('Aqueous Species Options'!B142="H+", 0, 0.2037*'Aqueous Species Options'!H142 - 3.0346) ) ) )</f>
        <v>8.6984999999999992</v>
      </c>
      <c r="O142" s="42">
        <f>IF(ISBLANK('Aqueous Species Options'!B142), "", IF('Aqueous Species Options'!K142=0, 'Aqueous Species Options'!I142, IF(OR('Aqueous Species Options'!J142&gt;4,'Aqueous Species Options'!J142&lt;-4), "", IF('Aqueous Species Options'!B142="H+", 0, IF('Aqueous Species Options'!J142=0, -0.038, IF(ISBLANK('Aqueous Species Options'!F142), "", -1514.4*'Aqueous Species Options'!F142*0.00001 + SUM(({4,3,2,1,-1,-2,-3,-4}='Aqueous Species Options'!J142)*{2.1764,1.5793,1.0579,0.5517,1.6291,3.2127,4.8115,6.486}) ) ) ) ) ) )</f>
        <v>-0.2281</v>
      </c>
      <c r="P142" s="1">
        <f>IF(ISBLANK('Aqueous Species Options'!J142), "", 'Aqueous Species Options'!J142)</f>
        <v>0</v>
      </c>
      <c r="Q142" s="184" t="str">
        <f>IF(ISBLANK('Aqueous Species Options'!T142), "", 'Aqueous Species Options'!T142)</f>
        <v>Shock et al. (1989)</v>
      </c>
    </row>
    <row r="143" spans="2:17" ht="15" customHeight="1" x14ac:dyDescent="0.2">
      <c r="B143" s="9" t="str">
        <f>IF(ISBLANK('Aqueous Species Options'!B143), "", 'Aqueous Species Options'!B143)</f>
        <v>KSO4-</v>
      </c>
      <c r="C143" s="9" t="str">
        <f>IF(ISBLANK('Aqueous Species Options'!C143), "", 'Aqueous Species Options'!C143)</f>
        <v>KSO4(-)</v>
      </c>
      <c r="D143" s="2">
        <f>IF(ISBLANK('Aqueous Species Options'!D143), "", 'Aqueous Species Options'!D143)</f>
        <v>-246570</v>
      </c>
      <c r="E143" s="1">
        <f>IF(ISBLANK('Aqueous Species Options'!E143), "", 'Aqueous Species Options'!E143)</f>
        <v>-276980</v>
      </c>
      <c r="F143" s="139">
        <f>IF(ISBLANK('Aqueous Species Options'!F143), "", 'Aqueous Species Options'!F143)</f>
        <v>34</v>
      </c>
      <c r="G143" s="29">
        <f>IF(ISBLANK('Aqueous Species Options'!B143), "", IF('Aqueous Species Options'!L143 = 1, IF(ISBLANK('Aqueous Species Options'!G143), "", 'Aqueous Species Options'!G143), ('Aqueous Species Table'!I143/10 + ('Aqueous Species Table'!J143*100)/(Calculations!$C$12+Calculations!$C$9) + ('Aqueous Species Table'!K143 + ('Aqueous Species Table'!L143*10000)/(Calculations!$C$12+Calculations!$C$9))*(1/(Calculations!$C$8-Calculations!$C$13)) - 'Aqueous Species Table'!O143*100000*0.0000005903)*41.8393))</f>
        <v>50.7</v>
      </c>
      <c r="H143" s="29">
        <f>IF(ISBLANK('Aqueous Species Options'!B143), "", IF('Aqueous Species Options'!L143 = 1, IF(ISBLANK('Aqueous Species Options'!H143), "", 'Aqueous Species Options'!H143), 'Aqueous Species Table'!M143 + 'Aqueous Species Table'!N143*10000*(1/(Calculations!$C$8-Calculations!$C$13))^2 + 'Aqueous Species Table'!O143*100000*Calculations!$C$8*Calculations!$C$7))</f>
        <v>-22</v>
      </c>
      <c r="I143" s="42">
        <f>IF(ISBLANK('Aqueous Species Options'!B143), "", IF('Aqueous Species Options'!L143=0, 'Aqueous Species Options'!N143, IF(OR(ISBLANK('Aqueous Species Options'!G143),'Aqueous Species Table'!O143="", 'Aqueous Species Table'!P143=""), "", IF('Aqueous Species Options'!B143="H+", 0, (CHOOSE('Aqueous Species Options'!M143+1,'Aqueous Species Options'!$V$4*ABS('Aqueous Species Table'!P143)+'Aqueous Species Options'!$W$4,'Aqueous Species Options'!$Z$4)*('Aqueous Species Options'!G143 + 'Aqueous Species Table'!O143*100000*0.0000005903*41.8393) + CHOOSE('Aqueous Species Options'!M143+1,'Aqueous Species Options'!$X$4*ABS('Aqueous Species Table'!P143)+'Aqueous Species Options'!$Y$4,'Aqueous Species Options'!$AA$4))*10 ) ) ) )</f>
        <v>11.894275401630633</v>
      </c>
      <c r="J143" s="42">
        <f>IF(ISBLANK('Aqueous Species Options'!B143), "", IF('Aqueous Species Options'!L143 = 0, 'Aqueous Species Options'!O143, IF('Aqueous Species Table'!I143="", "", IF('Aqueous Species Options'!B143="H+", 0, ((1.11*('Aqueous Species Options'!G143 + 'Aqueous Species Table'!O143*100000*0.0000005903*41.8393)+1.8)/41.8393 - 'Aqueous Species Table'!I143/10)*26.01 ) ) ) )</f>
        <v>7.0413938474060069</v>
      </c>
      <c r="K143" s="42">
        <f>IF(ISBLANK('Aqueous Species Options'!B143), "", IF('Aqueous Species Options'!L143 = 0, 'Aqueous Species Options'!P143, IF('Aqueous Species Table'!I143="", "", IF('Aqueous Species Options'!B143="H+", 0, ('Aqueous Species Options'!G143/41.8393 + 'Aqueous Species Table'!O143*100000*0.0000005903 - 'Aqueous Species Table'!I143/10 - 'Aqueous Species Table'!J143*100/2601)*(298.15-228) - ('Aqueous Species Table'!L143*10000/2601) ) ) ) )</f>
        <v>-1.0660412622670492</v>
      </c>
      <c r="L143" s="42">
        <f>IF(ISBLANK('Aqueous Species Options'!B143), "", IF('Aqueous Species Options'!L143 = 0, 'Aqueous Species Options'!Q143, IF('Aqueous Species Table'!J143="", "", IF('Aqueous Species Options'!B143="H+", 0, (-4.134*'Aqueous Species Table'!J143*100 - 27790)*0.0001) ) ) )</f>
        <v>-3.0700912216517646</v>
      </c>
      <c r="M143" s="42">
        <f>IF(ISBLANK('Aqueous Species Options'!B143), "", IF('Aqueous Species Options'!L143=0, 'Aqueous Species Options'!R143, IF('Aqueous Species Table'!N143="", "", IF('Aqueous Species Options'!B143="H+", 0, 'Aqueous Species Options'!H143 - 'Aqueous Species Table'!O143*100000*(-0.000000309)*298.15 - 'Aqueous Species Table'!N143*10000/(298.15-228)^2 ) ) ) )</f>
        <v>3.4036819642334031</v>
      </c>
      <c r="N143" s="42">
        <f>IF(ISBLANK('Aqueous Species Options'!B143), "", IF('Aqueous Species Options'!L143=0, 'Aqueous Species Options'!S143, IF(OR(ISBLANK('Aqueous Species Options'!H143), 'Aqueous Species Table'!O143=""), "", IF('Aqueous Species Options'!B143="H+", 0, 0.2037*'Aqueous Species Options'!H143 - 3.0346) ) ) )</f>
        <v>-7.516</v>
      </c>
      <c r="O143" s="42">
        <f>IF(ISBLANK('Aqueous Species Options'!B143), "", IF('Aqueous Species Options'!K143=0, 'Aqueous Species Options'!I143, IF(OR('Aqueous Species Options'!J143&gt;4,'Aqueous Species Options'!J143&lt;-4), "", IF('Aqueous Species Options'!B143="H+", 0, IF('Aqueous Species Options'!J143=0, -0.038, IF(ISBLANK('Aqueous Species Options'!F143), "", -1514.4*'Aqueous Species Options'!F143*0.00001 + SUM(({4,3,2,1,-1,-2,-3,-4}='Aqueous Species Options'!J143)*{2.1764,1.5793,1.0579,0.5517,1.6291,3.2127,4.8115,6.486}) ) ) ) ) ) )</f>
        <v>1.0995999999999999</v>
      </c>
      <c r="P143" s="1">
        <f>IF(ISBLANK('Aqueous Species Options'!J143), "", 'Aqueous Species Options'!J143)</f>
        <v>-1</v>
      </c>
      <c r="Q143" s="184" t="str">
        <f>IF(ISBLANK('Aqueous Species Options'!T143), "", 'Aqueous Species Options'!T143)</f>
        <v>Revised G, S and Cp to fit Noyes et al. (1906) &amp; Sharygin et al. (2006) with a1 of the complex equal to the sum of the a1 values of the ions</v>
      </c>
    </row>
    <row r="144" spans="2:17" ht="15" customHeight="1" x14ac:dyDescent="0.2">
      <c r="B144" s="9" t="str">
        <f>IF(ISBLANK('Aqueous Species Options'!B144), "", 'Aqueous Species Options'!B144)</f>
        <v>La+3</v>
      </c>
      <c r="C144" s="9" t="str">
        <f>IF(ISBLANK('Aqueous Species Options'!C144), "", 'Aqueous Species Options'!C144)</f>
        <v>La(+3)</v>
      </c>
      <c r="D144" s="2">
        <f>IF(ISBLANK('Aqueous Species Options'!D144), "", 'Aqueous Species Options'!D144)</f>
        <v>-164000</v>
      </c>
      <c r="E144" s="1">
        <f>IF(ISBLANK('Aqueous Species Options'!E144), "", 'Aqueous Species Options'!E144)</f>
        <v>-169600</v>
      </c>
      <c r="F144" s="139">
        <f>IF(ISBLANK('Aqueous Species Options'!F144), "", 'Aqueous Species Options'!F144)</f>
        <v>-52</v>
      </c>
      <c r="G144" s="29">
        <f>IF(ISBLANK('Aqueous Species Options'!B144), "", IF('Aqueous Species Options'!L144 = 1, IF(ISBLANK('Aqueous Species Options'!G144), "", 'Aqueous Species Options'!G144), ('Aqueous Species Table'!I144/10 + ('Aqueous Species Table'!J144*100)/(Calculations!$C$12+Calculations!$C$9) + ('Aqueous Species Table'!K144 + ('Aqueous Species Table'!L144*10000)/(Calculations!$C$12+Calculations!$C$9))*(1/(Calculations!$C$8-Calculations!$C$13)) - 'Aqueous Species Table'!O144*100000*0.0000005903)*41.8393))</f>
        <v>-38.599928869122692</v>
      </c>
      <c r="H144" s="29">
        <f>IF(ISBLANK('Aqueous Species Options'!B144), "", IF('Aqueous Species Options'!L144 = 1, IF(ISBLANK('Aqueous Species Options'!H144), "", 'Aqueous Species Options'!H144), 'Aqueous Species Table'!M144 + 'Aqueous Species Table'!N144*10000*(1/(Calculations!$C$8-Calculations!$C$13))^2 + 'Aqueous Species Table'!O144*100000*Calculations!$C$8*Calculations!$C$7))</f>
        <v>-37.199558100287987</v>
      </c>
      <c r="I144" s="42">
        <f>IF(ISBLANK('Aqueous Species Options'!B144), "", IF('Aqueous Species Options'!L144=0, 'Aqueous Species Options'!N144, IF(OR(ISBLANK('Aqueous Species Options'!G144),'Aqueous Species Table'!O144="", 'Aqueous Species Table'!P144=""), "", IF('Aqueous Species Options'!B144="H+", 0, (CHOOSE('Aqueous Species Options'!M144+1,'Aqueous Species Options'!$V$4*ABS('Aqueous Species Table'!P144)+'Aqueous Species Options'!$W$4,'Aqueous Species Options'!$Z$4)*('Aqueous Species Options'!G144 + 'Aqueous Species Table'!O144*100000*0.0000005903*41.8393) + CHOOSE('Aqueous Species Options'!M144+1,'Aqueous Species Options'!$X$4*ABS('Aqueous Species Table'!P144)+'Aqueous Species Options'!$Y$4,'Aqueous Species Options'!$AA$4))*10 ) ) ) )</f>
        <v>-7.3052530168885692</v>
      </c>
      <c r="J144" s="42">
        <f>IF(ISBLANK('Aqueous Species Options'!B144), "", IF('Aqueous Species Options'!L144 = 0, 'Aqueous Species Options'!O144, IF('Aqueous Species Table'!I144="", "", IF('Aqueous Species Options'!B144="H+", 0, ((1.11*('Aqueous Species Options'!G144 + 'Aqueous Species Table'!O144*100000*0.0000005903*41.8393)+1.8)/41.8393 - 'Aqueous Species Table'!I144/10)*26.01 ) ) ) )</f>
        <v>-2.8393896136449781</v>
      </c>
      <c r="K144" s="42">
        <f>IF(ISBLANK('Aqueous Species Options'!B144), "", IF('Aqueous Species Options'!L144 = 0, 'Aqueous Species Options'!P144, IF('Aqueous Species Table'!I144="", "", IF('Aqueous Species Options'!B144="H+", 0, ('Aqueous Species Options'!G144/41.8393 + 'Aqueous Species Table'!O144*100000*0.0000005903 - 'Aqueous Species Table'!I144/10 - 'Aqueous Species Table'!J144*100/2601)*(298.15-228) - ('Aqueous Species Table'!L144*10000/2601) ) ) ) )</f>
        <v>13.35152825005105</v>
      </c>
      <c r="L144" s="42">
        <f>IF(ISBLANK('Aqueous Species Options'!B144), "", IF('Aqueous Species Options'!L144 = 0, 'Aqueous Species Options'!Q144, IF('Aqueous Species Table'!J144="", "", IF('Aqueous Species Options'!B144="H+", 0, (-4.134*'Aqueous Species Table'!J144*100 - 27790)*0.0001) ) ) )</f>
        <v>-2.6616196333719166</v>
      </c>
      <c r="M144" s="42">
        <f>IF(ISBLANK('Aqueous Species Options'!B144), "", IF('Aqueous Species Options'!L144=0, 'Aqueous Species Options'!R144, IF('Aqueous Species Table'!N144="", "", IF('Aqueous Species Options'!B144="H+", 0, 'Aqueous Species Options'!H144 - 'Aqueous Species Table'!O144*100000*(-0.000000309)*298.15 - 'Aqueous Species Table'!N144*10000/(298.15-228)^2 ) ) ) )</f>
        <v>4.2392983646765749</v>
      </c>
      <c r="N144" s="42">
        <f>IF(ISBLANK('Aqueous Species Options'!B144), "", IF('Aqueous Species Options'!L144=0, 'Aqueous Species Options'!S144, IF(OR(ISBLANK('Aqueous Species Options'!H144), 'Aqueous Species Table'!O144=""), "", IF('Aqueous Species Options'!B144="H+", 0, 0.2037*'Aqueous Species Options'!H144 - 3.0346) ) ) )</f>
        <v>-10.612149985028662</v>
      </c>
      <c r="O144" s="42">
        <f>IF(ISBLANK('Aqueous Species Options'!B144), "", IF('Aqueous Species Options'!K144=0, 'Aqueous Species Options'!I144, IF(OR('Aqueous Species Options'!J144&gt;4,'Aqueous Species Options'!J144&lt;-4), "", IF('Aqueous Species Options'!B144="H+", 0, IF('Aqueous Species Options'!J144=0, -0.038, IF(ISBLANK('Aqueous Species Options'!F144), "", -1514.4*'Aqueous Species Options'!F144*0.00001 + SUM(({4,3,2,1,-1,-2,-3,-4}='Aqueous Species Options'!J144)*{2.1764,1.5793,1.0579,0.5517,1.6291,3.2127,4.8115,6.486}) ) ) ) ) ) )</f>
        <v>2.1572</v>
      </c>
      <c r="P144" s="1">
        <f>IF(ISBLANK('Aqueous Species Options'!J144), "", 'Aqueous Species Options'!J144)</f>
        <v>3</v>
      </c>
      <c r="Q144" s="184" t="str">
        <f>IF(ISBLANK('Aqueous Species Options'!T144), "", 'Aqueous Species Options'!T144)</f>
        <v>Shock et al. (1997) revised with new predicted a1 for cations</v>
      </c>
    </row>
    <row r="145" spans="2:17" ht="32" x14ac:dyDescent="0.2">
      <c r="B145" s="9" t="str">
        <f>IF(ISBLANK('Aqueous Species Options'!B145), "", 'Aqueous Species Options'!B145)</f>
        <v>LACTATE,AQ</v>
      </c>
      <c r="C145" s="9" t="str">
        <f>IF(ISBLANK('Aqueous Species Options'!C145), "", 'Aqueous Species Options'!C145)</f>
        <v>C3H5O3-</v>
      </c>
      <c r="D145" s="2">
        <f>IF(ISBLANK('Aqueous Species Options'!D145), "", 'Aqueous Species Options'!D145)</f>
        <v>-122530</v>
      </c>
      <c r="E145" s="1">
        <f>IF(ISBLANK('Aqueous Species Options'!E145), "", 'Aqueous Species Options'!E145)</f>
        <v>-164070</v>
      </c>
      <c r="F145" s="139">
        <f>IF(ISBLANK('Aqueous Species Options'!F145), "", 'Aqueous Species Options'!F145)</f>
        <v>31.9</v>
      </c>
      <c r="G145" s="29">
        <f>IF(ISBLANK('Aqueous Species Options'!B145), "", IF('Aqueous Species Options'!L145 = 1, IF(ISBLANK('Aqueous Species Options'!G145), "", 'Aqueous Species Options'!G145), ('Aqueous Species Table'!I145/10 + ('Aqueous Species Table'!J145*100)/(Calculations!$C$12+Calculations!$C$9) + ('Aqueous Species Table'!K145 + ('Aqueous Species Table'!L145*10000)/(Calculations!$C$12+Calculations!$C$9))*(1/(Calculations!$C$8-Calculations!$C$13)) - 'Aqueous Species Table'!O145*100000*0.0000005903)*41.8393))</f>
        <v>56.249903920926513</v>
      </c>
      <c r="H145" s="29">
        <f>IF(ISBLANK('Aqueous Species Options'!B145), "", IF('Aqueous Species Options'!L145 = 1, IF(ISBLANK('Aqueous Species Options'!H145), "", 'Aqueous Species Options'!H145), 'Aqueous Species Table'!M145 + 'Aqueous Species Table'!N145*10000*(1/(Calculations!$C$8-Calculations!$C$13))^2 + 'Aqueous Species Table'!O145*100000*Calculations!$C$8*Calculations!$C$7))</f>
        <v>26.699595257885552</v>
      </c>
      <c r="I145" s="42">
        <f>IF(ISBLANK('Aqueous Species Options'!B145), "", IF('Aqueous Species Options'!L145=0, 'Aqueous Species Options'!N145, IF(OR(ISBLANK('Aqueous Species Options'!G145),'Aqueous Species Table'!O145="", 'Aqueous Species Table'!P145=""), "", IF('Aqueous Species Options'!B145="H+", 0, (CHOOSE('Aqueous Species Options'!M145+1,'Aqueous Species Options'!$V$4*ABS('Aqueous Species Table'!P145)+'Aqueous Species Options'!$W$4,'Aqueous Species Options'!$Z$4)*('Aqueous Species Options'!G145 + 'Aqueous Species Table'!O145*100000*0.0000005903*41.8393) + CHOOSE('Aqueous Species Options'!M145+1,'Aqueous Species Options'!$X$4*ABS('Aqueous Species Table'!P145)+'Aqueous Species Options'!$Y$4,'Aqueous Species Options'!$AA$4))*10 ) ) ) )</f>
        <v>8.4976664002451017</v>
      </c>
      <c r="J145" s="42">
        <f>IF(ISBLANK('Aqueous Species Options'!B145), "", IF('Aqueous Species Options'!L145 = 0, 'Aqueous Species Options'!O145, IF('Aqueous Species Table'!I145="", "", IF('Aqueous Species Options'!B145="H+", 0, ((1.11*('Aqueous Species Options'!G145 + 'Aqueous Species Table'!O145*100000*0.0000005903*41.8393)+1.8)/41.8393 - 'Aqueous Species Table'!I145/10)*26.01 ) ) ) )</f>
        <v>19.786282153505095</v>
      </c>
      <c r="K145" s="42">
        <f>IF(ISBLANK('Aqueous Species Options'!B145), "", IF('Aqueous Species Options'!L145 = 0, 'Aqueous Species Options'!P145, IF('Aqueous Species Table'!I145="", "", IF('Aqueous Species Options'!B145="H+", 0, ('Aqueous Species Options'!G145/41.8393 + 'Aqueous Species Table'!O145*100000*0.0000005903 - 'Aqueous Species Table'!I145/10 - 'Aqueous Species Table'!J145*100/2601)*(298.15-228) - ('Aqueous Species Table'!L145*10000/2601) ) ) ) )</f>
        <v>-8.5507620702562903E-2</v>
      </c>
      <c r="L145" s="42">
        <f>IF(ISBLANK('Aqueous Species Options'!B145), "", IF('Aqueous Species Options'!L145 = 0, 'Aqueous Species Options'!Q145, IF('Aqueous Species Table'!J145="", "", IF('Aqueous Species Options'!B145="H+", 0, (-4.134*'Aqueous Species Table'!J145*100 - 27790)*0.0001) ) ) )</f>
        <v>-3.5969649042259006</v>
      </c>
      <c r="M145" s="42">
        <f>IF(ISBLANK('Aqueous Species Options'!B145), "", IF('Aqueous Species Options'!L145=0, 'Aqueous Species Options'!R145, IF('Aqueous Species Table'!N145="", "", IF('Aqueous Species Options'!B145="H+", 0, 'Aqueous Species Options'!H145 - 'Aqueous Species Table'!O145*100000*(-0.000000309)*298.15 - 'Aqueous Species Table'!N145*10000/(298.15-228)^2 ) ) ) )</f>
        <v>32.380413557383065</v>
      </c>
      <c r="N145" s="42">
        <f>IF(ISBLANK('Aqueous Species Options'!B145), "", IF('Aqueous Species Options'!L145=0, 'Aqueous Species Options'!S145, IF(OR(ISBLANK('Aqueous Species Options'!H145), 'Aqueous Species Table'!O145=""), "", IF('Aqueous Species Options'!B145="H+", 0, 0.2037*'Aqueous Species Options'!H145 - 3.0346) ) ) )</f>
        <v>2.4041075540312864</v>
      </c>
      <c r="O145" s="42">
        <f>IF(ISBLANK('Aqueous Species Options'!B145), "", IF('Aqueous Species Options'!K145=0, 'Aqueous Species Options'!I145, IF(OR('Aqueous Species Options'!J145&gt;4,'Aqueous Species Options'!J145&lt;-4), "", IF('Aqueous Species Options'!B145="H+", 0, IF('Aqueous Species Options'!J145=0, -0.038, IF(ISBLANK('Aqueous Species Options'!F145), "", -1514.4*'Aqueous Species Options'!F145*0.00001 + SUM(({4,3,2,1,-1,-2,-3,-4}='Aqueous Species Options'!J145)*{2.1764,1.5793,1.0579,0.5517,1.6291,3.2127,4.8115,6.486}) ) ) ) ) ) )</f>
        <v>1.1469</v>
      </c>
      <c r="P145" s="1">
        <f>IF(ISBLANK('Aqueous Species Options'!J145), "", 'Aqueous Species Options'!J145)</f>
        <v>-1</v>
      </c>
      <c r="Q145" s="184" t="str">
        <f>IF(ISBLANK('Aqueous Species Options'!T145), "", 'Aqueous Species Options'!T145)</f>
        <v>Shock &amp; Helgeson (1990) revised with new predicted a1 for ions</v>
      </c>
    </row>
    <row r="146" spans="2:17" ht="32" x14ac:dyDescent="0.2">
      <c r="B146" s="9" t="str">
        <f>IF(ISBLANK('Aqueous Species Options'!B146), "", 'Aqueous Species Options'!B146)</f>
        <v>LACTIC-ACID,AQ</v>
      </c>
      <c r="C146" s="9" t="str">
        <f>IF(ISBLANK('Aqueous Species Options'!C146), "", 'Aqueous Species Options'!C146)</f>
        <v>C3H6O3</v>
      </c>
      <c r="D146" s="2">
        <f>IF(ISBLANK('Aqueous Species Options'!D146), "", 'Aqueous Species Options'!D146)</f>
        <v>-127800</v>
      </c>
      <c r="E146" s="1">
        <f>IF(ISBLANK('Aqueous Species Options'!E146), "", 'Aqueous Species Options'!E146)</f>
        <v>-164000</v>
      </c>
      <c r="F146" s="139">
        <f>IF(ISBLANK('Aqueous Species Options'!F146), "", 'Aqueous Species Options'!F146)</f>
        <v>49.8</v>
      </c>
      <c r="G146" s="29">
        <f>IF(ISBLANK('Aqueous Species Options'!B146), "", IF('Aqueous Species Options'!L146 = 1, IF(ISBLANK('Aqueous Species Options'!G146), "", 'Aqueous Species Options'!G146), ('Aqueous Species Table'!I146/10 + ('Aqueous Species Table'!J146*100)/(Calculations!$C$12+Calculations!$C$9) + ('Aqueous Species Table'!K146 + ('Aqueous Species Table'!L146*10000)/(Calculations!$C$12+Calculations!$C$9))*(1/(Calculations!$C$8-Calculations!$C$13)) - 'Aqueous Species Table'!O146*100000*0.0000005903)*41.8393))</f>
        <v>69.379922065364269</v>
      </c>
      <c r="H146" s="29">
        <f>IF(ISBLANK('Aqueous Species Options'!B146), "", IF('Aqueous Species Options'!L146 = 1, IF(ISBLANK('Aqueous Species Options'!H146), "", 'Aqueous Species Options'!H146), 'Aqueous Species Table'!M146 + 'Aqueous Species Table'!N146*10000*(1/(Calculations!$C$8-Calculations!$C$13))^2 + 'Aqueous Species Table'!O146*100000*Calculations!$C$8*Calculations!$C$7))</f>
        <v>66.699728810552728</v>
      </c>
      <c r="I146" s="42">
        <f>IF(ISBLANK('Aqueous Species Options'!B146), "", IF('Aqueous Species Options'!L146=0, 'Aqueous Species Options'!N146, IF(OR(ISBLANK('Aqueous Species Options'!G146),'Aqueous Species Table'!O146="", 'Aqueous Species Table'!P146=""), "", IF('Aqueous Species Options'!B146="H+", 0, (CHOOSE('Aqueous Species Options'!M146+1,'Aqueous Species Options'!$V$4*ABS('Aqueous Species Table'!P146)+'Aqueous Species Options'!$W$4,'Aqueous Species Options'!$Z$4)*('Aqueous Species Options'!G146 + 'Aqueous Species Table'!O146*100000*0.0000005903*41.8393) + CHOOSE('Aqueous Species Options'!M146+1,'Aqueous Species Options'!$X$4*ABS('Aqueous Species Table'!P146)+'Aqueous Species Options'!$Y$4,'Aqueous Species Options'!$AA$4))*10 ) ) ) )</f>
        <v>14.871307453601954</v>
      </c>
      <c r="J146" s="42">
        <f>IF(ISBLANK('Aqueous Species Options'!B146), "", IF('Aqueous Species Options'!L146 = 0, 'Aqueous Species Options'!O146, IF('Aqueous Species Table'!I146="", "", IF('Aqueous Species Options'!B146="H+", 0, ((1.11*('Aqueous Species Options'!G146 + 'Aqueous Species Table'!O146*100000*0.0000005903*41.8393)+1.8)/41.8393 - 'Aqueous Species Table'!I146/10)*26.01 ) ) ) )</f>
        <v>9.8758236824381083</v>
      </c>
      <c r="K146" s="42">
        <f>IF(ISBLANK('Aqueous Species Options'!B146), "", IF('Aqueous Species Options'!L146 = 0, 'Aqueous Species Options'!P146, IF('Aqueous Species Table'!I146="", "", IF('Aqueous Species Options'!B146="H+", 0, ('Aqueous Species Options'!G146/41.8393 + 'Aqueous Species Table'!O146*100000*0.0000005903 - 'Aqueous Species Table'!I146/10 - 'Aqueous Species Table'!J146*100/2601)*(298.15-228) - ('Aqueous Species Table'!L146*10000/2601) ) ) ) )</f>
        <v>-3.4426838177687404</v>
      </c>
      <c r="L146" s="42">
        <f>IF(ISBLANK('Aqueous Species Options'!B146), "", IF('Aqueous Species Options'!L146 = 0, 'Aqueous Species Options'!Q146, IF('Aqueous Species Table'!J146="", "", IF('Aqueous Species Options'!B146="H+", 0, (-4.134*'Aqueous Species Table'!J146*100 - 27790)*0.0001) ) ) )</f>
        <v>-3.1872665510319917</v>
      </c>
      <c r="M146" s="42">
        <f>IF(ISBLANK('Aqueous Species Options'!B146), "", IF('Aqueous Species Options'!L146=0, 'Aqueous Species Options'!R146, IF('Aqueous Species Table'!N146="", "", IF('Aqueous Species Options'!B146="H+", 0, 'Aqueous Species Options'!H146 - 'Aqueous Species Table'!O146*100000*(-0.000000309)*298.15 - 'Aqueous Species Table'!N146*10000/(298.15-228)^2 ) ) ) )</f>
        <v>42.887215667202113</v>
      </c>
      <c r="N146" s="42">
        <f>IF(ISBLANK('Aqueous Species Options'!B146), "", IF('Aqueous Species Options'!L146=0, 'Aqueous Species Options'!S146, IF(OR(ISBLANK('Aqueous Species Options'!H146), 'Aqueous Species Table'!O146=""), "", IF('Aqueous Species Options'!B146="H+", 0, 0.2037*'Aqueous Species Options'!H146 - 3.0346) ) ) )</f>
        <v>10.552134758709588</v>
      </c>
      <c r="O146" s="42">
        <f>IF(ISBLANK('Aqueous Species Options'!B146), "", IF('Aqueous Species Options'!K146=0, 'Aqueous Species Options'!I146, IF(OR('Aqueous Species Options'!J146&gt;4,'Aqueous Species Options'!J146&lt;-4), "", IF('Aqueous Species Options'!B146="H+", 0, IF('Aqueous Species Options'!J146=0, -0.038, IF(ISBLANK('Aqueous Species Options'!F146), "", -1514.4*'Aqueous Species Options'!F146*0.00001 + SUM(({4,3,2,1,-1,-2,-3,-4}='Aqueous Species Options'!J146)*{2.1764,1.5793,1.0579,0.5517,1.6291,3.2127,4.8115,6.486}) ) ) ) ) ) )</f>
        <v>-0.25719999999999998</v>
      </c>
      <c r="P146" s="1">
        <f>IF(ISBLANK('Aqueous Species Options'!J146), "", 'Aqueous Species Options'!J146)</f>
        <v>0</v>
      </c>
      <c r="Q146" s="184" t="str">
        <f>IF(ISBLANK('Aqueous Species Options'!T146), "", 'Aqueous Species Options'!T146)</f>
        <v>Shock &amp; Helgeson (1990) revised with new predicted a1 for complex species</v>
      </c>
    </row>
    <row r="147" spans="2:17" ht="32" x14ac:dyDescent="0.2">
      <c r="B147" s="9" t="str">
        <f>IF(ISBLANK('Aqueous Species Options'!B147), "", 'Aqueous Species Options'!B147)</f>
        <v>LEUCINE,AQ</v>
      </c>
      <c r="C147" s="9" t="str">
        <f>IF(ISBLANK('Aqueous Species Options'!C147), "", 'Aqueous Species Options'!C147)</f>
        <v>C6H13NO2</v>
      </c>
      <c r="D147" s="2">
        <f>IF(ISBLANK('Aqueous Species Options'!D147), "", 'Aqueous Species Options'!D147)</f>
        <v>-82000</v>
      </c>
      <c r="E147" s="1">
        <f>IF(ISBLANK('Aqueous Species Options'!E147), "", 'Aqueous Species Options'!E147)</f>
        <v>-151070</v>
      </c>
      <c r="F147" s="139">
        <f>IF(ISBLANK('Aqueous Species Options'!F147), "", 'Aqueous Species Options'!F147)</f>
        <v>51.5</v>
      </c>
      <c r="G147" s="29">
        <f>IF(ISBLANK('Aqueous Species Options'!B147), "", IF('Aqueous Species Options'!L147 = 1, IF(ISBLANK('Aqueous Species Options'!G147), "", 'Aqueous Species Options'!G147), ('Aqueous Species Table'!I147/10 + ('Aqueous Species Table'!J147*100)/(Calculations!$C$12+Calculations!$C$9) + ('Aqueous Species Table'!K147 + ('Aqueous Species Table'!L147*10000)/(Calculations!$C$12+Calculations!$C$9))*(1/(Calculations!$C$8-Calculations!$C$13)) - 'Aqueous Species Table'!O147*100000*0.0000005903)*41.8393))</f>
        <v>107.56995202352142</v>
      </c>
      <c r="H147" s="29">
        <f>IF(ISBLANK('Aqueous Species Options'!B147), "", IF('Aqueous Species Options'!L147 = 1, IF(ISBLANK('Aqueous Species Options'!H147), "", 'Aqueous Species Options'!H147), 'Aqueous Species Table'!M147 + 'Aqueous Species Table'!N147*10000*(1/(Calculations!$C$8-Calculations!$C$13))^2 + 'Aqueous Species Table'!O147*100000*Calculations!$C$8*Calculations!$C$7))</f>
        <v>95.099952456452726</v>
      </c>
      <c r="I147" s="42">
        <f>IF(ISBLANK('Aqueous Species Options'!B147), "", IF('Aqueous Species Options'!L147=0, 'Aqueous Species Options'!N147, IF(OR(ISBLANK('Aqueous Species Options'!G147),'Aqueous Species Table'!O147="", 'Aqueous Species Table'!P147=""), "", IF('Aqueous Species Options'!B147="H+", 0, (CHOOSE('Aqueous Species Options'!M147+1,'Aqueous Species Options'!$V$4*ABS('Aqueous Species Table'!P147)+'Aqueous Species Options'!$W$4,'Aqueous Species Options'!$Z$4)*('Aqueous Species Options'!G147 + 'Aqueous Species Table'!O147*100000*0.0000005903*41.8393) + CHOOSE('Aqueous Species Options'!M147+1,'Aqueous Species Options'!$X$4*ABS('Aqueous Species Table'!P147)+'Aqueous Species Options'!$Y$4,'Aqueous Species Options'!$AA$4))*10 ) ) ) )</f>
        <v>22.20056024254874</v>
      </c>
      <c r="J147" s="42">
        <f>IF(ISBLANK('Aqueous Species Options'!B147), "", IF('Aqueous Species Options'!L147 = 0, 'Aqueous Species Options'!O147, IF('Aqueous Species Table'!I147="", "", IF('Aqueous Species Options'!B147="H+", 0, ((1.11*('Aqueous Species Options'!G147 + 'Aqueous Species Table'!O147*100000*0.0000005903*41.8393)+1.8)/41.8393 - 'Aqueous Species Table'!I147/10)*26.01 ) ) ) )</f>
        <v>16.853999399332643</v>
      </c>
      <c r="K147" s="42">
        <f>IF(ISBLANK('Aqueous Species Options'!B147), "", IF('Aqueous Species Options'!L147 = 0, 'Aqueous Species Options'!P147, IF('Aqueous Species Table'!I147="", "", IF('Aqueous Species Options'!B147="H+", 0, ('Aqueous Species Options'!G147/41.8393 + 'Aqueous Species Table'!O147*100000*0.0000005903 - 'Aqueous Species Table'!I147/10 - 'Aqueous Species Table'!J147*100/2601)*(298.15-228) - ('Aqueous Species Table'!L147*10000/2601) ) ) ) )</f>
        <v>-9.2938180259832404</v>
      </c>
      <c r="L147" s="42">
        <f>IF(ISBLANK('Aqueous Species Options'!B147), "", IF('Aqueous Species Options'!L147 = 0, 'Aqueous Species Options'!Q147, IF('Aqueous Species Table'!J147="", "", IF('Aqueous Species Options'!B147="H+", 0, (-4.134*'Aqueous Species Table'!J147*100 - 27790)*0.0001) ) ) )</f>
        <v>-3.4757443351684119</v>
      </c>
      <c r="M147" s="42">
        <f>IF(ISBLANK('Aqueous Species Options'!B147), "", IF('Aqueous Species Options'!L147=0, 'Aqueous Species Options'!R147, IF('Aqueous Species Table'!N147="", "", IF('Aqueous Species Options'!B147="H+", 0, 'Aqueous Species Options'!H147 - 'Aqueous Species Table'!O147*100000*(-0.000000309)*298.15 - 'Aqueous Species Table'!N147*10000/(298.15-228)^2 ) ) ) )</f>
        <v>57.848312261873573</v>
      </c>
      <c r="N147" s="42">
        <f>IF(ISBLANK('Aqueous Species Options'!B147), "", IF('Aqueous Species Options'!L147=0, 'Aqueous Species Options'!S147, IF(OR(ISBLANK('Aqueous Species Options'!H147), 'Aqueous Species Table'!O147=""), "", IF('Aqueous Species Options'!B147="H+", 0, 0.2037*'Aqueous Species Options'!H147 - 3.0346) ) ) )</f>
        <v>16.337260315379417</v>
      </c>
      <c r="O147" s="42">
        <f>IF(ISBLANK('Aqueous Species Options'!B147), "", IF('Aqueous Species Options'!K147=0, 'Aqueous Species Options'!I147, IF(OR('Aqueous Species Options'!J147&gt;4,'Aqueous Species Options'!J147&lt;-4), "", IF('Aqueous Species Options'!B147="H+", 0, IF('Aqueous Species Options'!J147=0, -0.038, IF(ISBLANK('Aqueous Species Options'!F147), "", -1514.4*'Aqueous Species Options'!F147*0.00001 + SUM(({4,3,2,1,-1,-2,-3,-4}='Aqueous Species Options'!J147)*{2.1764,1.5793,1.0579,0.5517,1.6291,3.2127,4.8115,6.486}) ) ) ) ) ) )</f>
        <v>-0.43990000000000001</v>
      </c>
      <c r="P147" s="1">
        <f>IF(ISBLANK('Aqueous Species Options'!J147), "", 'Aqueous Species Options'!J147)</f>
        <v>0</v>
      </c>
      <c r="Q147" s="184" t="str">
        <f>IF(ISBLANK('Aqueous Species Options'!T147), "", 'Aqueous Species Options'!T147)</f>
        <v>Shock &amp; Helgeson (1990) revised with new predicted a1 for complex species</v>
      </c>
    </row>
    <row r="148" spans="2:17" ht="15" customHeight="1" x14ac:dyDescent="0.2">
      <c r="B148" s="9" t="str">
        <f>IF(ISBLANK('Aqueous Species Options'!B148), "", 'Aqueous Species Options'!B148)</f>
        <v>Li+</v>
      </c>
      <c r="C148" s="9" t="str">
        <f>IF(ISBLANK('Aqueous Species Options'!C148), "", 'Aqueous Species Options'!C148)</f>
        <v>Li(+)</v>
      </c>
      <c r="D148" s="2">
        <f>IF(ISBLANK('Aqueous Species Options'!D148), "", 'Aqueous Species Options'!D148)</f>
        <v>-69933</v>
      </c>
      <c r="E148" s="1">
        <f>IF(ISBLANK('Aqueous Species Options'!E148), "", 'Aqueous Species Options'!E148)</f>
        <v>-66552</v>
      </c>
      <c r="F148" s="139">
        <f>IF(ISBLANK('Aqueous Species Options'!F148), "", 'Aqueous Species Options'!F148)</f>
        <v>2.7</v>
      </c>
      <c r="G148" s="29">
        <f>IF(ISBLANK('Aqueous Species Options'!B148), "", IF('Aqueous Species Options'!L148 = 1, IF(ISBLANK('Aqueous Species Options'!G148), "", 'Aqueous Species Options'!G148), ('Aqueous Species Table'!I148/10 + ('Aqueous Species Table'!J148*100)/(Calculations!$C$12+Calculations!$C$9) + ('Aqueous Species Table'!K148 + ('Aqueous Species Table'!L148*10000)/(Calculations!$C$12+Calculations!$C$9))*(1/(Calculations!$C$8-Calculations!$C$13)) - 'Aqueous Species Table'!O148*100000*0.0000005903)*41.8393))</f>
        <v>-0.87011783134525389</v>
      </c>
      <c r="H148" s="29">
        <f>IF(ISBLANK('Aqueous Species Options'!B148), "", IF('Aqueous Species Options'!L148 = 1, IF(ISBLANK('Aqueous Species Options'!H148), "", 'Aqueous Species Options'!H148), 'Aqueous Species Table'!M148 + 'Aqueous Species Table'!N148*10000*(1/(Calculations!$C$8-Calculations!$C$13))^2 + 'Aqueous Species Table'!O148*100000*Calculations!$C$8*Calculations!$C$7))</f>
        <v>14.23301610203459</v>
      </c>
      <c r="I148" s="42">
        <f>IF(ISBLANK('Aqueous Species Options'!B148), "", IF('Aqueous Species Options'!L148=0, 'Aqueous Species Options'!N148, IF(OR(ISBLANK('Aqueous Species Options'!G148),'Aqueous Species Table'!O148="", 'Aqueous Species Table'!P148=""), "", IF('Aqueous Species Options'!B148="H+", 0, (CHOOSE('Aqueous Species Options'!M148+1,'Aqueous Species Options'!$V$4*ABS('Aqueous Species Table'!P148)+'Aqueous Species Options'!$W$4,'Aqueous Species Options'!$Z$4)*('Aqueous Species Options'!G148 + 'Aqueous Species Table'!O148*100000*0.0000005903*41.8393) + CHOOSE('Aqueous Species Options'!M148+1,'Aqueous Species Options'!$X$4*ABS('Aqueous Species Table'!P148)+'Aqueous Species Options'!$Y$4,'Aqueous Species Options'!$AA$4))*10 ) ) ) )</f>
        <v>-2.3699999999999999E-2</v>
      </c>
      <c r="J148" s="42">
        <f>IF(ISBLANK('Aqueous Species Options'!B148), "", IF('Aqueous Species Options'!L148 = 0, 'Aqueous Species Options'!O148, IF('Aqueous Species Table'!I148="", "", IF('Aqueous Species Options'!B148="H+", 0, ((1.11*('Aqueous Species Options'!G148 + 'Aqueous Species Table'!O148*100000*0.0000005903*41.8393)+1.8)/41.8393 - 'Aqueous Species Table'!I148/10)*26.01 ) ) ) )</f>
        <v>-6.9000000000000006E-2</v>
      </c>
      <c r="K148" s="42">
        <f>IF(ISBLANK('Aqueous Species Options'!B148), "", IF('Aqueous Species Options'!L148 = 0, 'Aqueous Species Options'!P148, IF('Aqueous Species Table'!I148="", "", IF('Aqueous Species Options'!B148="H+", 0, ('Aqueous Species Options'!G148/41.8393 + 'Aqueous Species Table'!O148*100000*0.0000005903 - 'Aqueous Species Table'!I148/10 - 'Aqueous Species Table'!J148*100/2601)*(298.15-228) - ('Aqueous Species Table'!L148*10000/2601) ) ) ) )</f>
        <v>11.58</v>
      </c>
      <c r="L148" s="42">
        <f>IF(ISBLANK('Aqueous Species Options'!B148), "", IF('Aqueous Species Options'!L148 = 0, 'Aqueous Species Options'!Q148, IF('Aqueous Species Table'!J148="", "", IF('Aqueous Species Options'!B148="H+", 0, (-4.134*'Aqueous Species Table'!J148*100 - 27790)*0.0001) ) ) )</f>
        <v>-2.7761</v>
      </c>
      <c r="M148" s="42">
        <f>IF(ISBLANK('Aqueous Species Options'!B148), "", IF('Aqueous Species Options'!L148=0, 'Aqueous Species Options'!R148, IF('Aqueous Species Table'!N148="", "", IF('Aqueous Species Options'!B148="H+", 0, 'Aqueous Species Options'!H148 - 'Aqueous Species Table'!O148*100000*(-0.000000309)*298.15 - 'Aqueous Species Table'!N148*10000/(298.15-228)^2 ) ) ) )</f>
        <v>19.2</v>
      </c>
      <c r="N148" s="42">
        <f>IF(ISBLANK('Aqueous Species Options'!B148), "", IF('Aqueous Species Options'!L148=0, 'Aqueous Species Options'!S148, IF(OR(ISBLANK('Aqueous Species Options'!H148), 'Aqueous Species Table'!O148=""), "", IF('Aqueous Species Options'!B148="H+", 0, 0.2037*'Aqueous Species Options'!H148 - 3.0346) ) ) )</f>
        <v>-0.24</v>
      </c>
      <c r="O148" s="42">
        <f>IF(ISBLANK('Aqueous Species Options'!B148), "", IF('Aqueous Species Options'!K148=0, 'Aqueous Species Options'!I148, IF(OR('Aqueous Species Options'!J148&gt;4,'Aqueous Species Options'!J148&lt;-4), "", IF('Aqueous Species Options'!B148="H+", 0, IF('Aqueous Species Options'!J148=0, -0.038, IF(ISBLANK('Aqueous Species Options'!F148), "", -1514.4*'Aqueous Species Options'!F148*0.00001 + SUM(({4,3,2,1,-1,-2,-3,-4}='Aqueous Species Options'!J148)*{2.1764,1.5793,1.0579,0.5517,1.6291,3.2127,4.8115,6.486}) ) ) ) ) ) )</f>
        <v>0.48620000000000002</v>
      </c>
      <c r="P148" s="1">
        <f>IF(ISBLANK('Aqueous Species Options'!J148), "", 'Aqueous Species Options'!J148)</f>
        <v>1</v>
      </c>
      <c r="Q148" s="184" t="str">
        <f>IF(ISBLANK('Aqueous Species Options'!T148), "", 'Aqueous Species Options'!T148)</f>
        <v>Shock &amp; Helgeson (1988)</v>
      </c>
    </row>
    <row r="149" spans="2:17" ht="15" customHeight="1" x14ac:dyDescent="0.2">
      <c r="B149" s="9" t="str">
        <f>IF(ISBLANK('Aqueous Species Options'!B149), "", 'Aqueous Species Options'!B149)</f>
        <v>Lu+3</v>
      </c>
      <c r="C149" s="9" t="str">
        <f>IF(ISBLANK('Aqueous Species Options'!C149), "", 'Aqueous Species Options'!C149)</f>
        <v>Lu(+3)</v>
      </c>
      <c r="D149" s="2">
        <f>IF(ISBLANK('Aqueous Species Options'!D149), "", 'Aqueous Species Options'!D149)</f>
        <v>-159400</v>
      </c>
      <c r="E149" s="1">
        <f>IF(ISBLANK('Aqueous Species Options'!E149), "", 'Aqueous Species Options'!E149)</f>
        <v>-167900</v>
      </c>
      <c r="F149" s="139">
        <f>IF(ISBLANK('Aqueous Species Options'!F149), "", 'Aqueous Species Options'!F149)</f>
        <v>-63.1</v>
      </c>
      <c r="G149" s="29">
        <f>IF(ISBLANK('Aqueous Species Options'!B149), "", IF('Aqueous Species Options'!L149 = 1, IF(ISBLANK('Aqueous Species Options'!G149), "", 'Aqueous Species Options'!G149), ('Aqueous Species Table'!I149/10 + ('Aqueous Species Table'!J149*100)/(Calculations!$C$12+Calculations!$C$9) + ('Aqueous Species Table'!K149 + ('Aqueous Species Table'!L149*10000)/(Calculations!$C$12+Calculations!$C$9))*(1/(Calculations!$C$8-Calculations!$C$13)) - 'Aqueous Species Table'!O149*100000*0.0000005903)*41.8393))</f>
        <v>-45.000161448395531</v>
      </c>
      <c r="H149" s="29">
        <f>IF(ISBLANK('Aqueous Species Options'!B149), "", IF('Aqueous Species Options'!L149 = 1, IF(ISBLANK('Aqueous Species Options'!H149), "", 'Aqueous Species Options'!H149), 'Aqueous Species Table'!M149 + 'Aqueous Species Table'!N149*10000*(1/(Calculations!$C$8-Calculations!$C$13))^2 + 'Aqueous Species Table'!O149*100000*Calculations!$C$8*Calculations!$C$7))</f>
        <v>-32.800059266082989</v>
      </c>
      <c r="I149" s="42">
        <f>IF(ISBLANK('Aqueous Species Options'!B149), "", IF('Aqueous Species Options'!L149=0, 'Aqueous Species Options'!N149, IF(OR(ISBLANK('Aqueous Species Options'!G149),'Aqueous Species Table'!O149="", 'Aqueous Species Table'!P149=""), "", IF('Aqueous Species Options'!B149="H+", 0, (CHOOSE('Aqueous Species Options'!M149+1,'Aqueous Species Options'!$V$4*ABS('Aqueous Species Table'!P149)+'Aqueous Species Options'!$W$4,'Aqueous Species Options'!$Z$4)*('Aqueous Species Options'!G149 + 'Aqueous Species Table'!O149*100000*0.0000005903*41.8393) + CHOOSE('Aqueous Species Options'!M149+1,'Aqueous Species Options'!$X$4*ABS('Aqueous Species Table'!P149)+'Aqueous Species Options'!$Y$4,'Aqueous Species Options'!$AA$4))*10 ) ) ) )</f>
        <v>-9.3980071670496574</v>
      </c>
      <c r="J149" s="42">
        <f>IF(ISBLANK('Aqueous Species Options'!B149), "", IF('Aqueous Species Options'!L149 = 0, 'Aqueous Species Options'!O149, IF('Aqueous Species Table'!I149="", "", IF('Aqueous Species Options'!B149="H+", 0, ((1.11*('Aqueous Species Options'!G149 + 'Aqueous Species Table'!O149*100000*0.0000005903*41.8393)+1.8)/41.8393 - 'Aqueous Species Table'!I149/10)*26.01 ) ) ) )</f>
        <v>-1.3043892517916038</v>
      </c>
      <c r="K149" s="42">
        <f>IF(ISBLANK('Aqueous Species Options'!B149), "", IF('Aqueous Species Options'!L149 = 0, 'Aqueous Species Options'!P149, IF('Aqueous Species Table'!I149="", "", IF('Aqueous Species Options'!B149="H+", 0, ('Aqueous Species Options'!G149/41.8393 + 'Aqueous Species Table'!O149*100000*0.0000005903 - 'Aqueous Species Table'!I149/10 - 'Aqueous Species Table'!J149*100/2601)*(298.15-228) - ('Aqueous Species Table'!L149*10000/2601) ) ) ) )</f>
        <v>14.640074694241838</v>
      </c>
      <c r="L149" s="42">
        <f>IF(ISBLANK('Aqueous Species Options'!B149), "", IF('Aqueous Species Options'!L149 = 0, 'Aqueous Species Options'!Q149, IF('Aqueous Species Table'!J149="", "", IF('Aqueous Species Options'!B149="H+", 0, (-4.134*'Aqueous Species Table'!J149*100 - 27790)*0.0001) ) ) )</f>
        <v>-2.7250765483309354</v>
      </c>
      <c r="M149" s="42">
        <f>IF(ISBLANK('Aqueous Species Options'!B149), "", IF('Aqueous Species Options'!L149=0, 'Aqueous Species Options'!R149, IF('Aqueous Species Table'!N149="", "", IF('Aqueous Species Options'!B149="H+", 0, 'Aqueous Species Options'!H149 - 'Aqueous Species Table'!O149*100000*(-0.000000309)*298.15 - 'Aqueous Species Table'!N149*10000/(298.15-228)^2 ) ) ) )</f>
        <v>9.5649432485852408</v>
      </c>
      <c r="N149" s="42">
        <f>IF(ISBLANK('Aqueous Species Options'!B149), "", IF('Aqueous Species Options'!L149=0, 'Aqueous Species Options'!S149, IF(OR(ISBLANK('Aqueous Species Options'!H149), 'Aqueous Species Table'!O149=""), "", IF('Aqueous Species Options'!B149="H+", 0, 0.2037*'Aqueous Species Options'!H149 - 3.0346) ) ) )</f>
        <v>-9.7159720725011045</v>
      </c>
      <c r="O149" s="42">
        <f>IF(ISBLANK('Aqueous Species Options'!B149), "", IF('Aqueous Species Options'!K149=0, 'Aqueous Species Options'!I149, IF(OR('Aqueous Species Options'!J149&gt;4,'Aqueous Species Options'!J149&lt;-4), "", IF('Aqueous Species Options'!B149="H+", 0, IF('Aqueous Species Options'!J149=0, -0.038, IF(ISBLANK('Aqueous Species Options'!F149), "", -1514.4*'Aqueous Species Options'!F149*0.00001 + SUM(({4,3,2,1,-1,-2,-3,-4}='Aqueous Species Options'!J149)*{2.1764,1.5793,1.0579,0.5517,1.6291,3.2127,4.8115,6.486}) ) ) ) ) ) )</f>
        <v>2.4554</v>
      </c>
      <c r="P149" s="1">
        <f>IF(ISBLANK('Aqueous Species Options'!J149), "", 'Aqueous Species Options'!J149)</f>
        <v>3</v>
      </c>
      <c r="Q149" s="184" t="str">
        <f>IF(ISBLANK('Aqueous Species Options'!T149), "", 'Aqueous Species Options'!T149)</f>
        <v>Shock et al. (1997) revised with new predicted a1 for ions</v>
      </c>
    </row>
    <row r="150" spans="2:17" ht="15" customHeight="1" x14ac:dyDescent="0.2">
      <c r="B150" s="9" t="str">
        <f>IF(ISBLANK('Aqueous Species Options'!B150), "", 'Aqueous Species Options'!B150)</f>
        <v>METHANE,AQ</v>
      </c>
      <c r="C150" s="9" t="str">
        <f>IF(ISBLANK('Aqueous Species Options'!C150), "", 'Aqueous Species Options'!C150)</f>
        <v>CH4</v>
      </c>
      <c r="D150" s="2">
        <f>IF(ISBLANK('Aqueous Species Options'!D150), "", 'Aqueous Species Options'!D150)</f>
        <v>-8234</v>
      </c>
      <c r="E150" s="1">
        <f>IF(ISBLANK('Aqueous Species Options'!E150), "", 'Aqueous Species Options'!E150)</f>
        <v>-21010</v>
      </c>
      <c r="F150" s="139">
        <f>IF(ISBLANK('Aqueous Species Options'!F150), "", 'Aqueous Species Options'!F150)</f>
        <v>20.99</v>
      </c>
      <c r="G150" s="29">
        <f>IF(ISBLANK('Aqueous Species Options'!B150), "", IF('Aqueous Species Options'!L150 = 1, IF(ISBLANK('Aqueous Species Options'!G150), "", 'Aqueous Species Options'!G150), ('Aqueous Species Table'!I150/10 + ('Aqueous Species Table'!J150*100)/(Calculations!$C$12+Calculations!$C$9) + ('Aqueous Species Table'!K150 + ('Aqueous Species Table'!L150*10000)/(Calculations!$C$12+Calculations!$C$9))*(1/(Calculations!$C$8-Calculations!$C$13)) - 'Aqueous Species Table'!O150*100000*0.0000005903)*41.8393))</f>
        <v>36.002379374011305</v>
      </c>
      <c r="H150" s="29">
        <f>IF(ISBLANK('Aqueous Species Options'!B150), "", IF('Aqueous Species Options'!L150 = 1, IF(ISBLANK('Aqueous Species Options'!H150), "", 'Aqueous Species Options'!H150), 'Aqueous Species Table'!M150 + 'Aqueous Species Table'!N150*10000*(1/(Calculations!$C$8-Calculations!$C$13))^2 + 'Aqueous Species Table'!O150*100000*Calculations!$C$8*Calculations!$C$7))</f>
        <v>57.692166125945377</v>
      </c>
      <c r="I150" s="42">
        <f>IF(ISBLANK('Aqueous Species Options'!B150), "", IF('Aqueous Species Options'!L150=0, 'Aqueous Species Options'!N150, IF(OR(ISBLANK('Aqueous Species Options'!G150),'Aqueous Species Table'!O150="", 'Aqueous Species Table'!P150=""), "", IF('Aqueous Species Options'!B150="H+", 0, (CHOOSE('Aqueous Species Options'!M150+1,'Aqueous Species Options'!$V$4*ABS('Aqueous Species Table'!P150)+'Aqueous Species Options'!$W$4,'Aqueous Species Options'!$Z$4)*('Aqueous Species Options'!G150 + 'Aqueous Species Table'!O150*100000*0.0000005903*41.8393) + CHOOSE('Aqueous Species Options'!M150+1,'Aqueous Species Options'!$X$4*ABS('Aqueous Species Table'!P150)+'Aqueous Species Options'!$Y$4,'Aqueous Species Options'!$AA$4))*10 ) ) ) )</f>
        <v>8.32</v>
      </c>
      <c r="J150" s="42">
        <f>IF(ISBLANK('Aqueous Species Options'!B150), "", IF('Aqueous Species Options'!L150 = 0, 'Aqueous Species Options'!O150, IF('Aqueous Species Table'!I150="", "", IF('Aqueous Species Options'!B150="H+", 0, ((1.11*('Aqueous Species Options'!G150 + 'Aqueous Species Table'!O150*100000*0.0000005903*41.8393)+1.8)/41.8393 - 'Aqueous Species Table'!I150/10)*26.01 ) ) ) )</f>
        <v>3.64</v>
      </c>
      <c r="K150" s="42">
        <f>IF(ISBLANK('Aqueous Species Options'!B150), "", IF('Aqueous Species Options'!L150 = 0, 'Aqueous Species Options'!P150, IF('Aqueous Species Table'!I150="", "", IF('Aqueous Species Options'!B150="H+", 0, ('Aqueous Species Options'!G150/41.8393 + 'Aqueous Species Table'!O150*100000*0.0000005903 - 'Aqueous Species Table'!I150/10 - 'Aqueous Species Table'!J150*100/2601)*(298.15-228) - ('Aqueous Species Table'!L150*10000/2601) ) ) ) )</f>
        <v>1.79</v>
      </c>
      <c r="L150" s="42">
        <f>IF(ISBLANK('Aqueous Species Options'!B150), "", IF('Aqueous Species Options'!L150 = 0, 'Aqueous Species Options'!Q150, IF('Aqueous Species Table'!J150="", "", IF('Aqueous Species Options'!B150="H+", 0, (-4.134*'Aqueous Species Table'!J150*100 - 27790)*0.0001) ) ) )</f>
        <v>-2.93</v>
      </c>
      <c r="M150" s="42">
        <f>IF(ISBLANK('Aqueous Species Options'!B150), "", IF('Aqueous Species Options'!L150=0, 'Aqueous Species Options'!R150, IF('Aqueous Species Table'!N150="", "", IF('Aqueous Species Options'!B150="H+", 0, 'Aqueous Species Options'!H150 - 'Aqueous Species Table'!O150*100000*(-0.000000309)*298.15 - 'Aqueous Species Table'!N150*10000/(298.15-228)^2 ) ) ) )</f>
        <v>40.9</v>
      </c>
      <c r="N150" s="42">
        <f>IF(ISBLANK('Aqueous Species Options'!B150), "", IF('Aqueous Species Options'!L150=0, 'Aqueous Species Options'!S150, IF(OR(ISBLANK('Aqueous Species Options'!H150), 'Aqueous Species Table'!O150=""), "", IF('Aqueous Species Options'!B150="H+", 0, 0.2037*'Aqueous Species Options'!H150 - 3.0346) ) ) )</f>
        <v>6.45</v>
      </c>
      <c r="O150" s="42">
        <f>IF(ISBLANK('Aqueous Species Options'!B150), "", IF('Aqueous Species Options'!K150=0, 'Aqueous Species Options'!I150, IF(OR('Aqueous Species Options'!J150&gt;4,'Aqueous Species Options'!J150&lt;-4), "", IF('Aqueous Species Options'!B150="H+", 0, IF('Aqueous Species Options'!J150=0, -0.038, IF(ISBLANK('Aqueous Species Options'!F150), "", -1514.4*'Aqueous Species Options'!F150*0.00001 + SUM(({4,3,2,1,-1,-2,-3,-4}='Aqueous Species Options'!J150)*{2.1764,1.5793,1.0579,0.5517,1.6291,3.2127,4.8115,6.486}) ) ) ) ) ) )</f>
        <v>-0.4</v>
      </c>
      <c r="P150" s="1">
        <f>IF(ISBLANK('Aqueous Species Options'!J150), "", 'Aqueous Species Options'!J150)</f>
        <v>0</v>
      </c>
      <c r="Q150" s="184" t="str">
        <f>IF(ISBLANK('Aqueous Species Options'!T150), "", 'Aqueous Species Options'!T150)</f>
        <v>Plyasunov &amp; Shock (2001) for c1, c2 &amp; omega; a1 predicted with new correlation for complex species from Sverjensky et al. (2014)</v>
      </c>
    </row>
    <row r="151" spans="2:17" ht="16" x14ac:dyDescent="0.2">
      <c r="B151" s="9" t="str">
        <f>IF(ISBLANK('Aqueous Species Options'!B151), "", 'Aqueous Species Options'!B151)</f>
        <v>METHANOL,AQ</v>
      </c>
      <c r="C151" s="9" t="str">
        <f>IF(ISBLANK('Aqueous Species Options'!C151), "", 'Aqueous Species Options'!C151)</f>
        <v>CH3OH</v>
      </c>
      <c r="D151" s="2">
        <f>IF(ISBLANK('Aqueous Species Options'!D151), "", 'Aqueous Species Options'!D151)</f>
        <v>-42050</v>
      </c>
      <c r="E151" s="1">
        <f>IF(ISBLANK('Aqueous Species Options'!E151), "", 'Aqueous Species Options'!E151)</f>
        <v>-58870</v>
      </c>
      <c r="F151" s="139">
        <f>IF(ISBLANK('Aqueous Species Options'!F151), "", 'Aqueous Species Options'!F151)</f>
        <v>31.6</v>
      </c>
      <c r="G151" s="29">
        <f>IF(ISBLANK('Aqueous Species Options'!B151), "", IF('Aqueous Species Options'!L151 = 1, IF(ISBLANK('Aqueous Species Options'!G151), "", 'Aqueous Species Options'!G151), ('Aqueous Species Table'!I151/10 + ('Aqueous Species Table'!J151*100)/(Calculations!$C$12+Calculations!$C$9) + ('Aqueous Species Table'!K151 + ('Aqueous Species Table'!L151*10000)/(Calculations!$C$12+Calculations!$C$9))*(1/(Calculations!$C$8-Calculations!$C$13)) - 'Aqueous Species Table'!O151*100000*0.0000005903)*41.8393))</f>
        <v>38.688451864443074</v>
      </c>
      <c r="H151" s="29">
        <f>IF(ISBLANK('Aqueous Species Options'!B151), "", IF('Aqueous Species Options'!L151 = 1, IF(ISBLANK('Aqueous Species Options'!H151), "", 'Aqueous Species Options'!H151), 'Aqueous Species Table'!M151 + 'Aqueous Species Table'!N151*10000*(1/(Calculations!$C$8-Calculations!$C$13))^2 + 'Aqueous Species Table'!O151*100000*Calculations!$C$8*Calculations!$C$7))</f>
        <v>37.732739333861637</v>
      </c>
      <c r="I151" s="42">
        <f>IF(ISBLANK('Aqueous Species Options'!B151), "", IF('Aqueous Species Options'!L151=0, 'Aqueous Species Options'!N151, IF(OR(ISBLANK('Aqueous Species Options'!G151),'Aqueous Species Table'!O151="", 'Aqueous Species Table'!P151=""), "", IF('Aqueous Species Options'!B151="H+", 0, (CHOOSE('Aqueous Species Options'!M151+1,'Aqueous Species Options'!$V$4*ABS('Aqueous Species Table'!P151)+'Aqueous Species Options'!$W$4,'Aqueous Species Options'!$Z$4)*('Aqueous Species Options'!G151 + 'Aqueous Species Table'!O151*100000*0.0000005903*41.8393) + CHOOSE('Aqueous Species Options'!M151+1,'Aqueous Species Options'!$X$4*ABS('Aqueous Species Table'!P151)+'Aqueous Species Options'!$Y$4,'Aqueous Species Options'!$AA$4))*10 ) ) ) )</f>
        <v>8.4</v>
      </c>
      <c r="J151" s="42">
        <f>IF(ISBLANK('Aqueous Species Options'!B151), "", IF('Aqueous Species Options'!L151 = 0, 'Aqueous Species Options'!O151, IF('Aqueous Species Table'!I151="", "", IF('Aqueous Species Options'!B151="H+", 0, ((1.11*('Aqueous Species Options'!G151 + 'Aqueous Species Table'!O151*100000*0.0000005903*41.8393)+1.8)/41.8393 - 'Aqueous Species Table'!I151/10)*26.01 ) ) ) )</f>
        <v>4.0999999999999996</v>
      </c>
      <c r="K151" s="42">
        <f>IF(ISBLANK('Aqueous Species Options'!B151), "", IF('Aqueous Species Options'!L151 = 0, 'Aqueous Species Options'!P151, IF('Aqueous Species Table'!I151="", "", IF('Aqueous Species Options'!B151="H+", 0, ('Aqueous Species Options'!G151/41.8393 + 'Aqueous Species Table'!O151*100000*0.0000005903 - 'Aqueous Species Table'!I151/10 - 'Aqueous Species Table'!J151*100/2601)*(298.15-228) - ('Aqueous Species Table'!L151*10000/2601) ) ) ) )</f>
        <v>-0.24</v>
      </c>
      <c r="L151" s="42">
        <f>IF(ISBLANK('Aqueous Species Options'!B151), "", IF('Aqueous Species Options'!L151 = 0, 'Aqueous Species Options'!Q151, IF('Aqueous Species Table'!J151="", "", IF('Aqueous Species Options'!B151="H+", 0, (-4.134*'Aqueous Species Table'!J151*100 - 27790)*0.0001) ) ) )</f>
        <v>-1.43</v>
      </c>
      <c r="M151" s="42">
        <f>IF(ISBLANK('Aqueous Species Options'!B151), "", IF('Aqueous Species Options'!L151=0, 'Aqueous Species Options'!R151, IF('Aqueous Species Table'!N151="", "", IF('Aqueous Species Options'!B151="H+", 0, 'Aqueous Species Options'!H151 - 'Aqueous Species Table'!O151*100000*(-0.000000309)*298.15 - 'Aqueous Species Table'!N151*10000/(298.15-228)^2 ) ) ) )</f>
        <v>34.4</v>
      </c>
      <c r="N151" s="42">
        <f>IF(ISBLANK('Aqueous Species Options'!B151), "", IF('Aqueous Species Options'!L151=0, 'Aqueous Species Options'!S151, IF(OR(ISBLANK('Aqueous Species Options'!H151), 'Aqueous Species Table'!O151=""), "", IF('Aqueous Species Options'!B151="H+", 0, 0.2037*'Aqueous Species Options'!H151 - 3.0346) ) ) )</f>
        <v>0.96</v>
      </c>
      <c r="O151" s="42">
        <f>IF(ISBLANK('Aqueous Species Options'!B151), "", IF('Aqueous Species Options'!K151=0, 'Aqueous Species Options'!I151, IF(OR('Aqueous Species Options'!J151&gt;4,'Aqueous Species Options'!J151&lt;-4), "", IF('Aqueous Species Options'!B151="H+", 0, IF('Aqueous Species Options'!J151=0, -0.038, IF(ISBLANK('Aqueous Species Options'!F151), "", -1514.4*'Aqueous Species Options'!F151*0.00001 + SUM(({4,3,2,1,-1,-2,-3,-4}='Aqueous Species Options'!J151)*{2.1764,1.5793,1.0579,0.5517,1.6291,3.2127,4.8115,6.486}) ) ) ) ) ) )</f>
        <v>-0.15</v>
      </c>
      <c r="P151" s="1">
        <f>IF(ISBLANK('Aqueous Species Options'!J151), "", 'Aqueous Species Options'!J151)</f>
        <v>0</v>
      </c>
      <c r="Q151" s="184" t="str">
        <f>IF(ISBLANK('Aqueous Species Options'!T151), "", 'Aqueous Species Options'!T151)</f>
        <v>Plyasunov &amp; Shock (2001)</v>
      </c>
    </row>
    <row r="152" spans="2:17" ht="15" customHeight="1" x14ac:dyDescent="0.2">
      <c r="B152" s="9" t="str">
        <f>IF(ISBLANK('Aqueous Species Options'!B152), "", 'Aqueous Species Options'!B152)</f>
        <v>Mg(HCO3)+</v>
      </c>
      <c r="C152" s="9" t="str">
        <f>IF(ISBLANK('Aqueous Species Options'!C152), "", 'Aqueous Species Options'!C152)</f>
        <v>Mg(HCO3)(+)</v>
      </c>
      <c r="D152" s="2">
        <f>IF(ISBLANK('Aqueous Species Options'!D152), "", 'Aqueous Species Options'!D152)</f>
        <v>-250280</v>
      </c>
      <c r="E152" s="1">
        <f>IF(ISBLANK('Aqueous Species Options'!E152), "", 'Aqueous Species Options'!E152)</f>
        <v>-275750</v>
      </c>
      <c r="F152" s="139">
        <f>IF(ISBLANK('Aqueous Species Options'!F152), "", 'Aqueous Species Options'!F152)</f>
        <v>-5</v>
      </c>
      <c r="G152" s="29">
        <f>IF(ISBLANK('Aqueous Species Options'!B152), "", IF('Aqueous Species Options'!L152 = 1, IF(ISBLANK('Aqueous Species Options'!G152), "", 'Aqueous Species Options'!G152), ('Aqueous Species Table'!I152/10 + ('Aqueous Species Table'!J152*100)/(Calculations!$C$12+Calculations!$C$9) + ('Aqueous Species Table'!K152 + ('Aqueous Species Table'!L152*10000)/(Calculations!$C$12+Calculations!$C$9))*(1/(Calculations!$C$8-Calculations!$C$13)) - 'Aqueous Species Table'!O152*100000*0.0000005903)*41.8393))</f>
        <v>25.9</v>
      </c>
      <c r="H152" s="29">
        <f>IF(ISBLANK('Aqueous Species Options'!B152), "", IF('Aqueous Species Options'!L152 = 1, IF(ISBLANK('Aqueous Species Options'!H152), "", 'Aqueous Species Options'!H152), 'Aqueous Species Table'!M152 + 'Aqueous Species Table'!N152*10000*(1/(Calculations!$C$8-Calculations!$C$13))^2 + 'Aqueous Species Table'!O152*100000*Calculations!$C$8*Calculations!$C$7))</f>
        <v>59</v>
      </c>
      <c r="I152" s="42">
        <f>IF(ISBLANK('Aqueous Species Options'!B152), "", IF('Aqueous Species Options'!L152=0, 'Aqueous Species Options'!N152, IF(OR(ISBLANK('Aqueous Species Options'!G152),'Aqueous Species Table'!O152="", 'Aqueous Species Table'!P152=""), "", IF('Aqueous Species Options'!B152="H+", 0, (CHOOSE('Aqueous Species Options'!M152+1,'Aqueous Species Options'!$V$4*ABS('Aqueous Species Table'!P152)+'Aqueous Species Options'!$W$4,'Aqueous Species Options'!$Z$4)*('Aqueous Species Options'!G152 + 'Aqueous Species Table'!O152*100000*0.0000005903*41.8393) + CHOOSE('Aqueous Species Options'!M152+1,'Aqueous Species Options'!$X$4*ABS('Aqueous Species Table'!P152)+'Aqueous Species Options'!$Y$4,'Aqueous Species Options'!$AA$4))*10 ) ) ) )</f>
        <v>6.8513840052301678</v>
      </c>
      <c r="J152" s="42">
        <f>IF(ISBLANK('Aqueous Species Options'!B152), "", IF('Aqueous Species Options'!L152 = 0, 'Aqueous Species Options'!O152, IF('Aqueous Species Table'!I152="", "", IF('Aqueous Species Options'!B152="H+", 0, ((1.11*('Aqueous Species Options'!G152 + 'Aqueous Species Table'!O152*100000*0.0000005903*41.8393)+1.8)/41.8393 - 'Aqueous Species Table'!I152/10)*26.01 ) ) ) )</f>
        <v>2.2400609832471599</v>
      </c>
      <c r="K152" s="42">
        <f>IF(ISBLANK('Aqueous Species Options'!B152), "", IF('Aqueous Species Options'!L152 = 0, 'Aqueous Species Options'!P152, IF('Aqueous Species Table'!I152="", "", IF('Aqueous Species Options'!B152="H+", 0, ('Aqueous Species Options'!G152/41.8393 + 'Aqueous Species Table'!O152*100000*0.0000005903 - 'Aqueous Species Table'!I152/10 - 'Aqueous Species Table'!J152*100/2601)*(298.15-228) - ('Aqueous Species Table'!L152*10000/2601) ) ) ) )</f>
        <v>2.9598308433162064</v>
      </c>
      <c r="L152" s="42">
        <f>IF(ISBLANK('Aqueous Species Options'!B152), "", IF('Aqueous Species Options'!L152 = 0, 'Aqueous Species Options'!Q152, IF('Aqueous Species Table'!J152="", "", IF('Aqueous Species Options'!B152="H+", 0, (-4.134*'Aqueous Species Table'!J152*100 - 27790)*0.0001) ) ) )</f>
        <v>-2.8716041210474379</v>
      </c>
      <c r="M152" s="42">
        <f>IF(ISBLANK('Aqueous Species Options'!B152), "", IF('Aqueous Species Options'!L152=0, 'Aqueous Species Options'!R152, IF('Aqueous Species Table'!N152="", "", IF('Aqueous Species Options'!B152="H+", 0, 'Aqueous Species Options'!H152 - 'Aqueous Species Table'!O152*100000*(-0.000000309)*298.15 - 'Aqueous Species Table'!N152*10000/(298.15-228)^2 ) ) ) )</f>
        <v>46.524558096962714</v>
      </c>
      <c r="N152" s="42">
        <f>IF(ISBLANK('Aqueous Species Options'!B152), "", IF('Aqueous Species Options'!L152=0, 'Aqueous Species Options'!S152, IF(OR(ISBLANK('Aqueous Species Options'!H152), 'Aqueous Species Table'!O152=""), "", IF('Aqueous Species Options'!B152="H+", 0, 0.2037*'Aqueous Species Options'!H152 - 3.0346) ) ) )</f>
        <v>8.9836999999999989</v>
      </c>
      <c r="O152" s="42">
        <f>IF(ISBLANK('Aqueous Species Options'!B152), "", IF('Aqueous Species Options'!K152=0, 'Aqueous Species Options'!I152, IF(OR('Aqueous Species Options'!J152&gt;4,'Aqueous Species Options'!J152&lt;-4), "", IF('Aqueous Species Options'!B152="H+", 0, IF('Aqueous Species Options'!J152=0, -0.038, IF(ISBLANK('Aqueous Species Options'!F152), "", -1514.4*'Aqueous Species Options'!F152*0.00001 + SUM(({4,3,2,1,-1,-2,-3,-4}='Aqueous Species Options'!J152)*{2.1764,1.5793,1.0579,0.5517,1.6291,3.2127,4.8115,6.486}) ) ) ) ) ) )</f>
        <v>0.62741999999999998</v>
      </c>
      <c r="P152" s="1">
        <f>IF(ISBLANK('Aqueous Species Options'!J152), "", 'Aqueous Species Options'!J152)</f>
        <v>1</v>
      </c>
      <c r="Q152" s="184" t="str">
        <f>IF(ISBLANK('Aqueous Species Options'!T152), "", 'Aqueous Species Options'!T152)</f>
        <v>Fit to Stéfansson et al. (2014) &amp; Siebert &amp; Hostetler (1977); plus revised V increased so that a1 of the complex is the sum of the a1 values of the ions</v>
      </c>
    </row>
    <row r="153" spans="2:17" ht="15" customHeight="1" x14ac:dyDescent="0.2">
      <c r="B153" s="9" t="str">
        <f>IF(ISBLANK('Aqueous Species Options'!B153), "", 'Aqueous Species Options'!B153)</f>
        <v>Mg(HSiO3)+</v>
      </c>
      <c r="C153" s="9" t="str">
        <f>IF(ISBLANK('Aqueous Species Options'!C153), "", 'Aqueous Species Options'!C153)</f>
        <v>Mg(HSiO3)(+)</v>
      </c>
      <c r="D153" s="2">
        <f>IF(ISBLANK('Aqueous Species Options'!D153), "", 'Aqueous Species Options'!D153)</f>
        <v>-353025</v>
      </c>
      <c r="E153" s="1">
        <f>IF(ISBLANK('Aqueous Species Options'!E153), "", 'Aqueous Species Options'!E153)</f>
        <v>-385700</v>
      </c>
      <c r="F153" s="139">
        <f>IF(ISBLANK('Aqueous Species Options'!F153), "", 'Aqueous Species Options'!F153)</f>
        <v>-23.78</v>
      </c>
      <c r="G153" s="29">
        <f>IF(ISBLANK('Aqueous Species Options'!B153), "", IF('Aqueous Species Options'!L153 = 1, IF(ISBLANK('Aqueous Species Options'!G153), "", 'Aqueous Species Options'!G153), ('Aqueous Species Table'!I153/10 + ('Aqueous Species Table'!J153*100)/(Calculations!$C$12+Calculations!$C$9) + ('Aqueous Species Table'!K153 + ('Aqueous Species Table'!L153*10000)/(Calculations!$C$12+Calculations!$C$9))*(1/(Calculations!$C$8-Calculations!$C$13)) - 'Aqueous Species Table'!O153*100000*0.0000005903)*41.8393))</f>
        <v>2.5</v>
      </c>
      <c r="H153" s="29">
        <f>IF(ISBLANK('Aqueous Species Options'!B153), "", IF('Aqueous Species Options'!L153 = 1, IF(ISBLANK('Aqueous Species Options'!H153), "", 'Aqueous Species Options'!H153), 'Aqueous Species Table'!M153 + 'Aqueous Species Table'!N153*10000*(1/(Calculations!$C$8-Calculations!$C$13))^2 + 'Aqueous Species Table'!O153*100000*Calculations!$C$8*Calculations!$C$7))</f>
        <v>37.82</v>
      </c>
      <c r="I153" s="42">
        <f>IF(ISBLANK('Aqueous Species Options'!B153), "", IF('Aqueous Species Options'!L153=0, 'Aqueous Species Options'!N153, IF(OR(ISBLANK('Aqueous Species Options'!G153),'Aqueous Species Table'!O153="", 'Aqueous Species Table'!P153=""), "", IF('Aqueous Species Options'!B153="H+", 0, (CHOOSE('Aqueous Species Options'!M153+1,'Aqueous Species Options'!$V$4*ABS('Aqueous Species Table'!P153)+'Aqueous Species Options'!$W$4,'Aqueous Species Options'!$Z$4)*('Aqueous Species Options'!G153 + 'Aqueous Species Table'!O153*100000*0.0000005903*41.8393) + CHOOSE('Aqueous Species Options'!M153+1,'Aqueous Species Options'!$X$4*ABS('Aqueous Species Table'!P153)+'Aqueous Species Options'!$Y$4,'Aqueous Species Options'!$AA$4))*10 ) ) ) )</f>
        <v>2.4432858982043824</v>
      </c>
      <c r="J153" s="42">
        <f>IF(ISBLANK('Aqueous Species Options'!B153), "", IF('Aqueous Species Options'!L153 = 0, 'Aqueous Species Options'!O153, IF('Aqueous Species Table'!I153="", "", IF('Aqueous Species Options'!B153="H+", 0, ((1.11*('Aqueous Species Options'!G153 + 'Aqueous Species Table'!O153*100000*0.0000005903*41.8393)+1.8)/41.8393 - 'Aqueous Species Table'!I153/10)*26.01 ) ) ) )</f>
        <v>-1.9568856979378308</v>
      </c>
      <c r="K153" s="42">
        <f>IF(ISBLANK('Aqueous Species Options'!B153), "", IF('Aqueous Species Options'!L153 = 0, 'Aqueous Species Options'!P153, IF('Aqueous Species Table'!I153="", "", IF('Aqueous Species Options'!B153="H+", 0, ('Aqueous Species Options'!G153/41.8393 + 'Aqueous Species Table'!O153*100000*0.0000005903 - 'Aqueous Species Table'!I153/10 - 'Aqueous Species Table'!J153*100/2601)*(298.15-228) - ('Aqueous Species Table'!L153*10000/2601) ) ) ) )</f>
        <v>6.4789308620904729</v>
      </c>
      <c r="L153" s="42">
        <f>IF(ISBLANK('Aqueous Species Options'!B153), "", IF('Aqueous Species Options'!L153 = 0, 'Aqueous Species Options'!Q153, IF('Aqueous Species Table'!J153="", "", IF('Aqueous Species Options'!B153="H+", 0, (-4.134*'Aqueous Species Table'!J153*100 - 27790)*0.0001) ) ) )</f>
        <v>-2.6981023452472503</v>
      </c>
      <c r="M153" s="42">
        <f>IF(ISBLANK('Aqueous Species Options'!B153), "", IF('Aqueous Species Options'!L153=0, 'Aqueous Species Options'!R153, IF('Aqueous Species Table'!N153="", "", IF('Aqueous Species Options'!B153="H+", 0, 'Aqueous Species Options'!H153 - 'Aqueous Species Table'!O153*100000*(-0.000000309)*298.15 - 'Aqueous Species Table'!N153*10000/(298.15-228)^2 ) ) ) )</f>
        <v>36.731942707632619</v>
      </c>
      <c r="N153" s="42">
        <f>IF(ISBLANK('Aqueous Species Options'!B153), "", IF('Aqueous Species Options'!L153=0, 'Aqueous Species Options'!S153, IF(OR(ISBLANK('Aqueous Species Options'!H153), 'Aqueous Species Table'!O153=""), "", IF('Aqueous Species Options'!B153="H+", 0, 0.2037*'Aqueous Species Options'!H153 - 3.0346) ) ) )</f>
        <v>4.6693339999999992</v>
      </c>
      <c r="O153" s="42">
        <f>IF(ISBLANK('Aqueous Species Options'!B153), "", IF('Aqueous Species Options'!K153=0, 'Aqueous Species Options'!I153, IF(OR('Aqueous Species Options'!J153&gt;4,'Aqueous Species Options'!J153&lt;-4), "", IF('Aqueous Species Options'!B153="H+", 0, IF('Aqueous Species Options'!J153=0, -0.038, IF(ISBLANK('Aqueous Species Options'!F153), "", -1514.4*'Aqueous Species Options'!F153*0.00001 + SUM(({4,3,2,1,-1,-2,-3,-4}='Aqueous Species Options'!J153)*{2.1764,1.5793,1.0579,0.5517,1.6291,3.2127,4.8115,6.486}) ) ) ) ) ) )</f>
        <v>0.91182432000000002</v>
      </c>
      <c r="P153" s="1">
        <f>IF(ISBLANK('Aqueous Species Options'!J153), "", 'Aqueous Species Options'!J153)</f>
        <v>1</v>
      </c>
      <c r="Q153" s="184" t="str">
        <f>IF(ISBLANK('Aqueous Species Options'!T153), "", 'Aqueous Species Options'!T153)</f>
        <v>Sverjensky et al. (1997) with new a1 from the sum of the ions and V predicted from a1 value</v>
      </c>
    </row>
    <row r="154" spans="2:17" ht="15" customHeight="1" x14ac:dyDescent="0.2">
      <c r="B154" s="9" t="str">
        <f>IF(ISBLANK('Aqueous Species Options'!B154), "", 'Aqueous Species Options'!B154)</f>
        <v>Mg(SiO2)(HCO3)+</v>
      </c>
      <c r="C154" s="9" t="str">
        <f>IF(ISBLANK('Aqueous Species Options'!C154), "", 'Aqueous Species Options'!C154)</f>
        <v>MgSiC+</v>
      </c>
      <c r="D154" s="2">
        <f>IF(ISBLANK('Aqueous Species Options'!D154), "", 'Aqueous Species Options'!D154)</f>
        <v>-454300</v>
      </c>
      <c r="E154" s="1">
        <f>IF(ISBLANK('Aqueous Species Options'!E154), "", 'Aqueous Species Options'!E154)</f>
        <v>-479123</v>
      </c>
      <c r="F154" s="139">
        <f>IF(ISBLANK('Aqueous Species Options'!F154), "", 'Aqueous Species Options'!F154)</f>
        <v>48</v>
      </c>
      <c r="G154" s="29">
        <f>IF(ISBLANK('Aqueous Species Options'!B154), "", IF('Aqueous Species Options'!L154 = 1, IF(ISBLANK('Aqueous Species Options'!G154), "", 'Aqueous Species Options'!G154), ('Aqueous Species Table'!I154/10 + ('Aqueous Species Table'!J154*100)/(Calculations!$C$12+Calculations!$C$9) + ('Aqueous Species Table'!K154 + ('Aqueous Species Table'!L154*10000)/(Calculations!$C$12+Calculations!$C$9))*(1/(Calculations!$C$8-Calculations!$C$13)) - 'Aqueous Species Table'!O154*100000*0.0000005903)*41.8393))</f>
        <v>53.5</v>
      </c>
      <c r="H154" s="29">
        <f>IF(ISBLANK('Aqueous Species Options'!B154), "", IF('Aqueous Species Options'!L154 = 1, IF(ISBLANK('Aqueous Species Options'!H154), "", 'Aqueous Species Options'!H154), 'Aqueous Species Table'!M154 + 'Aqueous Species Table'!N154*10000*(1/(Calculations!$C$8-Calculations!$C$13))^2 + 'Aqueous Species Table'!O154*100000*Calculations!$C$8*Calculations!$C$7))</f>
        <v>78.5</v>
      </c>
      <c r="I154" s="42">
        <f>IF(ISBLANK('Aqueous Species Options'!B154), "", IF('Aqueous Species Options'!L154=0, 'Aqueous Species Options'!N154, IF(OR(ISBLANK('Aqueous Species Options'!G154),'Aqueous Species Table'!O154="", 'Aqueous Species Table'!P154=""), "", IF('Aqueous Species Options'!B154="H+", 0, (CHOOSE('Aqueous Species Options'!M154+1,'Aqueous Species Options'!$V$4*ABS('Aqueous Species Table'!P154)+'Aqueous Species Options'!$W$4,'Aqueous Species Options'!$Z$4)*('Aqueous Species Options'!G154 + 'Aqueous Species Table'!O154*100000*0.0000005903*41.8393) + CHOOSE('Aqueous Species Options'!M154+1,'Aqueous Species Options'!$X$4*ABS('Aqueous Species Table'!P154)+'Aqueous Species Options'!$Y$4,'Aqueous Species Options'!$AA$4))*10 ) ) ) )</f>
        <v>11.82659372580347</v>
      </c>
      <c r="J154" s="42">
        <f>IF(ISBLANK('Aqueous Species Options'!B154), "", IF('Aqueous Species Options'!L154 = 0, 'Aqueous Species Options'!O154, IF('Aqueous Species Table'!I154="", "", IF('Aqueous Species Options'!B154="H+", 0, ((1.11*('Aqueous Species Options'!G154 + 'Aqueous Species Table'!O154*100000*0.0000005903*41.8393)+1.8)/41.8393 - 'Aqueous Species Table'!I154/10)*26.01 ) ) ) )</f>
        <v>6.976954177996852</v>
      </c>
      <c r="K154" s="42">
        <f>IF(ISBLANK('Aqueous Species Options'!B154), "", IF('Aqueous Species Options'!L154 = 0, 'Aqueous Species Options'!P154, IF('Aqueous Species Table'!I154="", "", IF('Aqueous Species Options'!B154="H+", 0, ('Aqueous Species Options'!G154/41.8393 + 'Aqueous Species Table'!O154*100000*0.0000005903 - 'Aqueous Species Table'!I154/10 - 'Aqueous Species Table'!J154*100/2601)*(298.15-228) - ('Aqueous Species Table'!L154*10000/2601) ) ) ) )</f>
        <v>-1.0120092101458873</v>
      </c>
      <c r="L154" s="42">
        <f>IF(ISBLANK('Aqueous Species Options'!B154), "", IF('Aqueous Species Options'!L154 = 0, 'Aqueous Species Options'!Q154, IF('Aqueous Species Table'!J154="", "", IF('Aqueous Species Options'!B154="H+", 0, (-4.134*'Aqueous Species Table'!J154*100 - 27790)*0.0001) ) ) )</f>
        <v>-3.0674272857183902</v>
      </c>
      <c r="M154" s="42">
        <f>IF(ISBLANK('Aqueous Species Options'!B154), "", IF('Aqueous Species Options'!L154=0, 'Aqueous Species Options'!R154, IF('Aqueous Species Table'!N154="", "", IF('Aqueous Species Options'!B154="H+", 0, 'Aqueous Species Options'!H154 - 'Aqueous Species Table'!O154*100000*(-0.000000309)*298.15 - 'Aqueous Species Table'!N154*10000/(298.15-228)^2 ) ) ) )</f>
        <v>50.558243828564578</v>
      </c>
      <c r="N154" s="42">
        <f>IF(ISBLANK('Aqueous Species Options'!B154), "", IF('Aqueous Species Options'!L154=0, 'Aqueous Species Options'!S154, IF(OR(ISBLANK('Aqueous Species Options'!H154), 'Aqueous Species Table'!O154=""), "", IF('Aqueous Species Options'!B154="H+", 0, 0.2037*'Aqueous Species Options'!H154 - 3.0346) ) ) )</f>
        <v>12.955849999999998</v>
      </c>
      <c r="O154" s="42">
        <f>IF(ISBLANK('Aqueous Species Options'!B154), "", IF('Aqueous Species Options'!K154=0, 'Aqueous Species Options'!I154, IF(OR('Aqueous Species Options'!J154&gt;4,'Aqueous Species Options'!J154&lt;-4), "", IF('Aqueous Species Options'!B154="H+", 0, IF('Aqueous Species Options'!J154=0, -0.038, IF(ISBLANK('Aqueous Species Options'!F154), "", -1514.4*'Aqueous Species Options'!F154*0.00001 + SUM(({4,3,2,1,-1,-2,-3,-4}='Aqueous Species Options'!J154)*{2.1764,1.5793,1.0579,0.5517,1.6291,3.2127,4.8115,6.486}) ) ) ) ) ) )</f>
        <v>-0.17521200000000026</v>
      </c>
      <c r="P154" s="1">
        <f>IF(ISBLANK('Aqueous Species Options'!J154), "", 'Aqueous Species Options'!J154)</f>
        <v>1</v>
      </c>
      <c r="Q154" s="184" t="str">
        <f>IF(ISBLANK('Aqueous Species Options'!T154), "", 'Aqueous Species Options'!T154)</f>
        <v>Huang &amp; Sverjensky (2019)</v>
      </c>
    </row>
    <row r="155" spans="2:17" ht="15" customHeight="1" x14ac:dyDescent="0.2">
      <c r="B155" s="9" t="str">
        <f>IF(ISBLANK('Aqueous Species Options'!B155), "", 'Aqueous Species Options'!B155)</f>
        <v>Mg+2</v>
      </c>
      <c r="C155" s="9" t="str">
        <f>IF(ISBLANK('Aqueous Species Options'!C155), "", 'Aqueous Species Options'!C155)</f>
        <v>Mg(+2)</v>
      </c>
      <c r="D155" s="2">
        <f>IF(ISBLANK('Aqueous Species Options'!D155), "", 'Aqueous Species Options'!D155)</f>
        <v>-108505</v>
      </c>
      <c r="E155" s="1">
        <f>IF(ISBLANK('Aqueous Species Options'!E155), "", 'Aqueous Species Options'!E155)</f>
        <v>-111367</v>
      </c>
      <c r="F155" s="139">
        <f>IF(ISBLANK('Aqueous Species Options'!F155), "", 'Aqueous Species Options'!F155)</f>
        <v>-33</v>
      </c>
      <c r="G155" s="29">
        <f>IF(ISBLANK('Aqueous Species Options'!B155), "", IF('Aqueous Species Options'!L155 = 1, IF(ISBLANK('Aqueous Species Options'!G155), "", 'Aqueous Species Options'!G155), ('Aqueous Species Table'!I155/10 + ('Aqueous Species Table'!J155*100)/(Calculations!$C$12+Calculations!$C$9) + ('Aqueous Species Table'!K155 + ('Aqueous Species Table'!L155*10000)/(Calculations!$C$12+Calculations!$C$9))*(1/(Calculations!$C$8-Calculations!$C$13)) - 'Aqueous Species Table'!O155*100000*0.0000005903)*41.8393))</f>
        <v>-21.543104970647136</v>
      </c>
      <c r="H155" s="29">
        <f>IF(ISBLANK('Aqueous Species Options'!B155), "", IF('Aqueous Species Options'!L155 = 1, IF(ISBLANK('Aqueous Species Options'!H155), "", 'Aqueous Species Options'!H155), 'Aqueous Species Table'!M155 + 'Aqueous Species Table'!N155*10000*(1/(Calculations!$C$8-Calculations!$C$13))^2 + 'Aqueous Species Table'!O155*100000*Calculations!$C$8*Calculations!$C$7))</f>
        <v>-5.3350914017007991</v>
      </c>
      <c r="I155" s="42">
        <f>IF(ISBLANK('Aqueous Species Options'!B155), "", IF('Aqueous Species Options'!L155=0, 'Aqueous Species Options'!N155, IF(OR(ISBLANK('Aqueous Species Options'!G155),'Aqueous Species Table'!O155="", 'Aqueous Species Table'!P155=""), "", IF('Aqueous Species Options'!B155="H+", 0, (CHOOSE('Aqueous Species Options'!M155+1,'Aqueous Species Options'!$V$4*ABS('Aqueous Species Table'!P155)+'Aqueous Species Options'!$W$4,'Aqueous Species Options'!$Z$4)*('Aqueous Species Options'!G155 + 'Aqueous Species Table'!O155*100000*0.0000005903*41.8393) + CHOOSE('Aqueous Species Options'!M155+1,'Aqueous Species Options'!$X$4*ABS('Aqueous Species Table'!P155)+'Aqueous Species Options'!$Y$4,'Aqueous Species Options'!$AA$4))*10 ) ) ) )</f>
        <v>-0.82169999999999999</v>
      </c>
      <c r="J155" s="42">
        <f>IF(ISBLANK('Aqueous Species Options'!B155), "", IF('Aqueous Species Options'!L155 = 0, 'Aqueous Species Options'!O155, IF('Aqueous Species Table'!I155="", "", IF('Aqueous Species Options'!B155="H+", 0, ((1.11*('Aqueous Species Options'!G155 + 'Aqueous Species Table'!O155*100000*0.0000005903*41.8393)+1.8)/41.8393 - 'Aqueous Species Table'!I155/10)*26.01 ) ) ) )</f>
        <v>-8.5990000000000002</v>
      </c>
      <c r="K155" s="42">
        <f>IF(ISBLANK('Aqueous Species Options'!B155), "", IF('Aqueous Species Options'!L155 = 0, 'Aqueous Species Options'!P155, IF('Aqueous Species Table'!I155="", "", IF('Aqueous Species Options'!B155="H+", 0, ('Aqueous Species Options'!G155/41.8393 + 'Aqueous Species Table'!O155*100000*0.0000005903 - 'Aqueous Species Table'!I155/10 - 'Aqueous Species Table'!J155*100/2601)*(298.15-228) - ('Aqueous Species Table'!L155*10000/2601) ) ) ) )</f>
        <v>8.39</v>
      </c>
      <c r="L155" s="42">
        <f>IF(ISBLANK('Aqueous Species Options'!B155), "", IF('Aqueous Species Options'!L155 = 0, 'Aqueous Species Options'!Q155, IF('Aqueous Species Table'!J155="", "", IF('Aqueous Species Options'!B155="H+", 0, (-4.134*'Aqueous Species Table'!J155*100 - 27790)*0.0001) ) ) )</f>
        <v>-2.39</v>
      </c>
      <c r="M155" s="42">
        <f>IF(ISBLANK('Aqueous Species Options'!B155), "", IF('Aqueous Species Options'!L155=0, 'Aqueous Species Options'!R155, IF('Aqueous Species Table'!N155="", "", IF('Aqueous Species Options'!B155="H+", 0, 'Aqueous Species Options'!H155 - 'Aqueous Species Table'!O155*100000*(-0.000000309)*298.15 - 'Aqueous Species Table'!N155*10000/(298.15-228)^2 ) ) ) )</f>
        <v>20.8</v>
      </c>
      <c r="N155" s="42">
        <f>IF(ISBLANK('Aqueous Species Options'!B155), "", IF('Aqueous Species Options'!L155=0, 'Aqueous Species Options'!S155, IF(OR(ISBLANK('Aqueous Species Options'!H155), 'Aqueous Species Table'!O155=""), "", IF('Aqueous Species Options'!B155="H+", 0, 0.2037*'Aqueous Species Options'!H155 - 3.0346) ) ) )</f>
        <v>-5.8920000000000003</v>
      </c>
      <c r="O155" s="42">
        <f>IF(ISBLANK('Aqueous Species Options'!B155), "", IF('Aqueous Species Options'!K155=0, 'Aqueous Species Options'!I155, IF(OR('Aqueous Species Options'!J155&gt;4,'Aqueous Species Options'!J155&lt;-4), "", IF('Aqueous Species Options'!B155="H+", 0, IF('Aqueous Species Options'!J155=0, -0.038, IF(ISBLANK('Aqueous Species Options'!F155), "", -1514.4*'Aqueous Species Options'!F155*0.00001 + SUM(({4,3,2,1,-1,-2,-3,-4}='Aqueous Species Options'!J155)*{2.1764,1.5793,1.0579,0.5517,1.6291,3.2127,4.8115,6.486}) ) ) ) ) ) )</f>
        <v>1.5371999999999999</v>
      </c>
      <c r="P155" s="1">
        <f>IF(ISBLANK('Aqueous Species Options'!J155), "", 'Aqueous Species Options'!J155)</f>
        <v>2</v>
      </c>
      <c r="Q155" s="184" t="str">
        <f>IF(ISBLANK('Aqueous Species Options'!T155), "", 'Aqueous Species Options'!T155)</f>
        <v>Shock &amp; Helgeson (1988)</v>
      </c>
    </row>
    <row r="156" spans="2:17" ht="15" customHeight="1" x14ac:dyDescent="0.2">
      <c r="B156" s="9" t="str">
        <f>IF(ISBLANK('Aqueous Species Options'!B156), "", 'Aqueous Species Options'!B156)</f>
        <v>MgCl+</v>
      </c>
      <c r="C156" s="9" t="str">
        <f>IF(ISBLANK('Aqueous Species Options'!C156), "", 'Aqueous Species Options'!C156)</f>
        <v>MgCl(+)</v>
      </c>
      <c r="D156" s="2">
        <f>IF(ISBLANK('Aqueous Species Options'!D156), "", 'Aqueous Species Options'!D156)</f>
        <v>-139700</v>
      </c>
      <c r="E156" s="1">
        <f>IF(ISBLANK('Aqueous Species Options'!E156), "", 'Aqueous Species Options'!E156)</f>
        <v>-150933</v>
      </c>
      <c r="F156" s="139">
        <f>IF(ISBLANK('Aqueous Species Options'!F156), "", 'Aqueous Species Options'!F156)</f>
        <v>-19</v>
      </c>
      <c r="G156" s="29">
        <f>IF(ISBLANK('Aqueous Species Options'!B156), "", IF('Aqueous Species Options'!L156 = 1, IF(ISBLANK('Aqueous Species Options'!G156), "", 'Aqueous Species Options'!G156), ('Aqueous Species Table'!I156/10 + ('Aqueous Species Table'!J156*100)/(Calculations!$C$12+Calculations!$C$9) + ('Aqueous Species Table'!K156 + ('Aqueous Species Table'!L156*10000)/(Calculations!$C$12+Calculations!$C$9))*(1/(Calculations!$C$8-Calculations!$C$13)) - 'Aqueous Species Table'!O156*100000*0.0000005903)*41.8393))</f>
        <v>1.2529488954191981</v>
      </c>
      <c r="H156" s="29">
        <f>IF(ISBLANK('Aqueous Species Options'!B156), "", IF('Aqueous Species Options'!L156 = 1, IF(ISBLANK('Aqueous Species Options'!H156), "", 'Aqueous Species Options'!H156), 'Aqueous Species Table'!M156 + 'Aqueous Species Table'!N156*10000*(1/(Calculations!$C$8-Calculations!$C$13))^2 + 'Aqueous Species Table'!O156*100000*Calculations!$C$8*Calculations!$C$7))</f>
        <v>24.998133400778386</v>
      </c>
      <c r="I156" s="42">
        <f>IF(ISBLANK('Aqueous Species Options'!B156), "", IF('Aqueous Species Options'!L156=0, 'Aqueous Species Options'!N156, IF(OR(ISBLANK('Aqueous Species Options'!G156),'Aqueous Species Table'!O156="", 'Aqueous Species Table'!P156=""), "", IF('Aqueous Species Options'!B156="H+", 0, (CHOOSE('Aqueous Species Options'!M156+1,'Aqueous Species Options'!$V$4*ABS('Aqueous Species Table'!P156)+'Aqueous Species Options'!$W$4,'Aqueous Species Options'!$Z$4)*('Aqueous Species Options'!G156 + 'Aqueous Species Table'!O156*100000*0.0000005903*41.8393) + CHOOSE('Aqueous Species Options'!M156+1,'Aqueous Species Options'!$X$4*ABS('Aqueous Species Table'!P156)+'Aqueous Species Options'!$Y$4,'Aqueous Species Options'!$AA$4))*10 ) ) ) )</f>
        <v>3.21</v>
      </c>
      <c r="J156" s="42">
        <f>IF(ISBLANK('Aqueous Species Options'!B156), "", IF('Aqueous Species Options'!L156 = 0, 'Aqueous Species Options'!O156, IF('Aqueous Species Table'!I156="", "", IF('Aqueous Species Options'!B156="H+", 0, ((1.11*('Aqueous Species Options'!G156 + 'Aqueous Species Table'!O156*100000*0.0000005903*41.8393)+1.8)/41.8393 - 'Aqueous Species Table'!I156/10)*26.01 ) ) ) )</f>
        <v>-4.92</v>
      </c>
      <c r="K156" s="42">
        <f>IF(ISBLANK('Aqueous Species Options'!B156), "", IF('Aqueous Species Options'!L156 = 0, 'Aqueous Species Options'!P156, IF('Aqueous Species Table'!I156="", "", IF('Aqueous Species Options'!B156="H+", 0, ('Aqueous Species Options'!G156/41.8393 + 'Aqueous Species Table'!O156*100000*0.0000005903 - 'Aqueous Species Table'!I156/10 - 'Aqueous Species Table'!J156*100/2601)*(298.15-228) - ('Aqueous Species Table'!L156*10000/2601) ) ) ) )</f>
        <v>6.27</v>
      </c>
      <c r="L156" s="42">
        <f>IF(ISBLANK('Aqueous Species Options'!B156), "", IF('Aqueous Species Options'!L156 = 0, 'Aqueous Species Options'!Q156, IF('Aqueous Species Table'!J156="", "", IF('Aqueous Species Options'!B156="H+", 0, (-4.134*'Aqueous Species Table'!J156*100 - 27790)*0.0001) ) ) )</f>
        <v>-2.58</v>
      </c>
      <c r="M156" s="42">
        <f>IF(ISBLANK('Aqueous Species Options'!B156), "", IF('Aqueous Species Options'!L156=0, 'Aqueous Species Options'!R156, IF('Aqueous Species Table'!N156="", "", IF('Aqueous Species Options'!B156="H+", 0, 'Aqueous Species Options'!H156 - 'Aqueous Species Table'!O156*100000*(-0.000000309)*298.15 - 'Aqueous Species Table'!N156*10000/(298.15-228)^2 ) ) ) )</f>
        <v>28.6</v>
      </c>
      <c r="N156" s="42">
        <f>IF(ISBLANK('Aqueous Species Options'!B156), "", IF('Aqueous Species Options'!L156=0, 'Aqueous Species Options'!S156, IF(OR(ISBLANK('Aqueous Species Options'!H156), 'Aqueous Species Table'!O156=""), "", IF('Aqueous Species Options'!B156="H+", 0, 0.2037*'Aqueous Species Options'!H156 - 3.0346) ) ) )</f>
        <v>2.0579999999999998</v>
      </c>
      <c r="O156" s="42">
        <f>IF(ISBLANK('Aqueous Species Options'!B156), "", IF('Aqueous Species Options'!K156=0, 'Aqueous Species Options'!I156, IF(OR('Aqueous Species Options'!J156&gt;4,'Aqueous Species Options'!J156&lt;-4), "", IF('Aqueous Species Options'!B156="H+", 0, IF('Aqueous Species Options'!J156=0, -0.038, IF(ISBLANK('Aqueous Species Options'!F156), "", -1514.4*'Aqueous Species Options'!F156*0.00001 + SUM(({4,3,2,1,-1,-2,-3,-4}='Aqueous Species Options'!J156)*{2.1764,1.5793,1.0579,0.5517,1.6291,3.2127,4.8115,6.486}) ) ) ) ) ) )</f>
        <v>0.84489999999999998</v>
      </c>
      <c r="P156" s="1">
        <f>IF(ISBLANK('Aqueous Species Options'!J156), "", 'Aqueous Species Options'!J156)</f>
        <v>1</v>
      </c>
      <c r="Q156" s="184" t="str">
        <f>IF(ISBLANK('Aqueous Species Options'!T156), "", 'Aqueous Species Options'!T156)</f>
        <v>Sverjensky et al. (1997) revised V increased so that a1 of the complex is the sum of the a1 values of the ions</v>
      </c>
    </row>
    <row r="157" spans="2:17" ht="15" customHeight="1" x14ac:dyDescent="0.2">
      <c r="B157" s="9" t="str">
        <f>IF(ISBLANK('Aqueous Species Options'!B157), "", 'Aqueous Species Options'!B157)</f>
        <v>MgCO3,aq</v>
      </c>
      <c r="C157" s="9" t="str">
        <f>IF(ISBLANK('Aqueous Species Options'!C157), "", 'Aqueous Species Options'!C157)</f>
        <v>MgCO3(0)</v>
      </c>
      <c r="D157" s="2">
        <f>IF(ISBLANK('Aqueous Species Options'!D157), "", 'Aqueous Species Options'!D157)</f>
        <v>-238760</v>
      </c>
      <c r="E157" s="1">
        <f>IF(ISBLANK('Aqueous Species Options'!E157), "", 'Aqueous Species Options'!E157)</f>
        <v>-270570</v>
      </c>
      <c r="F157" s="139">
        <f>IF(ISBLANK('Aqueous Species Options'!F157), "", 'Aqueous Species Options'!F157)</f>
        <v>-24</v>
      </c>
      <c r="G157" s="29">
        <f>IF(ISBLANK('Aqueous Species Options'!B157), "", IF('Aqueous Species Options'!L157 = 1, IF(ISBLANK('Aqueous Species Options'!G157), "", 'Aqueous Species Options'!G157), ('Aqueous Species Table'!I157/10 + ('Aqueous Species Table'!J157*100)/(Calculations!$C$12+Calculations!$C$9) + ('Aqueous Species Table'!K157 + ('Aqueous Species Table'!L157*10000)/(Calculations!$C$12+Calculations!$C$9))*(1/(Calculations!$C$8-Calculations!$C$13)) - 'Aqueous Species Table'!O157*100000*0.0000005903)*41.8393))</f>
        <v>17.899999999999999</v>
      </c>
      <c r="H157" s="29">
        <f>IF(ISBLANK('Aqueous Species Options'!B157), "", IF('Aqueous Species Options'!L157 = 1, IF(ISBLANK('Aqueous Species Options'!H157), "", 'Aqueous Species Options'!H157), 'Aqueous Species Table'!M157 + 'Aqueous Species Table'!N157*10000*(1/(Calculations!$C$8-Calculations!$C$13))^2 + 'Aqueous Species Table'!O157*100000*Calculations!$C$8*Calculations!$C$7))</f>
        <v>-24.8</v>
      </c>
      <c r="I157" s="42">
        <f>IF(ISBLANK('Aqueous Species Options'!B157), "", IF('Aqueous Species Options'!L157=0, 'Aqueous Species Options'!N157, IF(OR(ISBLANK('Aqueous Species Options'!G157),'Aqueous Species Table'!O157="", 'Aqueous Species Table'!P157=""), "", IF('Aqueous Species Options'!B157="H+", 0, (CHOOSE('Aqueous Species Options'!M157+1,'Aqueous Species Options'!$V$4*ABS('Aqueous Species Table'!P157)+'Aqueous Species Options'!$W$4,'Aqueous Species Options'!$Z$4)*('Aqueous Species Options'!G157 + 'Aqueous Species Table'!O157*100000*0.0000005903*41.8393) + CHOOSE('Aqueous Species Options'!M157+1,'Aqueous Species Options'!$X$4*ABS('Aqueous Species Table'!P157)+'Aqueous Species Options'!$Y$4,'Aqueous Species Options'!$AA$4))*10 ) ) ) )</f>
        <v>5.1406554355121763</v>
      </c>
      <c r="J157" s="42">
        <f>IF(ISBLANK('Aqueous Species Options'!B157), "", IF('Aqueous Species Options'!L157 = 0, 'Aqueous Species Options'!O157, IF('Aqueous Species Table'!I157="", "", IF('Aqueous Species Options'!B157="H+", 0, ((1.11*('Aqueous Species Options'!G157 + 'Aqueous Species Table'!O157*100000*0.0000005903*41.8393)+1.8)/41.8393 - 'Aqueous Species Table'!I157/10)*26.01 ) ) ) )</f>
        <v>0.61127768061540655</v>
      </c>
      <c r="K157" s="42">
        <f>IF(ISBLANK('Aqueous Species Options'!B157), "", IF('Aqueous Species Options'!L157 = 0, 'Aqueous Species Options'!P157, IF('Aqueous Species Table'!I157="", "", IF('Aqueous Species Options'!B157="H+", 0, ('Aqueous Species Options'!G157/41.8393 + 'Aqueous Species Table'!O157*100000*0.0000005903 - 'Aqueous Species Table'!I157/10 - 'Aqueous Species Table'!J157*100/2601)*(298.15-228) - ('Aqueous Species Table'!L157*10000/2601) ) ) ) )</f>
        <v>4.3255502070066338</v>
      </c>
      <c r="L157" s="42">
        <f>IF(ISBLANK('Aqueous Species Options'!B157), "", IF('Aqueous Species Options'!L157 = 0, 'Aqueous Species Options'!Q157, IF('Aqueous Species Table'!J157="", "", IF('Aqueous Species Options'!B157="H+", 0, (-4.134*'Aqueous Species Table'!J157*100 - 27790)*0.0001) ) ) )</f>
        <v>-2.8042702193166411</v>
      </c>
      <c r="M157" s="42">
        <f>IF(ISBLANK('Aqueous Species Options'!B157), "", IF('Aqueous Species Options'!L157=0, 'Aqueous Species Options'!R157, IF('Aqueous Species Table'!N157="", "", IF('Aqueous Species Options'!B157="H+", 0, 'Aqueous Species Options'!H157 - 'Aqueous Species Table'!O157*100000*(-0.000000309)*298.15 - 'Aqueous Species Table'!N157*10000/(298.15-228)^2 ) ) ) )</f>
        <v>-5.6038734841922988</v>
      </c>
      <c r="N157" s="42">
        <f>IF(ISBLANK('Aqueous Species Options'!B157), "", IF('Aqueous Species Options'!L157=0, 'Aqueous Species Options'!S157, IF(OR(ISBLANK('Aqueous Species Options'!H157), 'Aqueous Species Table'!O157=""), "", IF('Aqueous Species Options'!B157="H+", 0, 0.2037*'Aqueous Species Options'!H157 - 3.0346) ) ) )</f>
        <v>-8.0863599999999991</v>
      </c>
      <c r="O157" s="42">
        <f>IF(ISBLANK('Aqueous Species Options'!B157), "", IF('Aqueous Species Options'!K157=0, 'Aqueous Species Options'!I157, IF(OR('Aqueous Species Options'!J157&gt;4,'Aqueous Species Options'!J157&lt;-4), "", IF('Aqueous Species Options'!B157="H+", 0, IF('Aqueous Species Options'!J157=0, -0.038, IF(ISBLANK('Aqueous Species Options'!F157), "", -1514.4*'Aqueous Species Options'!F157*0.00001 + SUM(({4,3,2,1,-1,-2,-3,-4}='Aqueous Species Options'!J157)*{2.1764,1.5793,1.0579,0.5517,1.6291,3.2127,4.8115,6.486}) ) ) ) ) ) )</f>
        <v>0.3</v>
      </c>
      <c r="P157" s="1">
        <f>IF(ISBLANK('Aqueous Species Options'!J157), "", 'Aqueous Species Options'!J157)</f>
        <v>0</v>
      </c>
      <c r="Q157" s="184" t="str">
        <f>IF(ISBLANK('Aqueous Species Options'!T157), "", 'Aqueous Species Options'!T157)</f>
        <v>Sverjensky et al. (1997) revised volume increased in order that a1 of the complex is the sum of the a1 values of the ions; and Cp revised using isocoulombic reln with CaCO3,aq; also omega is set to +0.3 as for all neutral metal complexes.</v>
      </c>
    </row>
    <row r="158" spans="2:17" ht="15" customHeight="1" x14ac:dyDescent="0.2">
      <c r="B158" s="9" t="str">
        <f>IF(ISBLANK('Aqueous Species Options'!B158), "", 'Aqueous Species Options'!B158)</f>
        <v>MgO,aq</v>
      </c>
      <c r="C158" s="9" t="str">
        <f>IF(ISBLANK('Aqueous Species Options'!C158), "", 'Aqueous Species Options'!C158)</f>
        <v>MgO,aq</v>
      </c>
      <c r="D158" s="2">
        <f>IF(ISBLANK('Aqueous Species Options'!D158), "", 'Aqueous Species Options'!D158)</f>
        <v>-137500</v>
      </c>
      <c r="E158" s="1">
        <f>IF(ISBLANK('Aqueous Species Options'!E158), "", 'Aqueous Species Options'!E158)</f>
        <v>-139804</v>
      </c>
      <c r="F158" s="139">
        <f>IF(ISBLANK('Aqueous Species Options'!F158), "", 'Aqueous Species Options'!F158)</f>
        <v>24.6</v>
      </c>
      <c r="G158" s="29">
        <f>IF(ISBLANK('Aqueous Species Options'!B158), "", IF('Aqueous Species Options'!L158 = 1, IF(ISBLANK('Aqueous Species Options'!G158), "", 'Aqueous Species Options'!G158), ('Aqueous Species Table'!I158/10 + ('Aqueous Species Table'!J158*100)/(Calculations!$C$12+Calculations!$C$9) + ('Aqueous Species Table'!K158 + ('Aqueous Species Table'!L158*10000)/(Calculations!$C$12+Calculations!$C$9))*(1/(Calculations!$C$8-Calculations!$C$13)) - 'Aqueous Species Table'!O158*100000*0.0000005903)*41.8393))</f>
        <v>6.2</v>
      </c>
      <c r="H158" s="29">
        <f>IF(ISBLANK('Aqueous Species Options'!B158), "", IF('Aqueous Species Options'!L158 = 1, IF(ISBLANK('Aqueous Species Options'!H158), "", 'Aqueous Species Options'!H158), 'Aqueous Species Table'!M158 + 'Aqueous Species Table'!N158*10000*(1/(Calculations!$C$8-Calculations!$C$13))^2 + 'Aqueous Species Table'!O158*100000*Calculations!$C$8*Calculations!$C$7))</f>
        <v>-24.5</v>
      </c>
      <c r="I158" s="42">
        <f>IF(ISBLANK('Aqueous Species Options'!B158), "", IF('Aqueous Species Options'!L158=0, 'Aqueous Species Options'!N158, IF(OR(ISBLANK('Aqueous Species Options'!G158),'Aqueous Species Table'!O158="", 'Aqueous Species Table'!P158=""), "", IF('Aqueous Species Options'!B158="H+", 0, (CHOOSE('Aqueous Species Options'!M158+1,'Aqueous Species Options'!$V$4*ABS('Aqueous Species Table'!P158)+'Aqueous Species Options'!$W$4,'Aqueous Species Options'!$Z$4)*('Aqueous Species Options'!G158 + 'Aqueous Species Table'!O158*100000*0.0000005903*41.8393) + CHOOSE('Aqueous Species Options'!M158+1,'Aqueous Species Options'!$X$4*ABS('Aqueous Species Table'!P158)+'Aqueous Species Options'!$Y$4,'Aqueous Species Options'!$AA$4))*10 ) ) ) )</f>
        <v>2.8683984355121774</v>
      </c>
      <c r="J158" s="42">
        <f>IF(ISBLANK('Aqueous Species Options'!B158), "", IF('Aqueous Species Options'!L158 = 0, 'Aqueous Species Options'!O158, IF('Aqueous Species Table'!I158="", "", IF('Aqueous Species Options'!B158="H+", 0, ((1.11*('Aqueous Species Options'!G158 + 'Aqueous Species Table'!O158*100000*0.0000005903*41.8393)+1.8)/41.8393 - 'Aqueous Species Table'!I158/10)*26.01 ) ) ) )</f>
        <v>-1.5521363912605586</v>
      </c>
      <c r="K158" s="42">
        <f>IF(ISBLANK('Aqueous Species Options'!B158), "", IF('Aqueous Species Options'!L158 = 0, 'Aqueous Species Options'!P158, IF('Aqueous Species Table'!I158="", "", IF('Aqueous Species Options'!B158="H+", 0, ('Aqueous Species Options'!G158/41.8393 + 'Aqueous Species Table'!O158*100000*0.0000005903 - 'Aqueous Species Table'!I158/10 - 'Aqueous Species Table'!J158*100/2601)*(298.15-228) - ('Aqueous Species Table'!L158*10000/2601) ) ) ) )</f>
        <v>6.1395524041481133</v>
      </c>
      <c r="L158" s="42">
        <f>IF(ISBLANK('Aqueous Species Options'!B158), "", IF('Aqueous Species Options'!L158 = 0, 'Aqueous Species Options'!Q158, IF('Aqueous Species Table'!J158="", "", IF('Aqueous Species Options'!B158="H+", 0, (-4.134*'Aqueous Species Table'!J158*100 - 27790)*0.0001) ) ) )</f>
        <v>-2.7148346815852884</v>
      </c>
      <c r="M158" s="42">
        <f>IF(ISBLANK('Aqueous Species Options'!B158), "", IF('Aqueous Species Options'!L158=0, 'Aqueous Species Options'!R158, IF('Aqueous Species Table'!N158="", "", IF('Aqueous Species Options'!B158="H+", 0, 'Aqueous Species Options'!H158 - 'Aqueous Species Table'!O158*100000*(-0.000000309)*298.15 - 'Aqueous Species Table'!N158*10000/(298.15-228)^2 ) ) ) )</f>
        <v>-5.4280549932181152</v>
      </c>
      <c r="N158" s="42">
        <f>IF(ISBLANK('Aqueous Species Options'!B158), "", IF('Aqueous Species Options'!L158=0, 'Aqueous Species Options'!S158, IF(OR(ISBLANK('Aqueous Species Options'!H158), 'Aqueous Species Table'!O158=""), "", IF('Aqueous Species Options'!B158="H+", 0, 0.2037*'Aqueous Species Options'!H158 - 3.0346) ) ) )</f>
        <v>-8.0252499999999998</v>
      </c>
      <c r="O158" s="42">
        <f>IF(ISBLANK('Aqueous Species Options'!B158), "", IF('Aqueous Species Options'!K158=0, 'Aqueous Species Options'!I158, IF(OR('Aqueous Species Options'!J158&gt;4,'Aqueous Species Options'!J158&lt;-4), "", IF('Aqueous Species Options'!B158="H+", 0, IF('Aqueous Species Options'!J158=0, -0.038, IF(ISBLANK('Aqueous Species Options'!F158), "", -1514.4*'Aqueous Species Options'!F158*0.00001 + SUM(({4,3,2,1,-1,-2,-3,-4}='Aqueous Species Options'!J158)*{2.1764,1.5793,1.0579,0.5517,1.6291,3.2127,4.8115,6.486}) ) ) ) ) ) )</f>
        <v>0.3</v>
      </c>
      <c r="P158" s="1">
        <f>IF(ISBLANK('Aqueous Species Options'!J158), "", 'Aqueous Species Options'!J158)</f>
        <v>0</v>
      </c>
      <c r="Q158" s="184" t="str">
        <f>IF(ISBLANK('Aqueous Species Options'!T158), "", 'Aqueous Species Options'!T158)</f>
        <v>Huang &amp; Sverjensky (2019)</v>
      </c>
    </row>
    <row r="159" spans="2:17" ht="15" customHeight="1" x14ac:dyDescent="0.2">
      <c r="B159" s="9" t="str">
        <f>IF(ISBLANK('Aqueous Species Options'!B159), "", 'Aqueous Species Options'!B159)</f>
        <v>MgOH+</v>
      </c>
      <c r="C159" s="9" t="str">
        <f>IF(ISBLANK('Aqueous Species Options'!C159), "", 'Aqueous Species Options'!C159)</f>
        <v>MgOH(+)</v>
      </c>
      <c r="D159" s="2">
        <f>IF(ISBLANK('Aqueous Species Options'!D159), "", 'Aqueous Species Options'!D159)</f>
        <v>-149225</v>
      </c>
      <c r="E159" s="1">
        <f>IF(ISBLANK('Aqueous Species Options'!E159), "", 'Aqueous Species Options'!E159)</f>
        <v>-152955</v>
      </c>
      <c r="F159" s="139">
        <f>IF(ISBLANK('Aqueous Species Options'!F159), "", 'Aqueous Species Options'!F159)</f>
        <v>-18</v>
      </c>
      <c r="G159" s="29">
        <f>IF(ISBLANK('Aqueous Species Options'!B159), "", IF('Aqueous Species Options'!L159 = 1, IF(ISBLANK('Aqueous Species Options'!G159), "", 'Aqueous Species Options'!G159), ('Aqueous Species Table'!I159/10 + ('Aqueous Species Table'!J159*100)/(Calculations!$C$12+Calculations!$C$9) + ('Aqueous Species Table'!K159 + ('Aqueous Species Table'!L159*10000)/(Calculations!$C$12+Calculations!$C$9))*(1/(Calculations!$C$8-Calculations!$C$13)) - 'Aqueous Species Table'!O159*100000*0.0000005903)*41.8393))</f>
        <v>2</v>
      </c>
      <c r="H159" s="29">
        <f>IF(ISBLANK('Aqueous Species Options'!B159), "", IF('Aqueous Species Options'!L159 = 1, IF(ISBLANK('Aqueous Species Options'!H159), "", 'Aqueous Species Options'!H159), 'Aqueous Species Table'!M159 + 'Aqueous Species Table'!N159*10000*(1/(Calculations!$C$8-Calculations!$C$13))^2 + 'Aqueous Species Table'!O159*100000*Calculations!$C$8*Calculations!$C$7))</f>
        <v>40</v>
      </c>
      <c r="I159" s="42">
        <f>IF(ISBLANK('Aqueous Species Options'!B159), "", IF('Aqueous Species Options'!L159=0, 'Aqueous Species Options'!N159, IF(OR(ISBLANK('Aqueous Species Options'!G159),'Aqueous Species Table'!O159="", 'Aqueous Species Table'!P159=""), "", IF('Aqueous Species Options'!B159="H+", 0, (CHOOSE('Aqueous Species Options'!M159+1,'Aqueous Species Options'!$V$4*ABS('Aqueous Species Table'!P159)+'Aqueous Species Options'!$W$4,'Aqueous Species Options'!$Z$4)*('Aqueous Species Options'!G159 + 'Aqueous Species Table'!O159*100000*0.0000005903*41.8393) + CHOOSE('Aqueous Species Options'!M159+1,'Aqueous Species Options'!$X$4*ABS('Aqueous Species Table'!P159)+'Aqueous Species Options'!$Y$4,'Aqueous Species Options'!$AA$4))*10 ) ) ) )</f>
        <v>2.3140803278807947</v>
      </c>
      <c r="J159" s="42">
        <f>IF(ISBLANK('Aqueous Species Options'!B159), "", IF('Aqueous Species Options'!L159 = 0, 'Aqueous Species Options'!O159, IF('Aqueous Species Table'!I159="", "", IF('Aqueous Species Options'!B159="H+", 0, ((1.11*('Aqueous Species Options'!G159 + 'Aqueous Species Table'!O159*100000*0.0000005903*41.8393)+1.8)/41.8393 - 'Aqueous Species Table'!I159/10)*26.01 ) ) ) )</f>
        <v>-2.079902218077414</v>
      </c>
      <c r="K159" s="42">
        <f>IF(ISBLANK('Aqueous Species Options'!B159), "", IF('Aqueous Species Options'!L159 = 0, 'Aqueous Species Options'!P159, IF('Aqueous Species Table'!I159="", "", IF('Aqueous Species Options'!B159="H+", 0, ('Aqueous Species Options'!G159/41.8393 + 'Aqueous Species Table'!O159*100000*0.0000005903 - 'Aqueous Species Table'!I159/10 - 'Aqueous Species Table'!J159*100/2601)*(298.15-228) - ('Aqueous Species Table'!L159*10000/2601) ) ) ) )</f>
        <v>6.5820790484311473</v>
      </c>
      <c r="L159" s="42">
        <f>IF(ISBLANK('Aqueous Species Options'!B159), "", IF('Aqueous Species Options'!L159 = 0, 'Aqueous Species Options'!Q159, IF('Aqueous Species Table'!J159="", "", IF('Aqueous Species Options'!B159="H+", 0, (-4.134*'Aqueous Species Table'!J159*100 - 27790)*0.0001) ) ) )</f>
        <v>-2.6930168423046799</v>
      </c>
      <c r="M159" s="42">
        <f>IF(ISBLANK('Aqueous Species Options'!B159), "", IF('Aqueous Species Options'!L159=0, 'Aqueous Species Options'!R159, IF('Aqueous Species Table'!N159="", "", IF('Aqueous Species Options'!B159="H+", 0, 'Aqueous Species Options'!H159 - 'Aqueous Species Table'!O159*100000*(-0.000000309)*298.15 - 'Aqueous Species Table'!N159*10000/(298.15-228)^2 ) ) ) )</f>
        <v>37.392994357731148</v>
      </c>
      <c r="N159" s="42">
        <f>IF(ISBLANK('Aqueous Species Options'!B159), "", IF('Aqueous Species Options'!L159=0, 'Aqueous Species Options'!S159, IF(OR(ISBLANK('Aqueous Species Options'!H159), 'Aqueous Species Table'!O159=""), "", IF('Aqueous Species Options'!B159="H+", 0, 0.2037*'Aqueous Species Options'!H159 - 3.0346) ) ) )</f>
        <v>5.1133999999999995</v>
      </c>
      <c r="O159" s="42">
        <f>IF(ISBLANK('Aqueous Species Options'!B159), "", IF('Aqueous Species Options'!K159=0, 'Aqueous Species Options'!I159, IF(OR('Aqueous Species Options'!J159&gt;4,'Aqueous Species Options'!J159&lt;-4), "", IF('Aqueous Species Options'!B159="H+", 0, IF('Aqueous Species Options'!J159=0, -0.038, IF(ISBLANK('Aqueous Species Options'!F159), "", -1514.4*'Aqueous Species Options'!F159*0.00001 + SUM(({4,3,2,1,-1,-2,-3,-4}='Aqueous Species Options'!J159)*{2.1764,1.5793,1.0579,0.5517,1.6291,3.2127,4.8115,6.486}) ) ) ) ) ) )</f>
        <v>0.84489999999999998</v>
      </c>
      <c r="P159" s="1">
        <f>IF(ISBLANK('Aqueous Species Options'!J159), "", 'Aqueous Species Options'!J159)</f>
        <v>1</v>
      </c>
      <c r="Q159" s="184" t="str">
        <f>IF(ISBLANK('Aqueous Species Options'!T159), "", 'Aqueous Species Options'!T159)</f>
        <v>Revised by Dimitri, January, 2019; with minimum volume needed</v>
      </c>
    </row>
    <row r="160" spans="2:17" ht="15" customHeight="1" x14ac:dyDescent="0.2">
      <c r="B160" s="9" t="str">
        <f>IF(ISBLANK('Aqueous Species Options'!B160), "", 'Aqueous Species Options'!B160)</f>
        <v>MgSO4,aq</v>
      </c>
      <c r="C160" s="9" t="str">
        <f>IF(ISBLANK('Aqueous Species Options'!C160), "", 'Aqueous Species Options'!C160)</f>
        <v>MgSO4</v>
      </c>
      <c r="D160" s="2">
        <f>IF(ISBLANK('Aqueous Species Options'!D160), "", 'Aqueous Species Options'!D160)</f>
        <v>-289449</v>
      </c>
      <c r="E160" s="1">
        <f>IF(ISBLANK('Aqueous Species Options'!E160), "", 'Aqueous Species Options'!E160)</f>
        <v>-327449</v>
      </c>
      <c r="F160" s="139">
        <f>IF(ISBLANK('Aqueous Species Options'!F160), "", 'Aqueous Species Options'!F160)</f>
        <v>-1</v>
      </c>
      <c r="G160" s="29">
        <f>IF(ISBLANK('Aqueous Species Options'!B160), "", IF('Aqueous Species Options'!L160 = 1, IF(ISBLANK('Aqueous Species Options'!G160), "", 'Aqueous Species Options'!G160), ('Aqueous Species Table'!I160/10 + ('Aqueous Species Table'!J160*100)/(Calculations!$C$12+Calculations!$C$9) + ('Aqueous Species Table'!K160 + ('Aqueous Species Table'!L160*10000)/(Calculations!$C$12+Calculations!$C$9))*(1/(Calculations!$C$8-Calculations!$C$13)) - 'Aqueous Species Table'!O160*100000*0.0000005903)*41.8393))</f>
        <v>35</v>
      </c>
      <c r="H160" s="29">
        <f>IF(ISBLANK('Aqueous Species Options'!B160), "", IF('Aqueous Species Options'!L160 = 1, IF(ISBLANK('Aqueous Species Options'!H160), "", 'Aqueous Species Options'!H160), 'Aqueous Species Table'!M160 + 'Aqueous Species Table'!N160*10000*(1/(Calculations!$C$8-Calculations!$C$13))^2 + 'Aqueous Species Table'!O160*100000*Calculations!$C$8*Calculations!$C$7))</f>
        <v>20</v>
      </c>
      <c r="I160" s="42">
        <f>IF(ISBLANK('Aqueous Species Options'!B160), "", IF('Aqueous Species Options'!L160=0, 'Aqueous Species Options'!N160, IF(OR(ISBLANK('Aqueous Species Options'!G160),'Aqueous Species Table'!O160="", 'Aqueous Species Table'!P160=""), "", IF('Aqueous Species Options'!B160="H+", 0, (CHOOSE('Aqueous Species Options'!M160+1,'Aqueous Species Options'!$V$4*ABS('Aqueous Species Table'!P160)+'Aqueous Species Options'!$W$4,'Aqueous Species Options'!$Z$4)*('Aqueous Species Options'!G160 + 'Aqueous Species Table'!O160*100000*0.0000005903*41.8393) + CHOOSE('Aqueous Species Options'!M160+1,'Aqueous Species Options'!$X$4*ABS('Aqueous Species Table'!P160)+'Aqueous Species Options'!$Y$4,'Aqueous Species Options'!$AA$4))*10 ) ) ) )</f>
        <v>8.3417327392520306</v>
      </c>
      <c r="J160" s="42">
        <f>IF(ISBLANK('Aqueous Species Options'!B160), "", IF('Aqueous Species Options'!L160 = 0, 'Aqueous Species Options'!O160, IF('Aqueous Species Table'!I160="", "", IF('Aqueous Species Options'!B160="H+", 0, ((1.11*('Aqueous Species Options'!G160 + 'Aqueous Species Table'!O160*100000*0.0000005903*41.8393)+1.8)/41.8393 - 'Aqueous Species Table'!I160/10)*26.01 ) ) ) )</f>
        <v>3.6590208206182968</v>
      </c>
      <c r="K160" s="42">
        <f>IF(ISBLANK('Aqueous Species Options'!B160), "", IF('Aqueous Species Options'!L160 = 0, 'Aqueous Species Options'!P160, IF('Aqueous Species Table'!I160="", "", IF('Aqueous Species Options'!B160="H+", 0, ('Aqueous Species Options'!G160/41.8393 + 'Aqueous Species Table'!O160*100000*0.0000005903 - 'Aqueous Species Table'!I160/10 - 'Aqueous Species Table'!J160*100/2601)*(298.15-228) - ('Aqueous Species Table'!L160*10000/2601) ) ) ) )</f>
        <v>1.7700464668030396</v>
      </c>
      <c r="L160" s="42">
        <f>IF(ISBLANK('Aqueous Species Options'!B160), "", IF('Aqueous Species Options'!L160 = 0, 'Aqueous Species Options'!Q160, IF('Aqueous Species Table'!J160="", "", IF('Aqueous Species Options'!B160="H+", 0, (-4.134*'Aqueous Species Table'!J160*100 - 27790)*0.0001) ) ) )</f>
        <v>-2.9302639207243604</v>
      </c>
      <c r="M160" s="42">
        <f>IF(ISBLANK('Aqueous Species Options'!B160), "", IF('Aqueous Species Options'!L160=0, 'Aqueous Species Options'!R160, IF('Aqueous Species Table'!N160="", "", IF('Aqueous Species Options'!B160="H+", 0, 'Aqueous Species Options'!H160 - 'Aqueous Species Table'!O160*100000*(-0.000000309)*298.15 - 'Aqueous Species Table'!N160*10000/(298.15-228)^2 ) ) ) )</f>
        <v>18.348479084618972</v>
      </c>
      <c r="N160" s="42">
        <f>IF(ISBLANK('Aqueous Species Options'!B160), "", IF('Aqueous Species Options'!L160=0, 'Aqueous Species Options'!S160, IF(OR(ISBLANK('Aqueous Species Options'!H160), 'Aqueous Species Table'!O160=""), "", IF('Aqueous Species Options'!B160="H+", 0, 0.2037*'Aqueous Species Options'!H160 - 3.0346) ) ) )</f>
        <v>1.0393999999999997</v>
      </c>
      <c r="O160" s="42">
        <f>IF(ISBLANK('Aqueous Species Options'!B160), "", IF('Aqueous Species Options'!K160=0, 'Aqueous Species Options'!I160, IF(OR('Aqueous Species Options'!J160&gt;4,'Aqueous Species Options'!J160&lt;-4), "", IF('Aqueous Species Options'!B160="H+", 0, IF('Aqueous Species Options'!J160=0, -0.038, IF(ISBLANK('Aqueous Species Options'!F160), "", -1514.4*'Aqueous Species Options'!F160*0.00001 + SUM(({4,3,2,1,-1,-2,-3,-4}='Aqueous Species Options'!J160)*{2.1764,1.5793,1.0579,0.5517,1.6291,3.2127,4.8115,6.486}) ) ) ) ) ) )</f>
        <v>0.05</v>
      </c>
      <c r="P160" s="1">
        <f>IF(ISBLANK('Aqueous Species Options'!J160), "", 'Aqueous Species Options'!J160)</f>
        <v>0</v>
      </c>
      <c r="Q160" s="184" t="str">
        <f>IF(ISBLANK('Aqueous Species Options'!T160), "", 'Aqueous Species Options'!T160)</f>
        <v>S, Cp, V, omega from fit to Akilan et al. (2006a) and Frantz et al. (1994)</v>
      </c>
    </row>
    <row r="161" spans="2:17" ht="15" customHeight="1" x14ac:dyDescent="0.2">
      <c r="B161" s="9" t="str">
        <f>IF(ISBLANK('Aqueous Species Options'!B161), "", 'Aqueous Species Options'!B161)</f>
        <v>Mn+2</v>
      </c>
      <c r="C161" s="9" t="str">
        <f>IF(ISBLANK('Aqueous Species Options'!C161), "", 'Aqueous Species Options'!C161)</f>
        <v>Mn(+2)</v>
      </c>
      <c r="D161" s="2">
        <f>IF(ISBLANK('Aqueous Species Options'!D161), "", 'Aqueous Species Options'!D161)</f>
        <v>-54500</v>
      </c>
      <c r="E161" s="1">
        <f>IF(ISBLANK('Aqueous Species Options'!E161), "", 'Aqueous Species Options'!E161)</f>
        <v>-52724</v>
      </c>
      <c r="F161" s="139">
        <f>IF(ISBLANK('Aqueous Species Options'!F161), "", 'Aqueous Species Options'!F161)</f>
        <v>-17.600000000000001</v>
      </c>
      <c r="G161" s="29">
        <f>IF(ISBLANK('Aqueous Species Options'!B161), "", IF('Aqueous Species Options'!L161 = 1, IF(ISBLANK('Aqueous Species Options'!G161), "", 'Aqueous Species Options'!G161), ('Aqueous Species Table'!I161/10 + ('Aqueous Species Table'!J161*100)/(Calculations!$C$12+Calculations!$C$9) + ('Aqueous Species Table'!K161 + ('Aqueous Species Table'!L161*10000)/(Calculations!$C$12+Calculations!$C$9))*(1/(Calculations!$C$8-Calculations!$C$13)) - 'Aqueous Species Table'!O161*100000*0.0000005903)*41.8393))</f>
        <v>-17.099974699534506</v>
      </c>
      <c r="H161" s="29">
        <f>IF(ISBLANK('Aqueous Species Options'!B161), "", IF('Aqueous Species Options'!L161 = 1, IF(ISBLANK('Aqueous Species Options'!H161), "", 'Aqueous Species Options'!H161), 'Aqueous Species Table'!M161 + 'Aqueous Species Table'!N161*10000*(1/(Calculations!$C$8-Calculations!$C$13))^2 + 'Aqueous Species Table'!O161*100000*Calculations!$C$8*Calculations!$C$7))</f>
        <v>-4.0999095569664199</v>
      </c>
      <c r="I161" s="42">
        <f>IF(ISBLANK('Aqueous Species Options'!B161), "", IF('Aqueous Species Options'!L161=0, 'Aqueous Species Options'!N161, IF(OR(ISBLANK('Aqueous Species Options'!G161),'Aqueous Species Table'!O161="", 'Aqueous Species Table'!P161=""), "", IF('Aqueous Species Options'!B161="H+", 0, (CHOOSE('Aqueous Species Options'!M161+1,'Aqueous Species Options'!$V$4*ABS('Aqueous Species Table'!P161)+'Aqueous Species Options'!$W$4,'Aqueous Species Options'!$Z$4)*('Aqueous Species Options'!G161 + 'Aqueous Species Table'!O161*100000*0.0000005903*41.8393) + CHOOSE('Aqueous Species Options'!M161+1,'Aqueous Species Options'!$X$4*ABS('Aqueous Species Table'!P161)+'Aqueous Species Options'!$Y$4,'Aqueous Species Options'!$AA$4))*10 ) ) ) )</f>
        <v>-1.1287815944687463</v>
      </c>
      <c r="J161" s="42">
        <f>IF(ISBLANK('Aqueous Species Options'!B161), "", IF('Aqueous Species Options'!L161 = 0, 'Aqueous Species Options'!O161, IF('Aqueous Species Table'!I161="", "", IF('Aqueous Species Options'!B161="H+", 0, ((1.11*('Aqueous Species Options'!G161 + 'Aqueous Species Table'!O161*100000*0.0000005903*41.8393)+1.8)/41.8393 - 'Aqueous Species Table'!I161/10)*26.01 ) ) ) )</f>
        <v>-5.3578483000289356</v>
      </c>
      <c r="K161" s="42">
        <f>IF(ISBLANK('Aqueous Species Options'!B161), "", IF('Aqueous Species Options'!L161 = 0, 'Aqueous Species Options'!P161, IF('Aqueous Species Table'!I161="", "", IF('Aqueous Species Options'!B161="H+", 0, ('Aqueous Species Options'!G161/41.8393 + 'Aqueous Species Table'!O161*100000*0.0000005903 - 'Aqueous Species Table'!I161/10 - 'Aqueous Species Table'!J161*100/2601)*(298.15-228) - ('Aqueous Species Table'!L161*10000/2601) ) ) ) )</f>
        <v>9.3306057738837698</v>
      </c>
      <c r="L161" s="42">
        <f>IF(ISBLANK('Aqueous Species Options'!B161), "", IF('Aqueous Species Options'!L161 = 0, 'Aqueous Species Options'!Q161, IF('Aqueous Species Table'!J161="", "", IF('Aqueous Species Options'!B161="H+", 0, (-4.134*'Aqueous Species Table'!J161*100 - 27790)*0.0001) ) ) )</f>
        <v>-2.5575065512768038</v>
      </c>
      <c r="M161" s="42">
        <f>IF(ISBLANK('Aqueous Species Options'!B161), "", IF('Aqueous Species Options'!L161=0, 'Aqueous Species Options'!R161, IF('Aqueous Species Table'!N161="", "", IF('Aqueous Species Options'!B161="H+", 0, 'Aqueous Species Options'!H161 - 'Aqueous Species Table'!O161*100000*(-0.000000309)*298.15 - 'Aqueous Species Table'!N161*10000/(298.15-228)^2 ) ) ) )</f>
        <v>16.667301599218579</v>
      </c>
      <c r="N161" s="42">
        <f>IF(ISBLANK('Aqueous Species Options'!B161), "", IF('Aqueous Species Options'!L161=0, 'Aqueous Species Options'!S161, IF(OR(ISBLANK('Aqueous Species Options'!H161), 'Aqueous Species Table'!O161=""), "", IF('Aqueous Species Options'!B161="H+", 0, 0.2037*'Aqueous Species Options'!H161 - 3.0346) ) ) )</f>
        <v>-3.86975157675406</v>
      </c>
      <c r="O161" s="42">
        <f>IF(ISBLANK('Aqueous Species Options'!B161), "", IF('Aqueous Species Options'!K161=0, 'Aqueous Species Options'!I161, IF(OR('Aqueous Species Options'!J161&gt;4,'Aqueous Species Options'!J161&lt;-4), "", IF('Aqueous Species Options'!B161="H+", 0, IF('Aqueous Species Options'!J161=0, -0.038, IF(ISBLANK('Aqueous Species Options'!F161), "", -1514.4*'Aqueous Species Options'!F161*0.00001 + SUM(({4,3,2,1,-1,-2,-3,-4}='Aqueous Species Options'!J161)*{2.1764,1.5793,1.0579,0.5517,1.6291,3.2127,4.8115,6.486}) ) ) ) ) ) )</f>
        <v>1.4006000000000001</v>
      </c>
      <c r="P161" s="1">
        <f>IF(ISBLANK('Aqueous Species Options'!J161), "", 'Aqueous Species Options'!J161)</f>
        <v>2</v>
      </c>
      <c r="Q161" s="184" t="str">
        <f>IF(ISBLANK('Aqueous Species Options'!T161), "", 'Aqueous Species Options'!T161)</f>
        <v>Shock et al. (1997) revised with new predicted a1 for cations</v>
      </c>
    </row>
    <row r="162" spans="2:17" ht="15" customHeight="1" x14ac:dyDescent="0.2">
      <c r="B162" s="9" t="str">
        <f>IF(ISBLANK('Aqueous Species Options'!B162), "", 'Aqueous Species Options'!B162)</f>
        <v>MnCl+</v>
      </c>
      <c r="C162" s="9" t="str">
        <f>IF(ISBLANK('Aqueous Species Options'!C162), "", 'Aqueous Species Options'!C162)</f>
        <v>MnCl(+)</v>
      </c>
      <c r="D162" s="2">
        <f>IF(ISBLANK('Aqueous Species Options'!D162), "", 'Aqueous Species Options'!D162)</f>
        <v>-86290</v>
      </c>
      <c r="E162" s="1">
        <f>IF(ISBLANK('Aqueous Species Options'!E162), "", 'Aqueous Species Options'!E162)</f>
        <v>-88280</v>
      </c>
      <c r="F162" s="139">
        <f>IF(ISBLANK('Aqueous Species Options'!F162), "", 'Aqueous Species Options'!F162)</f>
        <v>12</v>
      </c>
      <c r="G162" s="29">
        <f>IF(ISBLANK('Aqueous Species Options'!B162), "", IF('Aqueous Species Options'!L162 = 1, IF(ISBLANK('Aqueous Species Options'!G162), "", 'Aqueous Species Options'!G162), ('Aqueous Species Table'!I162/10 + ('Aqueous Species Table'!J162*100)/(Calculations!$C$12+Calculations!$C$9) + ('Aqueous Species Table'!K162 + ('Aqueous Species Table'!L162*10000)/(Calculations!$C$12+Calculations!$C$9))*(1/(Calculations!$C$8-Calculations!$C$13)) - 'Aqueous Species Table'!O162*100000*0.0000005903)*41.8393))</f>
        <v>6.3</v>
      </c>
      <c r="H162" s="29">
        <f>IF(ISBLANK('Aqueous Species Options'!B162), "", IF('Aqueous Species Options'!L162 = 1, IF(ISBLANK('Aqueous Species Options'!H162), "", 'Aqueous Species Options'!H162), 'Aqueous Species Table'!M162 + 'Aqueous Species Table'!N162*10000*(1/(Calculations!$C$8-Calculations!$C$13))^2 + 'Aqueous Species Table'!O162*100000*Calculations!$C$8*Calculations!$C$7))</f>
        <v>24.629583311974685</v>
      </c>
      <c r="I162" s="42">
        <f>IF(ISBLANK('Aqueous Species Options'!B162), "", IF('Aqueous Species Options'!L162=0, 'Aqueous Species Options'!N162, IF(OR(ISBLANK('Aqueous Species Options'!G162),'Aqueous Species Table'!O162="", 'Aqueous Species Table'!P162=""), "", IF('Aqueous Species Options'!B162="H+", 0, (CHOOSE('Aqueous Species Options'!M162+1,'Aqueous Species Options'!$V$4*ABS('Aqueous Species Table'!P162)+'Aqueous Species Options'!$W$4,'Aqueous Species Options'!$Z$4)*('Aqueous Species Options'!G162 + 'Aqueous Species Table'!O162*100000*0.0000005903*41.8393) + CHOOSE('Aqueous Species Options'!M162+1,'Aqueous Species Options'!$X$4*ABS('Aqueous Species Table'!P162)+'Aqueous Species Options'!$Y$4,'Aqueous Species Options'!$AA$4))*10 ) ) ) )</f>
        <v>2.9207237537659614</v>
      </c>
      <c r="J162" s="42">
        <f>IF(ISBLANK('Aqueous Species Options'!B162), "", IF('Aqueous Species Options'!L162 = 0, 'Aqueous Species Options'!O162, IF('Aqueous Species Table'!I162="", "", IF('Aqueous Species Options'!B162="H+", 0, ((1.11*('Aqueous Species Options'!G162 + 'Aqueous Species Table'!O162*100000*0.0000005903*41.8393)+1.8)/41.8393 - 'Aqueous Species Table'!I162/10)*26.01 ) ) ) )</f>
        <v>-1.502317497611809</v>
      </c>
      <c r="K162" s="42">
        <f>IF(ISBLANK('Aqueous Species Options'!B162), "", IF('Aqueous Species Options'!L162 = 0, 'Aqueous Species Options'!P162, IF('Aqueous Species Table'!I162="", "", IF('Aqueous Species Options'!B162="H+", 0, ('Aqueous Species Options'!G162/41.8393 + 'Aqueous Species Table'!O162*100000*0.0000005903 - 'Aqueous Species Table'!I162/10 - 'Aqueous Species Table'!J162*100/2601)*(298.15-228) - ('Aqueous Species Table'!L162*10000/2601) ) ) ) )</f>
        <v>6.0977797339446598</v>
      </c>
      <c r="L162" s="42">
        <f>IF(ISBLANK('Aqueous Species Options'!B162), "", IF('Aqueous Species Options'!L162 = 0, 'Aqueous Species Options'!Q162, IF('Aqueous Species Table'!J162="", "", IF('Aqueous Species Options'!B162="H+", 0, (-4.134*'Aqueous Species Table'!J162*100 - 27790)*0.0001) ) ) )</f>
        <v>-2.7168941946487277</v>
      </c>
      <c r="M162" s="42">
        <f>IF(ISBLANK('Aqueous Species Options'!B162), "", IF('Aqueous Species Options'!L162=0, 'Aqueous Species Options'!R162, IF('Aqueous Species Table'!N162="", "", IF('Aqueous Species Options'!B162="H+", 0, 'Aqueous Species Options'!H162 - 'Aqueous Species Table'!O162*100000*(-0.000000309)*298.15 - 'Aqueous Species Table'!N162*10000/(298.15-228)^2 ) ) ) )</f>
        <v>23.99690948812113</v>
      </c>
      <c r="N162" s="42">
        <f>IF(ISBLANK('Aqueous Species Options'!B162), "", IF('Aqueous Species Options'!L162=0, 'Aqueous Species Options'!S162, IF(OR(ISBLANK('Aqueous Species Options'!H162), 'Aqueous Species Table'!O162=""), "", IF('Aqueous Species Options'!B162="H+", 0, 0.2037*'Aqueous Species Options'!H162 - 3.0346) ) ) )</f>
        <v>1.982446120649243</v>
      </c>
      <c r="O162" s="42">
        <f>IF(ISBLANK('Aqueous Species Options'!B162), "", IF('Aqueous Species Options'!K162=0, 'Aqueous Species Options'!I162, IF(OR('Aqueous Species Options'!J162&gt;4,'Aqueous Species Options'!J162&lt;-4), "", IF('Aqueous Species Options'!B162="H+", 0, IF('Aqueous Species Options'!J162=0, -0.038, IF(ISBLANK('Aqueous Species Options'!F162), "", -1514.4*'Aqueous Species Options'!F162*0.00001 + SUM(({4,3,2,1,-1,-2,-3,-4}='Aqueous Species Options'!J162)*{2.1764,1.5793,1.0579,0.5517,1.6291,3.2127,4.8115,6.486}) ) ) ) ) ) )</f>
        <v>0.36859999999999998</v>
      </c>
      <c r="P162" s="1">
        <f>IF(ISBLANK('Aqueous Species Options'!J162), "", 'Aqueous Species Options'!J162)</f>
        <v>1</v>
      </c>
      <c r="Q162" s="184" t="str">
        <f>IF(ISBLANK('Aqueous Species Options'!T162), "", 'Aqueous Species Options'!T162)</f>
        <v>Sverjensky et al. (1997) with revised a1 equal to the sum of the ions used to predict new values of V using new correlation in Sverjensky et al. (2014)</v>
      </c>
    </row>
    <row r="163" spans="2:17" ht="32" x14ac:dyDescent="0.2">
      <c r="B163" s="9" t="str">
        <f>IF(ISBLANK('Aqueous Species Options'!B163), "", 'Aqueous Species Options'!B163)</f>
        <v>MnO4-</v>
      </c>
      <c r="C163" s="9" t="str">
        <f>IF(ISBLANK('Aqueous Species Options'!C163), "", 'Aqueous Species Options'!C163)</f>
        <v>MnO4(-)</v>
      </c>
      <c r="D163" s="2">
        <f>IF(ISBLANK('Aqueous Species Options'!D163), "", 'Aqueous Species Options'!D163)</f>
        <v>-106900</v>
      </c>
      <c r="E163" s="1">
        <f>IF(ISBLANK('Aqueous Species Options'!E163), "", 'Aqueous Species Options'!E163)</f>
        <v>-129400</v>
      </c>
      <c r="F163" s="139">
        <f>IF(ISBLANK('Aqueous Species Options'!F163), "", 'Aqueous Species Options'!F163)</f>
        <v>45.7</v>
      </c>
      <c r="G163" s="29">
        <f>IF(ISBLANK('Aqueous Species Options'!B163), "", IF('Aqueous Species Options'!L163 = 1, IF(ISBLANK('Aqueous Species Options'!G163), "", 'Aqueous Species Options'!G163), ('Aqueous Species Table'!I163/10 + ('Aqueous Species Table'!J163*100)/(Calculations!$C$12+Calculations!$C$9) + ('Aqueous Species Table'!K163 + ('Aqueous Species Table'!L163*10000)/(Calculations!$C$12+Calculations!$C$9))*(1/(Calculations!$C$8-Calculations!$C$13)) - 'Aqueous Species Table'!O163*100000*0.0000005903)*41.8393))</f>
        <v>41.999968542567288</v>
      </c>
      <c r="H163" s="29">
        <f>IF(ISBLANK('Aqueous Species Options'!B163), "", IF('Aqueous Species Options'!L163 = 1, IF(ISBLANK('Aqueous Species Options'!H163), "", 'Aqueous Species Options'!H163), 'Aqueous Species Table'!M163 + 'Aqueous Species Table'!N163*10000*(1/(Calculations!$C$8-Calculations!$C$13))^2 + 'Aqueous Species Table'!O163*100000*Calculations!$C$8*Calculations!$C$7))</f>
        <v>-1.7996587690818622</v>
      </c>
      <c r="I163" s="42">
        <f>IF(ISBLANK('Aqueous Species Options'!B163), "", IF('Aqueous Species Options'!L163=0, 'Aqueous Species Options'!N163, IF(OR(ISBLANK('Aqueous Species Options'!G163),'Aqueous Species Table'!O163="", 'Aqueous Species Table'!P163=""), "", IF('Aqueous Species Options'!B163="H+", 0, (CHOOSE('Aqueous Species Options'!M163+1,'Aqueous Species Options'!$V$4*ABS('Aqueous Species Table'!P163)+'Aqueous Species Options'!$W$4,'Aqueous Species Options'!$Z$4)*('Aqueous Species Options'!G163 + 'Aqueous Species Table'!O163*100000*0.0000005903*41.8393) + CHOOSE('Aqueous Species Options'!M163+1,'Aqueous Species Options'!$X$4*ABS('Aqueous Species Table'!P163)+'Aqueous Species Options'!$Y$4,'Aqueous Species Options'!$AA$4))*10 ) ) ) )</f>
        <v>6.8922940498394549</v>
      </c>
      <c r="J163" s="42">
        <f>IF(ISBLANK('Aqueous Species Options'!B163), "", IF('Aqueous Species Options'!L163 = 0, 'Aqueous Species Options'!O163, IF('Aqueous Species Table'!I163="", "", IF('Aqueous Species Options'!B163="H+", 0, ((1.11*('Aqueous Species Options'!G163 + 'Aqueous Species Table'!O163*100000*0.0000005903*41.8393)+1.8)/41.8393 - 'Aqueous Species Table'!I163/10)*26.01 ) ) ) )</f>
        <v>13.770659598138257</v>
      </c>
      <c r="K163" s="42">
        <f>IF(ISBLANK('Aqueous Species Options'!B163), "", IF('Aqueous Species Options'!L163 = 0, 'Aqueous Species Options'!P163, IF('Aqueous Species Table'!I163="", "", IF('Aqueous Species Options'!B163="H+", 0, ('Aqueous Species Options'!G163/41.8393 + 'Aqueous Species Table'!O163*100000*0.0000005903 - 'Aqueous Species Table'!I163/10 - 'Aqueous Species Table'!J163*100/2601)*(298.15-228) - ('Aqueous Species Table'!L163*10000/2601) ) ) ) )</f>
        <v>1.6822198433867825</v>
      </c>
      <c r="L163" s="42">
        <f>IF(ISBLANK('Aqueous Species Options'!B163), "", IF('Aqueous Species Options'!L163 = 0, 'Aqueous Species Options'!Q163, IF('Aqueous Species Table'!J163="", "", IF('Aqueous Species Options'!B163="H+", 0, (-4.134*'Aqueous Species Table'!J163*100 - 27790)*0.0001) ) ) )</f>
        <v>-3.3482790677870358</v>
      </c>
      <c r="M163" s="42">
        <f>IF(ISBLANK('Aqueous Species Options'!B163), "", IF('Aqueous Species Options'!L163=0, 'Aqueous Species Options'!R163, IF('Aqueous Species Table'!N163="", "", IF('Aqueous Species Options'!B163="H+", 0, 'Aqueous Species Options'!H163 - 'Aqueous Species Table'!O163*100000*(-0.000000309)*298.15 - 'Aqueous Species Table'!N163*10000/(298.15-228)^2 ) ) ) )</f>
        <v>13.742477467512039</v>
      </c>
      <c r="N163" s="42">
        <f>IF(ISBLANK('Aqueous Species Options'!B163), "", IF('Aqueous Species Options'!L163=0, 'Aqueous Species Options'!S163, IF(OR(ISBLANK('Aqueous Species Options'!H163), 'Aqueous Species Table'!O163=""), "", IF('Aqueous Species Options'!B163="H+", 0, 0.2037*'Aqueous Species Options'!H163 - 3.0346) ) ) )</f>
        <v>-3.4011904912619757</v>
      </c>
      <c r="O163" s="42">
        <f>IF(ISBLANK('Aqueous Species Options'!B163), "", IF('Aqueous Species Options'!K163=0, 'Aqueous Species Options'!I163, IF(OR('Aqueous Species Options'!J163&gt;4,'Aqueous Species Options'!J163&lt;-4), "", IF('Aqueous Species Options'!B163="H+", 0, IF('Aqueous Species Options'!J163=0, -0.038, IF(ISBLANK('Aqueous Species Options'!F163), "", -1514.4*'Aqueous Species Options'!F163*0.00001 + SUM(({4,3,2,1,-1,-2,-3,-4}='Aqueous Species Options'!J163)*{2.1764,1.5793,1.0579,0.5517,1.6291,3.2127,4.8115,6.486}) ) ) ) ) ) )</f>
        <v>0.93679999999999997</v>
      </c>
      <c r="P163" s="1">
        <f>IF(ISBLANK('Aqueous Species Options'!J163), "", 'Aqueous Species Options'!J163)</f>
        <v>-1</v>
      </c>
      <c r="Q163" s="184" t="str">
        <f>IF(ISBLANK('Aqueous Species Options'!T163), "", 'Aqueous Species Options'!T163)</f>
        <v>Shock et al. (1997) revised with new predicted a1 for ions</v>
      </c>
    </row>
    <row r="164" spans="2:17" ht="15" customHeight="1" x14ac:dyDescent="0.2">
      <c r="B164" s="9" t="str">
        <f>IF(ISBLANK('Aqueous Species Options'!B164), "", 'Aqueous Species Options'!B164)</f>
        <v>MnO4-2</v>
      </c>
      <c r="C164" s="9" t="str">
        <f>IF(ISBLANK('Aqueous Species Options'!C164), "", 'Aqueous Species Options'!C164)</f>
        <v>MnO4(-2)</v>
      </c>
      <c r="D164" s="2">
        <f>IF(ISBLANK('Aqueous Species Options'!D164), "", 'Aqueous Species Options'!D164)</f>
        <v>-119700</v>
      </c>
      <c r="E164" s="1">
        <f>IF(ISBLANK('Aqueous Species Options'!E164), "", 'Aqueous Species Options'!E164)</f>
        <v>-156000</v>
      </c>
      <c r="F164" s="139">
        <f>IF(ISBLANK('Aqueous Species Options'!F164), "", 'Aqueous Species Options'!F164)</f>
        <v>14</v>
      </c>
      <c r="G164" s="29">
        <f>IF(ISBLANK('Aqueous Species Options'!B164), "", IF('Aqueous Species Options'!L164 = 1, IF(ISBLANK('Aqueous Species Options'!G164), "", 'Aqueous Species Options'!G164), ('Aqueous Species Table'!I164/10 + ('Aqueous Species Table'!J164*100)/(Calculations!$C$12+Calculations!$C$9) + ('Aqueous Species Table'!K164 + ('Aqueous Species Table'!L164*10000)/(Calculations!$C$12+Calculations!$C$9))*(1/(Calculations!$C$8-Calculations!$C$13)) - 'Aqueous Species Table'!O164*100000*0.0000005903)*41.8393))</f>
        <v>27.399796901522667</v>
      </c>
      <c r="H164" s="29">
        <f>IF(ISBLANK('Aqueous Species Options'!B164), "", IF('Aqueous Species Options'!L164 = 1, IF(ISBLANK('Aqueous Species Options'!H164), "", 'Aqueous Species Options'!H164), 'Aqueous Species Table'!M164 + 'Aqueous Species Table'!N164*10000*(1/(Calculations!$C$8-Calculations!$C$13))^2 + 'Aqueous Species Table'!O164*100000*Calculations!$C$8*Calculations!$C$7))</f>
        <v>-59.30044503679666</v>
      </c>
      <c r="I164" s="42">
        <f>IF(ISBLANK('Aqueous Species Options'!B164), "", IF('Aqueous Species Options'!L164=0, 'Aqueous Species Options'!N164, IF(OR(ISBLANK('Aqueous Species Options'!G164),'Aqueous Species Table'!O164="", 'Aqueous Species Table'!P164=""), "", IF('Aqueous Species Options'!B164="H+", 0, (CHOOSE('Aqueous Species Options'!M164+1,'Aqueous Species Options'!$V$4*ABS('Aqueous Species Table'!P164)+'Aqueous Species Options'!$W$4,'Aqueous Species Options'!$Z$4)*('Aqueous Species Options'!G164 + 'Aqueous Species Table'!O164*100000*0.0000005903*41.8393) + CHOOSE('Aqueous Species Options'!M164+1,'Aqueous Species Options'!$X$4*ABS('Aqueous Species Table'!P164)+'Aqueous Species Options'!$Y$4,'Aqueous Species Options'!$AA$4))*10 ) ) ) )</f>
        <v>11.856377497603495</v>
      </c>
      <c r="J164" s="42">
        <f>IF(ISBLANK('Aqueous Species Options'!B164), "", IF('Aqueous Species Options'!L164 = 0, 'Aqueous Species Options'!O164, IF('Aqueous Species Table'!I164="", "", IF('Aqueous Species Options'!B164="H+", 0, ((1.11*('Aqueous Species Options'!G164 + 'Aqueous Species Table'!O164*100000*0.0000005903*41.8393)+1.8)/41.8393 - 'Aqueous Species Table'!I164/10)*26.01 ) ) ) )</f>
        <v>-5.6954102763912298</v>
      </c>
      <c r="K164" s="42">
        <f>IF(ISBLANK('Aqueous Species Options'!B164), "", IF('Aqueous Species Options'!L164 = 0, 'Aqueous Species Options'!P164, IF('Aqueous Species Table'!I164="", "", IF('Aqueous Species Options'!B164="H+", 0, ('Aqueous Species Options'!G164/41.8393 + 'Aqueous Species Table'!O164*100000*0.0000005903 - 'Aqueous Species Table'!I164/10 - 'Aqueous Species Table'!J164*100/2601)*(298.15-228) - ('Aqueous Species Table'!L164*10000/2601) ) ) ) )</f>
        <v>0.34015042298675091</v>
      </c>
      <c r="L164" s="42">
        <f>IF(ISBLANK('Aqueous Species Options'!B164), "", IF('Aqueous Species Options'!L164 = 0, 'Aqueous Species Options'!Q164, IF('Aqueous Species Table'!J164="", "", IF('Aqueous Species Options'!B164="H+", 0, (-4.134*'Aqueous Species Table'!J164*100 - 27790)*0.0001) ) ) )</f>
        <v>-2.5435517391739864</v>
      </c>
      <c r="M164" s="42">
        <f>IF(ISBLANK('Aqueous Species Options'!B164), "", IF('Aqueous Species Options'!L164=0, 'Aqueous Species Options'!R164, IF('Aqueous Species Table'!N164="", "", IF('Aqueous Species Options'!B164="H+", 0, 'Aqueous Species Options'!H164 - 'Aqueous Species Table'!O164*100000*(-0.000000309)*298.15 - 'Aqueous Species Table'!N164*10000/(298.15-228)^2 ) ) ) )</f>
        <v>-0.92649546121669601</v>
      </c>
      <c r="N164" s="42">
        <f>IF(ISBLANK('Aqueous Species Options'!B164), "", IF('Aqueous Species Options'!L164=0, 'Aqueous Species Options'!S164, IF(OR(ISBLANK('Aqueous Species Options'!H164), 'Aqueous Species Table'!O164=""), "", IF('Aqueous Species Options'!B164="H+", 0, 0.2037*'Aqueous Species Options'!H164 - 3.0346) ) ) )</f>
        <v>-15.114100653995479</v>
      </c>
      <c r="O164" s="42">
        <f>IF(ISBLANK('Aqueous Species Options'!B164), "", IF('Aqueous Species Options'!K164=0, 'Aqueous Species Options'!I164, IF(OR('Aqueous Species Options'!J164&gt;4,'Aqueous Species Options'!J164&lt;-4), "", IF('Aqueous Species Options'!B164="H+", 0, IF('Aqueous Species Options'!J164=0, -0.038, IF(ISBLANK('Aqueous Species Options'!F164), "", -1514.4*'Aqueous Species Options'!F164*0.00001 + SUM(({4,3,2,1,-1,-2,-3,-4}='Aqueous Species Options'!J164)*{2.1764,1.5793,1.0579,0.5517,1.6291,3.2127,4.8115,6.486}) ) ) ) ) ) )</f>
        <v>3.0024000000000002</v>
      </c>
      <c r="P164" s="1">
        <f>IF(ISBLANK('Aqueous Species Options'!J164), "", 'Aqueous Species Options'!J164)</f>
        <v>-2</v>
      </c>
      <c r="Q164" s="184" t="str">
        <f>IF(ISBLANK('Aqueous Species Options'!T164), "", 'Aqueous Species Options'!T164)</f>
        <v>Shock et al. (1997) revised with new predicted a1 for ions</v>
      </c>
    </row>
    <row r="165" spans="2:17" ht="64" x14ac:dyDescent="0.2">
      <c r="B165" s="9" t="str">
        <f>IF(ISBLANK('Aqueous Species Options'!B165), "", 'Aqueous Species Options'!B165)</f>
        <v>MnSO4,aq</v>
      </c>
      <c r="C165" s="9" t="str">
        <f>IF(ISBLANK('Aqueous Species Options'!C165), "", 'Aqueous Species Options'!C165)</f>
        <v>MnSO4(0)</v>
      </c>
      <c r="D165" s="2">
        <f>IF(ISBLANK('Aqueous Species Options'!D165), "", 'Aqueous Species Options'!D165)</f>
        <v>-235640</v>
      </c>
      <c r="E165" s="1">
        <f>IF(ISBLANK('Aqueous Species Options'!E165), "", 'Aqueous Species Options'!E165)</f>
        <v>-266750</v>
      </c>
      <c r="F165" s="139">
        <f>IF(ISBLANK('Aqueous Species Options'!F165), "", 'Aqueous Species Options'!F165)</f>
        <v>5</v>
      </c>
      <c r="G165" s="29">
        <f>IF(ISBLANK('Aqueous Species Options'!B165), "", IF('Aqueous Species Options'!L165 = 1, IF(ISBLANK('Aqueous Species Options'!G165), "", 'Aqueous Species Options'!G165), ('Aqueous Species Table'!I165/10 + ('Aqueous Species Table'!J165*100)/(Calculations!$C$12+Calculations!$C$9) + ('Aqueous Species Table'!K165 + ('Aqueous Species Table'!L165*10000)/(Calculations!$C$12+Calculations!$C$9))*(1/(Calculations!$C$8-Calculations!$C$13)) - 'Aqueous Species Table'!O165*100000*0.0000005903)*41.8393))</f>
        <v>29.2</v>
      </c>
      <c r="H165" s="29">
        <f>IF(ISBLANK('Aqueous Species Options'!B165), "", IF('Aqueous Species Options'!L165 = 1, IF(ISBLANK('Aqueous Species Options'!H165), "", 'Aqueous Species Options'!H165), 'Aqueous Species Table'!M165 + 'Aqueous Species Table'!N165*10000*(1/(Calculations!$C$8-Calculations!$C$13))^2 + 'Aqueous Species Table'!O165*100000*Calculations!$C$8*Calculations!$C$7))</f>
        <v>-21.479758479807018</v>
      </c>
      <c r="I165" s="42">
        <f>IF(ISBLANK('Aqueous Species Options'!B165), "", IF('Aqueous Species Options'!L165=0, 'Aqueous Species Options'!N165, IF(OR(ISBLANK('Aqueous Species Options'!G165),'Aqueous Species Table'!O165="", 'Aqueous Species Table'!P165=""), "", IF('Aqueous Species Options'!B165="H+", 0, (CHOOSE('Aqueous Species Options'!M165+1,'Aqueous Species Options'!$V$4*ABS('Aqueous Species Table'!P165)+'Aqueous Species Options'!$W$4,'Aqueous Species Options'!$Z$4)*('Aqueous Species Options'!G165 + 'Aqueous Species Table'!O165*100000*0.0000005903*41.8393) + CHOOSE('Aqueous Species Options'!M165+1,'Aqueous Species Options'!$X$4*ABS('Aqueous Species Table'!P165)+'Aqueous Species Options'!$Y$4,'Aqueous Species Options'!$AA$4))*10 ) ) ) )</f>
        <v>7.1731051181684569</v>
      </c>
      <c r="J165" s="42">
        <f>IF(ISBLANK('Aqueous Species Options'!B165), "", IF('Aqueous Species Options'!L165 = 0, 'Aqueous Species Options'!O165, IF('Aqueous Species Table'!I165="", "", IF('Aqueous Species Options'!B165="H+", 0, ((1.11*('Aqueous Species Options'!G165 + 'Aqueous Species Table'!O165*100000*0.0000005903*41.8393)+1.8)/41.8393 - 'Aqueous Species Table'!I165/10)*26.01 ) ) ) )</f>
        <v>2.5463713974962108</v>
      </c>
      <c r="K165" s="42">
        <f>IF(ISBLANK('Aqueous Species Options'!B165), "", IF('Aqueous Species Options'!L165 = 0, 'Aqueous Species Options'!P165, IF('Aqueous Species Table'!I165="", "", IF('Aqueous Species Options'!B165="H+", 0, ('Aqueous Species Options'!G165/41.8393 + 'Aqueous Species Table'!O165*100000*0.0000005903 - 'Aqueous Species Table'!I165/10 - 'Aqueous Species Table'!J165*100/2601)*(298.15-228) - ('Aqueous Species Table'!L165*10000/2601) ) ) ) )</f>
        <v>2.7029924637944927</v>
      </c>
      <c r="L165" s="42">
        <f>IF(ISBLANK('Aqueous Species Options'!B165), "", IF('Aqueous Species Options'!L165 = 0, 'Aqueous Species Options'!Q165, IF('Aqueous Species Table'!J165="", "", IF('Aqueous Species Options'!B165="H+", 0, (-4.134*'Aqueous Species Table'!J165*100 - 27790)*0.0001) ) ) )</f>
        <v>-2.8842669935724934</v>
      </c>
      <c r="M165" s="42">
        <f>IF(ISBLANK('Aqueous Species Options'!B165), "", IF('Aqueous Species Options'!L165=0, 'Aqueous Species Options'!R165, IF('Aqueous Species Table'!N165="", "", IF('Aqueous Species Options'!B165="H+", 0, 'Aqueous Species Options'!H165 - 'Aqueous Species Table'!O165*100000*(-0.000000309)*298.15 - 'Aqueous Species Table'!N165*10000/(298.15-228)^2 ) ) ) )</f>
        <v>-6.7719455350251092</v>
      </c>
      <c r="N165" s="42">
        <f>IF(ISBLANK('Aqueous Species Options'!B165), "", IF('Aqueous Species Options'!L165=0, 'Aqueous Species Options'!S165, IF(OR(ISBLANK('Aqueous Species Options'!H165), 'Aqueous Species Table'!O165=""), "", IF('Aqueous Species Options'!B165="H+", 0, 0.2037*'Aqueous Species Options'!H165 - 3.0346) ) ) )</f>
        <v>-7.4100268023366898</v>
      </c>
      <c r="O165" s="42">
        <f>IF(ISBLANK('Aqueous Species Options'!B165), "", IF('Aqueous Species Options'!K165=0, 'Aqueous Species Options'!I165, IF(OR('Aqueous Species Options'!J165&gt;4,'Aqueous Species Options'!J165&lt;-4), "", IF('Aqueous Species Options'!B165="H+", 0, IF('Aqueous Species Options'!J165=0, -0.038, IF(ISBLANK('Aqueous Species Options'!F165), "", -1514.4*'Aqueous Species Options'!F165*0.00001 + SUM(({4,3,2,1,-1,-2,-3,-4}='Aqueous Species Options'!J165)*{2.1764,1.5793,1.0579,0.5517,1.6291,3.2127,4.8115,6.486}) ) ) ) ) ) )</f>
        <v>-3.7999999999999999E-2</v>
      </c>
      <c r="P165" s="1">
        <f>IF(ISBLANK('Aqueous Species Options'!J165), "", 'Aqueous Species Options'!J165)</f>
        <v>0</v>
      </c>
      <c r="Q165" s="184" t="str">
        <f>IF(ISBLANK('Aqueous Species Options'!T165), "", 'Aqueous Species Options'!T165)</f>
        <v>Sverjensky et al. (1997) with revised a1 equal to the sum of the ions used to predict new values of V using new correlation in Sverjensky et al. (2014)</v>
      </c>
    </row>
    <row r="166" spans="2:17" ht="15" customHeight="1" x14ac:dyDescent="0.2">
      <c r="B166" s="9" t="str">
        <f>IF(ISBLANK('Aqueous Species Options'!B166), "", 'Aqueous Species Options'!B166)</f>
        <v>MoO4-2</v>
      </c>
      <c r="C166" s="9" t="str">
        <f>IF(ISBLANK('Aqueous Species Options'!C166), "", 'Aqueous Species Options'!C166)</f>
        <v>MoO4(-2)</v>
      </c>
      <c r="D166" s="2">
        <f>IF(ISBLANK('Aqueous Species Options'!D166), "", 'Aqueous Species Options'!D166)</f>
        <v>-199900</v>
      </c>
      <c r="E166" s="1">
        <f>IF(ISBLANK('Aqueous Species Options'!E166), "", 'Aqueous Species Options'!E166)</f>
        <v>-238500</v>
      </c>
      <c r="F166" s="139">
        <f>IF(ISBLANK('Aqueous Species Options'!F166), "", 'Aqueous Species Options'!F166)</f>
        <v>6.5</v>
      </c>
      <c r="G166" s="29">
        <f>IF(ISBLANK('Aqueous Species Options'!B166), "", IF('Aqueous Species Options'!L166 = 1, IF(ISBLANK('Aqueous Species Options'!G166), "", 'Aqueous Species Options'!G166), ('Aqueous Species Table'!I166/10 + ('Aqueous Species Table'!J166*100)/(Calculations!$C$12+Calculations!$C$9) + ('Aqueous Species Table'!K166 + ('Aqueous Species Table'!L166*10000)/(Calculations!$C$12+Calculations!$C$9))*(1/(Calculations!$C$8-Calculations!$C$13)) - 'Aqueous Species Table'!O166*100000*0.0000005903)*41.8393))</f>
        <v>30.400121462842691</v>
      </c>
      <c r="H166" s="29">
        <f>IF(ISBLANK('Aqueous Species Options'!B166), "", IF('Aqueous Species Options'!L166 = 1, IF(ISBLANK('Aqueous Species Options'!H166), "", 'Aqueous Species Options'!H166), 'Aqueous Species Table'!M166 + 'Aqueous Species Table'!N166*10000*(1/(Calculations!$C$8-Calculations!$C$13))^2 + 'Aqueous Species Table'!O166*100000*Calculations!$C$8*Calculations!$C$7))</f>
        <v>-47.499549868027678</v>
      </c>
      <c r="I166" s="42">
        <f>IF(ISBLANK('Aqueous Species Options'!B166), "", IF('Aqueous Species Options'!L166=0, 'Aqueous Species Options'!N166, IF(OR(ISBLANK('Aqueous Species Options'!G166),'Aqueous Species Table'!O166="", 'Aqueous Species Table'!P166=""), "", IF('Aqueous Species Options'!B166="H+", 0, (CHOOSE('Aqueous Species Options'!M166+1,'Aqueous Species Options'!$V$4*ABS('Aqueous Species Table'!P166)+'Aqueous Species Options'!$W$4,'Aqueous Species Options'!$Z$4)*('Aqueous Species Options'!G166 + 'Aqueous Species Table'!O166*100000*0.0000005903*41.8393) + CHOOSE('Aqueous Species Options'!M166+1,'Aqueous Species Options'!$X$4*ABS('Aqueous Species Table'!P166)+'Aqueous Species Options'!$Y$4,'Aqueous Species Options'!$AA$4))*10 ) ) ) )</f>
        <v>12.639952721169077</v>
      </c>
      <c r="J166" s="42">
        <f>IF(ISBLANK('Aqueous Species Options'!B166), "", IF('Aqueous Species Options'!L166 = 0, 'Aqueous Species Options'!O166, IF('Aqueous Species Table'!I166="", "", IF('Aqueous Species Options'!B166="H+", 0, ((1.11*('Aqueous Species Options'!G166 + 'Aqueous Species Table'!O166*100000*0.0000005903*41.8393)+1.8)/41.8393 - 'Aqueous Species Table'!I166/10)*26.01 ) ) ) )</f>
        <v>-5.4720756215011264</v>
      </c>
      <c r="K166" s="42">
        <f>IF(ISBLANK('Aqueous Species Options'!B166), "", IF('Aqueous Species Options'!L166 = 0, 'Aqueous Species Options'!P166, IF('Aqueous Species Table'!I166="", "", IF('Aqueous Species Options'!B166="H+", 0, ('Aqueous Species Options'!G166/41.8393 + 'Aqueous Species Table'!O166*100000*0.0000005903 - 'Aqueous Species Table'!I166/10 - 'Aqueous Species Table'!J166*100/2601)*(298.15-228) - ('Aqueous Species Table'!L166*10000/2601) ) ) ) )</f>
        <v>-0.22877057452515892</v>
      </c>
      <c r="L166" s="42">
        <f>IF(ISBLANK('Aqueous Species Options'!B166), "", IF('Aqueous Species Options'!L166 = 0, 'Aqueous Species Options'!Q166, IF('Aqueous Species Table'!J166="", "", IF('Aqueous Species Options'!B166="H+", 0, (-4.134*'Aqueous Species Table'!J166*100 - 27790)*0.0001) ) ) )</f>
        <v>-2.5527843938071433</v>
      </c>
      <c r="M166" s="42">
        <f>IF(ISBLANK('Aqueous Species Options'!B166), "", IF('Aqueous Species Options'!L166=0, 'Aqueous Species Options'!R166, IF('Aqueous Species Table'!N166="", "", IF('Aqueous Species Options'!B166="H+", 0, 'Aqueous Species Options'!H166 - 'Aqueous Species Table'!O166*100000*(-0.000000309)*298.15 - 'Aqueous Species Table'!N166*10000/(298.15-228)^2 ) ) ) )</f>
        <v>7.0223152780082501</v>
      </c>
      <c r="N166" s="42">
        <f>IF(ISBLANK('Aqueous Species Options'!B166), "", IF('Aqueous Species Options'!L166=0, 'Aqueous Species Options'!S166, IF(OR(ISBLANK('Aqueous Species Options'!H166), 'Aqueous Species Table'!O166=""), "", IF('Aqueous Species Options'!B166="H+", 0, 0.2037*'Aqueous Species Options'!H166 - 3.0346) ) ) )</f>
        <v>-12.710258308117236</v>
      </c>
      <c r="O166" s="42">
        <f>IF(ISBLANK('Aqueous Species Options'!B166), "", IF('Aqueous Species Options'!K166=0, 'Aqueous Species Options'!I166, IF(OR('Aqueous Species Options'!J166&gt;4,'Aqueous Species Options'!J166&lt;-4), "", IF('Aqueous Species Options'!B166="H+", 0, IF('Aqueous Species Options'!J166=0, -0.038, IF(ISBLANK('Aqueous Species Options'!F166), "", -1514.4*'Aqueous Species Options'!F166*0.00001 + SUM(({4,3,2,1,-1,-2,-3,-4}='Aqueous Species Options'!J166)*{2.1764,1.5793,1.0579,0.5517,1.6291,3.2127,4.8115,6.486}) ) ) ) ) ) )</f>
        <v>3.1145</v>
      </c>
      <c r="P166" s="1">
        <f>IF(ISBLANK('Aqueous Species Options'!J166), "", 'Aqueous Species Options'!J166)</f>
        <v>-2</v>
      </c>
      <c r="Q166" s="184" t="str">
        <f>IF(ISBLANK('Aqueous Species Options'!T166), "", 'Aqueous Species Options'!T166)</f>
        <v>Shock et al. (1997) revised with new predicted a1 for ions</v>
      </c>
    </row>
    <row r="167" spans="2:17" ht="32" x14ac:dyDescent="0.2">
      <c r="B167" s="9" t="str">
        <f>IF(ISBLANK('Aqueous Species Options'!B167), "", 'Aqueous Species Options'!B167)</f>
        <v>N2,aq</v>
      </c>
      <c r="C167" s="9" t="str">
        <f>IF(ISBLANK('Aqueous Species Options'!C167), "", 'Aqueous Species Options'!C167)</f>
        <v>N2(0)</v>
      </c>
      <c r="D167" s="2">
        <f>IF(ISBLANK('Aqueous Species Options'!D167), "", 'Aqueous Species Options'!D167)</f>
        <v>4347</v>
      </c>
      <c r="E167" s="1">
        <f>IF(ISBLANK('Aqueous Species Options'!E167), "", 'Aqueous Species Options'!E167)</f>
        <v>-2495</v>
      </c>
      <c r="F167" s="139">
        <f>IF(ISBLANK('Aqueous Species Options'!F167), "", 'Aqueous Species Options'!F167)</f>
        <v>22.9</v>
      </c>
      <c r="G167" s="29">
        <f>IF(ISBLANK('Aqueous Species Options'!B167), "", IF('Aqueous Species Options'!L167 = 1, IF(ISBLANK('Aqueous Species Options'!G167), "", 'Aqueous Species Options'!G167), ('Aqueous Species Table'!I167/10 + ('Aqueous Species Table'!J167*100)/(Calculations!$C$12+Calculations!$C$9) + ('Aqueous Species Table'!K167 + ('Aqueous Species Table'!L167*10000)/(Calculations!$C$12+Calculations!$C$9))*(1/(Calculations!$C$8-Calculations!$C$13)) - 'Aqueous Species Table'!O167*100000*0.0000005903)*41.8393))</f>
        <v>33.300234717032126</v>
      </c>
      <c r="H167" s="29">
        <f>IF(ISBLANK('Aqueous Species Options'!B167), "", IF('Aqueous Species Options'!L167 = 1, IF(ISBLANK('Aqueous Species Options'!H167), "", 'Aqueous Species Options'!H167), 'Aqueous Species Table'!M167 + 'Aqueous Species Table'!N167*10000*(1/(Calculations!$C$8-Calculations!$C$13))^2 + 'Aqueous Species Table'!O167*100000*Calculations!$C$8*Calculations!$C$7))</f>
        <v>56.000054926479109</v>
      </c>
      <c r="I167" s="42">
        <f>IF(ISBLANK('Aqueous Species Options'!B167), "", IF('Aqueous Species Options'!L167=0, 'Aqueous Species Options'!N167, IF(OR(ISBLANK('Aqueous Species Options'!G167),'Aqueous Species Table'!O167="", 'Aqueous Species Table'!P167=""), "", IF('Aqueous Species Options'!B167="H+", 0, (CHOOSE('Aqueous Species Options'!M167+1,'Aqueous Species Options'!$V$4*ABS('Aqueous Species Table'!P167)+'Aqueous Species Options'!$W$4,'Aqueous Species Options'!$Z$4)*('Aqueous Species Options'!G167 + 'Aqueous Species Table'!O167*100000*0.0000005903*41.8393) + CHOOSE('Aqueous Species Options'!M167+1,'Aqueous Species Options'!$X$4*ABS('Aqueous Species Table'!P167)+'Aqueous Species Options'!$Y$4,'Aqueous Species Options'!$AA$4))*10 ) ) ) )</f>
        <v>7.8212943049427341</v>
      </c>
      <c r="J167" s="42">
        <f>IF(ISBLANK('Aqueous Species Options'!B167), "", IF('Aqueous Species Options'!L167 = 0, 'Aqueous Species Options'!O167, IF('Aqueous Species Table'!I167="", "", IF('Aqueous Species Options'!B167="H+", 0, ((1.11*('Aqueous Species Options'!G167 + 'Aqueous Species Table'!O167*100000*0.0000005903*41.8393)+1.8)/41.8393 - 'Aqueous Species Table'!I167/10)*26.01 ) ) ) )</f>
        <v>3.163511803667383</v>
      </c>
      <c r="K167" s="42">
        <f>IF(ISBLANK('Aqueous Species Options'!B167), "", IF('Aqueous Species Options'!L167 = 0, 'Aqueous Species Options'!P167, IF('Aqueous Species Table'!I167="", "", IF('Aqueous Species Options'!B167="H+", 0, ('Aqueous Species Options'!G167/41.8393 + 'Aqueous Species Table'!O167*100000*0.0000005903 - 'Aqueous Species Table'!I167/10 - 'Aqueous Species Table'!J167*100/2601)*(298.15-228) - ('Aqueous Species Table'!L167*10000/2601) ) ) ) )</f>
        <v>2.1855260817030828</v>
      </c>
      <c r="L167" s="42">
        <f>IF(ISBLANK('Aqueous Species Options'!B167), "", IF('Aqueous Species Options'!L167 = 0, 'Aqueous Species Options'!Q167, IF('Aqueous Species Table'!J167="", "", IF('Aqueous Species Options'!B167="H+", 0, (-4.134*'Aqueous Species Table'!J167*100 - 27790)*0.0001) ) ) )</f>
        <v>-2.9097795779636098</v>
      </c>
      <c r="M167" s="42">
        <f>IF(ISBLANK('Aqueous Species Options'!B167), "", IF('Aqueous Species Options'!L167=0, 'Aqueous Species Options'!R167, IF('Aqueous Species Table'!N167="", "", IF('Aqueous Species Options'!B167="H+", 0, 'Aqueous Species Options'!H167 - 'Aqueous Species Table'!O167*100000*(-0.000000309)*298.15 - 'Aqueous Species Table'!N167*10000/(298.15-228)^2 ) ) ) )</f>
        <v>35.791077263823126</v>
      </c>
      <c r="N167" s="42">
        <f>IF(ISBLANK('Aqueous Species Options'!B167), "", IF('Aqueous Species Options'!L167=0, 'Aqueous Species Options'!S167, IF(OR(ISBLANK('Aqueous Species Options'!H167), 'Aqueous Species Table'!O167=""), "", IF('Aqueous Species Options'!B167="H+", 0, 0.2037*'Aqueous Species Options'!H167 - 3.0346) ) ) )</f>
        <v>8.3726111885237948</v>
      </c>
      <c r="O167" s="42">
        <f>IF(ISBLANK('Aqueous Species Options'!B167), "", IF('Aqueous Species Options'!K167=0, 'Aqueous Species Options'!I167, IF(OR('Aqueous Species Options'!J167&gt;4,'Aqueous Species Options'!J167&lt;-4), "", IF('Aqueous Species Options'!B167="H+", 0, IF('Aqueous Species Options'!J167=0, -0.038, IF(ISBLANK('Aqueous Species Options'!F167), "", -1514.4*'Aqueous Species Options'!F167*0.00001 + SUM(({4,3,2,1,-1,-2,-3,-4}='Aqueous Species Options'!J167)*{2.1764,1.5793,1.0579,0.5517,1.6291,3.2127,4.8115,6.486}) ) ) ) ) ) )</f>
        <v>-0.3468</v>
      </c>
      <c r="P167" s="1">
        <f>IF(ISBLANK('Aqueous Species Options'!J167), "", 'Aqueous Species Options'!J167)</f>
        <v>0</v>
      </c>
      <c r="Q167" s="184" t="str">
        <f>IF(ISBLANK('Aqueous Species Options'!T167), "", 'Aqueous Species Options'!T167)</f>
        <v>Shock et al. (1989) + new a1 predicted for complex species</v>
      </c>
    </row>
    <row r="168" spans="2:17" ht="15" customHeight="1" x14ac:dyDescent="0.2">
      <c r="B168" s="9" t="str">
        <f>IF(ISBLANK('Aqueous Species Options'!B168), "", 'Aqueous Species Options'!B168)</f>
        <v>Na(Ac),aq</v>
      </c>
      <c r="C168" s="9" t="str">
        <f>IF(ISBLANK('Aqueous Species Options'!C168), "", 'Aqueous Species Options'!C168)</f>
        <v>NaCH3COO(0)</v>
      </c>
      <c r="D168" s="2">
        <f>IF(ISBLANK('Aqueous Species Options'!D168), "", 'Aqueous Species Options'!D168)</f>
        <v>-150720</v>
      </c>
      <c r="E168" s="1">
        <f>IF(ISBLANK('Aqueous Species Options'!E168), "", 'Aqueous Species Options'!E168)</f>
        <v>-173540</v>
      </c>
      <c r="F168" s="139">
        <f>IF(ISBLANK('Aqueous Species Options'!F168), "", 'Aqueous Species Options'!F168)</f>
        <v>34.200000000000003</v>
      </c>
      <c r="G168" s="29">
        <f>IF(ISBLANK('Aqueous Species Options'!B168), "", IF('Aqueous Species Options'!L168 = 1, IF(ISBLANK('Aqueous Species Options'!G168), "", 'Aqueous Species Options'!G168), ('Aqueous Species Table'!I168/10 + ('Aqueous Species Table'!J168*100)/(Calculations!$C$12+Calculations!$C$9) + ('Aqueous Species Table'!K168 + ('Aqueous Species Table'!L168*10000)/(Calculations!$C$12+Calculations!$C$9))*(1/(Calculations!$C$8-Calculations!$C$13)) - 'Aqueous Species Table'!O168*100000*0.0000005903)*41.8393))</f>
        <v>49</v>
      </c>
      <c r="H168" s="29">
        <f>IF(ISBLANK('Aqueous Species Options'!B168), "", IF('Aqueous Species Options'!L168 = 1, IF(ISBLANK('Aqueous Species Options'!H168), "", 'Aqueous Species Options'!H168), 'Aqueous Species Table'!M168 + 'Aqueous Species Table'!N168*10000*(1/(Calculations!$C$8-Calculations!$C$13))^2 + 'Aqueous Species Table'!O168*100000*Calculations!$C$8*Calculations!$C$7))</f>
        <v>75.099999999999994</v>
      </c>
      <c r="I168" s="42">
        <f>IF(ISBLANK('Aqueous Species Options'!B168), "", IF('Aqueous Species Options'!L168=0, 'Aqueous Species Options'!N168, IF(OR(ISBLANK('Aqueous Species Options'!G168),'Aqueous Species Table'!O168="", 'Aqueous Species Table'!P168=""), "", IF('Aqueous Species Options'!B168="H+", 0, (CHOOSE('Aqueous Species Options'!M168+1,'Aqueous Species Options'!$V$4*ABS('Aqueous Species Table'!P168)+'Aqueous Species Options'!$W$4,'Aqueous Species Options'!$Z$4)*('Aqueous Species Options'!G168 + 'Aqueous Species Table'!O168*100000*0.0000005903*41.8393) + CHOOSE('Aqueous Species Options'!M168+1,'Aqueous Species Options'!$X$4*ABS('Aqueous Species Table'!P168)+'Aqueous Species Options'!$Y$4,'Aqueous Species Options'!$AA$4))*10 ) ) ) )</f>
        <v>11.180586435512179</v>
      </c>
      <c r="J168" s="42">
        <f>IF(ISBLANK('Aqueous Species Options'!B168), "", IF('Aqueous Species Options'!L168 = 0, 'Aqueous Species Options'!O168, IF('Aqueous Species Table'!I168="", "", IF('Aqueous Species Options'!B168="H+", 0, ((1.11*('Aqueous Species Options'!G168 + 'Aqueous Species Table'!O168*100000*0.0000005903*41.8393)+1.8)/41.8393 - 'Aqueous Species Table'!I168/10)*26.01 ) ) ) )</f>
        <v>6.3618911537215839</v>
      </c>
      <c r="K168" s="42">
        <f>IF(ISBLANK('Aqueous Species Options'!B168), "", IF('Aqueous Species Options'!L168 = 0, 'Aqueous Species Options'!P168, IF('Aqueous Species Table'!I168="", "", IF('Aqueous Species Options'!B168="H+", 0, ('Aqueous Species Options'!G168/41.8393 + 'Aqueous Species Table'!O168*100000*0.0000005903 - 'Aqueous Species Table'!I168/10 - 'Aqueous Species Table'!J168*100/2601)*(298.15-228) - ('Aqueous Species Table'!L168*10000/2601) ) ) ) )</f>
        <v>-0.49628469308735923</v>
      </c>
      <c r="L168" s="42">
        <f>IF(ISBLANK('Aqueous Species Options'!B168), "", IF('Aqueous Species Options'!L168 = 0, 'Aqueous Species Options'!Q168, IF('Aqueous Species Table'!J168="", "", IF('Aqueous Species Options'!B168="H+", 0, (-4.134*'Aqueous Species Table'!J168*100 - 27790)*0.0001) ) ) )</f>
        <v>-3.0420005802948507</v>
      </c>
      <c r="M168" s="42">
        <f>IF(ISBLANK('Aqueous Species Options'!B168), "", IF('Aqueous Species Options'!L168=0, 'Aqueous Species Options'!R168, IF('Aqueous Species Table'!N168="", "", IF('Aqueous Species Options'!B168="H+", 0, 'Aqueous Species Options'!H168 - 'Aqueous Species Table'!O168*100000*(-0.000000309)*298.15 - 'Aqueous Species Table'!N168*10000/(298.15-228)^2 ) ) ) )</f>
        <v>52.943684010210518</v>
      </c>
      <c r="N168" s="42">
        <f>IF(ISBLANK('Aqueous Species Options'!B168), "", IF('Aqueous Species Options'!L168=0, 'Aqueous Species Options'!S168, IF(OR(ISBLANK('Aqueous Species Options'!H168), 'Aqueous Species Table'!O168=""), "", IF('Aqueous Species Options'!B168="H+", 0, 0.2037*'Aqueous Species Options'!H168 - 3.0346) ) ) )</f>
        <v>12.263269999999999</v>
      </c>
      <c r="O168" s="42">
        <f>IF(ISBLANK('Aqueous Species Options'!B168), "", IF('Aqueous Species Options'!K168=0, 'Aqueous Species Options'!I168, IF(OR('Aqueous Species Options'!J168&gt;4,'Aqueous Species Options'!J168&lt;-4), "", IF('Aqueous Species Options'!B168="H+", 0, IF('Aqueous Species Options'!J168=0, -0.038, IF(ISBLANK('Aqueous Species Options'!F168), "", -1514.4*'Aqueous Species Options'!F168*0.00001 + SUM(({4,3,2,1,-1,-2,-3,-4}='Aqueous Species Options'!J168)*{2.1764,1.5793,1.0579,0.5517,1.6291,3.2127,4.8115,6.486}) ) ) ) ) ) )</f>
        <v>0.3</v>
      </c>
      <c r="P168" s="1">
        <f>IF(ISBLANK('Aqueous Species Options'!J168), "", 'Aqueous Species Options'!J168)</f>
        <v>0</v>
      </c>
      <c r="Q168" s="184" t="str">
        <f>IF(ISBLANK('Aqueous Species Options'!T168), "", 'Aqueous Species Options'!T168)</f>
        <v>G, H, S, Cp, V from Shock &amp; Koretsky (1993); a1 estimated with Sverjensky et al. (2014)</v>
      </c>
    </row>
    <row r="169" spans="2:17" ht="15" customHeight="1" x14ac:dyDescent="0.2">
      <c r="B169" s="9" t="str">
        <f>IF(ISBLANK('Aqueous Species Options'!B169), "", 'Aqueous Species Options'!B169)</f>
        <v>Na(Ac)2-</v>
      </c>
      <c r="C169" s="9" t="str">
        <f>IF(ISBLANK('Aqueous Species Options'!C169), "", 'Aqueous Species Options'!C169)</f>
        <v>Na(CH3COO)2(-1)</v>
      </c>
      <c r="D169" s="2">
        <f>IF(ISBLANK('Aqueous Species Options'!D169), "", 'Aqueous Species Options'!D169)</f>
        <v>-238470</v>
      </c>
      <c r="E169" s="1">
        <f>IF(ISBLANK('Aqueous Species Options'!E169), "", 'Aqueous Species Options'!E169)</f>
        <v>-292400</v>
      </c>
      <c r="F169" s="139">
        <f>IF(ISBLANK('Aqueous Species Options'!F169), "", 'Aqueous Species Options'!F169)</f>
        <v>44</v>
      </c>
      <c r="G169" s="29">
        <f>IF(ISBLANK('Aqueous Species Options'!B169), "", IF('Aqueous Species Options'!L169 = 1, IF(ISBLANK('Aqueous Species Options'!G169), "", 'Aqueous Species Options'!G169), ('Aqueous Species Table'!I169/10 + ('Aqueous Species Table'!J169*100)/(Calculations!$C$12+Calculations!$C$9) + ('Aqueous Species Table'!K169 + ('Aqueous Species Table'!L169*10000)/(Calculations!$C$12+Calculations!$C$9))*(1/(Calculations!$C$8-Calculations!$C$13)) - 'Aqueous Species Table'!O169*100000*0.0000005903)*41.8393))</f>
        <v>103.2</v>
      </c>
      <c r="H169" s="29">
        <f>IF(ISBLANK('Aqueous Species Options'!B169), "", IF('Aqueous Species Options'!L169 = 1, IF(ISBLANK('Aqueous Species Options'!H169), "", 'Aqueous Species Options'!H169), 'Aqueous Species Table'!M169 + 'Aqueous Species Table'!N169*10000*(1/(Calculations!$C$8-Calculations!$C$13))^2 + 'Aqueous Species Table'!O169*100000*Calculations!$C$8*Calculations!$C$7))</f>
        <v>170</v>
      </c>
      <c r="I169" s="42">
        <f>IF(ISBLANK('Aqueous Species Options'!B169), "", IF('Aqueous Species Options'!L169=0, 'Aqueous Species Options'!N169, IF(OR(ISBLANK('Aqueous Species Options'!G169),'Aqueous Species Table'!O169="", 'Aqueous Species Table'!P169=""), "", IF('Aqueous Species Options'!B169="H+", 0, (CHOOSE('Aqueous Species Options'!M169+1,'Aqueous Species Options'!$V$4*ABS('Aqueous Species Table'!P169)+'Aqueous Species Options'!$W$4,'Aqueous Species Options'!$Z$4)*('Aqueous Species Options'!G169 + 'Aqueous Species Table'!O169*100000*0.0000005903*41.8393) + CHOOSE('Aqueous Species Options'!M169+1,'Aqueous Species Options'!$X$4*ABS('Aqueous Species Table'!P169)+'Aqueous Species Options'!$Y$4,'Aqueous Species Options'!$AA$4))*10 ) ) ) )</f>
        <v>22.02466635946482</v>
      </c>
      <c r="J169" s="42">
        <f>IF(ISBLANK('Aqueous Species Options'!B169), "", IF('Aqueous Species Options'!L169 = 0, 'Aqueous Species Options'!O169, IF('Aqueous Species Table'!I169="", "", IF('Aqueous Species Options'!B169="H+", 0, ((1.11*('Aqueous Species Options'!G169 + 'Aqueous Species Table'!O169*100000*0.0000005903*41.8393)+1.8)/41.8393 - 'Aqueous Species Table'!I169/10)*26.01 ) ) ) )</f>
        <v>16.68653097396497</v>
      </c>
      <c r="K169" s="42">
        <f>IF(ISBLANK('Aqueous Species Options'!B169), "", IF('Aqueous Species Options'!L169 = 0, 'Aqueous Species Options'!P169, IF('Aqueous Species Table'!I169="", "", IF('Aqueous Species Options'!B169="H+", 0, ('Aqueous Species Options'!G169/41.8393 + 'Aqueous Species Table'!O169*100000*0.0000005903 - 'Aqueous Species Table'!I169/10 - 'Aqueous Species Table'!J169*100/2601)*(298.15-228) - ('Aqueous Species Table'!L169*10000/2601) ) ) ) )</f>
        <v>-9.1533973383681815</v>
      </c>
      <c r="L169" s="42">
        <f>IF(ISBLANK('Aqueous Species Options'!B169), "", IF('Aqueous Species Options'!L169 = 0, 'Aqueous Species Options'!Q169, IF('Aqueous Species Table'!J169="", "", IF('Aqueous Species Options'!B169="H+", 0, (-4.134*'Aqueous Species Table'!J169*100 - 27790)*0.0001) ) ) )</f>
        <v>-3.4688211904637125</v>
      </c>
      <c r="M169" s="42">
        <f>IF(ISBLANK('Aqueous Species Options'!B169), "", IF('Aqueous Species Options'!L169=0, 'Aqueous Species Options'!R169, IF('Aqueous Species Table'!N169="", "", IF('Aqueous Species Options'!B169="H+", 0, 'Aqueous Species Options'!H169 - 'Aqueous Species Table'!O169*100000*(-0.000000309)*298.15 - 'Aqueous Species Table'!N169*10000/(298.15-228)^2 ) ) ) )</f>
        <v>114.6668686976503</v>
      </c>
      <c r="N169" s="42">
        <f>IF(ISBLANK('Aqueous Species Options'!B169), "", IF('Aqueous Species Options'!L169=0, 'Aqueous Species Options'!S169, IF(OR(ISBLANK('Aqueous Species Options'!H169), 'Aqueous Species Table'!O169=""), "", IF('Aqueous Species Options'!B169="H+", 0, 0.2037*'Aqueous Species Options'!H169 - 3.0346) ) ) )</f>
        <v>31.594399999999997</v>
      </c>
      <c r="O169" s="42">
        <f>IF(ISBLANK('Aqueous Species Options'!B169), "", IF('Aqueous Species Options'!K169=0, 'Aqueous Species Options'!I169, IF(OR('Aqueous Species Options'!J169&gt;4,'Aqueous Species Options'!J169&lt;-4), "", IF('Aqueous Species Options'!B169="H+", 0, IF('Aqueous Species Options'!J169=0, -0.038, IF(ISBLANK('Aqueous Species Options'!F169), "", -1514.4*'Aqueous Species Options'!F169*0.00001 + SUM(({4,3,2,1,-1,-2,-3,-4}='Aqueous Species Options'!J169)*{2.1764,1.5793,1.0579,0.5517,1.6291,3.2127,4.8115,6.486}) ) ) ) ) ) )</f>
        <v>0.96276399999999984</v>
      </c>
      <c r="P169" s="1">
        <f>IF(ISBLANK('Aqueous Species Options'!J169), "", 'Aqueous Species Options'!J169)</f>
        <v>-1</v>
      </c>
      <c r="Q169" s="184" t="str">
        <f>IF(ISBLANK('Aqueous Species Options'!T169), "", 'Aqueous Species Options'!T169)</f>
        <v>G, H, S, Cp, V from Shock &amp; Koretsky (1993); a1 estimated with Sverjensky et al. (2014)</v>
      </c>
    </row>
    <row r="170" spans="2:17" ht="15" customHeight="1" x14ac:dyDescent="0.2">
      <c r="B170" s="9" t="str">
        <f>IF(ISBLANK('Aqueous Species Options'!B170), "", 'Aqueous Species Options'!B170)</f>
        <v>Na(HSO4),aq</v>
      </c>
      <c r="C170" s="9" t="str">
        <f>IF(ISBLANK('Aqueous Species Options'!C170), "", 'Aqueous Species Options'!C170)</f>
        <v>Na(HSO4)(0)</v>
      </c>
      <c r="D170" s="2">
        <f>IF(ISBLANK('Aqueous Species Options'!D170), "", 'Aqueous Species Options'!D170)</f>
        <v>-244000</v>
      </c>
      <c r="E170" s="1">
        <f>IF(ISBLANK('Aqueous Species Options'!E170), "", 'Aqueous Species Options'!E170)</f>
        <v>-271575</v>
      </c>
      <c r="F170" s="139">
        <f>IF(ISBLANK('Aqueous Species Options'!F170), "", 'Aqueous Species Options'!F170)</f>
        <v>37</v>
      </c>
      <c r="G170" s="29">
        <f>IF(ISBLANK('Aqueous Species Options'!B170), "", IF('Aqueous Species Options'!L170 = 1, IF(ISBLANK('Aqueous Species Options'!G170), "", 'Aqueous Species Options'!G170), ('Aqueous Species Table'!I170/10 + ('Aqueous Species Table'!J170*100)/(Calculations!$C$12+Calculations!$C$9) + ('Aqueous Species Table'!K170 + ('Aqueous Species Table'!L170*10000)/(Calculations!$C$12+Calculations!$C$9))*(1/(Calculations!$C$8-Calculations!$C$13)) - 'Aqueous Species Table'!O170*100000*0.0000005903)*41.8393))</f>
        <v>47.7</v>
      </c>
      <c r="H170" s="29">
        <f>IF(ISBLANK('Aqueous Species Options'!B170), "", IF('Aqueous Species Options'!L170 = 1, IF(ISBLANK('Aqueous Species Options'!H170), "", 'Aqueous Species Options'!H170), 'Aqueous Species Table'!M170 + 'Aqueous Species Table'!N170*10000*(1/(Calculations!$C$8-Calculations!$C$13))^2 + 'Aqueous Species Table'!O170*100000*Calculations!$C$8*Calculations!$C$7))</f>
        <v>73.5</v>
      </c>
      <c r="I170" s="42">
        <f>IF(ISBLANK('Aqueous Species Options'!B170), "", IF('Aqueous Species Options'!L170=0, 'Aqueous Species Options'!N170, IF(OR(ISBLANK('Aqueous Species Options'!G170),'Aqueous Species Table'!O170="", 'Aqueous Species Table'!P170=""), "", IF('Aqueous Species Options'!B170="H+", 0, (CHOOSE('Aqueous Species Options'!M170+1,'Aqueous Species Options'!$V$4*ABS('Aqueous Species Table'!P170)+'Aqueous Species Options'!$W$4,'Aqueous Species Options'!$Z$4)*('Aqueous Species Options'!G170 + 'Aqueous Species Table'!O170*100000*0.0000005903*41.8393) + CHOOSE('Aqueous Species Options'!M170+1,'Aqueous Species Options'!$X$4*ABS('Aqueous Species Table'!P170)+'Aqueous Species Options'!$Y$4,'Aqueous Species Options'!$AA$4))*10 ) ) ) )</f>
        <v>10.765030808598377</v>
      </c>
      <c r="J170" s="42">
        <f>IF(ISBLANK('Aqueous Species Options'!B170), "", IF('Aqueous Species Options'!L170 = 0, 'Aqueous Species Options'!O170, IF('Aqueous Species Table'!I170="", "", IF('Aqueous Species Options'!B170="H+", 0, ((1.11*('Aqueous Species Options'!G170 + 'Aqueous Species Table'!O170*100000*0.0000005903*41.8393)+1.8)/41.8393 - 'Aqueous Species Table'!I170/10)*26.01 ) ) ) )</f>
        <v>5.9662409737848359</v>
      </c>
      <c r="K170" s="42">
        <f>IF(ISBLANK('Aqueous Species Options'!B170), "", IF('Aqueous Species Options'!L170 = 0, 'Aqueous Species Options'!P170, IF('Aqueous Species Table'!I170="", "", IF('Aqueous Species Options'!B170="H+", 0, ('Aqueous Species Options'!G170/41.8393 + 'Aqueous Species Table'!O170*100000*0.0000005903 - 'Aqueous Species Table'!I170/10 - 'Aqueous Species Table'!J170*100/2601)*(298.15-228) - ('Aqueous Species Table'!L170*10000/2601) ) ) ) )</f>
        <v>-0.16453576668682501</v>
      </c>
      <c r="L170" s="42">
        <f>IF(ISBLANK('Aqueous Species Options'!B170), "", IF('Aqueous Species Options'!L170 = 0, 'Aqueous Species Options'!Q170, IF('Aqueous Species Table'!J170="", "", IF('Aqueous Species Options'!B170="H+", 0, (-4.134*'Aqueous Species Table'!J170*100 - 27790)*0.0001) ) ) )</f>
        <v>-3.0256444018562654</v>
      </c>
      <c r="M170" s="42">
        <f>IF(ISBLANK('Aqueous Species Options'!B170), "", IF('Aqueous Species Options'!L170=0, 'Aqueous Species Options'!R170, IF('Aqueous Species Table'!N170="", "", IF('Aqueous Species Options'!B170="H+", 0, 'Aqueous Species Options'!H170 - 'Aqueous Species Table'!O170*100000*(-0.000000309)*298.15 - 'Aqueous Species Table'!N170*10000/(298.15-228)^2 ) ) ) )</f>
        <v>48.873621491681547</v>
      </c>
      <c r="N170" s="42">
        <f>IF(ISBLANK('Aqueous Species Options'!B170), "", IF('Aqueous Species Options'!L170=0, 'Aqueous Species Options'!S170, IF(OR(ISBLANK('Aqueous Species Options'!H170), 'Aqueous Species Table'!O170=""), "", IF('Aqueous Species Options'!B170="H+", 0, 0.2037*'Aqueous Species Options'!H170 - 3.0346) ) ) )</f>
        <v>11.937349999999999</v>
      </c>
      <c r="O170" s="42">
        <f>IF(ISBLANK('Aqueous Species Options'!B170), "", IF('Aqueous Species Options'!K170=0, 'Aqueous Species Options'!I170, IF(OR('Aqueous Species Options'!J170&gt;4,'Aqueous Species Options'!J170&lt;-4), "", IF('Aqueous Species Options'!B170="H+", 0, IF('Aqueous Species Options'!J170=0, -0.038, IF(ISBLANK('Aqueous Species Options'!F170), "", -1514.4*'Aqueous Species Options'!F170*0.00001 + SUM(({4,3,2,1,-1,-2,-3,-4}='Aqueous Species Options'!J170)*{2.1764,1.5793,1.0579,0.5517,1.6291,3.2127,4.8115,6.486}) ) ) ) ) ) )</f>
        <v>-0.04</v>
      </c>
      <c r="P170" s="1">
        <f>IF(ISBLANK('Aqueous Species Options'!J170), "", 'Aqueous Species Options'!J170)</f>
        <v>0</v>
      </c>
      <c r="Q170" s="184" t="str">
        <f>IF(ISBLANK('Aqueous Species Options'!T170), "", 'Aqueous Species Options'!T170)</f>
        <v>Beaudry et al. (2024)</v>
      </c>
    </row>
    <row r="171" spans="2:17" ht="15" customHeight="1" x14ac:dyDescent="0.2">
      <c r="B171" s="9" t="str">
        <f>IF(ISBLANK('Aqueous Species Options'!B171), "", 'Aqueous Species Options'!B171)</f>
        <v>Na+</v>
      </c>
      <c r="C171" s="9" t="str">
        <f>IF(ISBLANK('Aqueous Species Options'!C171), "", 'Aqueous Species Options'!C171)</f>
        <v>Na(+)</v>
      </c>
      <c r="D171" s="2">
        <f>IF(ISBLANK('Aqueous Species Options'!D171), "", 'Aqueous Species Options'!D171)</f>
        <v>-62591</v>
      </c>
      <c r="E171" s="1">
        <f>IF(ISBLANK('Aqueous Species Options'!E171), "", 'Aqueous Species Options'!E171)</f>
        <v>-57433</v>
      </c>
      <c r="F171" s="139">
        <f>IF(ISBLANK('Aqueous Species Options'!F171), "", 'Aqueous Species Options'!F171)</f>
        <v>13.96</v>
      </c>
      <c r="G171" s="29">
        <f>IF(ISBLANK('Aqueous Species Options'!B171), "", IF('Aqueous Species Options'!L171 = 1, IF(ISBLANK('Aqueous Species Options'!G171), "", 'Aqueous Species Options'!G171), ('Aqueous Species Table'!I171/10 + ('Aqueous Species Table'!J171*100)/(Calculations!$C$12+Calculations!$C$9) + ('Aqueous Species Table'!K171 + ('Aqueous Species Table'!L171*10000)/(Calculations!$C$12+Calculations!$C$9))*(1/(Calculations!$C$8-Calculations!$C$13)) - 'Aqueous Species Table'!O171*100000*0.0000005903)*41.8393))</f>
        <v>-1.1068086918389906</v>
      </c>
      <c r="H171" s="29">
        <f>IF(ISBLANK('Aqueous Species Options'!B171), "", IF('Aqueous Species Options'!L171 = 1, IF(ISBLANK('Aqueous Species Options'!H171), "", 'Aqueous Species Options'!H171), 'Aqueous Species Table'!M171 + 'Aqueous Species Table'!N171*10000*(1/(Calculations!$C$8-Calculations!$C$13))^2 + 'Aqueous Species Table'!O171*100000*Calculations!$C$8*Calculations!$C$7))</f>
        <v>9.0765525990088101</v>
      </c>
      <c r="I171" s="42">
        <f>IF(ISBLANK('Aqueous Species Options'!B171), "", IF('Aqueous Species Options'!L171=0, 'Aqueous Species Options'!N171, IF(OR(ISBLANK('Aqueous Species Options'!G171),'Aqueous Species Table'!O171="", 'Aqueous Species Table'!P171=""), "", IF('Aqueous Species Options'!B171="H+", 0, (CHOOSE('Aqueous Species Options'!M171+1,'Aqueous Species Options'!$V$4*ABS('Aqueous Species Table'!P171)+'Aqueous Species Options'!$W$4,'Aqueous Species Options'!$Z$4)*('Aqueous Species Options'!G171 + 'Aqueous Species Table'!O171*100000*0.0000005903*41.8393) + CHOOSE('Aqueous Species Options'!M171+1,'Aqueous Species Options'!$X$4*ABS('Aqueous Species Table'!P171)+'Aqueous Species Options'!$Y$4,'Aqueous Species Options'!$AA$4))*10 ) ) ) )</f>
        <v>1.839</v>
      </c>
      <c r="J171" s="42">
        <f>IF(ISBLANK('Aqueous Species Options'!B171), "", IF('Aqueous Species Options'!L171 = 0, 'Aqueous Species Options'!O171, IF('Aqueous Species Table'!I171="", "", IF('Aqueous Species Options'!B171="H+", 0, ((1.11*('Aqueous Species Options'!G171 + 'Aqueous Species Table'!O171*100000*0.0000005903*41.8393)+1.8)/41.8393 - 'Aqueous Species Table'!I171/10)*26.01 ) ) ) )</f>
        <v>-2.2850000000000001</v>
      </c>
      <c r="K171" s="42">
        <f>IF(ISBLANK('Aqueous Species Options'!B171), "", IF('Aqueous Species Options'!L171 = 0, 'Aqueous Species Options'!P171, IF('Aqueous Species Table'!I171="", "", IF('Aqueous Species Options'!B171="H+", 0, ('Aqueous Species Options'!G171/41.8393 + 'Aqueous Species Table'!O171*100000*0.0000005903 - 'Aqueous Species Table'!I171/10 - 'Aqueous Species Table'!J171*100/2601)*(298.15-228) - ('Aqueous Species Table'!L171*10000/2601) ) ) ) )</f>
        <v>3.2559999999999998</v>
      </c>
      <c r="L171" s="42">
        <f>IF(ISBLANK('Aqueous Species Options'!B171), "", IF('Aqueous Species Options'!L171 = 0, 'Aqueous Species Options'!Q171, IF('Aqueous Species Table'!J171="", "", IF('Aqueous Species Options'!B171="H+", 0, (-4.134*'Aqueous Species Table'!J171*100 - 27790)*0.0001) ) ) )</f>
        <v>-2.726</v>
      </c>
      <c r="M171" s="42">
        <f>IF(ISBLANK('Aqueous Species Options'!B171), "", IF('Aqueous Species Options'!L171=0, 'Aqueous Species Options'!R171, IF('Aqueous Species Table'!N171="", "", IF('Aqueous Species Options'!B171="H+", 0, 'Aqueous Species Options'!H171 - 'Aqueous Species Table'!O171*100000*(-0.000000309)*298.15 - 'Aqueous Species Table'!N171*10000/(298.15-228)^2 ) ) ) )</f>
        <v>18.18</v>
      </c>
      <c r="N171" s="42">
        <f>IF(ISBLANK('Aqueous Species Options'!B171), "", IF('Aqueous Species Options'!L171=0, 'Aqueous Species Options'!S171, IF(OR(ISBLANK('Aqueous Species Options'!H171), 'Aqueous Species Table'!O171=""), "", IF('Aqueous Species Options'!B171="H+", 0, 0.2037*'Aqueous Species Options'!H171 - 3.0346) ) ) )</f>
        <v>-2.9809999999999999</v>
      </c>
      <c r="O171" s="42">
        <f>IF(ISBLANK('Aqueous Species Options'!B171), "", IF('Aqueous Species Options'!K171=0, 'Aqueous Species Options'!I171, IF(OR('Aqueous Species Options'!J171&gt;4,'Aqueous Species Options'!J171&lt;-4), "", IF('Aqueous Species Options'!B171="H+", 0, IF('Aqueous Species Options'!J171=0, -0.038, IF(ISBLANK('Aqueous Species Options'!F171), "", -1514.4*'Aqueous Species Options'!F171*0.00001 + SUM(({4,3,2,1,-1,-2,-3,-4}='Aqueous Species Options'!J171)*{2.1764,1.5793,1.0579,0.5517,1.6291,3.2127,4.8115,6.486}) ) ) ) ) ) )</f>
        <v>0.3306</v>
      </c>
      <c r="P171" s="1">
        <f>IF(ISBLANK('Aqueous Species Options'!J171), "", 'Aqueous Species Options'!J171)</f>
        <v>1</v>
      </c>
      <c r="Q171" s="184" t="str">
        <f>IF(ISBLANK('Aqueous Species Options'!T171), "", 'Aqueous Species Options'!T171)</f>
        <v>Shock &amp; Helgeson (1988)</v>
      </c>
    </row>
    <row r="172" spans="2:17" ht="15" customHeight="1" x14ac:dyDescent="0.2">
      <c r="B172" s="9" t="str">
        <f>IF(ISBLANK('Aqueous Species Options'!B172), "", 'Aqueous Species Options'!B172)</f>
        <v>Na2SO4,aq</v>
      </c>
      <c r="C172" s="9" t="str">
        <f>IF(ISBLANK('Aqueous Species Options'!C172), "", 'Aqueous Species Options'!C172)</f>
        <v>Na2SO4(0)</v>
      </c>
      <c r="D172" s="2">
        <f>IF(ISBLANK('Aqueous Species Options'!D172), "", 'Aqueous Species Options'!D172)</f>
        <v>-305500</v>
      </c>
      <c r="E172" s="1">
        <f>IF(ISBLANK('Aqueous Species Options'!E172), "", 'Aqueous Species Options'!E172)</f>
        <v>-279585</v>
      </c>
      <c r="F172" s="139">
        <f>IF(ISBLANK('Aqueous Species Options'!F172), "", 'Aqueous Species Options'!F172)</f>
        <v>27</v>
      </c>
      <c r="G172" s="29">
        <f>IF(ISBLANK('Aqueous Species Options'!B172), "", IF('Aqueous Species Options'!L172 = 1, IF(ISBLANK('Aqueous Species Options'!G172), "", 'Aqueous Species Options'!G172), ('Aqueous Species Table'!I172/10 + ('Aqueous Species Table'!J172*100)/(Calculations!$C$12+Calculations!$C$9) + ('Aqueous Species Table'!K172 + ('Aqueous Species Table'!L172*10000)/(Calculations!$C$12+Calculations!$C$9))*(1/(Calculations!$C$8-Calculations!$C$13)) - 'Aqueous Species Table'!O172*100000*0.0000005903)*41.8393))</f>
        <v>54</v>
      </c>
      <c r="H172" s="29">
        <f>IF(ISBLANK('Aqueous Species Options'!B172), "", IF('Aqueous Species Options'!L172 = 1, IF(ISBLANK('Aqueous Species Options'!H172), "", 'Aqueous Species Options'!H172), 'Aqueous Species Table'!M172 + 'Aqueous Species Table'!N172*10000*(1/(Calculations!$C$8-Calculations!$C$13))^2 + 'Aqueous Species Table'!O172*100000*Calculations!$C$8*Calculations!$C$7))</f>
        <v>95</v>
      </c>
      <c r="I172" s="42">
        <f>IF(ISBLANK('Aqueous Species Options'!B172), "", IF('Aqueous Species Options'!L172=0, 'Aqueous Species Options'!N172, IF(OR(ISBLANK('Aqueous Species Options'!G172),'Aqueous Species Table'!O172="", 'Aqueous Species Table'!P172=""), "", IF('Aqueous Species Options'!B172="H+", 0, (CHOOSE('Aqueous Species Options'!M172+1,'Aqueous Species Options'!$V$4*ABS('Aqueous Species Table'!P172)+'Aqueous Species Options'!$W$4,'Aqueous Species Options'!$Z$4)*('Aqueous Species Options'!G172 + 'Aqueous Species Table'!O172*100000*0.0000005903*41.8393) + CHOOSE('Aqueous Species Options'!M172+1,'Aqueous Species Options'!$X$4*ABS('Aqueous Species Table'!P172)+'Aqueous Species Options'!$Y$4,'Aqueous Species Options'!$AA$4))*10 ) ) ) )</f>
        <v>12.151636435512177</v>
      </c>
      <c r="J172" s="42">
        <f>IF(ISBLANK('Aqueous Species Options'!B172), "", IF('Aqueous Species Options'!L172 = 0, 'Aqueous Species Options'!O172, IF('Aqueous Species Table'!I172="", "", IF('Aqueous Species Options'!B172="H+", 0, ((1.11*('Aqueous Species Options'!G172 + 'Aqueous Species Table'!O172*100000*0.0000005903*41.8393)+1.8)/41.8393 - 'Aqueous Species Table'!I172/10)*26.01 ) ) ) )</f>
        <v>7.2864270818737156</v>
      </c>
      <c r="K172" s="42">
        <f>IF(ISBLANK('Aqueous Species Options'!B172), "", IF('Aqueous Species Options'!L172 = 0, 'Aqueous Species Options'!P172, IF('Aqueous Species Table'!I172="", "", IF('Aqueous Species Options'!B172="H+", 0, ('Aqueous Species Options'!G172/41.8393 + 'Aqueous Species Table'!O172*100000*0.0000005903 - 'Aqueous Species Table'!I172/10 - 'Aqueous Species Table'!J172*100/2601)*(298.15-228) - ('Aqueous Species Table'!L172*10000/2601) ) ) ) )</f>
        <v>-1.2714993072504068</v>
      </c>
      <c r="L172" s="42">
        <f>IF(ISBLANK('Aqueous Species Options'!B172), "", IF('Aqueous Species Options'!L172 = 0, 'Aqueous Species Options'!Q172, IF('Aqueous Species Table'!J172="", "", IF('Aqueous Species Options'!B172="H+", 0, (-4.134*'Aqueous Species Table'!J172*100 - 27790)*0.0001) ) ) )</f>
        <v>-3.0802208955646595</v>
      </c>
      <c r="M172" s="42">
        <f>IF(ISBLANK('Aqueous Species Options'!B172), "", IF('Aqueous Species Options'!L172=0, 'Aqueous Species Options'!R172, IF('Aqueous Species Table'!N172="", "", IF('Aqueous Species Options'!B172="H+", 0, 'Aqueous Species Options'!H172 - 'Aqueous Species Table'!O172*100000*(-0.000000309)*298.15 - 'Aqueous Species Table'!N172*10000/(298.15-228)^2 ) ) ) )</f>
        <v>64.606310578164639</v>
      </c>
      <c r="N172" s="42">
        <f>IF(ISBLANK('Aqueous Species Options'!B172), "", IF('Aqueous Species Options'!L172=0, 'Aqueous Species Options'!S172, IF(OR(ISBLANK('Aqueous Species Options'!H172), 'Aqueous Species Table'!O172=""), "", IF('Aqueous Species Options'!B172="H+", 0, 0.2037*'Aqueous Species Options'!H172 - 3.0346) ) ) )</f>
        <v>16.316899999999997</v>
      </c>
      <c r="O172" s="42">
        <f>IF(ISBLANK('Aqueous Species Options'!B172), "", IF('Aqueous Species Options'!K172=0, 'Aqueous Species Options'!I172, IF(OR('Aqueous Species Options'!J172&gt;4,'Aqueous Species Options'!J172&lt;-4), "", IF('Aqueous Species Options'!B172="H+", 0, IF('Aqueous Species Options'!J172=0, -0.038, IF(ISBLANK('Aqueous Species Options'!F172), "", -1514.4*'Aqueous Species Options'!F172*0.00001 + SUM(({4,3,2,1,-1,-2,-3,-4}='Aqueous Species Options'!J172)*{2.1764,1.5793,1.0579,0.5517,1.6291,3.2127,4.8115,6.486}) ) ) ) ) ) )</f>
        <v>0.3</v>
      </c>
      <c r="P172" s="1">
        <f>IF(ISBLANK('Aqueous Species Options'!J172), "", 'Aqueous Species Options'!J172)</f>
        <v>0</v>
      </c>
      <c r="Q172" s="184" t="str">
        <f>IF(ISBLANK('Aqueous Species Options'!T172), "", 'Aqueous Species Options'!T172)</f>
        <v>Beaudry et al. (2024)</v>
      </c>
    </row>
    <row r="173" spans="2:17" ht="15" customHeight="1" x14ac:dyDescent="0.2">
      <c r="B173" s="9" t="str">
        <f>IF(ISBLANK('Aqueous Species Options'!B173), "", 'Aqueous Species Options'!B173)</f>
        <v>NaCl,aq</v>
      </c>
      <c r="C173" s="9" t="str">
        <f>IF(ISBLANK('Aqueous Species Options'!C173), "", 'Aqueous Species Options'!C173)</f>
        <v>NaCl(0)</v>
      </c>
      <c r="D173" s="2">
        <f>IF(ISBLANK('Aqueous Species Options'!D173), "", 'Aqueous Species Options'!D173)</f>
        <v>-92910</v>
      </c>
      <c r="E173" s="1">
        <f>IF(ISBLANK('Aqueous Species Options'!E173), "", 'Aqueous Species Options'!E173)</f>
        <v>-96120</v>
      </c>
      <c r="F173" s="139">
        <f>IF(ISBLANK('Aqueous Species Options'!F173), "", 'Aqueous Species Options'!F173)</f>
        <v>28</v>
      </c>
      <c r="G173" s="29">
        <f>IF(ISBLANK('Aqueous Species Options'!B173), "", IF('Aqueous Species Options'!L173 = 1, IF(ISBLANK('Aqueous Species Options'!G173), "", 'Aqueous Species Options'!G173), ('Aqueous Species Table'!I173/10 + ('Aqueous Species Table'!J173*100)/(Calculations!$C$12+Calculations!$C$9) + ('Aqueous Species Table'!K173 + ('Aqueous Species Table'!L173*10000)/(Calculations!$C$12+Calculations!$C$9))*(1/(Calculations!$C$8-Calculations!$C$13)) - 'Aqueous Species Table'!O173*100000*0.0000005903)*41.8393))</f>
        <v>24.00006579374395</v>
      </c>
      <c r="H173" s="29">
        <f>IF(ISBLANK('Aqueous Species Options'!B173), "", IF('Aqueous Species Options'!L173 = 1, IF(ISBLANK('Aqueous Species Options'!H173), "", 'Aqueous Species Options'!H173), 'Aqueous Species Table'!M173 + 'Aqueous Species Table'!N173*10000*(1/(Calculations!$C$8-Calculations!$C$13))^2 + 'Aqueous Species Table'!O173*100000*Calculations!$C$8*Calculations!$C$7))</f>
        <v>8.5083603247707007</v>
      </c>
      <c r="I173" s="42">
        <f>IF(ISBLANK('Aqueous Species Options'!B173), "", IF('Aqueous Species Options'!L173=0, 'Aqueous Species Options'!N173, IF(OR(ISBLANK('Aqueous Species Options'!G173),'Aqueous Species Table'!O173="", 'Aqueous Species Table'!P173=""), "", IF('Aqueous Species Options'!B173="H+", 0, (CHOOSE('Aqueous Species Options'!M173+1,'Aqueous Species Options'!$V$4*ABS('Aqueous Species Table'!P173)+'Aqueous Species Options'!$W$4,'Aqueous Species Options'!$Z$4)*('Aqueous Species Options'!G173 + 'Aqueous Species Table'!O173*100000*0.0000005903*41.8393) + CHOOSE('Aqueous Species Options'!M173+1,'Aqueous Species Options'!$X$4*ABS('Aqueous Species Table'!P173)+'Aqueous Species Options'!$Y$4,'Aqueous Species Options'!$AA$4))*10 ) ) ) )</f>
        <v>6.1632258959714701</v>
      </c>
      <c r="J173" s="42">
        <f>IF(ISBLANK('Aqueous Species Options'!B173), "", IF('Aqueous Species Options'!L173 = 0, 'Aqueous Species Options'!O173, IF('Aqueous Species Table'!I173="", "", IF('Aqueous Species Options'!B173="H+", 0, ((1.11*('Aqueous Species Options'!G173 + 'Aqueous Species Table'!O173*100000*0.0000005903*41.8393)+1.8)/41.8393 - 'Aqueous Species Table'!I173/10)*26.01 ) ) ) )</f>
        <v>1.5848661979540304</v>
      </c>
      <c r="K173" s="42">
        <f>IF(ISBLANK('Aqueous Species Options'!B173), "", IF('Aqueous Species Options'!L173 = 0, 'Aqueous Species Options'!P173, IF('Aqueous Species Table'!I173="", "", IF('Aqueous Species Options'!B173="H+", 0, ('Aqueous Species Options'!G173/41.8393 + 'Aqueous Species Table'!O173*100000*0.0000005903 - 'Aqueous Species Table'!I173/10 - 'Aqueous Species Table'!J173*100/2601)*(298.15-228) - ('Aqueous Species Table'!L173*10000/2601) ) ) ) )</f>
        <v>3.5092054616696684</v>
      </c>
      <c r="L173" s="42">
        <f>IF(ISBLANK('Aqueous Species Options'!B173), "", IF('Aqueous Species Options'!L173 = 0, 'Aqueous Species Options'!Q173, IF('Aqueous Species Table'!J173="", "", IF('Aqueous Species Options'!B173="H+", 0, (-4.134*'Aqueous Species Table'!J173*100 - 27790)*0.0001) ) ) )</f>
        <v>-2.8445183686234197</v>
      </c>
      <c r="M173" s="42">
        <f>IF(ISBLANK('Aqueous Species Options'!B173), "", IF('Aqueous Species Options'!L173=0, 'Aqueous Species Options'!R173, IF('Aqueous Species Table'!N173="", "", IF('Aqueous Species Options'!B173="H+", 0, 'Aqueous Species Options'!H173 - 'Aqueous Species Table'!O173*100000*(-0.000000309)*298.15 - 'Aqueous Species Table'!N173*10000/(298.15-228)^2 ) ) ) )</f>
        <v>10.802940449559435</v>
      </c>
      <c r="N173" s="42">
        <f>IF(ISBLANK('Aqueous Species Options'!B173), "", IF('Aqueous Species Options'!L173=0, 'Aqueous Species Options'!S173, IF(OR(ISBLANK('Aqueous Species Options'!H173), 'Aqueous Species Table'!O173=""), "", IF('Aqueous Species Options'!B173="H+", 0, 0.2037*'Aqueous Species Options'!H173 - 3.0346) ) ) )</f>
        <v>-1.3014470018442086</v>
      </c>
      <c r="O173" s="42">
        <f>IF(ISBLANK('Aqueous Species Options'!B173), "", IF('Aqueous Species Options'!K173=0, 'Aqueous Species Options'!I173, IF(OR('Aqueous Species Options'!J173&gt;4,'Aqueous Species Options'!J173&lt;-4), "", IF('Aqueous Species Options'!B173="H+", 0, IF('Aqueous Species Options'!J173=0, -0.038, IF(ISBLANK('Aqueous Species Options'!F173), "", -1514.4*'Aqueous Species Options'!F173*0.00001 + SUM(({4,3,2,1,-1,-2,-3,-4}='Aqueous Species Options'!J173)*{2.1764,1.5793,1.0579,0.5517,1.6291,3.2127,4.8115,6.486}) ) ) ) ) ) )</f>
        <v>-3.7999999999999999E-2</v>
      </c>
      <c r="P173" s="1">
        <f>IF(ISBLANK('Aqueous Species Options'!J173), "", 'Aqueous Species Options'!J173)</f>
        <v>0</v>
      </c>
      <c r="Q173" s="184" t="str">
        <f>IF(ISBLANK('Aqueous Species Options'!T173), "", 'Aqueous Species Options'!T173)</f>
        <v>Sverjensky et al. (1997) with new predicted a1 value</v>
      </c>
    </row>
    <row r="174" spans="2:17" ht="15" customHeight="1" x14ac:dyDescent="0.2">
      <c r="B174" s="9" t="str">
        <f>IF(ISBLANK('Aqueous Species Options'!B174), "", 'Aqueous Species Options'!B174)</f>
        <v>NaCO3-</v>
      </c>
      <c r="C174" s="9" t="str">
        <f>IF(ISBLANK('Aqueous Species Options'!C174), "", 'Aqueous Species Options'!C174)</f>
        <v>NaCO3(-)</v>
      </c>
      <c r="D174" s="2">
        <f>IF(ISBLANK('Aqueous Species Options'!D174), "", 'Aqueous Species Options'!D174)</f>
        <v>-190562</v>
      </c>
      <c r="E174" s="1" t="str">
        <f>IF(ISBLANK('Aqueous Species Options'!E174), "", 'Aqueous Species Options'!E174)</f>
        <v/>
      </c>
      <c r="F174" s="139">
        <f>IF(ISBLANK('Aqueous Species Options'!F174), "", 'Aqueous Species Options'!F174)</f>
        <v>8</v>
      </c>
      <c r="G174" s="29">
        <f>IF(ISBLANK('Aqueous Species Options'!B174), "", IF('Aqueous Species Options'!L174 = 1, IF(ISBLANK('Aqueous Species Options'!G174), "", 'Aqueous Species Options'!G174), ('Aqueous Species Table'!I174/10 + ('Aqueous Species Table'!J174*100)/(Calculations!$C$12+Calculations!$C$9) + ('Aqueous Species Table'!K174 + ('Aqueous Species Table'!L174*10000)/(Calculations!$C$12+Calculations!$C$9))*(1/(Calculations!$C$8-Calculations!$C$13)) - 'Aqueous Species Table'!O174*100000*0.0000005903)*41.8393))</f>
        <v>27.8</v>
      </c>
      <c r="H174" s="29">
        <f>IF(ISBLANK('Aqueous Species Options'!B174), "", IF('Aqueous Species Options'!L174 = 1, IF(ISBLANK('Aqueous Species Options'!H174), "", 'Aqueous Species Options'!H174), 'Aqueous Species Table'!M174 + 'Aqueous Species Table'!N174*10000*(1/(Calculations!$C$8-Calculations!$C$13))^2 + 'Aqueous Species Table'!O174*100000*Calculations!$C$8*Calculations!$C$7))</f>
        <v>-1</v>
      </c>
      <c r="I174" s="42">
        <f>IF(ISBLANK('Aqueous Species Options'!B174), "", IF('Aqueous Species Options'!L174=0, 'Aqueous Species Options'!N174, IF(OR(ISBLANK('Aqueous Species Options'!G174),'Aqueous Species Table'!O174="", 'Aqueous Species Table'!P174=""), "", IF('Aqueous Species Options'!B174="H+", 0, (CHOOSE('Aqueous Species Options'!M174+1,'Aqueous Species Options'!$V$4*ABS('Aqueous Species Table'!P174)+'Aqueous Species Options'!$W$4,'Aqueous Species Options'!$Z$4)*('Aqueous Species Options'!G174 + 'Aqueous Species Table'!O174*100000*0.0000005903*41.8393) + CHOOSE('Aqueous Species Options'!M174+1,'Aqueous Species Options'!$X$4*ABS('Aqueous Species Table'!P174)+'Aqueous Species Options'!$Y$4,'Aqueous Species Options'!$AA$4))*10 ) ) ) )</f>
        <v>7.642732473792389</v>
      </c>
      <c r="J174" s="42">
        <f>IF(ISBLANK('Aqueous Species Options'!B174), "", IF('Aqueous Species Options'!L174 = 0, 'Aqueous Species Options'!O174, IF('Aqueous Species Table'!I174="", "", IF('Aqueous Species Options'!B174="H+", 0, ((1.11*('Aqueous Species Options'!G174 + 'Aqueous Species Table'!O174*100000*0.0000005903*41.8393)+1.8)/41.8393 - 'Aqueous Species Table'!I174/10)*26.01 ) ) ) )</f>
        <v>2.9935032270800592</v>
      </c>
      <c r="K174" s="42">
        <f>IF(ISBLANK('Aqueous Species Options'!B174), "", IF('Aqueous Species Options'!L174 = 0, 'Aqueous Species Options'!P174, IF('Aqueous Species Table'!I174="", "", IF('Aqueous Species Options'!B174="H+", 0, ('Aqueous Species Options'!G174/41.8393 + 'Aqueous Species Table'!O174*100000*0.0000005903 - 'Aqueous Species Table'!I174/10 - 'Aqueous Species Table'!J174*100/2601)*(298.15-228) - ('Aqueous Species Table'!L174*10000/2601) ) ) ) )</f>
        <v>2.3280766620433937</v>
      </c>
      <c r="L174" s="42">
        <f>IF(ISBLANK('Aqueous Species Options'!B174), "", IF('Aqueous Species Options'!L174 = 0, 'Aqueous Species Options'!Q174, IF('Aqueous Species Table'!J174="", "", IF('Aqueous Species Options'!B174="H+", 0, (-4.134*'Aqueous Species Table'!J174*100 - 27790)*0.0001) ) ) )</f>
        <v>-2.9027514234074898</v>
      </c>
      <c r="M174" s="42">
        <f>IF(ISBLANK('Aqueous Species Options'!B174), "", IF('Aqueous Species Options'!L174=0, 'Aqueous Species Options'!R174, IF('Aqueous Species Table'!N174="", "", IF('Aqueous Species Options'!B174="H+", 0, 'Aqueous Species Options'!H174 - 'Aqueous Species Table'!O174*100000*(-0.000000309)*298.15 - 'Aqueous Species Table'!N174*10000/(298.15-228)^2 ) ) ) )</f>
        <v>19.473019079006189</v>
      </c>
      <c r="N174" s="42">
        <f>IF(ISBLANK('Aqueous Species Options'!B174), "", IF('Aqueous Species Options'!L174=0, 'Aqueous Species Options'!S174, IF(OR(ISBLANK('Aqueous Species Options'!H174), 'Aqueous Species Table'!O174=""), "", IF('Aqueous Species Options'!B174="H+", 0, 0.2037*'Aqueous Species Options'!H174 - 3.0346) ) ) )</f>
        <v>-3.2383000000000002</v>
      </c>
      <c r="O174" s="42">
        <f>IF(ISBLANK('Aqueous Species Options'!B174), "", IF('Aqueous Species Options'!K174=0, 'Aqueous Species Options'!I174, IF(OR('Aqueous Species Options'!J174&gt;4,'Aqueous Species Options'!J174&lt;-4), "", IF('Aqueous Species Options'!B174="H+", 0, IF('Aqueous Species Options'!J174=0, -0.038, IF(ISBLANK('Aqueous Species Options'!F174), "", -1514.4*'Aqueous Species Options'!F174*0.00001 + SUM(({4,3,2,1,-1,-2,-3,-4}='Aqueous Species Options'!J174)*{2.1764,1.5793,1.0579,0.5517,1.6291,3.2127,4.8115,6.486}) ) ) ) ) ) )</f>
        <v>1.5079480000000001</v>
      </c>
      <c r="P174" s="1">
        <f>IF(ISBLANK('Aqueous Species Options'!J174), "", 'Aqueous Species Options'!J174)</f>
        <v>-1</v>
      </c>
      <c r="Q174" s="184" t="str">
        <f>IF(ISBLANK('Aqueous Species Options'!T174), "", 'Aqueous Species Options'!T174)</f>
        <v>Fit to Stefansson et al. (2013; 80 to 200 C) &amp; Garrels et al., (1961; at 25 C) to get G, S and Cp;  with a1 pred. from the sum of the ions and used to predict the volume</v>
      </c>
    </row>
    <row r="175" spans="2:17" ht="15" customHeight="1" x14ac:dyDescent="0.2">
      <c r="B175" s="9" t="str">
        <f>IF(ISBLANK('Aqueous Species Options'!B175), "", 'Aqueous Species Options'!B175)</f>
        <v>NaHCO3,aq</v>
      </c>
      <c r="C175" s="9" t="str">
        <f>IF(ISBLANK('Aqueous Species Options'!C175), "", 'Aqueous Species Options'!C175)</f>
        <v>NaHCO3(0)</v>
      </c>
      <c r="D175" s="2">
        <f>IF(ISBLANK('Aqueous Species Options'!D175), "", 'Aqueous Species Options'!D175)</f>
        <v>-203100</v>
      </c>
      <c r="E175" s="1">
        <f>IF(ISBLANK('Aqueous Species Options'!E175), "", 'Aqueous Species Options'!E175)</f>
        <v>-219552</v>
      </c>
      <c r="F175" s="139">
        <f>IF(ISBLANK('Aqueous Species Options'!F175), "", 'Aqueous Species Options'!F175)</f>
        <v>32</v>
      </c>
      <c r="G175" s="29">
        <f>IF(ISBLANK('Aqueous Species Options'!B175), "", IF('Aqueous Species Options'!L175 = 1, IF(ISBLANK('Aqueous Species Options'!G175), "", 'Aqueous Species Options'!G175), ('Aqueous Species Table'!I175/10 + ('Aqueous Species Table'!J175*100)/(Calculations!$C$12+Calculations!$C$9) + ('Aqueous Species Table'!K175 + ('Aqueous Species Table'!L175*10000)/(Calculations!$C$12+Calculations!$C$9))*(1/(Calculations!$C$8-Calculations!$C$13)) - 'Aqueous Species Table'!O175*100000*0.0000005903)*41.8393))</f>
        <v>39</v>
      </c>
      <c r="H175" s="29">
        <f>IF(ISBLANK('Aqueous Species Options'!B175), "", IF('Aqueous Species Options'!L175 = 1, IF(ISBLANK('Aqueous Species Options'!H175), "", 'Aqueous Species Options'!H175), 'Aqueous Species Table'!M175 + 'Aqueous Species Table'!N175*10000*(1/(Calculations!$C$8-Calculations!$C$13))^2 + 'Aqueous Species Table'!O175*100000*Calculations!$C$8*Calculations!$C$7))</f>
        <v>62</v>
      </c>
      <c r="I175" s="42">
        <f>IF(ISBLANK('Aqueous Species Options'!B175), "", IF('Aqueous Species Options'!L175=0, 'Aqueous Species Options'!N175, IF(OR(ISBLANK('Aqueous Species Options'!G175),'Aqueous Species Table'!O175="", 'Aqueous Species Table'!P175=""), "", IF('Aqueous Species Options'!B175="H+", 0, (CHOOSE('Aqueous Species Options'!M175+1,'Aqueous Species Options'!$V$4*ABS('Aqueous Species Table'!P175)+'Aqueous Species Options'!$W$4,'Aqueous Species Options'!$Z$4)*('Aqueous Species Options'!G175 + 'Aqueous Species Table'!O175*100000*0.0000005903*41.8393) + CHOOSE('Aqueous Species Options'!M175+1,'Aqueous Species Options'!$X$4*ABS('Aqueous Species Table'!P175)+'Aqueous Species Options'!$Y$4,'Aqueous Species Options'!$AA$4))*10 ) ) ) )</f>
        <v>9.4783138280324728</v>
      </c>
      <c r="J175" s="42">
        <f>IF(ISBLANK('Aqueous Species Options'!B175), "", IF('Aqueous Species Options'!L175 = 0, 'Aqueous Species Options'!O175, IF('Aqueous Species Table'!I175="", "", IF('Aqueous Species Options'!B175="H+", 0, ((1.11*('Aqueous Species Options'!G175 + 'Aqueous Species Table'!O175*100000*0.0000005903*41.8393)+1.8)/41.8393 - 'Aqueous Species Table'!I175/10)*26.01 ) ) ) )</f>
        <v>4.7411587659720658</v>
      </c>
      <c r="K175" s="42">
        <f>IF(ISBLANK('Aqueous Species Options'!B175), "", IF('Aqueous Species Options'!L175 = 0, 'Aqueous Species Options'!P175, IF('Aqueous Species Table'!I175="", "", IF('Aqueous Species Options'!B175="H+", 0, ('Aqueous Species Options'!G175/41.8393 + 'Aqueous Species Table'!O175*100000*0.0000005903 - 'Aqueous Species Table'!I175/10 - 'Aqueous Species Table'!J175*100/2601)*(298.15-228) - ('Aqueous Species Table'!L175*10000/2601) ) ) ) )</f>
        <v>0.86268405477077614</v>
      </c>
      <c r="L175" s="42">
        <f>IF(ISBLANK('Aqueous Species Options'!B175), "", IF('Aqueous Species Options'!L175 = 0, 'Aqueous Species Options'!Q175, IF('Aqueous Species Table'!J175="", "", IF('Aqueous Species Options'!B175="H+", 0, (-4.134*'Aqueous Species Table'!J175*100 - 27790)*0.0001) ) ) )</f>
        <v>-2.9749995033852854</v>
      </c>
      <c r="M175" s="42">
        <f>IF(ISBLANK('Aqueous Species Options'!B175), "", IF('Aqueous Species Options'!L175=0, 'Aqueous Species Options'!R175, IF('Aqueous Species Table'!N175="", "", IF('Aqueous Species Options'!B175="H+", 0, 'Aqueous Species Options'!H175 - 'Aqueous Species Table'!O175*100000*(-0.000000309)*298.15 - 'Aqueous Species Table'!N175*10000/(298.15-228)^2 ) ) ) )</f>
        <v>49.872694071004531</v>
      </c>
      <c r="N175" s="42">
        <f>IF(ISBLANK('Aqueous Species Options'!B175), "", IF('Aqueous Species Options'!L175=0, 'Aqueous Species Options'!S175, IF(OR(ISBLANK('Aqueous Species Options'!H175), 'Aqueous Species Table'!O175=""), "", IF('Aqueous Species Options'!B175="H+", 0, 0.2037*'Aqueous Species Options'!H175 - 3.0346) ) ) )</f>
        <v>9.5947999999999993</v>
      </c>
      <c r="O175" s="42">
        <f>IF(ISBLANK('Aqueous Species Options'!B175), "", IF('Aqueous Species Options'!K175=0, 'Aqueous Species Options'!I175, IF(OR('Aqueous Species Options'!J175&gt;4,'Aqueous Species Options'!J175&lt;-4), "", IF('Aqueous Species Options'!B175="H+", 0, IF('Aqueous Species Options'!J175=0, -0.038, IF(ISBLANK('Aqueous Species Options'!F175), "", -1514.4*'Aqueous Species Options'!F175*0.00001 + SUM(({4,3,2,1,-1,-2,-3,-4}='Aqueous Species Options'!J175)*{2.1764,1.5793,1.0579,0.5517,1.6291,3.2127,4.8115,6.486}) ) ) ) ) ) )</f>
        <v>0.8</v>
      </c>
      <c r="P175" s="1">
        <f>IF(ISBLANK('Aqueous Species Options'!J175), "", 'Aqueous Species Options'!J175)</f>
        <v>0</v>
      </c>
      <c r="Q175" s="184" t="str">
        <f>IF(ISBLANK('Aqueous Species Options'!T175), "", 'Aqueous Species Options'!T175)</f>
        <v>Huang &amp; Sverjensky (2019)</v>
      </c>
    </row>
    <row r="176" spans="2:17" ht="15" customHeight="1" x14ac:dyDescent="0.2">
      <c r="B176" s="9" t="str">
        <f>IF(ISBLANK('Aqueous Species Options'!B176), "", 'Aqueous Species Options'!B176)</f>
        <v>NaHSiO3,aq</v>
      </c>
      <c r="C176" s="9" t="str">
        <f>IF(ISBLANK('Aqueous Species Options'!C176), "", 'Aqueous Species Options'!C176)</f>
        <v>NaHSiO3(0)</v>
      </c>
      <c r="D176" s="2">
        <f>IF(ISBLANK('Aqueous Species Options'!D176), "", 'Aqueous Species Options'!D176)</f>
        <v>-307140</v>
      </c>
      <c r="E176" s="1">
        <f>IF(ISBLANK('Aqueous Species Options'!E176), "", 'Aqueous Species Options'!E176)</f>
        <v>-333044</v>
      </c>
      <c r="F176" s="139">
        <f>IF(ISBLANK('Aqueous Species Options'!F176), "", 'Aqueous Species Options'!F176)</f>
        <v>19</v>
      </c>
      <c r="G176" s="29">
        <f>IF(ISBLANK('Aqueous Species Options'!B176), "", IF('Aqueous Species Options'!L176 = 1, IF(ISBLANK('Aqueous Species Options'!G176), "", 'Aqueous Species Options'!G176), ('Aqueous Species Table'!I176/10 + ('Aqueous Species Table'!J176*100)/(Calculations!$C$12+Calculations!$C$9) + ('Aqueous Species Table'!K176 + ('Aqueous Species Table'!L176*10000)/(Calculations!$C$12+Calculations!$C$9))*(1/(Calculations!$C$8-Calculations!$C$13)) - 'Aqueous Species Table'!O176*100000*0.0000005903)*41.8393))</f>
        <v>18.7</v>
      </c>
      <c r="H176" s="29">
        <f>IF(ISBLANK('Aqueous Species Options'!B176), "", IF('Aqueous Species Options'!L176 = 1, IF(ISBLANK('Aqueous Species Options'!H176), "", 'Aqueous Species Options'!H176), 'Aqueous Species Table'!M176 + 'Aqueous Species Table'!N176*10000*(1/(Calculations!$C$8-Calculations!$C$13))^2 + 'Aqueous Species Table'!O176*100000*Calculations!$C$8*Calculations!$C$7))</f>
        <v>2.3400874553111497</v>
      </c>
      <c r="I176" s="42">
        <f>IF(ISBLANK('Aqueous Species Options'!B176), "", IF('Aqueous Species Options'!L176=0, 'Aqueous Species Options'!N176, IF(OR(ISBLANK('Aqueous Species Options'!G176),'Aqueous Species Table'!O176="", 'Aqueous Species Table'!P176=""), "", IF('Aqueous Species Options'!B176="H+", 0, (CHOOSE('Aqueous Species Options'!M176+1,'Aqueous Species Options'!$V$4*ABS('Aqueous Species Table'!P176)+'Aqueous Species Options'!$W$4,'Aqueous Species Options'!$Z$4)*('Aqueous Species Options'!G176 + 'Aqueous Species Table'!O176*100000*0.0000005903*41.8393) + CHOOSE('Aqueous Species Options'!M176+1,'Aqueous Species Options'!$X$4*ABS('Aqueous Species Table'!P176)+'Aqueous Species Options'!$Y$4,'Aqueous Species Options'!$AA$4))*10 ) ) ) )</f>
        <v>5.1339001181684569</v>
      </c>
      <c r="J176" s="42">
        <f>IF(ISBLANK('Aqueous Species Options'!B176), "", IF('Aqueous Species Options'!L176 = 0, 'Aqueous Species Options'!O176, IF('Aqueous Species Table'!I176="", "", IF('Aqueous Species Options'!B176="H+", 0, ((1.11*('Aqueous Species Options'!G176 + 'Aqueous Species Table'!O176*100000*0.0000005903*41.8393)+1.8)/41.8393 - 'Aqueous Species Table'!I176/10)*26.01 ) ) ) )</f>
        <v>0.6048459483767572</v>
      </c>
      <c r="K176" s="42">
        <f>IF(ISBLANK('Aqueous Species Options'!B176), "", IF('Aqueous Species Options'!L176 = 0, 'Aqueous Species Options'!P176, IF('Aqueous Species Table'!I176="", "", IF('Aqueous Species Options'!B176="H+", 0, ('Aqueous Species Options'!G176/41.8393 + 'Aqueous Species Table'!O176*100000*0.0000005903 - 'Aqueous Species Table'!I176/10 - 'Aqueous Species Table'!J176*100/2601)*(298.15-228) - ('Aqueous Species Table'!L176*10000/2601) ) ) ) )</f>
        <v>4.3309431535368486</v>
      </c>
      <c r="L176" s="42">
        <f>IF(ISBLANK('Aqueous Species Options'!B176), "", IF('Aqueous Species Options'!L176 = 0, 'Aqueous Species Options'!Q176, IF('Aqueous Species Table'!J176="", "", IF('Aqueous Species Options'!B176="H+", 0, (-4.134*'Aqueous Species Table'!J176*100 - 27790)*0.0001) ) ) )</f>
        <v>-2.8040043315058956</v>
      </c>
      <c r="M176" s="42">
        <f>IF(ISBLANK('Aqueous Species Options'!B176), "", IF('Aqueous Species Options'!L176=0, 'Aqueous Species Options'!R176, IF('Aqueous Species Table'!N176="", "", IF('Aqueous Species Options'!B176="H+", 0, 'Aqueous Species Options'!H176 - 'Aqueous Species Table'!O176*100000*(-0.000000309)*298.15 - 'Aqueous Species Table'!N176*10000/(298.15-228)^2 ) ) ) )</f>
        <v>7.1879523568082027</v>
      </c>
      <c r="N176" s="42">
        <f>IF(ISBLANK('Aqueous Species Options'!B176), "", IF('Aqueous Species Options'!L176=0, 'Aqueous Species Options'!S176, IF(OR(ISBLANK('Aqueous Species Options'!H176), 'Aqueous Species Table'!O176=""), "", IF('Aqueous Species Options'!B176="H+", 0, 0.2037*'Aqueous Species Options'!H176 - 3.0346) ) ) )</f>
        <v>-2.5579241853531189</v>
      </c>
      <c r="O176" s="42">
        <f>IF(ISBLANK('Aqueous Species Options'!B176), "", IF('Aqueous Species Options'!K176=0, 'Aqueous Species Options'!I176, IF(OR('Aqueous Species Options'!J176&gt;4,'Aqueous Species Options'!J176&lt;-4), "", IF('Aqueous Species Options'!B176="H+", 0, IF('Aqueous Species Options'!J176=0, -0.038, IF(ISBLANK('Aqueous Species Options'!F176), "", -1514.4*'Aqueous Species Options'!F176*0.00001 + SUM(({4,3,2,1,-1,-2,-3,-4}='Aqueous Species Options'!J176)*{2.1764,1.5793,1.0579,0.5517,1.6291,3.2127,4.8115,6.486}) ) ) ) ) ) )</f>
        <v>-3.7999999999999999E-2</v>
      </c>
      <c r="P176" s="1">
        <f>IF(ISBLANK('Aqueous Species Options'!J176), "", 'Aqueous Species Options'!J176)</f>
        <v>0</v>
      </c>
      <c r="Q176" s="184" t="str">
        <f>IF(ISBLANK('Aqueous Species Options'!T176), "", 'Aqueous Species Options'!T176)</f>
        <v>Sverjensky et al. (1997) with revised a1 equal to the sum of the ions used to predict new values of V using new correlation in Sverjensky et al. (2014)</v>
      </c>
    </row>
    <row r="177" spans="2:17" ht="15" customHeight="1" x14ac:dyDescent="0.2">
      <c r="B177" s="9" t="str">
        <f>IF(ISBLANK('Aqueous Species Options'!B177), "", 'Aqueous Species Options'!B177)</f>
        <v>NaOH,aq</v>
      </c>
      <c r="C177" s="9" t="str">
        <f>IF(ISBLANK('Aqueous Species Options'!C177), "", 'Aqueous Species Options'!C177)</f>
        <v>NaOH(0)</v>
      </c>
      <c r="D177" s="2">
        <f>IF(ISBLANK('Aqueous Species Options'!D177), "", 'Aqueous Species Options'!D177)</f>
        <v>-100900</v>
      </c>
      <c r="E177" s="1" t="str">
        <f>IF(ISBLANK('Aqueous Species Options'!E177), "", 'Aqueous Species Options'!E177)</f>
        <v/>
      </c>
      <c r="F177" s="139">
        <f>IF(ISBLANK('Aqueous Species Options'!F177), "", 'Aqueous Species Options'!F177)</f>
        <v>6.5</v>
      </c>
      <c r="G177" s="29">
        <f>IF(ISBLANK('Aqueous Species Options'!B177), "", IF('Aqueous Species Options'!L177 = 1, IF(ISBLANK('Aqueous Species Options'!G177), "", 'Aqueous Species Options'!G177), ('Aqueous Species Table'!I177/10 + ('Aqueous Species Table'!J177*100)/(Calculations!$C$12+Calculations!$C$9) + ('Aqueous Species Table'!K177 + ('Aqueous Species Table'!L177*10000)/(Calculations!$C$12+Calculations!$C$9))*(1/(Calculations!$C$8-Calculations!$C$13)) - 'Aqueous Species Table'!O177*100000*0.0000005903)*41.8393))</f>
        <v>12</v>
      </c>
      <c r="H177" s="29">
        <f>IF(ISBLANK('Aqueous Species Options'!B177), "", IF('Aqueous Species Options'!L177 = 1, IF(ISBLANK('Aqueous Species Options'!H177), "", 'Aqueous Species Options'!H177), 'Aqueous Species Table'!M177 + 'Aqueous Species Table'!N177*10000*(1/(Calculations!$C$8-Calculations!$C$13))^2 + 'Aqueous Species Table'!O177*100000*Calculations!$C$8*Calculations!$C$7))</f>
        <v>42</v>
      </c>
      <c r="I177" s="42">
        <f>IF(ISBLANK('Aqueous Species Options'!B177), "", IF('Aqueous Species Options'!L177=0, 'Aqueous Species Options'!N177, IF(OR(ISBLANK('Aqueous Species Options'!G177),'Aqueous Species Table'!O177="", 'Aqueous Species Table'!P177=""), "", IF('Aqueous Species Options'!B177="H+", 0, (CHOOSE('Aqueous Species Options'!M177+1,'Aqueous Species Options'!$V$4*ABS('Aqueous Species Table'!P177)+'Aqueous Species Options'!$W$4,'Aqueous Species Options'!$Z$4)*('Aqueous Species Options'!G177 + 'Aqueous Species Table'!O177*100000*0.0000005903*41.8393) + CHOOSE('Aqueous Species Options'!M177+1,'Aqueous Species Options'!$X$4*ABS('Aqueous Species Table'!P177)+'Aqueous Species Options'!$Y$4,'Aqueous Species Options'!$AA$4))*10 ) ) ) )</f>
        <v>3.9468509570081185</v>
      </c>
      <c r="J177" s="42">
        <f>IF(ISBLANK('Aqueous Species Options'!B177), "", IF('Aqueous Species Options'!L177 = 0, 'Aqueous Species Options'!O177, IF('Aqueous Species Table'!I177="", "", IF('Aqueous Species Options'!B177="H+", 0, ((1.11*('Aqueous Species Options'!G177 + 'Aqueous Species Table'!O177*100000*0.0000005903*41.8393)+1.8)/41.8393 - 'Aqueous Species Table'!I177/10)*26.01 ) ) ) )</f>
        <v>-0.52534260831504176</v>
      </c>
      <c r="K177" s="42">
        <f>IF(ISBLANK('Aqueous Species Options'!B177), "", IF('Aqueous Species Options'!L177 = 0, 'Aqueous Species Options'!P177, IF('Aqueous Species Table'!I177="", "", IF('Aqueous Species Options'!B177="H+", 0, ('Aqueous Species Options'!G177/41.8393 + 'Aqueous Species Table'!O177*100000*0.0000005903 - 'Aqueous Species Table'!I177/10 - 'Aqueous Species Table'!J177*100/2601)*(298.15-228) - ('Aqueous Species Table'!L177*10000/2601) ) ) ) )</f>
        <v>5.2785955478125821</v>
      </c>
      <c r="L177" s="42">
        <f>IF(ISBLANK('Aqueous Species Options'!B177), "", IF('Aqueous Species Options'!L177 = 0, 'Aqueous Species Options'!Q177, IF('Aqueous Species Table'!J177="", "", IF('Aqueous Species Options'!B177="H+", 0, (-4.134*'Aqueous Species Table'!J177*100 - 27790)*0.0001) ) ) )</f>
        <v>-2.7572823365722563</v>
      </c>
      <c r="M177" s="42">
        <f>IF(ISBLANK('Aqueous Species Options'!B177), "", IF('Aqueous Species Options'!L177=0, 'Aqueous Species Options'!R177, IF('Aqueous Species Table'!N177="", "", IF('Aqueous Species Options'!B177="H+", 0, 'Aqueous Species Options'!H177 - 'Aqueous Species Table'!O177*100000*(-0.000000309)*298.15 - 'Aqueous Species Table'!N177*10000/(298.15-228)^2 ) ) ) )</f>
        <v>32.623760339392369</v>
      </c>
      <c r="N177" s="42">
        <f>IF(ISBLANK('Aqueous Species Options'!B177), "", IF('Aqueous Species Options'!L177=0, 'Aqueous Species Options'!S177, IF(OR(ISBLANK('Aqueous Species Options'!H177), 'Aqueous Species Table'!O177=""), "", IF('Aqueous Species Options'!B177="H+", 0, 0.2037*'Aqueous Species Options'!H177 - 3.0346) ) ) )</f>
        <v>5.5207999999999986</v>
      </c>
      <c r="O177" s="42">
        <f>IF(ISBLANK('Aqueous Species Options'!B177), "", IF('Aqueous Species Options'!K177=0, 'Aqueous Species Options'!I177, IF(OR('Aqueous Species Options'!J177&gt;4,'Aqueous Species Options'!J177&lt;-4), "", IF('Aqueous Species Options'!B177="H+", 0, IF('Aqueous Species Options'!J177=0, -0.038, IF(ISBLANK('Aqueous Species Options'!F177), "", -1514.4*'Aqueous Species Options'!F177*0.00001 + SUM(({4,3,2,1,-1,-2,-3,-4}='Aqueous Species Options'!J177)*{2.1764,1.5793,1.0579,0.5517,1.6291,3.2127,4.8115,6.486}) ) ) ) ) ) )</f>
        <v>0.2</v>
      </c>
      <c r="P177" s="1">
        <f>IF(ISBLANK('Aqueous Species Options'!J177), "", 'Aqueous Species Options'!J177)</f>
        <v>0</v>
      </c>
      <c r="Q177" s="184" t="str">
        <f>IF(ISBLANK('Aqueous Species Options'!T177), "", 'Aqueous Species Options'!T177)</f>
        <v>Fitted to Ho &amp; Palmer (1997) data with a1 pred. from the sum of the ions and used to predict the volume</v>
      </c>
    </row>
    <row r="178" spans="2:17" ht="15" customHeight="1" x14ac:dyDescent="0.2">
      <c r="B178" s="9" t="str">
        <f>IF(ISBLANK('Aqueous Species Options'!B178), "", 'Aqueous Species Options'!B178)</f>
        <v>NaSO4-</v>
      </c>
      <c r="C178" s="9" t="str">
        <f>IF(ISBLANK('Aqueous Species Options'!C178), "", 'Aqueous Species Options'!C178)</f>
        <v>NaSO4(-)</v>
      </c>
      <c r="D178" s="2">
        <f>IF(ISBLANK('Aqueous Species Options'!D178), "", 'Aqueous Species Options'!D178)</f>
        <v>-241780</v>
      </c>
      <c r="E178" s="1">
        <f>IF(ISBLANK('Aqueous Species Options'!E178), "", 'Aqueous Species Options'!E178)</f>
        <v>-275480</v>
      </c>
      <c r="F178" s="139">
        <f>IF(ISBLANK('Aqueous Species Options'!F178), "", 'Aqueous Species Options'!F178)</f>
        <v>20.399999999999999</v>
      </c>
      <c r="G178" s="29">
        <f>IF(ISBLANK('Aqueous Species Options'!B178), "", IF('Aqueous Species Options'!L178 = 1, IF(ISBLANK('Aqueous Species Options'!G178), "", 'Aqueous Species Options'!G178), ('Aqueous Species Table'!I178/10 + ('Aqueous Species Table'!J178*100)/(Calculations!$C$12+Calculations!$C$9) + ('Aqueous Species Table'!K178 + ('Aqueous Species Table'!L178*10000)/(Calculations!$C$12+Calculations!$C$9))*(1/(Calculations!$C$8-Calculations!$C$13)) - 'Aqueous Species Table'!O178*100000*0.0000005903)*41.8393))</f>
        <v>41</v>
      </c>
      <c r="H178" s="29">
        <f>IF(ISBLANK('Aqueous Species Options'!B178), "", IF('Aqueous Species Options'!L178 = 1, IF(ISBLANK('Aqueous Species Options'!H178), "", 'Aqueous Species Options'!H178), 'Aqueous Species Table'!M178 + 'Aqueous Species Table'!N178*10000*(1/(Calculations!$C$8-Calculations!$C$13))^2 + 'Aqueous Species Table'!O178*100000*Calculations!$C$8*Calculations!$C$7))</f>
        <v>5</v>
      </c>
      <c r="I178" s="42">
        <f>IF(ISBLANK('Aqueous Species Options'!B178), "", IF('Aqueous Species Options'!L178=0, 'Aqueous Species Options'!N178, IF(OR(ISBLANK('Aqueous Species Options'!G178),'Aqueous Species Table'!O178="", 'Aqueous Species Table'!P178=""), "", IF('Aqueous Species Options'!B178="H+", 0, (CHOOSE('Aqueous Species Options'!M178+1,'Aqueous Species Options'!$V$4*ABS('Aqueous Species Table'!P178)+'Aqueous Species Options'!$W$4,'Aqueous Species Options'!$Z$4)*('Aqueous Species Options'!G178 + 'Aqueous Species Table'!O178*100000*0.0000005903*41.8393) + CHOOSE('Aqueous Species Options'!M178+1,'Aqueous Species Options'!$X$4*ABS('Aqueous Species Table'!P178)+'Aqueous Species Options'!$Y$4,'Aqueous Species Options'!$AA$4))*10 ) ) ) )</f>
        <v>10.116154316253581</v>
      </c>
      <c r="J178" s="42">
        <f>IF(ISBLANK('Aqueous Species Options'!B178), "", IF('Aqueous Species Options'!L178 = 0, 'Aqueous Species Options'!O178, IF('Aqueous Species Table'!I178="", "", IF('Aqueous Species Options'!B178="H+", 0, ((1.11*('Aqueous Species Options'!G178 + 'Aqueous Species Table'!O178*100000*0.0000005903*41.8393)+1.8)/41.8393 - 'Aqueous Species Table'!I178/10)*26.01 ) ) ) )</f>
        <v>5.3484461845298092</v>
      </c>
      <c r="K178" s="42">
        <f>IF(ISBLANK('Aqueous Species Options'!B178), "", IF('Aqueous Species Options'!L178 = 0, 'Aqueous Species Options'!P178, IF('Aqueous Species Table'!I178="", "", IF('Aqueous Species Options'!B178="H+", 0, ('Aqueous Species Options'!G178/41.8393 + 'Aqueous Species Table'!O178*100000*0.0000005903 - 'Aqueous Species Table'!I178/10 - 'Aqueous Species Table'!J178*100/2601)*(298.15-228) - ('Aqueous Species Table'!L178*10000/2601) ) ) ) )</f>
        <v>0.35347930941896522</v>
      </c>
      <c r="L178" s="42">
        <f>IF(ISBLANK('Aqueous Species Options'!B178), "", IF('Aqueous Species Options'!L178 = 0, 'Aqueous Species Options'!Q178, IF('Aqueous Species Table'!J178="", "", IF('Aqueous Species Options'!B178="H+", 0, (-4.134*'Aqueous Species Table'!J178*100 - 27790)*0.0001) ) ) )</f>
        <v>-3.0001047652684627</v>
      </c>
      <c r="M178" s="42">
        <f>IF(ISBLANK('Aqueous Species Options'!B178), "", IF('Aqueous Species Options'!L178=0, 'Aqueous Species Options'!R178, IF('Aqueous Species Table'!N178="", "", IF('Aqueous Species Options'!B178="H+", 0, 'Aqueous Species Options'!H178 - 'Aqueous Species Table'!O178*100000*(-0.000000309)*298.15 - 'Aqueous Species Table'!N178*10000/(298.15-228)^2 ) ) ) )</f>
        <v>21.257854985909844</v>
      </c>
      <c r="N178" s="42">
        <f>IF(ISBLANK('Aqueous Species Options'!B178), "", IF('Aqueous Species Options'!L178=0, 'Aqueous Species Options'!S178, IF(OR(ISBLANK('Aqueous Species Options'!H178), 'Aqueous Species Table'!O178=""), "", IF('Aqueous Species Options'!B178="H+", 0, 0.2037*'Aqueous Species Options'!H178 - 3.0346) ) ) )</f>
        <v>-2.0161000000000002</v>
      </c>
      <c r="O178" s="42">
        <f>IF(ISBLANK('Aqueous Species Options'!B178), "", IF('Aqueous Species Options'!K178=0, 'Aqueous Species Options'!I178, IF(OR('Aqueous Species Options'!J178&gt;4,'Aqueous Species Options'!J178&lt;-4), "", IF('Aqueous Species Options'!B178="H+", 0, IF('Aqueous Species Options'!J178=0, -0.038, IF(ISBLANK('Aqueous Species Options'!F178), "", -1514.4*'Aqueous Species Options'!F178*0.00001 + SUM(({4,3,2,1,-1,-2,-3,-4}='Aqueous Species Options'!J178)*{2.1764,1.5793,1.0579,0.5517,1.6291,3.2127,4.8115,6.486}) ) ) ) ) ) )</f>
        <v>1.32</v>
      </c>
      <c r="P178" s="1">
        <f>IF(ISBLANK('Aqueous Species Options'!J178), "", 'Aqueous Species Options'!J178)</f>
        <v>-1</v>
      </c>
      <c r="Q178" s="184" t="str">
        <f>IF(ISBLANK('Aqueous Species Options'!T178), "", 'Aqueous Species Options'!T178)</f>
        <v>Beaudry et al. (2024)</v>
      </c>
    </row>
    <row r="179" spans="2:17" ht="15" customHeight="1" x14ac:dyDescent="0.2">
      <c r="B179" s="9" t="str">
        <f>IF(ISBLANK('Aqueous Species Options'!B179), "", 'Aqueous Species Options'!B179)</f>
        <v>NaTiSi2-</v>
      </c>
      <c r="C179" s="9" t="str">
        <f>IF(ISBLANK('Aqueous Species Options'!C179), "", 'Aqueous Species Options'!C179)</f>
        <v>NaTiSi2(-)</v>
      </c>
      <c r="D179" s="2">
        <f>IF(ISBLANK('Aqueous Species Options'!D179), "", 'Aqueous Species Options'!D179)</f>
        <v>-699000</v>
      </c>
      <c r="E179" s="1" t="str">
        <f>IF(ISBLANK('Aqueous Species Options'!E179), "", 'Aqueous Species Options'!E179)</f>
        <v/>
      </c>
      <c r="F179" s="139">
        <f>IF(ISBLANK('Aqueous Species Options'!F179), "", 'Aqueous Species Options'!F179)</f>
        <v>40</v>
      </c>
      <c r="G179" s="29">
        <f>IF(ISBLANK('Aqueous Species Options'!B179), "", IF('Aqueous Species Options'!L179 = 1, IF(ISBLANK('Aqueous Species Options'!G179), "", 'Aqueous Species Options'!G179), ('Aqueous Species Table'!I179/10 + ('Aqueous Species Table'!J179*100)/(Calculations!$C$12+Calculations!$C$9) + ('Aqueous Species Table'!K179 + ('Aqueous Species Table'!L179*10000)/(Calculations!$C$12+Calculations!$C$9))*(1/(Calculations!$C$8-Calculations!$C$13)) - 'Aqueous Species Table'!O179*100000*0.0000005903)*41.8393))</f>
        <v>71</v>
      </c>
      <c r="H179" s="29">
        <f>IF(ISBLANK('Aqueous Species Options'!B179), "", IF('Aqueous Species Options'!L179 = 1, IF(ISBLANK('Aqueous Species Options'!H179), "", 'Aqueous Species Options'!H179), 'Aqueous Species Table'!M179 + 'Aqueous Species Table'!N179*10000*(1/(Calculations!$C$8-Calculations!$C$13))^2 + 'Aqueous Species Table'!O179*100000*Calculations!$C$8*Calculations!$C$7))</f>
        <v>60</v>
      </c>
      <c r="I179" s="42">
        <f>IF(ISBLANK('Aqueous Species Options'!B179), "", IF('Aqueous Species Options'!L179=0, 'Aqueous Species Options'!N179, IF(OR(ISBLANK('Aqueous Species Options'!G179),'Aqueous Species Table'!O179="", 'Aqueous Species Table'!P179=""), "", IF('Aqueous Species Options'!B179="H+", 0, (CHOOSE('Aqueous Species Options'!M179+1,'Aqueous Species Options'!$V$4*ABS('Aqueous Species Table'!P179)+'Aqueous Species Options'!$W$4,'Aqueous Species Options'!$Z$4)*('Aqueous Species Options'!G179 + 'Aqueous Species Table'!O179*100000*0.0000005903*41.8393) + CHOOSE('Aqueous Species Options'!M179+1,'Aqueous Species Options'!$X$4*ABS('Aqueous Species Table'!P179)+'Aqueous Species Options'!$Y$4,'Aqueous Species Options'!$AA$4))*10 ) ) ) )</f>
        <v>15.800159927723438</v>
      </c>
      <c r="J179" s="42">
        <f>IF(ISBLANK('Aqueous Species Options'!B179), "", IF('Aqueous Species Options'!L179 = 0, 'Aqueous Species Options'!O179, IF('Aqueous Species Table'!I179="", "", IF('Aqueous Species Options'!B179="H+", 0, ((1.11*('Aqueous Species Options'!G179 + 'Aqueous Species Table'!O179*100000*0.0000005903*41.8393)+1.8)/41.8393 - 'Aqueous Species Table'!I179/10)*26.01 ) ) ) )</f>
        <v>10.760183379959654</v>
      </c>
      <c r="K179" s="42">
        <f>IF(ISBLANK('Aqueous Species Options'!B179), "", IF('Aqueous Species Options'!L179 = 0, 'Aqueous Species Options'!P179, IF('Aqueous Species Table'!I179="", "", IF('Aqueous Species Options'!B179="H+", 0, ('Aqueous Species Options'!G179/41.8393 + 'Aqueous Species Table'!O179*100000*0.0000005903 - 'Aqueous Species Table'!I179/10 - 'Aqueous Species Table'!J179*100/2601)*(298.15-228) - ('Aqueous Species Table'!L179*10000/2601) ) ) ) )</f>
        <v>-4.184211043287986</v>
      </c>
      <c r="L179" s="42">
        <f>IF(ISBLANK('Aqueous Species Options'!B179), "", IF('Aqueous Species Options'!L179 = 0, 'Aqueous Species Options'!Q179, IF('Aqueous Species Table'!J179="", "", IF('Aqueous Species Options'!B179="H+", 0, (-4.134*'Aqueous Species Table'!J179*100 - 27790)*0.0001) ) ) )</f>
        <v>-3.2238259809275323</v>
      </c>
      <c r="M179" s="42">
        <f>IF(ISBLANK('Aqueous Species Options'!B179), "", IF('Aqueous Species Options'!L179=0, 'Aqueous Species Options'!R179, IF('Aqueous Species Table'!N179="", "", IF('Aqueous Species Options'!B179="H+", 0, 'Aqueous Species Options'!H179 - 'Aqueous Species Table'!O179*100000*(-0.000000309)*298.15 - 'Aqueous Species Table'!N179*10000/(298.15-228)^2 ) ) ) )</f>
        <v>50.758165366743313</v>
      </c>
      <c r="N179" s="42">
        <f>IF(ISBLANK('Aqueous Species Options'!B179), "", IF('Aqueous Species Options'!L179=0, 'Aqueous Species Options'!S179, IF(OR(ISBLANK('Aqueous Species Options'!H179), 'Aqueous Species Table'!O179=""), "", IF('Aqueous Species Options'!B179="H+", 0, 0.2037*'Aqueous Species Options'!H179 - 3.0346) ) ) )</f>
        <v>9.1874000000000002</v>
      </c>
      <c r="O179" s="42">
        <f>IF(ISBLANK('Aqueous Species Options'!B179), "", IF('Aqueous Species Options'!K179=0, 'Aqueous Species Options'!I179, IF(OR('Aqueous Species Options'!J179&gt;4,'Aqueous Species Options'!J179&lt;-4), "", IF('Aqueous Species Options'!B179="H+", 0, IF('Aqueous Species Options'!J179=0, -0.038, IF(ISBLANK('Aqueous Species Options'!F179), "", -1514.4*'Aqueous Species Options'!F179*0.00001 + SUM(({4,3,2,1,-1,-2,-3,-4}='Aqueous Species Options'!J179)*{2.1764,1.5793,1.0579,0.5517,1.6291,3.2127,4.8115,6.486}) ) ) ) ) ) )</f>
        <v>1.0233399999999999</v>
      </c>
      <c r="P179" s="1">
        <f>IF(ISBLANK('Aqueous Species Options'!J179), "", 'Aqueous Species Options'!J179)</f>
        <v>-1</v>
      </c>
      <c r="Q179" s="184" t="str">
        <f>IF(ISBLANK('Aqueous Species Options'!T179), "", 'Aqueous Species Options'!T179)</f>
        <v>Dimitri June 30th, 2020</v>
      </c>
    </row>
    <row r="180" spans="2:17" ht="15" customHeight="1" x14ac:dyDescent="0.2">
      <c r="B180" s="9" t="str">
        <f>IF(ISBLANK('Aqueous Species Options'!B180), "", 'Aqueous Species Options'!B180)</f>
        <v>NaZrSi2-</v>
      </c>
      <c r="C180" s="9" t="str">
        <f>IF(ISBLANK('Aqueous Species Options'!C180), "", 'Aqueous Species Options'!C180)</f>
        <v>NaZrSi2(-)</v>
      </c>
      <c r="D180" s="2">
        <f>IF(ISBLANK('Aqueous Species Options'!D180), "", 'Aqueous Species Options'!D180)</f>
        <v>-725800</v>
      </c>
      <c r="E180" s="1" t="str">
        <f>IF(ISBLANK('Aqueous Species Options'!E180), "", 'Aqueous Species Options'!E180)</f>
        <v/>
      </c>
      <c r="F180" s="139">
        <f>IF(ISBLANK('Aqueous Species Options'!F180), "", 'Aqueous Species Options'!F180)</f>
        <v>40</v>
      </c>
      <c r="G180" s="29">
        <f>IF(ISBLANK('Aqueous Species Options'!B180), "", IF('Aqueous Species Options'!L180 = 1, IF(ISBLANK('Aqueous Species Options'!G180), "", 'Aqueous Species Options'!G180), ('Aqueous Species Table'!I180/10 + ('Aqueous Species Table'!J180*100)/(Calculations!$C$12+Calculations!$C$9) + ('Aqueous Species Table'!K180 + ('Aqueous Species Table'!L180*10000)/(Calculations!$C$12+Calculations!$C$9))*(1/(Calculations!$C$8-Calculations!$C$13)) - 'Aqueous Species Table'!O180*100000*0.0000005903)*41.8393))</f>
        <v>73.5</v>
      </c>
      <c r="H180" s="29">
        <f>IF(ISBLANK('Aqueous Species Options'!B180), "", IF('Aqueous Species Options'!L180 = 1, IF(ISBLANK('Aqueous Species Options'!H180), "", 'Aqueous Species Options'!H180), 'Aqueous Species Table'!M180 + 'Aqueous Species Table'!N180*10000*(1/(Calculations!$C$8-Calculations!$C$13))^2 + 'Aqueous Species Table'!O180*100000*Calculations!$C$8*Calculations!$C$7))</f>
        <v>85</v>
      </c>
      <c r="I180" s="42">
        <f>IF(ISBLANK('Aqueous Species Options'!B180), "", IF('Aqueous Species Options'!L180=0, 'Aqueous Species Options'!N180, IF(OR(ISBLANK('Aqueous Species Options'!G180),'Aqueous Species Table'!O180="", 'Aqueous Species Table'!P180=""), "", IF('Aqueous Species Options'!B180="H+", 0, (CHOOSE('Aqueous Species Options'!M180+1,'Aqueous Species Options'!$V$4*ABS('Aqueous Species Table'!P180)+'Aqueous Species Options'!$W$4,'Aqueous Species Options'!$Z$4)*('Aqueous Species Options'!G180 + 'Aqueous Species Table'!O180*100000*0.0000005903*41.8393) + CHOOSE('Aqueous Species Options'!M180+1,'Aqueous Species Options'!$X$4*ABS('Aqueous Species Table'!P180)+'Aqueous Species Options'!$Y$4,'Aqueous Species Options'!$AA$4))*10 ) ) ) )</f>
        <v>16.285684927723437</v>
      </c>
      <c r="J180" s="42">
        <f>IF(ISBLANK('Aqueous Species Options'!B180), "", IF('Aqueous Species Options'!L180 = 0, 'Aqueous Species Options'!O180, IF('Aqueous Species Table'!I180="", "", IF('Aqueous Species Options'!B180="H+", 0, ((1.11*('Aqueous Species Options'!G180 + 'Aqueous Species Table'!O180*100000*0.0000005903*41.8393)+1.8)/41.8393 - 'Aqueous Species Table'!I180/10)*26.01 ) ) ) )</f>
        <v>11.222451344035713</v>
      </c>
      <c r="K180" s="42">
        <f>IF(ISBLANK('Aqueous Species Options'!B180), "", IF('Aqueous Species Options'!L180 = 0, 'Aqueous Species Options'!P180, IF('Aqueous Species Table'!I180="", "", IF('Aqueous Species Options'!B180="H+", 0, ('Aqueous Species Options'!G180/41.8393 + 'Aqueous Species Table'!O180*100000*0.0000005903 - 'Aqueous Species Table'!I180/10 - 'Aqueous Species Table'!J180*100/2601)*(298.15-228) - ('Aqueous Species Table'!L180*10000/2601) ) ) ) )</f>
        <v>-4.5718183503694938</v>
      </c>
      <c r="L180" s="42">
        <f>IF(ISBLANK('Aqueous Species Options'!B180), "", IF('Aqueous Species Options'!L180 = 0, 'Aqueous Species Options'!Q180, IF('Aqueous Species Table'!J180="", "", IF('Aqueous Species Options'!B180="H+", 0, (-4.134*'Aqueous Species Table'!J180*100 - 27790)*0.0001) ) ) )</f>
        <v>-3.2429361385624365</v>
      </c>
      <c r="M180" s="42">
        <f>IF(ISBLANK('Aqueous Species Options'!B180), "", IF('Aqueous Species Options'!L180=0, 'Aqueous Species Options'!R180, IF('Aqueous Species Table'!N180="", "", IF('Aqueous Species Options'!B180="H+", 0, 'Aqueous Species Options'!H180 - 'Aqueous Species Table'!O180*100000*(-0.000000309)*298.15 - 'Aqueous Species Table'!N180*10000/(298.15-228)^2 ) ) ) )</f>
        <v>65.409706281258536</v>
      </c>
      <c r="N180" s="42">
        <f>IF(ISBLANK('Aqueous Species Options'!B180), "", IF('Aqueous Species Options'!L180=0, 'Aqueous Species Options'!S180, IF(OR(ISBLANK('Aqueous Species Options'!H180), 'Aqueous Species Table'!O180=""), "", IF('Aqueous Species Options'!B180="H+", 0, 0.2037*'Aqueous Species Options'!H180 - 3.0346) ) ) )</f>
        <v>14.279899999999998</v>
      </c>
      <c r="O180" s="42">
        <f>IF(ISBLANK('Aqueous Species Options'!B180), "", IF('Aqueous Species Options'!K180=0, 'Aqueous Species Options'!I180, IF(OR('Aqueous Species Options'!J180&gt;4,'Aqueous Species Options'!J180&lt;-4), "", IF('Aqueous Species Options'!B180="H+", 0, IF('Aqueous Species Options'!J180=0, -0.038, IF(ISBLANK('Aqueous Species Options'!F180), "", -1514.4*'Aqueous Species Options'!F180*0.00001 + SUM(({4,3,2,1,-1,-2,-3,-4}='Aqueous Species Options'!J180)*{2.1764,1.5793,1.0579,0.5517,1.6291,3.2127,4.8115,6.486}) ) ) ) ) ) )</f>
        <v>1.0233399999999999</v>
      </c>
      <c r="P180" s="1">
        <f>IF(ISBLANK('Aqueous Species Options'!J180), "", 'Aqueous Species Options'!J180)</f>
        <v>-1</v>
      </c>
      <c r="Q180" s="184" t="str">
        <f>IF(ISBLANK('Aqueous Species Options'!T180), "", 'Aqueous Species Options'!T180)</f>
        <v>Dimitri June 30th, 2020</v>
      </c>
    </row>
    <row r="181" spans="2:17" ht="15" customHeight="1" x14ac:dyDescent="0.2">
      <c r="B181" s="9" t="str">
        <f>IF(ISBLANK('Aqueous Species Options'!B181), "", 'Aqueous Species Options'!B181)</f>
        <v>Nd+3</v>
      </c>
      <c r="C181" s="9" t="str">
        <f>IF(ISBLANK('Aqueous Species Options'!C181), "", 'Aqueous Species Options'!C181)</f>
        <v>Nd(+3)</v>
      </c>
      <c r="D181" s="2">
        <f>IF(ISBLANK('Aqueous Species Options'!D181), "", 'Aqueous Species Options'!D181)</f>
        <v>-160600</v>
      </c>
      <c r="E181" s="1">
        <f>IF(ISBLANK('Aqueous Species Options'!E181), "", 'Aqueous Species Options'!E181)</f>
        <v>-166500</v>
      </c>
      <c r="F181" s="139">
        <f>IF(ISBLANK('Aqueous Species Options'!F181), "", 'Aqueous Species Options'!F181)</f>
        <v>-49.5</v>
      </c>
      <c r="G181" s="29">
        <f>IF(ISBLANK('Aqueous Species Options'!B181), "", IF('Aqueous Species Options'!L181 = 1, IF(ISBLANK('Aqueous Species Options'!G181), "", 'Aqueous Species Options'!G181), ('Aqueous Species Table'!I181/10 + ('Aqueous Species Table'!J181*100)/(Calculations!$C$12+Calculations!$C$9) + ('Aqueous Species Table'!K181 + ('Aqueous Species Table'!L181*10000)/(Calculations!$C$12+Calculations!$C$9))*(1/(Calculations!$C$8-Calculations!$C$13)) - 'Aqueous Species Table'!O181*100000*0.0000005903)*41.8393))</f>
        <v>-43.099991355666702</v>
      </c>
      <c r="H181" s="29">
        <f>IF(ISBLANK('Aqueous Species Options'!B181), "", IF('Aqueous Species Options'!L181 = 1, IF(ISBLANK('Aqueous Species Options'!H181), "", 'Aqueous Species Options'!H181), 'Aqueous Species Table'!M181 + 'Aqueous Species Table'!N181*10000*(1/(Calculations!$C$8-Calculations!$C$13))^2 + 'Aqueous Species Table'!O181*100000*Calculations!$C$8*Calculations!$C$7))</f>
        <v>-43.200003543804335</v>
      </c>
      <c r="I181" s="42">
        <f>IF(ISBLANK('Aqueous Species Options'!B181), "", IF('Aqueous Species Options'!L181=0, 'Aqueous Species Options'!N181, IF(OR(ISBLANK('Aqueous Species Options'!G181),'Aqueous Species Table'!O181="", 'Aqueous Species Table'!P181=""), "", IF('Aqueous Species Options'!B181="H+", 0, (CHOOSE('Aqueous Species Options'!M181+1,'Aqueous Species Options'!$V$4*ABS('Aqueous Species Table'!P181)+'Aqueous Species Options'!$W$4,'Aqueous Species Options'!$Z$4)*('Aqueous Species Options'!G181 + 'Aqueous Species Table'!O181*100000*0.0000005903*41.8393) + CHOOSE('Aqueous Species Options'!M181+1,'Aqueous Species Options'!$X$4*ABS('Aqueous Species Table'!P181)+'Aqueous Species Options'!$Y$4,'Aqueous Species Options'!$AA$4))*10 ) ) ) )</f>
        <v>-8.8787756400237701</v>
      </c>
      <c r="J181" s="42">
        <f>IF(ISBLANK('Aqueous Species Options'!B181), "", IF('Aqueous Species Options'!L181 = 0, 'Aqueous Species Options'!O181, IF('Aqueous Species Table'!I181="", "", IF('Aqueous Species Options'!B181="H+", 0, ((1.11*('Aqueous Species Options'!G181 + 'Aqueous Species Table'!O181*100000*0.0000005903*41.8393)+1.8)/41.8393 - 'Aqueous Species Table'!I181/10)*26.01 ) ) ) )</f>
        <v>-1.6852369408567871</v>
      </c>
      <c r="K181" s="42">
        <f>IF(ISBLANK('Aqueous Species Options'!B181), "", IF('Aqueous Species Options'!L181 = 0, 'Aqueous Species Options'!P181, IF('Aqueous Species Table'!I181="", "", IF('Aqueous Species Options'!B181="H+", 0, ('Aqueous Species Options'!G181/41.8393 + 'Aqueous Species Table'!O181*100000*0.0000005903 - 'Aqueous Species Table'!I181/10 - 'Aqueous Species Table'!J181*100/2601)*(298.15-228) - ('Aqueous Species Table'!L181*10000/2601) ) ) ) )</f>
        <v>14.320374485877917</v>
      </c>
      <c r="L181" s="42">
        <f>IF(ISBLANK('Aqueous Species Options'!B181), "", IF('Aqueous Species Options'!L181 = 0, 'Aqueous Species Options'!Q181, IF('Aqueous Species Table'!J181="", "", IF('Aqueous Species Options'!B181="H+", 0, (-4.134*'Aqueous Species Table'!J181*100 - 27790)*0.0001) ) ) )</f>
        <v>-2.7093323048649807</v>
      </c>
      <c r="M181" s="42">
        <f>IF(ISBLANK('Aqueous Species Options'!B181), "", IF('Aqueous Species Options'!L181=0, 'Aqueous Species Options'!R181, IF('Aqueous Species Table'!N181="", "", IF('Aqueous Species Options'!B181="H+", 0, 'Aqueous Species Options'!H181 - 'Aqueous Species Table'!O181*100000*(-0.000000309)*298.15 - 'Aqueous Species Table'!N181*10000/(298.15-228)^2 ) ) ) )</f>
        <v>1.6236827508367284</v>
      </c>
      <c r="N181" s="42">
        <f>IF(ISBLANK('Aqueous Species Options'!B181), "", IF('Aqueous Species Options'!L181=0, 'Aqueous Species Options'!S181, IF(OR(ISBLANK('Aqueous Species Options'!H181), 'Aqueous Species Table'!O181=""), "", IF('Aqueous Species Options'!B181="H+", 0, 0.2037*'Aqueous Species Options'!H181 - 3.0346) ) ) )</f>
        <v>-11.834440721872944</v>
      </c>
      <c r="O181" s="42">
        <f>IF(ISBLANK('Aqueous Species Options'!B181), "", IF('Aqueous Species Options'!K181=0, 'Aqueous Species Options'!I181, IF(OR('Aqueous Species Options'!J181&gt;4,'Aqueous Species Options'!J181&lt;-4), "", IF('Aqueous Species Options'!B181="H+", 0, IF('Aqueous Species Options'!J181=0, -0.038, IF(ISBLANK('Aqueous Species Options'!F181), "", -1514.4*'Aqueous Species Options'!F181*0.00001 + SUM(({4,3,2,1,-1,-2,-3,-4}='Aqueous Species Options'!J181)*{2.1764,1.5793,1.0579,0.5517,1.6291,3.2127,4.8115,6.486}) ) ) ) ) ) )</f>
        <v>2.2549999999999999</v>
      </c>
      <c r="P181" s="1">
        <f>IF(ISBLANK('Aqueous Species Options'!J181), "", 'Aqueous Species Options'!J181)</f>
        <v>3</v>
      </c>
      <c r="Q181" s="184" t="str">
        <f>IF(ISBLANK('Aqueous Species Options'!T181), "", 'Aqueous Species Options'!T181)</f>
        <v>Shock et al. (1997) revised with new predicted a1 for cations</v>
      </c>
    </row>
    <row r="182" spans="2:17" ht="15" customHeight="1" x14ac:dyDescent="0.2">
      <c r="B182" s="9" t="str">
        <f>IF(ISBLANK('Aqueous Species Options'!B182), "", 'Aqueous Species Options'!B182)</f>
        <v>Ne,aq</v>
      </c>
      <c r="C182" s="9" t="str">
        <f>IF(ISBLANK('Aqueous Species Options'!C182), "", 'Aqueous Species Options'!C182)</f>
        <v>Ne(0)</v>
      </c>
      <c r="D182" s="2">
        <f>IF(ISBLANK('Aqueous Species Options'!D182), "", 'Aqueous Species Options'!D182)</f>
        <v>4565</v>
      </c>
      <c r="E182" s="1">
        <f>IF(ISBLANK('Aqueous Species Options'!E182), "", 'Aqueous Species Options'!E182)</f>
        <v>-870</v>
      </c>
      <c r="F182" s="139">
        <f>IF(ISBLANK('Aqueous Species Options'!F182), "", 'Aqueous Species Options'!F182)</f>
        <v>16.739999999999998</v>
      </c>
      <c r="G182" s="29">
        <f>IF(ISBLANK('Aqueous Species Options'!B182), "", IF('Aqueous Species Options'!L182 = 1, IF(ISBLANK('Aqueous Species Options'!G182), "", 'Aqueous Species Options'!G182), ('Aqueous Species Table'!I182/10 + ('Aqueous Species Table'!J182*100)/(Calculations!$C$12+Calculations!$C$9) + ('Aqueous Species Table'!K182 + ('Aqueous Species Table'!L182*10000)/(Calculations!$C$12+Calculations!$C$9))*(1/(Calculations!$C$8-Calculations!$C$13)) - 'Aqueous Species Table'!O182*100000*0.0000005903)*41.8393))</f>
        <v>20.40012216831747</v>
      </c>
      <c r="H182" s="29">
        <f>IF(ISBLANK('Aqueous Species Options'!B182), "", IF('Aqueous Species Options'!L182 = 1, IF(ISBLANK('Aqueous Species Options'!H182), "", 'Aqueous Species Options'!H182), 'Aqueous Species Table'!M182 + 'Aqueous Species Table'!N182*10000*(1/(Calculations!$C$8-Calculations!$C$13))^2 + 'Aqueous Species Table'!O182*100000*Calculations!$C$8*Calculations!$C$7))</f>
        <v>39.699922418223075</v>
      </c>
      <c r="I182" s="42">
        <f>IF(ISBLANK('Aqueous Species Options'!B182), "", IF('Aqueous Species Options'!L182=0, 'Aqueous Species Options'!N182, IF(OR(ISBLANK('Aqueous Species Options'!G182),'Aqueous Species Table'!O182="", 'Aqueous Species Table'!P182=""), "", IF('Aqueous Species Options'!B182="H+", 0, (CHOOSE('Aqueous Species Options'!M182+1,'Aqueous Species Options'!$V$4*ABS('Aqueous Species Table'!P182)+'Aqueous Species Options'!$W$4,'Aqueous Species Options'!$Z$4)*('Aqueous Species Options'!G182 + 'Aqueous Species Table'!O182*100000*0.0000005903*41.8393) + CHOOSE('Aqueous Species Options'!M182+1,'Aqueous Species Options'!$X$4*ABS('Aqueous Species Table'!P182)+'Aqueous Species Options'!$Y$4,'Aqueous Species Options'!$AA$4))*10 ) ) ) )</f>
        <v>4.4709000000000003</v>
      </c>
      <c r="J182" s="42">
        <f>IF(ISBLANK('Aqueous Species Options'!B182), "", IF('Aqueous Species Options'!L182 = 0, 'Aqueous Species Options'!O182, IF('Aqueous Species Table'!I182="", "", IF('Aqueous Species Options'!B182="H+", 0, ((1.11*('Aqueous Species Options'!G182 + 'Aqueous Species Table'!O182*100000*0.0000005903*41.8393)+1.8)/41.8393 - 'Aqueous Species Table'!I182/10)*26.01 ) ) ) )</f>
        <v>3.1352000000000002</v>
      </c>
      <c r="K182" s="42">
        <f>IF(ISBLANK('Aqueous Species Options'!B182), "", IF('Aqueous Species Options'!L182 = 0, 'Aqueous Species Options'!P182, IF('Aqueous Species Table'!I182="", "", IF('Aqueous Species Options'!B182="H+", 0, ('Aqueous Species Options'!G182/41.8393 + 'Aqueous Species Table'!O182*100000*0.0000005903 - 'Aqueous Species Table'!I182/10 - 'Aqueous Species Table'!J182*100/2601)*(298.15-228) - ('Aqueous Species Table'!L182*10000/2601) ) ) ) )</f>
        <v>4.5176999999999996</v>
      </c>
      <c r="L182" s="42">
        <f>IF(ISBLANK('Aqueous Species Options'!B182), "", IF('Aqueous Species Options'!L182 = 0, 'Aqueous Species Options'!Q182, IF('Aqueous Species Table'!J182="", "", IF('Aqueous Species Options'!B182="H+", 0, (-4.134*'Aqueous Species Table'!J182*100 - 27790)*0.0001) ) ) )</f>
        <v>-2.9085999999999999</v>
      </c>
      <c r="M182" s="42">
        <f>IF(ISBLANK('Aqueous Species Options'!B182), "", IF('Aqueous Species Options'!L182=0, 'Aqueous Species Options'!R182, IF('Aqueous Species Table'!N182="", "", IF('Aqueous Species Options'!B182="H+", 0, 'Aqueous Species Options'!H182 - 'Aqueous Species Table'!O182*100000*(-0.000000309)*298.15 - 'Aqueous Species Table'!N182*10000/(298.15-228)^2 ) ) ) )</f>
        <v>27.0977</v>
      </c>
      <c r="N182" s="42">
        <f>IF(ISBLANK('Aqueous Species Options'!B182), "", IF('Aqueous Species Options'!L182=0, 'Aqueous Species Options'!S182, IF(OR(ISBLANK('Aqueous Species Options'!H182), 'Aqueous Species Table'!O182=""), "", IF('Aqueous Species Options'!B182="H+", 0, 0.2037*'Aqueous Species Options'!H182 - 3.0346) ) ) )</f>
        <v>5.0522999999999998</v>
      </c>
      <c r="O182" s="42">
        <f>IF(ISBLANK('Aqueous Species Options'!B182), "", IF('Aqueous Species Options'!K182=0, 'Aqueous Species Options'!I182, IF(OR('Aqueous Species Options'!J182&gt;4,'Aqueous Species Options'!J182&lt;-4), "", IF('Aqueous Species Options'!B182="H+", 0, IF('Aqueous Species Options'!J182=0, -0.038, IF(ISBLANK('Aqueous Species Options'!F182), "", -1514.4*'Aqueous Species Options'!F182*0.00001 + SUM(({4,3,2,1,-1,-2,-3,-4}='Aqueous Species Options'!J182)*{2.1764,1.5793,1.0579,0.5517,1.6291,3.2127,4.8115,6.486}) ) ) ) ) ) )</f>
        <v>-0.2535</v>
      </c>
      <c r="P182" s="1">
        <f>IF(ISBLANK('Aqueous Species Options'!J182), "", 'Aqueous Species Options'!J182)</f>
        <v>0</v>
      </c>
      <c r="Q182" s="184" t="str">
        <f>IF(ISBLANK('Aqueous Species Options'!T182), "", 'Aqueous Species Options'!T182)</f>
        <v>Shock et al. (1989)</v>
      </c>
    </row>
    <row r="183" spans="2:17" ht="15" customHeight="1" x14ac:dyDescent="0.2">
      <c r="B183" s="9" t="str">
        <f>IF(ISBLANK('Aqueous Species Options'!B183), "", 'Aqueous Species Options'!B183)</f>
        <v>NH3,aq</v>
      </c>
      <c r="C183" s="9" t="str">
        <f>IF(ISBLANK('Aqueous Species Options'!C183), "", 'Aqueous Species Options'!C183)</f>
        <v>NH3(0)</v>
      </c>
      <c r="D183" s="2">
        <f>IF(ISBLANK('Aqueous Species Options'!D183), "", 'Aqueous Species Options'!D183)</f>
        <v>-6383</v>
      </c>
      <c r="E183" s="1">
        <f>IF(ISBLANK('Aqueous Species Options'!E183), "", 'Aqueous Species Options'!E183)</f>
        <v>-19440</v>
      </c>
      <c r="F183" s="139">
        <f>IF(ISBLANK('Aqueous Species Options'!F183), "", 'Aqueous Species Options'!F183)</f>
        <v>25.77</v>
      </c>
      <c r="G183" s="29">
        <f>IF(ISBLANK('Aqueous Species Options'!B183), "", IF('Aqueous Species Options'!L183 = 1, IF(ISBLANK('Aqueous Species Options'!G183), "", 'Aqueous Species Options'!G183), ('Aqueous Species Table'!I183/10 + ('Aqueous Species Table'!J183*100)/(Calculations!$C$12+Calculations!$C$9) + ('Aqueous Species Table'!K183 + ('Aqueous Species Table'!L183*10000)/(Calculations!$C$12+Calculations!$C$9))*(1/(Calculations!$C$8-Calculations!$C$13)) - 'Aqueous Species Table'!O183*100000*0.0000005903)*41.8393))</f>
        <v>24.430058147431339</v>
      </c>
      <c r="H183" s="29">
        <f>IF(ISBLANK('Aqueous Species Options'!B183), "", IF('Aqueous Species Options'!L183 = 1, IF(ISBLANK('Aqueous Species Options'!H183), "", 'Aqueous Species Options'!H183), 'Aqueous Species Table'!M183 + 'Aqueous Species Table'!N183*10000*(1/(Calculations!$C$8-Calculations!$C$13))^2 + 'Aqueous Species Table'!O183*100000*Calculations!$C$8*Calculations!$C$7))</f>
        <v>18.383087085293631</v>
      </c>
      <c r="I183" s="42">
        <f>IF(ISBLANK('Aqueous Species Options'!B183), "", IF('Aqueous Species Options'!L183=0, 'Aqueous Species Options'!N183, IF(OR(ISBLANK('Aqueous Species Options'!G183),'Aqueous Species Table'!O183="", 'Aqueous Species Table'!P183=""), "", IF('Aqueous Species Options'!B183="H+", 0, (CHOOSE('Aqueous Species Options'!M183+1,'Aqueous Species Options'!$V$4*ABS('Aqueous Species Table'!P183)+'Aqueous Species Options'!$W$4,'Aqueous Species Options'!$Z$4)*('Aqueous Species Options'!G183 + 'Aqueous Species Table'!O183*100000*0.0000005903*41.8393) + CHOOSE('Aqueous Species Options'!M183+1,'Aqueous Species Options'!$X$4*ABS('Aqueous Species Table'!P183)+'Aqueous Species Options'!$Y$4,'Aqueous Species Options'!$AA$4))*10 ) ) ) )</f>
        <v>6.2409788535606108</v>
      </c>
      <c r="J183" s="42">
        <f>IF(ISBLANK('Aqueous Species Options'!B183), "", IF('Aqueous Species Options'!L183 = 0, 'Aqueous Species Options'!O183, IF('Aqueous Species Table'!I183="", "", IF('Aqueous Species Options'!B183="H+", 0, ((1.11*('Aqueous Species Options'!G183 + 'Aqueous Species Table'!O183*100000*0.0000005903*41.8393)+1.8)/41.8393 - 'Aqueous Species Table'!I183/10)*26.01 ) ) ) )</f>
        <v>1.6588947266716561</v>
      </c>
      <c r="K183" s="42">
        <f>IF(ISBLANK('Aqueous Species Options'!B183), "", IF('Aqueous Species Options'!L183 = 0, 'Aqueous Species Options'!P183, IF('Aqueous Species Table'!I183="", "", IF('Aqueous Species Options'!B183="H+", 0, ('Aqueous Species Options'!G183/41.8393 + 'Aqueous Species Table'!O183*100000*0.0000005903 - 'Aqueous Species Table'!I183/10 - 'Aqueous Species Table'!J183*100/2601)*(298.15-228) - ('Aqueous Species Table'!L183*10000/2601) ) ) ) )</f>
        <v>3.4471332418895377</v>
      </c>
      <c r="L183" s="42">
        <f>IF(ISBLANK('Aqueous Species Options'!B183), "", IF('Aqueous Species Options'!L183 = 0, 'Aqueous Species Options'!Q183, IF('Aqueous Species Table'!J183="", "", IF('Aqueous Species Options'!B183="H+", 0, (-4.134*'Aqueous Species Table'!J183*100 - 27790)*0.0001) ) ) )</f>
        <v>-2.8475787080006065</v>
      </c>
      <c r="M183" s="42">
        <f>IF(ISBLANK('Aqueous Species Options'!B183), "", IF('Aqueous Species Options'!L183=0, 'Aqueous Species Options'!R183, IF('Aqueous Species Table'!N183="", "", IF('Aqueous Species Options'!B183="H+", 0, 'Aqueous Species Options'!H183 - 'Aqueous Species Table'!O183*100000*(-0.000000309)*298.15 - 'Aqueous Species Table'!N183*10000/(298.15-228)^2 ) ) ) )</f>
        <v>16.479584955617835</v>
      </c>
      <c r="N183" s="42">
        <f>IF(ISBLANK('Aqueous Species Options'!B183), "", IF('Aqueous Species Options'!L183=0, 'Aqueous Species Options'!S183, IF(OR(ISBLANK('Aqueous Species Options'!H183), 'Aqueous Species Table'!O183=""), "", IF('Aqueous Species Options'!B183="H+", 0, 0.2037*'Aqueous Species Options'!H183 - 3.0346) ) ) )</f>
        <v>0.71003483927431255</v>
      </c>
      <c r="O183" s="42">
        <f>IF(ISBLANK('Aqueous Species Options'!B183), "", IF('Aqueous Species Options'!K183=0, 'Aqueous Species Options'!I183, IF(OR('Aqueous Species Options'!J183&gt;4,'Aqueous Species Options'!J183&lt;-4), "", IF('Aqueous Species Options'!B183="H+", 0, IF('Aqueous Species Options'!J183=0, -0.038, IF(ISBLANK('Aqueous Species Options'!F183), "", -1514.4*'Aqueous Species Options'!F183*0.00001 + SUM(({4,3,2,1,-1,-2,-3,-4}='Aqueous Species Options'!J183)*{2.1764,1.5793,1.0579,0.5517,1.6291,3.2127,4.8115,6.486}) ) ) ) ) ) )</f>
        <v>-0.05</v>
      </c>
      <c r="P183" s="1">
        <f>IF(ISBLANK('Aqueous Species Options'!J183), "", 'Aqueous Species Options'!J183)</f>
        <v>0</v>
      </c>
      <c r="Q183" s="184" t="str">
        <f>IF(ISBLANK('Aqueous Species Options'!T183), "", 'Aqueous Species Options'!T183)</f>
        <v>Shock et al. (1989) + new a1</v>
      </c>
    </row>
    <row r="184" spans="2:17" ht="15" customHeight="1" x14ac:dyDescent="0.2">
      <c r="B184" s="9" t="str">
        <f>IF(ISBLANK('Aqueous Species Options'!B184), "", 'Aqueous Species Options'!B184)</f>
        <v>NH4+</v>
      </c>
      <c r="C184" s="9" t="str">
        <f>IF(ISBLANK('Aqueous Species Options'!C184), "", 'Aqueous Species Options'!C184)</f>
        <v>NH4(+)</v>
      </c>
      <c r="D184" s="2">
        <f>IF(ISBLANK('Aqueous Species Options'!D184), "", 'Aqueous Species Options'!D184)</f>
        <v>-18990</v>
      </c>
      <c r="E184" s="1">
        <f>IF(ISBLANK('Aqueous Species Options'!E184), "", 'Aqueous Species Options'!E184)</f>
        <v>-31850</v>
      </c>
      <c r="F184" s="139">
        <f>IF(ISBLANK('Aqueous Species Options'!F184), "", 'Aqueous Species Options'!F184)</f>
        <v>26.57</v>
      </c>
      <c r="G184" s="29">
        <f>IF(ISBLANK('Aqueous Species Options'!B184), "", IF('Aqueous Species Options'!L184 = 1, IF(ISBLANK('Aqueous Species Options'!G184), "", 'Aqueous Species Options'!G184), ('Aqueous Species Table'!I184/10 + ('Aqueous Species Table'!J184*100)/(Calculations!$C$12+Calculations!$C$9) + ('Aqueous Species Table'!K184 + ('Aqueous Species Table'!L184*10000)/(Calculations!$C$12+Calculations!$C$9))*(1/(Calculations!$C$8-Calculations!$C$13)) - 'Aqueous Species Table'!O184*100000*0.0000005903)*41.8393))</f>
        <v>18.130099154302023</v>
      </c>
      <c r="H184" s="29">
        <f>IF(ISBLANK('Aqueous Species Options'!B184), "", IF('Aqueous Species Options'!L184 = 1, IF(ISBLANK('Aqueous Species Options'!H184), "", 'Aqueous Species Options'!H184), 'Aqueous Species Table'!M184 + 'Aqueous Species Table'!N184*10000*(1/(Calculations!$C$8-Calculations!$C$13))^2 + 'Aqueous Species Table'!O184*100000*Calculations!$C$8*Calculations!$C$7))</f>
        <v>16.023558124915528</v>
      </c>
      <c r="I184" s="42">
        <f>IF(ISBLANK('Aqueous Species Options'!B184), "", IF('Aqueous Species Options'!L184=0, 'Aqueous Species Options'!N184, IF(OR(ISBLANK('Aqueous Species Options'!G184),'Aqueous Species Table'!O184="", 'Aqueous Species Table'!P184=""), "", IF('Aqueous Species Options'!B184="H+", 0, (CHOOSE('Aqueous Species Options'!M184+1,'Aqueous Species Options'!$V$4*ABS('Aqueous Species Table'!P184)+'Aqueous Species Options'!$W$4,'Aqueous Species Options'!$Z$4)*('Aqueous Species Options'!G184 + 'Aqueous Species Table'!O184*100000*0.0000005903*41.8393) + CHOOSE('Aqueous Species Options'!M184+1,'Aqueous Species Options'!$X$4*ABS('Aqueous Species Table'!P184)+'Aqueous Species Options'!$Y$4,'Aqueous Species Options'!$AA$4))*10 ) ) ) )</f>
        <v>5.1134907054700927</v>
      </c>
      <c r="J184" s="42">
        <f>IF(ISBLANK('Aqueous Species Options'!B184), "", IF('Aqueous Species Options'!L184 = 0, 'Aqueous Species Options'!O184, IF('Aqueous Species Table'!I184="", "", IF('Aqueous Species Options'!B184="H+", 0, ((1.11*('Aqueous Species Options'!G184 + 'Aqueous Species Table'!O184*100000*0.0000005903*41.8393)+1.8)/41.8393 - 'Aqueous Species Table'!I184/10)*26.01 ) ) ) )</f>
        <v>0.58541416287433934</v>
      </c>
      <c r="K184" s="42">
        <f>IF(ISBLANK('Aqueous Species Options'!B184), "", IF('Aqueous Species Options'!L184 = 0, 'Aqueous Species Options'!P184, IF('Aqueous Species Table'!I184="", "", IF('Aqueous Species Options'!B184="H+", 0, ('Aqueous Species Options'!G184/41.8393 + 'Aqueous Species Table'!O184*100000*0.0000005903 - 'Aqueous Species Table'!I184/10 - 'Aqueous Species Table'!J184*100/2601)*(298.15-228) - ('Aqueous Species Table'!L184*10000/2601) ) ) ) )</f>
        <v>4.3472365215305206</v>
      </c>
      <c r="L184" s="42">
        <f>IF(ISBLANK('Aqueous Species Options'!B184), "", IF('Aqueous Species Options'!L184 = 0, 'Aqueous Species Options'!Q184, IF('Aqueous Species Table'!J184="", "", IF('Aqueous Species Options'!B184="H+", 0, (-4.134*'Aqueous Species Table'!J184*100 - 27790)*0.0001) ) ) )</f>
        <v>-2.8032010214932255</v>
      </c>
      <c r="M184" s="42">
        <f>IF(ISBLANK('Aqueous Species Options'!B184), "", IF('Aqueous Species Options'!L184=0, 'Aqueous Species Options'!R184, IF('Aqueous Species Table'!N184="", "", IF('Aqueous Species Options'!B184="H+", 0, 'Aqueous Species Options'!H184 - 'Aqueous Species Table'!O184*100000*(-0.000000309)*298.15 - 'Aqueous Species Table'!N184*10000/(298.15-228)^2 ) ) ) )</f>
        <v>16.941165118539303</v>
      </c>
      <c r="N184" s="42">
        <f>IF(ISBLANK('Aqueous Species Options'!B184), "", IF('Aqueous Species Options'!L184=0, 'Aqueous Species Options'!S184, IF(OR(ISBLANK('Aqueous Species Options'!H184), 'Aqueous Species Table'!O184=""), "", IF('Aqueous Species Options'!B184="H+", 0, 0.2037*'Aqueous Species Options'!H184 - 3.0346) ) ) )</f>
        <v>0.22939879004529296</v>
      </c>
      <c r="O184" s="42">
        <f>IF(ISBLANK('Aqueous Species Options'!B184), "", IF('Aqueous Species Options'!K184=0, 'Aqueous Species Options'!I184, IF(OR('Aqueous Species Options'!J184&gt;4,'Aqueous Species Options'!J184&lt;-4), "", IF('Aqueous Species Options'!B184="H+", 0, IF('Aqueous Species Options'!J184=0, -0.038, IF(ISBLANK('Aqueous Species Options'!F184), "", -1514.4*'Aqueous Species Options'!F184*0.00001 + SUM(({4,3,2,1,-1,-2,-3,-4}='Aqueous Species Options'!J184)*{2.1764,1.5793,1.0579,0.5517,1.6291,3.2127,4.8115,6.486}) ) ) ) ) ) )</f>
        <v>0.1502</v>
      </c>
      <c r="P184" s="1">
        <f>IF(ISBLANK('Aqueous Species Options'!J184), "", 'Aqueous Species Options'!J184)</f>
        <v>1</v>
      </c>
      <c r="Q184" s="184" t="str">
        <f>IF(ISBLANK('Aqueous Species Options'!T184), "", 'Aqueous Species Options'!T184)</f>
        <v>Shock &amp; Helgeson (1988) + new a1</v>
      </c>
    </row>
    <row r="185" spans="2:17" ht="15" customHeight="1" x14ac:dyDescent="0.2">
      <c r="B185" s="9" t="str">
        <f>IF(ISBLANK('Aqueous Species Options'!B185), "", 'Aqueous Species Options'!B185)</f>
        <v>Ni+2</v>
      </c>
      <c r="C185" s="9" t="str">
        <f>IF(ISBLANK('Aqueous Species Options'!C185), "", 'Aqueous Species Options'!C185)</f>
        <v>Ni(+2)</v>
      </c>
      <c r="D185" s="2">
        <f>IF(ISBLANK('Aqueous Species Options'!D185), "", 'Aqueous Species Options'!D185)</f>
        <v>-10900</v>
      </c>
      <c r="E185" s="1">
        <f>IF(ISBLANK('Aqueous Species Options'!E185), "", 'Aqueous Species Options'!E185)</f>
        <v>-12900</v>
      </c>
      <c r="F185" s="139">
        <f>IF(ISBLANK('Aqueous Species Options'!F185), "", 'Aqueous Species Options'!F185)</f>
        <v>-30.8</v>
      </c>
      <c r="G185" s="29">
        <f>IF(ISBLANK('Aqueous Species Options'!B185), "", IF('Aqueous Species Options'!L185 = 1, IF(ISBLANK('Aqueous Species Options'!G185), "", 'Aqueous Species Options'!G185), ('Aqueous Species Table'!I185/10 + ('Aqueous Species Table'!J185*100)/(Calculations!$C$12+Calculations!$C$9) + ('Aqueous Species Table'!K185 + ('Aqueous Species Table'!L185*10000)/(Calculations!$C$12+Calculations!$C$9))*(1/(Calculations!$C$8-Calculations!$C$13)) - 'Aqueous Species Table'!O185*100000*0.0000005903)*41.8393))</f>
        <v>-29.00018616213362</v>
      </c>
      <c r="H185" s="29">
        <f>IF(ISBLANK('Aqueous Species Options'!B185), "", IF('Aqueous Species Options'!L185 = 1, IF(ISBLANK('Aqueous Species Options'!H185), "", 'Aqueous Species Options'!H185), 'Aqueous Species Table'!M185 + 'Aqueous Species Table'!N185*10000*(1/(Calculations!$C$8-Calculations!$C$13))^2 + 'Aqueous Species Table'!O185*100000*Calculations!$C$8*Calculations!$C$7))</f>
        <v>-11.700182270493716</v>
      </c>
      <c r="I185" s="42">
        <f>IF(ISBLANK('Aqueous Species Options'!B185), "", IF('Aqueous Species Options'!L185=0, 'Aqueous Species Options'!N185, IF(OR(ISBLANK('Aqueous Species Options'!G185),'Aqueous Species Table'!O185="", 'Aqueous Species Table'!P185=""), "", IF('Aqueous Species Options'!B185="H+", 0, (CHOOSE('Aqueous Species Options'!M185+1,'Aqueous Species Options'!$V$4*ABS('Aqueous Species Table'!P185)+'Aqueous Species Options'!$W$4,'Aqueous Species Options'!$Z$4)*('Aqueous Species Options'!G185 + 'Aqueous Species Table'!O185*100000*0.0000005903*41.8393) + CHOOSE('Aqueous Species Options'!M185+1,'Aqueous Species Options'!$X$4*ABS('Aqueous Species Table'!P185)+'Aqueous Species Options'!$Y$4,'Aqueous Species Options'!$AA$4))*10 ) ) ) )</f>
        <v>-2.5121036060018582</v>
      </c>
      <c r="J185" s="42">
        <f>IF(ISBLANK('Aqueous Species Options'!B185), "", IF('Aqueous Species Options'!L185 = 0, 'Aqueous Species Options'!O185, IF('Aqueous Species Table'!I185="", "", IF('Aqueous Species Options'!B185="H+", 0, ((1.11*('Aqueous Species Options'!G185 + 'Aqueous Species Table'!O185*100000*0.0000005903*41.8393)+1.8)/41.8393 - 'Aqueous Species Table'!I185/10)*26.01 ) ) ) )</f>
        <v>-9.7907155796478502</v>
      </c>
      <c r="K185" s="42">
        <f>IF(ISBLANK('Aqueous Species Options'!B185), "", IF('Aqueous Species Options'!L185 = 0, 'Aqueous Species Options'!P185, IF('Aqueous Species Table'!I185="", "", IF('Aqueous Species Options'!B185="H+", 0, ('Aqueous Species Options'!G185/41.8393 + 'Aqueous Species Table'!O185*100000*0.0000005903 - 'Aqueous Species Table'!I185/10 - 'Aqueous Species Table'!J185*100/2601)*(298.15-228) - ('Aqueous Species Table'!L185*10000/2601) ) ) ) )</f>
        <v>10.772499936281131</v>
      </c>
      <c r="L185" s="42">
        <f>IF(ISBLANK('Aqueous Species Options'!B185), "", IF('Aqueous Species Options'!L185 = 0, 'Aqueous Species Options'!Q185, IF('Aqueous Species Table'!J185="", "", IF('Aqueous Species Options'!B185="H+", 0, (-4.134*'Aqueous Species Table'!J185*100 - 27790)*0.0001) ) ) )</f>
        <v>-2.374251817937358</v>
      </c>
      <c r="M185" s="42">
        <f>IF(ISBLANK('Aqueous Species Options'!B185), "", IF('Aqueous Species Options'!L185=0, 'Aqueous Species Options'!R185, IF('Aqueous Species Table'!N185="", "", IF('Aqueous Species Options'!B185="H+", 0, 'Aqueous Species Options'!H185 - 'Aqueous Species Table'!O185*100000*(-0.000000309)*298.15 - 'Aqueous Species Table'!N185*10000/(298.15-228)^2 ) ) ) )</f>
        <v>13.19055512776983</v>
      </c>
      <c r="N185" s="42">
        <f>IF(ISBLANK('Aqueous Species Options'!B185), "", IF('Aqueous Species Options'!L185=0, 'Aqueous Species Options'!S185, IF(OR(ISBLANK('Aqueous Species Options'!H185), 'Aqueous Species Table'!O185=""), "", IF('Aqueous Species Options'!B185="H+", 0, 0.2037*'Aqueous Species Options'!H185 - 3.0346) ) ) )</f>
        <v>-5.4179271284995707</v>
      </c>
      <c r="O185" s="42">
        <f>IF(ISBLANK('Aqueous Species Options'!B185), "", IF('Aqueous Species Options'!K185=0, 'Aqueous Species Options'!I185, IF(OR('Aqueous Species Options'!J185&gt;4,'Aqueous Species Options'!J185&lt;-4), "", IF('Aqueous Species Options'!B185="H+", 0, IF('Aqueous Species Options'!J185=0, -0.038, IF(ISBLANK('Aqueous Species Options'!F185), "", -1514.4*'Aqueous Species Options'!F185*0.00001 + SUM(({4,3,2,1,-1,-2,-3,-4}='Aqueous Species Options'!J185)*{2.1764,1.5793,1.0579,0.5517,1.6291,3.2127,4.8115,6.486}) ) ) ) ) ) )</f>
        <v>1.5066999999999999</v>
      </c>
      <c r="P185" s="1">
        <f>IF(ISBLANK('Aqueous Species Options'!J185), "", 'Aqueous Species Options'!J185)</f>
        <v>2</v>
      </c>
      <c r="Q185" s="184" t="str">
        <f>IF(ISBLANK('Aqueous Species Options'!T185), "", 'Aqueous Species Options'!T185)</f>
        <v>Shock &amp; Helgeson (1988) revised with new predicted a1 for ions</v>
      </c>
    </row>
    <row r="186" spans="2:17" ht="15" customHeight="1" x14ac:dyDescent="0.2">
      <c r="B186" s="9" t="str">
        <f>IF(ISBLANK('Aqueous Species Options'!B186), "", 'Aqueous Species Options'!B186)</f>
        <v>NO2-</v>
      </c>
      <c r="C186" s="9" t="str">
        <f>IF(ISBLANK('Aqueous Species Options'!C186), "", 'Aqueous Species Options'!C186)</f>
        <v>NO2(-)</v>
      </c>
      <c r="D186" s="2">
        <f>IF(ISBLANK('Aqueous Species Options'!D186), "", 'Aqueous Species Options'!D186)</f>
        <v>-7700</v>
      </c>
      <c r="E186" s="1">
        <f>IF(ISBLANK('Aqueous Species Options'!E186), "", 'Aqueous Species Options'!E186)</f>
        <v>-25000</v>
      </c>
      <c r="F186" s="139">
        <f>IF(ISBLANK('Aqueous Species Options'!F186), "", 'Aqueous Species Options'!F186)</f>
        <v>29.4</v>
      </c>
      <c r="G186" s="29">
        <f>IF(ISBLANK('Aqueous Species Options'!B186), "", IF('Aqueous Species Options'!L186 = 1, IF(ISBLANK('Aqueous Species Options'!G186), "", 'Aqueous Species Options'!G186), ('Aqueous Species Table'!I186/10 + ('Aqueous Species Table'!J186*100)/(Calculations!$C$12+Calculations!$C$9) + ('Aqueous Species Table'!K186 + ('Aqueous Species Table'!L186*10000)/(Calculations!$C$12+Calculations!$C$9))*(1/(Calculations!$C$8-Calculations!$C$13)) - 'Aqueous Species Table'!O186*100000*0.0000005903)*41.8393))</f>
        <v>25.00005814048389</v>
      </c>
      <c r="H186" s="29">
        <f>IF(ISBLANK('Aqueous Species Options'!B186), "", IF('Aqueous Species Options'!L186 = 1, IF(ISBLANK('Aqueous Species Options'!H186), "", 'Aqueous Species Options'!H186), 'Aqueous Species Table'!M186 + 'Aqueous Species Table'!N186*10000*(1/(Calculations!$C$8-Calculations!$C$13))^2 + 'Aqueous Species Table'!O186*100000*Calculations!$C$8*Calculations!$C$7))</f>
        <v>-23.299793774198573</v>
      </c>
      <c r="I186" s="42">
        <f>IF(ISBLANK('Aqueous Species Options'!B186), "", IF('Aqueous Species Options'!L186=0, 'Aqueous Species Options'!N186, IF(OR(ISBLANK('Aqueous Species Options'!G186),'Aqueous Species Table'!O186="", 'Aqueous Species Table'!P186=""), "", IF('Aqueous Species Options'!B186="H+", 0, (CHOOSE('Aqueous Species Options'!M186+1,'Aqueous Species Options'!$V$4*ABS('Aqueous Species Table'!P186)+'Aqueous Species Options'!$W$4,'Aqueous Species Options'!$Z$4)*('Aqueous Species Options'!G186 + 'Aqueous Species Table'!O186*100000*0.0000005903*41.8393) + CHOOSE('Aqueous Species Options'!M186+1,'Aqueous Species Options'!$X$4*ABS('Aqueous Species Table'!P186)+'Aqueous Species Options'!$Y$4,'Aqueous Species Options'!$AA$4))*10 ) ) ) )</f>
        <v>5.1109561190114565</v>
      </c>
      <c r="J186" s="42">
        <f>IF(ISBLANK('Aqueous Species Options'!B186), "", IF('Aqueous Species Options'!L186 = 0, 'Aqueous Species Options'!O186, IF('Aqueous Species Table'!I186="", "", IF('Aqueous Species Options'!B186="H+", 0, ((1.11*('Aqueous Species Options'!G186 + 'Aqueous Species Table'!O186*100000*0.0000005903*41.8393)+1.8)/41.8393 - 'Aqueous Species Table'!I186/10)*26.01 ) ) ) )</f>
        <v>7.0956619673943795</v>
      </c>
      <c r="K186" s="42">
        <f>IF(ISBLANK('Aqueous Species Options'!B186), "", IF('Aqueous Species Options'!L186 = 0, 'Aqueous Species Options'!P186, IF('Aqueous Species Table'!I186="", "", IF('Aqueous Species Options'!B186="H+", 0, ('Aqueous Species Options'!G186/41.8393 + 'Aqueous Species Table'!O186*100000*0.0000005903 - 'Aqueous Species Table'!I186/10 - 'Aqueous Species Table'!J186*100/2601)*(298.15-228) - ('Aqueous Species Table'!L186*10000/2601) ) ) ) )</f>
        <v>3.6437087044307788</v>
      </c>
      <c r="L186" s="42">
        <f>IF(ISBLANK('Aqueous Species Options'!B186), "", IF('Aqueous Species Options'!L186 = 0, 'Aqueous Species Options'!Q186, IF('Aqueous Species Table'!J186="", "", IF('Aqueous Species Options'!B186="H+", 0, (-4.134*'Aqueous Species Table'!J186*100 - 27790)*0.0001) ) ) )</f>
        <v>-3.0723346657320838</v>
      </c>
      <c r="M186" s="42">
        <f>IF(ISBLANK('Aqueous Species Options'!B186), "", IF('Aqueous Species Options'!L186=0, 'Aqueous Species Options'!R186, IF('Aqueous Species Table'!N186="", "", IF('Aqueous Species Options'!B186="H+", 0, 'Aqueous Species Options'!H186 - 'Aqueous Species Table'!O186*100000*(-0.000000309)*298.15 - 'Aqueous Species Table'!N186*10000/(298.15-228)^2 ) ) ) )</f>
        <v>3.4259349562093071</v>
      </c>
      <c r="N186" s="42">
        <f>IF(ISBLANK('Aqueous Species Options'!B186), "", IF('Aqueous Species Options'!L186=0, 'Aqueous Species Options'!S186, IF(OR(ISBLANK('Aqueous Species Options'!H186), 'Aqueous Species Table'!O186=""), "", IF('Aqueous Species Options'!B186="H+", 0, 0.2037*'Aqueous Species Options'!H186 - 3.0346) ) ) )</f>
        <v>-7.7807679918042494</v>
      </c>
      <c r="O186" s="42">
        <f>IF(ISBLANK('Aqueous Species Options'!B186), "", IF('Aqueous Species Options'!K186=0, 'Aqueous Species Options'!I186, IF(OR('Aqueous Species Options'!J186&gt;4,'Aqueous Species Options'!J186&lt;-4), "", IF('Aqueous Species Options'!B186="H+", 0, IF('Aqueous Species Options'!J186=0, -0.038, IF(ISBLANK('Aqueous Species Options'!F186), "", -1514.4*'Aqueous Species Options'!F186*0.00001 + SUM(({4,3,2,1,-1,-2,-3,-4}='Aqueous Species Options'!J186)*{2.1764,1.5793,1.0579,0.5517,1.6291,3.2127,4.8115,6.486}) ) ) ) ) ) )</f>
        <v>1.1847000000000001</v>
      </c>
      <c r="P186" s="1">
        <f>IF(ISBLANK('Aqueous Species Options'!J186), "", 'Aqueous Species Options'!J186)</f>
        <v>-1</v>
      </c>
      <c r="Q186" s="184" t="str">
        <f>IF(ISBLANK('Aqueous Species Options'!T186), "", 'Aqueous Species Options'!T186)</f>
        <v>Shock &amp; Helgeson (1988) revised with new predicted a1 for ions</v>
      </c>
    </row>
    <row r="187" spans="2:17" ht="15" customHeight="1" x14ac:dyDescent="0.2">
      <c r="B187" s="9" t="str">
        <f>IF(ISBLANK('Aqueous Species Options'!B187), "", 'Aqueous Species Options'!B187)</f>
        <v>NO3-</v>
      </c>
      <c r="C187" s="9" t="str">
        <f>IF(ISBLANK('Aqueous Species Options'!C187), "", 'Aqueous Species Options'!C187)</f>
        <v>NO3(-)</v>
      </c>
      <c r="D187" s="2">
        <f>IF(ISBLANK('Aqueous Species Options'!D187), "", 'Aqueous Species Options'!D187)</f>
        <v>-26507</v>
      </c>
      <c r="E187" s="1">
        <f>IF(ISBLANK('Aqueous Species Options'!E187), "", 'Aqueous Species Options'!E187)</f>
        <v>-49429</v>
      </c>
      <c r="F187" s="139">
        <f>IF(ISBLANK('Aqueous Species Options'!F187), "", 'Aqueous Species Options'!F187)</f>
        <v>35.119999999999997</v>
      </c>
      <c r="G187" s="29">
        <f>IF(ISBLANK('Aqueous Species Options'!B187), "", IF('Aqueous Species Options'!L187 = 1, IF(ISBLANK('Aqueous Species Options'!G187), "", 'Aqueous Species Options'!G187), ('Aqueous Species Table'!I187/10 + ('Aqueous Species Table'!J187*100)/(Calculations!$C$12+Calculations!$C$9) + ('Aqueous Species Table'!K187 + ('Aqueous Species Table'!L187*10000)/(Calculations!$C$12+Calculations!$C$9))*(1/(Calculations!$C$8-Calculations!$C$13)) - 'Aqueous Species Table'!O187*100000*0.0000005903)*41.8393))</f>
        <v>29.000102966778783</v>
      </c>
      <c r="H187" s="29">
        <f>IF(ISBLANK('Aqueous Species Options'!B187), "", IF('Aqueous Species Options'!L187 = 1, IF(ISBLANK('Aqueous Species Options'!H187), "", 'Aqueous Species Options'!H187), 'Aqueous Species Table'!M187 + 'Aqueous Species Table'!N187*10000*(1/(Calculations!$C$8-Calculations!$C$13))^2 + 'Aqueous Species Table'!O187*100000*Calculations!$C$8*Calculations!$C$7))</f>
        <v>-16.078788056551574</v>
      </c>
      <c r="I187" s="42">
        <f>IF(ISBLANK('Aqueous Species Options'!B187), "", IF('Aqueous Species Options'!L187=0, 'Aqueous Species Options'!N187, IF(OR(ISBLANK('Aqueous Species Options'!G187),'Aqueous Species Table'!O187="", 'Aqueous Species Table'!P187=""), "", IF('Aqueous Species Options'!B187="H+", 0, (CHOOSE('Aqueous Species Options'!M187+1,'Aqueous Species Options'!$V$4*ABS('Aqueous Species Table'!P187)+'Aqueous Species Options'!$W$4,'Aqueous Species Options'!$Z$4)*('Aqueous Species Options'!G187 + 'Aqueous Species Table'!O187*100000*0.0000005903*41.8393) + CHOOSE('Aqueous Species Options'!M187+1,'Aqueous Species Options'!$X$4*ABS('Aqueous Species Table'!P187)+'Aqueous Species Options'!$Y$4,'Aqueous Species Options'!$AA$4))*10 ) ) ) )</f>
        <v>5.5224045870333951</v>
      </c>
      <c r="J187" s="42">
        <f>IF(ISBLANK('Aqueous Species Options'!B187), "", IF('Aqueous Species Options'!L187 = 0, 'Aqueous Species Options'!O187, IF('Aqueous Species Table'!I187="", "", IF('Aqueous Species Options'!B187="H+", 0, ((1.11*('Aqueous Species Options'!G187 + 'Aqueous Species Table'!O187*100000*0.0000005903*41.8393)+1.8)/41.8393 - 'Aqueous Species Table'!I187/10)*26.01 ) ) ) )</f>
        <v>8.637434306988057</v>
      </c>
      <c r="K187" s="42">
        <f>IF(ISBLANK('Aqueous Species Options'!B187), "", IF('Aqueous Species Options'!L187 = 0, 'Aqueous Species Options'!P187, IF('Aqueous Species Table'!I187="", "", IF('Aqueous Species Options'!B187="H+", 0, ('Aqueous Species Options'!G187/41.8393 + 'Aqueous Species Table'!O187*100000*0.0000005903 - 'Aqueous Species Table'!I187/10 - 'Aqueous Species Table'!J187*100/2601)*(298.15-228) - ('Aqueous Species Table'!L187*10000/2601) ) ) ) )</f>
        <v>3.1906494768963931</v>
      </c>
      <c r="L187" s="42">
        <f>IF(ISBLANK('Aqueous Species Options'!B187), "", IF('Aqueous Species Options'!L187 = 0, 'Aqueous Species Options'!Q187, IF('Aqueous Species Table'!J187="", "", IF('Aqueous Species Options'!B187="H+", 0, (-4.134*'Aqueous Species Table'!J187*100 - 27790)*0.0001) ) ) )</f>
        <v>-3.1360715342508865</v>
      </c>
      <c r="M187" s="42">
        <f>IF(ISBLANK('Aqueous Species Options'!B187), "", IF('Aqueous Species Options'!L187=0, 'Aqueous Species Options'!R187, IF('Aqueous Species Table'!N187="", "", IF('Aqueous Species Options'!B187="H+", 0, 'Aqueous Species Options'!H187 - 'Aqueous Species Table'!O187*100000*(-0.000000309)*298.15 - 'Aqueous Species Table'!N187*10000/(298.15-228)^2 ) ) ) )</f>
        <v>6.8563727398514356</v>
      </c>
      <c r="N187" s="42">
        <f>IF(ISBLANK('Aqueous Species Options'!B187), "", IF('Aqueous Species Options'!L187=0, 'Aqueous Species Options'!S187, IF(OR(ISBLANK('Aqueous Species Options'!H187), 'Aqueous Species Table'!O187=""), "", IF('Aqueous Species Options'!B187="H+", 0, 0.2037*'Aqueous Species Options'!H187 - 3.0346) ) ) )</f>
        <v>-6.3098491271195556</v>
      </c>
      <c r="O187" s="42">
        <f>IF(ISBLANK('Aqueous Species Options'!B187), "", IF('Aqueous Species Options'!K187=0, 'Aqueous Species Options'!I187, IF(OR('Aqueous Species Options'!J187&gt;4,'Aqueous Species Options'!J187&lt;-4), "", IF('Aqueous Species Options'!B187="H+", 0, IF('Aqueous Species Options'!J187=0, -0.038, IF(ISBLANK('Aqueous Species Options'!F187), "", -1514.4*'Aqueous Species Options'!F187*0.00001 + SUM(({4,3,2,1,-1,-2,-3,-4}='Aqueous Species Options'!J187)*{2.1764,1.5793,1.0579,0.5517,1.6291,3.2127,4.8115,6.486}) ) ) ) ) ) )</f>
        <v>1.0976999999999999</v>
      </c>
      <c r="P187" s="1">
        <f>IF(ISBLANK('Aqueous Species Options'!J187), "", 'Aqueous Species Options'!J187)</f>
        <v>-1</v>
      </c>
      <c r="Q187" s="184" t="str">
        <f>IF(ISBLANK('Aqueous Species Options'!T187), "", 'Aqueous Species Options'!T187)</f>
        <v>Shock &amp; Helgeson (1988) revised with new predicted a1 for ions</v>
      </c>
    </row>
    <row r="188" spans="2:17" ht="15" customHeight="1" x14ac:dyDescent="0.2">
      <c r="B188" s="9" t="str">
        <f>IF(ISBLANK('Aqueous Species Options'!B188), "", 'Aqueous Species Options'!B188)</f>
        <v>O2,aq</v>
      </c>
      <c r="C188" s="9" t="str">
        <f>IF(ISBLANK('Aqueous Species Options'!C188), "", 'Aqueous Species Options'!C188)</f>
        <v>O2(0)</v>
      </c>
      <c r="D188" s="2">
        <f>IF(ISBLANK('Aqueous Species Options'!D188), "", 'Aqueous Species Options'!D188)</f>
        <v>3954</v>
      </c>
      <c r="E188" s="1">
        <f>IF(ISBLANK('Aqueous Species Options'!E188), "", 'Aqueous Species Options'!E188)</f>
        <v>-2900</v>
      </c>
      <c r="F188" s="139">
        <f>IF(ISBLANK('Aqueous Species Options'!F188), "", 'Aqueous Species Options'!F188)</f>
        <v>26.04</v>
      </c>
      <c r="G188" s="29">
        <f>IF(ISBLANK('Aqueous Species Options'!B188), "", IF('Aqueous Species Options'!L188 = 1, IF(ISBLANK('Aqueous Species Options'!G188), "", 'Aqueous Species Options'!G188), ('Aqueous Species Table'!I188/10 + ('Aqueous Species Table'!J188*100)/(Calculations!$C$12+Calculations!$C$9) + ('Aqueous Species Table'!K188 + ('Aqueous Species Table'!L188*10000)/(Calculations!$C$12+Calculations!$C$9))*(1/(Calculations!$C$8-Calculations!$C$13)) - 'Aqueous Species Table'!O188*100000*0.0000005903)*41.8393))</f>
        <v>30.379730047010501</v>
      </c>
      <c r="H188" s="29">
        <f>IF(ISBLANK('Aqueous Species Options'!B188), "", IF('Aqueous Species Options'!L188 = 1, IF(ISBLANK('Aqueous Species Options'!H188), "", 'Aqueous Species Options'!H188), 'Aqueous Species Table'!M188 + 'Aqueous Species Table'!N188*10000*(1/(Calculations!$C$8-Calculations!$C$13))^2 + 'Aqueous Species Table'!O188*100000*Calculations!$C$8*Calculations!$C$7))</f>
        <v>55.999564588979112</v>
      </c>
      <c r="I188" s="42">
        <f>IF(ISBLANK('Aqueous Species Options'!B188), "", IF('Aqueous Species Options'!L188=0, 'Aqueous Species Options'!N188, IF(OR(ISBLANK('Aqueous Species Options'!G188),'Aqueous Species Table'!O188="", 'Aqueous Species Table'!P188=""), "", IF('Aqueous Species Options'!B188="H+", 0, (CHOOSE('Aqueous Species Options'!M188+1,'Aqueous Species Options'!$V$4*ABS('Aqueous Species Table'!P188)+'Aqueous Species Options'!$W$4,'Aqueous Species Options'!$Z$4)*('Aqueous Species Options'!G188 + 'Aqueous Species Table'!O188*100000*0.0000005903*41.8393) + CHOOSE('Aqueous Species Options'!M188+1,'Aqueous Species Options'!$X$4*ABS('Aqueous Species Table'!P188)+'Aqueous Species Options'!$Y$4,'Aqueous Species Options'!$AA$4))*10 ) ) ) )</f>
        <v>5.7888999999999999</v>
      </c>
      <c r="J188" s="42">
        <f>IF(ISBLANK('Aqueous Species Options'!B188), "", IF('Aqueous Species Options'!L188 = 0, 'Aqueous Species Options'!O188, IF('Aqueous Species Table'!I188="", "", IF('Aqueous Species Options'!B188="H+", 0, ((1.11*('Aqueous Species Options'!G188 + 'Aqueous Species Table'!O188*100000*0.0000005903*41.8393)+1.8)/41.8393 - 'Aqueous Species Table'!I188/10)*26.01 ) ) ) )</f>
        <v>6.3536000000000001</v>
      </c>
      <c r="K188" s="42">
        <f>IF(ISBLANK('Aqueous Species Options'!B188), "", IF('Aqueous Species Options'!L188 = 0, 'Aqueous Species Options'!P188, IF('Aqueous Species Table'!I188="", "", IF('Aqueous Species Options'!B188="H+", 0, ('Aqueous Species Options'!G188/41.8393 + 'Aqueous Species Table'!O188*100000*0.0000005903 - 'Aqueous Species Table'!I188/10 - 'Aqueous Species Table'!J188*100/2601)*(298.15-228) - ('Aqueous Species Table'!L188*10000/2601) ) ) ) )</f>
        <v>3.2528000000000001</v>
      </c>
      <c r="L188" s="42">
        <f>IF(ISBLANK('Aqueous Species Options'!B188), "", IF('Aqueous Species Options'!L188 = 0, 'Aqueous Species Options'!Q188, IF('Aqueous Species Table'!J188="", "", IF('Aqueous Species Options'!B188="H+", 0, (-4.134*'Aqueous Species Table'!J188*100 - 27790)*0.0001) ) ) )</f>
        <v>-3.0417000000000001</v>
      </c>
      <c r="M188" s="42">
        <f>IF(ISBLANK('Aqueous Species Options'!B188), "", IF('Aqueous Species Options'!L188=0, 'Aqueous Species Options'!R188, IF('Aqueous Species Table'!N188="", "", IF('Aqueous Species Options'!B188="H+", 0, 'Aqueous Species Options'!H188 - 'Aqueous Species Table'!O188*100000*(-0.000000309)*298.15 - 'Aqueous Species Table'!N188*10000/(298.15-228)^2 ) ) ) )</f>
        <v>35.353000000000002</v>
      </c>
      <c r="N188" s="42">
        <f>IF(ISBLANK('Aqueous Species Options'!B188), "", IF('Aqueous Species Options'!L188=0, 'Aqueous Species Options'!S188, IF(OR(ISBLANK('Aqueous Species Options'!H188), 'Aqueous Species Table'!O188=""), "", IF('Aqueous Species Options'!B188="H+", 0, 0.2037*'Aqueous Species Options'!H188 - 3.0346) ) ) )</f>
        <v>8.3726000000000003</v>
      </c>
      <c r="O188" s="42">
        <f>IF(ISBLANK('Aqueous Species Options'!B188), "", IF('Aqueous Species Options'!K188=0, 'Aqueous Species Options'!I188, IF(OR('Aqueous Species Options'!J188&gt;4,'Aqueous Species Options'!J188&lt;-4), "", IF('Aqueous Species Options'!B188="H+", 0, IF('Aqueous Species Options'!J188=0, -0.038, IF(ISBLANK('Aqueous Species Options'!F188), "", -1514.4*'Aqueous Species Options'!F188*0.00001 + SUM(({4,3,2,1,-1,-2,-3,-4}='Aqueous Species Options'!J188)*{2.1764,1.5793,1.0579,0.5517,1.6291,3.2127,4.8115,6.486}) ) ) ) ) ) )</f>
        <v>-0.39429999999999998</v>
      </c>
      <c r="P188" s="1">
        <f>IF(ISBLANK('Aqueous Species Options'!J188), "", 'Aqueous Species Options'!J188)</f>
        <v>0</v>
      </c>
      <c r="Q188" s="184" t="str">
        <f>IF(ISBLANK('Aqueous Species Options'!T188), "", 'Aqueous Species Options'!T188)</f>
        <v>Shock et al. (1989)</v>
      </c>
    </row>
    <row r="189" spans="2:17" ht="15" customHeight="1" x14ac:dyDescent="0.2">
      <c r="B189" s="9" t="str">
        <f>IF(ISBLANK('Aqueous Species Options'!B189), "", 'Aqueous Species Options'!B189)</f>
        <v>OH-</v>
      </c>
      <c r="C189" s="9" t="str">
        <f>IF(ISBLANK('Aqueous Species Options'!C189), "", 'Aqueous Species Options'!C189)</f>
        <v>OH(-)</v>
      </c>
      <c r="D189" s="2">
        <f>IF(ISBLANK('Aqueous Species Options'!D189), "", 'Aqueous Species Options'!D189)</f>
        <v>-37595</v>
      </c>
      <c r="E189" s="1">
        <f>IF(ISBLANK('Aqueous Species Options'!E189), "", 'Aqueous Species Options'!E189)</f>
        <v>-54977</v>
      </c>
      <c r="F189" s="139">
        <f>IF(ISBLANK('Aqueous Species Options'!F189), "", 'Aqueous Species Options'!F189)</f>
        <v>-5</v>
      </c>
      <c r="G189" s="29">
        <f>IF(ISBLANK('Aqueous Species Options'!B189), "", IF('Aqueous Species Options'!L189 = 1, IF(ISBLANK('Aqueous Species Options'!G189), "", 'Aqueous Species Options'!G189), ('Aqueous Species Table'!I189/10 + ('Aqueous Species Table'!J189*100)/(Calculations!$C$12+Calculations!$C$9) + ('Aqueous Species Table'!K189 + ('Aqueous Species Table'!L189*10000)/(Calculations!$C$12+Calculations!$C$9))*(1/(Calculations!$C$8-Calculations!$C$13)) - 'Aqueous Species Table'!O189*100000*0.0000005903)*41.8393))</f>
        <v>-9.0995333789813042</v>
      </c>
      <c r="H189" s="29">
        <f>IF(ISBLANK('Aqueous Species Options'!B189), "", IF('Aqueous Species Options'!L189 = 1, IF(ISBLANK('Aqueous Species Options'!H189), "", 'Aqueous Species Options'!H189), 'Aqueous Species Table'!M189 + 'Aqueous Species Table'!N189*10000*(1/(Calculations!$C$8-Calculations!$C$13))^2 + 'Aqueous Species Table'!O189*100000*Calculations!$C$8*Calculations!$C$7))</f>
        <v>-19.007453190249493</v>
      </c>
      <c r="I189" s="42">
        <f>IF(ISBLANK('Aqueous Species Options'!B189), "", IF('Aqueous Species Options'!L189=0, 'Aqueous Species Options'!N189, IF(OR(ISBLANK('Aqueous Species Options'!G189),'Aqueous Species Table'!O189="", 'Aqueous Species Table'!P189=""), "", IF('Aqueous Species Options'!B189="H+", 0, (CHOOSE('Aqueous Species Options'!M189+1,'Aqueous Species Options'!$V$4*ABS('Aqueous Species Table'!P189)+'Aqueous Species Options'!$W$4,'Aqueous Species Options'!$Z$4)*('Aqueous Species Options'!G189 + 'Aqueous Species Table'!O189*100000*0.0000005903*41.8393) + CHOOSE('Aqueous Species Options'!M189+1,'Aqueous Species Options'!$X$4*ABS('Aqueous Species Table'!P189)+'Aqueous Species Options'!$Y$4,'Aqueous Species Options'!$AA$4))*10 ) ) ) )</f>
        <v>2.1</v>
      </c>
      <c r="J189" s="42">
        <f>IF(ISBLANK('Aqueous Species Options'!B189), "", IF('Aqueous Species Options'!L189 = 0, 'Aqueous Species Options'!O189, IF('Aqueous Species Table'!I189="", "", IF('Aqueous Species Options'!B189="H+", 0, ((1.11*('Aqueous Species Options'!G189 + 'Aqueous Species Table'!O189*100000*0.0000005903*41.8393)+1.8)/41.8393 - 'Aqueous Species Table'!I189/10)*26.01 ) ) ) )</f>
        <v>-5</v>
      </c>
      <c r="K189" s="42">
        <f>IF(ISBLANK('Aqueous Species Options'!B189), "", IF('Aqueous Species Options'!L189 = 0, 'Aqueous Species Options'!P189, IF('Aqueous Species Table'!I189="", "", IF('Aqueous Species Options'!B189="H+", 0, ('Aqueous Species Options'!G189/41.8393 + 'Aqueous Species Table'!O189*100000*0.0000005903 - 'Aqueous Species Table'!I189/10 - 'Aqueous Species Table'!J189*100/2601)*(298.15-228) - ('Aqueous Species Table'!L189*10000/2601) ) ) ) )</f>
        <v>1</v>
      </c>
      <c r="L189" s="42">
        <f>IF(ISBLANK('Aqueous Species Options'!B189), "", IF('Aqueous Species Options'!L189 = 0, 'Aqueous Species Options'!Q189, IF('Aqueous Species Table'!J189="", "", IF('Aqueous Species Options'!B189="H+", 0, (-4.134*'Aqueous Species Table'!J189*100 - 27790)*0.0001) ) ) )</f>
        <v>-2.7</v>
      </c>
      <c r="M189" s="42">
        <f>IF(ISBLANK('Aqueous Species Options'!B189), "", IF('Aqueous Species Options'!L189=0, 'Aqueous Species Options'!R189, IF('Aqueous Species Table'!N189="", "", IF('Aqueous Species Options'!B189="H+", 0, 'Aqueous Species Options'!H189 - 'Aqueous Species Table'!O189*100000*(-0.000000309)*298.15 - 'Aqueous Species Table'!N189*10000/(298.15-228)^2 ) ) ) )</f>
        <v>12.12</v>
      </c>
      <c r="N189" s="42">
        <f>IF(ISBLANK('Aqueous Species Options'!B189), "", IF('Aqueous Species Options'!L189=0, 'Aqueous Species Options'!S189, IF(OR(ISBLANK('Aqueous Species Options'!H189), 'Aqueous Species Table'!O189=""), "", IF('Aqueous Species Options'!B189="H+", 0, 0.2037*'Aqueous Species Options'!H189 - 3.0346) ) ) )</f>
        <v>-7.52</v>
      </c>
      <c r="O189" s="42">
        <f>IF(ISBLANK('Aqueous Species Options'!B189), "", IF('Aqueous Species Options'!K189=0, 'Aqueous Species Options'!I189, IF(OR('Aqueous Species Options'!J189&gt;4,'Aqueous Species Options'!J189&lt;-4), "", IF('Aqueous Species Options'!B189="H+", 0, IF('Aqueous Species Options'!J189=0, -0.038, IF(ISBLANK('Aqueous Species Options'!F189), "", -1514.4*'Aqueous Species Options'!F189*0.00001 + SUM(({4,3,2,1,-1,-2,-3,-4}='Aqueous Species Options'!J189)*{2.1764,1.5793,1.0579,0.5517,1.6291,3.2127,4.8115,6.486}) ) ) ) ) ) )</f>
        <v>1.72</v>
      </c>
      <c r="P189" s="1">
        <f>IF(ISBLANK('Aqueous Species Options'!J189), "", 'Aqueous Species Options'!J189)</f>
        <v>-1</v>
      </c>
      <c r="Q189" s="184" t="str">
        <f>IF(ISBLANK('Aqueous Species Options'!T189), "", 'Aqueous Species Options'!T189)</f>
        <v>August 16th, 2013 fit to Bandura &amp; Lvov (2005)</v>
      </c>
    </row>
    <row r="190" spans="2:17" ht="32" x14ac:dyDescent="0.2">
      <c r="B190" s="9" t="str">
        <f>IF(ISBLANK('Aqueous Species Options'!B190), "", 'Aqueous Species Options'!B190)</f>
        <v>Pb+2</v>
      </c>
      <c r="C190" s="9" t="str">
        <f>IF(ISBLANK('Aqueous Species Options'!C190), "", 'Aqueous Species Options'!C190)</f>
        <v>Pb(+2)</v>
      </c>
      <c r="D190" s="2">
        <f>IF(ISBLANK('Aqueous Species Options'!D190), "", 'Aqueous Species Options'!D190)</f>
        <v>-5710</v>
      </c>
      <c r="E190" s="1">
        <f>IF(ISBLANK('Aqueous Species Options'!E190), "", 'Aqueous Species Options'!E190)</f>
        <v>220</v>
      </c>
      <c r="F190" s="139">
        <f>IF(ISBLANK('Aqueous Species Options'!F190), "", 'Aqueous Species Options'!F190)</f>
        <v>4.2</v>
      </c>
      <c r="G190" s="29">
        <f>IF(ISBLANK('Aqueous Species Options'!B190), "", IF('Aqueous Species Options'!L190 = 1, IF(ISBLANK('Aqueous Species Options'!G190), "", 'Aqueous Species Options'!G190), ('Aqueous Species Table'!I190/10 + ('Aqueous Species Table'!J190*100)/(Calculations!$C$12+Calculations!$C$9) + ('Aqueous Species Table'!K190 + ('Aqueous Species Table'!L190*10000)/(Calculations!$C$12+Calculations!$C$9))*(1/(Calculations!$C$8-Calculations!$C$13)) - 'Aqueous Species Table'!O190*100000*0.0000005903)*41.8393))</f>
        <v>-15.599941356891893</v>
      </c>
      <c r="H190" s="29">
        <f>IF(ISBLANK('Aqueous Species Options'!B190), "", IF('Aqueous Species Options'!L190 = 1, IF(ISBLANK('Aqueous Species Options'!H190), "", 'Aqueous Species Options'!H190), 'Aqueous Species Table'!M190 + 'Aqueous Species Table'!N190*10000*(1/(Calculations!$C$8-Calculations!$C$13))^2 + 'Aqueous Species Table'!O190*100000*Calculations!$C$8*Calculations!$C$7))</f>
        <v>-12.700048537413105</v>
      </c>
      <c r="I190" s="42">
        <f>IF(ISBLANK('Aqueous Species Options'!B190), "", IF('Aqueous Species Options'!L190=0, 'Aqueous Species Options'!N190, IF(OR(ISBLANK('Aqueous Species Options'!G190),'Aqueous Species Table'!O190="", 'Aqueous Species Table'!P190=""), "", IF('Aqueous Species Options'!B190="H+", 0, (CHOOSE('Aqueous Species Options'!M190+1,'Aqueous Species Options'!$V$4*ABS('Aqueous Species Table'!P190)+'Aqueous Species Options'!$W$4,'Aqueous Species Options'!$Z$4)*('Aqueous Species Options'!G190 + 'Aqueous Species Table'!O190*100000*0.0000005903*41.8393) + CHOOSE('Aqueous Species Options'!M190+1,'Aqueous Species Options'!$X$4*ABS('Aqueous Species Table'!P190)+'Aqueous Species Options'!$Y$4,'Aqueous Species Options'!$AA$4))*10 ) ) ) )</f>
        <v>0.43921016327219731</v>
      </c>
      <c r="J190" s="42">
        <f>IF(ISBLANK('Aqueous Species Options'!B190), "", IF('Aqueous Species Options'!L190 = 0, 'Aqueous Species Options'!O190, IF('Aqueous Species Table'!I190="", "", IF('Aqueous Species Options'!B190="H+", 0, ((1.11*('Aqueous Species Options'!G190 + 'Aqueous Species Table'!O190*100000*0.0000005903*41.8393)+1.8)/41.8393 - 'Aqueous Species Table'!I190/10)*26.01 ) ) ) )</f>
        <v>-8.9495319608831938</v>
      </c>
      <c r="K190" s="42">
        <f>IF(ISBLANK('Aqueous Species Options'!B190), "", IF('Aqueous Species Options'!L190 = 0, 'Aqueous Species Options'!P190, IF('Aqueous Species Table'!I190="", "", IF('Aqueous Species Options'!B190="H+", 0, ('Aqueous Species Options'!G190/41.8393 + 'Aqueous Species Table'!O190*100000*0.0000005903 - 'Aqueous Species Table'!I190/10 - 'Aqueous Species Table'!J190*100/2601)*(298.15-228) - ('Aqueous Species Table'!L190*10000/2601) ) ) ) )</f>
        <v>8.6296751977122366</v>
      </c>
      <c r="L190" s="42">
        <f>IF(ISBLANK('Aqueous Species Options'!B190), "", IF('Aqueous Species Options'!L190 = 0, 'Aqueous Species Options'!Q190, IF('Aqueous Species Table'!J190="", "", IF('Aqueous Species Options'!B190="H+", 0, (-4.134*'Aqueous Species Table'!J190*100 - 27790)*0.0001) ) ) )</f>
        <v>-2.4090263487370889</v>
      </c>
      <c r="M190" s="42">
        <f>IF(ISBLANK('Aqueous Species Options'!B190), "", IF('Aqueous Species Options'!L190=0, 'Aqueous Species Options'!R190, IF('Aqueous Species Table'!N190="", "", IF('Aqueous Species Options'!B190="H+", 0, 'Aqueous Species Options'!H190 - 'Aqueous Species Table'!O190*100000*(-0.000000309)*298.15 - 'Aqueous Species Table'!N190*10000/(298.15-228)^2 ) ) ) )</f>
        <v>8.6623997705173057</v>
      </c>
      <c r="N190" s="42">
        <f>IF(ISBLANK('Aqueous Species Options'!B190), "", IF('Aqueous Species Options'!L190=0, 'Aqueous Species Options'!S190, IF(OR(ISBLANK('Aqueous Species Options'!H190), 'Aqueous Species Table'!O190=""), "", IF('Aqueous Species Options'!B190="H+", 0, 0.2037*'Aqueous Species Options'!H190 - 3.0346) ) ) )</f>
        <v>-5.6215998870710493</v>
      </c>
      <c r="O190" s="42">
        <f>IF(ISBLANK('Aqueous Species Options'!B190), "", IF('Aqueous Species Options'!K190=0, 'Aqueous Species Options'!I190, IF(OR('Aqueous Species Options'!J190&gt;4,'Aqueous Species Options'!J190&lt;-4), "", IF('Aqueous Species Options'!B190="H+", 0, IF('Aqueous Species Options'!J190=0, -0.038, IF(ISBLANK('Aqueous Species Options'!F190), "", -1514.4*'Aqueous Species Options'!F190*0.00001 + SUM(({4,3,2,1,-1,-2,-3,-4}='Aqueous Species Options'!J190)*{2.1764,1.5793,1.0579,0.5517,1.6291,3.2127,4.8115,6.486}) ) ) ) ) ) )</f>
        <v>1.0788</v>
      </c>
      <c r="P190" s="1">
        <f>IF(ISBLANK('Aqueous Species Options'!J190), "", 'Aqueous Species Options'!J190)</f>
        <v>2</v>
      </c>
      <c r="Q190" s="184" t="str">
        <f>IF(ISBLANK('Aqueous Species Options'!T190), "", 'Aqueous Species Options'!T190)</f>
        <v>Shock &amp; Helgeson (1988) revised with new predicted a1 for ions</v>
      </c>
    </row>
    <row r="191" spans="2:17" ht="15" customHeight="1" x14ac:dyDescent="0.2">
      <c r="B191" s="9" t="str">
        <f>IF(ISBLANK('Aqueous Species Options'!B191), "", 'Aqueous Species Options'!B191)</f>
        <v>PbCl+</v>
      </c>
      <c r="C191" s="9" t="str">
        <f>IF(ISBLANK('Aqueous Species Options'!C191), "", 'Aqueous Species Options'!C191)</f>
        <v>PbCl(+)</v>
      </c>
      <c r="D191" s="2">
        <f>IF(ISBLANK('Aqueous Species Options'!D191), "", 'Aqueous Species Options'!D191)</f>
        <v>-39050</v>
      </c>
      <c r="E191" s="1">
        <f>IF(ISBLANK('Aqueous Species Options'!E191), "", 'Aqueous Species Options'!E191)</f>
        <v>-38630</v>
      </c>
      <c r="F191" s="139">
        <f>IF(ISBLANK('Aqueous Species Options'!F191), "", 'Aqueous Species Options'!F191)</f>
        <v>28</v>
      </c>
      <c r="G191" s="29">
        <f>IF(ISBLANK('Aqueous Species Options'!B191), "", IF('Aqueous Species Options'!L191 = 1, IF(ISBLANK('Aqueous Species Options'!G191), "", 'Aqueous Species Options'!G191), ('Aqueous Species Table'!I191/10 + ('Aqueous Species Table'!J191*100)/(Calculations!$C$12+Calculations!$C$9) + ('Aqueous Species Table'!K191 + ('Aqueous Species Table'!L191*10000)/(Calculations!$C$12+Calculations!$C$9))*(1/(Calculations!$C$8-Calculations!$C$13)) - 'Aqueous Species Table'!O191*100000*0.0000005903)*41.8393))</f>
        <v>13.8</v>
      </c>
      <c r="H191" s="29">
        <f>IF(ISBLANK('Aqueous Species Options'!B191), "", IF('Aqueous Species Options'!L191 = 1, IF(ISBLANK('Aqueous Species Options'!H191), "", 'Aqueous Species Options'!H191), 'Aqueous Species Table'!M191 + 'Aqueous Species Table'!N191*10000*(1/(Calculations!$C$8-Calculations!$C$13))^2 + 'Aqueous Species Table'!O191*100000*Calculations!$C$8*Calculations!$C$7))</f>
        <v>4.899771461108501</v>
      </c>
      <c r="I191" s="42">
        <f>IF(ISBLANK('Aqueous Species Options'!B191), "", IF('Aqueous Species Options'!L191=0, 'Aqueous Species Options'!N191, IF(OR(ISBLANK('Aqueous Species Options'!G191),'Aqueous Species Table'!O191="", 'Aqueous Species Table'!P191=""), "", IF('Aqueous Species Options'!B191="H+", 0, (CHOOSE('Aqueous Species Options'!M191+1,'Aqueous Species Options'!$V$4*ABS('Aqueous Species Table'!P191)+'Aqueous Species Options'!$W$4,'Aqueous Species Options'!$Z$4)*('Aqueous Species Options'!G191 + 'Aqueous Species Table'!O191*100000*0.0000005903*41.8393) + CHOOSE('Aqueous Species Options'!M191+1,'Aqueous Species Options'!$X$4*ABS('Aqueous Species Table'!P191)+'Aqueous Species Options'!$Y$4,'Aqueous Species Options'!$AA$4))*10 ) ) ) )</f>
        <v>4.2619417779636999</v>
      </c>
      <c r="J191" s="42">
        <f>IF(ISBLANK('Aqueous Species Options'!B191), "", IF('Aqueous Species Options'!L191 = 0, 'Aqueous Species Options'!O191, IF('Aqueous Species Table'!I191="", "", IF('Aqueous Species Options'!B191="H+", 0, ((1.11*('Aqueous Species Options'!G191 + 'Aqueous Species Table'!O191*100000*0.0000005903*41.8393)+1.8)/41.8393 - 'Aqueous Species Table'!I191/10)*26.01 ) ) ) )</f>
        <v>-0.22534488975844461</v>
      </c>
      <c r="K191" s="42">
        <f>IF(ISBLANK('Aqueous Species Options'!B191), "", IF('Aqueous Species Options'!L191 = 0, 'Aqueous Species Options'!P191, IF('Aqueous Species Table'!I191="", "", IF('Aqueous Species Options'!B191="H+", 0, ('Aqueous Species Options'!G191/41.8393 + 'Aqueous Species Table'!O191*100000*0.0000005903 - 'Aqueous Species Table'!I191/10 - 'Aqueous Species Table'!J191*100/2601)*(298.15-228) - ('Aqueous Species Table'!L191*10000/2601) ) ) ) )</f>
        <v>5.0270503038051757</v>
      </c>
      <c r="L191" s="42">
        <f>IF(ISBLANK('Aqueous Species Options'!B191), "", IF('Aqueous Species Options'!L191 = 0, 'Aqueous Species Options'!Q191, IF('Aqueous Species Table'!J191="", "", IF('Aqueous Species Options'!B191="H+", 0, (-4.134*'Aqueous Species Table'!J191*100 - 27790)*0.0001) ) ) )</f>
        <v>-2.769684242257386</v>
      </c>
      <c r="M191" s="42">
        <f>IF(ISBLANK('Aqueous Species Options'!B191), "", IF('Aqueous Species Options'!L191=0, 'Aqueous Species Options'!R191, IF('Aqueous Species Table'!N191="", "", IF('Aqueous Species Options'!B191="H+", 0, 'Aqueous Species Options'!H191 - 'Aqueous Species Table'!O191*100000*(-0.000000309)*298.15 - 'Aqueous Species Table'!N191*10000/(298.15-228)^2 ) ) ) )</f>
        <v>10.218336847875007</v>
      </c>
      <c r="N191" s="42">
        <f>IF(ISBLANK('Aqueous Species Options'!B191), "", IF('Aqueous Species Options'!L191=0, 'Aqueous Species Options'!S191, IF(OR(ISBLANK('Aqueous Species Options'!H191), 'Aqueous Species Table'!O191=""), "", IF('Aqueous Species Options'!B191="H+", 0, 0.2037*'Aqueous Species Options'!H191 - 3.0346) ) ) )</f>
        <v>-2.0365165533721985</v>
      </c>
      <c r="O191" s="42">
        <f>IF(ISBLANK('Aqueous Species Options'!B191), "", IF('Aqueous Species Options'!K191=0, 'Aqueous Species Options'!I191, IF(OR('Aqueous Species Options'!J191&gt;4,'Aqueous Species Options'!J191&lt;-4), "", IF('Aqueous Species Options'!B191="H+", 0, IF('Aqueous Species Options'!J191=0, -0.038, IF(ISBLANK('Aqueous Species Options'!F191), "", -1514.4*'Aqueous Species Options'!F191*0.00001 + SUM(({4,3,2,1,-1,-2,-3,-4}='Aqueous Species Options'!J191)*{2.1764,1.5793,1.0579,0.5517,1.6291,3.2127,4.8115,6.486}) ) ) ) ) ) )</f>
        <v>0.12809999999999999</v>
      </c>
      <c r="P191" s="1">
        <f>IF(ISBLANK('Aqueous Species Options'!J191), "", 'Aqueous Species Options'!J191)</f>
        <v>1</v>
      </c>
      <c r="Q191" s="184" t="str">
        <f>IF(ISBLANK('Aqueous Species Options'!T191), "", 'Aqueous Species Options'!T191)</f>
        <v>Sverjensky et al. (1997) with revised a1 equal to the sum of the ions used to predict new values of V using new correlation in Sverjensky et al. (2014)</v>
      </c>
    </row>
    <row r="192" spans="2:17" ht="15" customHeight="1" x14ac:dyDescent="0.2">
      <c r="B192" s="9" t="str">
        <f>IF(ISBLANK('Aqueous Species Options'!B192), "", 'Aqueous Species Options'!B192)</f>
        <v>PbCl2,aq</v>
      </c>
      <c r="C192" s="9" t="str">
        <f>IF(ISBLANK('Aqueous Species Options'!C192), "", 'Aqueous Species Options'!C192)</f>
        <v>PbCl2(0)</v>
      </c>
      <c r="D192" s="2">
        <f>IF(ISBLANK('Aqueous Species Options'!D192), "", 'Aqueous Species Options'!D192)</f>
        <v>-71200</v>
      </c>
      <c r="E192" s="1">
        <f>IF(ISBLANK('Aqueous Species Options'!E192), "", 'Aqueous Species Options'!E192)</f>
        <v>-77700</v>
      </c>
      <c r="F192" s="139">
        <f>IF(ISBLANK('Aqueous Species Options'!F192), "", 'Aqueous Species Options'!F192)</f>
        <v>47</v>
      </c>
      <c r="G192" s="29">
        <f>IF(ISBLANK('Aqueous Species Options'!B192), "", IF('Aqueous Species Options'!L192 = 1, IF(ISBLANK('Aqueous Species Options'!G192), "", 'Aqueous Species Options'!G192), ('Aqueous Species Table'!I192/10 + ('Aqueous Species Table'!J192*100)/(Calculations!$C$12+Calculations!$C$9) + ('Aqueous Species Table'!K192 + ('Aqueous Species Table'!L192*10000)/(Calculations!$C$12+Calculations!$C$9))*(1/(Calculations!$C$8-Calculations!$C$13)) - 'Aqueous Species Table'!O192*100000*0.0000005903)*41.8393))</f>
        <v>34.970003558009111</v>
      </c>
      <c r="H192" s="29">
        <f>IF(ISBLANK('Aqueous Species Options'!B192), "", IF('Aqueous Species Options'!L192 = 1, IF(ISBLANK('Aqueous Species Options'!H192), "", 'Aqueous Species Options'!H192), 'Aqueous Species Table'!M192 + 'Aqueous Species Table'!N192*10000*(1/(Calculations!$C$8-Calculations!$C$13))^2 + 'Aqueous Species Table'!O192*100000*Calculations!$C$8*Calculations!$C$7))</f>
        <v>2.0000630636323868</v>
      </c>
      <c r="I192" s="42">
        <f>IF(ISBLANK('Aqueous Species Options'!B192), "", IF('Aqueous Species Options'!L192=0, 'Aqueous Species Options'!N192, IF(OR(ISBLANK('Aqueous Species Options'!G192),'Aqueous Species Table'!O192="", 'Aqueous Species Table'!P192=""), "", IF('Aqueous Species Options'!B192="H+", 0, (CHOOSE('Aqueous Species Options'!M192+1,'Aqueous Species Options'!$V$4*ABS('Aqueous Species Table'!P192)+'Aqueous Species Options'!$W$4,'Aqueous Species Options'!$Z$4)*('Aqueous Species Options'!G192 + 'Aqueous Species Table'!O192*100000*0.0000005903*41.8393) + CHOOSE('Aqueous Species Options'!M192+1,'Aqueous Species Options'!$X$4*ABS('Aqueous Species Table'!P192)+'Aqueous Species Options'!$Y$4,'Aqueous Species Options'!$AA$4))*10 ) ) ) )</f>
        <v>8.293697509169407</v>
      </c>
      <c r="J192" s="42">
        <f>IF(ISBLANK('Aqueous Species Options'!B192), "", IF('Aqueous Species Options'!L192 = 0, 'Aqueous Species Options'!O192, IF('Aqueous Species Table'!I192="", "", IF('Aqueous Species Options'!B192="H+", 0, ((1.11*('Aqueous Species Options'!G192 + 'Aqueous Species Table'!O192*100000*0.0000005903*41.8393)+1.8)/41.8393 - 'Aqueous Species Table'!I192/10)*26.01 ) ) ) )</f>
        <v>3.6132865164852057</v>
      </c>
      <c r="K192" s="42">
        <f>IF(ISBLANK('Aqueous Species Options'!B192), "", IF('Aqueous Species Options'!L192 = 0, 'Aqueous Species Options'!P192, IF('Aqueous Species Table'!I192="", "", IF('Aqueous Species Options'!B192="H+", 0, ('Aqueous Species Options'!G192/41.8393 + 'Aqueous Species Table'!O192*100000*0.0000005903 - 'Aqueous Species Table'!I192/10 - 'Aqueous Species Table'!J192*100/2601)*(298.15-228) - ('Aqueous Species Table'!L192*10000/2601) ) ) ) )</f>
        <v>1.8083942474062376</v>
      </c>
      <c r="L192" s="42">
        <f>IF(ISBLANK('Aqueous Species Options'!B192), "", IF('Aqueous Species Options'!L192 = 0, 'Aqueous Species Options'!Q192, IF('Aqueous Species Table'!J192="", "", IF('Aqueous Species Options'!B192="H+", 0, (-4.134*'Aqueous Species Table'!J192*100 - 27790)*0.0001) ) ) )</f>
        <v>-2.9283732645914986</v>
      </c>
      <c r="M192" s="42">
        <f>IF(ISBLANK('Aqueous Species Options'!B192), "", IF('Aqueous Species Options'!L192=0, 'Aqueous Species Options'!R192, IF('Aqueous Species Table'!N192="", "", IF('Aqueous Species Options'!B192="H+", 0, 'Aqueous Species Options'!H192 - 'Aqueous Species Table'!O192*100000*(-0.000000309)*298.15 - 'Aqueous Species Table'!N192*10000/(298.15-228)^2 ) ) ) )</f>
        <v>6.9886771053436219</v>
      </c>
      <c r="N192" s="42">
        <f>IF(ISBLANK('Aqueous Species Options'!B192), "", IF('Aqueous Species Options'!L192=0, 'Aqueous Species Options'!S192, IF(OR(ISBLANK('Aqueous Species Options'!H192), 'Aqueous Species Table'!O192=""), "", IF('Aqueous Species Options'!B192="H+", 0, 0.2037*'Aqueous Species Options'!H192 - 3.0346) ) ) )</f>
        <v>-2.6271871539380829</v>
      </c>
      <c r="O192" s="42">
        <f>IF(ISBLANK('Aqueous Species Options'!B192), "", IF('Aqueous Species Options'!K192=0, 'Aqueous Species Options'!I192, IF(OR('Aqueous Species Options'!J192&gt;4,'Aqueous Species Options'!J192&lt;-4), "", IF('Aqueous Species Options'!B192="H+", 0, IF('Aqueous Species Options'!J192=0, -0.038, IF(ISBLANK('Aqueous Species Options'!F192), "", -1514.4*'Aqueous Species Options'!F192*0.00001 + SUM(({4,3,2,1,-1,-2,-3,-4}='Aqueous Species Options'!J192)*{2.1764,1.5793,1.0579,0.5517,1.6291,3.2127,4.8115,6.486}) ) ) ) ) ) )</f>
        <v>-3.7999999999999999E-2</v>
      </c>
      <c r="P192" s="1">
        <f>IF(ISBLANK('Aqueous Species Options'!J192), "", 'Aqueous Species Options'!J192)</f>
        <v>0</v>
      </c>
      <c r="Q192" s="184" t="str">
        <f>IF(ISBLANK('Aqueous Species Options'!T192), "", 'Aqueous Species Options'!T192)</f>
        <v>Sverjensky et al. (1997) with revised a1 equal to the sum of the ions used to predict new values of V using new correlation in Sverjensky et al. (2014)</v>
      </c>
    </row>
    <row r="193" spans="2:17" ht="15" customHeight="1" x14ac:dyDescent="0.2">
      <c r="B193" s="9" t="str">
        <f>IF(ISBLANK('Aqueous Species Options'!B193), "", 'Aqueous Species Options'!B193)</f>
        <v>PbCl3-</v>
      </c>
      <c r="C193" s="9" t="str">
        <f>IF(ISBLANK('Aqueous Species Options'!C193), "", 'Aqueous Species Options'!C193)</f>
        <v>PbCl3(-)</v>
      </c>
      <c r="D193" s="2">
        <f>IF(ISBLANK('Aqueous Species Options'!D193), "", 'Aqueous Species Options'!D193)</f>
        <v>-102150</v>
      </c>
      <c r="E193" s="1">
        <f>IF(ISBLANK('Aqueous Species Options'!E193), "", 'Aqueous Species Options'!E193)</f>
        <v>-117700</v>
      </c>
      <c r="F193" s="139">
        <f>IF(ISBLANK('Aqueous Species Options'!F193), "", 'Aqueous Species Options'!F193)</f>
        <v>59</v>
      </c>
      <c r="G193" s="29">
        <f>IF(ISBLANK('Aqueous Species Options'!B193), "", IF('Aqueous Species Options'!L193 = 1, IF(ISBLANK('Aqueous Species Options'!G193), "", 'Aqueous Species Options'!G193), ('Aqueous Species Table'!I193/10 + ('Aqueous Species Table'!J193*100)/(Calculations!$C$12+Calculations!$C$9) + ('Aqueous Species Table'!K193 + ('Aqueous Species Table'!L193*10000)/(Calculations!$C$12+Calculations!$C$9))*(1/(Calculations!$C$8-Calculations!$C$13)) - 'Aqueous Species Table'!O193*100000*0.0000005903)*41.8393))</f>
        <v>53.8</v>
      </c>
      <c r="H193" s="29">
        <f>IF(ISBLANK('Aqueous Species Options'!B193), "", IF('Aqueous Species Options'!L193 = 1, IF(ISBLANK('Aqueous Species Options'!H193), "", 'Aqueous Species Options'!H193), 'Aqueous Species Table'!M193 + 'Aqueous Species Table'!N193*10000*(1/(Calculations!$C$8-Calculations!$C$13))^2 + 'Aqueous Species Table'!O193*100000*Calculations!$C$8*Calculations!$C$7))</f>
        <v>-11.999523180239091</v>
      </c>
      <c r="I193" s="42">
        <f>IF(ISBLANK('Aqueous Species Options'!B193), "", IF('Aqueous Species Options'!L193=0, 'Aqueous Species Options'!N193, IF(OR(ISBLANK('Aqueous Species Options'!G193),'Aqueous Species Table'!O193="", 'Aqueous Species Table'!P193=""), "", IF('Aqueous Species Options'!B193="H+", 0, (CHOOSE('Aqueous Species Options'!M193+1,'Aqueous Species Options'!$V$4*ABS('Aqueous Species Table'!P193)+'Aqueous Species Options'!$W$4,'Aqueous Species Options'!$Z$4)*('Aqueous Species Options'!G193 + 'Aqueous Species Table'!O193*100000*0.0000005903*41.8393) + CHOOSE('Aqueous Species Options'!M193+1,'Aqueous Species Options'!$X$4*ABS('Aqueous Species Table'!P193)+'Aqueous Species Options'!$Y$4,'Aqueous Species Options'!$AA$4))*10 ) ) ) )</f>
        <v>12.321732059875858</v>
      </c>
      <c r="J193" s="42">
        <f>IF(ISBLANK('Aqueous Species Options'!B193), "", IF('Aqueous Species Options'!L193 = 0, 'Aqueous Species Options'!O193, IF('Aqueous Species Table'!I193="", "", IF('Aqueous Species Options'!B193="H+", 0, ((1.11*('Aqueous Species Options'!G193 + 'Aqueous Species Table'!O193*100000*0.0000005903*41.8393)+1.8)/41.8393 - 'Aqueous Species Table'!I193/10)*26.01 ) ) ) )</f>
        <v>7.44837498975249</v>
      </c>
      <c r="K193" s="42">
        <f>IF(ISBLANK('Aqueous Species Options'!B193), "", IF('Aqueous Species Options'!L193 = 0, 'Aqueous Species Options'!P193, IF('Aqueous Species Table'!I193="", "", IF('Aqueous Species Options'!B193="H+", 0, ('Aqueous Species Options'!G193/41.8393 + 'Aqueous Species Table'!O193*100000*0.0000005903 - 'Aqueous Species Table'!I193/10 - 'Aqueous Species Table'!J193*100/2601)*(298.15-228) - ('Aqueous Species Table'!L193*10000/2601) ) ) ) )</f>
        <v>-1.4072910932675065</v>
      </c>
      <c r="L193" s="42">
        <f>IF(ISBLANK('Aqueous Species Options'!B193), "", IF('Aqueous Species Options'!L193 = 0, 'Aqueous Species Options'!Q193, IF('Aqueous Species Table'!J193="", "", IF('Aqueous Species Options'!B193="H+", 0, (-4.134*'Aqueous Species Table'!J193*100 - 27790)*0.0001) ) ) )</f>
        <v>-3.0869158220763682</v>
      </c>
      <c r="M193" s="42">
        <f>IF(ISBLANK('Aqueous Species Options'!B193), "", IF('Aqueous Species Options'!L193=0, 'Aqueous Species Options'!R193, IF('Aqueous Species Table'!N193="", "", IF('Aqueous Species Options'!B193="H+", 0, 'Aqueous Species Options'!H193 - 'Aqueous Species Table'!O193*100000*(-0.000000309)*298.15 - 'Aqueous Species Table'!N193*10000/(298.15-228)^2 ) ) ) )</f>
        <v>5.9111058358089243</v>
      </c>
      <c r="N193" s="42">
        <f>IF(ISBLANK('Aqueous Species Options'!B193), "", IF('Aqueous Species Options'!L193=0, 'Aqueous Species Options'!S193, IF(OR(ISBLANK('Aqueous Species Options'!H193), 'Aqueous Species Table'!O193=""), "", IF('Aqueous Species Options'!B193="H+", 0, 0.2037*'Aqueous Species Options'!H193 - 3.0346) ) ) )</f>
        <v>-5.4789028718147028</v>
      </c>
      <c r="O193" s="42">
        <f>IF(ISBLANK('Aqueous Species Options'!B193), "", IF('Aqueous Species Options'!K193=0, 'Aqueous Species Options'!I193, IF(OR('Aqueous Species Options'!J193&gt;4,'Aqueous Species Options'!J193&lt;-4), "", IF('Aqueous Species Options'!B193="H+", 0, IF('Aqueous Species Options'!J193=0, -0.038, IF(ISBLANK('Aqueous Species Options'!F193), "", -1514.4*'Aqueous Species Options'!F193*0.00001 + SUM(({4,3,2,1,-1,-2,-3,-4}='Aqueous Species Options'!J193)*{2.1764,1.5793,1.0579,0.5517,1.6291,3.2127,4.8115,6.486}) ) ) ) ) ) )</f>
        <v>0.73560000000000003</v>
      </c>
      <c r="P193" s="1">
        <f>IF(ISBLANK('Aqueous Species Options'!J193), "", 'Aqueous Species Options'!J193)</f>
        <v>-1</v>
      </c>
      <c r="Q193" s="184" t="str">
        <f>IF(ISBLANK('Aqueous Species Options'!T193), "", 'Aqueous Species Options'!T193)</f>
        <v>Sverjensky et al. (1997) with revised a1 equal to the sum of the ions used to predict new values of V using new correlation in Sverjensky et al. (2014)</v>
      </c>
    </row>
    <row r="194" spans="2:17" ht="15" customHeight="1" x14ac:dyDescent="0.2">
      <c r="B194" s="9" t="str">
        <f>IF(ISBLANK('Aqueous Species Options'!B194), "", 'Aqueous Species Options'!B194)</f>
        <v>Pd+2</v>
      </c>
      <c r="C194" s="9" t="str">
        <f>IF(ISBLANK('Aqueous Species Options'!C194), "", 'Aqueous Species Options'!C194)</f>
        <v>Pd(+2)</v>
      </c>
      <c r="D194" s="2">
        <f>IF(ISBLANK('Aqueous Species Options'!D194), "", 'Aqueous Species Options'!D194)</f>
        <v>45204</v>
      </c>
      <c r="E194" s="1">
        <f>IF(ISBLANK('Aqueous Species Options'!E194), "", 'Aqueous Species Options'!E194)</f>
        <v>49375</v>
      </c>
      <c r="F194" s="139">
        <f>IF(ISBLANK('Aqueous Species Options'!F194), "", 'Aqueous Species Options'!F194)</f>
        <v>-8.23</v>
      </c>
      <c r="G194" s="29">
        <f>IF(ISBLANK('Aqueous Species Options'!B194), "", IF('Aqueous Species Options'!L194 = 1, IF(ISBLANK('Aqueous Species Options'!G194), "", 'Aqueous Species Options'!G194), ('Aqueous Species Table'!I194/10 + ('Aqueous Species Table'!J194*100)/(Calculations!$C$12+Calculations!$C$9) + ('Aqueous Species Table'!K194 + ('Aqueous Species Table'!L194*10000)/(Calculations!$C$12+Calculations!$C$9))*(1/(Calculations!$C$8-Calculations!$C$13)) - 'Aqueous Species Table'!O194*100000*0.0000005903)*41.8393))</f>
        <v>-16.079999999999998</v>
      </c>
      <c r="H194" s="29">
        <f>IF(ISBLANK('Aqueous Species Options'!B194), "", IF('Aqueous Species Options'!L194 = 1, IF(ISBLANK('Aqueous Species Options'!H194), "", 'Aqueous Species Options'!H194), 'Aqueous Species Table'!M194 + 'Aqueous Species Table'!N194*10000*(1/(Calculations!$C$8-Calculations!$C$13))^2 + 'Aqueous Species Table'!O194*100000*Calculations!$C$8*Calculations!$C$7))</f>
        <v>-1.48</v>
      </c>
      <c r="I194" s="42">
        <f>IF(ISBLANK('Aqueous Species Options'!B194), "", IF('Aqueous Species Options'!L194=0, 'Aqueous Species Options'!N194, IF(OR(ISBLANK('Aqueous Species Options'!G194),'Aqueous Species Table'!O194="", 'Aqueous Species Table'!P194=""), "", IF('Aqueous Species Options'!B194="H+", 0, (CHOOSE('Aqueous Species Options'!M194+1,'Aqueous Species Options'!$V$4*ABS('Aqueous Species Table'!P194)+'Aqueous Species Options'!$W$4,'Aqueous Species Options'!$Z$4)*('Aqueous Species Options'!G194 + 'Aqueous Species Table'!O194*100000*0.0000005903*41.8393) + CHOOSE('Aqueous Species Options'!M194+1,'Aqueous Species Options'!$X$4*ABS('Aqueous Species Table'!P194)+'Aqueous Species Options'!$Y$4,'Aqueous Species Options'!$AA$4))*10 ) ) ) )</f>
        <v>0.38568610917493307</v>
      </c>
      <c r="J194" s="42">
        <f>IF(ISBLANK('Aqueous Species Options'!B194), "", IF('Aqueous Species Options'!L194 = 0, 'Aqueous Species Options'!O194, IF('Aqueous Species Table'!I194="", "", IF('Aqueous Species Options'!B194="H+", 0, ((1.11*('Aqueous Species Options'!G194 + 'Aqueous Species Table'!O194*100000*0.0000005903*41.8393)+1.8)/41.8393 - 'Aqueous Species Table'!I194/10)*26.01 ) ) ) )</f>
        <v>-8.9647873898332531</v>
      </c>
      <c r="K194" s="42">
        <f>IF(ISBLANK('Aqueous Species Options'!B194), "", IF('Aqueous Species Options'!L194 = 0, 'Aqueous Species Options'!P194, IF('Aqueous Species Table'!I194="", "", IF('Aqueous Species Options'!B194="H+", 0, ('Aqueous Species Options'!G194/41.8393 + 'Aqueous Species Table'!O194*100000*0.0000005903 - 'Aqueous Species Table'!I194/10 - 'Aqueous Species Table'!J194*100/2601)*(298.15-228) - ('Aqueous Species Table'!L194*10000/2601) ) ) ) )</f>
        <v>8.6685367611360178</v>
      </c>
      <c r="L194" s="42">
        <f>IF(ISBLANK('Aqueous Species Options'!B194), "", IF('Aqueous Species Options'!L194 = 0, 'Aqueous Species Options'!Q194, IF('Aqueous Species Table'!J194="", "", IF('Aqueous Species Options'!B194="H+", 0, (-4.134*'Aqueous Species Table'!J194*100 - 27790)*0.0001) ) ) )</f>
        <v>-2.4083956893042937</v>
      </c>
      <c r="M194" s="42">
        <f>IF(ISBLANK('Aqueous Species Options'!B194), "", IF('Aqueous Species Options'!L194=0, 'Aqueous Species Options'!R194, IF('Aqueous Species Table'!N194="", "", IF('Aqueous Species Options'!B194="H+", 0, 'Aqueous Species Options'!H194 - 'Aqueous Species Table'!O194*100000*(-0.000000309)*298.15 - 'Aqueous Species Table'!N194*10000/(298.15-228)^2 ) ) ) )</f>
        <v>16.193734323132695</v>
      </c>
      <c r="N194" s="42">
        <f>IF(ISBLANK('Aqueous Species Options'!B194), "", IF('Aqueous Species Options'!L194=0, 'Aqueous Species Options'!S194, IF(OR(ISBLANK('Aqueous Species Options'!H194), 'Aqueous Species Table'!O194=""), "", IF('Aqueous Species Options'!B194="H+", 0, 0.2037*'Aqueous Species Options'!H194 - 3.0346) ) ) )</f>
        <v>-3.3360760000000003</v>
      </c>
      <c r="O194" s="42">
        <f>IF(ISBLANK('Aqueous Species Options'!B194), "", IF('Aqueous Species Options'!K194=0, 'Aqueous Species Options'!I194, IF(OR('Aqueous Species Options'!J194&gt;4,'Aqueous Species Options'!J194&lt;-4), "", IF('Aqueous Species Options'!B194="H+", 0, IF('Aqueous Species Options'!J194=0, -0.038, IF(ISBLANK('Aqueous Species Options'!F194), "", -1514.4*'Aqueous Species Options'!F194*0.00001 + SUM(({4,3,2,1,-1,-2,-3,-4}='Aqueous Species Options'!J194)*{2.1764,1.5793,1.0579,0.5517,1.6291,3.2127,4.8115,6.486}) ) ) ) ) ) )</f>
        <v>1.1825351200000001</v>
      </c>
      <c r="P194" s="1">
        <f>IF(ISBLANK('Aqueous Species Options'!J194), "", 'Aqueous Species Options'!J194)</f>
        <v>2</v>
      </c>
      <c r="Q194" s="184" t="str">
        <f>IF(ISBLANK('Aqueous Species Options'!T194), "", 'Aqueous Species Options'!T194)</f>
        <v>Tagirov et al. (2013)</v>
      </c>
    </row>
    <row r="195" spans="2:17" ht="15" customHeight="1" x14ac:dyDescent="0.2">
      <c r="B195" s="9" t="str">
        <f>IF(ISBLANK('Aqueous Species Options'!B195), "", 'Aqueous Species Options'!B195)</f>
        <v>PdCl+</v>
      </c>
      <c r="C195" s="9" t="str">
        <f>IF(ISBLANK('Aqueous Species Options'!C195), "", 'Aqueous Species Options'!C195)</f>
        <v>PdCl(+)</v>
      </c>
      <c r="D195" s="2">
        <f>IF(ISBLANK('Aqueous Species Options'!D195), "", 'Aqueous Species Options'!D195)</f>
        <v>6974</v>
      </c>
      <c r="E195" s="1">
        <f>IF(ISBLANK('Aqueous Species Options'!E195), "", 'Aqueous Species Options'!E195)</f>
        <v>3839</v>
      </c>
      <c r="F195" s="139">
        <f>IF(ISBLANK('Aqueous Species Options'!F195), "", 'Aqueous Species Options'!F195)</f>
        <v>9.5399999999999991</v>
      </c>
      <c r="G195" s="29">
        <f>IF(ISBLANK('Aqueous Species Options'!B195), "", IF('Aqueous Species Options'!L195 = 1, IF(ISBLANK('Aqueous Species Options'!G195), "", 'Aqueous Species Options'!G195), ('Aqueous Species Table'!I195/10 + ('Aqueous Species Table'!J195*100)/(Calculations!$C$12+Calculations!$C$9) + ('Aqueous Species Table'!K195 + ('Aqueous Species Table'!L195*10000)/(Calculations!$C$12+Calculations!$C$9))*(1/(Calculations!$C$8-Calculations!$C$13)) - 'Aqueous Species Table'!O195*100000*0.0000005903)*41.8393))</f>
        <v>9.1199999999999992</v>
      </c>
      <c r="H195" s="29">
        <f>IF(ISBLANK('Aqueous Species Options'!B195), "", IF('Aqueous Species Options'!L195 = 1, IF(ISBLANK('Aqueous Species Options'!H195), "", 'Aqueous Species Options'!H195), 'Aqueous Species Table'!M195 + 'Aqueous Species Table'!N195*10000*(1/(Calculations!$C$8-Calculations!$C$13))^2 + 'Aqueous Species Table'!O195*100000*Calculations!$C$8*Calculations!$C$7))</f>
        <v>30.29</v>
      </c>
      <c r="I195" s="42">
        <f>IF(ISBLANK('Aqueous Species Options'!B195), "", IF('Aqueous Species Options'!L195=0, 'Aqueous Species Options'!N195, IF(OR(ISBLANK('Aqueous Species Options'!G195),'Aqueous Species Table'!O195="", 'Aqueous Species Table'!P195=""), "", IF('Aqueous Species Options'!B195="H+", 0, (CHOOSE('Aqueous Species Options'!M195+1,'Aqueous Species Options'!$V$4*ABS('Aqueous Species Table'!P195)+'Aqueous Species Options'!$W$4,'Aqueous Species Options'!$Z$4)*('Aqueous Species Options'!G195 + 'Aqueous Species Table'!O195*100000*0.0000005903*41.8393) + CHOOSE('Aqueous Species Options'!M195+1,'Aqueous Species Options'!$X$4*ABS('Aqueous Species Table'!P195)+'Aqueous Species Options'!$Y$4,'Aqueous Species Options'!$AA$4))*10 ) ) ) )</f>
        <v>3.4869232146100875</v>
      </c>
      <c r="J195" s="42">
        <f>IF(ISBLANK('Aqueous Species Options'!B195), "", IF('Aqueous Species Options'!L195 = 0, 'Aqueous Species Options'!O195, IF('Aqueous Species Table'!I195="", "", IF('Aqueous Species Options'!B195="H+", 0, ((1.11*('Aqueous Species Options'!G195 + 'Aqueous Species Table'!O195*100000*0.0000005903*41.8393)+1.8)/41.8393 - 'Aqueous Species Table'!I195/10)*26.01 ) ) ) )</f>
        <v>-0.96323944390627869</v>
      </c>
      <c r="K195" s="42">
        <f>IF(ISBLANK('Aqueous Species Options'!B195), "", IF('Aqueous Species Options'!L195 = 0, 'Aqueous Species Options'!P195, IF('Aqueous Species Table'!I195="", "", IF('Aqueous Species Options'!B195="H+", 0, ('Aqueous Species Options'!G195/41.8393 + 'Aqueous Species Table'!O195*100000*0.0000005903 - 'Aqueous Species Table'!I195/10 - 'Aqueous Species Table'!J195*100/2601)*(298.15-228) - ('Aqueous Species Table'!L195*10000/2601) ) ) ) )</f>
        <v>5.6457678946185759</v>
      </c>
      <c r="L195" s="42">
        <f>IF(ISBLANK('Aqueous Species Options'!B195), "", IF('Aqueous Species Options'!L195 = 0, 'Aqueous Species Options'!Q195, IF('Aqueous Species Table'!J195="", "", IF('Aqueous Species Options'!B195="H+", 0, (-4.134*'Aqueous Species Table'!J195*100 - 27790)*0.0001) ) ) )</f>
        <v>-2.7391796813889147</v>
      </c>
      <c r="M195" s="42">
        <f>IF(ISBLANK('Aqueous Species Options'!B195), "", IF('Aqueous Species Options'!L195=0, 'Aqueous Species Options'!R195, IF('Aqueous Species Table'!N195="", "", IF('Aqueous Species Options'!B195="H+", 0, 'Aqueous Species Options'!H195 - 'Aqueous Species Table'!O195*100000*(-0.000000309)*298.15 - 'Aqueous Species Table'!N195*10000/(298.15-228)^2 ) ) ) )</f>
        <v>27.670119731823839</v>
      </c>
      <c r="N195" s="42">
        <f>IF(ISBLANK('Aqueous Species Options'!B195), "", IF('Aqueous Species Options'!L195=0, 'Aqueous Species Options'!S195, IF(OR(ISBLANK('Aqueous Species Options'!H195), 'Aqueous Species Table'!O195=""), "", IF('Aqueous Species Options'!B195="H+", 0, 0.2037*'Aqueous Species Options'!H195 - 3.0346) ) ) )</f>
        <v>3.1354729999999993</v>
      </c>
      <c r="O195" s="42">
        <f>IF(ISBLANK('Aqueous Species Options'!B195), "", IF('Aqueous Species Options'!K195=0, 'Aqueous Species Options'!I195, IF(OR('Aqueous Species Options'!J195&gt;4,'Aqueous Species Options'!J195&lt;-4), "", IF('Aqueous Species Options'!B195="H+", 0, IF('Aqueous Species Options'!J195=0, -0.038, IF(ISBLANK('Aqueous Species Options'!F195), "", -1514.4*'Aqueous Species Options'!F195*0.00001 + SUM(({4,3,2,1,-1,-2,-3,-4}='Aqueous Species Options'!J195)*{2.1764,1.5793,1.0579,0.5517,1.6291,3.2127,4.8115,6.486}) ) ) ) ) ) )</f>
        <v>0.40722623999999996</v>
      </c>
      <c r="P195" s="1">
        <f>IF(ISBLANK('Aqueous Species Options'!J195), "", 'Aqueous Species Options'!J195)</f>
        <v>1</v>
      </c>
      <c r="Q195" s="184" t="str">
        <f>IF(ISBLANK('Aqueous Species Options'!T195), "", 'Aqueous Species Options'!T195)</f>
        <v>Tagirov et al. (2013)</v>
      </c>
    </row>
    <row r="196" spans="2:17" ht="15" customHeight="1" x14ac:dyDescent="0.2">
      <c r="B196" s="9" t="str">
        <f>IF(ISBLANK('Aqueous Species Options'!B196), "", 'Aqueous Species Options'!B196)</f>
        <v>PdCl2,aq</v>
      </c>
      <c r="C196" s="9" t="str">
        <f>IF(ISBLANK('Aqueous Species Options'!C196), "", 'Aqueous Species Options'!C196)</f>
        <v>PdCl2(0)</v>
      </c>
      <c r="D196" s="2">
        <f>IF(ISBLANK('Aqueous Species Options'!D196), "", 'Aqueous Species Options'!D196)</f>
        <v>-29095</v>
      </c>
      <c r="E196" s="1">
        <f>IF(ISBLANK('Aqueous Species Options'!E196), "", 'Aqueous Species Options'!E196)</f>
        <v>-39319</v>
      </c>
      <c r="F196" s="139">
        <f>IF(ISBLANK('Aqueous Species Options'!F196), "", 'Aqueous Species Options'!F196)</f>
        <v>28.04</v>
      </c>
      <c r="G196" s="29">
        <f>IF(ISBLANK('Aqueous Species Options'!B196), "", IF('Aqueous Species Options'!L196 = 1, IF(ISBLANK('Aqueous Species Options'!G196), "", 'Aqueous Species Options'!G196), ('Aqueous Species Table'!I196/10 + ('Aqueous Species Table'!J196*100)/(Calculations!$C$12+Calculations!$C$9) + ('Aqueous Species Table'!K196 + ('Aqueous Species Table'!L196*10000)/(Calculations!$C$12+Calculations!$C$9))*(1/(Calculations!$C$8-Calculations!$C$13)) - 'Aqueous Species Table'!O196*100000*0.0000005903)*41.8393))</f>
        <v>37.020000000000003</v>
      </c>
      <c r="H196" s="29">
        <f>IF(ISBLANK('Aqueous Species Options'!B196), "", IF('Aqueous Species Options'!L196 = 1, IF(ISBLANK('Aqueous Species Options'!H196), "", 'Aqueous Species Options'!H196), 'Aqueous Species Table'!M196 + 'Aqueous Species Table'!N196*10000*(1/(Calculations!$C$8-Calculations!$C$13))^2 + 'Aqueous Species Table'!O196*100000*Calculations!$C$8*Calculations!$C$7))</f>
        <v>55.78</v>
      </c>
      <c r="I196" s="42">
        <f>IF(ISBLANK('Aqueous Species Options'!B196), "", IF('Aqueous Species Options'!L196=0, 'Aqueous Species Options'!N196, IF(OR(ISBLANK('Aqueous Species Options'!G196),'Aqueous Species Table'!O196="", 'Aqueous Species Table'!P196=""), "", IF('Aqueous Species Options'!B196="H+", 0, (CHOOSE('Aqueous Species Options'!M196+1,'Aqueous Species Options'!$V$4*ABS('Aqueous Species Table'!P196)+'Aqueous Species Options'!$W$4,'Aqueous Species Options'!$Z$4)*('Aqueous Species Options'!G196 + 'Aqueous Species Table'!O196*100000*0.0000005903*41.8393) + CHOOSE('Aqueous Species Options'!M196+1,'Aqueous Species Options'!$X$4*ABS('Aqueous Species Table'!P196)+'Aqueous Species Options'!$Y$4,'Aqueous Species Options'!$AA$4))*10 ) ) ) )</f>
        <v>8.6918273181684587</v>
      </c>
      <c r="J196" s="42">
        <f>IF(ISBLANK('Aqueous Species Options'!B196), "", IF('Aqueous Species Options'!L196 = 0, 'Aqueous Species Options'!O196, IF('Aqueous Species Table'!I196="", "", IF('Aqueous Species Options'!B196="H+", 0, ((1.11*('Aqueous Species Options'!G196 + 'Aqueous Species Table'!O196*100000*0.0000005903*41.8393)+1.8)/41.8393 - 'Aqueous Species Table'!I196/10)*26.01 ) ) ) )</f>
        <v>3.9923455891261277</v>
      </c>
      <c r="K196" s="42">
        <f>IF(ISBLANK('Aqueous Species Options'!B196), "", IF('Aqueous Species Options'!L196 = 0, 'Aqueous Species Options'!P196, IF('Aqueous Species Table'!I196="", "", IF('Aqueous Species Options'!B196="H+", 0, ('Aqueous Species Options'!G196/41.8393 + 'Aqueous Species Table'!O196*100000*0.0000005903 - 'Aqueous Species Table'!I196/10 - 'Aqueous Species Table'!J196*100/2601)*(298.15-228) - ('Aqueous Species Table'!L196*10000/2601) ) ) ) )</f>
        <v>1.4905568072435162</v>
      </c>
      <c r="L196" s="42">
        <f>IF(ISBLANK('Aqueous Species Options'!B196), "", IF('Aqueous Species Options'!L196 = 0, 'Aqueous Species Options'!Q196, IF('Aqueous Species Table'!J196="", "", IF('Aqueous Species Options'!B196="H+", 0, (-4.134*'Aqueous Species Table'!J196*100 - 27790)*0.0001) ) ) )</f>
        <v>-2.9440435666544742</v>
      </c>
      <c r="M196" s="42">
        <f>IF(ISBLANK('Aqueous Species Options'!B196), "", IF('Aqueous Species Options'!L196=0, 'Aqueous Species Options'!R196, IF('Aqueous Species Table'!N196="", "", IF('Aqueous Species Options'!B196="H+", 0, 'Aqueous Species Options'!H196 - 'Aqueous Species Table'!O196*100000*(-0.000000309)*298.15 - 'Aqueous Species Table'!N196*10000/(298.15-228)^2 ) ) ) )</f>
        <v>38.507034961473153</v>
      </c>
      <c r="N196" s="42">
        <f>IF(ISBLANK('Aqueous Species Options'!B196), "", IF('Aqueous Species Options'!L196=0, 'Aqueous Species Options'!S196, IF(OR(ISBLANK('Aqueous Species Options'!H196), 'Aqueous Species Table'!O196=""), "", IF('Aqueous Species Options'!B196="H+", 0, 0.2037*'Aqueous Species Options'!H196 - 3.0346) ) ) )</f>
        <v>8.3277859999999997</v>
      </c>
      <c r="O196" s="42">
        <f>IF(ISBLANK('Aqueous Species Options'!B196), "", IF('Aqueous Species Options'!K196=0, 'Aqueous Species Options'!I196, IF(OR('Aqueous Species Options'!J196&gt;4,'Aqueous Species Options'!J196&lt;-4), "", IF('Aqueous Species Options'!B196="H+", 0, IF('Aqueous Species Options'!J196=0, -0.038, IF(ISBLANK('Aqueous Species Options'!F196), "", -1514.4*'Aqueous Species Options'!F196*0.00001 + SUM(({4,3,2,1,-1,-2,-3,-4}='Aqueous Species Options'!J196)*{2.1764,1.5793,1.0579,0.5517,1.6291,3.2127,4.8115,6.486}) ) ) ) ) ) )</f>
        <v>-3.7999999999999999E-2</v>
      </c>
      <c r="P196" s="1">
        <f>IF(ISBLANK('Aqueous Species Options'!J196), "", 'Aqueous Species Options'!J196)</f>
        <v>0</v>
      </c>
      <c r="Q196" s="184" t="str">
        <f>IF(ISBLANK('Aqueous Species Options'!T196), "", 'Aqueous Species Options'!T196)</f>
        <v>Tagirov et al. (2013)</v>
      </c>
    </row>
    <row r="197" spans="2:17" ht="15" customHeight="1" x14ac:dyDescent="0.2">
      <c r="B197" s="9" t="str">
        <f>IF(ISBLANK('Aqueous Species Options'!B197), "", 'Aqueous Species Options'!B197)</f>
        <v>PO4-3</v>
      </c>
      <c r="C197" s="9" t="str">
        <f>IF(ISBLANK('Aqueous Species Options'!C197), "", 'Aqueous Species Options'!C197)</f>
        <v>PO4(-3)</v>
      </c>
      <c r="D197" s="2">
        <f>IF(ISBLANK('Aqueous Species Options'!D197), "", 'Aqueous Species Options'!D197)</f>
        <v>-243500</v>
      </c>
      <c r="E197" s="1">
        <f>IF(ISBLANK('Aqueous Species Options'!E197), "", 'Aqueous Species Options'!E197)</f>
        <v>-305300</v>
      </c>
      <c r="F197" s="139">
        <f>IF(ISBLANK('Aqueous Species Options'!F197), "", 'Aqueous Species Options'!F197)</f>
        <v>-53</v>
      </c>
      <c r="G197" s="29">
        <f>IF(ISBLANK('Aqueous Species Options'!B197), "", IF('Aqueous Species Options'!L197 = 1, IF(ISBLANK('Aqueous Species Options'!G197), "", 'Aqueous Species Options'!G197), ('Aqueous Species Table'!I197/10 + ('Aqueous Species Table'!J197*100)/(Calculations!$C$12+Calculations!$C$9) + ('Aqueous Species Table'!K197 + ('Aqueous Species Table'!L197*10000)/(Calculations!$C$12+Calculations!$C$9))*(1/(Calculations!$C$8-Calculations!$C$13)) - 'Aqueous Species Table'!O197*100000*0.0000005903)*41.8393))</f>
        <v>-30.600095804682038</v>
      </c>
      <c r="H197" s="29">
        <f>IF(ISBLANK('Aqueous Species Options'!B197), "", IF('Aqueous Species Options'!L197 = 1, IF(ISBLANK('Aqueous Species Options'!H197), "", 'Aqueous Species Options'!H197), 'Aqueous Species Table'!M197 + 'Aqueous Species Table'!N197*10000*(1/(Calculations!$C$8-Calculations!$C$13))^2 + 'Aqueous Species Table'!O197*100000*Calculations!$C$8*Calculations!$C$7))</f>
        <v>-114.89996391595473</v>
      </c>
      <c r="I197" s="42">
        <f>IF(ISBLANK('Aqueous Species Options'!B197), "", IF('Aqueous Species Options'!L197=0, 'Aqueous Species Options'!N197, IF(OR(ISBLANK('Aqueous Species Options'!G197),'Aqueous Species Table'!O197="", 'Aqueous Species Table'!P197=""), "", IF('Aqueous Species Options'!B197="H+", 0, (CHOOSE('Aqueous Species Options'!M197+1,'Aqueous Species Options'!$V$4*ABS('Aqueous Species Table'!P197)+'Aqueous Species Options'!$W$4,'Aqueous Species Options'!$Z$4)*('Aqueous Species Options'!G197 + 'Aqueous Species Table'!O197*100000*0.0000005903*41.8393) + CHOOSE('Aqueous Species Options'!M197+1,'Aqueous Species Options'!$X$4*ABS('Aqueous Species Table'!P197)+'Aqueous Species Options'!$Y$4,'Aqueous Species Options'!$AA$4))*10 ) ) ) )</f>
        <v>-1.1970758608927012</v>
      </c>
      <c r="J197" s="42">
        <f>IF(ISBLANK('Aqueous Species Options'!B197), "", IF('Aqueous Species Options'!L197 = 0, 'Aqueous Species Options'!O197, IF('Aqueous Species Table'!I197="", "", IF('Aqueous Species Options'!B197="H+", 0, ((1.11*('Aqueous Species Options'!G197 + 'Aqueous Species Table'!O197*100000*0.0000005903*41.8393)+1.8)/41.8393 - 'Aqueous Species Table'!I197/10)*26.01 ) ) ) )</f>
        <v>-7.3196359646062028</v>
      </c>
      <c r="K197" s="42">
        <f>IF(ISBLANK('Aqueous Species Options'!B197), "", IF('Aqueous Species Options'!L197 = 0, 'Aqueous Species Options'!P197, IF('Aqueous Species Table'!I197="", "", IF('Aqueous Species Options'!B197="H+", 0, ('Aqueous Species Options'!G197/41.8393 + 'Aqueous Species Table'!O197*100000*0.0000005903 - 'Aqueous Species Table'!I197/10 - 'Aqueous Species Table'!J197*100/2601)*(298.15-228) - ('Aqueous Species Table'!L197*10000/2601) ) ) ) )</f>
        <v>9.5906134984353848</v>
      </c>
      <c r="L197" s="42">
        <f>IF(ISBLANK('Aqueous Species Options'!B197), "", IF('Aqueous Species Options'!L197 = 0, 'Aqueous Species Options'!Q197, IF('Aqueous Species Table'!J197="", "", IF('Aqueous Species Options'!B197="H+", 0, (-4.134*'Aqueous Species Table'!J197*100 - 27790)*0.0001) ) ) )</f>
        <v>-2.4764062492231798</v>
      </c>
      <c r="M197" s="42">
        <f>IF(ISBLANK('Aqueous Species Options'!B197), "", IF('Aqueous Species Options'!L197=0, 'Aqueous Species Options'!R197, IF('Aqueous Species Table'!N197="", "", IF('Aqueous Species Options'!B197="H+", 0, 'Aqueous Species Options'!H197 - 'Aqueous Species Table'!O197*100000*(-0.000000309)*298.15 - 'Aqueous Species Table'!N197*10000/(298.15-228)^2 ) ) ) )</f>
        <v>-9.4749539736305195</v>
      </c>
      <c r="N197" s="42">
        <f>IF(ISBLANK('Aqueous Species Options'!B197), "", IF('Aqueous Species Options'!L197=0, 'Aqueous Species Options'!S197, IF(OR(ISBLANK('Aqueous Species Options'!H197), 'Aqueous Species Table'!O197=""), "", IF('Aqueous Species Options'!B197="H+", 0, 0.2037*'Aqueous Species Options'!H197 - 3.0346) ) ) )</f>
        <v>-26.439722649679979</v>
      </c>
      <c r="O197" s="42">
        <f>IF(ISBLANK('Aqueous Species Options'!B197), "", IF('Aqueous Species Options'!K197=0, 'Aqueous Species Options'!I197, IF(OR('Aqueous Species Options'!J197&gt;4,'Aqueous Species Options'!J197&lt;-4), "", IF('Aqueous Species Options'!B197="H+", 0, IF('Aqueous Species Options'!J197=0, -0.038, IF(ISBLANK('Aqueous Species Options'!F197), "", -1514.4*'Aqueous Species Options'!F197*0.00001 + SUM(({4,3,2,1,-1,-2,-3,-4}='Aqueous Species Options'!J197)*{2.1764,1.5793,1.0579,0.5517,1.6291,3.2127,4.8115,6.486}) ) ) ) ) ) )</f>
        <v>5.6113999999999997</v>
      </c>
      <c r="P197" s="1">
        <f>IF(ISBLANK('Aqueous Species Options'!J197), "", 'Aqueous Species Options'!J197)</f>
        <v>-3</v>
      </c>
      <c r="Q197" s="184" t="str">
        <f>IF(ISBLANK('Aqueous Species Options'!T197), "", 'Aqueous Species Options'!T197)</f>
        <v>Shock &amp; Helgeson (1988) revised with new predicted a1 for ions</v>
      </c>
    </row>
    <row r="198" spans="2:17" ht="15" customHeight="1" x14ac:dyDescent="0.2">
      <c r="B198" s="9" t="str">
        <f>IF(ISBLANK('Aqueous Species Options'!B198), "", 'Aqueous Species Options'!B198)</f>
        <v>Pr+3</v>
      </c>
      <c r="C198" s="9" t="str">
        <f>IF(ISBLANK('Aqueous Species Options'!C198), "", 'Aqueous Species Options'!C198)</f>
        <v>Pr(+3)</v>
      </c>
      <c r="D198" s="2">
        <f>IF(ISBLANK('Aqueous Species Options'!D198), "", 'Aqueous Species Options'!D198)</f>
        <v>-162600</v>
      </c>
      <c r="E198" s="1">
        <f>IF(ISBLANK('Aqueous Species Options'!E198), "", 'Aqueous Species Options'!E198)</f>
        <v>-168800</v>
      </c>
      <c r="F198" s="139">
        <f>IF(ISBLANK('Aqueous Species Options'!F198), "", 'Aqueous Species Options'!F198)</f>
        <v>-50</v>
      </c>
      <c r="G198" s="29">
        <f>IF(ISBLANK('Aqueous Species Options'!B198), "", IF('Aqueous Species Options'!L198 = 1, IF(ISBLANK('Aqueous Species Options'!G198), "", 'Aqueous Species Options'!G198), ('Aqueous Species Table'!I198/10 + ('Aqueous Species Table'!J198*100)/(Calculations!$C$12+Calculations!$C$9) + ('Aqueous Species Table'!K198 + ('Aqueous Species Table'!L198*10000)/(Calculations!$C$12+Calculations!$C$9))*(1/(Calculations!$C$8-Calculations!$C$13)) - 'Aqueous Species Table'!O198*100000*0.0000005903)*41.8393))</f>
        <v>-42.099993786987611</v>
      </c>
      <c r="H198" s="29">
        <f>IF(ISBLANK('Aqueous Species Options'!B198), "", IF('Aqueous Species Options'!L198 = 1, IF(ISBLANK('Aqueous Species Options'!H198), "", 'Aqueous Species Options'!H198), 'Aqueous Species Table'!M198 + 'Aqueous Species Table'!N198*10000*(1/(Calculations!$C$8-Calculations!$C$13))^2 + 'Aqueous Species Table'!O198*100000*Calculations!$C$8*Calculations!$C$7))</f>
        <v>-47.69967108409179</v>
      </c>
      <c r="I198" s="42">
        <f>IF(ISBLANK('Aqueous Species Options'!B198), "", IF('Aqueous Species Options'!L198=0, 'Aqueous Species Options'!N198, IF(OR(ISBLANK('Aqueous Species Options'!G198),'Aqueous Species Table'!O198="", 'Aqueous Species Table'!P198=""), "", IF('Aqueous Species Options'!B198="H+", 0, (CHOOSE('Aqueous Species Options'!M198+1,'Aqueous Species Options'!$V$4*ABS('Aqueous Species Table'!P198)+'Aqueous Species Options'!$W$4,'Aqueous Species Options'!$Z$4)*('Aqueous Species Options'!G198 + 'Aqueous Species Table'!O198*100000*0.0000005903*41.8393) + CHOOSE('Aqueous Species Options'!M198+1,'Aqueous Species Options'!$X$4*ABS('Aqueous Species Table'!P198)+'Aqueous Species Options'!$Y$4,'Aqueous Species Options'!$AA$4))*10 ) ) ) )</f>
        <v>-8.5275281673626537</v>
      </c>
      <c r="J198" s="42">
        <f>IF(ISBLANK('Aqueous Species Options'!B198), "", IF('Aqueous Species Options'!L198 = 0, 'Aqueous Species Options'!O198, IF('Aqueous Species Table'!I198="", "", IF('Aqueous Species Options'!B198="H+", 0, ((1.11*('Aqueous Species Options'!G198 + 'Aqueous Species Table'!O198*100000*0.0000005903*41.8393)+1.8)/41.8393 - 'Aqueous Species Table'!I198/10)*26.01 ) ) ) )</f>
        <v>-1.9428711200045896</v>
      </c>
      <c r="K198" s="42">
        <f>IF(ISBLANK('Aqueous Species Options'!B198), "", IF('Aqueous Species Options'!L198 = 0, 'Aqueous Species Options'!P198, IF('Aqueous Species Table'!I198="", "", IF('Aqueous Species Options'!B198="H+", 0, ('Aqueous Species Options'!G198/41.8393 + 'Aqueous Species Table'!O198*100000*0.0000005903 - 'Aqueous Species Table'!I198/10 - 'Aqueous Species Table'!J198*100/2601)*(298.15-228) - ('Aqueous Species Table'!L198*10000/2601) ) ) ) )</f>
        <v>14.104105087060267</v>
      </c>
      <c r="L198" s="42">
        <f>IF(ISBLANK('Aqueous Species Options'!B198), "", IF('Aqueous Species Options'!L198 = 0, 'Aqueous Species Options'!Q198, IF('Aqueous Species Table'!J198="", "", IF('Aqueous Species Options'!B198="H+", 0, (-4.134*'Aqueous Species Table'!J198*100 - 27790)*0.0001) ) ) )</f>
        <v>-2.6986817078990102</v>
      </c>
      <c r="M198" s="42">
        <f>IF(ISBLANK('Aqueous Species Options'!B198), "", IF('Aqueous Species Options'!L198=0, 'Aqueous Species Options'!R198, IF('Aqueous Species Table'!N198="", "", IF('Aqueous Species Options'!B198="H+", 0, 'Aqueous Species Options'!H198 - 'Aqueous Species Table'!O198*100000*(-0.000000309)*298.15 - 'Aqueous Species Table'!N198*10000/(298.15-228)^2 ) ) ) )</f>
        <v>-1.197656471892774</v>
      </c>
      <c r="N198" s="42">
        <f>IF(ISBLANK('Aqueous Species Options'!B198), "", IF('Aqueous Species Options'!L198=0, 'Aqueous Species Options'!S198, IF(OR(ISBLANK('Aqueous Species Options'!H198), 'Aqueous Species Table'!O198=""), "", IF('Aqueous Species Options'!B198="H+", 0, 0.2037*'Aqueous Species Options'!H198 - 3.0346) ) ) )</f>
        <v>-12.751022999829498</v>
      </c>
      <c r="O198" s="42">
        <f>IF(ISBLANK('Aqueous Species Options'!B198), "", IF('Aqueous Species Options'!K198=0, 'Aqueous Species Options'!I198, IF(OR('Aqueous Species Options'!J198&gt;4,'Aqueous Species Options'!J198&lt;-4), "", IF('Aqueous Species Options'!B198="H+", 0, IF('Aqueous Species Options'!J198=0, -0.038, IF(ISBLANK('Aqueous Species Options'!F198), "", -1514.4*'Aqueous Species Options'!F198*0.00001 + SUM(({4,3,2,1,-1,-2,-3,-4}='Aqueous Species Options'!J198)*{2.1764,1.5793,1.0579,0.5517,1.6291,3.2127,4.8115,6.486}) ) ) ) ) ) )</f>
        <v>2.2349999999999999</v>
      </c>
      <c r="P198" s="1">
        <f>IF(ISBLANK('Aqueous Species Options'!J198), "", 'Aqueous Species Options'!J198)</f>
        <v>3</v>
      </c>
      <c r="Q198" s="184" t="str">
        <f>IF(ISBLANK('Aqueous Species Options'!T198), "", 'Aqueous Species Options'!T198)</f>
        <v>Shock &amp; Helgeson (1988) revised with new predicted a1 for ions</v>
      </c>
    </row>
    <row r="199" spans="2:17" ht="15" customHeight="1" x14ac:dyDescent="0.2">
      <c r="B199" s="9" t="str">
        <f>IF(ISBLANK('Aqueous Species Options'!B199), "", 'Aqueous Species Options'!B199)</f>
        <v>PROPANE,AQ</v>
      </c>
      <c r="C199" s="9" t="str">
        <f>IF(ISBLANK('Aqueous Species Options'!C199), "", 'Aqueous Species Options'!C199)</f>
        <v>C3H8</v>
      </c>
      <c r="D199" s="2">
        <f>IF(ISBLANK('Aqueous Species Options'!D199), "", 'Aqueous Species Options'!D199)</f>
        <v>-1963</v>
      </c>
      <c r="E199" s="1">
        <f>IF(ISBLANK('Aqueous Species Options'!E199), "", 'Aqueous Species Options'!E199)</f>
        <v>-30490</v>
      </c>
      <c r="F199" s="139">
        <f>IF(ISBLANK('Aqueous Species Options'!F199), "", 'Aqueous Species Options'!F199)</f>
        <v>33.369999999999997</v>
      </c>
      <c r="G199" s="29">
        <f>IF(ISBLANK('Aqueous Species Options'!B199), "", IF('Aqueous Species Options'!L199 = 1, IF(ISBLANK('Aqueous Species Options'!G199), "", 'Aqueous Species Options'!G199), ('Aqueous Species Table'!I199/10 + ('Aqueous Species Table'!J199*100)/(Calculations!$C$12+Calculations!$C$9) + ('Aqueous Species Table'!K199 + ('Aqueous Species Table'!L199*10000)/(Calculations!$C$12+Calculations!$C$9))*(1/(Calculations!$C$8-Calculations!$C$13)) - 'Aqueous Species Table'!O199*100000*0.0000005903)*41.8393))</f>
        <v>66.999936220908978</v>
      </c>
      <c r="H199" s="29">
        <f>IF(ISBLANK('Aqueous Species Options'!B199), "", IF('Aqueous Species Options'!L199 = 1, IF(ISBLANK('Aqueous Species Options'!H199), "", 'Aqueous Species Options'!H199), 'Aqueous Species Table'!M199 + 'Aqueous Species Table'!N199*10000*(1/(Calculations!$C$8-Calculations!$C$13))^2 + 'Aqueous Species Table'!O199*100000*Calculations!$C$8*Calculations!$C$7))</f>
        <v>110.59958327471779</v>
      </c>
      <c r="I199" s="42">
        <f>IF(ISBLANK('Aqueous Species Options'!B199), "", IF('Aqueous Species Options'!L199=0, 'Aqueous Species Options'!N199, IF(OR(ISBLANK('Aqueous Species Options'!G199),'Aqueous Species Table'!O199="", 'Aqueous Species Table'!P199=""), "", IF('Aqueous Species Options'!B199="H+", 0, (CHOOSE('Aqueous Species Options'!M199+1,'Aqueous Species Options'!$V$4*ABS('Aqueous Species Table'!P199)+'Aqueous Species Options'!$W$4,'Aqueous Species Options'!$Z$4)*('Aqueous Species Options'!G199 + 'Aqueous Species Table'!O199*100000*0.0000005903*41.8393) + CHOOSE('Aqueous Species Options'!M199+1,'Aqueous Species Options'!$X$4*ABS('Aqueous Species Table'!P199)+'Aqueous Species Options'!$Y$4,'Aqueous Species Options'!$AA$4))*10 ) ) ) )</f>
        <v>14.290088050581724</v>
      </c>
      <c r="J199" s="42">
        <f>IF(ISBLANK('Aqueous Species Options'!B199), "", IF('Aqueous Species Options'!L199 = 0, 'Aqueous Species Options'!O199, IF('Aqueous Species Table'!I199="", "", IF('Aqueous Species Options'!B199="H+", 0, ((1.11*('Aqueous Species Options'!G199 + 'Aqueous Species Table'!O199*100000*0.0000005903*41.8393)+1.8)/41.8393 - 'Aqueous Species Table'!I199/10)*26.01 ) ) ) )</f>
        <v>9.3224451538027822</v>
      </c>
      <c r="K199" s="42">
        <f>IF(ISBLANK('Aqueous Species Options'!B199), "", IF('Aqueous Species Options'!L199 = 0, 'Aqueous Species Options'!P199, IF('Aqueous Species Table'!I199="", "", IF('Aqueous Species Options'!B199="H+", 0, ('Aqueous Species Options'!G199/41.8393 + 'Aqueous Species Table'!O199*100000*0.0000005903 - 'Aqueous Species Table'!I199/10 - 'Aqueous Species Table'!J199*100/2601)*(298.15-228) - ('Aqueous Species Table'!L199*10000/2601) ) ) ) )</f>
        <v>-2.9786811657360044</v>
      </c>
      <c r="L199" s="42">
        <f>IF(ISBLANK('Aqueous Species Options'!B199), "", IF('Aqueous Species Options'!L199 = 0, 'Aqueous Species Options'!Q199, IF('Aqueous Species Table'!J199="", "", IF('Aqueous Species Options'!B199="H+", 0, (-4.134*'Aqueous Species Table'!J199*100 - 27790)*0.0001) ) ) )</f>
        <v>-3.1643898826582073</v>
      </c>
      <c r="M199" s="42">
        <f>IF(ISBLANK('Aqueous Species Options'!B199), "", IF('Aqueous Species Options'!L199=0, 'Aqueous Species Options'!R199, IF('Aqueous Species Table'!N199="", "", IF('Aqueous Species Options'!B199="H+", 0, 'Aqueous Species Options'!H199 - 'Aqueous Species Table'!O199*100000*(-0.000000309)*298.15 - 'Aqueous Species Table'!N199*10000/(298.15-228)^2 ) ) ) )</f>
        <v>66.32953185662123</v>
      </c>
      <c r="N199" s="42">
        <f>IF(ISBLANK('Aqueous Species Options'!B199), "", IF('Aqueous Species Options'!L199=0, 'Aqueous Species Options'!S199, IF(OR(ISBLANK('Aqueous Species Options'!H199), 'Aqueous Species Table'!O199=""), "", IF('Aqueous Species Options'!B199="H+", 0, 0.2037*'Aqueous Species Options'!H199 - 3.0346) ) ) )</f>
        <v>19.49453511306001</v>
      </c>
      <c r="O199" s="42">
        <f>IF(ISBLANK('Aqueous Species Options'!B199), "", IF('Aqueous Species Options'!K199=0, 'Aqueous Species Options'!I199, IF(OR('Aqueous Species Options'!J199&gt;4,'Aqueous Species Options'!J199&lt;-4), "", IF('Aqueous Species Options'!B199="H+", 0, IF('Aqueous Species Options'!J199=0, -0.038, IF(ISBLANK('Aqueous Species Options'!F199), "", -1514.4*'Aqueous Species Options'!F199*0.00001 + SUM(({4,3,2,1,-1,-2,-3,-4}='Aqueous Species Options'!J199)*{2.1764,1.5793,1.0579,0.5517,1.6291,3.2127,4.8115,6.486}) ) ) ) ) ) )</f>
        <v>-0.50529999999999997</v>
      </c>
      <c r="P199" s="1">
        <f>IF(ISBLANK('Aqueous Species Options'!J199), "", 'Aqueous Species Options'!J199)</f>
        <v>0</v>
      </c>
      <c r="Q199" s="184" t="str">
        <f>IF(ISBLANK('Aqueous Species Options'!T199), "", 'Aqueous Species Options'!T199)</f>
        <v>Shock &amp; Helgeson (1990) with new a1-a4 based on revised correlation to predict a1 in Sverjensky et al. (2013)</v>
      </c>
    </row>
    <row r="200" spans="2:17" ht="15" customHeight="1" x14ac:dyDescent="0.2">
      <c r="B200" s="9" t="str">
        <f>IF(ISBLANK('Aqueous Species Options'!B200), "", 'Aqueous Species Options'!B200)</f>
        <v>PROPANOATE,AQ</v>
      </c>
      <c r="C200" s="9" t="str">
        <f>IF(ISBLANK('Aqueous Species Options'!C200), "", 'Aqueous Species Options'!C200)</f>
        <v>C2H5COO-</v>
      </c>
      <c r="D200" s="2">
        <f>IF(ISBLANK('Aqueous Species Options'!D200), "", 'Aqueous Species Options'!D200)</f>
        <v>-86770</v>
      </c>
      <c r="E200" s="1">
        <f>IF(ISBLANK('Aqueous Species Options'!E200), "", 'Aqueous Species Options'!E200)</f>
        <v>-122630</v>
      </c>
      <c r="F200" s="139">
        <f>IF(ISBLANK('Aqueous Species Options'!F200), "", 'Aqueous Species Options'!F200)</f>
        <v>26.5</v>
      </c>
      <c r="G200" s="29">
        <f>IF(ISBLANK('Aqueous Species Options'!B200), "", IF('Aqueous Species Options'!L200 = 1, IF(ISBLANK('Aqueous Species Options'!G200), "", 'Aqueous Species Options'!G200), ('Aqueous Species Table'!I200/10 + ('Aqueous Species Table'!J200*100)/(Calculations!$C$12+Calculations!$C$9) + ('Aqueous Species Table'!K200 + ('Aqueous Species Table'!L200*10000)/(Calculations!$C$12+Calculations!$C$9))*(1/(Calculations!$C$8-Calculations!$C$13)) - 'Aqueous Species Table'!O200*100000*0.0000005903)*41.8393))</f>
        <v>54.950066467724966</v>
      </c>
      <c r="H200" s="29">
        <f>IF(ISBLANK('Aqueous Species Options'!B200), "", IF('Aqueous Species Options'!L200 = 1, IF(ISBLANK('Aqueous Species Options'!H200), "", 'Aqueous Species Options'!H200), 'Aqueous Species Table'!M200 + 'Aqueous Species Table'!N200*10000*(1/(Calculations!$C$8-Calculations!$C$13))^2 + 'Aqueous Species Table'!O200*100000*Calculations!$C$8*Calculations!$C$7))</f>
        <v>32.45551213710533</v>
      </c>
      <c r="I200" s="42">
        <f>IF(ISBLANK('Aqueous Species Options'!B200), "", IF('Aqueous Species Options'!L200=0, 'Aqueous Species Options'!N200, IF(OR(ISBLANK('Aqueous Species Options'!G200),'Aqueous Species Table'!O200="", 'Aqueous Species Table'!P200=""), "", IF('Aqueous Species Options'!B200="H+", 0, (CHOOSE('Aqueous Species Options'!M200+1,'Aqueous Species Options'!$V$4*ABS('Aqueous Species Table'!P200)+'Aqueous Species Options'!$W$4,'Aqueous Species Options'!$Z$4)*('Aqueous Species Options'!G200 + 'Aqueous Species Table'!O200*100000*0.0000005903*41.8393) + CHOOSE('Aqueous Species Options'!M200+1,'Aqueous Species Options'!$X$4*ABS('Aqueous Species Table'!P200)+'Aqueous Species Options'!$Y$4,'Aqueous Species Options'!$AA$4))*10 ) ) ) )</f>
        <v>8.378618967437145</v>
      </c>
      <c r="J200" s="42">
        <f>IF(ISBLANK('Aqueous Species Options'!B200), "", IF('Aqueous Species Options'!L200 = 0, 'Aqueous Species Options'!O200, IF('Aqueous Species Table'!I200="", "", IF('Aqueous Species Options'!B200="H+", 0, ((1.11*('Aqueous Species Options'!G200 + 'Aqueous Species Table'!O200*100000*0.0000005903*41.8393)+1.8)/41.8393 - 'Aqueous Species Table'!I200/10)*26.01 ) ) ) )</f>
        <v>19.336508942277082</v>
      </c>
      <c r="K200" s="42">
        <f>IF(ISBLANK('Aqueous Species Options'!B200), "", IF('Aqueous Species Options'!L200 = 0, 'Aqueous Species Options'!P200, IF('Aqueous Species Table'!I200="", "", IF('Aqueous Species Options'!B200="H+", 0, ('Aqueous Species Options'!G200/41.8393 + 'Aqueous Species Table'!O200*100000*0.0000005903 - 'Aqueous Species Table'!I200/10 - 'Aqueous Species Table'!J200*100/2601)*(298.15-228) - ('Aqueous Species Table'!L200*10000/2601) ) ) ) )</f>
        <v>4.597812207649099E-2</v>
      </c>
      <c r="L200" s="42">
        <f>IF(ISBLANK('Aqueous Species Options'!B200), "", IF('Aqueous Species Options'!L200 = 0, 'Aqueous Species Options'!Q200, IF('Aqueous Species Table'!J200="", "", IF('Aqueous Species Options'!B200="H+", 0, (-4.134*'Aqueous Species Table'!J200*100 - 27790)*0.0001) ) ) )</f>
        <v>-3.5783712796737346</v>
      </c>
      <c r="M200" s="42">
        <f>IF(ISBLANK('Aqueous Species Options'!B200), "", IF('Aqueous Species Options'!L200=0, 'Aqueous Species Options'!R200, IF('Aqueous Species Table'!N200="", "", IF('Aqueous Species Options'!B200="H+", 0, 'Aqueous Species Options'!H200 - 'Aqueous Species Table'!O200*100000*(-0.000000309)*298.15 - 'Aqueous Species Table'!N200*10000/(298.15-228)^2 ) ) ) )</f>
        <v>52.3</v>
      </c>
      <c r="N200" s="42">
        <f>IF(ISBLANK('Aqueous Species Options'!B200), "", IF('Aqueous Species Options'!L200=0, 'Aqueous Species Options'!S200, IF(OR(ISBLANK('Aqueous Species Options'!H200), 'Aqueous Species Table'!O200=""), "", IF('Aqueous Species Options'!B200="H+", 0, 0.2037*'Aqueous Species Options'!H200 - 3.0346) ) ) )</f>
        <v>-4.2</v>
      </c>
      <c r="O200" s="42">
        <f>IF(ISBLANK('Aqueous Species Options'!B200), "", IF('Aqueous Species Options'!K200=0, 'Aqueous Species Options'!I200, IF(OR('Aqueous Species Options'!J200&gt;4,'Aqueous Species Options'!J200&lt;-4), "", IF('Aqueous Species Options'!B200="H+", 0, IF('Aqueous Species Options'!J200=0, -0.038, IF(ISBLANK('Aqueous Species Options'!F200), "", -1514.4*'Aqueous Species Options'!F200*0.00001 + SUM(({4,3,2,1,-1,-2,-3,-4}='Aqueous Species Options'!J200)*{2.1764,1.5793,1.0579,0.5517,1.6291,3.2127,4.8115,6.486}) ) ) ) ) ) )</f>
        <v>1.2276</v>
      </c>
      <c r="P200" s="1">
        <f>IF(ISBLANK('Aqueous Species Options'!J200), "", 'Aqueous Species Options'!J200)</f>
        <v>-1</v>
      </c>
      <c r="Q200" s="184" t="str">
        <f>IF(ISBLANK('Aqueous Species Options'!T200), "", 'Aqueous Species Options'!T200)</f>
        <v>Revised a1 from new delVn correlation for -1 ions; kept original regression c1 and c2 plus omega from Shock &amp; Helgeson (1990)</v>
      </c>
    </row>
    <row r="201" spans="2:17" ht="15" customHeight="1" x14ac:dyDescent="0.2">
      <c r="B201" s="9" t="str">
        <f>IF(ISBLANK('Aqueous Species Options'!B201), "", 'Aqueous Species Options'!B201)</f>
        <v>PROPANOIC-ACID,AQ</v>
      </c>
      <c r="C201" s="9" t="str">
        <f>IF(ISBLANK('Aqueous Species Options'!C201), "", 'Aqueous Species Options'!C201)</f>
        <v>C3H6O2</v>
      </c>
      <c r="D201" s="2">
        <f>IF(ISBLANK('Aqueous Species Options'!D201), "", 'Aqueous Species Options'!D201)</f>
        <v>-93450</v>
      </c>
      <c r="E201" s="1">
        <f>IF(ISBLANK('Aqueous Species Options'!E201), "", 'Aqueous Species Options'!E201)</f>
        <v>-122470</v>
      </c>
      <c r="F201" s="139">
        <f>IF(ISBLANK('Aqueous Species Options'!F201), "", 'Aqueous Species Options'!F201)</f>
        <v>49.4</v>
      </c>
      <c r="G201" s="29">
        <f>IF(ISBLANK('Aqueous Species Options'!B201), "", IF('Aqueous Species Options'!L201 = 1, IF(ISBLANK('Aqueous Species Options'!G201), "", 'Aqueous Species Options'!G201), ('Aqueous Species Table'!I201/10 + ('Aqueous Species Table'!J201*100)/(Calculations!$C$12+Calculations!$C$9) + ('Aqueous Species Table'!K201 + ('Aqueous Species Table'!L201*10000)/(Calculations!$C$12+Calculations!$C$9))*(1/(Calculations!$C$8-Calculations!$C$13)) - 'Aqueous Species Table'!O201*100000*0.0000005903)*41.8393))</f>
        <v>68.27064151281941</v>
      </c>
      <c r="H201" s="29">
        <f>IF(ISBLANK('Aqueous Species Options'!B201), "", IF('Aqueous Species Options'!L201 = 1, IF(ISBLANK('Aqueous Species Options'!H201), "", 'Aqueous Species Options'!H201), 'Aqueous Species Table'!M201 + 'Aqueous Species Table'!N201*10000*(1/(Calculations!$C$8-Calculations!$C$13))^2 + 'Aqueous Species Table'!O201*100000*Calculations!$C$8*Calculations!$C$7))</f>
        <v>61.284217944368443</v>
      </c>
      <c r="I201" s="42">
        <f>IF(ISBLANK('Aqueous Species Options'!B201), "", IF('Aqueous Species Options'!L201=0, 'Aqueous Species Options'!N201, IF(OR(ISBLANK('Aqueous Species Options'!G201),'Aqueous Species Table'!O201="", 'Aqueous Species Table'!P201=""), "", IF('Aqueous Species Options'!B201="H+", 0, (CHOOSE('Aqueous Species Options'!M201+1,'Aqueous Species Options'!$V$4*ABS('Aqueous Species Table'!P201)+'Aqueous Species Options'!$W$4,'Aqueous Species Options'!$Z$4)*('Aqueous Species Options'!G201 + 'Aqueous Species Table'!O201*100000*0.0000005903*41.8393) + CHOOSE('Aqueous Species Options'!M201+1,'Aqueous Species Options'!$X$4*ABS('Aqueous Species Table'!P201)+'Aqueous Species Options'!$Y$4,'Aqueous Species Options'!$AA$4))*10 ) ) ) )</f>
        <v>14.6</v>
      </c>
      <c r="J201" s="42">
        <f>IF(ISBLANK('Aqueous Species Options'!B201), "", IF('Aqueous Species Options'!L201 = 0, 'Aqueous Species Options'!O201, IF('Aqueous Species Table'!I201="", "", IF('Aqueous Species Options'!B201="H+", 0, ((1.11*('Aqueous Species Options'!G201 + 'Aqueous Species Table'!O201*100000*0.0000005903*41.8393)+1.8)/41.8393 - 'Aqueous Species Table'!I201/10)*26.01 ) ) ) )</f>
        <v>7.9</v>
      </c>
      <c r="K201" s="42">
        <f>IF(ISBLANK('Aqueous Species Options'!B201), "", IF('Aqueous Species Options'!L201 = 0, 'Aqueous Species Options'!P201, IF('Aqueous Species Table'!I201="", "", IF('Aqueous Species Options'!B201="H+", 0, ('Aqueous Species Options'!G201/41.8393 + 'Aqueous Species Table'!O201*100000*0.0000005903 - 'Aqueous Species Table'!I201/10 - 'Aqueous Species Table'!J201*100/2601)*(298.15-228) - ('Aqueous Species Table'!L201*10000/2601) ) ) ) )</f>
        <v>6.9</v>
      </c>
      <c r="L201" s="42">
        <f>IF(ISBLANK('Aqueous Species Options'!B201), "", IF('Aqueous Species Options'!L201 = 0, 'Aqueous Species Options'!Q201, IF('Aqueous Species Table'!J201="", "", IF('Aqueous Species Options'!B201="H+", 0, (-4.134*'Aqueous Species Table'!J201*100 - 27790)*0.0001) ) ) )</f>
        <v>-4.3</v>
      </c>
      <c r="M201" s="42">
        <f>IF(ISBLANK('Aqueous Species Options'!B201), "", IF('Aqueous Species Options'!L201=0, 'Aqueous Species Options'!R201, IF('Aqueous Species Table'!N201="", "", IF('Aqueous Species Options'!B201="H+", 0, 'Aqueous Species Options'!H201 - 'Aqueous Species Table'!O201*100000*(-0.000000309)*298.15 - 'Aqueous Species Table'!N201*10000/(298.15-228)^2 ) ) ) )</f>
        <v>63.3</v>
      </c>
      <c r="N201" s="42">
        <f>IF(ISBLANK('Aqueous Species Options'!B201), "", IF('Aqueous Species Options'!L201=0, 'Aqueous Species Options'!S201, IF(OR(ISBLANK('Aqueous Species Options'!H201), 'Aqueous Species Table'!O201=""), "", IF('Aqueous Species Options'!B201="H+", 0, 0.2037*'Aqueous Species Options'!H201 - 3.0346) ) ) )</f>
        <v>-1.4</v>
      </c>
      <c r="O201" s="42">
        <f>IF(ISBLANK('Aqueous Species Options'!B201), "", IF('Aqueous Species Options'!K201=0, 'Aqueous Species Options'!I201, IF(OR('Aqueous Species Options'!J201&gt;4,'Aqueous Species Options'!J201&lt;-4), "", IF('Aqueous Species Options'!B201="H+", 0, IF('Aqueous Species Options'!J201=0, -0.038, IF(ISBLANK('Aqueous Species Options'!F201), "", -1514.4*'Aqueous Species Options'!F201*0.00001 + SUM(({4,3,2,1,-1,-2,-3,-4}='Aqueous Species Options'!J201)*{2.1764,1.5793,1.0579,0.5517,1.6291,3.2127,4.8115,6.486}) ) ) ) ) ) )</f>
        <v>-0.09</v>
      </c>
      <c r="P201" s="1">
        <f>IF(ISBLANK('Aqueous Species Options'!J201), "", 'Aqueous Species Options'!J201)</f>
        <v>0</v>
      </c>
      <c r="Q201" s="184" t="str">
        <f>IF(ISBLANK('Aqueous Species Options'!T201), "", 'Aqueous Species Options'!T201)</f>
        <v>Plyasunov &amp; Shock (2001)</v>
      </c>
    </row>
    <row r="202" spans="2:17" ht="15" customHeight="1" x14ac:dyDescent="0.2">
      <c r="B202" s="9" t="str">
        <f>IF(ISBLANK('Aqueous Species Options'!B202), "", 'Aqueous Species Options'!B202)</f>
        <v>PROPANOL,AQ</v>
      </c>
      <c r="C202" s="9" t="str">
        <f>IF(ISBLANK('Aqueous Species Options'!C202), "", 'Aqueous Species Options'!C202)</f>
        <v>C3H7OH</v>
      </c>
      <c r="D202" s="2">
        <f>IF(ISBLANK('Aqueous Species Options'!D202), "", 'Aqueous Species Options'!D202)</f>
        <v>-41910</v>
      </c>
      <c r="E202" s="1">
        <f>IF(ISBLANK('Aqueous Species Options'!E202), "", 'Aqueous Species Options'!E202)</f>
        <v>-75320</v>
      </c>
      <c r="F202" s="139">
        <f>IF(ISBLANK('Aqueous Species Options'!F202), "", 'Aqueous Species Options'!F202)</f>
        <v>40.6</v>
      </c>
      <c r="G202" s="29">
        <f>IF(ISBLANK('Aqueous Species Options'!B202), "", IF('Aqueous Species Options'!L202 = 1, IF(ISBLANK('Aqueous Species Options'!G202), "", 'Aqueous Species Options'!G202), ('Aqueous Species Table'!I202/10 + ('Aqueous Species Table'!J202*100)/(Calculations!$C$12+Calculations!$C$9) + ('Aqueous Species Table'!K202 + ('Aqueous Species Table'!L202*10000)/(Calculations!$C$12+Calculations!$C$9))*(1/(Calculations!$C$8-Calculations!$C$13)) - 'Aqueous Species Table'!O202*100000*0.0000005903)*41.8393))</f>
        <v>70.881999741216831</v>
      </c>
      <c r="H202" s="29">
        <f>IF(ISBLANK('Aqueous Species Options'!B202), "", IF('Aqueous Species Options'!L202 = 1, IF(ISBLANK('Aqueous Species Options'!H202), "", 'Aqueous Species Options'!H202), 'Aqueous Species Table'!M202 + 'Aqueous Species Table'!N202*10000*(1/(Calculations!$C$8-Calculations!$C$13))^2 + 'Aqueous Species Table'!O202*100000*Calculations!$C$8*Calculations!$C$7))</f>
        <v>82.848490413274376</v>
      </c>
      <c r="I202" s="42">
        <f>IF(ISBLANK('Aqueous Species Options'!B202), "", IF('Aqueous Species Options'!L202=0, 'Aqueous Species Options'!N202, IF(OR(ISBLANK('Aqueous Species Options'!G202),'Aqueous Species Table'!O202="", 'Aqueous Species Table'!P202=""), "", IF('Aqueous Species Options'!B202="H+", 0, (CHOOSE('Aqueous Species Options'!M202+1,'Aqueous Species Options'!$V$4*ABS('Aqueous Species Table'!P202)+'Aqueous Species Options'!$W$4,'Aqueous Species Options'!$Z$4)*('Aqueous Species Options'!G202 + 'Aqueous Species Table'!O202*100000*0.0000005903*41.8393) + CHOOSE('Aqueous Species Options'!M202+1,'Aqueous Species Options'!$X$4*ABS('Aqueous Species Table'!P202)+'Aqueous Species Options'!$Y$4,'Aqueous Species Options'!$AA$4))*10 ) ) ) )</f>
        <v>14.6</v>
      </c>
      <c r="J202" s="42">
        <f>IF(ISBLANK('Aqueous Species Options'!B202), "", IF('Aqueous Species Options'!L202 = 0, 'Aqueous Species Options'!O202, IF('Aqueous Species Table'!I202="", "", IF('Aqueous Species Options'!B202="H+", 0, ((1.11*('Aqueous Species Options'!G202 + 'Aqueous Species Table'!O202*100000*0.0000005903*41.8393)+1.8)/41.8393 - 'Aqueous Species Table'!I202/10)*26.01 ) ) ) )</f>
        <v>9.1</v>
      </c>
      <c r="K202" s="42">
        <f>IF(ISBLANK('Aqueous Species Options'!B202), "", IF('Aqueous Species Options'!L202 = 0, 'Aqueous Species Options'!P202, IF('Aqueous Species Table'!I202="", "", IF('Aqueous Species Options'!B202="H+", 0, ('Aqueous Species Options'!G202/41.8393 + 'Aqueous Species Table'!O202*100000*0.0000005903 - 'Aqueous Species Table'!I202/10 - 'Aqueous Species Table'!J202*100/2601)*(298.15-228) - ('Aqueous Species Table'!L202*10000/2601) ) ) ) )</f>
        <v>12.2</v>
      </c>
      <c r="L202" s="42">
        <f>IF(ISBLANK('Aqueous Species Options'!B202), "", IF('Aqueous Species Options'!L202 = 0, 'Aqueous Species Options'!Q202, IF('Aqueous Species Table'!J202="", "", IF('Aqueous Species Options'!B202="H+", 0, (-4.134*'Aqueous Species Table'!J202*100 - 27790)*0.0001) ) ) )</f>
        <v>-5.5</v>
      </c>
      <c r="M202" s="42">
        <f>IF(ISBLANK('Aqueous Species Options'!B202), "", IF('Aqueous Species Options'!L202=0, 'Aqueous Species Options'!R202, IF('Aqueous Species Table'!N202="", "", IF('Aqueous Species Options'!B202="H+", 0, 'Aqueous Species Options'!H202 - 'Aqueous Species Table'!O202*100000*(-0.000000309)*298.15 - 'Aqueous Species Table'!N202*10000/(298.15-228)^2 ) ) ) )</f>
        <v>74.3</v>
      </c>
      <c r="N202" s="42">
        <f>IF(ISBLANK('Aqueous Species Options'!B202), "", IF('Aqueous Species Options'!L202=0, 'Aqueous Species Options'!S202, IF(OR(ISBLANK('Aqueous Species Options'!H202), 'Aqueous Species Table'!O202=""), "", IF('Aqueous Species Options'!B202="H+", 0, 0.2037*'Aqueous Species Options'!H202 - 3.0346) ) ) )</f>
        <v>3.3</v>
      </c>
      <c r="O202" s="42">
        <f>IF(ISBLANK('Aqueous Species Options'!B202), "", IF('Aqueous Species Options'!K202=0, 'Aqueous Species Options'!I202, IF(OR('Aqueous Species Options'!J202&gt;4,'Aqueous Species Options'!J202&lt;-4), "", IF('Aqueous Species Options'!B202="H+", 0, IF('Aqueous Species Options'!J202=0, -0.038, IF(ISBLANK('Aqueous Species Options'!F202), "", -1514.4*'Aqueous Species Options'!F202*0.00001 + SUM(({4,3,2,1,-1,-2,-3,-4}='Aqueous Species Options'!J202)*{2.1764,1.5793,1.0579,0.5517,1.6291,3.2127,4.8115,6.486}) ) ) ) ) ) )</f>
        <v>-0.2</v>
      </c>
      <c r="P202" s="1">
        <f>IF(ISBLANK('Aqueous Species Options'!J202), "", 'Aqueous Species Options'!J202)</f>
        <v>0</v>
      </c>
      <c r="Q202" s="184" t="str">
        <f>IF(ISBLANK('Aqueous Species Options'!T202), "", 'Aqueous Species Options'!T202)</f>
        <v>Plyasunov &amp; Shock (2001)</v>
      </c>
    </row>
    <row r="203" spans="2:17" ht="15" customHeight="1" x14ac:dyDescent="0.2">
      <c r="B203" s="9" t="str">
        <f>IF(ISBLANK('Aqueous Species Options'!B203), "", 'Aqueous Species Options'!B203)</f>
        <v>Pt+2</v>
      </c>
      <c r="C203" s="9" t="str">
        <f>IF(ISBLANK('Aqueous Species Options'!C203), "", 'Aqueous Species Options'!C203)</f>
        <v>Pt(+2)</v>
      </c>
      <c r="D203" s="2">
        <f>IF(ISBLANK('Aqueous Species Options'!D203), "", 'Aqueous Species Options'!D203)</f>
        <v>53870</v>
      </c>
      <c r="E203" s="1">
        <f>IF(ISBLANK('Aqueous Species Options'!E203), "", 'Aqueous Species Options'!E203)</f>
        <v>53388</v>
      </c>
      <c r="F203" s="139">
        <f>IF(ISBLANK('Aqueous Species Options'!F203), "", 'Aqueous Species Options'!F203)</f>
        <v>-22.9</v>
      </c>
      <c r="G203" s="29">
        <f>IF(ISBLANK('Aqueous Species Options'!B203), "", IF('Aqueous Species Options'!L203 = 1, IF(ISBLANK('Aqueous Species Options'!G203), "", 'Aqueous Species Options'!G203), ('Aqueous Species Table'!I203/10 + ('Aqueous Species Table'!J203*100)/(Calculations!$C$12+Calculations!$C$9) + ('Aqueous Species Table'!K203 + ('Aqueous Species Table'!L203*10000)/(Calculations!$C$12+Calculations!$C$9))*(1/(Calculations!$C$8-Calculations!$C$13)) - 'Aqueous Species Table'!O203*100000*0.0000005903)*41.8393))</f>
        <v>-21.1</v>
      </c>
      <c r="H203" s="29">
        <f>IF(ISBLANK('Aqueous Species Options'!B203), "", IF('Aqueous Species Options'!L203 = 1, IF(ISBLANK('Aqueous Species Options'!H203), "", 'Aqueous Species Options'!H203), 'Aqueous Species Table'!M203 + 'Aqueous Species Table'!N203*10000*(1/(Calculations!$C$8-Calculations!$C$13))^2 + 'Aqueous Species Table'!O203*100000*Calculations!$C$8*Calculations!$C$7))</f>
        <v>-7</v>
      </c>
      <c r="I203" s="42">
        <f>IF(ISBLANK('Aqueous Species Options'!B203), "", IF('Aqueous Species Options'!L203=0, 'Aqueous Species Options'!N203, IF(OR(ISBLANK('Aqueous Species Options'!G203),'Aqueous Species Table'!O203="", 'Aqueous Species Table'!P203=""), "", IF('Aqueous Species Options'!B203="H+", 0, (CHOOSE('Aqueous Species Options'!M203+1,'Aqueous Species Options'!$V$4*ABS('Aqueous Species Table'!P203)+'Aqueous Species Options'!$W$4,'Aqueous Species Options'!$Z$4)*('Aqueous Species Options'!G203 + 'Aqueous Species Table'!O203*100000*0.0000005903*41.8393) + CHOOSE('Aqueous Species Options'!M203+1,'Aqueous Species Options'!$X$4*ABS('Aqueous Species Table'!P203)+'Aqueous Species Options'!$Y$4,'Aqueous Species Options'!$AA$4))*10 ) ) ) )</f>
        <v>-1.9036610746249676</v>
      </c>
      <c r="J203" s="42">
        <f>IF(ISBLANK('Aqueous Species Options'!B203), "", IF('Aqueous Species Options'!L203 = 0, 'Aqueous Species Options'!O203, IF('Aqueous Species Table'!I203="", "", IF('Aqueous Species Options'!B203="H+", 0, ((1.11*('Aqueous Species Options'!G203 + 'Aqueous Species Table'!O203*100000*0.0000005903*41.8393)+1.8)/41.8393 - 'Aqueous Species Table'!I203/10)*26.01 ) ) ) )</f>
        <v>-6.0956104331758034</v>
      </c>
      <c r="K203" s="42">
        <f>IF(ISBLANK('Aqueous Species Options'!B203), "", IF('Aqueous Species Options'!L203 = 0, 'Aqueous Species Options'!P203, IF('Aqueous Species Table'!I203="", "", IF('Aqueous Species Options'!B203="H+", 0, ('Aqueous Species Options'!G203/41.8393 + 'Aqueous Species Table'!O203*100000*0.0000005903 - 'Aqueous Species Table'!I203/10 - 'Aqueous Species Table'!J203*100/2601)*(298.15-228) - ('Aqueous Species Table'!L203*10000/2601) ) ) ) )</f>
        <v>9.9492123309427836</v>
      </c>
      <c r="L203" s="42">
        <f>IF(ISBLANK('Aqueous Species Options'!B203), "", IF('Aqueous Species Options'!L203 = 0, 'Aqueous Species Options'!Q203, IF('Aqueous Species Table'!J203="", "", IF('Aqueous Species Options'!B203="H+", 0, (-4.134*'Aqueous Species Table'!J203*100 - 27790)*0.0001) ) ) )</f>
        <v>-2.5270074646925127</v>
      </c>
      <c r="M203" s="42">
        <f>IF(ISBLANK('Aqueous Species Options'!B203), "", IF('Aqueous Species Options'!L203=0, 'Aqueous Species Options'!R203, IF('Aqueous Species Table'!N203="", "", IF('Aqueous Species Options'!B203="H+", 0, 'Aqueous Species Options'!H203 - 'Aqueous Species Table'!O203*100000*(-0.000000309)*298.15 - 'Aqueous Species Table'!N203*10000/(298.15-228)^2 ) ) ) )</f>
        <v>15.005420360638537</v>
      </c>
      <c r="N203" s="42">
        <f>IF(ISBLANK('Aqueous Species Options'!B203), "", IF('Aqueous Species Options'!L203=0, 'Aqueous Species Options'!S203, IF(OR(ISBLANK('Aqueous Species Options'!H203), 'Aqueous Species Table'!O203=""), "", IF('Aqueous Species Options'!B203="H+", 0, 0.2037*'Aqueous Species Options'!H203 - 3.0346) ) ) )</f>
        <v>-4.4604999999999997</v>
      </c>
      <c r="O203" s="42">
        <f>IF(ISBLANK('Aqueous Species Options'!B203), "", IF('Aqueous Species Options'!K203=0, 'Aqueous Species Options'!I203, IF(OR('Aqueous Species Options'!J203&gt;4,'Aqueous Species Options'!J203&lt;-4), "", IF('Aqueous Species Options'!B203="H+", 0, IF('Aqueous Species Options'!J203=0, -0.038, IF(ISBLANK('Aqueous Species Options'!F203), "", -1514.4*'Aqueous Species Options'!F203*0.00001 + SUM(({4,3,2,1,-1,-2,-3,-4}='Aqueous Species Options'!J203)*{2.1764,1.5793,1.0579,0.5517,1.6291,3.2127,4.8115,6.486}) ) ) ) ) ) )</f>
        <v>1.4046976</v>
      </c>
      <c r="P203" s="1">
        <f>IF(ISBLANK('Aqueous Species Options'!J203), "", 'Aqueous Species Options'!J203)</f>
        <v>2</v>
      </c>
      <c r="Q203" s="184" t="str">
        <f>IF(ISBLANK('Aqueous Species Options'!T203), "", 'Aqueous Species Options'!T203)</f>
        <v>delG0,f from Tagirov et al. (2015) &amp; V0, Cp0 from SS98</v>
      </c>
    </row>
    <row r="204" spans="2:17" ht="32" x14ac:dyDescent="0.2">
      <c r="B204" s="9" t="str">
        <f>IF(ISBLANK('Aqueous Species Options'!B204), "", 'Aqueous Species Options'!B204)</f>
        <v>PtCl+</v>
      </c>
      <c r="C204" s="9" t="str">
        <f>IF(ISBLANK('Aqueous Species Options'!C204), "", 'Aqueous Species Options'!C204)</f>
        <v>PtCl(+)</v>
      </c>
      <c r="D204" s="2">
        <f>IF(ISBLANK('Aqueous Species Options'!D204), "", 'Aqueous Species Options'!D204)</f>
        <v>14606</v>
      </c>
      <c r="E204" s="1">
        <f>IF(ISBLANK('Aqueous Species Options'!E204), "", 'Aqueous Species Options'!E204)</f>
        <v>6524</v>
      </c>
      <c r="F204" s="139">
        <f>IF(ISBLANK('Aqueous Species Options'!F204), "", 'Aqueous Species Options'!F204)</f>
        <v>-6.1</v>
      </c>
      <c r="G204" s="29">
        <f>IF(ISBLANK('Aqueous Species Options'!B204), "", IF('Aqueous Species Options'!L204 = 1, IF(ISBLANK('Aqueous Species Options'!G204), "", 'Aqueous Species Options'!G204), ('Aqueous Species Table'!I204/10 + ('Aqueous Species Table'!J204*100)/(Calculations!$C$12+Calculations!$C$9) + ('Aqueous Species Table'!K204 + ('Aqueous Species Table'!L204*10000)/(Calculations!$C$12+Calculations!$C$9))*(1/(Calculations!$C$8-Calculations!$C$13)) - 'Aqueous Species Table'!O204*100000*0.0000005903)*41.8393))</f>
        <v>3</v>
      </c>
      <c r="H204" s="29">
        <f>IF(ISBLANK('Aqueous Species Options'!B204), "", IF('Aqueous Species Options'!L204 = 1, IF(ISBLANK('Aqueous Species Options'!H204), "", 'Aqueous Species Options'!H204), 'Aqueous Species Table'!M204 + 'Aqueous Species Table'!N204*10000*(1/(Calculations!$C$8-Calculations!$C$13))^2 + 'Aqueous Species Table'!O204*100000*Calculations!$C$8*Calculations!$C$7))</f>
        <v>18.399999999999999</v>
      </c>
      <c r="I204" s="42">
        <f>IF(ISBLANK('Aqueous Species Options'!B204), "", IF('Aqueous Species Options'!L204=0, 'Aqueous Species Options'!N204, IF(OR(ISBLANK('Aqueous Species Options'!G204),'Aqueous Species Table'!O204="", 'Aqueous Species Table'!P204=""), "", IF('Aqueous Species Options'!B204="H+", 0, (CHOOSE('Aqueous Species Options'!M204+1,'Aqueous Species Options'!$V$4*ABS('Aqueous Species Table'!P204)+'Aqueous Species Options'!$W$4,'Aqueous Species Options'!$Z$4)*('Aqueous Species Options'!G204 + 'Aqueous Species Table'!O204*100000*0.0000005903*41.8393) + CHOOSE('Aqueous Species Options'!M204+1,'Aqueous Species Options'!$X$4*ABS('Aqueous Species Table'!P204)+'Aqueous Species Options'!$Y$4,'Aqueous Species Options'!$AA$4))*10 ) ) ) )</f>
        <v>2.4119652865012871</v>
      </c>
      <c r="J204" s="42">
        <f>IF(ISBLANK('Aqueous Species Options'!B204), "", IF('Aqueous Species Options'!L204 = 0, 'Aqueous Species Options'!O204, IF('Aqueous Species Table'!I204="", "", IF('Aqueous Species Options'!B204="H+", 0, ((1.11*('Aqueous Species Options'!G204 + 'Aqueous Species Table'!O204*100000*0.0000005903*41.8393)+1.8)/41.8393 - 'Aqueous Species Table'!I204/10)*26.01 ) ) ) )</f>
        <v>-1.9867060272836032</v>
      </c>
      <c r="K204" s="42">
        <f>IF(ISBLANK('Aqueous Species Options'!B204), "", IF('Aqueous Species Options'!L204 = 0, 'Aqueous Species Options'!P204, IF('Aqueous Species Table'!I204="", "", IF('Aqueous Species Options'!B204="H+", 0, ('Aqueous Species Options'!G204/41.8393 + 'Aqueous Species Table'!O204*100000*0.0000005903 - 'Aqueous Species Table'!I204/10 - 'Aqueous Species Table'!J204*100/2601)*(298.15-228) - ('Aqueous Species Table'!L204*10000/2601) ) ) ) )</f>
        <v>6.5039349256472043</v>
      </c>
      <c r="L204" s="42">
        <f>IF(ISBLANK('Aqueous Species Options'!B204), "", IF('Aqueous Species Options'!L204 = 0, 'Aqueous Species Options'!Q204, IF('Aqueous Species Table'!J204="", "", IF('Aqueous Species Options'!B204="H+", 0, (-4.134*'Aqueous Species Table'!J204*100 - 27790)*0.0001) ) ) )</f>
        <v>-2.6968695728320959</v>
      </c>
      <c r="M204" s="42">
        <f>IF(ISBLANK('Aqueous Species Options'!B204), "", IF('Aqueous Species Options'!L204=0, 'Aqueous Species Options'!R204, IF('Aqueous Species Table'!N204="", "", IF('Aqueous Species Options'!B204="H+", 0, 'Aqueous Species Options'!H204 - 'Aqueous Species Table'!O204*100000*(-0.000000309)*298.15 - 'Aqueous Species Table'!N204*10000/(298.15-228)^2 ) ) ) )</f>
        <v>22.883926742353996</v>
      </c>
      <c r="N204" s="42">
        <f>IF(ISBLANK('Aqueous Species Options'!B204), "", IF('Aqueous Species Options'!L204=0, 'Aqueous Species Options'!S204, IF(OR(ISBLANK('Aqueous Species Options'!H204), 'Aqueous Species Table'!O204=""), "", IF('Aqueous Species Options'!B204="H+", 0, 0.2037*'Aqueous Species Options'!H204 - 3.0346) ) ) )</f>
        <v>0.71347999999999923</v>
      </c>
      <c r="O204" s="42">
        <f>IF(ISBLANK('Aqueous Species Options'!B204), "", IF('Aqueous Species Options'!K204=0, 'Aqueous Species Options'!I204, IF(OR('Aqueous Species Options'!J204&gt;4,'Aqueous Species Options'!J204&lt;-4), "", IF('Aqueous Species Options'!B204="H+", 0, IF('Aqueous Species Options'!J204=0, -0.038, IF(ISBLANK('Aqueous Species Options'!F204), "", -1514.4*'Aqueous Species Options'!F204*0.00001 + SUM(({4,3,2,1,-1,-2,-3,-4}='Aqueous Species Options'!J204)*{2.1764,1.5793,1.0579,0.5517,1.6291,3.2127,4.8115,6.486}) ) ) ) ) ) )</f>
        <v>0.64407839999999994</v>
      </c>
      <c r="P204" s="1">
        <f>IF(ISBLANK('Aqueous Species Options'!J204), "", 'Aqueous Species Options'!J204)</f>
        <v>1</v>
      </c>
      <c r="Q204" s="184" t="str">
        <f>IF(ISBLANK('Aqueous Species Options'!T204), "", 'Aqueous Species Options'!T204)</f>
        <v>delG0,f from Tagirov et al. (2015) &amp; Cp0 from pronsprep, V0 est from high P behaviour</v>
      </c>
    </row>
    <row r="205" spans="2:17" ht="15" customHeight="1" x14ac:dyDescent="0.2">
      <c r="B205" s="9" t="str">
        <f>IF(ISBLANK('Aqueous Species Options'!B205), "", 'Aqueous Species Options'!B205)</f>
        <v>PtCl2,0</v>
      </c>
      <c r="C205" s="9" t="str">
        <f>IF(ISBLANK('Aqueous Species Options'!C205), "", 'Aqueous Species Options'!C205)</f>
        <v>PtCl2(0)</v>
      </c>
      <c r="D205" s="2">
        <f>IF(ISBLANK('Aqueous Species Options'!D205), "", 'Aqueous Species Options'!D205)</f>
        <v>-22694</v>
      </c>
      <c r="E205" s="1">
        <f>IF(ISBLANK('Aqueous Species Options'!E205), "", 'Aqueous Species Options'!E205)</f>
        <v>-41162</v>
      </c>
      <c r="F205" s="139">
        <f>IF(ISBLANK('Aqueous Species Options'!F205), "", 'Aqueous Species Options'!F205)</f>
        <v>1.3</v>
      </c>
      <c r="G205" s="29">
        <f>IF(ISBLANK('Aqueous Species Options'!B205), "", IF('Aqueous Species Options'!L205 = 1, IF(ISBLANK('Aqueous Species Options'!G205), "", 'Aqueous Species Options'!G205), ('Aqueous Species Table'!I205/10 + ('Aqueous Species Table'!J205*100)/(Calculations!$C$12+Calculations!$C$9) + ('Aqueous Species Table'!K205 + ('Aqueous Species Table'!L205*10000)/(Calculations!$C$12+Calculations!$C$9))*(1/(Calculations!$C$8-Calculations!$C$13)) - 'Aqueous Species Table'!O205*100000*0.0000005903)*41.8393))</f>
        <v>26</v>
      </c>
      <c r="H205" s="29">
        <f>IF(ISBLANK('Aqueous Species Options'!B205), "", IF('Aqueous Species Options'!L205 = 1, IF(ISBLANK('Aqueous Species Options'!H205), "", 'Aqueous Species Options'!H205), 'Aqueous Species Table'!M205 + 'Aqueous Species Table'!N205*10000*(1/(Calculations!$C$8-Calculations!$C$13))^2 + 'Aqueous Species Table'!O205*100000*Calculations!$C$8*Calculations!$C$7))</f>
        <v>32.700000000000003</v>
      </c>
      <c r="I205" s="42">
        <f>IF(ISBLANK('Aqueous Species Options'!B205), "", IF('Aqueous Species Options'!L205=0, 'Aqueous Species Options'!N205, IF(OR(ISBLANK('Aqueous Species Options'!G205),'Aqueous Species Table'!O205="", 'Aqueous Species Table'!P205=""), "", IF('Aqueous Species Options'!B205="H+", 0, (CHOOSE('Aqueous Species Options'!M205+1,'Aqueous Species Options'!$V$4*ABS('Aqueous Species Table'!P205)+'Aqueous Species Options'!$W$4,'Aqueous Species Options'!$Z$4)*('Aqueous Species Options'!G205 + 'Aqueous Species Table'!O205*100000*0.0000005903*41.8393) + CHOOSE('Aqueous Species Options'!M205+1,'Aqueous Species Options'!$X$4*ABS('Aqueous Species Table'!P205)+'Aqueous Species Options'!$Y$4,'Aqueous Species Options'!$AA$4))*10 ) ) ) )</f>
        <v>6.7137564355121775</v>
      </c>
      <c r="J205" s="42">
        <f>IF(ISBLANK('Aqueous Species Options'!B205), "", IF('Aqueous Species Options'!L205 = 0, 'Aqueous Species Options'!O205, IF('Aqueous Species Table'!I205="", "", IF('Aqueous Species Options'!B205="H+", 0, ((1.11*('Aqueous Species Options'!G205 + 'Aqueous Species Table'!O205*100000*0.0000005903*41.8393)+1.8)/41.8393 - 'Aqueous Species Table'!I205/10)*26.01 ) ) ) )</f>
        <v>2.1090258842218383</v>
      </c>
      <c r="K205" s="42">
        <f>IF(ISBLANK('Aqueous Species Options'!B205), "", IF('Aqueous Species Options'!L205 = 0, 'Aqueous Species Options'!P205, IF('Aqueous Species Table'!I205="", "", IF('Aqueous Species Options'!B205="H+", 0, ('Aqueous Species Options'!G205/41.8393 + 'Aqueous Species Table'!O205*100000*0.0000005903 - 'Aqueous Species Table'!I205/10 - 'Aqueous Species Table'!J205*100/2601)*(298.15-228) - ('Aqueous Species Table'!L205*10000/2601) ) ) ) )</f>
        <v>3.069702532062534</v>
      </c>
      <c r="L205" s="42">
        <f>IF(ISBLANK('Aqueous Species Options'!B205), "", IF('Aqueous Species Options'!L205 = 0, 'Aqueous Species Options'!Q205, IF('Aqueous Species Table'!J205="", "", IF('Aqueous Species Options'!B205="H+", 0, (-4.134*'Aqueous Species Table'!J205*100 - 27790)*0.0001) ) ) )</f>
        <v>-2.8661871300537309</v>
      </c>
      <c r="M205" s="42">
        <f>IF(ISBLANK('Aqueous Species Options'!B205), "", IF('Aqueous Species Options'!L205=0, 'Aqueous Species Options'!R205, IF('Aqueous Species Table'!N205="", "", IF('Aqueous Species Options'!B205="H+", 0, 'Aqueous Species Options'!H205 - 'Aqueous Species Table'!O205*100000*(-0.000000309)*298.15 - 'Aqueous Species Table'!N205*10000/(298.15-228)^2 ) ) ) )</f>
        <v>28.094670619192705</v>
      </c>
      <c r="N205" s="42">
        <f>IF(ISBLANK('Aqueous Species Options'!B205), "", IF('Aqueous Species Options'!L205=0, 'Aqueous Species Options'!S205, IF(OR(ISBLANK('Aqueous Species Options'!H205), 'Aqueous Species Table'!O205=""), "", IF('Aqueous Species Options'!B205="H+", 0, 0.2037*'Aqueous Species Options'!H205 - 3.0346) ) ) )</f>
        <v>3.6263899999999998</v>
      </c>
      <c r="O205" s="42">
        <f>IF(ISBLANK('Aqueous Species Options'!B205), "", IF('Aqueous Species Options'!K205=0, 'Aqueous Species Options'!I205, IF(OR('Aqueous Species Options'!J205&gt;4,'Aqueous Species Options'!J205&lt;-4), "", IF('Aqueous Species Options'!B205="H+", 0, IF('Aqueous Species Options'!J205=0, -0.038, IF(ISBLANK('Aqueous Species Options'!F205), "", -1514.4*'Aqueous Species Options'!F205*0.00001 + SUM(({4,3,2,1,-1,-2,-3,-4}='Aqueous Species Options'!J205)*{2.1764,1.5793,1.0579,0.5517,1.6291,3.2127,4.8115,6.486}) ) ) ) ) ) )</f>
        <v>0.3</v>
      </c>
      <c r="P205" s="1">
        <f>IF(ISBLANK('Aqueous Species Options'!J205), "", 'Aqueous Species Options'!J205)</f>
        <v>0</v>
      </c>
      <c r="Q205" s="184" t="str">
        <f>IF(ISBLANK('Aqueous Species Options'!T205), "", 'Aqueous Species Options'!T205)</f>
        <v>delG0,f from Tagirov et al. (2015) &amp; Cp0 from pronsprep, V0 est from high P behaviour</v>
      </c>
    </row>
    <row r="206" spans="2:17" ht="15" customHeight="1" x14ac:dyDescent="0.2">
      <c r="B206" s="9" t="str">
        <f>IF(ISBLANK('Aqueous Species Options'!B206), "", 'Aqueous Species Options'!B206)</f>
        <v>PtCl3-</v>
      </c>
      <c r="C206" s="9" t="str">
        <f>IF(ISBLANK('Aqueous Species Options'!C206), "", 'Aqueous Species Options'!C206)</f>
        <v>PtCl3(-)</v>
      </c>
      <c r="D206" s="2">
        <f>IF(ISBLANK('Aqueous Species Options'!D206), "", 'Aqueous Species Options'!D206)</f>
        <v>-58220</v>
      </c>
      <c r="E206" s="1">
        <f>IF(ISBLANK('Aqueous Species Options'!E206), "", 'Aqueous Species Options'!E206)</f>
        <v>-90124</v>
      </c>
      <c r="F206" s="139">
        <f>IF(ISBLANK('Aqueous Species Options'!F206), "", 'Aqueous Species Options'!F206)</f>
        <v>-1.5</v>
      </c>
      <c r="G206" s="29">
        <f>IF(ISBLANK('Aqueous Species Options'!B206), "", IF('Aqueous Species Options'!L206 = 1, IF(ISBLANK('Aqueous Species Options'!G206), "", 'Aqueous Species Options'!G206), ('Aqueous Species Table'!I206/10 + ('Aqueous Species Table'!J206*100)/(Calculations!$C$12+Calculations!$C$9) + ('Aqueous Species Table'!K206 + ('Aqueous Species Table'!L206*10000)/(Calculations!$C$12+Calculations!$C$9))*(1/(Calculations!$C$8-Calculations!$C$13)) - 'Aqueous Species Table'!O206*100000*0.0000005903)*41.8393))</f>
        <v>43</v>
      </c>
      <c r="H206" s="29">
        <f>IF(ISBLANK('Aqueous Species Options'!B206), "", IF('Aqueous Species Options'!L206 = 1, IF(ISBLANK('Aqueous Species Options'!H206), "", 'Aqueous Species Options'!H206), 'Aqueous Species Table'!M206 + 'Aqueous Species Table'!N206*10000*(1/(Calculations!$C$8-Calculations!$C$13))^2 + 'Aqueous Species Table'!O206*100000*Calculations!$C$8*Calculations!$C$7))</f>
        <v>36</v>
      </c>
      <c r="I206" s="42">
        <f>IF(ISBLANK('Aqueous Species Options'!B206), "", IF('Aqueous Species Options'!L206=0, 'Aqueous Species Options'!N206, IF(OR(ISBLANK('Aqueous Species Options'!G206),'Aqueous Species Table'!O206="", 'Aqueous Species Table'!P206=""), "", IF('Aqueous Species Options'!B206="H+", 0, (CHOOSE('Aqueous Species Options'!M206+1,'Aqueous Species Options'!$V$4*ABS('Aqueous Species Table'!P206)+'Aqueous Species Options'!$W$4,'Aqueous Species Options'!$Z$4)*('Aqueous Species Options'!G206 + 'Aqueous Species Table'!O206*100000*0.0000005903*41.8393) + CHOOSE('Aqueous Species Options'!M206+1,'Aqueous Species Options'!$X$4*ABS('Aqueous Species Table'!P206)+'Aqueous Species Options'!$Y$4,'Aqueous Species Options'!$AA$4))*10 ) ) ) )</f>
        <v>10.663731448406608</v>
      </c>
      <c r="J206" s="42">
        <f>IF(ISBLANK('Aqueous Species Options'!B206), "", IF('Aqueous Species Options'!L206 = 0, 'Aqueous Species Options'!O206, IF('Aqueous Species Table'!I206="", "", IF('Aqueous Species Options'!B206="H+", 0, ((1.11*('Aqueous Species Options'!G206 + 'Aqueous Species Table'!O206*100000*0.0000005903*41.8393)+1.8)/41.8393 - 'Aqueous Species Table'!I206/10)*26.01 ) ) ) )</f>
        <v>5.8697939339865588</v>
      </c>
      <c r="K206" s="42">
        <f>IF(ISBLANK('Aqueous Species Options'!B206), "", IF('Aqueous Species Options'!L206 = 0, 'Aqueous Species Options'!P206, IF('Aqueous Species Table'!I206="", "", IF('Aqueous Species Options'!B206="H+", 0, ('Aqueous Species Options'!G206/41.8393 + 'Aqueous Species Table'!O206*100000*0.0000005903 - 'Aqueous Species Table'!I206/10 - 'Aqueous Species Table'!J206*100/2601)*(298.15-228) - ('Aqueous Species Table'!L206*10000/2601) ) ) ) )</f>
        <v>-8.3665837820113609E-2</v>
      </c>
      <c r="L206" s="42">
        <f>IF(ISBLANK('Aqueous Species Options'!B206), "", IF('Aqueous Species Options'!L206 = 0, 'Aqueous Species Options'!Q206, IF('Aqueous Species Table'!J206="", "", IF('Aqueous Species Options'!B206="H+", 0, (-4.134*'Aqueous Species Table'!J206*100 - 27790)*0.0001) ) ) )</f>
        <v>-3.0216572812310045</v>
      </c>
      <c r="M206" s="42">
        <f>IF(ISBLANK('Aqueous Species Options'!B206), "", IF('Aqueous Species Options'!L206=0, 'Aqueous Species Options'!R206, IF('Aqueous Species Table'!N206="", "", IF('Aqueous Species Options'!B206="H+", 0, 'Aqueous Species Options'!H206 - 'Aqueous Species Table'!O206*100000*(-0.000000309)*298.15 - 'Aqueous Species Table'!N206*10000/(298.15-228)^2 ) ) ) )</f>
        <v>42.482731778268715</v>
      </c>
      <c r="N206" s="42">
        <f>IF(ISBLANK('Aqueous Species Options'!B206), "", IF('Aqueous Species Options'!L206=0, 'Aqueous Species Options'!S206, IF(OR(ISBLANK('Aqueous Species Options'!H206), 'Aqueous Species Table'!O206=""), "", IF('Aqueous Species Options'!B206="H+", 0, 0.2037*'Aqueous Species Options'!H206 - 3.0346) ) ) )</f>
        <v>4.2985999999999995</v>
      </c>
      <c r="O206" s="42">
        <f>IF(ISBLANK('Aqueous Species Options'!B206), "", IF('Aqueous Species Options'!K206=0, 'Aqueous Species Options'!I206, IF(OR('Aqueous Species Options'!J206&gt;4,'Aqueous Species Options'!J206&lt;-4), "", IF('Aqueous Species Options'!B206="H+", 0, IF('Aqueous Species Options'!J206=0, -0.038, IF(ISBLANK('Aqueous Species Options'!F206), "", -1514.4*'Aqueous Species Options'!F206*0.00001 + SUM(({4,3,2,1,-1,-2,-3,-4}='Aqueous Species Options'!J206)*{2.1764,1.5793,1.0579,0.5517,1.6291,3.2127,4.8115,6.486}) ) ) ) ) ) )</f>
        <v>1.651816</v>
      </c>
      <c r="P206" s="1">
        <f>IF(ISBLANK('Aqueous Species Options'!J206), "", 'Aqueous Species Options'!J206)</f>
        <v>-1</v>
      </c>
      <c r="Q206" s="184" t="str">
        <f>IF(ISBLANK('Aqueous Species Options'!T206), "", 'Aqueous Species Options'!T206)</f>
        <v>delG0,f from Tagirov et al. (2015) &amp; Cp0 from pronsprep, V0 est from high P behaviour</v>
      </c>
    </row>
    <row r="207" spans="2:17" ht="15" customHeight="1" x14ac:dyDescent="0.2">
      <c r="B207" s="9" t="str">
        <f>IF(ISBLANK('Aqueous Species Options'!B207), "", 'Aqueous Species Options'!B207)</f>
        <v>PtCl4-2</v>
      </c>
      <c r="C207" s="9" t="str">
        <f>IF(ISBLANK('Aqueous Species Options'!C207), "", 'Aqueous Species Options'!C207)</f>
        <v>PtCl4(-2)</v>
      </c>
      <c r="D207" s="2">
        <f>IF(ISBLANK('Aqueous Species Options'!D207), "", 'Aqueous Species Options'!D207)</f>
        <v>-91659</v>
      </c>
      <c r="E207" s="1">
        <f>IF(ISBLANK('Aqueous Species Options'!E207), "", 'Aqueous Species Options'!E207)</f>
        <v>-140922</v>
      </c>
      <c r="F207" s="139">
        <f>IF(ISBLANK('Aqueous Species Options'!F207), "", 'Aqueous Species Options'!F207)</f>
        <v>-17.5</v>
      </c>
      <c r="G207" s="29">
        <f>IF(ISBLANK('Aqueous Species Options'!B207), "", IF('Aqueous Species Options'!L207 = 1, IF(ISBLANK('Aqueous Species Options'!G207), "", 'Aqueous Species Options'!G207), ('Aqueous Species Table'!I207/10 + ('Aqueous Species Table'!J207*100)/(Calculations!$C$12+Calculations!$C$9) + ('Aqueous Species Table'!K207 + ('Aqueous Species Table'!L207*10000)/(Calculations!$C$12+Calculations!$C$9))*(1/(Calculations!$C$8-Calculations!$C$13)) - 'Aqueous Species Table'!O207*100000*0.0000005903)*41.8393))</f>
        <v>73.3</v>
      </c>
      <c r="H207" s="29">
        <f>IF(ISBLANK('Aqueous Species Options'!B207), "", IF('Aqueous Species Options'!L207 = 1, IF(ISBLANK('Aqueous Species Options'!H207), "", 'Aqueous Species Options'!H207), 'Aqueous Species Table'!M207 + 'Aqueous Species Table'!N207*10000*(1/(Calculations!$C$8-Calculations!$C$13))^2 + 'Aqueous Species Table'!O207*100000*Calculations!$C$8*Calculations!$C$7))</f>
        <v>28.3</v>
      </c>
      <c r="I207" s="42">
        <f>IF(ISBLANK('Aqueous Species Options'!B207), "", IF('Aqueous Species Options'!L207=0, 'Aqueous Species Options'!N207, IF(OR(ISBLANK('Aqueous Species Options'!G207),'Aqueous Species Table'!O207="", 'Aqueous Species Table'!P207=""), "", IF('Aqueous Species Options'!B207="H+", 0, (CHOOSE('Aqueous Species Options'!M207+1,'Aqueous Species Options'!$V$4*ABS('Aqueous Species Table'!P207)+'Aqueous Species Options'!$W$4,'Aqueous Species Options'!$Z$4)*('Aqueous Species Options'!G207 + 'Aqueous Species Table'!O207*100000*0.0000005903*41.8393) + CHOOSE('Aqueous Species Options'!M207+1,'Aqueous Species Options'!$X$4*ABS('Aqueous Species Table'!P207)+'Aqueous Species Options'!$Y$4,'Aqueous Species Options'!$AA$4))*10 ) ) ) )</f>
        <v>17.42409803903136</v>
      </c>
      <c r="J207" s="42">
        <f>IF(ISBLANK('Aqueous Species Options'!B207), "", IF('Aqueous Species Options'!L207 = 0, 'Aqueous Species Options'!O207, IF('Aqueous Species Table'!I207="", "", IF('Aqueous Species Options'!B207="H+", 0, ((1.11*('Aqueous Species Options'!G207 + 'Aqueous Species Table'!O207*100000*0.0000005903*41.8393)+1.8)/41.8393 - 'Aqueous Species Table'!I207/10)*26.01 ) ) ) )</f>
        <v>12.306333556572257</v>
      </c>
      <c r="K207" s="42">
        <f>IF(ISBLANK('Aqueous Species Options'!B207), "", IF('Aqueous Species Options'!L207 = 0, 'Aqueous Species Options'!P207, IF('Aqueous Species Table'!I207="", "", IF('Aqueous Species Options'!B207="H+", 0, ('Aqueous Species Options'!G207/41.8393 + 'Aqueous Species Table'!O207*100000*0.0000005903 - 'Aqueous Species Table'!I207/10 - 'Aqueous Species Table'!J207*100/2601)*(298.15-228) - ('Aqueous Species Table'!L207*10000/2601) ) ) ) )</f>
        <v>-5.4806433139045172</v>
      </c>
      <c r="L207" s="42">
        <f>IF(ISBLANK('Aqueous Species Options'!B207), "", IF('Aqueous Species Options'!L207 = 0, 'Aqueous Species Options'!Q207, IF('Aqueous Species Table'!J207="", "", IF('Aqueous Species Options'!B207="H+", 0, (-4.134*'Aqueous Species Table'!J207*100 - 27790)*0.0001) ) ) )</f>
        <v>-3.2877438292286971</v>
      </c>
      <c r="M207" s="42">
        <f>IF(ISBLANK('Aqueous Species Options'!B207), "", IF('Aqueous Species Options'!L207=0, 'Aqueous Species Options'!R207, IF('Aqueous Species Table'!N207="", "", IF('Aqueous Species Options'!B207="H+", 0, 'Aqueous Species Options'!H207 - 'Aqueous Species Table'!O207*100000*(-0.000000309)*298.15 - 'Aqueous Species Table'!N207*10000/(298.15-228)^2 ) ) ) )</f>
        <v>54.79180945443801</v>
      </c>
      <c r="N207" s="42">
        <f>IF(ISBLANK('Aqueous Species Options'!B207), "", IF('Aqueous Species Options'!L207=0, 'Aqueous Species Options'!S207, IF(OR(ISBLANK('Aqueous Species Options'!H207), 'Aqueous Species Table'!O207=""), "", IF('Aqueous Species Options'!B207="H+", 0, 0.2037*'Aqueous Species Options'!H207 - 3.0346) ) ) )</f>
        <v>2.7301099999999998</v>
      </c>
      <c r="O207" s="42">
        <f>IF(ISBLANK('Aqueous Species Options'!B207), "", IF('Aqueous Species Options'!K207=0, 'Aqueous Species Options'!I207, IF(OR('Aqueous Species Options'!J207&gt;4,'Aqueous Species Options'!J207&lt;-4), "", IF('Aqueous Species Options'!B207="H+", 0, IF('Aqueous Species Options'!J207=0, -0.038, IF(ISBLANK('Aqueous Species Options'!F207), "", -1514.4*'Aqueous Species Options'!F207*0.00001 + SUM(({4,3,2,1,-1,-2,-3,-4}='Aqueous Species Options'!J207)*{2.1764,1.5793,1.0579,0.5517,1.6291,3.2127,4.8115,6.486}) ) ) ) ) ) )</f>
        <v>3.4777199999999997</v>
      </c>
      <c r="P207" s="1">
        <f>IF(ISBLANK('Aqueous Species Options'!J207), "", 'Aqueous Species Options'!J207)</f>
        <v>-2</v>
      </c>
      <c r="Q207" s="184" t="str">
        <f>IF(ISBLANK('Aqueous Species Options'!T207), "", 'Aqueous Species Options'!T207)</f>
        <v>delG0,f Tagirov et al. (2015), V0 Kawaizumi92, Cp0 from pronsprep</v>
      </c>
    </row>
    <row r="208" spans="2:17" ht="15" customHeight="1" x14ac:dyDescent="0.2">
      <c r="B208" s="9" t="str">
        <f>IF(ISBLANK('Aqueous Species Options'!B208), "", 'Aqueous Species Options'!B208)</f>
        <v>Ra+2</v>
      </c>
      <c r="C208" s="9" t="str">
        <f>IF(ISBLANK('Aqueous Species Options'!C208), "", 'Aqueous Species Options'!C208)</f>
        <v>Ra(+2)</v>
      </c>
      <c r="D208" s="2">
        <f>IF(ISBLANK('Aqueous Species Options'!D208), "", 'Aqueous Species Options'!D208)</f>
        <v>-134200</v>
      </c>
      <c r="E208" s="1">
        <f>IF(ISBLANK('Aqueous Species Options'!E208), "", 'Aqueous Species Options'!E208)</f>
        <v>-126100</v>
      </c>
      <c r="F208" s="139">
        <f>IF(ISBLANK('Aqueous Species Options'!F208), "", 'Aqueous Species Options'!F208)</f>
        <v>13</v>
      </c>
      <c r="G208" s="29">
        <f>IF(ISBLANK('Aqueous Species Options'!B208), "", IF('Aqueous Species Options'!L208 = 1, IF(ISBLANK('Aqueous Species Options'!G208), "", 'Aqueous Species Options'!G208), ('Aqueous Species Table'!I208/10 + ('Aqueous Species Table'!J208*100)/(Calculations!$C$12+Calculations!$C$9) + ('Aqueous Species Table'!K208 + ('Aqueous Species Table'!L208*10000)/(Calculations!$C$12+Calculations!$C$9))*(1/(Calculations!$C$8-Calculations!$C$13)) - 'Aqueous Species Table'!O208*100000*0.0000005903)*41.8393))</f>
        <v>-10.599992895812941</v>
      </c>
      <c r="H208" s="29">
        <f>IF(ISBLANK('Aqueous Species Options'!B208), "", IF('Aqueous Species Options'!L208 = 1, IF(ISBLANK('Aqueous Species Options'!H208), "", 'Aqueous Species Options'!H208), 'Aqueous Species Table'!M208 + 'Aqueous Species Table'!N208*10000*(1/(Calculations!$C$8-Calculations!$C$13))^2 + 'Aqueous Species Table'!O208*100000*Calculations!$C$8*Calculations!$C$7))</f>
        <v>-14.400281393206109</v>
      </c>
      <c r="I208" s="42">
        <f>IF(ISBLANK('Aqueous Species Options'!B208), "", IF('Aqueous Species Options'!L208=0, 'Aqueous Species Options'!N208, IF(OR(ISBLANK('Aqueous Species Options'!G208),'Aqueous Species Table'!O208="", 'Aqueous Species Table'!P208=""), "", IF('Aqueous Species Options'!B208="H+", 0, (CHOOSE('Aqueous Species Options'!M208+1,'Aqueous Species Options'!$V$4*ABS('Aqueous Species Table'!P208)+'Aqueous Species Options'!$W$4,'Aqueous Species Options'!$Z$4)*('Aqueous Species Options'!G208 + 'Aqueous Species Table'!O208*100000*0.0000005903*41.8393) + CHOOSE('Aqueous Species Options'!M208+1,'Aqueous Species Options'!$X$4*ABS('Aqueous Species Table'!P208)+'Aqueous Species Options'!$Y$4,'Aqueous Species Options'!$AA$4))*10 ) ) ) )</f>
        <v>1.5462375047327335</v>
      </c>
      <c r="J208" s="42">
        <f>IF(ISBLANK('Aqueous Species Options'!B208), "", IF('Aqueous Species Options'!L208 = 0, 'Aqueous Species Options'!O208, IF('Aqueous Species Table'!I208="", "", IF('Aqueous Species Options'!B208="H+", 0, ((1.11*('Aqueous Species Options'!G208 + 'Aqueous Species Table'!O208*100000*0.0000005903*41.8393)+1.8)/41.8393 - 'Aqueous Species Table'!I208/10)*26.01 ) ) ) )</f>
        <v>-8.6340069649115723</v>
      </c>
      <c r="K208" s="42">
        <f>IF(ISBLANK('Aqueous Species Options'!B208), "", IF('Aqueous Species Options'!L208 = 0, 'Aqueous Species Options'!P208, IF('Aqueous Species Table'!I208="", "", IF('Aqueous Species Options'!B208="H+", 0, ('Aqueous Species Options'!G208/41.8393 + 'Aqueous Species Table'!O208*100000*0.0000005903 - 'Aqueous Species Table'!I208/10 - 'Aqueous Species Table'!J208*100/2601)*(298.15-228) - ('Aqueous Species Table'!L208*10000/2601) ) ) ) )</f>
        <v>7.8259092280446785</v>
      </c>
      <c r="L208" s="42">
        <f>IF(ISBLANK('Aqueous Species Options'!B208), "", IF('Aqueous Species Options'!L208 = 0, 'Aqueous Species Options'!Q208, IF('Aqueous Species Table'!J208="", "", IF('Aqueous Species Options'!B208="H+", 0, (-4.134*'Aqueous Species Table'!J208*100 - 27790)*0.0001) ) ) )</f>
        <v>-2.4220701520705559</v>
      </c>
      <c r="M208" s="42">
        <f>IF(ISBLANK('Aqueous Species Options'!B208), "", IF('Aqueous Species Options'!L208=0, 'Aqueous Species Options'!R208, IF('Aqueous Species Table'!N208="", "", IF('Aqueous Species Options'!B208="H+", 0, 'Aqueous Species Options'!H208 - 'Aqueous Species Table'!O208*100000*(-0.000000309)*298.15 - 'Aqueous Species Table'!N208*10000/(298.15-228)^2 ) ) ) )</f>
        <v>6.2858758374831361</v>
      </c>
      <c r="N208" s="42">
        <f>IF(ISBLANK('Aqueous Species Options'!B208), "", IF('Aqueous Species Options'!L208=0, 'Aqueous Species Options'!S208, IF(OR(ISBLANK('Aqueous Species Options'!H208), 'Aqueous Species Table'!O208=""), "", IF('Aqueous Species Options'!B208="H+", 0, 0.2037*'Aqueous Species Options'!H208 - 3.0346) ) ) )</f>
        <v>-5.9679373197960839</v>
      </c>
      <c r="O208" s="42">
        <f>IF(ISBLANK('Aqueous Species Options'!B208), "", IF('Aqueous Species Options'!K208=0, 'Aqueous Species Options'!I208, IF(OR('Aqueous Species Options'!J208&gt;4,'Aqueous Species Options'!J208&lt;-4), "", IF('Aqueous Species Options'!B208="H+", 0, IF('Aqueous Species Options'!J208=0, -0.038, IF(ISBLANK('Aqueous Species Options'!F208), "", -1514.4*'Aqueous Species Options'!F208*0.00001 + SUM(({4,3,2,1,-1,-2,-3,-4}='Aqueous Species Options'!J208)*{2.1764,1.5793,1.0579,0.5517,1.6291,3.2127,4.8115,6.486}) ) ) ) ) ) )</f>
        <v>0.92900000000000005</v>
      </c>
      <c r="P208" s="1">
        <f>IF(ISBLANK('Aqueous Species Options'!J208), "", 'Aqueous Species Options'!J208)</f>
        <v>2</v>
      </c>
      <c r="Q208" s="184" t="str">
        <f>IF(ISBLANK('Aqueous Species Options'!T208), "", 'Aqueous Species Options'!T208)</f>
        <v>Shock &amp; Helgeson (1988) revised with new predicted a1 for ions</v>
      </c>
    </row>
    <row r="209" spans="2:17" ht="15" customHeight="1" x14ac:dyDescent="0.2">
      <c r="B209" s="9" t="str">
        <f>IF(ISBLANK('Aqueous Species Options'!B209), "", 'Aqueous Species Options'!B209)</f>
        <v>Rb+</v>
      </c>
      <c r="C209" s="9" t="str">
        <f>IF(ISBLANK('Aqueous Species Options'!C209), "", 'Aqueous Species Options'!C209)</f>
        <v>Rb(+)</v>
      </c>
      <c r="D209" s="2">
        <f>IF(ISBLANK('Aqueous Species Options'!D209), "", 'Aqueous Species Options'!D209)</f>
        <v>-67800</v>
      </c>
      <c r="E209" s="1">
        <f>IF(ISBLANK('Aqueous Species Options'!E209), "", 'Aqueous Species Options'!E209)</f>
        <v>-60020</v>
      </c>
      <c r="F209" s="139">
        <f>IF(ISBLANK('Aqueous Species Options'!F209), "", 'Aqueous Species Options'!F209)</f>
        <v>28.8</v>
      </c>
      <c r="G209" s="29">
        <f>IF(ISBLANK('Aqueous Species Options'!B209), "", IF('Aqueous Species Options'!L209 = 1, IF(ISBLANK('Aqueous Species Options'!G209), "", 'Aqueous Species Options'!G209), ('Aqueous Species Table'!I209/10 + ('Aqueous Species Table'!J209*100)/(Calculations!$C$12+Calculations!$C$9) + ('Aqueous Species Table'!K209 + ('Aqueous Species Table'!L209*10000)/(Calculations!$C$12+Calculations!$C$9))*(1/(Calculations!$C$8-Calculations!$C$13)) - 'Aqueous Species Table'!O209*100000*0.0000005903)*41.8393))</f>
        <v>14.260278765069316</v>
      </c>
      <c r="H209" s="29">
        <f>IF(ISBLANK('Aqueous Species Options'!B209), "", IF('Aqueous Species Options'!L209 = 1, IF(ISBLANK('Aqueous Species Options'!H209), "", 'Aqueous Species Options'!H209), 'Aqueous Species Table'!M209 + 'Aqueous Species Table'!N209*10000*(1/(Calculations!$C$8-Calculations!$C$13))^2 + 'Aqueous Species Table'!O209*100000*Calculations!$C$8*Calculations!$C$7))</f>
        <v>-2.9998875102649709</v>
      </c>
      <c r="I209" s="42">
        <f>IF(ISBLANK('Aqueous Species Options'!B209), "", IF('Aqueous Species Options'!L209=0, 'Aqueous Species Options'!N209, IF(OR(ISBLANK('Aqueous Species Options'!G209),'Aqueous Species Table'!O209="", 'Aqueous Species Table'!P209=""), "", IF('Aqueous Species Options'!B209="H+", 0, (CHOOSE('Aqueous Species Options'!M209+1,'Aqueous Species Options'!$V$4*ABS('Aqueous Species Table'!P209)+'Aqueous Species Options'!$W$4,'Aqueous Species Options'!$Z$4)*('Aqueous Species Options'!G209 + 'Aqueous Species Table'!O209*100000*0.0000005903*41.8393) + CHOOSE('Aqueous Species Options'!M209+1,'Aqueous Species Options'!$X$4*ABS('Aqueous Species Table'!P209)+'Aqueous Species Options'!$Y$4,'Aqueous Species Options'!$AA$4))*10 ) ) ) )</f>
        <v>4.2912999999999997</v>
      </c>
      <c r="J209" s="42">
        <f>IF(ISBLANK('Aqueous Species Options'!B209), "", IF('Aqueous Species Options'!L209 = 0, 'Aqueous Species Options'!O209, IF('Aqueous Species Table'!I209="", "", IF('Aqueous Species Options'!B209="H+", 0, ((1.11*('Aqueous Species Options'!G209 + 'Aqueous Species Table'!O209*100000*0.0000005903*41.8393)+1.8)/41.8393 - 'Aqueous Species Table'!I209/10)*26.01 ) ) ) )</f>
        <v>-0.90410000000000001</v>
      </c>
      <c r="K209" s="42">
        <f>IF(ISBLANK('Aqueous Species Options'!B209), "", IF('Aqueous Species Options'!L209 = 0, 'Aqueous Species Options'!P209, IF('Aqueous Species Table'!I209="", "", IF('Aqueous Species Options'!B209="H+", 0, ('Aqueous Species Options'!G209/41.8393 + 'Aqueous Species Table'!O209*100000*0.0000005903 - 'Aqueous Species Table'!I209/10 - 'Aqueous Species Table'!J209*100/2601)*(298.15-228) - ('Aqueous Species Table'!L209*10000/2601) ) ) ) )</f>
        <v>7.407</v>
      </c>
      <c r="L209" s="42">
        <f>IF(ISBLANK('Aqueous Species Options'!B209), "", IF('Aqueous Species Options'!L209 = 0, 'Aqueous Species Options'!Q209, IF('Aqueous Species Table'!J209="", "", IF('Aqueous Species Options'!B209="H+", 0, (-4.134*'Aqueous Species Table'!J209*100 - 27790)*0.0001) ) ) )</f>
        <v>-2.7416</v>
      </c>
      <c r="M209" s="42">
        <f>IF(ISBLANK('Aqueous Species Options'!B209), "", IF('Aqueous Species Options'!L209=0, 'Aqueous Species Options'!R209, IF('Aqueous Species Table'!N209="", "", IF('Aqueous Species Options'!B209="H+", 0, 'Aqueous Species Options'!H209 - 'Aqueous Species Table'!O209*100000*(-0.000000309)*298.15 - 'Aqueous Species Table'!N209*10000/(298.15-228)^2 ) ) ) )</f>
        <v>5.7923</v>
      </c>
      <c r="N209" s="42">
        <f>IF(ISBLANK('Aqueous Species Options'!B209), "", IF('Aqueous Species Options'!L209=0, 'Aqueous Species Options'!S209, IF(OR(ISBLANK('Aqueous Species Options'!H209), 'Aqueous Species Table'!O209=""), "", IF('Aqueous Species Options'!B209="H+", 0, 0.2037*'Aqueous Species Options'!H209 - 3.0346) ) ) )</f>
        <v>-3.6457000000000002</v>
      </c>
      <c r="O209" s="42">
        <f>IF(ISBLANK('Aqueous Species Options'!B209), "", IF('Aqueous Species Options'!K209=0, 'Aqueous Species Options'!I209, IF(OR('Aqueous Species Options'!J209&gt;4,'Aqueous Species Options'!J209&lt;-4), "", IF('Aqueous Species Options'!B209="H+", 0, IF('Aqueous Species Options'!J209=0, -0.038, IF(ISBLANK('Aqueous Species Options'!F209), "", -1514.4*'Aqueous Species Options'!F209*0.00001 + SUM(({4,3,2,1,-1,-2,-3,-4}='Aqueous Species Options'!J209)*{2.1764,1.5793,1.0579,0.5517,1.6291,3.2127,4.8115,6.486}) ) ) ) ) ) )</f>
        <v>0.1502</v>
      </c>
      <c r="P209" s="1">
        <f>IF(ISBLANK('Aqueous Species Options'!J209), "", 'Aqueous Species Options'!J209)</f>
        <v>1</v>
      </c>
      <c r="Q209" s="184" t="str">
        <f>IF(ISBLANK('Aqueous Species Options'!T209), "", 'Aqueous Species Options'!T209)</f>
        <v>Shock &amp; Helgeson (1988)</v>
      </c>
    </row>
    <row r="210" spans="2:17" ht="15" customHeight="1" x14ac:dyDescent="0.2">
      <c r="B210" s="9" t="str">
        <f>IF(ISBLANK('Aqueous Species Options'!B210), "", 'Aqueous Species Options'!B210)</f>
        <v>ReO4-</v>
      </c>
      <c r="C210" s="9" t="str">
        <f>IF(ISBLANK('Aqueous Species Options'!C210), "", 'Aqueous Species Options'!C210)</f>
        <v>ReO4(-)</v>
      </c>
      <c r="D210" s="2">
        <f>IF(ISBLANK('Aqueous Species Options'!D210), "", 'Aqueous Species Options'!D210)</f>
        <v>-166000</v>
      </c>
      <c r="E210" s="1">
        <f>IF(ISBLANK('Aqueous Species Options'!E210), "", 'Aqueous Species Options'!E210)</f>
        <v>-188200</v>
      </c>
      <c r="F210" s="139">
        <f>IF(ISBLANK('Aqueous Species Options'!F210), "", 'Aqueous Species Options'!F210)</f>
        <v>48.1</v>
      </c>
      <c r="G210" s="29">
        <f>IF(ISBLANK('Aqueous Species Options'!B210), "", IF('Aqueous Species Options'!L210 = 1, IF(ISBLANK('Aqueous Species Options'!G210), "", 'Aqueous Species Options'!G210), ('Aqueous Species Table'!I210/10 + ('Aqueous Species Table'!J210*100)/(Calculations!$C$12+Calculations!$C$9) + ('Aqueous Species Table'!K210 + ('Aqueous Species Table'!L210*10000)/(Calculations!$C$12+Calculations!$C$9))*(1/(Calculations!$C$8-Calculations!$C$13)) - 'Aqueous Species Table'!O210*100000*0.0000005903)*41.8393))</f>
        <v>48.100009435886363</v>
      </c>
      <c r="H210" s="29">
        <f>IF(ISBLANK('Aqueous Species Options'!B210), "", IF('Aqueous Species Options'!L210 = 1, IF(ISBLANK('Aqueous Species Options'!H210), "", 'Aqueous Species Options'!H210), 'Aqueous Species Table'!M210 + 'Aqueous Species Table'!N210*10000*(1/(Calculations!$C$8-Calculations!$C$13))^2 + 'Aqueous Species Table'!O210*100000*Calculations!$C$8*Calculations!$C$7))</f>
        <v>-0.19974762577051308</v>
      </c>
      <c r="I210" s="42">
        <f>IF(ISBLANK('Aqueous Species Options'!B210), "", IF('Aqueous Species Options'!L210=0, 'Aqueous Species Options'!N210, IF(OR(ISBLANK('Aqueous Species Options'!G210),'Aqueous Species Table'!O210="", 'Aqueous Species Table'!P210=""), "", IF('Aqueous Species Options'!B210="H+", 0, (CHOOSE('Aqueous Species Options'!M210+1,'Aqueous Species Options'!$V$4*ABS('Aqueous Species Table'!P210)+'Aqueous Species Options'!$W$4,'Aqueous Species Options'!$Z$4)*('Aqueous Species Options'!G210 + 'Aqueous Species Table'!O210*100000*0.0000005903*41.8393) + CHOOSE('Aqueous Species Options'!M210+1,'Aqueous Species Options'!$X$4*ABS('Aqueous Species Table'!P210)+'Aqueous Species Options'!$Y$4,'Aqueous Species Options'!$AA$4))*10 ) ) ) )</f>
        <v>7.5455963900316769</v>
      </c>
      <c r="J210" s="42">
        <f>IF(ISBLANK('Aqueous Species Options'!B210), "", IF('Aqueous Species Options'!L210 = 0, 'Aqueous Species Options'!O210, IF('Aqueous Species Table'!I210="", "", IF('Aqueous Species Options'!B210="H+", 0, ((1.11*('Aqueous Species Options'!G210 + 'Aqueous Species Table'!O210*100000*0.0000005903*41.8393)+1.8)/41.8393 - 'Aqueous Species Table'!I210/10)*26.01 ) ) ) )</f>
        <v>16.218702441371004</v>
      </c>
      <c r="K210" s="42">
        <f>IF(ISBLANK('Aqueous Species Options'!B210), "", IF('Aqueous Species Options'!L210 = 0, 'Aqueous Species Options'!P210, IF('Aqueous Species Table'!I210="", "", IF('Aqueous Species Options'!B210="H+", 0, ('Aqueous Species Options'!G210/41.8393 + 'Aqueous Species Table'!O210*100000*0.0000005903 - 'Aqueous Species Table'!I210/10 - 'Aqueous Species Table'!J210*100/2601)*(298.15-228) - ('Aqueous Species Table'!L210*10000/2601) ) ) ) )</f>
        <v>0.96284748792056796</v>
      </c>
      <c r="L210" s="42">
        <f>IF(ISBLANK('Aqueous Species Options'!B210), "", IF('Aqueous Species Options'!L210 = 0, 'Aqueous Species Options'!Q210, IF('Aqueous Species Table'!J210="", "", IF('Aqueous Species Options'!B210="H+", 0, (-4.134*'Aqueous Species Table'!J210*100 - 27790)*0.0001) ) ) )</f>
        <v>-3.4494811589262779</v>
      </c>
      <c r="M210" s="42">
        <f>IF(ISBLANK('Aqueous Species Options'!B210), "", IF('Aqueous Species Options'!L210=0, 'Aqueous Species Options'!R210, IF('Aqueous Species Table'!N210="", "", IF('Aqueous Species Options'!B210="H+", 0, 'Aqueous Species Options'!H210 - 'Aqueous Species Table'!O210*100000*(-0.000000309)*298.15 - 'Aqueous Species Table'!N210*10000/(298.15-228)^2 ) ) ) )</f>
        <v>14.344776816544639</v>
      </c>
      <c r="N210" s="42">
        <f>IF(ISBLANK('Aqueous Species Options'!B210), "", IF('Aqueous Species Options'!L210=0, 'Aqueous Species Options'!S210, IF(OR(ISBLANK('Aqueous Species Options'!H210), 'Aqueous Species Table'!O210=""), "", IF('Aqueous Species Options'!B210="H+", 0, 0.2037*'Aqueous Species Options'!H210 - 3.0346) ) ) )</f>
        <v>-3.0752885913694539</v>
      </c>
      <c r="O210" s="42">
        <f>IF(ISBLANK('Aqueous Species Options'!B210), "", IF('Aqueous Species Options'!K210=0, 'Aqueous Species Options'!I210, IF(OR('Aqueous Species Options'!J210&gt;4,'Aqueous Species Options'!J210&lt;-4), "", IF('Aqueous Species Options'!B210="H+", 0, IF('Aqueous Species Options'!J210=0, -0.038, IF(ISBLANK('Aqueous Species Options'!F210), "", -1514.4*'Aqueous Species Options'!F210*0.00001 + SUM(({4,3,2,1,-1,-2,-3,-4}='Aqueous Species Options'!J210)*{2.1764,1.5793,1.0579,0.5517,1.6291,3.2127,4.8115,6.486}) ) ) ) ) ) )</f>
        <v>0.90039999999999998</v>
      </c>
      <c r="P210" s="1">
        <f>IF(ISBLANK('Aqueous Species Options'!J210), "", 'Aqueous Species Options'!J210)</f>
        <v>-1</v>
      </c>
      <c r="Q210" s="184" t="str">
        <f>IF(ISBLANK('Aqueous Species Options'!T210), "", 'Aqueous Species Options'!T210)</f>
        <v>Shock &amp; Helgeson (1988) revised with new predicted a1 for ions</v>
      </c>
    </row>
    <row r="211" spans="2:17" ht="15" customHeight="1" x14ac:dyDescent="0.2">
      <c r="B211" s="9" t="str">
        <f>IF(ISBLANK('Aqueous Species Options'!B211), "", 'Aqueous Species Options'!B211)</f>
        <v>Rn,aq</v>
      </c>
      <c r="C211" s="9" t="str">
        <f>IF(ISBLANK('Aqueous Species Options'!C211), "", 'Aqueous Species Options'!C211)</f>
        <v>Rn(0)</v>
      </c>
      <c r="D211" s="2">
        <f>IF(ISBLANK('Aqueous Species Options'!D211), "", 'Aqueous Species Options'!D211)</f>
        <v>2790</v>
      </c>
      <c r="E211" s="1">
        <f>IF(ISBLANK('Aqueous Species Options'!E211), "", 'Aqueous Species Options'!E211)</f>
        <v>-5000</v>
      </c>
      <c r="F211" s="139">
        <f>IF(ISBLANK('Aqueous Species Options'!F211), "", 'Aqueous Species Options'!F211)</f>
        <v>16</v>
      </c>
      <c r="G211" s="29">
        <f>IF(ISBLANK('Aqueous Species Options'!B211), "", IF('Aqueous Species Options'!L211 = 1, IF(ISBLANK('Aqueous Species Options'!G211), "", 'Aqueous Species Options'!G211), ('Aqueous Species Table'!I211/10 + ('Aqueous Species Table'!J211*100)/(Calculations!$C$12+Calculations!$C$9) + ('Aqueous Species Table'!K211 + ('Aqueous Species Table'!L211*10000)/(Calculations!$C$12+Calculations!$C$9))*(1/(Calculations!$C$8-Calculations!$C$13)) - 'Aqueous Species Table'!O211*100000*0.0000005903)*41.8393))</f>
        <v>54.100091845361042</v>
      </c>
      <c r="H211" s="29">
        <f>IF(ISBLANK('Aqueous Species Options'!B211), "", IF('Aqueous Species Options'!L211 = 1, IF(ISBLANK('Aqueous Species Options'!H211), "", 'Aqueous Species Options'!H211), 'Aqueous Species Table'!M211 + 'Aqueous Species Table'!N211*10000*(1/(Calculations!$C$8-Calculations!$C$13))^2 + 'Aqueous Species Table'!O211*100000*Calculations!$C$8*Calculations!$C$7))</f>
        <v>82.999949481302679</v>
      </c>
      <c r="I211" s="42">
        <f>IF(ISBLANK('Aqueous Species Options'!B211), "", IF('Aqueous Species Options'!L211=0, 'Aqueous Species Options'!N211, IF(OR(ISBLANK('Aqueous Species Options'!G211),'Aqueous Species Table'!O211="", 'Aqueous Species Table'!P211=""), "", IF('Aqueous Species Options'!B211="H+", 0, (CHOOSE('Aqueous Species Options'!M211+1,'Aqueous Species Options'!$V$4*ABS('Aqueous Species Table'!P211)+'Aqueous Species Options'!$W$4,'Aqueous Species Options'!$Z$4)*('Aqueous Species Options'!G211 + 'Aqueous Species Table'!O211*100000*0.0000005903*41.8393) + CHOOSE('Aqueous Species Options'!M211+1,'Aqueous Species Options'!$X$4*ABS('Aqueous Species Table'!P211)+'Aqueous Species Options'!$Y$4,'Aqueous Species Options'!$AA$4))*10 ) ) ) )</f>
        <v>9.0861999999999998</v>
      </c>
      <c r="J211" s="42">
        <f>IF(ISBLANK('Aqueous Species Options'!B211), "", IF('Aqueous Species Options'!L211 = 0, 'Aqueous Species Options'!O211, IF('Aqueous Species Table'!I211="", "", IF('Aqueous Species Options'!B211="H+", 0, ((1.11*('Aqueous Species Options'!G211 + 'Aqueous Species Table'!O211*100000*0.0000005903*41.8393)+1.8)/41.8393 - 'Aqueous Species Table'!I211/10)*26.01 ) ) ) )</f>
        <v>14.404500000000001</v>
      </c>
      <c r="K211" s="42">
        <f>IF(ISBLANK('Aqueous Species Options'!B211), "", IF('Aqueous Species Options'!L211 = 0, 'Aqueous Species Options'!P211, IF('Aqueous Species Table'!I211="", "", IF('Aqueous Species Options'!B211="H+", 0, ('Aqueous Species Options'!G211/41.8393 + 'Aqueous Species Table'!O211*100000*0.0000005903 - 'Aqueous Species Table'!I211/10 - 'Aqueous Species Table'!J211*100/2601)*(298.15-228) - ('Aqueous Species Table'!L211*10000/2601) ) ) ) )</f>
        <v>8.8400000000000006E-2</v>
      </c>
      <c r="L211" s="42">
        <f>IF(ISBLANK('Aqueous Species Options'!B211), "", IF('Aqueous Species Options'!L211 = 0, 'Aqueous Species Options'!Q211, IF('Aqueous Species Table'!J211="", "", IF('Aqueous Species Options'!B211="H+", 0, (-4.134*'Aqueous Species Table'!J211*100 - 27790)*0.0001) ) ) )</f>
        <v>-3.3744999999999998</v>
      </c>
      <c r="M211" s="42">
        <f>IF(ISBLANK('Aqueous Species Options'!B211), "", IF('Aqueous Species Options'!L211=0, 'Aqueous Species Options'!R211, IF('Aqueous Species Table'!N211="", "", IF('Aqueous Species Options'!B211="H+", 0, 'Aqueous Species Options'!H211 - 'Aqueous Species Table'!O211*100000*(-0.000000309)*298.15 - 'Aqueous Species Table'!N211*10000/(298.15-228)^2 ) ) ) )</f>
        <v>52.577399999999997</v>
      </c>
      <c r="N211" s="42">
        <f>IF(ISBLANK('Aqueous Species Options'!B211), "", IF('Aqueous Species Options'!L211=0, 'Aqueous Species Options'!S211, IF(OR(ISBLANK('Aqueous Species Options'!H211), 'Aqueous Species Table'!O211=""), "", IF('Aqueous Species Options'!B211="H+", 0, 0.2037*'Aqueous Species Options'!H211 - 3.0346) ) ) )</f>
        <v>13.8725</v>
      </c>
      <c r="O211" s="42">
        <f>IF(ISBLANK('Aqueous Species Options'!B211), "", IF('Aqueous Species Options'!K211=0, 'Aqueous Species Options'!I211, IF(OR('Aqueous Species Options'!J211&gt;4,'Aqueous Species Options'!J211&lt;-4), "", IF('Aqueous Species Options'!B211="H+", 0, IF('Aqueous Species Options'!J211=0, -0.038, IF(ISBLANK('Aqueous Species Options'!F211), "", -1514.4*'Aqueous Species Options'!F211*0.00001 + SUM(({4,3,2,1,-1,-2,-3,-4}='Aqueous Species Options'!J211)*{2.1764,1.5793,1.0579,0.5517,1.6291,3.2127,4.8115,6.486}) ) ) ) ) ) )</f>
        <v>-0.24229999999999999</v>
      </c>
      <c r="P211" s="1">
        <f>IF(ISBLANK('Aqueous Species Options'!J211), "", 'Aqueous Species Options'!J211)</f>
        <v>0</v>
      </c>
      <c r="Q211" s="184" t="str">
        <f>IF(ISBLANK('Aqueous Species Options'!T211), "", 'Aqueous Species Options'!T211)</f>
        <v>Shock et al. (1989)</v>
      </c>
    </row>
    <row r="212" spans="2:17" ht="32" x14ac:dyDescent="0.2">
      <c r="B212" s="9" t="str">
        <f>IF(ISBLANK('Aqueous Species Options'!B212), "", 'Aqueous Species Options'!B212)</f>
        <v>S2-2</v>
      </c>
      <c r="C212" s="9" t="str">
        <f>IF(ISBLANK('Aqueous Species Options'!C212), "", 'Aqueous Species Options'!C212)</f>
        <v>S2(-2)</v>
      </c>
      <c r="D212" s="2">
        <f>IF(ISBLANK('Aqueous Species Options'!D212), "", 'Aqueous Species Options'!D212)</f>
        <v>19000</v>
      </c>
      <c r="E212" s="1">
        <f>IF(ISBLANK('Aqueous Species Options'!E212), "", 'Aqueous Species Options'!E212)</f>
        <v>7200</v>
      </c>
      <c r="F212" s="139">
        <f>IF(ISBLANK('Aqueous Species Options'!F212), "", 'Aqueous Species Options'!F212)</f>
        <v>6.8</v>
      </c>
      <c r="G212" s="29">
        <f>IF(ISBLANK('Aqueous Species Options'!B212), "", IF('Aqueous Species Options'!L212 = 1, IF(ISBLANK('Aqueous Species Options'!G212), "", 'Aqueous Species Options'!G212), ('Aqueous Species Table'!I212/10 + ('Aqueous Species Table'!J212*100)/(Calculations!$C$12+Calculations!$C$9) + ('Aqueous Species Table'!K212 + ('Aqueous Species Table'!L212*10000)/(Calculations!$C$12+Calculations!$C$9))*(1/(Calculations!$C$8-Calculations!$C$13)) - 'Aqueous Species Table'!O212*100000*0.0000005903)*41.8393))</f>
        <v>20.200210252653573</v>
      </c>
      <c r="H212" s="29">
        <f>IF(ISBLANK('Aqueous Species Options'!B212), "", IF('Aqueous Species Options'!L212 = 1, IF(ISBLANK('Aqueous Species Options'!H212), "", 'Aqueous Species Options'!H212), 'Aqueous Species Table'!M212 + 'Aqueous Species Table'!N212*10000*(1/(Calculations!$C$8-Calculations!$C$13))^2 + 'Aqueous Species Table'!O212*100000*Calculations!$C$8*Calculations!$C$7))</f>
        <v>-65.099908055049283</v>
      </c>
      <c r="I212" s="42">
        <f>IF(ISBLANK('Aqueous Species Options'!B212), "", IF('Aqueous Species Options'!L212=0, 'Aqueous Species Options'!N212, IF(OR(ISBLANK('Aqueous Species Options'!G212),'Aqueous Species Table'!O212="", 'Aqueous Species Table'!P212=""), "", IF('Aqueous Species Options'!B212="H+", 0, (CHOOSE('Aqueous Species Options'!M212+1,'Aqueous Species Options'!$V$4*ABS('Aqueous Species Table'!P212)+'Aqueous Species Options'!$W$4,'Aqueous Species Options'!$Z$4)*('Aqueous Species Options'!G212 + 'Aqueous Species Table'!O212*100000*0.0000005903*41.8393) + CHOOSE('Aqueous Species Options'!M212+1,'Aqueous Species Options'!$X$4*ABS('Aqueous Species Table'!P212)+'Aqueous Species Options'!$Y$4,'Aqueous Species Options'!$AA$4))*10 ) ) ) )</f>
        <v>10.197492708619151</v>
      </c>
      <c r="J212" s="42">
        <f>IF(ISBLANK('Aqueous Species Options'!B212), "", IF('Aqueous Species Options'!L212 = 0, 'Aqueous Species Options'!O212, IF('Aqueous Species Table'!I212="", "", IF('Aqueous Species Options'!B212="H+", 0, ((1.11*('Aqueous Species Options'!G212 + 'Aqueous Species Table'!O212*100000*0.0000005903*41.8393)+1.8)/41.8393 - 'Aqueous Species Table'!I212/10)*26.01 ) ) ) )</f>
        <v>-6.1682257135159384</v>
      </c>
      <c r="K212" s="42">
        <f>IF(ISBLANK('Aqueous Species Options'!B212), "", IF('Aqueous Species Options'!L212 = 0, 'Aqueous Species Options'!P212, IF('Aqueous Species Table'!I212="", "", IF('Aqueous Species Options'!B212="H+", 0, ('Aqueous Species Options'!G212/41.8393 + 'Aqueous Species Table'!O212*100000*0.0000005903 - 'Aqueous Species Table'!I212/10 - 'Aqueous Species Table'!J212*100/2601)*(298.15-228) - ('Aqueous Species Table'!L212*10000/2601) ) ) ) )</f>
        <v>1.5445968635106269</v>
      </c>
      <c r="L212" s="42">
        <f>IF(ISBLANK('Aqueous Species Options'!B212), "", IF('Aqueous Species Options'!L212 = 0, 'Aqueous Species Options'!Q212, IF('Aqueous Species Table'!J212="", "", IF('Aqueous Species Options'!B212="H+", 0, (-4.134*'Aqueous Species Table'!J212*100 - 27790)*0.0001) ) ) )</f>
        <v>-2.5240055490032511</v>
      </c>
      <c r="M212" s="42">
        <f>IF(ISBLANK('Aqueous Species Options'!B212), "", IF('Aqueous Species Options'!L212=0, 'Aqueous Species Options'!R212, IF('Aqueous Species Table'!N212="", "", IF('Aqueous Species Options'!B212="H+", 0, 'Aqueous Species Options'!H212 - 'Aqueous Species Table'!O212*100000*(-0.000000309)*298.15 - 'Aqueous Species Table'!N212*10000/(298.15-228)^2 ) ) ) )</f>
        <v>-3.3496990224825325</v>
      </c>
      <c r="N212" s="42">
        <f>IF(ISBLANK('Aqueous Species Options'!B212), "", IF('Aqueous Species Options'!L212=0, 'Aqueous Species Options'!S212, IF(OR(ISBLANK('Aqueous Species Options'!H212), 'Aqueous Species Table'!O212=""), "", IF('Aqueous Species Options'!B212="H+", 0, 0.2037*'Aqueous Species Options'!H212 - 3.0346) ) ) )</f>
        <v>-16.29545127081354</v>
      </c>
      <c r="O212" s="42">
        <f>IF(ISBLANK('Aqueous Species Options'!B212), "", IF('Aqueous Species Options'!K212=0, 'Aqueous Species Options'!I212, IF(OR('Aqueous Species Options'!J212&gt;4,'Aqueous Species Options'!J212&lt;-4), "", IF('Aqueous Species Options'!B212="H+", 0, IF('Aqueous Species Options'!J212=0, -0.038, IF(ISBLANK('Aqueous Species Options'!F212), "", -1514.4*'Aqueous Species Options'!F212*0.00001 + SUM(({4,3,2,1,-1,-2,-3,-4}='Aqueous Species Options'!J212)*{2.1764,1.5793,1.0579,0.5517,1.6291,3.2127,4.8115,6.486}) ) ) ) ) ) )</f>
        <v>3.1082999999999998</v>
      </c>
      <c r="P212" s="1">
        <f>IF(ISBLANK('Aqueous Species Options'!J212), "", 'Aqueous Species Options'!J212)</f>
        <v>-2</v>
      </c>
      <c r="Q212" s="184" t="str">
        <f>IF(ISBLANK('Aqueous Species Options'!T212), "", 'Aqueous Species Options'!T212)</f>
        <v>Shock &amp; Helgeson (1988) revised with new predicted a1 for ions</v>
      </c>
    </row>
    <row r="213" spans="2:17" ht="32" x14ac:dyDescent="0.2">
      <c r="B213" s="9" t="str">
        <f>IF(ISBLANK('Aqueous Species Options'!B213), "", 'Aqueous Species Options'!B213)</f>
        <v>S2O3-2</v>
      </c>
      <c r="C213" s="9" t="str">
        <f>IF(ISBLANK('Aqueous Species Options'!C213), "", 'Aqueous Species Options'!C213)</f>
        <v>S2O3(-2)</v>
      </c>
      <c r="D213" s="2">
        <f>IF(ISBLANK('Aqueous Species Options'!D213), "", 'Aqueous Species Options'!D213)</f>
        <v>-124900</v>
      </c>
      <c r="E213" s="1">
        <f>IF(ISBLANK('Aqueous Species Options'!E213), "", 'Aqueous Species Options'!E213)</f>
        <v>-155000</v>
      </c>
      <c r="F213" s="139">
        <f>IF(ISBLANK('Aqueous Species Options'!F213), "", 'Aqueous Species Options'!F213)</f>
        <v>16</v>
      </c>
      <c r="G213" s="29">
        <f>IF(ISBLANK('Aqueous Species Options'!B213), "", IF('Aqueous Species Options'!L213 = 1, IF(ISBLANK('Aqueous Species Options'!G213), "", 'Aqueous Species Options'!G213), ('Aqueous Species Table'!I213/10 + ('Aqueous Species Table'!J213*100)/(Calculations!$C$12+Calculations!$C$9) + ('Aqueous Species Table'!K213 + ('Aqueous Species Table'!L213*10000)/(Calculations!$C$12+Calculations!$C$9))*(1/(Calculations!$C$8-Calculations!$C$13)) - 'Aqueous Species Table'!O213*100000*0.0000005903)*41.8393))</f>
        <v>28.500185532561733</v>
      </c>
      <c r="H213" s="29">
        <f>IF(ISBLANK('Aqueous Species Options'!B213), "", IF('Aqueous Species Options'!L213 = 1, IF(ISBLANK('Aqueous Species Options'!H213), "", 'Aqueous Species Options'!H213), 'Aqueous Species Table'!M213 + 'Aqueous Species Table'!N213*10000*(1/(Calculations!$C$8-Calculations!$C$13))^2 + 'Aqueous Species Table'!O213*100000*Calculations!$C$8*Calculations!$C$7))</f>
        <v>-57.299544754957878</v>
      </c>
      <c r="I213" s="42">
        <f>IF(ISBLANK('Aqueous Species Options'!B213), "", IF('Aqueous Species Options'!L213=0, 'Aqueous Species Options'!N213, IF(OR(ISBLANK('Aqueous Species Options'!G213),'Aqueous Species Table'!O213="", 'Aqueous Species Table'!P213=""), "", IF('Aqueous Species Options'!B213="H+", 0, (CHOOSE('Aqueous Species Options'!M213+1,'Aqueous Species Options'!$V$4*ABS('Aqueous Species Table'!P213)+'Aqueous Species Options'!$W$4,'Aqueous Species Options'!$Z$4)*('Aqueous Species Options'!G213 + 'Aqueous Species Table'!O213*100000*0.0000005903*41.8393) + CHOOSE('Aqueous Species Options'!M213+1,'Aqueous Species Options'!$X$4*ABS('Aqueous Species Table'!P213)+'Aqueous Species Options'!$Y$4,'Aqueous Species Options'!$AA$4))*10 ) ) ) )</f>
        <v>12.099993162447461</v>
      </c>
      <c r="J213" s="42">
        <f>IF(ISBLANK('Aqueous Species Options'!B213), "", IF('Aqueous Species Options'!L213 = 0, 'Aqueous Species Options'!O213, IF('Aqueous Species Table'!I213="", "", IF('Aqueous Species Options'!B213="H+", 0, ((1.11*('Aqueous Species Options'!G213 + 'Aqueous Species Table'!O213*100000*0.0000005903*41.8393)+1.8)/41.8393 - 'Aqueous Species Table'!I213/10)*26.01 ) ) ) )</f>
        <v>-5.6259749257095528</v>
      </c>
      <c r="K213" s="42">
        <f>IF(ISBLANK('Aqueous Species Options'!B213), "", IF('Aqueous Species Options'!L213 = 0, 'Aqueous Species Options'!P213, IF('Aqueous Species Table'!I213="", "", IF('Aqueous Species Options'!B213="H+", 0, ('Aqueous Species Options'!G213/41.8393 + 'Aqueous Species Table'!O213*100000*0.0000005903 - 'Aqueous Species Table'!I213/10 - 'Aqueous Species Table'!J213*100/2601)*(298.15-228) - ('Aqueous Species Table'!L213*10000/2601) ) ) ) )</f>
        <v>0.16327133992707843</v>
      </c>
      <c r="L213" s="42">
        <f>IF(ISBLANK('Aqueous Species Options'!B213), "", IF('Aqueous Species Options'!L213 = 0, 'Aqueous Species Options'!Q213, IF('Aqueous Species Table'!J213="", "", IF('Aqueous Species Options'!B213="H+", 0, (-4.134*'Aqueous Species Table'!J213*100 - 27790)*0.0001) ) ) )</f>
        <v>-2.5464221965711671</v>
      </c>
      <c r="M213" s="42">
        <f>IF(ISBLANK('Aqueous Species Options'!B213), "", IF('Aqueous Species Options'!L213=0, 'Aqueous Species Options'!R213, IF('Aqueous Species Table'!N213="", "", IF('Aqueous Species Options'!B213="H+", 0, 'Aqueous Species Options'!H213 - 'Aqueous Species Table'!O213*100000*(-0.000000309)*298.15 - 'Aqueous Species Table'!N213*10000/(298.15-228)^2 ) ) ) )</f>
        <v>-5.7868122407647604E-2</v>
      </c>
      <c r="N213" s="42">
        <f>IF(ISBLANK('Aqueous Species Options'!B213), "", IF('Aqueous Species Options'!L213=0, 'Aqueous Species Options'!S213, IF(OR(ISBLANK('Aqueous Species Options'!H213), 'Aqueous Species Table'!O213=""), "", IF('Aqueous Species Options'!B213="H+", 0, 0.2037*'Aqueous Species Options'!H213 - 3.0346) ) ) )</f>
        <v>-14.706517266584921</v>
      </c>
      <c r="O213" s="42">
        <f>IF(ISBLANK('Aqueous Species Options'!B213), "", IF('Aqueous Species Options'!K213=0, 'Aqueous Species Options'!I213, IF(OR('Aqueous Species Options'!J213&gt;4,'Aqueous Species Options'!J213&lt;-4), "", IF('Aqueous Species Options'!B213="H+", 0, IF('Aqueous Species Options'!J213=0, -0.038, IF(ISBLANK('Aqueous Species Options'!F213), "", -1514.4*'Aqueous Species Options'!F213*0.00001 + SUM(({4,3,2,1,-1,-2,-3,-4}='Aqueous Species Options'!J213)*{2.1764,1.5793,1.0579,0.5517,1.6291,3.2127,4.8115,6.486}) ) ) ) ) ) )</f>
        <v>2.9693999999999998</v>
      </c>
      <c r="P213" s="1">
        <f>IF(ISBLANK('Aqueous Species Options'!J213), "", 'Aqueous Species Options'!J213)</f>
        <v>-2</v>
      </c>
      <c r="Q213" s="184" t="str">
        <f>IF(ISBLANK('Aqueous Species Options'!T213), "", 'Aqueous Species Options'!T213)</f>
        <v>Shock &amp; Helgeson (1988) revised with new predicted a1 for ions</v>
      </c>
    </row>
    <row r="214" spans="2:17" ht="32" x14ac:dyDescent="0.2">
      <c r="B214" s="9" t="str">
        <f>IF(ISBLANK('Aqueous Species Options'!B214), "", 'Aqueous Species Options'!B214)</f>
        <v>S2O4-2</v>
      </c>
      <c r="C214" s="9" t="str">
        <f>IF(ISBLANK('Aqueous Species Options'!C214), "", 'Aqueous Species Options'!C214)</f>
        <v>S2O4(-2)</v>
      </c>
      <c r="D214" s="2">
        <f>IF(ISBLANK('Aqueous Species Options'!D214), "", 'Aqueous Species Options'!D214)</f>
        <v>-143500</v>
      </c>
      <c r="E214" s="1">
        <f>IF(ISBLANK('Aqueous Species Options'!E214), "", 'Aqueous Species Options'!E214)</f>
        <v>-180100</v>
      </c>
      <c r="F214" s="139">
        <f>IF(ISBLANK('Aqueous Species Options'!F214), "", 'Aqueous Species Options'!F214)</f>
        <v>22</v>
      </c>
      <c r="G214" s="29">
        <f>IF(ISBLANK('Aqueous Species Options'!B214), "", IF('Aqueous Species Options'!L214 = 1, IF(ISBLANK('Aqueous Species Options'!G214), "", 'Aqueous Species Options'!G214), ('Aqueous Species Table'!I214/10 + ('Aqueous Species Table'!J214*100)/(Calculations!$C$12+Calculations!$C$9) + ('Aqueous Species Table'!K214 + ('Aqueous Species Table'!L214*10000)/(Calculations!$C$12+Calculations!$C$9))*(1/(Calculations!$C$8-Calculations!$C$13)) - 'Aqueous Species Table'!O214*100000*0.0000005903)*41.8393))</f>
        <v>35.399847803481798</v>
      </c>
      <c r="H214" s="29">
        <f>IF(ISBLANK('Aqueous Species Options'!B214), "", IF('Aqueous Species Options'!L214 = 1, IF(ISBLANK('Aqueous Species Options'!H214), "", 'Aqueous Species Options'!H214), 'Aqueous Species Table'!M214 + 'Aqueous Species Table'!N214*10000*(1/(Calculations!$C$8-Calculations!$C$13))^2 + 'Aqueous Species Table'!O214*100000*Calculations!$C$8*Calculations!$C$7))</f>
        <v>-52.900351926952467</v>
      </c>
      <c r="I214" s="42">
        <f>IF(ISBLANK('Aqueous Species Options'!B214), "", IF('Aqueous Species Options'!L214=0, 'Aqueous Species Options'!N214, IF(OR(ISBLANK('Aqueous Species Options'!G214),'Aqueous Species Table'!O214="", 'Aqueous Species Table'!P214=""), "", IF('Aqueous Species Options'!B214="H+", 0, (CHOOSE('Aqueous Species Options'!M214+1,'Aqueous Species Options'!$V$4*ABS('Aqueous Species Table'!P214)+'Aqueous Species Options'!$W$4,'Aqueous Species Options'!$Z$4)*('Aqueous Species Options'!G214 + 'Aqueous Species Table'!O214*100000*0.0000005903*41.8393) + CHOOSE('Aqueous Species Options'!M214+1,'Aqueous Species Options'!$X$4*ABS('Aqueous Species Table'!P214)+'Aqueous Species Options'!$Y$4,'Aqueous Species Options'!$AA$4))*10 ) ) ) )</f>
        <v>13.695256196866419</v>
      </c>
      <c r="J214" s="42">
        <f>IF(ISBLANK('Aqueous Species Options'!B214), "", IF('Aqueous Species Options'!L214 = 0, 'Aqueous Species Options'!O214, IF('Aqueous Species Table'!I214="", "", IF('Aqueous Species Options'!B214="H+", 0, ((1.11*('Aqueous Species Options'!G214 + 'Aqueous Species Table'!O214*100000*0.0000005903*41.8393)+1.8)/41.8393 - 'Aqueous Species Table'!I214/10)*26.01 ) ) ) )</f>
        <v>-5.1712929646979715</v>
      </c>
      <c r="K214" s="42">
        <f>IF(ISBLANK('Aqueous Species Options'!B214), "", IF('Aqueous Species Options'!L214 = 0, 'Aqueous Species Options'!P214, IF('Aqueous Species Table'!I214="", "", IF('Aqueous Species Options'!B214="H+", 0, ('Aqueous Species Options'!G214/41.8393 + 'Aqueous Species Table'!O214*100000*0.0000005903 - 'Aqueous Species Table'!I214/10 - 'Aqueous Species Table'!J214*100/2601)*(298.15-228) - ('Aqueous Species Table'!L214*10000/2601) ) ) ) )</f>
        <v>-0.99498202176758888</v>
      </c>
      <c r="L214" s="42">
        <f>IF(ISBLANK('Aqueous Species Options'!B214), "", IF('Aqueous Species Options'!L214 = 0, 'Aqueous Species Options'!Q214, IF('Aqueous Species Table'!J214="", "", IF('Aqueous Species Options'!B214="H+", 0, (-4.134*'Aqueous Species Table'!J214*100 - 27790)*0.0001) ) ) )</f>
        <v>-2.5652187488393858</v>
      </c>
      <c r="M214" s="42">
        <f>IF(ISBLANK('Aqueous Species Options'!B214), "", IF('Aqueous Species Options'!L214=0, 'Aqueous Species Options'!R214, IF('Aqueous Species Table'!N214="", "", IF('Aqueous Species Options'!B214="H+", 0, 'Aqueous Species Options'!H214 - 'Aqueous Species Table'!O214*100000*(-0.000000309)*298.15 - 'Aqueous Species Table'!N214*10000/(298.15-228)^2 ) ) ) )</f>
        <v>1.6709066390068763</v>
      </c>
      <c r="N214" s="42">
        <f>IF(ISBLANK('Aqueous Species Options'!B214), "", IF('Aqueous Species Options'!L214=0, 'Aqueous Species Options'!S214, IF(OR(ISBLANK('Aqueous Species Options'!H214), 'Aqueous Species Table'!O214=""), "", IF('Aqueous Species Options'!B214="H+", 0, 0.2037*'Aqueous Species Options'!H214 - 3.0346) ) ) )</f>
        <v>-13.810401687520219</v>
      </c>
      <c r="O214" s="42">
        <f>IF(ISBLANK('Aqueous Species Options'!B214), "", IF('Aqueous Species Options'!K214=0, 'Aqueous Species Options'!I214, IF(OR('Aqueous Species Options'!J214&gt;4,'Aqueous Species Options'!J214&lt;-4), "", IF('Aqueous Species Options'!B214="H+", 0, IF('Aqueous Species Options'!J214=0, -0.038, IF(ISBLANK('Aqueous Species Options'!F214), "", -1514.4*'Aqueous Species Options'!F214*0.00001 + SUM(({4,3,2,1,-1,-2,-3,-4}='Aqueous Species Options'!J214)*{2.1764,1.5793,1.0579,0.5517,1.6291,3.2127,4.8115,6.486}) ) ) ) ) ) )</f>
        <v>2.8772000000000002</v>
      </c>
      <c r="P214" s="1">
        <f>IF(ISBLANK('Aqueous Species Options'!J214), "", 'Aqueous Species Options'!J214)</f>
        <v>-2</v>
      </c>
      <c r="Q214" s="184" t="str">
        <f>IF(ISBLANK('Aqueous Species Options'!T214), "", 'Aqueous Species Options'!T214)</f>
        <v>Shock &amp; Helgeson (1988) revised with new predicted a1 for ions</v>
      </c>
    </row>
    <row r="215" spans="2:17" ht="32" x14ac:dyDescent="0.2">
      <c r="B215" s="9" t="str">
        <f>IF(ISBLANK('Aqueous Species Options'!B215), "", 'Aqueous Species Options'!B215)</f>
        <v>S2O5-2</v>
      </c>
      <c r="C215" s="9" t="str">
        <f>IF(ISBLANK('Aqueous Species Options'!C215), "", 'Aqueous Species Options'!C215)</f>
        <v>S2O5(-2)</v>
      </c>
      <c r="D215" s="2">
        <f>IF(ISBLANK('Aqueous Species Options'!D215), "", 'Aqueous Species Options'!D215)</f>
        <v>-189000</v>
      </c>
      <c r="E215" s="1">
        <f>IF(ISBLANK('Aqueous Species Options'!E215), "", 'Aqueous Species Options'!E215)</f>
        <v>-232000</v>
      </c>
      <c r="F215" s="139">
        <f>IF(ISBLANK('Aqueous Species Options'!F215), "", 'Aqueous Species Options'!F215)</f>
        <v>25</v>
      </c>
      <c r="G215" s="29">
        <f>IF(ISBLANK('Aqueous Species Options'!B215), "", IF('Aqueous Species Options'!L215 = 1, IF(ISBLANK('Aqueous Species Options'!G215), "", 'Aqueous Species Options'!G215), ('Aqueous Species Table'!I215/10 + ('Aqueous Species Table'!J215*100)/(Calculations!$C$12+Calculations!$C$9) + ('Aqueous Species Table'!K215 + ('Aqueous Species Table'!L215*10000)/(Calculations!$C$12+Calculations!$C$9))*(1/(Calculations!$C$8-Calculations!$C$13)) - 'Aqueous Species Table'!O215*100000*0.0000005903)*41.8393))</f>
        <v>38.399774661428161</v>
      </c>
      <c r="H215" s="29">
        <f>IF(ISBLANK('Aqueous Species Options'!B215), "", IF('Aqueous Species Options'!L215 = 1, IF(ISBLANK('Aqueous Species Options'!H215), "", 'Aqueous Species Options'!H215), 'Aqueous Species Table'!M215 + 'Aqueous Species Table'!N215*10000*(1/(Calculations!$C$8-Calculations!$C$13))^2 + 'Aqueous Species Table'!O215*100000*Calculations!$C$8*Calculations!$C$7))</f>
        <v>-50.500131801086255</v>
      </c>
      <c r="I215" s="42">
        <f>IF(ISBLANK('Aqueous Species Options'!B215), "", IF('Aqueous Species Options'!L215=0, 'Aqueous Species Options'!N215, IF(OR(ISBLANK('Aqueous Species Options'!G215),'Aqueous Species Table'!O215="", 'Aqueous Species Table'!P215=""), "", IF('Aqueous Species Options'!B215="H+", 0, (CHOOSE('Aqueous Species Options'!M215+1,'Aqueous Species Options'!$V$4*ABS('Aqueous Species Table'!P215)+'Aqueous Species Options'!$W$4,'Aqueous Species Options'!$Z$4)*('Aqueous Species Options'!G215 + 'Aqueous Species Table'!O215*100000*0.0000005903*41.8393) + CHOOSE('Aqueous Species Options'!M215+1,'Aqueous Species Options'!$X$4*ABS('Aqueous Species Table'!P215)+'Aqueous Species Options'!$Y$4,'Aqueous Species Options'!$AA$4))*10 ) ) ) )</f>
        <v>14.387205274712677</v>
      </c>
      <c r="J215" s="42">
        <f>IF(ISBLANK('Aqueous Species Options'!B215), "", IF('Aqueous Species Options'!L215 = 0, 'Aqueous Species Options'!O215, IF('Aqueous Species Table'!I215="", "", IF('Aqueous Species Options'!B215="H+", 0, ((1.11*('Aqueous Species Options'!G215 + 'Aqueous Species Table'!O215*100000*0.0000005903*41.8393)+1.8)/41.8393 - 'Aqueous Species Table'!I215/10)*26.01 ) ) ) )</f>
        <v>-4.9740735990841403</v>
      </c>
      <c r="K215" s="42">
        <f>IF(ISBLANK('Aqueous Species Options'!B215), "", IF('Aqueous Species Options'!L215 = 0, 'Aqueous Species Options'!P215, IF('Aqueous Species Table'!I215="", "", IF('Aqueous Species Options'!B215="H+", 0, ('Aqueous Species Options'!G215/41.8393 + 'Aqueous Species Table'!O215*100000*0.0000005903 - 'Aqueous Species Table'!I215/10 - 'Aqueous Species Table'!J215*100/2601)*(298.15-228) - ('Aqueous Species Table'!L215*10000/2601) ) ) ) )</f>
        <v>-1.4973771304393537</v>
      </c>
      <c r="L215" s="42">
        <f>IF(ISBLANK('Aqueous Species Options'!B215), "", IF('Aqueous Species Options'!L215 = 0, 'Aqueous Species Options'!Q215, IF('Aqueous Species Table'!J215="", "", IF('Aqueous Species Options'!B215="H+", 0, (-4.134*'Aqueous Species Table'!J215*100 - 27790)*0.0001) ) ) )</f>
        <v>-2.5733717974138619</v>
      </c>
      <c r="M215" s="42">
        <f>IF(ISBLANK('Aqueous Species Options'!B215), "", IF('Aqueous Species Options'!L215=0, 'Aqueous Species Options'!R215, IF('Aqueous Species Table'!N215="", "", IF('Aqueous Species Options'!B215="H+", 0, 'Aqueous Species Options'!H215 - 'Aqueous Species Table'!O215*100000*(-0.000000309)*298.15 - 'Aqueous Species Table'!N215*10000/(298.15-228)^2 ) ) ) )</f>
        <v>2.6823529526257417</v>
      </c>
      <c r="N215" s="42">
        <f>IF(ISBLANK('Aqueous Species Options'!B215), "", IF('Aqueous Species Options'!L215=0, 'Aqueous Species Options'!S215, IF(OR(ISBLANK('Aqueous Species Options'!H215), 'Aqueous Species Table'!O215=""), "", IF('Aqueous Species Options'!B215="H+", 0, 0.2037*'Aqueous Species Options'!H215 - 3.0346) ) ) )</f>
        <v>-13.321476847881272</v>
      </c>
      <c r="O215" s="42">
        <f>IF(ISBLANK('Aqueous Species Options'!B215), "", IF('Aqueous Species Options'!K215=0, 'Aqueous Species Options'!I215, IF(OR('Aqueous Species Options'!J215&gt;4,'Aqueous Species Options'!J215&lt;-4), "", IF('Aqueous Species Options'!B215="H+", 0, IF('Aqueous Species Options'!J215=0, -0.038, IF(ISBLANK('Aqueous Species Options'!F215), "", -1514.4*'Aqueous Species Options'!F215*0.00001 + SUM(({4,3,2,1,-1,-2,-3,-4}='Aqueous Species Options'!J215)*{2.1764,1.5793,1.0579,0.5517,1.6291,3.2127,4.8115,6.486}) ) ) ) ) ) )</f>
        <v>2.8342999999999998</v>
      </c>
      <c r="P215" s="1">
        <f>IF(ISBLANK('Aqueous Species Options'!J215), "", 'Aqueous Species Options'!J215)</f>
        <v>-2</v>
      </c>
      <c r="Q215" s="184" t="str">
        <f>IF(ISBLANK('Aqueous Species Options'!T215), "", 'Aqueous Species Options'!T215)</f>
        <v>Shock &amp; Helgeson (1988) revised with new predicted a1 for ions</v>
      </c>
    </row>
    <row r="216" spans="2:17" ht="32" x14ac:dyDescent="0.2">
      <c r="B216" s="9" t="str">
        <f>IF(ISBLANK('Aqueous Species Options'!B216), "", 'Aqueous Species Options'!B216)</f>
        <v>S2O6-2</v>
      </c>
      <c r="C216" s="9" t="str">
        <f>IF(ISBLANK('Aqueous Species Options'!C216), "", 'Aqueous Species Options'!C216)</f>
        <v>S2O6(-2)</v>
      </c>
      <c r="D216" s="2">
        <f>IF(ISBLANK('Aqueous Species Options'!D216), "", 'Aqueous Species Options'!D216)</f>
        <v>-231000</v>
      </c>
      <c r="E216" s="1">
        <f>IF(ISBLANK('Aqueous Species Options'!E216), "", 'Aqueous Species Options'!E216)</f>
        <v>-280400</v>
      </c>
      <c r="F216" s="139">
        <f>IF(ISBLANK('Aqueous Species Options'!F216), "", 'Aqueous Species Options'!F216)</f>
        <v>30</v>
      </c>
      <c r="G216" s="29">
        <f>IF(ISBLANK('Aqueous Species Options'!B216), "", IF('Aqueous Species Options'!L216 = 1, IF(ISBLANK('Aqueous Species Options'!G216), "", 'Aqueous Species Options'!G216), ('Aqueous Species Table'!I216/10 + ('Aqueous Species Table'!J216*100)/(Calculations!$C$12+Calculations!$C$9) + ('Aqueous Species Table'!K216 + ('Aqueous Species Table'!L216*10000)/(Calculations!$C$12+Calculations!$C$9))*(1/(Calculations!$C$8-Calculations!$C$13)) - 'Aqueous Species Table'!O216*100000*0.0000005903)*41.8393))</f>
        <v>43.299857952621963</v>
      </c>
      <c r="H216" s="29">
        <f>IF(ISBLANK('Aqueous Species Options'!B216), "", IF('Aqueous Species Options'!L216 = 1, IF(ISBLANK('Aqueous Species Options'!H216), "", 'Aqueous Species Options'!H216), 'Aqueous Species Table'!M216 + 'Aqueous Species Table'!N216*10000*(1/(Calculations!$C$8-Calculations!$C$13))^2 + 'Aqueous Species Table'!O216*100000*Calculations!$C$8*Calculations!$C$7))</f>
        <v>-46.499984811608293</v>
      </c>
      <c r="I216" s="42">
        <f>IF(ISBLANK('Aqueous Species Options'!B216), "", IF('Aqueous Species Options'!L216=0, 'Aqueous Species Options'!N216, IF(OR(ISBLANK('Aqueous Species Options'!G216),'Aqueous Species Table'!O216="", 'Aqueous Species Table'!P216=""), "", IF('Aqueous Species Options'!B216="H+", 0, (CHOOSE('Aqueous Species Options'!M216+1,'Aqueous Species Options'!$V$4*ABS('Aqueous Species Table'!P216)+'Aqueous Species Options'!$W$4,'Aqueous Species Options'!$Z$4)*('Aqueous Species Options'!G216 + 'Aqueous Species Table'!O216*100000*0.0000005903*41.8393) + CHOOSE('Aqueous Species Options'!M216+1,'Aqueous Species Options'!$X$4*ABS('Aqueous Species Table'!P216)+'Aqueous Species Options'!$Y$4,'Aqueous Species Options'!$AA$4))*10 ) ) ) )</f>
        <v>15.514171655791266</v>
      </c>
      <c r="J216" s="42">
        <f>IF(ISBLANK('Aqueous Species Options'!B216), "", IF('Aqueous Species Options'!L216 = 0, 'Aqueous Species Options'!O216, IF('Aqueous Species Table'!I216="", "", IF('Aqueous Species Options'!B216="H+", 0, ((1.11*('Aqueous Species Options'!G216 + 'Aqueous Species Table'!O216*100000*0.0000005903*41.8393)+1.8)/41.8393 - 'Aqueous Species Table'!I216/10)*26.01 ) ) ) )</f>
        <v>-4.6528655769039151</v>
      </c>
      <c r="K216" s="42">
        <f>IF(ISBLANK('Aqueous Species Options'!B216), "", IF('Aqueous Species Options'!L216 = 0, 'Aqueous Species Options'!P216, IF('Aqueous Species Table'!I216="", "", IF('Aqueous Species Options'!B216="H+", 0, ('Aqueous Species Options'!G216/41.8393 + 'Aqueous Species Table'!O216*100000*0.0000005903 - 'Aqueous Species Table'!I216/10 - 'Aqueous Species Table'!J216*100/2601)*(298.15-228) - ('Aqueous Species Table'!L216*10000/2601) ) ) ) )</f>
        <v>-2.3156199977521688</v>
      </c>
      <c r="L216" s="42">
        <f>IF(ISBLANK('Aqueous Species Options'!B216), "", IF('Aqueous Species Options'!L216 = 0, 'Aqueous Species Options'!Q216, IF('Aqueous Species Table'!J216="", "", IF('Aqueous Species Options'!B216="H+", 0, (-4.134*'Aqueous Species Table'!J216*100 - 27790)*0.0001) ) ) )</f>
        <v>-2.5866505370507924</v>
      </c>
      <c r="M216" s="42">
        <f>IF(ISBLANK('Aqueous Species Options'!B216), "", IF('Aqueous Species Options'!L216=0, 'Aqueous Species Options'!R216, IF('Aqueous Species Table'!N216="", "", IF('Aqueous Species Options'!B216="H+", 0, 'Aqueous Species Options'!H216 - 'Aqueous Species Table'!O216*100000*(-0.000000309)*298.15 - 'Aqueous Species Table'!N216*10000/(298.15-228)^2 ) ) ) )</f>
        <v>4.3301953178421897</v>
      </c>
      <c r="N216" s="42">
        <f>IF(ISBLANK('Aqueous Species Options'!B216), "", IF('Aqueous Species Options'!L216=0, 'Aqueous Species Options'!S216, IF(OR(ISBLANK('Aqueous Species Options'!H216), 'Aqueous Species Table'!O216=""), "", IF('Aqueous Species Options'!B216="H+", 0, 0.2037*'Aqueous Species Options'!H216 - 3.0346) ) ) )</f>
        <v>-12.506646906124608</v>
      </c>
      <c r="O216" s="42">
        <f>IF(ISBLANK('Aqueous Species Options'!B216), "", IF('Aqueous Species Options'!K216=0, 'Aqueous Species Options'!I216, IF(OR('Aqueous Species Options'!J216&gt;4,'Aqueous Species Options'!J216&lt;-4), "", IF('Aqueous Species Options'!B216="H+", 0, IF('Aqueous Species Options'!J216=0, -0.038, IF(ISBLANK('Aqueous Species Options'!F216), "", -1514.4*'Aqueous Species Options'!F216*0.00001 + SUM(({4,3,2,1,-1,-2,-3,-4}='Aqueous Species Options'!J216)*{2.1764,1.5793,1.0579,0.5517,1.6291,3.2127,4.8115,6.486}) ) ) ) ) ) )</f>
        <v>2.7587000000000002</v>
      </c>
      <c r="P216" s="1">
        <f>IF(ISBLANK('Aqueous Species Options'!J216), "", 'Aqueous Species Options'!J216)</f>
        <v>-2</v>
      </c>
      <c r="Q216" s="184" t="str">
        <f>IF(ISBLANK('Aqueous Species Options'!T216), "", 'Aqueous Species Options'!T216)</f>
        <v>Shock &amp; Helgeson (1988) revised with new predicted a1 for ions</v>
      </c>
    </row>
    <row r="217" spans="2:17" ht="15" customHeight="1" x14ac:dyDescent="0.2">
      <c r="B217" s="9" t="str">
        <f>IF(ISBLANK('Aqueous Species Options'!B217), "", 'Aqueous Species Options'!B217)</f>
        <v>S2O8-2</v>
      </c>
      <c r="C217" s="9" t="str">
        <f>IF(ISBLANK('Aqueous Species Options'!C217), "", 'Aqueous Species Options'!C217)</f>
        <v>S2O8(-2)</v>
      </c>
      <c r="D217" s="2">
        <f>IF(ISBLANK('Aqueous Species Options'!D217), "", 'Aqueous Species Options'!D217)</f>
        <v>-266500</v>
      </c>
      <c r="E217" s="1">
        <f>IF(ISBLANK('Aqueous Species Options'!E217), "", 'Aqueous Species Options'!E217)</f>
        <v>-321400</v>
      </c>
      <c r="F217" s="139">
        <f>IF(ISBLANK('Aqueous Species Options'!F217), "", 'Aqueous Species Options'!F217)</f>
        <v>58.4</v>
      </c>
      <c r="G217" s="29">
        <f>IF(ISBLANK('Aqueous Species Options'!B217), "", IF('Aqueous Species Options'!L217 = 1, IF(ISBLANK('Aqueous Species Options'!G217), "", 'Aqueous Species Options'!G217), ('Aqueous Species Table'!I217/10 + ('Aqueous Species Table'!J217*100)/(Calculations!$C$12+Calculations!$C$9) + ('Aqueous Species Table'!K217 + ('Aqueous Species Table'!L217*10000)/(Calculations!$C$12+Calculations!$C$9))*(1/(Calculations!$C$8-Calculations!$C$13)) - 'Aqueous Species Table'!O217*100000*0.0000005903)*41.8393))</f>
        <v>79.000105328955286</v>
      </c>
      <c r="H217" s="29">
        <f>IF(ISBLANK('Aqueous Species Options'!B217), "", IF('Aqueous Species Options'!L217 = 1, IF(ISBLANK('Aqueous Species Options'!H217), "", 'Aqueous Species Options'!H217), 'Aqueous Species Table'!M217 + 'Aqueous Species Table'!N217*10000*(1/(Calculations!$C$8-Calculations!$C$13))^2 + 'Aqueous Species Table'!O217*100000*Calculations!$C$8*Calculations!$C$7))</f>
        <v>-25.000264851991577</v>
      </c>
      <c r="I217" s="42">
        <f>IF(ISBLANK('Aqueous Species Options'!B217), "", IF('Aqueous Species Options'!L217=0, 'Aqueous Species Options'!N217, IF(OR(ISBLANK('Aqueous Species Options'!G217),'Aqueous Species Table'!O217="", 'Aqueous Species Table'!P217=""), "", IF('Aqueous Species Options'!B217="H+", 0, (CHOOSE('Aqueous Species Options'!M217+1,'Aqueous Species Options'!$V$4*ABS('Aqueous Species Table'!P217)+'Aqueous Species Options'!$W$4,'Aqueous Species Options'!$Z$4)*('Aqueous Species Options'!G217 + 'Aqueous Species Table'!O217*100000*0.0000005903*41.8393) + CHOOSE('Aqueous Species Options'!M217+1,'Aqueous Species Options'!$X$4*ABS('Aqueous Species Table'!P217)+'Aqueous Species Options'!$Y$4,'Aqueous Species Options'!$AA$4))*10 ) ) ) )</f>
        <v>23.795821627890255</v>
      </c>
      <c r="J217" s="42">
        <f>IF(ISBLANK('Aqueous Species Options'!B217), "", IF('Aqueous Species Options'!L217 = 0, 'Aqueous Species Options'!O217, IF('Aqueous Species Table'!I217="", "", IF('Aqueous Species Options'!B217="H+", 0, ((1.11*('Aqueous Species Options'!G217 + 'Aqueous Species Table'!O217*100000*0.0000005903*41.8393)+1.8)/41.8393 - 'Aqueous Species Table'!I217/10)*26.01 ) ) ) )</f>
        <v>-2.2924292297424844</v>
      </c>
      <c r="K217" s="42">
        <f>IF(ISBLANK('Aqueous Species Options'!B217), "", IF('Aqueous Species Options'!L217 = 0, 'Aqueous Species Options'!P217, IF('Aqueous Species Table'!I217="", "", IF('Aqueous Species Options'!B217="H+", 0, ('Aqueous Species Options'!G217/41.8393 + 'Aqueous Species Table'!O217*100000*0.0000005903 - 'Aqueous Species Table'!I217/10 - 'Aqueous Species Table'!J217*100/2601)*(298.15-228) - ('Aqueous Species Table'!L217*10000/2601) ) ) ) )</f>
        <v>-8.3285775562252606</v>
      </c>
      <c r="L217" s="42">
        <f>IF(ISBLANK('Aqueous Species Options'!B217), "", IF('Aqueous Species Options'!L217 = 0, 'Aqueous Species Options'!Q217, IF('Aqueous Species Table'!J217="", "", IF('Aqueous Species Options'!B217="H+", 0, (-4.134*'Aqueous Species Table'!J217*100 - 27790)*0.0001) ) ) )</f>
        <v>-2.6842309756424458</v>
      </c>
      <c r="M217" s="42">
        <f>IF(ISBLANK('Aqueous Species Options'!B217), "", IF('Aqueous Species Options'!L217=0, 'Aqueous Species Options'!R217, IF('Aqueous Species Table'!N217="", "", IF('Aqueous Species Options'!B217="H+", 0, 'Aqueous Species Options'!H217 - 'Aqueous Species Table'!O217*100000*(-0.000000309)*298.15 - 'Aqueous Species Table'!N217*10000/(298.15-228)^2 ) ) ) )</f>
        <v>12.963309632399941</v>
      </c>
      <c r="N217" s="42">
        <f>IF(ISBLANK('Aqueous Species Options'!B217), "", IF('Aqueous Species Options'!L217=0, 'Aqueous Species Options'!S217, IF(OR(ISBLANK('Aqueous Species Options'!H217), 'Aqueous Species Table'!O217=""), "", IF('Aqueous Species Options'!B217="H+", 0, 0.2037*'Aqueous Species Options'!H217 - 3.0346) ) ) )</f>
        <v>-8.1271539503506851</v>
      </c>
      <c r="O217" s="42">
        <f>IF(ISBLANK('Aqueous Species Options'!B217), "", IF('Aqueous Species Options'!K217=0, 'Aqueous Species Options'!I217, IF(OR('Aqueous Species Options'!J217&gt;4,'Aqueous Species Options'!J217&lt;-4), "", IF('Aqueous Species Options'!B217="H+", 0, IF('Aqueous Species Options'!J217=0, -0.038, IF(ISBLANK('Aqueous Species Options'!F217), "", -1514.4*'Aqueous Species Options'!F217*0.00001 + SUM(({4,3,2,1,-1,-2,-3,-4}='Aqueous Species Options'!J217)*{2.1764,1.5793,1.0579,0.5517,1.6291,3.2127,4.8115,6.486}) ) ) ) ) ) )</f>
        <v>2.3281000000000001</v>
      </c>
      <c r="P217" s="1">
        <f>IF(ISBLANK('Aqueous Species Options'!J217), "", 'Aqueous Species Options'!J217)</f>
        <v>-2</v>
      </c>
      <c r="Q217" s="184" t="str">
        <f>IF(ISBLANK('Aqueous Species Options'!T217), "", 'Aqueous Species Options'!T217)</f>
        <v>Shock &amp; Helgeson (1988) revised with new predicted a1 for ions</v>
      </c>
    </row>
    <row r="218" spans="2:17" ht="16" x14ac:dyDescent="0.2">
      <c r="B218" s="9" t="str">
        <f>IF(ISBLANK('Aqueous Species Options'!B218), "", 'Aqueous Species Options'!B218)</f>
        <v>S3-</v>
      </c>
      <c r="C218" s="9" t="str">
        <f>IF(ISBLANK('Aqueous Species Options'!C218), "", 'Aqueous Species Options'!C218)</f>
        <v>S3(-)</v>
      </c>
      <c r="D218" s="2">
        <f>IF(ISBLANK('Aqueous Species Options'!D218), "", 'Aqueous Species Options'!D218)</f>
        <v>13160</v>
      </c>
      <c r="E218" s="1">
        <f>IF(ISBLANK('Aqueous Species Options'!E218), "", 'Aqueous Species Options'!E218)</f>
        <v>0</v>
      </c>
      <c r="F218" s="139">
        <f>IF(ISBLANK('Aqueous Species Options'!F218), "", 'Aqueous Species Options'!F218)</f>
        <v>23</v>
      </c>
      <c r="G218" s="29">
        <f>IF(ISBLANK('Aqueous Species Options'!B218), "", IF('Aqueous Species Options'!L218 = 1, IF(ISBLANK('Aqueous Species Options'!G218), "", 'Aqueous Species Options'!G218), ('Aqueous Species Table'!I218/10 + ('Aqueous Species Table'!J218*100)/(Calculations!$C$12+Calculations!$C$9) + ('Aqueous Species Table'!K218 + ('Aqueous Species Table'!L218*10000)/(Calculations!$C$12+Calculations!$C$9))*(1/(Calculations!$C$8-Calculations!$C$13)) - 'Aqueous Species Table'!O218*100000*0.0000005903)*41.8393))</f>
        <v>77</v>
      </c>
      <c r="H218" s="29">
        <f>IF(ISBLANK('Aqueous Species Options'!B218), "", IF('Aqueous Species Options'!L218 = 1, IF(ISBLANK('Aqueous Species Options'!H218), "", 'Aqueous Species Options'!H218), 'Aqueous Species Table'!M218 + 'Aqueous Species Table'!N218*10000*(1/(Calculations!$C$8-Calculations!$C$13))^2 + 'Aqueous Species Table'!O218*100000*Calculations!$C$8*Calculations!$C$7))</f>
        <v>95</v>
      </c>
      <c r="I218" s="42">
        <f>IF(ISBLANK('Aqueous Species Options'!B218), "", IF('Aqueous Species Options'!L218=0, 'Aqueous Species Options'!N218, IF(OR(ISBLANK('Aqueous Species Options'!G218),'Aqueous Species Table'!O218="", 'Aqueous Species Table'!P218=""), "", IF('Aqueous Species Options'!B218="H+", 0, (CHOOSE('Aqueous Species Options'!M218+1,'Aqueous Species Options'!$V$4*ABS('Aqueous Species Table'!P218)+'Aqueous Species Options'!$W$4,'Aqueous Species Options'!$Z$4)*('Aqueous Species Options'!G218 + 'Aqueous Species Table'!O218*100000*0.0000005903*41.8393) + CHOOSE('Aqueous Species Options'!M218+1,'Aqueous Species Options'!$X$4*ABS('Aqueous Species Table'!P218)+'Aqueous Species Options'!$Y$4,'Aqueous Species Options'!$AA$4))*10 ) ) ) )</f>
        <v>17.242017656064945</v>
      </c>
      <c r="J218" s="42">
        <f>IF(ISBLANK('Aqueous Species Options'!B218), "", IF('Aqueous Species Options'!L218 = 0, 'Aqueous Species Options'!O218, IF('Aqueous Species Table'!I218="", "", IF('Aqueous Species Options'!B218="H+", 0, ((1.11*('Aqueous Species Options'!G218 + 'Aqueous Species Table'!O218*100000*0.0000005903*41.8393)+1.8)/41.8393 - 'Aqueous Species Table'!I218/10)*26.01 ) ) ) )</f>
        <v>12.132974969615727</v>
      </c>
      <c r="K218" s="42">
        <f>IF(ISBLANK('Aqueous Species Options'!B218), "", IF('Aqueous Species Options'!L218 = 0, 'Aqueous Species Options'!P218, IF('Aqueous Species Table'!I218="", "", IF('Aqueous Species Options'!B218="H+", 0, ('Aqueous Species Options'!G218/41.8393 + 'Aqueous Species Table'!O218*100000*0.0000005903 - 'Aqueous Species Table'!I218/10 - 'Aqueous Species Table'!J218*100/2601)*(298.15-228) - ('Aqueous Species Table'!L218*10000/2601) ) ) ) )</f>
        <v>-5.3352837816168464</v>
      </c>
      <c r="L218" s="42">
        <f>IF(ISBLANK('Aqueous Species Options'!B218), "", IF('Aqueous Species Options'!L218 = 0, 'Aqueous Species Options'!Q218, IF('Aqueous Species Table'!J218="", "", IF('Aqueous Species Options'!B218="H+", 0, (-4.134*'Aqueous Species Table'!J218*100 - 27790)*0.0001) ) ) )</f>
        <v>-3.2805771852439141</v>
      </c>
      <c r="M218" s="42">
        <f>IF(ISBLANK('Aqueous Species Options'!B218), "", IF('Aqueous Species Options'!L218=0, 'Aqueous Species Options'!R218, IF('Aqueous Species Table'!N218="", "", IF('Aqueous Species Options'!B218="H+", 0, 'Aqueous Species Options'!H218 - 'Aqueous Species Table'!O218*100000*(-0.000000309)*298.15 - 'Aqueous Species Table'!N218*10000/(298.15-228)^2 ) ) ) )</f>
        <v>76.582996078164626</v>
      </c>
      <c r="N218" s="42">
        <f>IF(ISBLANK('Aqueous Species Options'!B218), "", IF('Aqueous Species Options'!L218=0, 'Aqueous Species Options'!S218, IF(OR(ISBLANK('Aqueous Species Options'!H218), 'Aqueous Species Table'!O218=""), "", IF('Aqueous Species Options'!B218="H+", 0, 0.2037*'Aqueous Species Options'!H218 - 3.0346) ) ) )</f>
        <v>16.316899999999997</v>
      </c>
      <c r="O218" s="42">
        <f>IF(ISBLANK('Aqueous Species Options'!B218), "", IF('Aqueous Species Options'!K218=0, 'Aqueous Species Options'!I218, IF(OR('Aqueous Species Options'!J218&gt;4,'Aqueous Species Options'!J218&lt;-4), "", IF('Aqueous Species Options'!B218="H+", 0, IF('Aqueous Species Options'!J218=0, -0.038, IF(ISBLANK('Aqueous Species Options'!F218), "", -1514.4*'Aqueous Species Options'!F218*0.00001 + SUM(({4,3,2,1,-1,-2,-3,-4}='Aqueous Species Options'!J218)*{2.1764,1.5793,1.0579,0.5517,1.6291,3.2127,4.8115,6.486}) ) ) ) ) ) )</f>
        <v>1.6</v>
      </c>
      <c r="P218" s="1">
        <f>IF(ISBLANK('Aqueous Species Options'!J218), "", 'Aqueous Species Options'!J218)</f>
        <v>-1</v>
      </c>
      <c r="Q218" s="184" t="str">
        <f>IF(ISBLANK('Aqueous Species Options'!T218), "", 'Aqueous Species Options'!T218)</f>
        <v>Beaudry et al. (2024)</v>
      </c>
    </row>
    <row r="219" spans="2:17" ht="32" x14ac:dyDescent="0.2">
      <c r="B219" s="9" t="str">
        <f>IF(ISBLANK('Aqueous Species Options'!B219), "", 'Aqueous Species Options'!B219)</f>
        <v>S3-2</v>
      </c>
      <c r="C219" s="9" t="str">
        <f>IF(ISBLANK('Aqueous Species Options'!C219), "", 'Aqueous Species Options'!C219)</f>
        <v>S3(-2)</v>
      </c>
      <c r="D219" s="2">
        <f>IF(ISBLANK('Aqueous Species Options'!D219), "", 'Aqueous Species Options'!D219)</f>
        <v>17600</v>
      </c>
      <c r="E219" s="1">
        <f>IF(ISBLANK('Aqueous Species Options'!E219), "", 'Aqueous Species Options'!E219)</f>
        <v>6200</v>
      </c>
      <c r="F219" s="139">
        <f>IF(ISBLANK('Aqueous Species Options'!F219), "", 'Aqueous Species Options'!F219)</f>
        <v>15.8</v>
      </c>
      <c r="G219" s="29">
        <f>IF(ISBLANK('Aqueous Species Options'!B219), "", IF('Aqueous Species Options'!L219 = 1, IF(ISBLANK('Aqueous Species Options'!G219), "", 'Aqueous Species Options'!G219), ('Aqueous Species Table'!I219/10 + ('Aqueous Species Table'!J219*100)/(Calculations!$C$12+Calculations!$C$9) + ('Aqueous Species Table'!K219 + ('Aqueous Species Table'!L219*10000)/(Calculations!$C$12+Calculations!$C$9))*(1/(Calculations!$C$8-Calculations!$C$13)) - 'Aqueous Species Table'!O219*100000*0.0000005903)*41.8393))</f>
        <v>29.199763744824732</v>
      </c>
      <c r="H219" s="29">
        <f>IF(ISBLANK('Aqueous Species Options'!B219), "", IF('Aqueous Species Options'!L219 = 1, IF(ISBLANK('Aqueous Species Options'!H219), "", 'Aqueous Species Options'!H219), 'Aqueous Species Table'!M219 + 'Aqueous Species Table'!N219*10000*(1/(Calculations!$C$8-Calculations!$C$13))^2 + 'Aqueous Species Table'!O219*100000*Calculations!$C$8*Calculations!$C$7))</f>
        <v>-57.900337723549427</v>
      </c>
      <c r="I219" s="42">
        <f>IF(ISBLANK('Aqueous Species Options'!B219), "", IF('Aqueous Species Options'!L219=0, 'Aqueous Species Options'!N219, IF(OR(ISBLANK('Aqueous Species Options'!G219),'Aqueous Species Table'!O219="", 'Aqueous Species Table'!P219=""), "", IF('Aqueous Species Options'!B219="H+", 0, (CHOOSE('Aqueous Species Options'!M219+1,'Aqueous Species Options'!$V$4*ABS('Aqueous Species Table'!P219)+'Aqueous Species Options'!$W$4,'Aqueous Species Options'!$Z$4)*('Aqueous Species Options'!G219 + 'Aqueous Species Table'!O219*100000*0.0000005903*41.8393) + CHOOSE('Aqueous Species Options'!M219+1,'Aqueous Species Options'!$X$4*ABS('Aqueous Species Table'!P219)+'Aqueous Species Options'!$Y$4,'Aqueous Species Options'!$AA$4))*10 ) ) ) )</f>
        <v>12.270510189139126</v>
      </c>
      <c r="J219" s="42">
        <f>IF(ISBLANK('Aqueous Species Options'!B219), "", IF('Aqueous Species Options'!L219 = 0, 'Aqueous Species Options'!O219, IF('Aqueous Species Table'!I219="", "", IF('Aqueous Species Options'!B219="H+", 0, ((1.11*('Aqueous Species Options'!G219 + 'Aqueous Species Table'!O219*100000*0.0000005903*41.8393)+1.8)/41.8393 - 'Aqueous Species Table'!I219/10)*26.01 ) ) ) )</f>
        <v>-5.5773741530411982</v>
      </c>
      <c r="K219" s="42">
        <f>IF(ISBLANK('Aqueous Species Options'!B219), "", IF('Aqueous Species Options'!L219 = 0, 'Aqueous Species Options'!P219, IF('Aqueous Species Table'!I219="", "", IF('Aqueous Species Options'!B219="H+", 0, ('Aqueous Species Options'!G219/41.8393 + 'Aqueous Species Table'!O219*100000*0.0000005903 - 'Aqueous Species Table'!I219/10 - 'Aqueous Species Table'!J219*100/2601)*(298.15-228) - ('Aqueous Species Table'!L219*10000/2601) ) ) ) )</f>
        <v>3.9466102088216104E-2</v>
      </c>
      <c r="L219" s="42">
        <f>IF(ISBLANK('Aqueous Species Options'!B219), "", IF('Aqueous Species Options'!L219 = 0, 'Aqueous Species Options'!Q219, IF('Aqueous Species Table'!J219="", "", IF('Aqueous Species Options'!B219="H+", 0, (-4.134*'Aqueous Species Table'!J219*100 - 27790)*0.0001) ) ) )</f>
        <v>-2.5484313525132771</v>
      </c>
      <c r="M219" s="42">
        <f>IF(ISBLANK('Aqueous Species Options'!B219), "", IF('Aqueous Species Options'!L219=0, 'Aqueous Species Options'!R219, IF('Aqueous Species Table'!N219="", "", IF('Aqueous Species Options'!B219="H+", 0, 'Aqueous Species Options'!H219 - 'Aqueous Species Table'!O219*100000*(-0.000000309)*298.15 - 'Aqueous Species Table'!N219*10000/(298.15-228)^2 ) ) ) )</f>
        <v>-0.35929924032653915</v>
      </c>
      <c r="N219" s="42">
        <f>IF(ISBLANK('Aqueous Species Options'!B219), "", IF('Aqueous Species Options'!L219=0, 'Aqueous Species Options'!S219, IF(OR(ISBLANK('Aqueous Species Options'!H219), 'Aqueous Species Table'!O219=""), "", IF('Aqueous Species Options'!B219="H+", 0, 0.2037*'Aqueous Species Options'!H219 - 3.0346) ) ) )</f>
        <v>-14.828898794287017</v>
      </c>
      <c r="O219" s="42">
        <f>IF(ISBLANK('Aqueous Species Options'!B219), "", IF('Aqueous Species Options'!K219=0, 'Aqueous Species Options'!I219, IF(OR('Aqueous Species Options'!J219&gt;4,'Aqueous Species Options'!J219&lt;-4), "", IF('Aqueous Species Options'!B219="H+", 0, IF('Aqueous Species Options'!J219=0, -0.038, IF(ISBLANK('Aqueous Species Options'!F219), "", -1514.4*'Aqueous Species Options'!F219*0.00001 + SUM(({4,3,2,1,-1,-2,-3,-4}='Aqueous Species Options'!J219)*{2.1764,1.5793,1.0579,0.5517,1.6291,3.2127,4.8115,6.486}) ) ) ) ) ) )</f>
        <v>2.9748999999999999</v>
      </c>
      <c r="P219" s="1">
        <f>IF(ISBLANK('Aqueous Species Options'!J219), "", 'Aqueous Species Options'!J219)</f>
        <v>-2</v>
      </c>
      <c r="Q219" s="184" t="str">
        <f>IF(ISBLANK('Aqueous Species Options'!T219), "", 'Aqueous Species Options'!T219)</f>
        <v>Shock &amp; Helgeson (1988) revised with new predicted a1 for ions</v>
      </c>
    </row>
    <row r="220" spans="2:17" ht="32" x14ac:dyDescent="0.2">
      <c r="B220" s="9" t="str">
        <f>IF(ISBLANK('Aqueous Species Options'!B220), "", 'Aqueous Species Options'!B220)</f>
        <v>S3O6-2</v>
      </c>
      <c r="C220" s="9" t="str">
        <f>IF(ISBLANK('Aqueous Species Options'!C220), "", 'Aqueous Species Options'!C220)</f>
        <v>S3O6(-2)</v>
      </c>
      <c r="D220" s="2">
        <f>IF(ISBLANK('Aqueous Species Options'!D220), "", 'Aqueous Species Options'!D220)</f>
        <v>-229000</v>
      </c>
      <c r="E220" s="1">
        <f>IF(ISBLANK('Aqueous Species Options'!E220), "", 'Aqueous Species Options'!E220)</f>
        <v>-279000</v>
      </c>
      <c r="F220" s="139">
        <f>IF(ISBLANK('Aqueous Species Options'!F220), "", 'Aqueous Species Options'!F220)</f>
        <v>33</v>
      </c>
      <c r="G220" s="29">
        <f>IF(ISBLANK('Aqueous Species Options'!B220), "", IF('Aqueous Species Options'!L220 = 1, IF(ISBLANK('Aqueous Species Options'!G220), "", 'Aqueous Species Options'!G220), ('Aqueous Species Table'!I220/10 + ('Aqueous Species Table'!J220*100)/(Calculations!$C$12+Calculations!$C$9) + ('Aqueous Species Table'!K220 + ('Aqueous Species Table'!L220*10000)/(Calculations!$C$12+Calculations!$C$9))*(1/(Calculations!$C$8-Calculations!$C$13)) - 'Aqueous Species Table'!O220*100000*0.0000005903)*41.8393))</f>
        <v>46.400047997667656</v>
      </c>
      <c r="H220" s="29">
        <f>IF(ISBLANK('Aqueous Species Options'!B220), "", IF('Aqueous Species Options'!L220 = 1, IF(ISBLANK('Aqueous Species Options'!H220), "", 'Aqueous Species Options'!H220), 'Aqueous Species Table'!M220 + 'Aqueous Species Table'!N220*10000*(1/(Calculations!$C$8-Calculations!$C$13))^2 + 'Aqueous Species Table'!O220*100000*Calculations!$C$8*Calculations!$C$7))</f>
        <v>-44.099790031242065</v>
      </c>
      <c r="I220" s="42">
        <f>IF(ISBLANK('Aqueous Species Options'!B220), "", IF('Aqueous Species Options'!L220=0, 'Aqueous Species Options'!N220, IF(OR(ISBLANK('Aqueous Species Options'!G220),'Aqueous Species Table'!O220="", 'Aqueous Species Table'!P220=""), "", IF('Aqueous Species Options'!B220="H+", 0, (CHOOSE('Aqueous Species Options'!M220+1,'Aqueous Species Options'!$V$4*ABS('Aqueous Species Table'!P220)+'Aqueous Species Options'!$W$4,'Aqueous Species Options'!$Z$4)*('Aqueous Species Options'!G220 + 'Aqueous Species Table'!O220*100000*0.0000005903*41.8393) + CHOOSE('Aqueous Species Options'!M220+1,'Aqueous Species Options'!$X$4*ABS('Aqueous Species Table'!P220)+'Aqueous Species Options'!$Y$4,'Aqueous Species Options'!$AA$4))*10 ) ) ) )</f>
        <v>16.228499249749909</v>
      </c>
      <c r="J220" s="42">
        <f>IF(ISBLANK('Aqueous Species Options'!B220), "", IF('Aqueous Species Options'!L220 = 0, 'Aqueous Species Options'!O220, IF('Aqueous Species Table'!I220="", "", IF('Aqueous Species Options'!B220="H+", 0, ((1.11*('Aqueous Species Options'!G220 + 'Aqueous Species Table'!O220*100000*0.0000005903*41.8393)+1.8)/41.8393 - 'Aqueous Species Table'!I220/10)*26.01 ) ) ) )</f>
        <v>-4.4492678853519863</v>
      </c>
      <c r="K220" s="42">
        <f>IF(ISBLANK('Aqueous Species Options'!B220), "", IF('Aqueous Species Options'!L220 = 0, 'Aqueous Species Options'!P220, IF('Aqueous Species Table'!I220="", "", IF('Aqueous Species Options'!B220="H+", 0, ('Aqueous Species Options'!G220/41.8393 + 'Aqueous Species Table'!O220*100000*0.0000005903 - 'Aqueous Species Table'!I220/10 - 'Aqueous Species Table'!J220*100/2601)*(298.15-228) - ('Aqueous Species Table'!L220*10000/2601) ) ) ) )</f>
        <v>-2.8342632053002301</v>
      </c>
      <c r="L220" s="42">
        <f>IF(ISBLANK('Aqueous Species Options'!B220), "", IF('Aqueous Species Options'!L220 = 0, 'Aqueous Species Options'!Q220, IF('Aqueous Species Table'!J220="", "", IF('Aqueous Species Options'!B220="H+", 0, (-4.134*'Aqueous Species Table'!J220*100 - 27790)*0.0001) ) ) )</f>
        <v>-2.5950672656195493</v>
      </c>
      <c r="M220" s="42">
        <f>IF(ISBLANK('Aqueous Species Options'!B220), "", IF('Aqueous Species Options'!L220=0, 'Aqueous Species Options'!R220, IF('Aqueous Species Table'!N220="", "", IF('Aqueous Species Options'!B220="H+", 0, 'Aqueous Species Options'!H220 - 'Aqueous Species Table'!O220*100000*(-0.000000309)*298.15 - 'Aqueous Species Table'!N220*10000/(298.15-228)^2 ) ) ) )</f>
        <v>5.3167521229358563</v>
      </c>
      <c r="N220" s="42">
        <f>IF(ISBLANK('Aqueous Species Options'!B220), "", IF('Aqueous Species Options'!L220=0, 'Aqueous Species Options'!S220, IF(OR(ISBLANK('Aqueous Species Options'!H220), 'Aqueous Species Table'!O220=""), "", IF('Aqueous Species Options'!B220="H+", 0, 0.2037*'Aqueous Species Options'!H220 - 3.0346) ) ) )</f>
        <v>-12.017727229364009</v>
      </c>
      <c r="O220" s="42">
        <f>IF(ISBLANK('Aqueous Species Options'!B220), "", IF('Aqueous Species Options'!K220=0, 'Aqueous Species Options'!I220, IF(OR('Aqueous Species Options'!J220&gt;4,'Aqueous Species Options'!J220&lt;-4), "", IF('Aqueous Species Options'!B220="H+", 0, IF('Aqueous Species Options'!J220=0, -0.038, IF(ISBLANK('Aqueous Species Options'!F220), "", -1514.4*'Aqueous Species Options'!F220*0.00001 + SUM(({4,3,2,1,-1,-2,-3,-4}='Aqueous Species Options'!J220)*{2.1764,1.5793,1.0579,0.5517,1.6291,3.2127,4.8115,6.486}) ) ) ) ) ) )</f>
        <v>2.7130999999999998</v>
      </c>
      <c r="P220" s="1">
        <f>IF(ISBLANK('Aqueous Species Options'!J220), "", 'Aqueous Species Options'!J220)</f>
        <v>-2</v>
      </c>
      <c r="Q220" s="184" t="str">
        <f>IF(ISBLANK('Aqueous Species Options'!T220), "", 'Aqueous Species Options'!T220)</f>
        <v>Shock &amp; Helgeson (1988) revised with new predicted a1 for ions</v>
      </c>
    </row>
    <row r="221" spans="2:17" ht="32" x14ac:dyDescent="0.2">
      <c r="B221" s="9" t="str">
        <f>IF(ISBLANK('Aqueous Species Options'!B221), "", 'Aqueous Species Options'!B221)</f>
        <v>S4-2</v>
      </c>
      <c r="C221" s="9" t="str">
        <f>IF(ISBLANK('Aqueous Species Options'!C221), "", 'Aqueous Species Options'!C221)</f>
        <v>S4(-2)</v>
      </c>
      <c r="D221" s="2">
        <f>IF(ISBLANK('Aqueous Species Options'!D221), "", 'Aqueous Species Options'!D221)</f>
        <v>16500</v>
      </c>
      <c r="E221" s="1">
        <f>IF(ISBLANK('Aqueous Species Options'!E221), "", 'Aqueous Species Options'!E221)</f>
        <v>5500</v>
      </c>
      <c r="F221" s="139">
        <f>IF(ISBLANK('Aqueous Species Options'!F221), "", 'Aqueous Species Options'!F221)</f>
        <v>24.7</v>
      </c>
      <c r="G221" s="29">
        <f>IF(ISBLANK('Aqueous Species Options'!B221), "", IF('Aqueous Species Options'!L221 = 1, IF(ISBLANK('Aqueous Species Options'!G221), "", 'Aqueous Species Options'!G221), ('Aqueous Species Table'!I221/10 + ('Aqueous Species Table'!J221*100)/(Calculations!$C$12+Calculations!$C$9) + ('Aqueous Species Table'!K221 + ('Aqueous Species Table'!L221*10000)/(Calculations!$C$12+Calculations!$C$9))*(1/(Calculations!$C$8-Calculations!$C$13)) - 'Aqueous Species Table'!O221*100000*0.0000005903)*41.8393))</f>
        <v>38.099969444645097</v>
      </c>
      <c r="H221" s="29">
        <f>IF(ISBLANK('Aqueous Species Options'!B221), "", IF('Aqueous Species Options'!L221 = 1, IF(ISBLANK('Aqueous Species Options'!H221), "", 'Aqueous Species Options'!H221), 'Aqueous Species Table'!M221 + 'Aqueous Species Table'!N221*10000*(1/(Calculations!$C$8-Calculations!$C$13))^2 + 'Aqueous Species Table'!O221*100000*Calculations!$C$8*Calculations!$C$7))</f>
        <v>-50.700438514349969</v>
      </c>
      <c r="I221" s="42">
        <f>IF(ISBLANK('Aqueous Species Options'!B221), "", IF('Aqueous Species Options'!L221=0, 'Aqueous Species Options'!N221, IF(OR(ISBLANK('Aqueous Species Options'!G221),'Aqueous Species Table'!O221="", 'Aqueous Species Table'!P221=""), "", IF('Aqueous Species Options'!B221="H+", 0, (CHOOSE('Aqueous Species Options'!M221+1,'Aqueous Species Options'!$V$4*ABS('Aqueous Species Table'!P221)+'Aqueous Species Options'!$W$4,'Aqueous Species Options'!$Z$4)*('Aqueous Species Options'!G221 + 'Aqueous Species Table'!O221*100000*0.0000005903*41.8393) + CHOOSE('Aqueous Species Options'!M221+1,'Aqueous Species Options'!$X$4*ABS('Aqueous Species Table'!P221)+'Aqueous Species Options'!$Y$4,'Aqueous Species Options'!$AA$4))*10 ) ) ) )</f>
        <v>14.31829730517185</v>
      </c>
      <c r="J221" s="42">
        <f>IF(ISBLANK('Aqueous Species Options'!B221), "", IF('Aqueous Species Options'!L221 = 0, 'Aqueous Species Options'!O221, IF('Aqueous Species Table'!I221="", "", IF('Aqueous Species Options'!B221="H+", 0, ((1.11*('Aqueous Species Options'!G221 + 'Aqueous Species Table'!O221*100000*0.0000005903*41.8393)+1.8)/41.8393 - 'Aqueous Species Table'!I221/10)*26.01 ) ) ) )</f>
        <v>-4.9937137524909119</v>
      </c>
      <c r="K221" s="42">
        <f>IF(ISBLANK('Aqueous Species Options'!B221), "", IF('Aqueous Species Options'!L221 = 0, 'Aqueous Species Options'!P221, IF('Aqueous Species Table'!I221="", "", IF('Aqueous Species Options'!B221="H+", 0, ('Aqueous Species Options'!G221/41.8393 + 'Aqueous Species Table'!O221*100000*0.0000005903 - 'Aqueous Species Table'!I221/10 - 'Aqueous Species Table'!J221*100/2601)*(298.15-228) - ('Aqueous Species Table'!L221*10000/2601) ) ) ) )</f>
        <v>-1.4473459533568356</v>
      </c>
      <c r="L221" s="42">
        <f>IF(ISBLANK('Aqueous Species Options'!B221), "", IF('Aqueous Species Options'!L221 = 0, 'Aqueous Species Options'!Q221, IF('Aqueous Species Table'!J221="", "", IF('Aqueous Species Options'!B221="H+", 0, (-4.134*'Aqueous Species Table'!J221*100 - 27790)*0.0001) ) ) )</f>
        <v>-2.5725598734720259</v>
      </c>
      <c r="M221" s="42">
        <f>IF(ISBLANK('Aqueous Species Options'!B221), "", IF('Aqueous Species Options'!L221=0, 'Aqueous Species Options'!R221, IF('Aqueous Species Table'!N221="", "", IF('Aqueous Species Options'!B221="H+", 0, 'Aqueous Species Options'!H221 - 'Aqueous Species Table'!O221*100000*(-0.000000309)*298.15 - 'Aqueous Species Table'!N221*10000/(298.15-228)^2 ) ) ) )</f>
        <v>2.6082611969323182</v>
      </c>
      <c r="N221" s="42">
        <f>IF(ISBLANK('Aqueous Species Options'!B221), "", IF('Aqueous Species Options'!L221=0, 'Aqueous Species Options'!S221, IF(OR(ISBLANK('Aqueous Species Options'!H221), 'Aqueous Species Table'!O221=""), "", IF('Aqueous Species Options'!B221="H+", 0, 0.2037*'Aqueous Species Options'!H221 - 3.0346) ) ) )</f>
        <v>-13.362279325373088</v>
      </c>
      <c r="O221" s="42">
        <f>IF(ISBLANK('Aqueous Species Options'!B221), "", IF('Aqueous Species Options'!K221=0, 'Aqueous Species Options'!I221, IF(OR('Aqueous Species Options'!J221&gt;4,'Aqueous Species Options'!J221&lt;-4), "", IF('Aqueous Species Options'!B221="H+", 0, IF('Aqueous Species Options'!J221=0, -0.038, IF(ISBLANK('Aqueous Species Options'!F221), "", -1514.4*'Aqueous Species Options'!F221*0.00001 + SUM(({4,3,2,1,-1,-2,-3,-4}='Aqueous Species Options'!J221)*{2.1764,1.5793,1.0579,0.5517,1.6291,3.2127,4.8115,6.486}) ) ) ) ) ) )</f>
        <v>2.839</v>
      </c>
      <c r="P221" s="1">
        <f>IF(ISBLANK('Aqueous Species Options'!J221), "", 'Aqueous Species Options'!J221)</f>
        <v>-2</v>
      </c>
      <c r="Q221" s="184" t="str">
        <f>IF(ISBLANK('Aqueous Species Options'!T221), "", 'Aqueous Species Options'!T221)</f>
        <v>Shock &amp; Helgeson (1988) revised with new predicted a1 for ions</v>
      </c>
    </row>
    <row r="222" spans="2:17" ht="32" x14ac:dyDescent="0.2">
      <c r="B222" s="9" t="str">
        <f>IF(ISBLANK('Aqueous Species Options'!B222), "", 'Aqueous Species Options'!B222)</f>
        <v>S4O6-2</v>
      </c>
      <c r="C222" s="9" t="str">
        <f>IF(ISBLANK('Aqueous Species Options'!C222), "", 'Aqueous Species Options'!C222)</f>
        <v>S4O6(-2)</v>
      </c>
      <c r="D222" s="2">
        <f>IF(ISBLANK('Aqueous Species Options'!D222), "", 'Aqueous Species Options'!D222)</f>
        <v>-248700</v>
      </c>
      <c r="E222" s="1">
        <f>IF(ISBLANK('Aqueous Species Options'!E222), "", 'Aqueous Species Options'!E222)</f>
        <v>-292600</v>
      </c>
      <c r="F222" s="139">
        <f>IF(ISBLANK('Aqueous Species Options'!F222), "", 'Aqueous Species Options'!F222)</f>
        <v>61.5</v>
      </c>
      <c r="G222" s="29">
        <f>IF(ISBLANK('Aqueous Species Options'!B222), "", IF('Aqueous Species Options'!L222 = 1, IF(ISBLANK('Aqueous Species Options'!G222), "", 'Aqueous Species Options'!G222), ('Aqueous Species Table'!I222/10 + ('Aqueous Species Table'!J222*100)/(Calculations!$C$12+Calculations!$C$9) + ('Aqueous Species Table'!K222 + ('Aqueous Species Table'!L222*10000)/(Calculations!$C$12+Calculations!$C$9))*(1/(Calculations!$C$8-Calculations!$C$13)) - 'Aqueous Species Table'!O222*100000*0.0000005903)*41.8393))</f>
        <v>74.899700839425066</v>
      </c>
      <c r="H222" s="29">
        <f>IF(ISBLANK('Aqueous Species Options'!B222), "", IF('Aqueous Species Options'!L222 = 1, IF(ISBLANK('Aqueous Species Options'!H222), "", 'Aqueous Species Options'!H222), 'Aqueous Species Table'!M222 + 'Aqueous Species Table'!N222*10000*(1/(Calculations!$C$8-Calculations!$C$13))^2 + 'Aqueous Species Table'!O222*100000*Calculations!$C$8*Calculations!$C$7))</f>
        <v>-21.300041640359787</v>
      </c>
      <c r="I222" s="42">
        <f>IF(ISBLANK('Aqueous Species Options'!B222), "", IF('Aqueous Species Options'!L222=0, 'Aqueous Species Options'!N222, IF(OR(ISBLANK('Aqueous Species Options'!G222),'Aqueous Species Table'!O222="", 'Aqueous Species Table'!P222=""), "", IF('Aqueous Species Options'!B222="H+", 0, (CHOOSE('Aqueous Species Options'!M222+1,'Aqueous Species Options'!$V$4*ABS('Aqueous Species Table'!P222)+'Aqueous Species Options'!$W$4,'Aqueous Species Options'!$Z$4)*('Aqueous Species Options'!G222 + 'Aqueous Species Table'!O222*100000*0.0000005903*41.8393) + CHOOSE('Aqueous Species Options'!M222+1,'Aqueous Species Options'!$X$4*ABS('Aqueous Species Table'!P222)+'Aqueous Species Options'!$Y$4,'Aqueous Species Options'!$AA$4))*10 ) ) ) )</f>
        <v>22.787306022762863</v>
      </c>
      <c r="J222" s="42">
        <f>IF(ISBLANK('Aqueous Species Options'!B222), "", IF('Aqueous Species Options'!L222 = 0, 'Aqueous Species Options'!O222, IF('Aqueous Species Table'!I222="", "", IF('Aqueous Species Options'!B222="H+", 0, ((1.11*('Aqueous Species Options'!G222 + 'Aqueous Species Table'!O222*100000*0.0000005903*41.8393)+1.8)/41.8393 - 'Aqueous Species Table'!I222/10)*26.01 ) ) ) )</f>
        <v>-2.579876405008565</v>
      </c>
      <c r="K222" s="42">
        <f>IF(ISBLANK('Aqueous Species Options'!B222), "", IF('Aqueous Species Options'!L222 = 0, 'Aqueous Species Options'!P222, IF('Aqueous Species Table'!I222="", "", IF('Aqueous Species Options'!B222="H+", 0, ('Aqueous Species Options'!G222/41.8393 + 'Aqueous Species Table'!O222*100000*0.0000005903 - 'Aqueous Species Table'!I222/10 - 'Aqueous Species Table'!J222*100/2601)*(298.15-228) - ('Aqueous Species Table'!L222*10000/2601) ) ) ) )</f>
        <v>-7.5963368130015034</v>
      </c>
      <c r="L222" s="42">
        <f>IF(ISBLANK('Aqueous Species Options'!B222), "", IF('Aqueous Species Options'!L222 = 0, 'Aqueous Species Options'!Q222, IF('Aqueous Species Table'!J222="", "", IF('Aqueous Species Options'!B222="H+", 0, (-4.134*'Aqueous Species Table'!J222*100 - 27790)*0.0001) ) ) )</f>
        <v>-2.672347909416946</v>
      </c>
      <c r="M222" s="42">
        <f>IF(ISBLANK('Aqueous Species Options'!B222), "", IF('Aqueous Species Options'!L222=0, 'Aqueous Species Options'!R222, IF('Aqueous Species Table'!N222="", "", IF('Aqueous Species Options'!B222="H+", 0, 'Aqueous Species Options'!H222 - 'Aqueous Species Table'!O222*100000*(-0.000000309)*298.15 - 'Aqueous Species Table'!N222*10000/(298.15-228)^2 ) ) ) )</f>
        <v>14.693337557522426</v>
      </c>
      <c r="N222" s="42">
        <f>IF(ISBLANK('Aqueous Species Options'!B222), "", IF('Aqueous Species Options'!L222=0, 'Aqueous Species Options'!S222, IF(OR(ISBLANK('Aqueous Species Options'!H222), 'Aqueous Species Table'!O222=""), "", IF('Aqueous Species Options'!B222="H+", 0, 0.2037*'Aqueous Species Options'!H222 - 3.0346) ) ) )</f>
        <v>-7.3734184821412887</v>
      </c>
      <c r="O222" s="42">
        <f>IF(ISBLANK('Aqueous Species Options'!B222), "", IF('Aqueous Species Options'!K222=0, 'Aqueous Species Options'!I222, IF(OR('Aqueous Species Options'!J222&gt;4,'Aqueous Species Options'!J222&lt;-4), "", IF('Aqueous Species Options'!B222="H+", 0, IF('Aqueous Species Options'!J222=0, -0.038, IF(ISBLANK('Aqueous Species Options'!F222), "", -1514.4*'Aqueous Species Options'!F222*0.00001 + SUM(({4,3,2,1,-1,-2,-3,-4}='Aqueous Species Options'!J222)*{2.1764,1.5793,1.0579,0.5517,1.6291,3.2127,4.8115,6.486}) ) ) ) ) ) )</f>
        <v>2.2805</v>
      </c>
      <c r="P222" s="1">
        <f>IF(ISBLANK('Aqueous Species Options'!J222), "", 'Aqueous Species Options'!J222)</f>
        <v>-2</v>
      </c>
      <c r="Q222" s="184" t="str">
        <f>IF(ISBLANK('Aqueous Species Options'!T222), "", 'Aqueous Species Options'!T222)</f>
        <v>Shock &amp; Helgeson (1988) revised with new predicted a1 for ions</v>
      </c>
    </row>
    <row r="223" spans="2:17" ht="32" x14ac:dyDescent="0.2">
      <c r="B223" s="9" t="str">
        <f>IF(ISBLANK('Aqueous Species Options'!B223), "", 'Aqueous Species Options'!B223)</f>
        <v>S5-2</v>
      </c>
      <c r="C223" s="9" t="str">
        <f>IF(ISBLANK('Aqueous Species Options'!C223), "", 'Aqueous Species Options'!C223)</f>
        <v>S5(-2)</v>
      </c>
      <c r="D223" s="2">
        <f>IF(ISBLANK('Aqueous Species Options'!D223), "", 'Aqueous Species Options'!D223)</f>
        <v>15700</v>
      </c>
      <c r="E223" s="1">
        <f>IF(ISBLANK('Aqueous Species Options'!E223), "", 'Aqueous Species Options'!E223)</f>
        <v>5100</v>
      </c>
      <c r="F223" s="139">
        <f>IF(ISBLANK('Aqueous Species Options'!F223), "", 'Aqueous Species Options'!F223)</f>
        <v>33.6</v>
      </c>
      <c r="G223" s="29">
        <f>IF(ISBLANK('Aqueous Species Options'!B223), "", IF('Aqueous Species Options'!L223 = 1, IF(ISBLANK('Aqueous Species Options'!G223), "", 'Aqueous Species Options'!G223), ('Aqueous Species Table'!I223/10 + ('Aqueous Species Table'!J223*100)/(Calculations!$C$12+Calculations!$C$9) + ('Aqueous Species Table'!K223 + ('Aqueous Species Table'!L223*10000)/(Calculations!$C$12+Calculations!$C$9))*(1/(Calculations!$C$8-Calculations!$C$13)) - 'Aqueous Species Table'!O223*100000*0.0000005903)*41.8393))</f>
        <v>46.999953029855078</v>
      </c>
      <c r="H223" s="29">
        <f>IF(ISBLANK('Aqueous Species Options'!B223), "", IF('Aqueous Species Options'!L223 = 1, IF(ISBLANK('Aqueous Species Options'!H223), "", 'Aqueous Species Options'!H223), 'Aqueous Species Table'!M223 + 'Aqueous Species Table'!N223*10000*(1/(Calculations!$C$8-Calculations!$C$13))^2 + 'Aqueous Species Table'!O223*100000*Calculations!$C$8*Calculations!$C$7))</f>
        <v>-43.599816564632178</v>
      </c>
      <c r="I223" s="42">
        <f>IF(ISBLANK('Aqueous Species Options'!B223), "", IF('Aqueous Species Options'!L223=0, 'Aqueous Species Options'!N223, IF(OR(ISBLANK('Aqueous Species Options'!G223),'Aqueous Species Table'!O223="", 'Aqueous Species Table'!P223=""), "", IF('Aqueous Species Options'!B223="H+", 0, (CHOOSE('Aqueous Species Options'!M223+1,'Aqueous Species Options'!$V$4*ABS('Aqueous Species Table'!P223)+'Aqueous Species Options'!$W$4,'Aqueous Species Options'!$Z$4)*('Aqueous Species Options'!G223 + 'Aqueous Species Table'!O223*100000*0.0000005903*41.8393) + CHOOSE('Aqueous Species Options'!M223+1,'Aqueous Species Options'!$X$4*ABS('Aqueous Species Table'!P223)+'Aqueous Species Options'!$Y$4,'Aqueous Species Options'!$AA$4))*10 ) ) ) )</f>
        <v>16.367212359470173</v>
      </c>
      <c r="J223" s="42">
        <f>IF(ISBLANK('Aqueous Species Options'!B223), "", IF('Aqueous Species Options'!L223 = 0, 'Aqueous Species Options'!O223, IF('Aqueous Species Table'!I223="", "", IF('Aqueous Species Options'!B223="H+", 0, ((1.11*('Aqueous Species Options'!G223 + 'Aqueous Species Table'!O223*100000*0.0000005903*41.8393)+1.8)/41.8393 - 'Aqueous Species Table'!I223/10)*26.01 ) ) ) )</f>
        <v>-4.4097318669118843</v>
      </c>
      <c r="K223" s="42">
        <f>IF(ISBLANK('Aqueous Species Options'!B223), "", IF('Aqueous Species Options'!L223 = 0, 'Aqueous Species Options'!P223, IF('Aqueous Species Table'!I223="", "", IF('Aqueous Species Options'!B223="H+", 0, ('Aqueous Species Options'!G223/41.8393 + 'Aqueous Species Table'!O223*100000*0.0000005903 - 'Aqueous Species Table'!I223/10 - 'Aqueous Species Table'!J223*100/2601)*(298.15-228) - ('Aqueous Species Table'!L223*10000/2601) ) ) ) )</f>
        <v>-2.9349769573136122</v>
      </c>
      <c r="L223" s="42">
        <f>IF(ISBLANK('Aqueous Species Options'!B223), "", IF('Aqueous Species Options'!L223 = 0, 'Aqueous Species Options'!Q223, IF('Aqueous Species Table'!J223="", "", IF('Aqueous Species Options'!B223="H+", 0, (-4.134*'Aqueous Species Table'!J223*100 - 27790)*0.0001) ) ) )</f>
        <v>-2.5967016846218627</v>
      </c>
      <c r="M223" s="42">
        <f>IF(ISBLANK('Aqueous Species Options'!B223), "", IF('Aqueous Species Options'!L223=0, 'Aqueous Species Options'!R223, IF('Aqueous Species Table'!N223="", "", IF('Aqueous Species Options'!B223="H+", 0, 'Aqueous Species Options'!H223 - 'Aqueous Species Table'!O223*100000*(-0.000000309)*298.15 - 'Aqueous Species Table'!N223*10000/(298.15-228)^2 ) ) ) )</f>
        <v>5.5360647110241246</v>
      </c>
      <c r="N223" s="42">
        <f>IF(ISBLANK('Aqueous Species Options'!B223), "", IF('Aqueous Species Options'!L223=0, 'Aqueous Species Options'!S223, IF(OR(ISBLANK('Aqueous Species Options'!H223), 'Aqueous Species Table'!O223=""), "", IF('Aqueous Species Options'!B223="H+", 0, 0.2037*'Aqueous Species Options'!H223 - 3.0346) ) ) )</f>
        <v>-11.915882634215574</v>
      </c>
      <c r="O223" s="42">
        <f>IF(ISBLANK('Aqueous Species Options'!B223), "", IF('Aqueous Species Options'!K223=0, 'Aqueous Species Options'!I223, IF(OR('Aqueous Species Options'!J223&gt;4,'Aqueous Species Options'!J223&lt;-4), "", IF('Aqueous Species Options'!B223="H+", 0, IF('Aqueous Species Options'!J223=0, -0.038, IF(ISBLANK('Aqueous Species Options'!F223), "", -1514.4*'Aqueous Species Options'!F223*0.00001 + SUM(({4,3,2,1,-1,-2,-3,-4}='Aqueous Species Options'!J223)*{2.1764,1.5793,1.0579,0.5517,1.6291,3.2127,4.8115,6.486}) ) ) ) ) ) )</f>
        <v>2.7050999999999998</v>
      </c>
      <c r="P223" s="1">
        <f>IF(ISBLANK('Aqueous Species Options'!J223), "", 'Aqueous Species Options'!J223)</f>
        <v>-2</v>
      </c>
      <c r="Q223" s="184" t="str">
        <f>IF(ISBLANK('Aqueous Species Options'!T223), "", 'Aqueous Species Options'!T223)</f>
        <v>Shock &amp; Helgeson (1988) revised with new predicted a1 for ions</v>
      </c>
    </row>
    <row r="224" spans="2:17" ht="32" x14ac:dyDescent="0.2">
      <c r="B224" s="9" t="str">
        <f>IF(ISBLANK('Aqueous Species Options'!B224), "", 'Aqueous Species Options'!B224)</f>
        <v>S5O6-2</v>
      </c>
      <c r="C224" s="9" t="str">
        <f>IF(ISBLANK('Aqueous Species Options'!C224), "", 'Aqueous Species Options'!C224)</f>
        <v>S5O6(-2)</v>
      </c>
      <c r="D224" s="2">
        <f>IF(ISBLANK('Aqueous Species Options'!D224), "", 'Aqueous Species Options'!D224)</f>
        <v>-229000</v>
      </c>
      <c r="E224" s="1">
        <f>IF(ISBLANK('Aqueous Species Options'!E224), "", 'Aqueous Species Options'!E224)</f>
        <v>-281000</v>
      </c>
      <c r="F224" s="139">
        <f>IF(ISBLANK('Aqueous Species Options'!F224), "", 'Aqueous Species Options'!F224)</f>
        <v>40</v>
      </c>
      <c r="G224" s="29">
        <f>IF(ISBLANK('Aqueous Species Options'!B224), "", IF('Aqueous Species Options'!L224 = 1, IF(ISBLANK('Aqueous Species Options'!G224), "", 'Aqueous Species Options'!G224), ('Aqueous Species Table'!I224/10 + ('Aqueous Species Table'!J224*100)/(Calculations!$C$12+Calculations!$C$9) + ('Aqueous Species Table'!K224 + ('Aqueous Species Table'!L224*10000)/(Calculations!$C$12+Calculations!$C$9))*(1/(Calculations!$C$8-Calculations!$C$13)) - 'Aqueous Species Table'!O224*100000*0.0000005903)*41.8393))</f>
        <v>53.399919877335606</v>
      </c>
      <c r="H224" s="29">
        <f>IF(ISBLANK('Aqueous Species Options'!B224), "", IF('Aqueous Species Options'!L224 = 1, IF(ISBLANK('Aqueous Species Options'!H224), "", 'Aqueous Species Options'!H224), 'Aqueous Species Table'!M224 + 'Aqueous Species Table'!N224*10000*(1/(Calculations!$C$8-Calculations!$C$13))^2 + 'Aqueous Species Table'!O224*100000*Calculations!$C$8*Calculations!$C$7))</f>
        <v>-38.49991853575316</v>
      </c>
      <c r="I224" s="42">
        <f>IF(ISBLANK('Aqueous Species Options'!B224), "", IF('Aqueous Species Options'!L224=0, 'Aqueous Species Options'!N224, IF(OR(ISBLANK('Aqueous Species Options'!G224),'Aqueous Species Table'!O224="", 'Aqueous Species Table'!P224=""), "", IF('Aqueous Species Options'!B224="H+", 0, (CHOOSE('Aqueous Species Options'!M224+1,'Aqueous Species Options'!$V$4*ABS('Aqueous Species Table'!P224)+'Aqueous Species Options'!$W$4,'Aqueous Species Options'!$Z$4)*('Aqueous Species Options'!G224 + 'Aqueous Species Table'!O224*100000*0.0000005903*41.8393) + CHOOSE('Aqueous Species Options'!M224+1,'Aqueous Species Options'!$X$4*ABS('Aqueous Species Table'!P224)+'Aqueous Species Options'!$Y$4,'Aqueous Species Options'!$AA$4))*10 ) ) ) )</f>
        <v>17.839868446592046</v>
      </c>
      <c r="J224" s="42">
        <f>IF(ISBLANK('Aqueous Species Options'!B224), "", IF('Aqueous Species Options'!L224 = 0, 'Aqueous Species Options'!O224, IF('Aqueous Species Table'!I224="", "", IF('Aqueous Species Options'!B224="H+", 0, ((1.11*('Aqueous Species Options'!G224 + 'Aqueous Species Table'!O224*100000*0.0000005903*41.8393)+1.8)/41.8393 - 'Aqueous Species Table'!I224/10)*26.01 ) ) ) )</f>
        <v>-3.9899953450083805</v>
      </c>
      <c r="K224" s="42">
        <f>IF(ISBLANK('Aqueous Species Options'!B224), "", IF('Aqueous Species Options'!L224 = 0, 'Aqueous Species Options'!P224, IF('Aqueous Species Table'!I224="", "", IF('Aqueous Species Options'!B224="H+", 0, ('Aqueous Species Options'!G224/41.8393 + 'Aqueous Species Table'!O224*100000*0.0000005903 - 'Aqueous Species Table'!I224/10 - 'Aqueous Species Table'!J224*100/2601)*(298.15-228) - ('Aqueous Species Table'!L224*10000/2601) ) ) ) )</f>
        <v>-4.0042105737938627</v>
      </c>
      <c r="L224" s="42">
        <f>IF(ISBLANK('Aqueous Species Options'!B224), "", IF('Aqueous Species Options'!L224 = 0, 'Aqueous Species Options'!Q224, IF('Aqueous Species Table'!J224="", "", IF('Aqueous Species Options'!B224="H+", 0, (-4.134*'Aqueous Species Table'!J224*100 - 27790)*0.0001) ) ) )</f>
        <v>-2.6140535924373536</v>
      </c>
      <c r="M224" s="42">
        <f>IF(ISBLANK('Aqueous Species Options'!B224), "", IF('Aqueous Species Options'!L224=0, 'Aqueous Species Options'!R224, IF('Aqueous Species Table'!N224="", "", IF('Aqueous Species Options'!B224="H+", 0, 'Aqueous Species Options'!H224 - 'Aqueous Species Table'!O224*100000*(-0.000000309)*298.15 - 'Aqueous Species Table'!N224*10000/(298.15-228)^2 ) ) ) )</f>
        <v>7.6266678837231829</v>
      </c>
      <c r="N224" s="42">
        <f>IF(ISBLANK('Aqueous Species Options'!B224), "", IF('Aqueous Species Options'!L224=0, 'Aqueous Species Options'!S224, IF(OR(ISBLANK('Aqueous Species Options'!H224), 'Aqueous Species Table'!O224=""), "", IF('Aqueous Species Options'!B224="H+", 0, 0.2037*'Aqueous Species Options'!H224 - 3.0346) ) ) )</f>
        <v>-10.877033405732918</v>
      </c>
      <c r="O224" s="42">
        <f>IF(ISBLANK('Aqueous Species Options'!B224), "", IF('Aqueous Species Options'!K224=0, 'Aqueous Species Options'!I224, IF(OR('Aqueous Species Options'!J224&gt;4,'Aqueous Species Options'!J224&lt;-4), "", IF('Aqueous Species Options'!B224="H+", 0, IF('Aqueous Species Options'!J224=0, -0.038, IF(ISBLANK('Aqueous Species Options'!F224), "", -1514.4*'Aqueous Species Options'!F224*0.00001 + SUM(({4,3,2,1,-1,-2,-3,-4}='Aqueous Species Options'!J224)*{2.1764,1.5793,1.0579,0.5517,1.6291,3.2127,4.8115,6.486}) ) ) ) ) ) )</f>
        <v>2.6076000000000001</v>
      </c>
      <c r="P224" s="1">
        <f>IF(ISBLANK('Aqueous Species Options'!J224), "", 'Aqueous Species Options'!J224)</f>
        <v>-2</v>
      </c>
      <c r="Q224" s="184" t="str">
        <f>IF(ISBLANK('Aqueous Species Options'!T224), "", 'Aqueous Species Options'!T224)</f>
        <v>Shock &amp; Helgeson (1988) revised with new predicted a1 for ions</v>
      </c>
    </row>
    <row r="225" spans="2:17" ht="32" x14ac:dyDescent="0.2">
      <c r="B225" s="9" t="str">
        <f>IF(ISBLANK('Aqueous Species Options'!B225), "", 'Aqueous Species Options'!B225)</f>
        <v>Sc+3</v>
      </c>
      <c r="C225" s="9" t="str">
        <f>IF(ISBLANK('Aqueous Species Options'!C225), "", 'Aqueous Species Options'!C225)</f>
        <v>Sc(+3)</v>
      </c>
      <c r="D225" s="2">
        <f>IF(ISBLANK('Aqueous Species Options'!D225), "", 'Aqueous Species Options'!D225)</f>
        <v>-140200</v>
      </c>
      <c r="E225" s="1">
        <f>IF(ISBLANK('Aqueous Species Options'!E225), "", 'Aqueous Species Options'!E225)</f>
        <v>-146800</v>
      </c>
      <c r="F225" s="139">
        <f>IF(ISBLANK('Aqueous Species Options'!F225), "", 'Aqueous Species Options'!F225)</f>
        <v>-61</v>
      </c>
      <c r="G225" s="29">
        <f>IF(ISBLANK('Aqueous Species Options'!B225), "", IF('Aqueous Species Options'!L225 = 1, IF(ISBLANK('Aqueous Species Options'!G225), "", 'Aqueous Species Options'!G225), ('Aqueous Species Table'!I225/10 + ('Aqueous Species Table'!J225*100)/(Calculations!$C$12+Calculations!$C$9) + ('Aqueous Species Table'!K225 + ('Aqueous Species Table'!L225*10000)/(Calculations!$C$12+Calculations!$C$9))*(1/(Calculations!$C$8-Calculations!$C$13)) - 'Aqueous Species Table'!O225*100000*0.0000005903)*41.8393))</f>
        <v>-41.900041018795427</v>
      </c>
      <c r="H225" s="29">
        <f>IF(ISBLANK('Aqueous Species Options'!B225), "", IF('Aqueous Species Options'!L225 = 1, IF(ISBLANK('Aqueous Species Options'!H225), "", 'Aqueous Species Options'!H225), 'Aqueous Species Table'!M225 + 'Aqueous Species Table'!N225*10000*(1/(Calculations!$C$8-Calculations!$C$13))^2 + 'Aqueous Species Table'!O225*100000*Calculations!$C$8*Calculations!$C$7))</f>
        <v>-35.400314660513331</v>
      </c>
      <c r="I225" s="42">
        <f>IF(ISBLANK('Aqueous Species Options'!B225), "", IF('Aqueous Species Options'!L225=0, 'Aqueous Species Options'!N225, IF(OR(ISBLANK('Aqueous Species Options'!G225),'Aqueous Species Table'!O225="", 'Aqueous Species Table'!P225=""), "", IF('Aqueous Species Options'!B225="H+", 0, (CHOOSE('Aqueous Species Options'!M225+1,'Aqueous Species Options'!$V$4*ABS('Aqueous Species Table'!P225)+'Aqueous Species Options'!$W$4,'Aqueous Species Options'!$Z$4)*('Aqueous Species Options'!G225 + 'Aqueous Species Table'!O225*100000*0.0000005903*41.8393) + CHOOSE('Aqueous Species Options'!M225+1,'Aqueous Species Options'!$X$4*ABS('Aqueous Species Table'!P225)+'Aqueous Species Options'!$Y$4,'Aqueous Species Options'!$AA$4))*10 ) ) ) )</f>
        <v>-8.2115377612841751</v>
      </c>
      <c r="J225" s="42">
        <f>IF(ISBLANK('Aqueous Species Options'!B225), "", IF('Aqueous Species Options'!L225 = 0, 'Aqueous Species Options'!O225, IF('Aqueous Species Table'!I225="", "", IF('Aqueous Species Options'!B225="H+", 0, ((1.11*('Aqueous Species Options'!G225 + 'Aqueous Species Table'!O225*100000*0.0000005903*41.8393)+1.8)/41.8393 - 'Aqueous Species Table'!I225/10)*26.01 ) ) ) )</f>
        <v>-2.174644827219701</v>
      </c>
      <c r="K225" s="42">
        <f>IF(ISBLANK('Aqueous Species Options'!B225), "", IF('Aqueous Species Options'!L225 = 0, 'Aqueous Species Options'!P225, IF('Aqueous Species Table'!I225="", "", IF('Aqueous Species Options'!B225="H+", 0, ('Aqueous Species Options'!G225/41.8393 + 'Aqueous Species Table'!O225*100000*0.0000005903 - 'Aqueous Species Table'!I225/10 - 'Aqueous Species Table'!J225*100/2601)*(298.15-228) - ('Aqueous Species Table'!L225*10000/2601) ) ) ) )</f>
        <v>13.909544099512129</v>
      </c>
      <c r="L225" s="42">
        <f>IF(ISBLANK('Aqueous Species Options'!B225), "", IF('Aqueous Species Options'!L225 = 0, 'Aqueous Species Options'!Q225, IF('Aqueous Species Table'!J225="", "", IF('Aqueous Species Options'!B225="H+", 0, (-4.134*'Aqueous Species Table'!J225*100 - 27790)*0.0001) ) ) )</f>
        <v>-2.6891001828427377</v>
      </c>
      <c r="M225" s="42">
        <f>IF(ISBLANK('Aqueous Species Options'!B225), "", IF('Aqueous Species Options'!L225=0, 'Aqueous Species Options'!R225, IF('Aqueous Species Table'!N225="", "", IF('Aqueous Species Options'!B225="H+", 0, 'Aqueous Species Options'!H225 - 'Aqueous Species Table'!O225*100000*(-0.000000309)*298.15 - 'Aqueous Species Table'!N225*10000/(298.15-228)^2 ) ) ) )</f>
        <v>8.4546896080978406</v>
      </c>
      <c r="N225" s="42">
        <f>IF(ISBLANK('Aqueous Species Options'!B225), "", IF('Aqueous Species Options'!L225=0, 'Aqueous Species Options'!S225, IF(OR(ISBLANK('Aqueous Species Options'!H225), 'Aqueous Species Table'!O225=""), "", IF('Aqueous Species Options'!B225="H+", 0, 0.2037*'Aqueous Species Options'!H225 - 3.0346) ) ) )</f>
        <v>-10.245644096346567</v>
      </c>
      <c r="O225" s="42">
        <f>IF(ISBLANK('Aqueous Species Options'!B225), "", IF('Aqueous Species Options'!K225=0, 'Aqueous Species Options'!I225, IF(OR('Aqueous Species Options'!J225&gt;4,'Aqueous Species Options'!J225&lt;-4), "", IF('Aqueous Species Options'!B225="H+", 0, IF('Aqueous Species Options'!J225=0, -0.038, IF(ISBLANK('Aqueous Species Options'!F225), "", -1514.4*'Aqueous Species Options'!F225*0.00001 + SUM(({4,3,2,1,-1,-2,-3,-4}='Aqueous Species Options'!J225)*{2.1764,1.5793,1.0579,0.5517,1.6291,3.2127,4.8115,6.486}) ) ) ) ) ) )</f>
        <v>2.5003000000000002</v>
      </c>
      <c r="P225" s="1">
        <f>IF(ISBLANK('Aqueous Species Options'!J225), "", 'Aqueous Species Options'!J225)</f>
        <v>3</v>
      </c>
      <c r="Q225" s="184" t="str">
        <f>IF(ISBLANK('Aqueous Species Options'!T225), "", 'Aqueous Species Options'!T225)</f>
        <v>Shock &amp; Helgeson (1988) revised with new predicted a1 for ions</v>
      </c>
    </row>
    <row r="226" spans="2:17" ht="32" x14ac:dyDescent="0.2">
      <c r="B226" s="9" t="str">
        <f>IF(ISBLANK('Aqueous Species Options'!B226), "", 'Aqueous Species Options'!B226)</f>
        <v>SeO3-2</v>
      </c>
      <c r="C226" s="9" t="str">
        <f>IF(ISBLANK('Aqueous Species Options'!C226), "", 'Aqueous Species Options'!C226)</f>
        <v>SeO3(-2)</v>
      </c>
      <c r="D226" s="2">
        <f>IF(ISBLANK('Aqueous Species Options'!D226), "", 'Aqueous Species Options'!D226)</f>
        <v>-88400</v>
      </c>
      <c r="E226" s="1">
        <f>IF(ISBLANK('Aqueous Species Options'!E226), "", 'Aqueous Species Options'!E226)</f>
        <v>-121700</v>
      </c>
      <c r="F226" s="139">
        <f>IF(ISBLANK('Aqueous Species Options'!F226), "", 'Aqueous Species Options'!F226)</f>
        <v>3</v>
      </c>
      <c r="G226" s="29">
        <f>IF(ISBLANK('Aqueous Species Options'!B226), "", IF('Aqueous Species Options'!L226 = 1, IF(ISBLANK('Aqueous Species Options'!G226), "", 'Aqueous Species Options'!G226), ('Aqueous Species Table'!I226/10 + ('Aqueous Species Table'!J226*100)/(Calculations!$C$12+Calculations!$C$9) + ('Aqueous Species Table'!K226 + ('Aqueous Species Table'!L226*10000)/(Calculations!$C$12+Calculations!$C$9))*(1/(Calculations!$C$8-Calculations!$C$13)) - 'Aqueous Species Table'!O226*100000*0.0000005903)*41.8393))</f>
        <v>16.400033062227077</v>
      </c>
      <c r="H226" s="29">
        <f>IF(ISBLANK('Aqueous Species Options'!B226), "", IF('Aqueous Species Options'!L226 = 1, IF(ISBLANK('Aqueous Species Options'!H226), "", 'Aqueous Species Options'!H226), 'Aqueous Species Table'!M226 + 'Aqueous Species Table'!N226*10000*(1/(Calculations!$C$8-Calculations!$C$13))^2 + 'Aqueous Species Table'!O226*100000*Calculations!$C$8*Calculations!$C$7))</f>
        <v>-68.100161157807463</v>
      </c>
      <c r="I226" s="42">
        <f>IF(ISBLANK('Aqueous Species Options'!B226), "", IF('Aqueous Species Options'!L226=0, 'Aqueous Species Options'!N226, IF(OR(ISBLANK('Aqueous Species Options'!G226),'Aqueous Species Table'!O226="", 'Aqueous Species Table'!P226=""), "", IF('Aqueous Species Options'!B226="H+", 0, (CHOOSE('Aqueous Species Options'!M226+1,'Aqueous Species Options'!$V$4*ABS('Aqueous Species Table'!P226)+'Aqueous Species Options'!$W$4,'Aqueous Species Options'!$Z$4)*('Aqueous Species Options'!G226 + 'Aqueous Species Table'!O226*100000*0.0000005903*41.8393) + CHOOSE('Aqueous Species Options'!M226+1,'Aqueous Species Options'!$X$4*ABS('Aqueous Species Table'!P226)+'Aqueous Species Options'!$Y$4,'Aqueous Species Options'!$AA$4))*10 ) ) ) )</f>
        <v>9.322825411120137</v>
      </c>
      <c r="J226" s="42">
        <f>IF(ISBLANK('Aqueous Species Options'!B226), "", IF('Aqueous Species Options'!L226 = 0, 'Aqueous Species Options'!O226, IF('Aqueous Species Table'!I226="", "", IF('Aqueous Species Options'!B226="H+", 0, ((1.11*('Aqueous Species Options'!G226 + 'Aqueous Species Table'!O226*100000*0.0000005903*41.8393)+1.8)/41.8393 - 'Aqueous Species Table'!I226/10)*26.01 ) ) ) )</f>
        <v>-6.4175234365114475</v>
      </c>
      <c r="K226" s="42">
        <f>IF(ISBLANK('Aqueous Species Options'!B226), "", IF('Aqueous Species Options'!L226 = 0, 'Aqueous Species Options'!P226, IF('Aqueous Species Table'!I226="", "", IF('Aqueous Species Options'!B226="H+", 0, ('Aqueous Species Options'!G226/41.8393 + 'Aqueous Species Table'!O226*100000*0.0000005903 - 'Aqueous Species Table'!I226/10 - 'Aqueous Species Table'!J226*100/2601)*(298.15-228) - ('Aqueous Species Table'!L226*10000/2601) ) ) ) )</f>
        <v>2.1796559828123065</v>
      </c>
      <c r="L226" s="42">
        <f>IF(ISBLANK('Aqueous Species Options'!B226), "", IF('Aqueous Species Options'!L226 = 0, 'Aqueous Species Options'!Q226, IF('Aqueous Species Table'!J226="", "", IF('Aqueous Species Options'!B226="H+", 0, (-4.134*'Aqueous Species Table'!J226*100 - 27790)*0.0001) ) ) )</f>
        <v>-2.5136995811346172</v>
      </c>
      <c r="M226" s="42">
        <f>IF(ISBLANK('Aqueous Species Options'!B226), "", IF('Aqueous Species Options'!L226=0, 'Aqueous Species Options'!R226, IF('Aqueous Species Table'!N226="", "", IF('Aqueous Species Options'!B226="H+", 0, 'Aqueous Species Options'!H226 - 'Aqueous Species Table'!O226*100000*(-0.000000309)*298.15 - 'Aqueous Species Table'!N226*10000/(298.15-228)^2 ) ) ) )</f>
        <v>-4.5782942535410527</v>
      </c>
      <c r="N226" s="42">
        <f>IF(ISBLANK('Aqueous Species Options'!B226), "", IF('Aqueous Species Options'!L226=0, 'Aqueous Species Options'!S226, IF(OR(ISBLANK('Aqueous Species Options'!H226), 'Aqueous Species Table'!O226=""), "", IF('Aqueous Species Options'!B226="H+", 0, 0.2037*'Aqueous Species Options'!H226 - 3.0346) ) ) )</f>
        <v>-16.906602827845379</v>
      </c>
      <c r="O226" s="42">
        <f>IF(ISBLANK('Aqueous Species Options'!B226), "", IF('Aqueous Species Options'!K226=0, 'Aqueous Species Options'!I226, IF(OR('Aqueous Species Options'!J226&gt;4,'Aqueous Species Options'!J226&lt;-4), "", IF('Aqueous Species Options'!B226="H+", 0, IF('Aqueous Species Options'!J226=0, -0.038, IF(ISBLANK('Aqueous Species Options'!F226), "", -1514.4*'Aqueous Species Options'!F226*0.00001 + SUM(({4,3,2,1,-1,-2,-3,-4}='Aqueous Species Options'!J226)*{2.1764,1.5793,1.0579,0.5517,1.6291,3.2127,4.8115,6.486}) ) ) ) ) ) )</f>
        <v>3.1657999999999999</v>
      </c>
      <c r="P226" s="1">
        <f>IF(ISBLANK('Aqueous Species Options'!J226), "", 'Aqueous Species Options'!J226)</f>
        <v>-2</v>
      </c>
      <c r="Q226" s="184" t="str">
        <f>IF(ISBLANK('Aqueous Species Options'!T226), "", 'Aqueous Species Options'!T226)</f>
        <v>Shock &amp; Helgeson (1988) revised with new predicted a1 for ions</v>
      </c>
    </row>
    <row r="227" spans="2:17" ht="32" x14ac:dyDescent="0.2">
      <c r="B227" s="9" t="str">
        <f>IF(ISBLANK('Aqueous Species Options'!B227), "", 'Aqueous Species Options'!B227)</f>
        <v>SeO4-2</v>
      </c>
      <c r="C227" s="9" t="str">
        <f>IF(ISBLANK('Aqueous Species Options'!C227), "", 'Aqueous Species Options'!C227)</f>
        <v>SeO4(-2)</v>
      </c>
      <c r="D227" s="2">
        <f>IF(ISBLANK('Aqueous Species Options'!D227), "", 'Aqueous Species Options'!D227)</f>
        <v>-105500</v>
      </c>
      <c r="E227" s="1">
        <f>IF(ISBLANK('Aqueous Species Options'!E227), "", 'Aqueous Species Options'!E227)</f>
        <v>-143200</v>
      </c>
      <c r="F227" s="139">
        <f>IF(ISBLANK('Aqueous Species Options'!F227), "", 'Aqueous Species Options'!F227)</f>
        <v>12.9</v>
      </c>
      <c r="G227" s="29">
        <f>IF(ISBLANK('Aqueous Species Options'!B227), "", IF('Aqueous Species Options'!L227 = 1, IF(ISBLANK('Aqueous Species Options'!G227), "", 'Aqueous Species Options'!G227), ('Aqueous Species Table'!I227/10 + ('Aqueous Species Table'!J227*100)/(Calculations!$C$12+Calculations!$C$9) + ('Aqueous Species Table'!K227 + ('Aqueous Species Table'!L227*10000)/(Calculations!$C$12+Calculations!$C$9))*(1/(Calculations!$C$8-Calculations!$C$13)) - 'Aqueous Species Table'!O227*100000*0.0000005903)*41.8393))</f>
        <v>20.700183756115845</v>
      </c>
      <c r="H227" s="29">
        <f>IF(ISBLANK('Aqueous Species Options'!B227), "", IF('Aqueous Species Options'!L227 = 1, IF(ISBLANK('Aqueous Species Options'!H227), "", 'Aqueous Species Options'!H227), 'Aqueous Species Table'!M227 + 'Aqueous Species Table'!N227*10000*(1/(Calculations!$C$8-Calculations!$C$13))^2 + 'Aqueous Species Table'!O227*100000*Calculations!$C$8*Calculations!$C$7))</f>
        <v>-60.199604228933985</v>
      </c>
      <c r="I227" s="42">
        <f>IF(ISBLANK('Aqueous Species Options'!B227), "", IF('Aqueous Species Options'!L227=0, 'Aqueous Species Options'!N227, IF(OR(ISBLANK('Aqueous Species Options'!G227),'Aqueous Species Table'!O227="", 'Aqueous Species Table'!P227=""), "", IF('Aqueous Species Options'!B227="H+", 0, (CHOOSE('Aqueous Species Options'!M227+1,'Aqueous Species Options'!$V$4*ABS('Aqueous Species Table'!P227)+'Aqueous Species Options'!$W$4,'Aqueous Species Options'!$Z$4)*('Aqueous Species Options'!G227 + 'Aqueous Species Table'!O227*100000*0.0000005903*41.8393) + CHOOSE('Aqueous Species Options'!M227+1,'Aqueous Species Options'!$X$4*ABS('Aqueous Species Table'!P227)+'Aqueous Species Options'!$Y$4,'Aqueous Species Options'!$AA$4))*10 ) ) ) )</f>
        <v>10.264420779835801</v>
      </c>
      <c r="J227" s="42">
        <f>IF(ISBLANK('Aqueous Species Options'!B227), "", IF('Aqueous Species Options'!L227 = 0, 'Aqueous Species Options'!O227, IF('Aqueous Species Table'!I227="", "", IF('Aqueous Species Options'!B227="H+", 0, ((1.11*('Aqueous Species Options'!G227 + 'Aqueous Species Table'!O227*100000*0.0000005903*41.8393)+1.8)/41.8393 - 'Aqueous Species Table'!I227/10)*26.01 ) ) ) )</f>
        <v>-6.1491498708423853</v>
      </c>
      <c r="K227" s="42">
        <f>IF(ISBLANK('Aqueous Species Options'!B227), "", IF('Aqueous Species Options'!L227 = 0, 'Aqueous Species Options'!P227, IF('Aqueous Species Table'!I227="", "", IF('Aqueous Species Options'!B227="H+", 0, ('Aqueous Species Options'!G227/41.8393 + 'Aqueous Species Table'!O227*100000*0.0000005903 - 'Aqueous Species Table'!I227/10 - 'Aqueous Species Table'!J227*100/2601)*(298.15-228) - ('Aqueous Species Table'!L227*10000/2601) ) ) ) )</f>
        <v>1.4960032072884974</v>
      </c>
      <c r="L227" s="42">
        <f>IF(ISBLANK('Aqueous Species Options'!B227), "", IF('Aqueous Species Options'!L227 = 0, 'Aqueous Species Options'!Q227, IF('Aqueous Species Table'!J227="", "", IF('Aqueous Species Options'!B227="H+", 0, (-4.134*'Aqueous Species Table'!J227*100 - 27790)*0.0001) ) ) )</f>
        <v>-2.5247941443393755</v>
      </c>
      <c r="M227" s="42">
        <f>IF(ISBLANK('Aqueous Species Options'!B227), "", IF('Aqueous Species Options'!L227=0, 'Aqueous Species Options'!R227, IF('Aqueous Species Table'!N227="", "", IF('Aqueous Species Options'!B227="H+", 0, 'Aqueous Species Options'!H227 - 'Aqueous Species Table'!O227*100000*(-0.000000309)*298.15 - 'Aqueous Species Table'!N227*10000/(298.15-228)^2 ) ) ) )</f>
        <v>-1.298682540907194</v>
      </c>
      <c r="N227" s="42">
        <f>IF(ISBLANK('Aqueous Species Options'!B227), "", IF('Aqueous Species Options'!L227=0, 'Aqueous Species Options'!S227, IF(OR(ISBLANK('Aqueous Species Options'!H227), 'Aqueous Species Table'!O227=""), "", IF('Aqueous Species Options'!B227="H+", 0, 0.2037*'Aqueous Species Options'!H227 - 3.0346) ) ) )</f>
        <v>-15.297259381433854</v>
      </c>
      <c r="O227" s="42">
        <f>IF(ISBLANK('Aqueous Species Options'!B227), "", IF('Aqueous Species Options'!K227=0, 'Aqueous Species Options'!I227, IF(OR('Aqueous Species Options'!J227&gt;4,'Aqueous Species Options'!J227&lt;-4), "", IF('Aqueous Species Options'!B227="H+", 0, IF('Aqueous Species Options'!J227=0, -0.038, IF(ISBLANK('Aqueous Species Options'!F227), "", -1514.4*'Aqueous Species Options'!F227*0.00001 + SUM(({4,3,2,1,-1,-2,-3,-4}='Aqueous Species Options'!J227)*{2.1764,1.5793,1.0579,0.5517,1.6291,3.2127,4.8115,6.486}) ) ) ) ) ) )</f>
        <v>3.0192000000000001</v>
      </c>
      <c r="P227" s="1">
        <f>IF(ISBLANK('Aqueous Species Options'!J227), "", 'Aqueous Species Options'!J227)</f>
        <v>-2</v>
      </c>
      <c r="Q227" s="184" t="str">
        <f>IF(ISBLANK('Aqueous Species Options'!T227), "", 'Aqueous Species Options'!T227)</f>
        <v>Shock &amp; Helgeson (1988) revised with new predicted a1 for ions</v>
      </c>
    </row>
    <row r="228" spans="2:17" ht="32" x14ac:dyDescent="0.2">
      <c r="B228" s="9" t="str">
        <f>IF(ISBLANK('Aqueous Species Options'!B228), "", 'Aqueous Species Options'!B228)</f>
        <v>Si2O4,aq</v>
      </c>
      <c r="C228" s="9" t="str">
        <f>IF(ISBLANK('Aqueous Species Options'!C228), "", 'Aqueous Species Options'!C228)</f>
        <v>Si2O4(0)</v>
      </c>
      <c r="D228" s="2">
        <f>IF(ISBLANK('Aqueous Species Options'!D228), "", 'Aqueous Species Options'!D228)</f>
        <v>-400751</v>
      </c>
      <c r="E228" s="1">
        <f>IF(ISBLANK('Aqueous Species Options'!E228), "", 'Aqueous Species Options'!E228)</f>
        <v>-427304</v>
      </c>
      <c r="F228" s="139">
        <f>IF(ISBLANK('Aqueous Species Options'!F228), "", 'Aqueous Species Options'!F228)</f>
        <v>18</v>
      </c>
      <c r="G228" s="29">
        <f>IF(ISBLANK('Aqueous Species Options'!B228), "", IF('Aqueous Species Options'!L228 = 1, IF(ISBLANK('Aqueous Species Options'!G228), "", 'Aqueous Species Options'!G228), ('Aqueous Species Table'!I228/10 + ('Aqueous Species Table'!J228*100)/(Calculations!$C$12+Calculations!$C$9) + ('Aqueous Species Table'!K228 + ('Aqueous Species Table'!L228*10000)/(Calculations!$C$12+Calculations!$C$9))*(1/(Calculations!$C$8-Calculations!$C$13)) - 'Aqueous Species Table'!O228*100000*0.0000005903)*41.8393))</f>
        <v>40.000174025236504</v>
      </c>
      <c r="H228" s="29">
        <f>IF(ISBLANK('Aqueous Species Options'!B228), "", IF('Aqueous Species Options'!L228 = 1, IF(ISBLANK('Aqueous Species Options'!H228), "", 'Aqueous Species Options'!H228), 'Aqueous Species Table'!M228 + 'Aqueous Species Table'!N228*10000*(1/(Calculations!$C$8-Calculations!$C$13))^2 + 'Aqueous Species Table'!O228*100000*Calculations!$C$8*Calculations!$C$7))</f>
        <v>48.999991704543376</v>
      </c>
      <c r="I228" s="42">
        <f>IF(ISBLANK('Aqueous Species Options'!B228), "", IF('Aqueous Species Options'!L228=0, 'Aqueous Species Options'!N228, IF(OR(ISBLANK('Aqueous Species Options'!G228),'Aqueous Species Table'!O228="", 'Aqueous Species Table'!P228=""), "", IF('Aqueous Species Options'!B228="H+", 0, (CHOOSE('Aqueous Species Options'!M228+1,'Aqueous Species Options'!$V$4*ABS('Aqueous Species Table'!P228)+'Aqueous Species Options'!$W$4,'Aqueous Species Options'!$Z$4)*('Aqueous Species Options'!G228 + 'Aqueous Species Table'!O228*100000*0.0000005903*41.8393) + CHOOSE('Aqueous Species Options'!M228+1,'Aqueous Species Options'!$X$4*ABS('Aqueous Species Table'!P228)+'Aqueous Species Options'!$Y$4,'Aqueous Species Options'!$AA$4))*10 ) ) ) )</f>
        <v>10.0724</v>
      </c>
      <c r="J228" s="42">
        <f>IF(ISBLANK('Aqueous Species Options'!B228), "", IF('Aqueous Species Options'!L228 = 0, 'Aqueous Species Options'!O228, IF('Aqueous Species Table'!I228="", "", IF('Aqueous Species Options'!B228="H+", 0, ((1.11*('Aqueous Species Options'!G228 + 'Aqueous Species Table'!O228*100000*0.0000005903*41.8393)+1.8)/41.8393 - 'Aqueous Species Table'!I228/10)*26.01 ) ) ) )</f>
        <v>2.6930999999999998</v>
      </c>
      <c r="K228" s="42">
        <f>IF(ISBLANK('Aqueous Species Options'!B228), "", IF('Aqueous Species Options'!L228 = 0, 'Aqueous Species Options'!P228, IF('Aqueous Species Table'!I228="", "", IF('Aqueous Species Options'!B228="H+", 0, ('Aqueous Species Options'!G228/41.8393 + 'Aqueous Species Table'!O228*100000*0.0000005903 - 'Aqueous Species Table'!I228/10 - 'Aqueous Species Table'!J228*100/2601)*(298.15-228) - ('Aqueous Species Table'!L228*10000/2601) ) ) ) )</f>
        <v>0.67149999999999999</v>
      </c>
      <c r="L228" s="42">
        <f>IF(ISBLANK('Aqueous Species Options'!B228), "", IF('Aqueous Species Options'!L228 = 0, 'Aqueous Species Options'!Q228, IF('Aqueous Species Table'!J228="", "", IF('Aqueous Species Options'!B228="H+", 0, (-4.134*'Aqueous Species Table'!J228*100 - 27790)*0.0001) ) ) )</f>
        <v>-2.8902999999999999</v>
      </c>
      <c r="M228" s="42">
        <f>IF(ISBLANK('Aqueous Species Options'!B228), "", IF('Aqueous Species Options'!L228=0, 'Aqueous Species Options'!R228, IF('Aqueous Species Table'!N228="", "", IF('Aqueous Species Options'!B228="H+", 0, 'Aqueous Species Options'!H228 - 'Aqueous Species Table'!O228*100000*(-0.000000309)*298.15 - 'Aqueous Species Table'!N228*10000/(298.15-228)^2 ) ) ) )</f>
        <v>35.804900000000004</v>
      </c>
      <c r="N228" s="42">
        <f>IF(ISBLANK('Aqueous Species Options'!B228), "", IF('Aqueous Species Options'!L228=0, 'Aqueous Species Options'!S228, IF(OR(ISBLANK('Aqueous Species Options'!H228), 'Aqueous Species Table'!O228=""), "", IF('Aqueous Species Options'!B228="H+", 0, 0.2037*'Aqueous Species Options'!H228 - 3.0346) ) ) )</f>
        <v>6.9466999999999999</v>
      </c>
      <c r="O228" s="42">
        <f>IF(ISBLANK('Aqueous Species Options'!B228), "", IF('Aqueous Species Options'!K228=0, 'Aqueous Species Options'!I228, IF(OR('Aqueous Species Options'!J228&gt;4,'Aqueous Species Options'!J228&lt;-4), "", IF('Aqueous Species Options'!B228="H+", 0, IF('Aqueous Species Options'!J228=0, -0.038, IF(ISBLANK('Aqueous Species Options'!F228), "", -1514.4*'Aqueous Species Options'!F228*0.00001 + SUM(({4,3,2,1,-1,-2,-3,-4}='Aqueous Species Options'!J228)*{2.1764,1.5793,1.0579,0.5517,1.6291,3.2127,4.8115,6.486}) ) ) ) ) ) )</f>
        <v>0.1</v>
      </c>
      <c r="P228" s="1">
        <f>IF(ISBLANK('Aqueous Species Options'!J228), "", 'Aqueous Species Options'!J228)</f>
        <v>0</v>
      </c>
      <c r="Q228" s="184" t="str">
        <f>IF(ISBLANK('Aqueous Species Options'!T228), "", 'Aqueous Species Options'!T228)</f>
        <v>Fit to Raman speciation and quartz solubility data (Sverjensky et al., 2014).</v>
      </c>
    </row>
    <row r="229" spans="2:17" ht="16" x14ac:dyDescent="0.2">
      <c r="B229" s="9" t="str">
        <f>IF(ISBLANK('Aqueous Species Options'!B229), "", 'Aqueous Species Options'!B229)</f>
        <v>Si3O6,aq</v>
      </c>
      <c r="C229" s="9" t="str">
        <f>IF(ISBLANK('Aqueous Species Options'!C229), "", 'Aqueous Species Options'!C229)</f>
        <v>Si3O6(0)</v>
      </c>
      <c r="D229" s="2">
        <f>IF(ISBLANK('Aqueous Species Options'!D229), "", 'Aqueous Species Options'!D229)</f>
        <v>-590200</v>
      </c>
      <c r="E229" s="1">
        <f>IF(ISBLANK('Aqueous Species Options'!E229), "", 'Aqueous Species Options'!E229)</f>
        <v>-656130</v>
      </c>
      <c r="F229" s="139">
        <f>IF(ISBLANK('Aqueous Species Options'!F229), "", 'Aqueous Species Options'!F229)</f>
        <v>13</v>
      </c>
      <c r="G229" s="29">
        <f>IF(ISBLANK('Aqueous Species Options'!B229), "", IF('Aqueous Species Options'!L229 = 1, IF(ISBLANK('Aqueous Species Options'!G229), "", 'Aqueous Species Options'!G229), ('Aqueous Species Table'!I229/10 + ('Aqueous Species Table'!J229*100)/(Calculations!$C$12+Calculations!$C$9) + ('Aqueous Species Table'!K229 + ('Aqueous Species Table'!L229*10000)/(Calculations!$C$12+Calculations!$C$9))*(1/(Calculations!$C$8-Calculations!$C$13)) - 'Aqueous Species Table'!O229*100000*0.0000005903)*41.8393))</f>
        <v>67.7</v>
      </c>
      <c r="H229" s="29">
        <f>IF(ISBLANK('Aqueous Species Options'!B229), "", IF('Aqueous Species Options'!L229 = 1, IF(ISBLANK('Aqueous Species Options'!H229), "", 'Aqueous Species Options'!H229), 'Aqueous Species Table'!M229 + 'Aqueous Species Table'!N229*10000*(1/(Calculations!$C$8-Calculations!$C$13))^2 + 'Aqueous Species Table'!O229*100000*Calculations!$C$8*Calculations!$C$7))</f>
        <v>119</v>
      </c>
      <c r="I229" s="42">
        <f>IF(ISBLANK('Aqueous Species Options'!B229), "", IF('Aqueous Species Options'!L229=0, 'Aqueous Species Options'!N229, IF(OR(ISBLANK('Aqueous Species Options'!G229),'Aqueous Species Table'!O229="", 'Aqueous Species Table'!P229=""), "", IF('Aqueous Species Options'!B229="H+", 0, (CHOOSE('Aqueous Species Options'!M229+1,'Aqueous Species Options'!$V$4*ABS('Aqueous Species Table'!P229)+'Aqueous Species Options'!$W$4,'Aqueous Species Options'!$Z$4)*('Aqueous Species Options'!G229 + 'Aqueous Species Table'!O229*100000*0.0000005903*41.8393) + CHOOSE('Aqueous Species Options'!M229+1,'Aqueous Species Options'!$X$4*ABS('Aqueous Species Table'!P229)+'Aqueous Species Options'!$Y$4,'Aqueous Species Options'!$AA$4))*10 ) ) ) )</f>
        <v>15.148071785040591</v>
      </c>
      <c r="J229" s="42">
        <f>IF(ISBLANK('Aqueous Species Options'!B229), "", IF('Aqueous Species Options'!L229 = 0, 'Aqueous Species Options'!O229, IF('Aqueous Species Table'!I229="", "", IF('Aqueous Species Options'!B229="H+", 0, ((1.11*('Aqueous Species Options'!G229 + 'Aqueous Species Table'!O229*100000*0.0000005903*41.8393)+1.8)/41.8393 - 'Aqueous Species Table'!I229/10)*26.01 ) ) ) )</f>
        <v>10.139330780987116</v>
      </c>
      <c r="K229" s="42">
        <f>IF(ISBLANK('Aqueous Species Options'!B229), "", IF('Aqueous Species Options'!L229 = 0, 'Aqueous Species Options'!P229, IF('Aqueous Species Table'!I229="", "", IF('Aqueous Species Options'!B229="H+", 0, ('Aqueous Species Options'!G229/41.8393 + 'Aqueous Species Table'!O229*100000*0.0000005903 - 'Aqueous Species Table'!I229/10 - 'Aqueous Species Table'!J229*100/2601)*(298.15-228) - ('Aqueous Species Table'!L229*10000/2601) ) ) ) )</f>
        <v>-3.6636320227121324</v>
      </c>
      <c r="L229" s="42">
        <f>IF(ISBLANK('Aqueous Species Options'!B229), "", IF('Aqueous Species Options'!L229 = 0, 'Aqueous Species Options'!Q229, IF('Aqueous Species Table'!J229="", "", IF('Aqueous Species Options'!B229="H+", 0, (-4.134*'Aqueous Species Table'!J229*100 - 27790)*0.0001) ) ) )</f>
        <v>-3.1981599344860077</v>
      </c>
      <c r="M229" s="42">
        <f>IF(ISBLANK('Aqueous Species Options'!B229), "", IF('Aqueous Species Options'!L229=0, 'Aqueous Species Options'!R229, IF('Aqueous Species Table'!N229="", "", IF('Aqueous Species Options'!B229="H+", 0, 'Aqueous Species Options'!H229 - 'Aqueous Species Table'!O229*100000*(-0.000000309)*298.15 - 'Aqueous Species Table'!N229*10000/(298.15-228)^2 ) ) ) )</f>
        <v>85.120774356099218</v>
      </c>
      <c r="N229" s="42">
        <f>IF(ISBLANK('Aqueous Species Options'!B229), "", IF('Aqueous Species Options'!L229=0, 'Aqueous Species Options'!S229, IF(OR(ISBLANK('Aqueous Species Options'!H229), 'Aqueous Species Table'!O229=""), "", IF('Aqueous Species Options'!B229="H+", 0, 0.2037*'Aqueous Species Options'!H229 - 3.0346) ) ) )</f>
        <v>21.205699999999997</v>
      </c>
      <c r="O229" s="42">
        <f>IF(ISBLANK('Aqueous Species Options'!B229), "", IF('Aqueous Species Options'!K229=0, 'Aqueous Species Options'!I229, IF(OR('Aqueous Species Options'!J229&gt;4,'Aqueous Species Options'!J229&lt;-4), "", IF('Aqueous Species Options'!B229="H+", 0, IF('Aqueous Species Options'!J229=0, -0.038, IF(ISBLANK('Aqueous Species Options'!F229), "", -1514.4*'Aqueous Species Options'!F229*0.00001 + SUM(({4,3,2,1,-1,-2,-3,-4}='Aqueous Species Options'!J229)*{2.1764,1.5793,1.0579,0.5517,1.6291,3.2127,4.8115,6.486}) ) ) ) ) ) )</f>
        <v>1</v>
      </c>
      <c r="P229" s="1">
        <f>IF(ISBLANK('Aqueous Species Options'!J229), "", 'Aqueous Species Options'!J229)</f>
        <v>0</v>
      </c>
      <c r="Q229" s="184" t="str">
        <f>IF(ISBLANK('Aqueous Species Options'!T229), "", 'Aqueous Species Options'!T229)</f>
        <v>Huang &amp; Sverjensky (2019)</v>
      </c>
    </row>
    <row r="230" spans="2:17" ht="32" x14ac:dyDescent="0.2">
      <c r="B230" s="9" t="str">
        <f>IF(ISBLANK('Aqueous Species Options'!B230), "", 'Aqueous Species Options'!B230)</f>
        <v>SiO2,aq</v>
      </c>
      <c r="C230" s="9" t="str">
        <f>IF(ISBLANK('Aqueous Species Options'!C230), "", 'Aqueous Species Options'!C230)</f>
        <v>SiO2(0)</v>
      </c>
      <c r="D230" s="2">
        <f>IF(ISBLANK('Aqueous Species Options'!D230), "", 'Aqueous Species Options'!D230)</f>
        <v>-199557</v>
      </c>
      <c r="E230" s="1">
        <f>IF(ISBLANK('Aqueous Species Options'!E230), "", 'Aqueous Species Options'!E230)</f>
        <v>-213937</v>
      </c>
      <c r="F230" s="139">
        <f>IF(ISBLANK('Aqueous Species Options'!F230), "", 'Aqueous Species Options'!F230)</f>
        <v>5.3</v>
      </c>
      <c r="G230" s="29">
        <f>IF(ISBLANK('Aqueous Species Options'!B230), "", IF('Aqueous Species Options'!L230 = 1, IF(ISBLANK('Aqueous Species Options'!G230), "", 'Aqueous Species Options'!G230), ('Aqueous Species Table'!I230/10 + ('Aqueous Species Table'!J230*100)/(Calculations!$C$12+Calculations!$C$9) + ('Aqueous Species Table'!K230 + ('Aqueous Species Table'!L230*10000)/(Calculations!$C$12+Calculations!$C$9))*(1/(Calculations!$C$8-Calculations!$C$13)) - 'Aqueous Species Table'!O230*100000*0.0000005903)*41.8393))</f>
        <v>18.000125661346434</v>
      </c>
      <c r="H230" s="29">
        <f>IF(ISBLANK('Aqueous Species Options'!B230), "", IF('Aqueous Species Options'!L230 = 1, IF(ISBLANK('Aqueous Species Options'!H230), "", 'Aqueous Species Options'!H230), 'Aqueous Species Table'!M230 + 'Aqueous Species Table'!N230*10000*(1/(Calculations!$C$8-Calculations!$C$13))^2 + 'Aqueous Species Table'!O230*100000*Calculations!$C$8*Calculations!$C$7))</f>
        <v>27.699987784690379</v>
      </c>
      <c r="I230" s="42">
        <f>IF(ISBLANK('Aqueous Species Options'!B230), "", IF('Aqueous Species Options'!L230=0, 'Aqueous Species Options'!N230, IF(OR(ISBLANK('Aqueous Species Options'!G230),'Aqueous Species Table'!O230="", 'Aqueous Species Table'!P230=""), "", IF('Aqueous Species Options'!B230="H+", 0, (CHOOSE('Aqueous Species Options'!M230+1,'Aqueous Species Options'!$V$4*ABS('Aqueous Species Table'!P230)+'Aqueous Species Options'!$W$4,'Aqueous Species Options'!$Z$4)*('Aqueous Species Options'!G230 + 'Aqueous Species Table'!O230*100000*0.0000005903*41.8393) + CHOOSE('Aqueous Species Options'!M230+1,'Aqueous Species Options'!$X$4*ABS('Aqueous Species Table'!P230)+'Aqueous Species Options'!$Y$4,'Aqueous Species Options'!$AA$4))*10 ) ) ) )</f>
        <v>4.8997999999999999</v>
      </c>
      <c r="J230" s="42">
        <f>IF(ISBLANK('Aqueous Species Options'!B230), "", IF('Aqueous Species Options'!L230 = 0, 'Aqueous Species Options'!O230, IF('Aqueous Species Table'!I230="", "", IF('Aqueous Species Options'!B230="H+", 0, ((1.11*('Aqueous Species Options'!G230 + 'Aqueous Species Table'!O230*100000*0.0000005903*41.8393)+1.8)/41.8393 - 'Aqueous Species Table'!I230/10)*26.01 ) ) ) )</f>
        <v>1.409</v>
      </c>
      <c r="K230" s="42">
        <f>IF(ISBLANK('Aqueous Species Options'!B230), "", IF('Aqueous Species Options'!L230 = 0, 'Aqueous Species Options'!P230, IF('Aqueous Species Table'!I230="", "", IF('Aqueous Species Options'!B230="H+", 0, ('Aqueous Species Options'!G230/41.8393 + 'Aqueous Species Table'!O230*100000*0.0000005903 - 'Aqueous Species Table'!I230/10 - 'Aqueous Species Table'!J230*100/2601)*(298.15-228) - ('Aqueous Species Table'!L230*10000/2601) ) ) ) )</f>
        <v>4.4066000000000001</v>
      </c>
      <c r="L230" s="42">
        <f>IF(ISBLANK('Aqueous Species Options'!B230), "", IF('Aqueous Species Options'!L230 = 0, 'Aqueous Species Options'!Q230, IF('Aqueous Species Table'!J230="", "", IF('Aqueous Species Options'!B230="H+", 0, (-4.134*'Aqueous Species Table'!J230*100 - 27790)*0.0001) ) ) )</f>
        <v>-2.8372000000000002</v>
      </c>
      <c r="M230" s="42">
        <f>IF(ISBLANK('Aqueous Species Options'!B230), "", IF('Aqueous Species Options'!L230=0, 'Aqueous Species Options'!R230, IF('Aqueous Species Table'!N230="", "", IF('Aqueous Species Options'!B230="H+", 0, 'Aqueous Species Options'!H230 - 'Aqueous Species Table'!O230*100000*(-0.000000309)*298.15 - 'Aqueous Species Table'!N230*10000/(298.15-228)^2 ) ) ) )</f>
        <v>25.717099999999999</v>
      </c>
      <c r="N230" s="42">
        <f>IF(ISBLANK('Aqueous Species Options'!B230), "", IF('Aqueous Species Options'!L230=0, 'Aqueous Species Options'!S230, IF(OR(ISBLANK('Aqueous Species Options'!H230), 'Aqueous Species Table'!O230=""), "", IF('Aqueous Species Options'!B230="H+", 0, 0.2037*'Aqueous Species Options'!H230 - 3.0346) ) ) )</f>
        <v>2.6078999999999999</v>
      </c>
      <c r="O230" s="42">
        <f>IF(ISBLANK('Aqueous Species Options'!B230), "", IF('Aqueous Species Options'!K230=0, 'Aqueous Species Options'!I230, IF(OR('Aqueous Species Options'!J230&gt;4,'Aqueous Species Options'!J230&lt;-4), "", IF('Aqueous Species Options'!B230="H+", 0, IF('Aqueous Species Options'!J230=0, -0.038, IF(ISBLANK('Aqueous Species Options'!F230), "", -1514.4*'Aqueous Species Options'!F230*0.00001 + SUM(({4,3,2,1,-1,-2,-3,-4}='Aqueous Species Options'!J230)*{2.1764,1.5793,1.0579,0.5517,1.6291,3.2127,4.8115,6.486}) ) ) ) ) ) )</f>
        <v>0.36</v>
      </c>
      <c r="P230" s="1">
        <f>IF(ISBLANK('Aqueous Species Options'!J230), "", 'Aqueous Species Options'!J230)</f>
        <v>0</v>
      </c>
      <c r="Q230" s="184" t="str">
        <f>IF(ISBLANK('Aqueous Species Options'!T230), "", 'Aqueous Species Options'!T230)</f>
        <v>Fit to Raman speciation and quartz solubility data (Sverjensky et al., 2014).</v>
      </c>
    </row>
    <row r="231" spans="2:17" ht="32" x14ac:dyDescent="0.2">
      <c r="B231" s="9" t="str">
        <f>IF(ISBLANK('Aqueous Species Options'!B231), "", 'Aqueous Species Options'!B231)</f>
        <v>Sm+2</v>
      </c>
      <c r="C231" s="9" t="str">
        <f>IF(ISBLANK('Aqueous Species Options'!C231), "", 'Aqueous Species Options'!C231)</f>
        <v>Sm(+2)</v>
      </c>
      <c r="D231" s="2">
        <f>IF(ISBLANK('Aqueous Species Options'!D231), "", 'Aqueous Species Options'!D231)</f>
        <v>-123000</v>
      </c>
      <c r="E231" s="1">
        <f>IF(ISBLANK('Aqueous Species Options'!E231), "", 'Aqueous Species Options'!E231)</f>
        <v>-120500</v>
      </c>
      <c r="F231" s="139">
        <f>IF(ISBLANK('Aqueous Species Options'!F231), "", 'Aqueous Species Options'!F231)</f>
        <v>-6.2</v>
      </c>
      <c r="G231" s="29">
        <f>IF(ISBLANK('Aqueous Species Options'!B231), "", IF('Aqueous Species Options'!L231 = 1, IF(ISBLANK('Aqueous Species Options'!G231), "", 'Aqueous Species Options'!G231), ('Aqueous Species Table'!I231/10 + ('Aqueous Species Table'!J231*100)/(Calculations!$C$12+Calculations!$C$9) + ('Aqueous Species Table'!K231 + ('Aqueous Species Table'!L231*10000)/(Calculations!$C$12+Calculations!$C$9))*(1/(Calculations!$C$8-Calculations!$C$13)) - 'Aqueous Species Table'!O231*100000*0.0000005903)*41.8393))</f>
        <v>-5.7000765528745809</v>
      </c>
      <c r="H231" s="29">
        <f>IF(ISBLANK('Aqueous Species Options'!B231), "", IF('Aqueous Species Options'!L231 = 1, IF(ISBLANK('Aqueous Species Options'!H231), "", 'Aqueous Species Options'!H231), 'Aqueous Species Table'!M231 + 'Aqueous Species Table'!N231*10000*(1/(Calculations!$C$8-Calculations!$C$13))^2 + 'Aqueous Species Table'!O231*100000*Calculations!$C$8*Calculations!$C$7))</f>
        <v>3.700319865124996</v>
      </c>
      <c r="I231" s="42">
        <f>IF(ISBLANK('Aqueous Species Options'!B231), "", IF('Aqueous Species Options'!L231=0, 'Aqueous Species Options'!N231, IF(OR(ISBLANK('Aqueous Species Options'!G231),'Aqueous Species Table'!O231="", 'Aqueous Species Table'!P231=""), "", IF('Aqueous Species Options'!B231="H+", 0, (CHOOSE('Aqueous Species Options'!M231+1,'Aqueous Species Options'!$V$4*ABS('Aqueous Species Table'!P231)+'Aqueous Species Options'!$W$4,'Aqueous Species Options'!$Z$4)*('Aqueous Species Options'!G231 + 'Aqueous Species Table'!O231*100000*0.0000005903*41.8393) + CHOOSE('Aqueous Species Options'!M231+1,'Aqueous Species Options'!$X$4*ABS('Aqueous Species Table'!P231)+'Aqueous Species Options'!$Y$4,'Aqueous Species Options'!$AA$4))*10 ) ) ) )</f>
        <v>2.8946691212027309</v>
      </c>
      <c r="J231" s="42">
        <f>IF(ISBLANK('Aqueous Species Options'!B231), "", IF('Aqueous Species Options'!L231 = 0, 'Aqueous Species Options'!O231, IF('Aqueous Species Table'!I231="", "", IF('Aqueous Species Options'!B231="H+", 0, ((1.11*('Aqueous Species Options'!G231 + 'Aqueous Species Table'!O231*100000*0.0000005903*41.8393)+1.8)/41.8393 - 'Aqueous Species Table'!I231/10)*26.01 ) ) ) )</f>
        <v>-8.2496769087149691</v>
      </c>
      <c r="K231" s="42">
        <f>IF(ISBLANK('Aqueous Species Options'!B231), "", IF('Aqueous Species Options'!L231 = 0, 'Aqueous Species Options'!P231, IF('Aqueous Species Table'!I231="", "", IF('Aqueous Species Options'!B231="H+", 0, ('Aqueous Species Options'!G231/41.8393 + 'Aqueous Species Table'!O231*100000*0.0000005903 - 'Aqueous Species Table'!I231/10 - 'Aqueous Species Table'!J231*100/2601)*(298.15-228) - ('Aqueous Species Table'!L231*10000/2601) ) ) ) )</f>
        <v>6.8468697724224805</v>
      </c>
      <c r="L231" s="42">
        <f>IF(ISBLANK('Aqueous Species Options'!B231), "", IF('Aqueous Species Options'!L231 = 0, 'Aqueous Species Options'!Q231, IF('Aqueous Species Table'!J231="", "", IF('Aqueous Species Options'!B231="H+", 0, (-4.134*'Aqueous Species Table'!J231*100 - 27790)*0.0001) ) ) )</f>
        <v>-2.4379583565937231</v>
      </c>
      <c r="M231" s="42">
        <f>IF(ISBLANK('Aqueous Species Options'!B231), "", IF('Aqueous Species Options'!L231=0, 'Aqueous Species Options'!R231, IF('Aqueous Species Table'!N231="", "", IF('Aqueous Species Options'!B231="H+", 0, 'Aqueous Species Options'!H231 - 'Aqueous Species Table'!O231*100000*(-0.000000309)*298.15 - 'Aqueous Species Table'!N231*10000/(298.15-228)^2 ) ) ) )</f>
        <v>19.653187916533685</v>
      </c>
      <c r="N231" s="42">
        <f>IF(ISBLANK('Aqueous Species Options'!B231), "", IF('Aqueous Species Options'!L231=0, 'Aqueous Species Options'!S231, IF(OR(ISBLANK('Aqueous Species Options'!H231), 'Aqueous Species Table'!O231=""), "", IF('Aqueous Species Options'!B231="H+", 0, 0.2037*'Aqueous Species Options'!H231 - 3.0346) ) ) )</f>
        <v>-2.2808448434740383</v>
      </c>
      <c r="O231" s="42">
        <f>IF(ISBLANK('Aqueous Species Options'!B231), "", IF('Aqueous Species Options'!K231=0, 'Aqueous Species Options'!I231, IF(OR('Aqueous Species Options'!J231&gt;4,'Aqueous Species Options'!J231&lt;-4), "", IF('Aqueous Species Options'!B231="H+", 0, IF('Aqueous Species Options'!J231=0, -0.038, IF(ISBLANK('Aqueous Species Options'!F231), "", -1514.4*'Aqueous Species Options'!F231*0.00001 + SUM(({4,3,2,1,-1,-2,-3,-4}='Aqueous Species Options'!J231)*{2.1764,1.5793,1.0579,0.5517,1.6291,3.2127,4.8115,6.486}) ) ) ) ) ) )</f>
        <v>1.2284999999999999</v>
      </c>
      <c r="P231" s="1">
        <f>IF(ISBLANK('Aqueous Species Options'!J231), "", 'Aqueous Species Options'!J231)</f>
        <v>2</v>
      </c>
      <c r="Q231" s="184" t="str">
        <f>IF(ISBLANK('Aqueous Species Options'!T231), "", 'Aqueous Species Options'!T231)</f>
        <v>Shock &amp; Helgeson (1988) revised with new predicted a1 for ions</v>
      </c>
    </row>
    <row r="232" spans="2:17" ht="32" x14ac:dyDescent="0.2">
      <c r="B232" s="9" t="str">
        <f>IF(ISBLANK('Aqueous Species Options'!B232), "", 'Aqueous Species Options'!B232)</f>
        <v>Sm+3</v>
      </c>
      <c r="C232" s="9" t="str">
        <f>IF(ISBLANK('Aqueous Species Options'!C232), "", 'Aqueous Species Options'!C232)</f>
        <v>Sm(+3)</v>
      </c>
      <c r="D232" s="2">
        <f>IF(ISBLANK('Aqueous Species Options'!D232), "", 'Aqueous Species Options'!D232)</f>
        <v>-159100</v>
      </c>
      <c r="E232" s="1">
        <f>IF(ISBLANK('Aqueous Species Options'!E232), "", 'Aqueous Species Options'!E232)</f>
        <v>-165200</v>
      </c>
      <c r="F232" s="139">
        <f>IF(ISBLANK('Aqueous Species Options'!F232), "", 'Aqueous Species Options'!F232)</f>
        <v>-50.7</v>
      </c>
      <c r="G232" s="29">
        <f>IF(ISBLANK('Aqueous Species Options'!B232), "", IF('Aqueous Species Options'!L232 = 1, IF(ISBLANK('Aqueous Species Options'!G232), "", 'Aqueous Species Options'!G232), ('Aqueous Species Table'!I232/10 + ('Aqueous Species Table'!J232*100)/(Calculations!$C$12+Calculations!$C$9) + ('Aqueous Species Table'!K232 + ('Aqueous Species Table'!L232*10000)/(Calculations!$C$12+Calculations!$C$9))*(1/(Calculations!$C$8-Calculations!$C$13)) - 'Aqueous Species Table'!O232*100000*0.0000005903)*41.8393))</f>
        <v>-42.000208436189837</v>
      </c>
      <c r="H232" s="29">
        <f>IF(ISBLANK('Aqueous Species Options'!B232), "", IF('Aqueous Species Options'!L232 = 1, IF(ISBLANK('Aqueous Species Options'!H232), "", 'Aqueous Species Options'!H232), 'Aqueous Species Table'!M232 + 'Aqueous Species Table'!N232*10000*(1/(Calculations!$C$8-Calculations!$C$13))^2 + 'Aqueous Species Table'!O232*100000*Calculations!$C$8*Calculations!$C$7))</f>
        <v>-43.299678160586396</v>
      </c>
      <c r="I232" s="42">
        <f>IF(ISBLANK('Aqueous Species Options'!B232), "", IF('Aqueous Species Options'!L232=0, 'Aqueous Species Options'!N232, IF(OR(ISBLANK('Aqueous Species Options'!G232),'Aqueous Species Table'!O232="", 'Aqueous Species Table'!P232=""), "", IF('Aqueous Species Options'!B232="H+", 0, (CHOOSE('Aqueous Species Options'!M232+1,'Aqueous Species Options'!$V$4*ABS('Aqueous Species Table'!P232)+'Aqueous Species Options'!$W$4,'Aqueous Species Options'!$Z$4)*('Aqueous Species Options'!G232 + 'Aqueous Species Table'!O232*100000*0.0000005903*41.8393) + CHOOSE('Aqueous Species Options'!M232+1,'Aqueous Species Options'!$X$4*ABS('Aqueous Species Table'!P232)+'Aqueous Species Options'!$Y$4,'Aqueous Species Options'!$AA$4))*10 ) ) ) )</f>
        <v>-8.4354463026213029</v>
      </c>
      <c r="J232" s="42">
        <f>IF(ISBLANK('Aqueous Species Options'!B232), "", IF('Aqueous Species Options'!L232 = 0, 'Aqueous Species Options'!O232, IF('Aqueous Species Table'!I232="", "", IF('Aqueous Species Options'!B232="H+", 0, ((1.11*('Aqueous Species Options'!G232 + 'Aqueous Species Table'!O232*100000*0.0000005903*41.8393)+1.8)/41.8393 - 'Aqueous Species Table'!I232/10)*26.01 ) ) ) )</f>
        <v>-2.0104116362602666</v>
      </c>
      <c r="K232" s="42">
        <f>IF(ISBLANK('Aqueous Species Options'!B232), "", IF('Aqueous Species Options'!L232 = 0, 'Aqueous Species Options'!P232, IF('Aqueous Species Table'!I232="", "", IF('Aqueous Species Options'!B232="H+", 0, ('Aqueous Species Options'!G232/41.8393 + 'Aqueous Species Table'!O232*100000*0.0000005903 - 'Aqueous Species Table'!I232/10 - 'Aqueous Species Table'!J232*100/2601)*(298.15-228) - ('Aqueous Species Table'!L232*10000/2601) ) ) ) )</f>
        <v>14.047408623513505</v>
      </c>
      <c r="L232" s="42">
        <f>IF(ISBLANK('Aqueous Species Options'!B232), "", IF('Aqueous Species Options'!L232 = 0, 'Aqueous Species Options'!Q232, IF('Aqueous Species Table'!J232="", "", IF('Aqueous Species Options'!B232="H+", 0, (-4.134*'Aqueous Species Table'!J232*100 - 27790)*0.0001) ) ) )</f>
        <v>-2.6958895829570007</v>
      </c>
      <c r="M232" s="42">
        <f>IF(ISBLANK('Aqueous Species Options'!B232), "", IF('Aqueous Species Options'!L232=0, 'Aqueous Species Options'!R232, IF('Aqueous Species Table'!N232="", "", IF('Aqueous Species Options'!B232="H+", 0, 'Aqueous Species Options'!H232 - 'Aqueous Species Table'!O232*100000*(-0.000000309)*298.15 - 'Aqueous Species Table'!N232*10000/(298.15-228)^2 ) ) ) )</f>
        <v>1.9383870992998915</v>
      </c>
      <c r="N232" s="42">
        <f>IF(ISBLANK('Aqueous Species Options'!B232), "", IF('Aqueous Species Options'!L232=0, 'Aqueous Species Options'!S232, IF(OR(ISBLANK('Aqueous Species Options'!H232), 'Aqueous Species Table'!O232=""), "", IF('Aqueous Species Options'!B232="H+", 0, 0.2037*'Aqueous Species Options'!H232 - 3.0346) ) ) )</f>
        <v>-11.85474444131145</v>
      </c>
      <c r="O232" s="42">
        <f>IF(ISBLANK('Aqueous Species Options'!B232), "", IF('Aqueous Species Options'!K232=0, 'Aqueous Species Options'!I232, IF(OR('Aqueous Species Options'!J232&gt;4,'Aqueous Species Options'!J232&lt;-4), "", IF('Aqueous Species Options'!B232="H+", 0, IF('Aqueous Species Options'!J232=0, -0.038, IF(ISBLANK('Aqueous Species Options'!F232), "", -1514.4*'Aqueous Species Options'!F232*0.00001 + SUM(({4,3,2,1,-1,-2,-3,-4}='Aqueous Species Options'!J232)*{2.1764,1.5793,1.0579,0.5517,1.6291,3.2127,4.8115,6.486}) ) ) ) ) ) )</f>
        <v>2.2955000000000001</v>
      </c>
      <c r="P232" s="1">
        <f>IF(ISBLANK('Aqueous Species Options'!J232), "", 'Aqueous Species Options'!J232)</f>
        <v>3</v>
      </c>
      <c r="Q232" s="184" t="str">
        <f>IF(ISBLANK('Aqueous Species Options'!T232), "", 'Aqueous Species Options'!T232)</f>
        <v>Shock &amp; Helgeson (1988) revised with new predicted a1 for ions</v>
      </c>
    </row>
    <row r="233" spans="2:17" ht="15" customHeight="1" x14ac:dyDescent="0.2">
      <c r="B233" s="9" t="str">
        <f>IF(ISBLANK('Aqueous Species Options'!B233), "", 'Aqueous Species Options'!B233)</f>
        <v>Sn+2</v>
      </c>
      <c r="C233" s="9" t="str">
        <f>IF(ISBLANK('Aqueous Species Options'!C233), "", 'Aqueous Species Options'!C233)</f>
        <v>Sn(+2)</v>
      </c>
      <c r="D233" s="2">
        <f>IF(ISBLANK('Aqueous Species Options'!D233), "", 'Aqueous Species Options'!D233)</f>
        <v>-6630</v>
      </c>
      <c r="E233" s="1">
        <f>IF(ISBLANK('Aqueous Species Options'!E233), "", 'Aqueous Species Options'!E233)</f>
        <v>-2100</v>
      </c>
      <c r="F233" s="139">
        <f>IF(ISBLANK('Aqueous Species Options'!F233), "", 'Aqueous Species Options'!F233)</f>
        <v>-3.8</v>
      </c>
      <c r="G233" s="29">
        <f>IF(ISBLANK('Aqueous Species Options'!B233), "", IF('Aqueous Species Options'!L233 = 1, IF(ISBLANK('Aqueous Species Options'!G233), "", 'Aqueous Species Options'!G233), ('Aqueous Species Table'!I233/10 + ('Aqueous Species Table'!J233*100)/(Calculations!$C$12+Calculations!$C$9) + ('Aqueous Species Table'!K233 + ('Aqueous Species Table'!L233*10000)/(Calculations!$C$12+Calculations!$C$9))*(1/(Calculations!$C$8-Calculations!$C$13)) - 'Aqueous Species Table'!O233*100000*0.0000005903)*41.8393))</f>
        <v>-15.499903172603366</v>
      </c>
      <c r="H233" s="29">
        <f>IF(ISBLANK('Aqueous Species Options'!B233), "", IF('Aqueous Species Options'!L233 = 1, IF(ISBLANK('Aqueous Species Options'!H233), "", 'Aqueous Species Options'!H233), 'Aqueous Species Table'!M233 + 'Aqueous Species Table'!N233*10000*(1/(Calculations!$C$8-Calculations!$C$13))^2 + 'Aqueous Species Table'!O233*100000*Calculations!$C$8*Calculations!$C$7))</f>
        <v>-11.200138799383817</v>
      </c>
      <c r="I233" s="42">
        <f>IF(ISBLANK('Aqueous Species Options'!B233), "", IF('Aqueous Species Options'!L233=0, 'Aqueous Species Options'!N233, IF(OR(ISBLANK('Aqueous Species Options'!G233),'Aqueous Species Table'!O233="", 'Aqueous Species Table'!P233=""), "", IF('Aqueous Species Options'!B233="H+", 0, (CHOOSE('Aqueous Species Options'!M233+1,'Aqueous Species Options'!$V$4*ABS('Aqueous Species Table'!P233)+'Aqueous Species Options'!$W$4,'Aqueous Species Options'!$Z$4)*('Aqueous Species Options'!G233 + 'Aqueous Species Table'!O233*100000*0.0000005903*41.8393) + CHOOSE('Aqueous Species Options'!M233+1,'Aqueous Species Options'!$X$4*ABS('Aqueous Species Table'!P233)+'Aqueous Species Options'!$Y$4,'Aqueous Species Options'!$AA$4))*10 ) ) ) )</f>
        <v>0.5854856451575402</v>
      </c>
      <c r="J233" s="42">
        <f>IF(ISBLANK('Aqueous Species Options'!B233), "", IF('Aqueous Species Options'!L233 = 0, 'Aqueous Species Options'!O233, IF('Aqueous Species Table'!I233="", "", IF('Aqueous Species Options'!B233="H+", 0, ((1.11*('Aqueous Species Options'!G233 + 'Aqueous Species Table'!O233*100000*0.0000005903*41.8393)+1.8)/41.8393 - 'Aqueous Species Table'!I233/10)*26.01 ) ) ) )</f>
        <v>-8.9078405146974777</v>
      </c>
      <c r="K233" s="42">
        <f>IF(ISBLANK('Aqueous Species Options'!B233), "", IF('Aqueous Species Options'!L233 = 0, 'Aqueous Species Options'!P233, IF('Aqueous Species Table'!I233="", "", IF('Aqueous Species Options'!B233="H+", 0, ('Aqueous Species Options'!G233/41.8393 + 'Aqueous Species Table'!O233*100000*0.0000005903 - 'Aqueous Species Table'!I233/10 - 'Aqueous Species Table'!J233*100/2601)*(298.15-228) - ('Aqueous Species Table'!L233*10000/2601) ) ) ) )</f>
        <v>8.5234707254893127</v>
      </c>
      <c r="L233" s="42">
        <f>IF(ISBLANK('Aqueous Species Options'!B233), "", IF('Aqueous Species Options'!L233 = 0, 'Aqueous Species Options'!Q233, IF('Aqueous Species Table'!J233="", "", IF('Aqueous Species Options'!B233="H+", 0, (-4.134*'Aqueous Species Table'!J233*100 - 27790)*0.0001) ) ) )</f>
        <v>-2.4107498731224064</v>
      </c>
      <c r="M233" s="42">
        <f>IF(ISBLANK('Aqueous Species Options'!B233), "", IF('Aqueous Species Options'!L233=0, 'Aqueous Species Options'!R233, IF('Aqueous Species Table'!N233="", "", IF('Aqueous Species Options'!B233="H+", 0, 'Aqueous Species Options'!H233 - 'Aqueous Species Table'!O233*100000*(-0.000000309)*298.15 - 'Aqueous Species Table'!N233*10000/(298.15-228)^2 ) ) ) )</f>
        <v>11.450338738309945</v>
      </c>
      <c r="N233" s="42">
        <f>IF(ISBLANK('Aqueous Species Options'!B233), "", IF('Aqueous Species Options'!L233=0, 'Aqueous Species Options'!S233, IF(OR(ISBLANK('Aqueous Species Options'!H233), 'Aqueous Species Table'!O233=""), "", IF('Aqueous Species Options'!B233="H+", 0, 0.2037*'Aqueous Species Options'!H233 - 3.0346) ) ) )</f>
        <v>-5.3160682734344835</v>
      </c>
      <c r="O233" s="42">
        <f>IF(ISBLANK('Aqueous Species Options'!B233), "", IF('Aqueous Species Options'!K233=0, 'Aqueous Species Options'!I233, IF(OR('Aqueous Species Options'!J233&gt;4,'Aqueous Species Options'!J233&lt;-4), "", IF('Aqueous Species Options'!B233="H+", 0, IF('Aqueous Species Options'!J233=0, -0.038, IF(ISBLANK('Aqueous Species Options'!F233), "", -1514.4*'Aqueous Species Options'!F233*0.00001 + SUM(({4,3,2,1,-1,-2,-3,-4}='Aqueous Species Options'!J233)*{2.1764,1.5793,1.0579,0.5517,1.6291,3.2127,4.8115,6.486}) ) ) ) ) ) )</f>
        <v>1.286</v>
      </c>
      <c r="P233" s="1">
        <f>IF(ISBLANK('Aqueous Species Options'!J233), "", 'Aqueous Species Options'!J233)</f>
        <v>2</v>
      </c>
      <c r="Q233" s="184" t="str">
        <f>IF(ISBLANK('Aqueous Species Options'!T233), "", 'Aqueous Species Options'!T233)</f>
        <v>Shock &amp; Helgeson (1988) revised with new predicted a1 for ions</v>
      </c>
    </row>
    <row r="234" spans="2:17" ht="32" x14ac:dyDescent="0.2">
      <c r="B234" s="9" t="str">
        <f>IF(ISBLANK('Aqueous Species Options'!B234), "", 'Aqueous Species Options'!B234)</f>
        <v>SO2,aq</v>
      </c>
      <c r="C234" s="9" t="str">
        <f>IF(ISBLANK('Aqueous Species Options'!C234), "", 'Aqueous Species Options'!C234)</f>
        <v>SO2(0)</v>
      </c>
      <c r="D234" s="2">
        <f>IF(ISBLANK('Aqueous Species Options'!D234), "", 'Aqueous Species Options'!D234)</f>
        <v>-71980</v>
      </c>
      <c r="E234" s="1">
        <f>IF(ISBLANK('Aqueous Species Options'!E234), "", 'Aqueous Species Options'!E234)</f>
        <v>-77194</v>
      </c>
      <c r="F234" s="139">
        <f>IF(ISBLANK('Aqueous Species Options'!F234), "", 'Aqueous Species Options'!F234)</f>
        <v>38.700000000000003</v>
      </c>
      <c r="G234" s="29">
        <f>IF(ISBLANK('Aqueous Species Options'!B234), "", IF('Aqueous Species Options'!L234 = 1, IF(ISBLANK('Aqueous Species Options'!G234), "", 'Aqueous Species Options'!G234), ('Aqueous Species Table'!I234/10 + ('Aqueous Species Table'!J234*100)/(Calculations!$C$12+Calculations!$C$9) + ('Aqueous Species Table'!K234 + ('Aqueous Species Table'!L234*10000)/(Calculations!$C$12+Calculations!$C$9))*(1/(Calculations!$C$8-Calculations!$C$13)) - 'Aqueous Species Table'!O234*100000*0.0000005903)*41.8393))</f>
        <v>38.500025567387873</v>
      </c>
      <c r="H234" s="29">
        <f>IF(ISBLANK('Aqueous Species Options'!B234), "", IF('Aqueous Species Options'!L234 = 1, IF(ISBLANK('Aqueous Species Options'!H234), "", 'Aqueous Species Options'!H234), 'Aqueous Species Table'!M234 + 'Aqueous Species Table'!N234*10000*(1/(Calculations!$C$8-Calculations!$C$13))^2 + 'Aqueous Species Table'!O234*100000*Calculations!$C$8*Calculations!$C$7))</f>
        <v>46.600261183876754</v>
      </c>
      <c r="I234" s="42">
        <f>IF(ISBLANK('Aqueous Species Options'!B234), "", IF('Aqueous Species Options'!L234=0, 'Aqueous Species Options'!N234, IF(OR(ISBLANK('Aqueous Species Options'!G234),'Aqueous Species Table'!O234="", 'Aqueous Species Table'!P234=""), "", IF('Aqueous Species Options'!B234="H+", 0, (CHOOSE('Aqueous Species Options'!M234+1,'Aqueous Species Options'!$V$4*ABS('Aqueous Species Table'!P234)+'Aqueous Species Options'!$W$4,'Aqueous Species Options'!$Z$4)*('Aqueous Species Options'!G234 + 'Aqueous Species Table'!O234*100000*0.0000005903*41.8393) + CHOOSE('Aqueous Species Options'!M234+1,'Aqueous Species Options'!$X$4*ABS('Aqueous Species Table'!P234)+'Aqueous Species Options'!$Y$4,'Aqueous Species Options'!$AA$4))*10 ) ) ) )</f>
        <v>8.8794469228439095</v>
      </c>
      <c r="J234" s="42">
        <f>IF(ISBLANK('Aqueous Species Options'!B234), "", IF('Aqueous Species Options'!L234 = 0, 'Aqueous Species Options'!O234, IF('Aqueous Species Table'!I234="", "", IF('Aqueous Species Options'!B234="H+", 0, ((1.11*('Aqueous Species Options'!G234 + 'Aqueous Species Table'!O234*100000*0.0000005903*41.8393)+1.8)/41.8393 - 'Aqueous Species Table'!I234/10)*26.01 ) ) ) )</f>
        <v>4.1709780646404173</v>
      </c>
      <c r="K234" s="42">
        <f>IF(ISBLANK('Aqueous Species Options'!B234), "", IF('Aqueous Species Options'!L234 = 0, 'Aqueous Species Options'!P234, IF('Aqueous Species Table'!I234="", "", IF('Aqueous Species Options'!B234="H+", 0, ('Aqueous Species Options'!G234/41.8393 + 'Aqueous Species Table'!O234*100000*0.0000005903 - 'Aqueous Species Table'!I234/10 - 'Aqueous Species Table'!J234*100/2601)*(298.15-228) - ('Aqueous Species Table'!L234*10000/2601) ) ) ) )</f>
        <v>1.3407751693794658</v>
      </c>
      <c r="L234" s="42">
        <f>IF(ISBLANK('Aqueous Species Options'!B234), "", IF('Aqueous Species Options'!L234 = 0, 'Aqueous Species Options'!Q234, IF('Aqueous Species Table'!J234="", "", IF('Aqueous Species Options'!B234="H+", 0, (-4.134*'Aqueous Species Table'!J234*100 - 27790)*0.0001) ) ) )</f>
        <v>-2.9514282331922352</v>
      </c>
      <c r="M234" s="42">
        <f>IF(ISBLANK('Aqueous Species Options'!B234), "", IF('Aqueous Species Options'!L234=0, 'Aqueous Species Options'!R234, IF('Aqueous Species Table'!N234="", "", IF('Aqueous Species Options'!B234="H+", 0, 'Aqueous Species Options'!H234 - 'Aqueous Species Table'!O234*100000*(-0.000000309)*298.15 - 'Aqueous Species Table'!N234*10000/(298.15-228)^2 ) ) ) )</f>
        <v>31.209951244013425</v>
      </c>
      <c r="N234" s="42">
        <f>IF(ISBLANK('Aqueous Species Options'!B234), "", IF('Aqueous Species Options'!L234=0, 'Aqueous Species Options'!S234, IF(OR(ISBLANK('Aqueous Species Options'!H234), 'Aqueous Species Table'!O234=""), "", IF('Aqueous Species Options'!B234="H+", 0, 0.2037*'Aqueous Species Options'!H234 - 3.0346) ) ) )</f>
        <v>6.4578732031556934</v>
      </c>
      <c r="O234" s="42">
        <f>IF(ISBLANK('Aqueous Species Options'!B234), "", IF('Aqueous Species Options'!K234=0, 'Aqueous Species Options'!I234, IF(OR('Aqueous Species Options'!J234&gt;4,'Aqueous Species Options'!J234&lt;-4), "", IF('Aqueous Species Options'!B234="H+", 0, IF('Aqueous Species Options'!J234=0, -0.038, IF(ISBLANK('Aqueous Species Options'!F234), "", -1514.4*'Aqueous Species Options'!F234*0.00001 + SUM(({4,3,2,1,-1,-2,-3,-4}='Aqueous Species Options'!J234)*{2.1764,1.5793,1.0579,0.5517,1.6291,3.2127,4.8115,6.486}) ) ) ) ) ) )</f>
        <v>-0.24610000000000001</v>
      </c>
      <c r="P234" s="1">
        <f>IF(ISBLANK('Aqueous Species Options'!J234), "", 'Aqueous Species Options'!J234)</f>
        <v>0</v>
      </c>
      <c r="Q234" s="184" t="str">
        <f>IF(ISBLANK('Aqueous Species Options'!T234), "", 'Aqueous Species Options'!T234)</f>
        <v>Shock et al. (1989) with revised a1 predicted as a complex from delVn</v>
      </c>
    </row>
    <row r="235" spans="2:17" ht="32" x14ac:dyDescent="0.2">
      <c r="B235" s="9" t="str">
        <f>IF(ISBLANK('Aqueous Species Options'!B235), "", 'Aqueous Species Options'!B235)</f>
        <v>SO3-2</v>
      </c>
      <c r="C235" s="9" t="str">
        <f>IF(ISBLANK('Aqueous Species Options'!C235), "", 'Aqueous Species Options'!C235)</f>
        <v>SO3(-2)</v>
      </c>
      <c r="D235" s="2">
        <f>IF(ISBLANK('Aqueous Species Options'!D235), "", 'Aqueous Species Options'!D235)</f>
        <v>-116300</v>
      </c>
      <c r="E235" s="1">
        <f>IF(ISBLANK('Aqueous Species Options'!E235), "", 'Aqueous Species Options'!E235)</f>
        <v>-151900</v>
      </c>
      <c r="F235" s="139">
        <f>IF(ISBLANK('Aqueous Species Options'!F235), "", 'Aqueous Species Options'!F235)</f>
        <v>-7</v>
      </c>
      <c r="G235" s="29">
        <f>IF(ISBLANK('Aqueous Species Options'!B235), "", IF('Aqueous Species Options'!L235 = 1, IF(ISBLANK('Aqueous Species Options'!G235), "", 'Aqueous Species Options'!G235), ('Aqueous Species Table'!I235/10 + ('Aqueous Species Table'!J235*100)/(Calculations!$C$12+Calculations!$C$9) + ('Aqueous Species Table'!K235 + ('Aqueous Species Table'!L235*10000)/(Calculations!$C$12+Calculations!$C$9))*(1/(Calculations!$C$8-Calculations!$C$13)) - 'Aqueous Species Table'!O235*100000*0.0000005903)*41.8393))</f>
        <v>5.6000958060462365</v>
      </c>
      <c r="H235" s="29">
        <f>IF(ISBLANK('Aqueous Species Options'!B235), "", IF('Aqueous Species Options'!L235 = 1, IF(ISBLANK('Aqueous Species Options'!H235), "", 'Aqueous Species Options'!H235), 'Aqueous Species Table'!M235 + 'Aqueous Species Table'!N235*10000*(1/(Calculations!$C$8-Calculations!$C$13))^2 + 'Aqueous Species Table'!O235*100000*Calculations!$C$8*Calculations!$C$7))</f>
        <v>-76.100000057162589</v>
      </c>
      <c r="I235" s="42">
        <f>IF(ISBLANK('Aqueous Species Options'!B235), "", IF('Aqueous Species Options'!L235=0, 'Aqueous Species Options'!N235, IF(OR(ISBLANK('Aqueous Species Options'!G235),'Aqueous Species Table'!O235="", 'Aqueous Species Table'!P235=""), "", IF('Aqueous Species Options'!B235="H+", 0, (CHOOSE('Aqueous Species Options'!M235+1,'Aqueous Species Options'!$V$4*ABS('Aqueous Species Table'!P235)+'Aqueous Species Options'!$W$4,'Aqueous Species Options'!$Z$4)*('Aqueous Species Options'!G235 + 'Aqueous Species Table'!O235*100000*0.0000005903*41.8393) + CHOOSE('Aqueous Species Options'!M235+1,'Aqueous Species Options'!$X$4*ABS('Aqueous Species Table'!P235)+'Aqueous Species Options'!$Y$4,'Aqueous Species Options'!$AA$4))*10 ) ) ) )</f>
        <v>6.8322095725968719</v>
      </c>
      <c r="J235" s="42">
        <f>IF(ISBLANK('Aqueous Species Options'!B235), "", IF('Aqueous Species Options'!L235 = 0, 'Aqueous Species Options'!O235, IF('Aqueous Species Table'!I235="", "", IF('Aqueous Species Options'!B235="H+", 0, ((1.11*('Aqueous Species Options'!G235 + 'Aqueous Species Table'!O235*100000*0.0000005903*41.8393)+1.8)/41.8393 - 'Aqueous Species Table'!I235/10)*26.01 ) ) ) )</f>
        <v>-7.1273989047904145</v>
      </c>
      <c r="K235" s="42">
        <f>IF(ISBLANK('Aqueous Species Options'!B235), "", IF('Aqueous Species Options'!L235 = 0, 'Aqueous Species Options'!P235, IF('Aqueous Species Table'!I235="", "", IF('Aqueous Species Options'!B235="H+", 0, ('Aqueous Species Options'!G235/41.8393 + 'Aqueous Species Table'!O235*100000*0.0000005903 - 'Aqueous Species Table'!I235/10 - 'Aqueous Species Table'!J235*100/2601)*(298.15-228) - ('Aqueous Species Table'!L235*10000/2601) ) ) ) )</f>
        <v>3.9879873397225261</v>
      </c>
      <c r="L235" s="42">
        <f>IF(ISBLANK('Aqueous Species Options'!B235), "", IF('Aqueous Species Options'!L235 = 0, 'Aqueous Species Options'!Q235, IF('Aqueous Species Table'!J235="", "", IF('Aqueous Species Options'!B235="H+", 0, (-4.134*'Aqueous Species Table'!J235*100 - 27790)*0.0001) ) ) )</f>
        <v>-2.4843533292759643</v>
      </c>
      <c r="M235" s="42">
        <f>IF(ISBLANK('Aqueous Species Options'!B235), "", IF('Aqueous Species Options'!L235=0, 'Aqueous Species Options'!R235, IF('Aqueous Species Table'!N235="", "", IF('Aqueous Species Options'!B235="H+", 0, 'Aqueous Species Options'!H235 - 'Aqueous Species Table'!O235*100000*(-0.000000309)*298.15 - 'Aqueous Species Table'!N235*10000/(298.15-228)^2 ) ) ) )</f>
        <v>-7.8368609392783384</v>
      </c>
      <c r="N235" s="42">
        <f>IF(ISBLANK('Aqueous Species Options'!B235), "", IF('Aqueous Species Options'!L235=0, 'Aqueous Species Options'!S235, IF(OR(ISBLANK('Aqueous Species Options'!H235), 'Aqueous Species Table'!O235=""), "", IF('Aqueous Species Options'!B235="H+", 0, 0.2037*'Aqueous Species Options'!H235 - 3.0346) ) ) )</f>
        <v>-18.536170011644018</v>
      </c>
      <c r="O235" s="42">
        <f>IF(ISBLANK('Aqueous Species Options'!B235), "", IF('Aqueous Species Options'!K235=0, 'Aqueous Species Options'!I235, IF(OR('Aqueous Species Options'!J235&gt;4,'Aqueous Species Options'!J235&lt;-4), "", IF('Aqueous Species Options'!B235="H+", 0, IF('Aqueous Species Options'!J235=0, -0.038, IF(ISBLANK('Aqueous Species Options'!F235), "", -1514.4*'Aqueous Species Options'!F235*0.00001 + SUM(({4,3,2,1,-1,-2,-3,-4}='Aqueous Species Options'!J235)*{2.1764,1.5793,1.0579,0.5517,1.6291,3.2127,4.8115,6.486}) ) ) ) ) ) )</f>
        <v>3.3210000000000002</v>
      </c>
      <c r="P235" s="1">
        <f>IF(ISBLANK('Aqueous Species Options'!J235), "", 'Aqueous Species Options'!J235)</f>
        <v>-2</v>
      </c>
      <c r="Q235" s="184" t="str">
        <f>IF(ISBLANK('Aqueous Species Options'!T235), "", 'Aqueous Species Options'!T235)</f>
        <v>Shock &amp; Helgeson (1988) revised with new predicted a1 for ions</v>
      </c>
    </row>
    <row r="236" spans="2:17" ht="16" x14ac:dyDescent="0.2">
      <c r="B236" s="9" t="str">
        <f>IF(ISBLANK('Aqueous Species Options'!B236), "", 'Aqueous Species Options'!B236)</f>
        <v>SO4-2</v>
      </c>
      <c r="C236" s="9" t="str">
        <f>IF(ISBLANK('Aqueous Species Options'!C236), "", 'Aqueous Species Options'!C236)</f>
        <v>SO4(-2)</v>
      </c>
      <c r="D236" s="2">
        <f>IF(ISBLANK('Aqueous Species Options'!D236), "", 'Aqueous Species Options'!D236)</f>
        <v>-177930</v>
      </c>
      <c r="E236" s="1">
        <f>IF(ISBLANK('Aqueous Species Options'!E236), "", 'Aqueous Species Options'!E236)</f>
        <v>-217400</v>
      </c>
      <c r="F236" s="139">
        <f>IF(ISBLANK('Aqueous Species Options'!F236), "", 'Aqueous Species Options'!F236)</f>
        <v>4.5</v>
      </c>
      <c r="G236" s="29">
        <f>IF(ISBLANK('Aqueous Species Options'!B236), "", IF('Aqueous Species Options'!L236 = 1, IF(ISBLANK('Aqueous Species Options'!G236), "", 'Aqueous Species Options'!G236), ('Aqueous Species Table'!I236/10 + ('Aqueous Species Table'!J236*100)/(Calculations!$C$12+Calculations!$C$9) + ('Aqueous Species Table'!K236 + ('Aqueous Species Table'!L236*10000)/(Calculations!$C$12+Calculations!$C$9))*(1/(Calculations!$C$8-Calculations!$C$13)) - 'Aqueous Species Table'!O236*100000*0.0000005903)*41.8393))</f>
        <v>13.879913272326535</v>
      </c>
      <c r="H236" s="29">
        <f>IF(ISBLANK('Aqueous Species Options'!B236), "", IF('Aqueous Species Options'!L236 = 1, IF(ISBLANK('Aqueous Species Options'!H236), "", 'Aqueous Species Options'!H236), 'Aqueous Species Table'!M236 + 'Aqueous Species Table'!N236*10000*(1/(Calculations!$C$8-Calculations!$C$13))^2 + 'Aqueous Species Table'!O236*100000*Calculations!$C$8*Calculations!$C$7))</f>
        <v>-63.920042636897662</v>
      </c>
      <c r="I236" s="42">
        <f>IF(ISBLANK('Aqueous Species Options'!B236), "", IF('Aqueous Species Options'!L236=0, 'Aqueous Species Options'!N236, IF(OR(ISBLANK('Aqueous Species Options'!G236),'Aqueous Species Table'!O236="", 'Aqueous Species Table'!P236=""), "", IF('Aqueous Species Options'!B236="H+", 0, (CHOOSE('Aqueous Species Options'!M236+1,'Aqueous Species Options'!$V$4*ABS('Aqueous Species Table'!P236)+'Aqueous Species Options'!$W$4,'Aqueous Species Options'!$Z$4)*('Aqueous Species Options'!G236 + 'Aqueous Species Table'!O236*100000*0.0000005903*41.8393) + CHOOSE('Aqueous Species Options'!M236+1,'Aqueous Species Options'!$X$4*ABS('Aqueous Species Table'!P236)+'Aqueous Species Options'!$Y$4,'Aqueous Species Options'!$AA$4))*10 ) ) ) )</f>
        <v>8.3013999999999992</v>
      </c>
      <c r="J236" s="42">
        <f>IF(ISBLANK('Aqueous Species Options'!B236), "", IF('Aqueous Species Options'!L236 = 0, 'Aqueous Species Options'!O236, IF('Aqueous Species Table'!I236="", "", IF('Aqueous Species Options'!B236="H+", 0, ((1.11*('Aqueous Species Options'!G236 + 'Aqueous Species Table'!O236*100000*0.0000005903*41.8393)+1.8)/41.8393 - 'Aqueous Species Table'!I236/10)*26.01 ) ) ) )</f>
        <v>-1.9845999999999999</v>
      </c>
      <c r="K236" s="42">
        <f>IF(ISBLANK('Aqueous Species Options'!B236), "", IF('Aqueous Species Options'!L236 = 0, 'Aqueous Species Options'!P236, IF('Aqueous Species Table'!I236="", "", IF('Aqueous Species Options'!B236="H+", 0, ('Aqueous Species Options'!G236/41.8393 + 'Aqueous Species Table'!O236*100000*0.0000005903 - 'Aqueous Species Table'!I236/10 - 'Aqueous Species Table'!J236*100/2601)*(298.15-228) - ('Aqueous Species Table'!L236*10000/2601) ) ) ) )</f>
        <v>-6.2122000000000002</v>
      </c>
      <c r="L236" s="42">
        <f>IF(ISBLANK('Aqueous Species Options'!B236), "", IF('Aqueous Species Options'!L236 = 0, 'Aqueous Species Options'!Q236, IF('Aqueous Species Table'!J236="", "", IF('Aqueous Species Options'!B236="H+", 0, (-4.134*'Aqueous Species Table'!J236*100 - 27790)*0.0001) ) ) )</f>
        <v>-2.6970000000000001</v>
      </c>
      <c r="M236" s="42">
        <f>IF(ISBLANK('Aqueous Species Options'!B236), "", IF('Aqueous Species Options'!L236=0, 'Aqueous Species Options'!R236, IF('Aqueous Species Table'!N236="", "", IF('Aqueous Species Options'!B236="H+", 0, 'Aqueous Species Options'!H236 - 'Aqueous Species Table'!O236*100000*(-0.000000309)*298.15 - 'Aqueous Species Table'!N236*10000/(298.15-228)^2 ) ) ) )</f>
        <v>1.64</v>
      </c>
      <c r="N236" s="42">
        <f>IF(ISBLANK('Aqueous Species Options'!B236), "", IF('Aqueous Species Options'!L236=0, 'Aqueous Species Options'!S236, IF(OR(ISBLANK('Aqueous Species Options'!H236), 'Aqueous Species Table'!O236=""), "", IF('Aqueous Species Options'!B236="H+", 0, 0.2037*'Aqueous Species Options'!H236 - 3.0346) ) ) )</f>
        <v>-17.998000000000001</v>
      </c>
      <c r="O236" s="42">
        <f>IF(ISBLANK('Aqueous Species Options'!B236), "", IF('Aqueous Species Options'!K236=0, 'Aqueous Species Options'!I236, IF(OR('Aqueous Species Options'!J236&gt;4,'Aqueous Species Options'!J236&lt;-4), "", IF('Aqueous Species Options'!B236="H+", 0, IF('Aqueous Species Options'!J236=0, -0.038, IF(ISBLANK('Aqueous Species Options'!F236), "", -1514.4*'Aqueous Species Options'!F236*0.00001 + SUM(({4,3,2,1,-1,-2,-3,-4}='Aqueous Species Options'!J236)*{2.1764,1.5793,1.0579,0.5517,1.6291,3.2127,4.8115,6.486}) ) ) ) ) ) )</f>
        <v>3.1463000000000001</v>
      </c>
      <c r="P236" s="1">
        <f>IF(ISBLANK('Aqueous Species Options'!J236), "", 'Aqueous Species Options'!J236)</f>
        <v>-2</v>
      </c>
      <c r="Q236" s="184" t="str">
        <f>IF(ISBLANK('Aqueous Species Options'!T236), "", 'Aqueous Species Options'!T236)</f>
        <v>Shock &amp; Helgeson (1988)</v>
      </c>
    </row>
    <row r="237" spans="2:17" ht="32" x14ac:dyDescent="0.2">
      <c r="B237" s="9" t="str">
        <f>IF(ISBLANK('Aqueous Species Options'!B237), "", 'Aqueous Species Options'!B237)</f>
        <v>Sr+2</v>
      </c>
      <c r="C237" s="9" t="str">
        <f>IF(ISBLANK('Aqueous Species Options'!C237), "", 'Aqueous Species Options'!C237)</f>
        <v>Sr(+2)</v>
      </c>
      <c r="D237" s="2">
        <f>IF(ISBLANK('Aqueous Species Options'!D237), "", 'Aqueous Species Options'!D237)</f>
        <v>-134760</v>
      </c>
      <c r="E237" s="1">
        <f>IF(ISBLANK('Aqueous Species Options'!E237), "", 'Aqueous Species Options'!E237)</f>
        <v>-131670</v>
      </c>
      <c r="F237" s="139">
        <f>IF(ISBLANK('Aqueous Species Options'!F237), "", 'Aqueous Species Options'!F237)</f>
        <v>-7.53</v>
      </c>
      <c r="G237" s="29">
        <f>IF(ISBLANK('Aqueous Species Options'!B237), "", IF('Aqueous Species Options'!L237 = 1, IF(ISBLANK('Aqueous Species Options'!G237), "", 'Aqueous Species Options'!G237), ('Aqueous Species Table'!I237/10 + ('Aqueous Species Table'!J237*100)/(Calculations!$C$12+Calculations!$C$9) + ('Aqueous Species Table'!K237 + ('Aqueous Species Table'!L237*10000)/(Calculations!$C$12+Calculations!$C$9))*(1/(Calculations!$C$8-Calculations!$C$13)) - 'Aqueous Species Table'!O237*100000*0.0000005903)*41.8393))</f>
        <v>-17.410037205641839</v>
      </c>
      <c r="H237" s="29">
        <f>IF(ISBLANK('Aqueous Species Options'!B237), "", IF('Aqueous Species Options'!L237 = 1, IF(ISBLANK('Aqueous Species Options'!H237), "", 'Aqueous Species Options'!H237), 'Aqueous Species Table'!M237 + 'Aqueous Species Table'!N237*10000*(1/(Calculations!$C$8-Calculations!$C$13))^2 + 'Aqueous Species Table'!O237*100000*Calculations!$C$8*Calculations!$C$7))</f>
        <v>-10.05006004734174</v>
      </c>
      <c r="I237" s="42">
        <f>IF(ISBLANK('Aqueous Species Options'!B237), "", IF('Aqueous Species Options'!L237=0, 'Aqueous Species Options'!N237, IF(OR(ISBLANK('Aqueous Species Options'!G237),'Aqueous Species Table'!O237="", 'Aqueous Species Table'!P237=""), "", IF('Aqueous Species Options'!B237="H+", 0, (CHOOSE('Aqueous Species Options'!M237+1,'Aqueous Species Options'!$V$4*ABS('Aqueous Species Table'!P237)+'Aqueous Species Options'!$W$4,'Aqueous Species Options'!$Z$4)*('Aqueous Species Options'!G237 + 'Aqueous Species Table'!O237*100000*0.0000005903*41.8393) + CHOOSE('Aqueous Species Options'!M237+1,'Aqueous Species Options'!$X$4*ABS('Aqueous Species Table'!P237)+'Aqueous Species Options'!$Y$4,'Aqueous Species Options'!$AA$4))*10 ) ) ) )</f>
        <v>4.0371314568047323E-2</v>
      </c>
      <c r="J237" s="42">
        <f>IF(ISBLANK('Aqueous Species Options'!B237), "", IF('Aqueous Species Options'!L237 = 0, 'Aqueous Species Options'!O237, IF('Aqueous Species Table'!I237="", "", IF('Aqueous Species Options'!B237="H+", 0, ((1.11*('Aqueous Species Options'!G237 + 'Aqueous Species Table'!O237*100000*0.0000005903*41.8393)+1.8)/41.8393 - 'Aqueous Species Table'!I237/10)*26.01 ) ) ) )</f>
        <v>-9.0632090322775412</v>
      </c>
      <c r="K237" s="42">
        <f>IF(ISBLANK('Aqueous Species Options'!B237), "", IF('Aqueous Species Options'!L237 = 0, 'Aqueous Species Options'!P237, IF('Aqueous Species Table'!I237="", "", IF('Aqueous Species Options'!B237="H+", 0, ('Aqueous Species Options'!G237/41.8393 + 'Aqueous Species Table'!O237*100000*0.0000005903 - 'Aqueous Species Table'!I237/10 - 'Aqueous Species Table'!J237*100/2601)*(298.15-228) - ('Aqueous Species Table'!L237*10000/2601) ) ) ) )</f>
        <v>8.9192553028854693</v>
      </c>
      <c r="L237" s="42">
        <f>IF(ISBLANK('Aqueous Species Options'!B237), "", IF('Aqueous Species Options'!L237 = 0, 'Aqueous Species Options'!Q237, IF('Aqueous Species Table'!J237="", "", IF('Aqueous Species Options'!B237="H+", 0, (-4.134*'Aqueous Species Table'!J237*100 - 27790)*0.0001) ) ) )</f>
        <v>-2.4043269386056467</v>
      </c>
      <c r="M237" s="42">
        <f>IF(ISBLANK('Aqueous Species Options'!B237), "", IF('Aqueous Species Options'!L237=0, 'Aqueous Species Options'!R237, IF('Aqueous Species Table'!N237="", "", IF('Aqueous Species Options'!B237="H+", 0, 'Aqueous Species Options'!H237 - 'Aqueous Species Table'!O237*100000*(-0.000000309)*298.15 - 'Aqueous Species Table'!N237*10000/(298.15-228)^2 ) ) ) )</f>
        <v>10.745194374428308</v>
      </c>
      <c r="N237" s="42">
        <f>IF(ISBLANK('Aqueous Species Options'!B237), "", IF('Aqueous Species Options'!L237=0, 'Aqueous Species Options'!S237, IF(OR(ISBLANK('Aqueous Species Options'!H237), 'Aqueous Species Table'!O237=""), "", IF('Aqueous Species Options'!B237="H+", 0, 0.2037*'Aqueous Species Options'!H237 - 3.0346) ) ) )</f>
        <v>-5.0817972316435123</v>
      </c>
      <c r="O237" s="42">
        <f>IF(ISBLANK('Aqueous Species Options'!B237), "", IF('Aqueous Species Options'!K237=0, 'Aqueous Species Options'!I237, IF(OR('Aqueous Species Options'!J237&gt;4,'Aqueous Species Options'!J237&lt;-4), "", IF('Aqueous Species Options'!B237="H+", 0, IF('Aqueous Species Options'!J237=0, -0.038, IF(ISBLANK('Aqueous Species Options'!F237), "", -1514.4*'Aqueous Species Options'!F237*0.00001 + SUM(({4,3,2,1,-1,-2,-3,-4}='Aqueous Species Options'!J237)*{2.1764,1.5793,1.0579,0.5517,1.6291,3.2127,4.8115,6.486}) ) ) ) ) ) )</f>
        <v>1.1363000000000001</v>
      </c>
      <c r="P237" s="1">
        <f>IF(ISBLANK('Aqueous Species Options'!J237), "", 'Aqueous Species Options'!J237)</f>
        <v>2</v>
      </c>
      <c r="Q237" s="184" t="str">
        <f>IF(ISBLANK('Aqueous Species Options'!T237), "", 'Aqueous Species Options'!T237)</f>
        <v>Shock &amp; Helgeson (1988) revised with new predicted a1 for ions</v>
      </c>
    </row>
    <row r="238" spans="2:17" ht="64" x14ac:dyDescent="0.2">
      <c r="B238" s="9" t="str">
        <f>IF(ISBLANK('Aqueous Species Options'!B238), "", 'Aqueous Species Options'!B238)</f>
        <v>SrCl+</v>
      </c>
      <c r="C238" s="9" t="str">
        <f>IF(ISBLANK('Aqueous Species Options'!C238), "", 'Aqueous Species Options'!C238)</f>
        <v>SrCl(+)</v>
      </c>
      <c r="D238" s="2">
        <f>IF(ISBLANK('Aqueous Species Options'!D238), "", 'Aqueous Species Options'!D238)</f>
        <v>-165800</v>
      </c>
      <c r="E238" s="1">
        <f>IF(ISBLANK('Aqueous Species Options'!E238), "", 'Aqueous Species Options'!E238)</f>
        <v>-169790</v>
      </c>
      <c r="F238" s="139">
        <f>IF(ISBLANK('Aqueous Species Options'!F238), "", 'Aqueous Species Options'!F238)</f>
        <v>11</v>
      </c>
      <c r="G238" s="29">
        <f>IF(ISBLANK('Aqueous Species Options'!B238), "", IF('Aqueous Species Options'!L238 = 1, IF(ISBLANK('Aqueous Species Options'!G238), "", 'Aqueous Species Options'!G238), ('Aqueous Species Table'!I238/10 + ('Aqueous Species Table'!J238*100)/(Calculations!$C$12+Calculations!$C$9) + ('Aqueous Species Table'!K238 + ('Aqueous Species Table'!L238*10000)/(Calculations!$C$12+Calculations!$C$9))*(1/(Calculations!$C$8-Calculations!$C$13)) - 'Aqueous Species Table'!O238*100000*0.0000005903)*41.8393))</f>
        <v>11.1</v>
      </c>
      <c r="H238" s="29">
        <f>IF(ISBLANK('Aqueous Species Options'!B238), "", IF('Aqueous Species Options'!L238 = 1, IF(ISBLANK('Aqueous Species Options'!H238), "", 'Aqueous Species Options'!H238), 'Aqueous Species Table'!M238 + 'Aqueous Species Table'!N238*10000*(1/(Calculations!$C$8-Calculations!$C$13))^2 + 'Aqueous Species Table'!O238*100000*Calculations!$C$8*Calculations!$C$7))</f>
        <v>11.249789603311655</v>
      </c>
      <c r="I238" s="42">
        <f>IF(ISBLANK('Aqueous Species Options'!B238), "", IF('Aqueous Species Options'!L238=0, 'Aqueous Species Options'!N238, IF(OR(ISBLANK('Aqueous Species Options'!G238),'Aqueous Species Table'!O238="", 'Aqueous Species Table'!P238=""), "", IF('Aqueous Species Options'!B238="H+", 0, (CHOOSE('Aqueous Species Options'!M238+1,'Aqueous Species Options'!$V$4*ABS('Aqueous Species Table'!P238)+'Aqueous Species Options'!$W$4,'Aqueous Species Options'!$Z$4)*('Aqueous Species Options'!G238 + 'Aqueous Species Table'!O238*100000*0.0000005903*41.8393) + CHOOSE('Aqueous Species Options'!M238+1,'Aqueous Species Options'!$X$4*ABS('Aqueous Species Table'!P238)+'Aqueous Species Options'!$Y$4,'Aqueous Species Options'!$AA$4))*10 ) ) ) )</f>
        <v>3.8601745410200743</v>
      </c>
      <c r="J238" s="42">
        <f>IF(ISBLANK('Aqueous Species Options'!B238), "", IF('Aqueous Species Options'!L238 = 0, 'Aqueous Species Options'!O238, IF('Aqueous Species Table'!I238="", "", IF('Aqueous Species Options'!B238="H+", 0, ((1.11*('Aqueous Species Options'!G238 + 'Aqueous Species Table'!O238*100000*0.0000005903*41.8393)+1.8)/41.8393 - 'Aqueous Species Table'!I238/10)*26.01 ) ) ) )</f>
        <v>-0.60786715463542196</v>
      </c>
      <c r="K238" s="42">
        <f>IF(ISBLANK('Aqueous Species Options'!B238), "", IF('Aqueous Species Options'!L238 = 0, 'Aqueous Species Options'!P238, IF('Aqueous Species Table'!I238="", "", IF('Aqueous Species Options'!B238="H+", 0, ('Aqueous Species Options'!G238/41.8393 + 'Aqueous Species Table'!O238*100000*0.0000005903 - 'Aqueous Species Table'!I238/10 - 'Aqueous Species Table'!J238*100/2601)*(298.15-228) - ('Aqueous Species Table'!L238*10000/2601) ) ) ) )</f>
        <v>5.3477915978380297</v>
      </c>
      <c r="L238" s="42">
        <f>IF(ISBLANK('Aqueous Species Options'!B238), "", IF('Aqueous Species Options'!L238 = 0, 'Aqueous Species Options'!Q238, IF('Aqueous Species Table'!J238="", "", IF('Aqueous Species Options'!B238="H+", 0, (-4.134*'Aqueous Species Table'!J238*100 - 27790)*0.0001) ) ) )</f>
        <v>-2.7538707718273718</v>
      </c>
      <c r="M238" s="42">
        <f>IF(ISBLANK('Aqueous Species Options'!B238), "", IF('Aqueous Species Options'!L238=0, 'Aqueous Species Options'!R238, IF('Aqueous Species Table'!N238="", "", IF('Aqueous Species Options'!B238="H+", 0, 'Aqueous Species Options'!H238 - 'Aqueous Species Table'!O238*100000*(-0.000000309)*298.15 - 'Aqueous Species Table'!N238*10000/(298.15-228)^2 ) ) ) )</f>
        <v>16.294639498611144</v>
      </c>
      <c r="N238" s="42">
        <f>IF(ISBLANK('Aqueous Species Options'!B238), "", IF('Aqueous Species Options'!L238=0, 'Aqueous Species Options'!S238, IF(OR(ISBLANK('Aqueous Species Options'!H238), 'Aqueous Species Table'!O238=""), "", IF('Aqueous Species Options'!B238="H+", 0, 0.2037*'Aqueous Species Options'!H238 - 3.0346) ) ) )</f>
        <v>-0.74301785780541607</v>
      </c>
      <c r="O238" s="42">
        <f>IF(ISBLANK('Aqueous Species Options'!B238), "", IF('Aqueous Species Options'!K238=0, 'Aqueous Species Options'!I238, IF(OR('Aqueous Species Options'!J238&gt;4,'Aqueous Species Options'!J238&lt;-4), "", IF('Aqueous Species Options'!B238="H+", 0, IF('Aqueous Species Options'!J238=0, -0.038, IF(ISBLANK('Aqueous Species Options'!F238), "", -1514.4*'Aqueous Species Options'!F238*0.00001 + SUM(({4,3,2,1,-1,-2,-3,-4}='Aqueous Species Options'!J238)*{2.1764,1.5793,1.0579,0.5517,1.6291,3.2127,4.8115,6.486}) ) ) ) ) ) )</f>
        <v>0.38369999999999999</v>
      </c>
      <c r="P238" s="1">
        <f>IF(ISBLANK('Aqueous Species Options'!J238), "", 'Aqueous Species Options'!J238)</f>
        <v>1</v>
      </c>
      <c r="Q238" s="184" t="str">
        <f>IF(ISBLANK('Aqueous Species Options'!T238), "", 'Aqueous Species Options'!T238)</f>
        <v>Sverjensky et al. (1997) with revised a1 equal to the sum of the ions used to predict new values of V using new correlation in Sverjensky et al. (2014)</v>
      </c>
    </row>
    <row r="239" spans="2:17" ht="32" x14ac:dyDescent="0.2">
      <c r="B239" s="9" t="str">
        <f>IF(ISBLANK('Aqueous Species Options'!B239), "", 'Aqueous Species Options'!B239)</f>
        <v>Tb+3</v>
      </c>
      <c r="C239" s="9" t="str">
        <f>IF(ISBLANK('Aqueous Species Options'!C239), "", 'Aqueous Species Options'!C239)</f>
        <v>Tb(+3)</v>
      </c>
      <c r="D239" s="2">
        <f>IF(ISBLANK('Aqueous Species Options'!D239), "", 'Aqueous Species Options'!D239)</f>
        <v>-159500</v>
      </c>
      <c r="E239" s="1">
        <f>IF(ISBLANK('Aqueous Species Options'!E239), "", 'Aqueous Species Options'!E239)</f>
        <v>-166900</v>
      </c>
      <c r="F239" s="139">
        <f>IF(ISBLANK('Aqueous Species Options'!F239), "", 'Aqueous Species Options'!F239)</f>
        <v>-54</v>
      </c>
      <c r="G239" s="29">
        <f>IF(ISBLANK('Aqueous Species Options'!B239), "", IF('Aqueous Species Options'!L239 = 1, IF(ISBLANK('Aqueous Species Options'!G239), "", 'Aqueous Species Options'!G239), ('Aqueous Species Table'!I239/10 + ('Aqueous Species Table'!J239*100)/(Calculations!$C$12+Calculations!$C$9) + ('Aqueous Species Table'!K239 + ('Aqueous Species Table'!L239*10000)/(Calculations!$C$12+Calculations!$C$9))*(1/(Calculations!$C$8-Calculations!$C$13)) - 'Aqueous Species Table'!O239*100000*0.0000005903)*41.8393))</f>
        <v>-40.19992759586701</v>
      </c>
      <c r="H239" s="29">
        <f>IF(ISBLANK('Aqueous Species Options'!B239), "", IF('Aqueous Species Options'!L239 = 1, IF(ISBLANK('Aqueous Species Options'!H239), "", 'Aqueous Species Options'!H239), 'Aqueous Species Table'!M239 + 'Aqueous Species Table'!N239*10000*(1/(Calculations!$C$8-Calculations!$C$13))^2 + 'Aqueous Species Table'!O239*100000*Calculations!$C$8*Calculations!$C$7))</f>
        <v>-40.499406414091936</v>
      </c>
      <c r="I239" s="42">
        <f>IF(ISBLANK('Aqueous Species Options'!B239), "", IF('Aqueous Species Options'!L239=0, 'Aqueous Species Options'!N239, IF(OR(ISBLANK('Aqueous Species Options'!G239),'Aqueous Species Table'!O239="", 'Aqueous Species Table'!P239=""), "", IF('Aqueous Species Options'!B239="H+", 0, (CHOOSE('Aqueous Species Options'!M239+1,'Aqueous Species Options'!$V$4*ABS('Aqueous Species Table'!P239)+'Aqueous Species Options'!$W$4,'Aqueous Species Options'!$Z$4)*('Aqueous Species Options'!G239 + 'Aqueous Species Table'!O239*100000*0.0000005903*41.8393) + CHOOSE('Aqueous Species Options'!M239+1,'Aqueous Species Options'!$X$4*ABS('Aqueous Species Table'!P239)+'Aqueous Species Options'!$Y$4,'Aqueous Species Options'!$AA$4))*10 ) ) ) )</f>
        <v>-7.703624086396812</v>
      </c>
      <c r="J239" s="42">
        <f>IF(ISBLANK('Aqueous Species Options'!B239), "", IF('Aqueous Species Options'!L239 = 0, 'Aqueous Species Options'!O239, IF('Aqueous Species Table'!I239="", "", IF('Aqueous Species Options'!B239="H+", 0, ((1.11*('Aqueous Species Options'!G239 + 'Aqueous Species Table'!O239*100000*0.0000005903*41.8393)+1.8)/41.8393 - 'Aqueous Species Table'!I239/10)*26.01 ) ) ) )</f>
        <v>-2.5471910599830552</v>
      </c>
      <c r="K239" s="42">
        <f>IF(ISBLANK('Aqueous Species Options'!B239), "", IF('Aqueous Species Options'!L239 = 0, 'Aqueous Species Options'!P239, IF('Aqueous Species Table'!I239="", "", IF('Aqueous Species Options'!B239="H+", 0, ('Aqueous Species Options'!G239/41.8393 + 'Aqueous Species Table'!O239*100000*0.0000005903 - 'Aqueous Species Table'!I239/10 - 'Aqueous Species Table'!J239*100/2601)*(298.15-228) - ('Aqueous Species Table'!L239*10000/2601) ) ) ) )</f>
        <v>13.596812496671156</v>
      </c>
      <c r="L239" s="42">
        <f>IF(ISBLANK('Aqueous Species Options'!B239), "", IF('Aqueous Species Options'!L239 = 0, 'Aqueous Species Options'!Q239, IF('Aqueous Species Table'!J239="", "", IF('Aqueous Species Options'!B239="H+", 0, (-4.134*'Aqueous Species Table'!J239*100 - 27790)*0.0001) ) ) )</f>
        <v>-2.6736991215803005</v>
      </c>
      <c r="M239" s="42">
        <f>IF(ISBLANK('Aqueous Species Options'!B239), "", IF('Aqueous Species Options'!L239=0, 'Aqueous Species Options'!R239, IF('Aqueous Species Table'!N239="", "", IF('Aqueous Species Options'!B239="H+", 0, 'Aqueous Species Options'!H239 - 'Aqueous Species Table'!O239*100000*(-0.000000309)*298.15 - 'Aqueous Species Table'!N239*10000/(298.15-228)^2 ) ) ) )</f>
        <v>4.2520558969208722</v>
      </c>
      <c r="N239" s="42">
        <f>IF(ISBLANK('Aqueous Species Options'!B239), "", IF('Aqueous Species Options'!L239=0, 'Aqueous Species Options'!S239, IF(OR(ISBLANK('Aqueous Species Options'!H239), 'Aqueous Species Table'!O239=""), "", IF('Aqueous Species Options'!B239="H+", 0, 0.2037*'Aqueous Species Options'!H239 - 3.0346) ) ) )</f>
        <v>-11.284329086550528</v>
      </c>
      <c r="O239" s="42">
        <f>IF(ISBLANK('Aqueous Species Options'!B239), "", IF('Aqueous Species Options'!K239=0, 'Aqueous Species Options'!I239, IF(OR('Aqueous Species Options'!J239&gt;4,'Aqueous Species Options'!J239&lt;-4), "", IF('Aqueous Species Options'!B239="H+", 0, IF('Aqueous Species Options'!J239=0, -0.038, IF(ISBLANK('Aqueous Species Options'!F239), "", -1514.4*'Aqueous Species Options'!F239*0.00001 + SUM(({4,3,2,1,-1,-2,-3,-4}='Aqueous Species Options'!J239)*{2.1764,1.5793,1.0579,0.5517,1.6291,3.2127,4.8115,6.486}) ) ) ) ) ) )</f>
        <v>2.3685</v>
      </c>
      <c r="P239" s="1">
        <f>IF(ISBLANK('Aqueous Species Options'!J239), "", 'Aqueous Species Options'!J239)</f>
        <v>3</v>
      </c>
      <c r="Q239" s="184" t="str">
        <f>IF(ISBLANK('Aqueous Species Options'!T239), "", 'Aqueous Species Options'!T239)</f>
        <v>Shock &amp; Helgeson (1988) revised with new predicted a1 for ions</v>
      </c>
    </row>
    <row r="240" spans="2:17" ht="32" x14ac:dyDescent="0.2">
      <c r="B240" s="9" t="str">
        <f>IF(ISBLANK('Aqueous Species Options'!B240), "", 'Aqueous Species Options'!B240)</f>
        <v>TIO2,aq</v>
      </c>
      <c r="C240" s="9" t="str">
        <f>IF(ISBLANK('Aqueous Species Options'!C240), "", 'Aqueous Species Options'!C240)</f>
        <v>TiO2(0)</v>
      </c>
      <c r="D240" s="2">
        <f>IF(ISBLANK('Aqueous Species Options'!D240), "", 'Aqueous Species Options'!D240)</f>
        <v>-195000</v>
      </c>
      <c r="E240" s="1" t="str">
        <f>IF(ISBLANK('Aqueous Species Options'!E240), "", 'Aqueous Species Options'!E240)</f>
        <v/>
      </c>
      <c r="F240" s="139">
        <f>IF(ISBLANK('Aqueous Species Options'!F240), "", 'Aqueous Species Options'!F240)</f>
        <v>-1.5</v>
      </c>
      <c r="G240" s="29">
        <f>IF(ISBLANK('Aqueous Species Options'!B240), "", IF('Aqueous Species Options'!L240 = 1, IF(ISBLANK('Aqueous Species Options'!G240), "", 'Aqueous Species Options'!G240), ('Aqueous Species Table'!I240/10 + ('Aqueous Species Table'!J240*100)/(Calculations!$C$12+Calculations!$C$9) + ('Aqueous Species Table'!K240 + ('Aqueous Species Table'!L240*10000)/(Calculations!$C$12+Calculations!$C$9))*(1/(Calculations!$C$8-Calculations!$C$13)) - 'Aqueous Species Table'!O240*100000*0.0000005903)*41.8393))</f>
        <v>11</v>
      </c>
      <c r="H240" s="29">
        <f>IF(ISBLANK('Aqueous Species Options'!B240), "", IF('Aqueous Species Options'!L240 = 1, IF(ISBLANK('Aqueous Species Options'!H240), "", 'Aqueous Species Options'!H240), 'Aqueous Species Table'!M240 + 'Aqueous Species Table'!N240*10000*(1/(Calculations!$C$8-Calculations!$C$13))^2 + 'Aqueous Species Table'!O240*100000*Calculations!$C$8*Calculations!$C$7))</f>
        <v>40</v>
      </c>
      <c r="I240" s="42">
        <f>IF(ISBLANK('Aqueous Species Options'!B240), "", IF('Aqueous Species Options'!L240=0, 'Aqueous Species Options'!N240, IF(OR(ISBLANK('Aqueous Species Options'!G240),'Aqueous Species Table'!O240="", 'Aqueous Species Table'!P240=""), "", IF('Aqueous Species Options'!B240="H+", 0, (CHOOSE('Aqueous Species Options'!M240+1,'Aqueous Species Options'!$V$4*ABS('Aqueous Species Table'!P240)+'Aqueous Species Options'!$W$4,'Aqueous Species Options'!$Z$4)*('Aqueous Species Options'!G240 + 'Aqueous Species Table'!O240*100000*0.0000005903*41.8393) + CHOOSE('Aqueous Species Options'!M240+1,'Aqueous Species Options'!$X$4*ABS('Aqueous Species Table'!P240)+'Aqueous Species Options'!$Y$4,'Aqueous Species Options'!$AA$4))*10 ) ) ) )</f>
        <v>3.8006064355121771</v>
      </c>
      <c r="J240" s="42">
        <f>IF(ISBLANK('Aqueous Species Options'!B240), "", IF('Aqueous Species Options'!L240 = 0, 'Aqueous Species Options'!O240, IF('Aqueous Species Table'!I240="", "", IF('Aqueous Species Options'!B240="H+", 0, ((1.11*('Aqueous Species Options'!G240 + 'Aqueous Species Table'!O240*100000*0.0000005903*41.8393)+1.8)/41.8393 - 'Aqueous Species Table'!I240/10)*26.01 ) ) ) )</f>
        <v>-0.66458190023452157</v>
      </c>
      <c r="K240" s="42">
        <f>IF(ISBLANK('Aqueous Species Options'!B240), "", IF('Aqueous Species Options'!L240 = 0, 'Aqueous Species Options'!P240, IF('Aqueous Species Table'!I240="", "", IF('Aqueous Species Options'!B240="H+", 0, ('Aqueous Species Options'!G240/41.8393 + 'Aqueous Species Table'!O240*100000*0.0000005903 - 'Aqueous Species Table'!I240/10 - 'Aqueous Species Table'!J240*100/2601)*(298.15-228) - ('Aqueous Species Table'!L240*10000/2601) ) ) ) )</f>
        <v>5.3953463745516048</v>
      </c>
      <c r="L240" s="42">
        <f>IF(ISBLANK('Aqueous Species Options'!B240), "", IF('Aqueous Species Options'!L240 = 0, 'Aqueous Species Options'!Q240, IF('Aqueous Species Table'!J240="", "", IF('Aqueous Species Options'!B240="H+", 0, (-4.134*'Aqueous Species Table'!J240*100 - 27790)*0.0001) ) ) )</f>
        <v>-2.7515261842443048</v>
      </c>
      <c r="M240" s="42">
        <f>IF(ISBLANK('Aqueous Species Options'!B240), "", IF('Aqueous Species Options'!L240=0, 'Aqueous Species Options'!R240, IF('Aqueous Species Table'!N240="", "", IF('Aqueous Species Options'!B240="H+", 0, 'Aqueous Species Options'!H240 - 'Aqueous Species Table'!O240*100000*(-0.000000309)*298.15 - 'Aqueous Species Table'!N240*10000/(298.15-228)^2 ) ) ) )</f>
        <v>32.372920566231144</v>
      </c>
      <c r="N240" s="42">
        <f>IF(ISBLANK('Aqueous Species Options'!B240), "", IF('Aqueous Species Options'!L240=0, 'Aqueous Species Options'!S240, IF(OR(ISBLANK('Aqueous Species Options'!H240), 'Aqueous Species Table'!O240=""), "", IF('Aqueous Species Options'!B240="H+", 0, 0.2037*'Aqueous Species Options'!H240 - 3.0346) ) ) )</f>
        <v>5.1133999999999995</v>
      </c>
      <c r="O240" s="42">
        <f>IF(ISBLANK('Aqueous Species Options'!B240), "", IF('Aqueous Species Options'!K240=0, 'Aqueous Species Options'!I240, IF(OR('Aqueous Species Options'!J240&gt;4,'Aqueous Species Options'!J240&lt;-4), "", IF('Aqueous Species Options'!B240="H+", 0, IF('Aqueous Species Options'!J240=0, -0.038, IF(ISBLANK('Aqueous Species Options'!F240), "", -1514.4*'Aqueous Species Options'!F240*0.00001 + SUM(({4,3,2,1,-1,-2,-3,-4}='Aqueous Species Options'!J240)*{2.1764,1.5793,1.0579,0.5517,1.6291,3.2127,4.8115,6.486}) ) ) ) ) ) )</f>
        <v>0.3</v>
      </c>
      <c r="P240" s="1">
        <f>IF(ISBLANK('Aqueous Species Options'!J240), "", 'Aqueous Species Options'!J240)</f>
        <v>0</v>
      </c>
      <c r="Q240" s="184" t="str">
        <f>IF(ISBLANK('Aqueous Species Options'!T240), "", 'Aqueous Species Options'!T240)</f>
        <v>Preliminary fit to Antignano &amp; Manning (2008) May 13, 2019</v>
      </c>
    </row>
    <row r="241" spans="2:17" ht="32" x14ac:dyDescent="0.2">
      <c r="B241" s="9" t="str">
        <f>IF(ISBLANK('Aqueous Species Options'!B241), "", 'Aqueous Species Options'!B241)</f>
        <v>Tl+</v>
      </c>
      <c r="C241" s="9" t="str">
        <f>IF(ISBLANK('Aqueous Species Options'!C241), "", 'Aqueous Species Options'!C241)</f>
        <v>Tl(+)</v>
      </c>
      <c r="D241" s="2">
        <f>IF(ISBLANK('Aqueous Species Options'!D241), "", 'Aqueous Species Options'!D241)</f>
        <v>-7740</v>
      </c>
      <c r="E241" s="1">
        <f>IF(ISBLANK('Aqueous Species Options'!E241), "", 'Aqueous Species Options'!E241)</f>
        <v>1280</v>
      </c>
      <c r="F241" s="139">
        <f>IF(ISBLANK('Aqueous Species Options'!F241), "", 'Aqueous Species Options'!F241)</f>
        <v>30</v>
      </c>
      <c r="G241" s="29">
        <f>IF(ISBLANK('Aqueous Species Options'!B241), "", IF('Aqueous Species Options'!L241 = 1, IF(ISBLANK('Aqueous Species Options'!G241), "", 'Aqueous Species Options'!G241), ('Aqueous Species Table'!I241/10 + ('Aqueous Species Table'!J241*100)/(Calculations!$C$12+Calculations!$C$9) + ('Aqueous Species Table'!K241 + ('Aqueous Species Table'!L241*10000)/(Calculations!$C$12+Calculations!$C$9))*(1/(Calculations!$C$8-Calculations!$C$13)) - 'Aqueous Species Table'!O241*100000*0.0000005903)*41.8393))</f>
        <v>18.200209424471126</v>
      </c>
      <c r="H241" s="29">
        <f>IF(ISBLANK('Aqueous Species Options'!B241), "", IF('Aqueous Species Options'!L241 = 1, IF(ISBLANK('Aqueous Species Options'!H241), "", 'Aqueous Species Options'!H241), 'Aqueous Species Table'!M241 + 'Aqueous Species Table'!N241*10000*(1/(Calculations!$C$8-Calculations!$C$13))^2 + 'Aqueous Species Table'!O241*100000*Calculations!$C$8*Calculations!$C$7))</f>
        <v>-4.1998322624480791</v>
      </c>
      <c r="I241" s="42">
        <f>IF(ISBLANK('Aqueous Species Options'!B241), "", IF('Aqueous Species Options'!L241=0, 'Aqueous Species Options'!N241, IF(OR(ISBLANK('Aqueous Species Options'!G241),'Aqueous Species Table'!O241="", 'Aqueous Species Table'!P241=""), "", IF('Aqueous Species Options'!B241="H+", 0, (CHOOSE('Aqueous Species Options'!M241+1,'Aqueous Species Options'!$V$4*ABS('Aqueous Species Table'!P241)+'Aqueous Species Options'!$W$4,'Aqueous Species Options'!$Z$4)*('Aqueous Species Options'!G241 + 'Aqueous Species Table'!O241*100000*0.0000005903*41.8393) + CHOOSE('Aqueous Species Options'!M241+1,'Aqueous Species Options'!$X$4*ABS('Aqueous Species Table'!P241)+'Aqueous Species Options'!$Y$4,'Aqueous Species Options'!$AA$4))*10 ) ) ) )</f>
        <v>4.0940861204212355</v>
      </c>
      <c r="J241" s="42">
        <f>IF(ISBLANK('Aqueous Species Options'!B241), "", IF('Aqueous Species Options'!L241 = 0, 'Aqueous Species Options'!O241, IF('Aqueous Species Table'!I241="", "", IF('Aqueous Species Options'!B241="H+", 0, ((1.11*('Aqueous Species Options'!G241 + 'Aqueous Species Table'!O241*100000*0.0000005903*41.8393)+1.8)/41.8393 - 'Aqueous Species Table'!I241/10)*26.01 ) ) ) )</f>
        <v>3.2852648979235513</v>
      </c>
      <c r="K241" s="42">
        <f>IF(ISBLANK('Aqueous Species Options'!B241), "", IF('Aqueous Species Options'!L241 = 0, 'Aqueous Species Options'!P241, IF('Aqueous Species Table'!I241="", "", IF('Aqueous Species Options'!B241="H+", 0, ('Aqueous Species Options'!G241/41.8393 + 'Aqueous Species Table'!O241*100000*0.0000005903 - 'Aqueous Species Table'!I241/10 - 'Aqueous Species Table'!J241*100/2601)*(298.15-228) - ('Aqueous Species Table'!L241*10000/2601) ) ) ) )</f>
        <v>4.7634171779585701</v>
      </c>
      <c r="L241" s="42">
        <f>IF(ISBLANK('Aqueous Species Options'!B241), "", IF('Aqueous Species Options'!L241 = 0, 'Aqueous Species Options'!Q241, IF('Aqueous Species Table'!J241="", "", IF('Aqueous Species Options'!B241="H+", 0, (-4.134*'Aqueous Species Table'!J241*100 - 27790)*0.0001) ) ) )</f>
        <v>-2.9148128508801601</v>
      </c>
      <c r="M241" s="42">
        <f>IF(ISBLANK('Aqueous Species Options'!B241), "", IF('Aqueous Species Options'!L241=0, 'Aqueous Species Options'!R241, IF('Aqueous Species Table'!N241="", "", IF('Aqueous Species Options'!B241="H+", 0, 'Aqueous Species Options'!H241 - 'Aqueous Species Table'!O241*100000*(-0.000000309)*298.15 - 'Aqueous Species Table'!N241*10000/(298.15-228)^2 ) ) ) )</f>
        <v>5.0890118509124367</v>
      </c>
      <c r="N241" s="42">
        <f>IF(ISBLANK('Aqueous Species Options'!B241), "", IF('Aqueous Species Options'!L241=0, 'Aqueous Species Options'!S241, IF(OR(ISBLANK('Aqueous Species Options'!H241), 'Aqueous Species Table'!O241=""), "", IF('Aqueous Species Options'!B241="H+", 0, 0.2037*'Aqueous Species Options'!H241 - 3.0346) ) ) )</f>
        <v>-3.8901058318606738</v>
      </c>
      <c r="O241" s="42">
        <f>IF(ISBLANK('Aqueous Species Options'!B241), "", IF('Aqueous Species Options'!K241=0, 'Aqueous Species Options'!I241, IF(OR('Aqueous Species Options'!J241&gt;4,'Aqueous Species Options'!J241&lt;-4), "", IF('Aqueous Species Options'!B241="H+", 0, IF('Aqueous Species Options'!J241=0, -0.038, IF(ISBLANK('Aqueous Species Options'!F241), "", -1514.4*'Aqueous Species Options'!F241*0.00001 + SUM(({4,3,2,1,-1,-2,-3,-4}='Aqueous Species Options'!J241)*{2.1764,1.5793,1.0579,0.5517,1.6291,3.2127,4.8115,6.486}) ) ) ) ) ) )</f>
        <v>0.1502</v>
      </c>
      <c r="P241" s="1">
        <f>IF(ISBLANK('Aqueous Species Options'!J241), "", 'Aqueous Species Options'!J241)</f>
        <v>1</v>
      </c>
      <c r="Q241" s="184" t="str">
        <f>IF(ISBLANK('Aqueous Species Options'!T241), "", 'Aqueous Species Options'!T241)</f>
        <v>Shock &amp; Helgeson (1988) revised with new predicted a1 for ions</v>
      </c>
    </row>
    <row r="242" spans="2:17" ht="32" x14ac:dyDescent="0.2">
      <c r="B242" s="9" t="str">
        <f>IF(ISBLANK('Aqueous Species Options'!B242), "", 'Aqueous Species Options'!B242)</f>
        <v>Tl+3</v>
      </c>
      <c r="C242" s="9" t="str">
        <f>IF(ISBLANK('Aqueous Species Options'!C242), "", 'Aqueous Species Options'!C242)</f>
        <v>Tl(+3)</v>
      </c>
      <c r="D242" s="2">
        <f>IF(ISBLANK('Aqueous Species Options'!D242), "", 'Aqueous Species Options'!D242)</f>
        <v>51300</v>
      </c>
      <c r="E242" s="1">
        <f>IF(ISBLANK('Aqueous Species Options'!E242), "", 'Aqueous Species Options'!E242)</f>
        <v>47000</v>
      </c>
      <c r="F242" s="139">
        <f>IF(ISBLANK('Aqueous Species Options'!F242), "", 'Aqueous Species Options'!F242)</f>
        <v>-46</v>
      </c>
      <c r="G242" s="29">
        <f>IF(ISBLANK('Aqueous Species Options'!B242), "", IF('Aqueous Species Options'!L242 = 1, IF(ISBLANK('Aqueous Species Options'!G242), "", 'Aqueous Species Options'!G242), ('Aqueous Species Table'!I242/10 + ('Aqueous Species Table'!J242*100)/(Calculations!$C$12+Calculations!$C$9) + ('Aqueous Species Table'!K242 + ('Aqueous Species Table'!L242*10000)/(Calculations!$C$12+Calculations!$C$9))*(1/(Calculations!$C$8-Calculations!$C$13)) - 'Aqueous Species Table'!O242*100000*0.0000005903)*41.8393))</f>
        <v>-39.300038054820646</v>
      </c>
      <c r="H242" s="29">
        <f>IF(ISBLANK('Aqueous Species Options'!B242), "", IF('Aqueous Species Options'!L242 = 1, IF(ISBLANK('Aqueous Species Options'!H242), "", 'Aqueous Species Options'!H242), 'Aqueous Species Table'!M242 + 'Aqueous Species Table'!N242*10000*(1/(Calculations!$C$8-Calculations!$C$13))^2 + 'Aqueous Species Table'!O242*100000*Calculations!$C$8*Calculations!$C$7))</f>
        <v>-39.299870843408826</v>
      </c>
      <c r="I242" s="42">
        <f>IF(ISBLANK('Aqueous Species Options'!B242), "", IF('Aqueous Species Options'!L242=0, 'Aqueous Species Options'!N242, IF(OR(ISBLANK('Aqueous Species Options'!G242),'Aqueous Species Table'!O242="", 'Aqueous Species Table'!P242=""), "", IF('Aqueous Species Options'!B242="H+", 0, (CHOOSE('Aqueous Species Options'!M242+1,'Aqueous Species Options'!$V$4*ABS('Aqueous Species Table'!P242)+'Aqueous Species Options'!$W$4,'Aqueous Species Options'!$Z$4)*('Aqueous Species Options'!G242 + 'Aqueous Species Table'!O242*100000*0.0000005903*41.8393) + CHOOSE('Aqueous Species Options'!M242+1,'Aqueous Species Options'!$X$4*ABS('Aqueous Species Table'!P242)+'Aqueous Species Options'!$Y$4,'Aqueous Species Options'!$AA$4))*10 ) ) ) )</f>
        <v>-7.3903703695391121</v>
      </c>
      <c r="J242" s="42">
        <f>IF(ISBLANK('Aqueous Species Options'!B242), "", IF('Aqueous Species Options'!L242 = 0, 'Aqueous Species Options'!O242, IF('Aqueous Species Table'!I242="", "", IF('Aqueous Species Options'!B242="H+", 0, ((1.11*('Aqueous Species Options'!G242 + 'Aqueous Species Table'!O242*100000*0.0000005903*41.8393)+1.8)/41.8393 - 'Aqueous Species Table'!I242/10)*26.01 ) ) ) )</f>
        <v>-2.7769574511721333</v>
      </c>
      <c r="K242" s="42">
        <f>IF(ISBLANK('Aqueous Species Options'!B242), "", IF('Aqueous Species Options'!L242 = 0, 'Aqueous Species Options'!P242, IF('Aqueous Species Table'!I242="", "", IF('Aqueous Species Options'!B242="H+", 0, ('Aqueous Species Options'!G242/41.8393 + 'Aqueous Species Table'!O242*100000*0.0000005903 - 'Aqueous Species Table'!I242/10 - 'Aqueous Species Table'!J242*100/2601)*(298.15-228) - ('Aqueous Species Table'!L242*10000/2601) ) ) ) )</f>
        <v>13.403936537994664</v>
      </c>
      <c r="L242" s="42">
        <f>IF(ISBLANK('Aqueous Species Options'!B242), "", IF('Aqueous Species Options'!L242 = 0, 'Aqueous Species Options'!Q242, IF('Aqueous Species Table'!J242="", "", IF('Aqueous Species Options'!B242="H+", 0, (-4.134*'Aqueous Species Table'!J242*100 - 27790)*0.0001) ) ) )</f>
        <v>-2.6642005789685443</v>
      </c>
      <c r="M242" s="42">
        <f>IF(ISBLANK('Aqueous Species Options'!B242), "", IF('Aqueous Species Options'!L242=0, 'Aqueous Species Options'!R242, IF('Aqueous Species Table'!N242="", "", IF('Aqueous Species Options'!B242="H+", 0, 'Aqueous Species Options'!H242 - 'Aqueous Species Table'!O242*100000*(-0.000000309)*298.15 - 'Aqueous Species Table'!N242*10000/(298.15-228)^2 ) ) ) )</f>
        <v>4.7606668581120708</v>
      </c>
      <c r="N242" s="42">
        <f>IF(ISBLANK('Aqueous Species Options'!B242), "", IF('Aqueous Species Options'!L242=0, 'Aqueous Species Options'!S242, IF(OR(ISBLANK('Aqueous Species Options'!H242), 'Aqueous Species Table'!O242=""), "", IF('Aqueous Species Options'!B242="H+", 0, 0.2037*'Aqueous Species Options'!H242 - 3.0346) ) ) )</f>
        <v>-11.039983690802377</v>
      </c>
      <c r="O242" s="42">
        <f>IF(ISBLANK('Aqueous Species Options'!B242), "", IF('Aqueous Species Options'!K242=0, 'Aqueous Species Options'!I242, IF(OR('Aqueous Species Options'!J242&gt;4,'Aqueous Species Options'!J242&lt;-4), "", IF('Aqueous Species Options'!B242="H+", 0, IF('Aqueous Species Options'!J242=0, -0.038, IF(ISBLANK('Aqueous Species Options'!F242), "", -1514.4*'Aqueous Species Options'!F242*0.00001 + SUM(({4,3,2,1,-1,-2,-3,-4}='Aqueous Species Options'!J242)*{2.1764,1.5793,1.0579,0.5517,1.6291,3.2127,4.8115,6.486}) ) ) ) ) ) )</f>
        <v>2.3473999999999999</v>
      </c>
      <c r="P242" s="1">
        <f>IF(ISBLANK('Aqueous Species Options'!J242), "", 'Aqueous Species Options'!J242)</f>
        <v>3</v>
      </c>
      <c r="Q242" s="184" t="str">
        <f>IF(ISBLANK('Aqueous Species Options'!T242), "", 'Aqueous Species Options'!T242)</f>
        <v>Shock &amp; Helgeson (1988) revised with new predicted a1 for ions</v>
      </c>
    </row>
    <row r="243" spans="2:17" ht="32" x14ac:dyDescent="0.2">
      <c r="B243" s="9" t="str">
        <f>IF(ISBLANK('Aqueous Species Options'!B243), "", 'Aqueous Species Options'!B243)</f>
        <v>Tm+3</v>
      </c>
      <c r="C243" s="9" t="str">
        <f>IF(ISBLANK('Aqueous Species Options'!C243), "", 'Aqueous Species Options'!C243)</f>
        <v>Tm(+3)</v>
      </c>
      <c r="D243" s="2">
        <f>IF(ISBLANK('Aqueous Species Options'!D243), "", 'Aqueous Species Options'!D243)</f>
        <v>-159900</v>
      </c>
      <c r="E243" s="1">
        <f>IF(ISBLANK('Aqueous Species Options'!E243), "", 'Aqueous Species Options'!E243)</f>
        <v>-168500</v>
      </c>
      <c r="F243" s="139">
        <f>IF(ISBLANK('Aqueous Species Options'!F243), "", 'Aqueous Species Options'!F243)</f>
        <v>-58.1</v>
      </c>
      <c r="G243" s="29">
        <f>IF(ISBLANK('Aqueous Species Options'!B243), "", IF('Aqueous Species Options'!L243 = 1, IF(ISBLANK('Aqueous Species Options'!G243), "", 'Aqueous Species Options'!G243), ('Aqueous Species Table'!I243/10 + ('Aqueous Species Table'!J243*100)/(Calculations!$C$12+Calculations!$C$9) + ('Aqueous Species Table'!K243 + ('Aqueous Species Table'!L243*10000)/(Calculations!$C$12+Calculations!$C$9))*(1/(Calculations!$C$8-Calculations!$C$13)) - 'Aqueous Species Table'!O243*100000*0.0000005903)*41.8393))</f>
        <v>-42.99965957896957</v>
      </c>
      <c r="H243" s="29">
        <f>IF(ISBLANK('Aqueous Species Options'!B243), "", IF('Aqueous Species Options'!L243 = 1, IF(ISBLANK('Aqueous Species Options'!H243), "", 'Aqueous Species Options'!H243), 'Aqueous Species Table'!M243 + 'Aqueous Species Table'!N243*10000*(1/(Calculations!$C$8-Calculations!$C$13))^2 + 'Aqueous Species Table'!O243*100000*Calculations!$C$8*Calculations!$C$7))</f>
        <v>-34.299661552811877</v>
      </c>
      <c r="I243" s="42">
        <f>IF(ISBLANK('Aqueous Species Options'!B243), "", IF('Aqueous Species Options'!L243=0, 'Aqueous Species Options'!N243, IF(OR(ISBLANK('Aqueous Species Options'!G243),'Aqueous Species Table'!O243="", 'Aqueous Species Table'!P243=""), "", IF('Aqueous Species Options'!B243="H+", 0, (CHOOSE('Aqueous Species Options'!M243+1,'Aqueous Species Options'!$V$4*ABS('Aqueous Species Table'!P243)+'Aqueous Species Options'!$W$4,'Aqueous Species Options'!$Z$4)*('Aqueous Species Options'!G243 + 'Aqueous Species Table'!O243*100000*0.0000005903*41.8393) + CHOOSE('Aqueous Species Options'!M243+1,'Aqueous Species Options'!$X$4*ABS('Aqueous Species Table'!P243)+'Aqueous Species Options'!$Y$4,'Aqueous Species Options'!$AA$4))*10 ) ) ) )</f>
        <v>-8.6789897763039825</v>
      </c>
      <c r="J243" s="42">
        <f>IF(ISBLANK('Aqueous Species Options'!B243), "", IF('Aqueous Species Options'!L243 = 0, 'Aqueous Species Options'!O243, IF('Aqueous Species Table'!I243="", "", IF('Aqueous Species Options'!B243="H+", 0, ((1.11*('Aqueous Species Options'!G243 + 'Aqueous Species Table'!O243*100000*0.0000005903*41.8393)+1.8)/41.8393 - 'Aqueous Species Table'!I243/10)*26.01 ) ) ) )</f>
        <v>-1.8317765489992262</v>
      </c>
      <c r="K243" s="42">
        <f>IF(ISBLANK('Aqueous Species Options'!B243), "", IF('Aqueous Species Options'!L243 = 0, 'Aqueous Species Options'!P243, IF('Aqueous Species Table'!I243="", "", IF('Aqueous Species Options'!B243="H+", 0, ('Aqueous Species Options'!G243/41.8393 + 'Aqueous Species Table'!O243*100000*0.0000005903 - 'Aqueous Species Table'!I243/10 - 'Aqueous Species Table'!J243*100/2601)*(298.15-228) - ('Aqueous Species Table'!L243*10000/2601) ) ) ) )</f>
        <v>14.197362729205066</v>
      </c>
      <c r="L243" s="42">
        <f>IF(ISBLANK('Aqueous Species Options'!B243), "", IF('Aqueous Species Options'!L243 = 0, 'Aqueous Species Options'!Q243, IF('Aqueous Species Table'!J243="", "", IF('Aqueous Species Options'!B243="H+", 0, (-4.134*'Aqueous Species Table'!J243*100 - 27790)*0.0001) ) ) )</f>
        <v>-2.7032743574643718</v>
      </c>
      <c r="M243" s="42">
        <f>IF(ISBLANK('Aqueous Species Options'!B243), "", IF('Aqueous Species Options'!L243=0, 'Aqueous Species Options'!R243, IF('Aqueous Species Table'!N243="", "", IF('Aqueous Species Options'!B243="H+", 0, 'Aqueous Species Options'!H243 - 'Aqueous Species Table'!O243*100000*(-0.000000309)*298.15 - 'Aqueous Species Table'!N243*10000/(298.15-228)^2 ) ) ) )</f>
        <v>8.4824802247048865</v>
      </c>
      <c r="N243" s="42">
        <f>IF(ISBLANK('Aqueous Species Options'!B243), "", IF('Aqueous Species Options'!L243=0, 'Aqueous Species Options'!S243, IF(OR(ISBLANK('Aqueous Species Options'!H243), 'Aqueous Species Table'!O243=""), "", IF('Aqueous Species Options'!B243="H+", 0, 0.2037*'Aqueous Species Options'!H243 - 3.0346) ) ) )</f>
        <v>-10.021441058307779</v>
      </c>
      <c r="O243" s="42">
        <f>IF(ISBLANK('Aqueous Species Options'!B243), "", IF('Aqueous Species Options'!K243=0, 'Aqueous Species Options'!I243, IF(OR('Aqueous Species Options'!J243&gt;4,'Aqueous Species Options'!J243&lt;-4), "", IF('Aqueous Species Options'!B243="H+", 0, IF('Aqueous Species Options'!J243=0, -0.038, IF(ISBLANK('Aqueous Species Options'!F243), "", -1514.4*'Aqueous Species Options'!F243*0.00001 + SUM(({4,3,2,1,-1,-2,-3,-4}='Aqueous Species Options'!J243)*{2.1764,1.5793,1.0579,0.5517,1.6291,3.2127,4.8115,6.486}) ) ) ) ) ) )</f>
        <v>2.4333</v>
      </c>
      <c r="P243" s="1">
        <f>IF(ISBLANK('Aqueous Species Options'!J243), "", 'Aqueous Species Options'!J243)</f>
        <v>3</v>
      </c>
      <c r="Q243" s="184" t="str">
        <f>IF(ISBLANK('Aqueous Species Options'!T243), "", 'Aqueous Species Options'!T243)</f>
        <v>Shock &amp; Helgeson (1988) revised with new predicted a1 for ions</v>
      </c>
    </row>
    <row r="244" spans="2:17" ht="48" x14ac:dyDescent="0.2">
      <c r="B244" s="9" t="str">
        <f>IF(ISBLANK('Aqueous Species Options'!B244), "", 'Aqueous Species Options'!B244)</f>
        <v>TOLUENE,AQ</v>
      </c>
      <c r="C244" s="9" t="str">
        <f>IF(ISBLANK('Aqueous Species Options'!C244), "", 'Aqueous Species Options'!C244)</f>
        <v>C6H5CH3</v>
      </c>
      <c r="D244" s="2">
        <f>IF(ISBLANK('Aqueous Species Options'!D244), "", 'Aqueous Species Options'!D244)</f>
        <v>30260</v>
      </c>
      <c r="E244" s="1">
        <f>IF(ISBLANK('Aqueous Species Options'!E244), "", 'Aqueous Species Options'!E244)</f>
        <v>3280</v>
      </c>
      <c r="F244" s="139">
        <f>IF(ISBLANK('Aqueous Species Options'!F244), "", 'Aqueous Species Options'!F244)</f>
        <v>44</v>
      </c>
      <c r="G244" s="29">
        <f>IF(ISBLANK('Aqueous Species Options'!B244), "", IF('Aqueous Species Options'!L244 = 1, IF(ISBLANK('Aqueous Species Options'!G244), "", 'Aqueous Species Options'!G244), ('Aqueous Species Table'!I244/10 + ('Aqueous Species Table'!J244*100)/(Calculations!$C$12+Calculations!$C$9) + ('Aqueous Species Table'!K244 + ('Aqueous Species Table'!L244*10000)/(Calculations!$C$12+Calculations!$C$9))*(1/(Calculations!$C$8-Calculations!$C$13)) - 'Aqueous Species Table'!O244*100000*0.0000005903)*41.8393))</f>
        <v>97.5</v>
      </c>
      <c r="H244" s="29">
        <f>IF(ISBLANK('Aqueous Species Options'!B244), "", IF('Aqueous Species Options'!L244 = 1, IF(ISBLANK('Aqueous Species Options'!H244), "", 'Aqueous Species Options'!H244), 'Aqueous Species Table'!M244 + 'Aqueous Species Table'!N244*10000*(1/(Calculations!$C$8-Calculations!$C$13))^2 + 'Aqueous Species Table'!O244*100000*Calculations!$C$8*Calculations!$C$7))</f>
        <v>109</v>
      </c>
      <c r="I244" s="42">
        <f>IF(ISBLANK('Aqueous Species Options'!B244), "", IF('Aqueous Species Options'!L244=0, 'Aqueous Species Options'!N244, IF(OR(ISBLANK('Aqueous Species Options'!G244),'Aqueous Species Table'!O244="", 'Aqueous Species Table'!P244=""), "", IF('Aqueous Species Options'!B244="H+", 0, (CHOOSE('Aqueous Species Options'!M244+1,'Aqueous Species Options'!$V$4*ABS('Aqueous Species Table'!P244)+'Aqueous Species Options'!$W$4,'Aqueous Species Options'!$Z$4)*('Aqueous Species Options'!G244 + 'Aqueous Species Table'!O244*100000*0.0000005903*41.8393) + CHOOSE('Aqueous Species Options'!M244+1,'Aqueous Species Options'!$X$4*ABS('Aqueous Species Table'!P244)+'Aqueous Species Options'!$Y$4,'Aqueous Species Options'!$AA$4))*10 ) ) ) )</f>
        <v>20.316775112338231</v>
      </c>
      <c r="J244" s="42">
        <f>IF(ISBLANK('Aqueous Species Options'!B244), "", IF('Aqueous Species Options'!L244 = 0, 'Aqueous Species Options'!O244, IF('Aqueous Species Table'!I244="", "", IF('Aqueous Species Options'!B244="H+", 0, ((1.11*('Aqueous Species Options'!G244 + 'Aqueous Species Table'!O244*100000*0.0000005903*41.8393)+1.8)/41.8393 - 'Aqueous Species Table'!I244/10)*26.01 ) ) ) )</f>
        <v>15.060449083902592</v>
      </c>
      <c r="K244" s="42">
        <f>IF(ISBLANK('Aqueous Species Options'!B244), "", IF('Aqueous Species Options'!L244 = 0, 'Aqueous Species Options'!P244, IF('Aqueous Species Table'!I244="", "", IF('Aqueous Species Options'!B244="H+", 0, ('Aqueous Species Options'!G244/41.8393 + 'Aqueous Species Table'!O244*100000*0.0000005903 - 'Aqueous Species Table'!I244/10 - 'Aqueous Species Table'!J244*100/2601)*(298.15-228) - ('Aqueous Species Table'!L244*10000/2601) ) ) ) )</f>
        <v>-7.7899430835166132</v>
      </c>
      <c r="L244" s="42">
        <f>IF(ISBLANK('Aqueous Species Options'!B244), "", IF('Aqueous Species Options'!L244 = 0, 'Aqueous Species Options'!Q244, IF('Aqueous Species Table'!J244="", "", IF('Aqueous Species Options'!B244="H+", 0, (-4.134*'Aqueous Species Table'!J244*100 - 27790)*0.0001) ) ) )</f>
        <v>-3.401598965128533</v>
      </c>
      <c r="M244" s="42">
        <f>IF(ISBLANK('Aqueous Species Options'!B244), "", IF('Aqueous Species Options'!L244=0, 'Aqueous Species Options'!R244, IF('Aqueous Species Table'!N244="", "", IF('Aqueous Species Options'!B244="H+", 0, 'Aqueous Species Options'!H244 - 'Aqueous Species Table'!O244*100000*(-0.000000309)*298.15 - 'Aqueous Species Table'!N244*10000/(298.15-228)^2 ) ) ) )</f>
        <v>67.37560084029316</v>
      </c>
      <c r="N244" s="42">
        <f>IF(ISBLANK('Aqueous Species Options'!B244), "", IF('Aqueous Species Options'!L244=0, 'Aqueous Species Options'!S244, IF(OR(ISBLANK('Aqueous Species Options'!H244), 'Aqueous Species Table'!O244=""), "", IF('Aqueous Species Options'!B244="H+", 0, 0.2037*'Aqueous Species Options'!H244 - 3.0346) ) ) )</f>
        <v>19.168699999999998</v>
      </c>
      <c r="O244" s="42">
        <f>IF(ISBLANK('Aqueous Species Options'!B244), "", IF('Aqueous Species Options'!K244=0, 'Aqueous Species Options'!I244, IF(OR('Aqueous Species Options'!J244&gt;4,'Aqueous Species Options'!J244&lt;-4), "", IF('Aqueous Species Options'!B244="H+", 0, IF('Aqueous Species Options'!J244=0, -0.038, IF(ISBLANK('Aqueous Species Options'!F244), "", -1514.4*'Aqueous Species Options'!F244*0.00001 + SUM(({4,3,2,1,-1,-2,-3,-4}='Aqueous Species Options'!J244)*{2.1764,1.5793,1.0579,0.5517,1.6291,3.2127,4.8115,6.486}) ) ) ) ) ) )</f>
        <v>-0.28999999999999998</v>
      </c>
      <c r="P244" s="1">
        <f>IF(ISBLANK('Aqueous Species Options'!J244), "", 'Aqueous Species Options'!J244)</f>
        <v>0</v>
      </c>
      <c r="Q244" s="184" t="str">
        <f>IF(ISBLANK('Aqueous Species Options'!T244), "", 'Aqueous Species Options'!T244)</f>
        <v>Plyasunov &amp; Shock (2001) with new a1 to a4 predicted with revised a1 consistent with Sverjensky et al. (2013)</v>
      </c>
    </row>
    <row r="245" spans="2:17" ht="32" x14ac:dyDescent="0.2">
      <c r="B245" s="9" t="str">
        <f>IF(ISBLANK('Aqueous Species Options'!B245), "", 'Aqueous Species Options'!B245)</f>
        <v>U+4</v>
      </c>
      <c r="C245" s="9" t="str">
        <f>IF(ISBLANK('Aqueous Species Options'!C245), "", 'Aqueous Species Options'!C245)</f>
        <v>U(+4)</v>
      </c>
      <c r="D245" s="2">
        <f>IF(ISBLANK('Aqueous Species Options'!D245), "", 'Aqueous Species Options'!D245)</f>
        <v>-126650</v>
      </c>
      <c r="E245" s="1">
        <f>IF(ISBLANK('Aqueous Species Options'!E245), "", 'Aqueous Species Options'!E245)</f>
        <v>-141300</v>
      </c>
      <c r="F245" s="139">
        <f>IF(ISBLANK('Aqueous Species Options'!F245), "", 'Aqueous Species Options'!F245)</f>
        <v>-99.6</v>
      </c>
      <c r="G245" s="29">
        <f>IF(ISBLANK('Aqueous Species Options'!B245), "", IF('Aqueous Species Options'!L245 = 1, IF(ISBLANK('Aqueous Species Options'!G245), "", 'Aqueous Species Options'!G245), ('Aqueous Species Table'!I245/10 + ('Aqueous Species Table'!J245*100)/(Calculations!$C$12+Calculations!$C$9) + ('Aqueous Species Table'!K245 + ('Aqueous Species Table'!L245*10000)/(Calculations!$C$12+Calculations!$C$9))*(1/(Calculations!$C$8-Calculations!$C$13)) - 'Aqueous Species Table'!O245*100000*0.0000005903)*41.8393))</f>
        <v>-53.299959376293693</v>
      </c>
      <c r="H245" s="29">
        <f>IF(ISBLANK('Aqueous Species Options'!B245), "", IF('Aqueous Species Options'!L245 = 1, IF(ISBLANK('Aqueous Species Options'!H245), "", 'Aqueous Species Options'!H245), 'Aqueous Species Table'!M245 + 'Aqueous Species Table'!N245*10000*(1/(Calculations!$C$8-Calculations!$C$13))^2 + 'Aqueous Species Table'!O245*100000*Calculations!$C$8*Calculations!$C$7))</f>
        <v>0.20012727305733335</v>
      </c>
      <c r="I245" s="42">
        <f>IF(ISBLANK('Aqueous Species Options'!B245), "", IF('Aqueous Species Options'!L245=0, 'Aqueous Species Options'!N245, IF(OR(ISBLANK('Aqueous Species Options'!G245),'Aqueous Species Table'!O245="", 'Aqueous Species Table'!P245=""), "", IF('Aqueous Species Options'!B245="H+", 0, (CHOOSE('Aqueous Species Options'!M245+1,'Aqueous Species Options'!$V$4*ABS('Aqueous Species Table'!P245)+'Aqueous Species Options'!$W$4,'Aqueous Species Options'!$Z$4)*('Aqueous Species Options'!G245 + 'Aqueous Species Table'!O245*100000*0.0000005903*41.8393) + CHOOSE('Aqueous Species Options'!M245+1,'Aqueous Species Options'!$X$4*ABS('Aqueous Species Table'!P245)+'Aqueous Species Options'!$Y$4,'Aqueous Species Options'!$AA$4))*10 ) ) ) )</f>
        <v>-15.6513533917693</v>
      </c>
      <c r="J245" s="42">
        <f>IF(ISBLANK('Aqueous Species Options'!B245), "", IF('Aqueous Species Options'!L245 = 0, 'Aqueous Species Options'!O245, IF('Aqueous Species Table'!I245="", "", IF('Aqueous Species Options'!B245="H+", 0, ((1.11*('Aqueous Species Options'!G245 + 'Aqueous Species Table'!O245*100000*0.0000005903*41.8393)+1.8)/41.8393 - 'Aqueous Species Table'!I245/10)*26.01 ) ) ) )</f>
        <v>11.326313308926565</v>
      </c>
      <c r="K245" s="42">
        <f>IF(ISBLANK('Aqueous Species Options'!B245), "", IF('Aqueous Species Options'!L245 = 0, 'Aqueous Species Options'!P245, IF('Aqueous Species Table'!I245="", "", IF('Aqueous Species Options'!B245="H+", 0, ('Aqueous Species Options'!G245/41.8393 + 'Aqueous Species Table'!O245*100000*0.0000005903 - 'Aqueous Species Table'!I245/10 - 'Aqueous Species Table'!J245*100/2601)*(298.15-228) - ('Aqueous Species Table'!L245*10000/2601) ) ) ) )</f>
        <v>17.618925783281028</v>
      </c>
      <c r="L245" s="42">
        <f>IF(ISBLANK('Aqueous Species Options'!B245), "", IF('Aqueous Species Options'!L245 = 0, 'Aqueous Species Options'!Q245, IF('Aqueous Species Table'!J245="", "", IF('Aqueous Species Options'!B245="H+", 0, (-4.134*'Aqueous Species Table'!J245*100 - 27790)*0.0001) ) ) )</f>
        <v>-3.2472297921910243</v>
      </c>
      <c r="M245" s="42">
        <f>IF(ISBLANK('Aqueous Species Options'!B245), "", IF('Aqueous Species Options'!L245=0, 'Aqueous Species Options'!R245, IF('Aqueous Species Table'!N245="", "", IF('Aqueous Species Options'!B245="H+", 0, 'Aqueous Species Options'!H245 - 'Aqueous Species Table'!O245*100000*(-0.000000309)*298.15 - 'Aqueous Species Table'!N245*10000/(298.15-228)^2 ) ) ) )</f>
        <v>40.219369242679193</v>
      </c>
      <c r="N245" s="42">
        <f>IF(ISBLANK('Aqueous Species Options'!B245), "", IF('Aqueous Species Options'!L245=0, 'Aqueous Species Options'!S245, IF(OR(ISBLANK('Aqueous Species Options'!H245), 'Aqueous Species Table'!O245=""), "", IF('Aqueous Species Options'!B245="H+", 0, 0.2037*'Aqueous Species Options'!H245 - 3.0346) ) ) )</f>
        <v>-2.9938340744782215</v>
      </c>
      <c r="O245" s="42">
        <f>IF(ISBLANK('Aqueous Species Options'!B245), "", IF('Aqueous Species Options'!K245=0, 'Aqueous Species Options'!I245, IF(OR('Aqueous Species Options'!J245&gt;4,'Aqueous Species Options'!J245&lt;-4), "", IF('Aqueous Species Options'!B245="H+", 0, IF('Aqueous Species Options'!J245=0, -0.038, IF(ISBLANK('Aqueous Species Options'!F245), "", -1514.4*'Aqueous Species Options'!F245*0.00001 + SUM(({4,3,2,1,-1,-2,-3,-4}='Aqueous Species Options'!J245)*{2.1764,1.5793,1.0579,0.5517,1.6291,3.2127,4.8115,6.486}) ) ) ) ) ) )</f>
        <v>3.6835</v>
      </c>
      <c r="P245" s="1">
        <f>IF(ISBLANK('Aqueous Species Options'!J245), "", 'Aqueous Species Options'!J245)</f>
        <v>4</v>
      </c>
      <c r="Q245" s="184" t="str">
        <f>IF(ISBLANK('Aqueous Species Options'!T245), "", 'Aqueous Species Options'!T245)</f>
        <v>Shock &amp; Helgeson (1988) revised with new predicted a1 for ions</v>
      </c>
    </row>
    <row r="246" spans="2:17" ht="32" x14ac:dyDescent="0.2">
      <c r="B246" s="9" t="str">
        <f>IF(ISBLANK('Aqueous Species Options'!B246), "", 'Aqueous Species Options'!B246)</f>
        <v>UO2+2</v>
      </c>
      <c r="C246" s="9" t="str">
        <f>IF(ISBLANK('Aqueous Species Options'!C246), "", 'Aqueous Species Options'!C246)</f>
        <v>UO2(+2)</v>
      </c>
      <c r="D246" s="2">
        <f>IF(ISBLANK('Aqueous Species Options'!D246), "", 'Aqueous Species Options'!D246)</f>
        <v>-227680</v>
      </c>
      <c r="E246" s="1">
        <f>IF(ISBLANK('Aqueous Species Options'!E246), "", 'Aqueous Species Options'!E246)</f>
        <v>-243550</v>
      </c>
      <c r="F246" s="139">
        <f>IF(ISBLANK('Aqueous Species Options'!F246), "", 'Aqueous Species Options'!F246)</f>
        <v>-23.5</v>
      </c>
      <c r="G246" s="29">
        <f>IF(ISBLANK('Aqueous Species Options'!B246), "", IF('Aqueous Species Options'!L246 = 1, IF(ISBLANK('Aqueous Species Options'!G246), "", 'Aqueous Species Options'!G246), ('Aqueous Species Table'!I246/10 + ('Aqueous Species Table'!J246*100)/(Calculations!$C$12+Calculations!$C$9) + ('Aqueous Species Table'!K246 + ('Aqueous Species Table'!L246*10000)/(Calculations!$C$12+Calculations!$C$9))*(1/(Calculations!$C$8-Calculations!$C$13)) - 'Aqueous Species Table'!O246*100000*0.0000005903)*41.8393))</f>
        <v>5.7299818307450643</v>
      </c>
      <c r="H246" s="29">
        <f>IF(ISBLANK('Aqueous Species Options'!B246), "", IF('Aqueous Species Options'!L246 = 1, IF(ISBLANK('Aqueous Species Options'!H246), "", 'Aqueous Species Options'!H246), 'Aqueous Species Table'!M246 + 'Aqueous Species Table'!N246*10000*(1/(Calculations!$C$8-Calculations!$C$13))^2 + 'Aqueous Species Table'!O246*100000*Calculations!$C$8*Calculations!$C$7))</f>
        <v>8.954626075229692</v>
      </c>
      <c r="I246" s="42">
        <f>IF(ISBLANK('Aqueous Species Options'!B246), "", IF('Aqueous Species Options'!L246=0, 'Aqueous Species Options'!N246, IF(OR(ISBLANK('Aqueous Species Options'!G246),'Aqueous Species Table'!O246="", 'Aqueous Species Table'!P246=""), "", IF('Aqueous Species Options'!B246="H+", 0, (CHOOSE('Aqueous Species Options'!M246+1,'Aqueous Species Options'!$V$4*ABS('Aqueous Species Table'!P246)+'Aqueous Species Options'!$W$4,'Aqueous Species Options'!$Z$4)*('Aqueous Species Options'!G246 + 'Aqueous Species Table'!O246*100000*0.0000005903*41.8393) + CHOOSE('Aqueous Species Options'!M246+1,'Aqueous Species Options'!$X$4*ABS('Aqueous Species Table'!P246)+'Aqueous Species Options'!$Y$4,'Aqueous Species Options'!$AA$4))*10 ) ) ) )</f>
        <v>5.7347169410388465</v>
      </c>
      <c r="J246" s="42">
        <f>IF(ISBLANK('Aqueous Species Options'!B246), "", IF('Aqueous Species Options'!L246 = 0, 'Aqueous Species Options'!O246, IF('Aqueous Species Table'!I246="", "", IF('Aqueous Species Options'!B246="H+", 0, ((1.11*('Aqueous Species Options'!G246 + 'Aqueous Species Table'!O246*100000*0.0000005903*41.8393)+1.8)/41.8393 - 'Aqueous Species Table'!I246/10)*26.01 ) ) ) )</f>
        <v>-7.4402063172020734</v>
      </c>
      <c r="K246" s="42">
        <f>IF(ISBLANK('Aqueous Species Options'!B246), "", IF('Aqueous Species Options'!L246 = 0, 'Aqueous Species Options'!P246, IF('Aqueous Species Table'!I246="", "", IF('Aqueous Species Options'!B246="H+", 0, ('Aqueous Species Options'!G246/41.8393 + 'Aqueous Species Table'!O246*100000*0.0000005903 - 'Aqueous Species Table'!I246/10 - 'Aqueous Species Table'!J246*100/2601)*(298.15-228) - ('Aqueous Species Table'!L246*10000/2601) ) ) ) )</f>
        <v>4.7848305577440611</v>
      </c>
      <c r="L246" s="42">
        <f>IF(ISBLANK('Aqueous Species Options'!B246), "", IF('Aqueous Species Options'!L246 = 0, 'Aqueous Species Options'!Q246, IF('Aqueous Species Table'!J246="", "", IF('Aqueous Species Options'!B246="H+", 0, (-4.134*'Aqueous Species Table'!J246*100 - 27790)*0.0001) ) ) )</f>
        <v>-2.4714218708468665</v>
      </c>
      <c r="M246" s="42">
        <f>IF(ISBLANK('Aqueous Species Options'!B246), "", IF('Aqueous Species Options'!L246=0, 'Aqueous Species Options'!R246, IF('Aqueous Species Table'!N246="", "", IF('Aqueous Species Options'!B246="H+", 0, 'Aqueous Species Options'!H246 - 'Aqueous Species Table'!O246*100000*(-0.000000309)*298.15 - 'Aqueous Species Table'!N246*10000/(298.15-228)^2 ) ) ) )</f>
        <v>24.403743482123303</v>
      </c>
      <c r="N246" s="42">
        <f>IF(ISBLANK('Aqueous Species Options'!B246), "", IF('Aqueous Species Options'!L246=0, 'Aqueous Species Options'!S246, IF(OR(ISBLANK('Aqueous Species Options'!H246), 'Aqueous Species Table'!O246=""), "", IF('Aqueous Species Options'!B246="H+", 0, 0.2037*'Aqueous Species Options'!H246 - 3.0346) ) ) )</f>
        <v>-1.2105426684757119</v>
      </c>
      <c r="O246" s="42">
        <f>IF(ISBLANK('Aqueous Species Options'!B246), "", IF('Aqueous Species Options'!K246=0, 'Aqueous Species Options'!I246, IF(OR('Aqueous Species Options'!J246&gt;4,'Aqueous Species Options'!J246&lt;-4), "", IF('Aqueous Species Options'!B246="H+", 0, IF('Aqueous Species Options'!J246=0, -0.038, IF(ISBLANK('Aqueous Species Options'!F246), "", -1514.4*'Aqueous Species Options'!F246*0.00001 + SUM(({4,3,2,1,-1,-2,-3,-4}='Aqueous Species Options'!J246)*{2.1764,1.5793,1.0579,0.5517,1.6291,3.2127,4.8115,6.486}) ) ) ) ) ) )</f>
        <v>1.4098999999999999</v>
      </c>
      <c r="P246" s="1">
        <f>IF(ISBLANK('Aqueous Species Options'!J246), "", 'Aqueous Species Options'!J246)</f>
        <v>2</v>
      </c>
      <c r="Q246" s="184" t="str">
        <f>IF(ISBLANK('Aqueous Species Options'!T246), "", 'Aqueous Species Options'!T246)</f>
        <v>Shock &amp; Helgeson (1988) revised with new predicted a1 for ions</v>
      </c>
    </row>
    <row r="247" spans="2:17" ht="48" x14ac:dyDescent="0.2">
      <c r="B247" s="9" t="str">
        <f>IF(ISBLANK('Aqueous Species Options'!B247), "", 'Aqueous Species Options'!B247)</f>
        <v>UREA,AQ</v>
      </c>
      <c r="C247" s="9" t="str">
        <f>IF(ISBLANK('Aqueous Species Options'!C247), "", 'Aqueous Species Options'!C247)</f>
        <v>CH4N2O</v>
      </c>
      <c r="D247" s="2">
        <f>IF(ISBLANK('Aqueous Species Options'!D247), "", 'Aqueous Species Options'!D247)</f>
        <v>-48720</v>
      </c>
      <c r="E247" s="1">
        <f>IF(ISBLANK('Aqueous Species Options'!E247), "", 'Aqueous Species Options'!E247)</f>
        <v>-76100</v>
      </c>
      <c r="F247" s="139">
        <f>IF(ISBLANK('Aqueous Species Options'!F247), "", 'Aqueous Species Options'!F247)</f>
        <v>42.3</v>
      </c>
      <c r="G247" s="29">
        <f>IF(ISBLANK('Aqueous Species Options'!B247), "", IF('Aqueous Species Options'!L247 = 1, IF(ISBLANK('Aqueous Species Options'!G247), "", 'Aqueous Species Options'!G247), ('Aqueous Species Table'!I247/10 + ('Aqueous Species Table'!J247*100)/(Calculations!$C$12+Calculations!$C$9) + ('Aqueous Species Table'!K247 + ('Aqueous Species Table'!L247*10000)/(Calculations!$C$12+Calculations!$C$9))*(1/(Calculations!$C$8-Calculations!$C$13)) - 'Aqueous Species Table'!O247*100000*0.0000005903)*41.8393))</f>
        <v>44.020097839413175</v>
      </c>
      <c r="H247" s="29">
        <f>IF(ISBLANK('Aqueous Species Options'!B247), "", IF('Aqueous Species Options'!L247 = 1, IF(ISBLANK('Aqueous Species Options'!H247), "", 'Aqueous Species Options'!H247), 'Aqueous Species Table'!M247 + 'Aqueous Species Table'!N247*10000*(1/(Calculations!$C$8-Calculations!$C$13))^2 + 'Aqueous Species Table'!O247*100000*Calculations!$C$8*Calculations!$C$7))</f>
        <v>20.990312857220378</v>
      </c>
      <c r="I247" s="42">
        <f>IF(ISBLANK('Aqueous Species Options'!B247), "", IF('Aqueous Species Options'!L247=0, 'Aqueous Species Options'!N247, IF(OR(ISBLANK('Aqueous Species Options'!G247),'Aqueous Species Table'!O247="", 'Aqueous Species Table'!P247=""), "", IF('Aqueous Species Options'!B247="H+", 0, (CHOOSE('Aqueous Species Options'!M247+1,'Aqueous Species Options'!$V$4*ABS('Aqueous Species Table'!P247)+'Aqueous Species Options'!$W$4,'Aqueous Species Options'!$Z$4)*('Aqueous Species Options'!G247 + 'Aqueous Species Table'!O247*100000*0.0000005903*41.8393) + CHOOSE('Aqueous Species Options'!M247+1,'Aqueous Species Options'!$X$4*ABS('Aqueous Species Table'!P247)+'Aqueous Species Options'!$Y$4,'Aqueous Species Options'!$AA$4))*10 ) ) ) )</f>
        <v>10.1</v>
      </c>
      <c r="J247" s="42">
        <f>IF(ISBLANK('Aqueous Species Options'!B247), "", IF('Aqueous Species Options'!L247 = 0, 'Aqueous Species Options'!O247, IF('Aqueous Species Table'!I247="", "", IF('Aqueous Species Options'!B247="H+", 0, ((1.11*('Aqueous Species Options'!G247 + 'Aqueous Species Table'!O247*100000*0.0000005903*41.8393)+1.8)/41.8393 - 'Aqueous Species Table'!I247/10)*26.01 ) ) ) )</f>
        <v>5.37</v>
      </c>
      <c r="K247" s="42">
        <f>IF(ISBLANK('Aqueous Species Options'!B247), "", IF('Aqueous Species Options'!L247 = 0, 'Aqueous Species Options'!P247, IF('Aqueous Species Table'!I247="", "", IF('Aqueous Species Options'!B247="H+", 0, ('Aqueous Species Options'!G247/41.8393 + 'Aqueous Species Table'!O247*100000*0.0000005903 - 'Aqueous Species Table'!I247/10 - 'Aqueous Species Table'!J247*100/2601)*(298.15-228) - ('Aqueous Species Table'!L247*10000/2601) ) ) ) )</f>
        <v>0.33300000000000002</v>
      </c>
      <c r="L247" s="42">
        <f>IF(ISBLANK('Aqueous Species Options'!B247), "", IF('Aqueous Species Options'!L247 = 0, 'Aqueous Species Options'!Q247, IF('Aqueous Species Table'!J247="", "", IF('Aqueous Species Options'!B247="H+", 0, (-4.134*'Aqueous Species Table'!J247*100 - 27790)*0.0001) ) ) )</f>
        <v>-3</v>
      </c>
      <c r="M247" s="42">
        <f>IF(ISBLANK('Aqueous Species Options'!B247), "", IF('Aqueous Species Options'!L247=0, 'Aqueous Species Options'!R247, IF('Aqueous Species Table'!N247="", "", IF('Aqueous Species Options'!B247="H+", 0, 'Aqueous Species Options'!H247 - 'Aqueous Species Table'!O247*100000*(-0.000000309)*298.15 - 'Aqueous Species Table'!N247*10000/(298.15-228)^2 ) ) ) )</f>
        <v>30.7</v>
      </c>
      <c r="N247" s="42">
        <f>IF(ISBLANK('Aqueous Species Options'!B247), "", IF('Aqueous Species Options'!L247=0, 'Aqueous Species Options'!S247, IF(OR(ISBLANK('Aqueous Species Options'!H247), 'Aqueous Species Table'!O247=""), "", IF('Aqueous Species Options'!B247="H+", 0, 0.2037*'Aqueous Species Options'!H247 - 3.0346) ) ) )</f>
        <v>-4.42</v>
      </c>
      <c r="O247" s="42">
        <f>IF(ISBLANK('Aqueous Species Options'!B247), "", IF('Aqueous Species Options'!K247=0, 'Aqueous Species Options'!I247, IF(OR('Aqueous Species Options'!J247&gt;4,'Aqueous Species Options'!J247&lt;-4), "", IF('Aqueous Species Options'!B247="H+", 0, IF('Aqueous Species Options'!J247=0, -0.038, IF(ISBLANK('Aqueous Species Options'!F247), "", -1514.4*'Aqueous Species Options'!F247*0.00001 + SUM(({4,3,2,1,-1,-2,-3,-4}='Aqueous Species Options'!J247)*{2.1764,1.5793,1.0579,0.5517,1.6291,3.2127,4.8115,6.486}) ) ) ) ) ) )</f>
        <v>7.9000000000000001E-2</v>
      </c>
      <c r="P247" s="1">
        <f>IF(ISBLANK('Aqueous Species Options'!J247), "", 'Aqueous Species Options'!J247)</f>
        <v>0</v>
      </c>
      <c r="Q247" s="184" t="str">
        <f>IF(ISBLANK('Aqueous Species Options'!T247), "", 'Aqueous Species Options'!T247)</f>
        <v>Revised Feb. 2015 by Dimitri: c1, c2, and omega from PS01 based on Stokes (1967) data; V from Cabani et al. (1981) with a1-a4 predicted.</v>
      </c>
    </row>
    <row r="248" spans="2:17" ht="32" x14ac:dyDescent="0.2">
      <c r="B248" s="9" t="str">
        <f>IF(ISBLANK('Aqueous Species Options'!B248), "", 'Aqueous Species Options'!B248)</f>
        <v>VO+2</v>
      </c>
      <c r="C248" s="9" t="str">
        <f>IF(ISBLANK('Aqueous Species Options'!C248), "", 'Aqueous Species Options'!C248)</f>
        <v>VO(+2)</v>
      </c>
      <c r="D248" s="2">
        <f>IF(ISBLANK('Aqueous Species Options'!D248), "", 'Aqueous Species Options'!D248)</f>
        <v>-106700</v>
      </c>
      <c r="E248" s="1">
        <f>IF(ISBLANK('Aqueous Species Options'!E248), "", 'Aqueous Species Options'!E248)</f>
        <v>-116300</v>
      </c>
      <c r="F248" s="139">
        <f>IF(ISBLANK('Aqueous Species Options'!F248), "", 'Aqueous Species Options'!F248)</f>
        <v>-32</v>
      </c>
      <c r="G248" s="29">
        <f>IF(ISBLANK('Aqueous Species Options'!B248), "", IF('Aqueous Species Options'!L248 = 1, IF(ISBLANK('Aqueous Species Options'!G248), "", 'Aqueous Species Options'!G248), ('Aqueous Species Table'!I248/10 + ('Aqueous Species Table'!J248*100)/(Calculations!$C$12+Calculations!$C$9) + ('Aqueous Species Table'!K248 + ('Aqueous Species Table'!L248*10000)/(Calculations!$C$12+Calculations!$C$9))*(1/(Calculations!$C$8-Calculations!$C$13)) - 'Aqueous Species Table'!O248*100000*0.0000005903)*41.8393))</f>
        <v>-29.399991855776864</v>
      </c>
      <c r="H248" s="29">
        <f>IF(ISBLANK('Aqueous Species Options'!B248), "", IF('Aqueous Species Options'!L248 = 1, IF(ISBLANK('Aqueous Species Options'!H248), "", 'Aqueous Species Options'!H248), 'Aqueous Species Table'!M248 + 'Aqueous Species Table'!N248*10000*(1/(Calculations!$C$8-Calculations!$C$13))^2 + 'Aqueous Species Table'!O248*100000*Calculations!$C$8*Calculations!$C$7))</f>
        <v>-11.999727126539492</v>
      </c>
      <c r="I248" s="42">
        <f>IF(ISBLANK('Aqueous Species Options'!B248), "", IF('Aqueous Species Options'!L248=0, 'Aqueous Species Options'!N248, IF(OR(ISBLANK('Aqueous Species Options'!G248),'Aqueous Species Table'!O248="", 'Aqueous Species Table'!P248=""), "", IF('Aqueous Species Options'!B248="H+", 0, (CHOOSE('Aqueous Species Options'!M248+1,'Aqueous Species Options'!$V$4*ABS('Aqueous Species Table'!P248)+'Aqueous Species Options'!$W$4,'Aqueous Species Options'!$Z$4)*('Aqueous Species Options'!G248 + 'Aqueous Species Table'!O248*100000*0.0000005903*41.8393) + CHOOSE('Aqueous Species Options'!M248+1,'Aqueous Species Options'!$X$4*ABS('Aqueous Species Table'!P248)+'Aqueous Species Options'!$Y$4,'Aqueous Species Options'!$AA$4))*10 ) ) ) )</f>
        <v>-2.5836038116256259</v>
      </c>
      <c r="J248" s="42">
        <f>IF(ISBLANK('Aqueous Species Options'!B248), "", IF('Aqueous Species Options'!L248 = 0, 'Aqueous Species Options'!O248, IF('Aqueous Species Table'!I248="", "", IF('Aqueous Species Options'!B248="H+", 0, ((1.11*('Aqueous Species Options'!G248 + 'Aqueous Species Table'!O248*100000*0.0000005903*41.8393)+1.8)/41.8393 - 'Aqueous Species Table'!I248/10)*26.01 ) ) ) )</f>
        <v>-9.8110945723307648</v>
      </c>
      <c r="K248" s="42">
        <f>IF(ISBLANK('Aqueous Species Options'!B248), "", IF('Aqueous Species Options'!L248 = 0, 'Aqueous Species Options'!P248, IF('Aqueous Species Table'!I248="", "", IF('Aqueous Species Options'!B248="H+", 0, ('Aqueous Species Options'!G248/41.8393 + 'Aqueous Species Table'!O248*100000*0.0000005903 - 'Aqueous Species Table'!I248/10 - 'Aqueous Species Table'!J248*100/2601)*(298.15-228) - ('Aqueous Species Table'!L248*10000/2601) ) ) ) )</f>
        <v>10.824413226903925</v>
      </c>
      <c r="L248" s="42">
        <f>IF(ISBLANK('Aqueous Species Options'!B248), "", IF('Aqueous Species Options'!L248 = 0, 'Aqueous Species Options'!Q248, IF('Aqueous Species Table'!J248="", "", IF('Aqueous Species Options'!B248="H+", 0, (-4.134*'Aqueous Species Table'!J248*100 - 27790)*0.0001) ) ) )</f>
        <v>-2.3734093503798461</v>
      </c>
      <c r="M248" s="42">
        <f>IF(ISBLANK('Aqueous Species Options'!B248), "", IF('Aqueous Species Options'!L248=0, 'Aqueous Species Options'!R248, IF('Aqueous Species Table'!N248="", "", IF('Aqueous Species Options'!B248="H+", 0, 'Aqueous Species Options'!H248 - 'Aqueous Species Table'!O248*100000*(-0.000000309)*298.15 - 'Aqueous Species Table'!N248*10000/(298.15-228)^2 ) ) ) )</f>
        <v>13.390887047206338</v>
      </c>
      <c r="N248" s="42">
        <f>IF(ISBLANK('Aqueous Species Options'!B248), "", IF('Aqueous Species Options'!L248=0, 'Aqueous Species Options'!S248, IF(OR(ISBLANK('Aqueous Species Options'!H248), 'Aqueous Species Table'!O248=""), "", IF('Aqueous Species Options'!B248="H+", 0, 0.2037*'Aqueous Species Options'!H248 - 3.0346) ) ) )</f>
        <v>-5.4789444156760947</v>
      </c>
      <c r="O248" s="42">
        <f>IF(ISBLANK('Aqueous Species Options'!B248), "", IF('Aqueous Species Options'!K248=0, 'Aqueous Species Options'!I248, IF(OR('Aqueous Species Options'!J248&gt;4,'Aqueous Species Options'!J248&lt;-4), "", IF('Aqueous Species Options'!B248="H+", 0, IF('Aqueous Species Options'!J248=0, -0.038, IF(ISBLANK('Aqueous Species Options'!F248), "", -1514.4*'Aqueous Species Options'!F248*0.00001 + SUM(({4,3,2,1,-1,-2,-3,-4}='Aqueous Species Options'!J248)*{2.1764,1.5793,1.0579,0.5517,1.6291,3.2127,4.8115,6.486}) ) ) ) ) ) )</f>
        <v>1.5475000000000001</v>
      </c>
      <c r="P248" s="1">
        <f>IF(ISBLANK('Aqueous Species Options'!J248), "", 'Aqueous Species Options'!J248)</f>
        <v>2</v>
      </c>
      <c r="Q248" s="184" t="str">
        <f>IF(ISBLANK('Aqueous Species Options'!T248), "", 'Aqueous Species Options'!T248)</f>
        <v>Shock &amp; Helgeson (1988) revised with new predicted a1 for ions</v>
      </c>
    </row>
    <row r="249" spans="2:17" ht="32" x14ac:dyDescent="0.2">
      <c r="B249" s="9" t="str">
        <f>IF(ISBLANK('Aqueous Species Options'!B249), "", 'Aqueous Species Options'!B249)</f>
        <v>VO2+</v>
      </c>
      <c r="C249" s="9" t="str">
        <f>IF(ISBLANK('Aqueous Species Options'!C249), "", 'Aqueous Species Options'!C249)</f>
        <v>VO2(+)</v>
      </c>
      <c r="D249" s="2">
        <f>IF(ISBLANK('Aqueous Species Options'!D249), "", 'Aqueous Species Options'!D249)</f>
        <v>-140300</v>
      </c>
      <c r="E249" s="1">
        <f>IF(ISBLANK('Aqueous Species Options'!E249), "", 'Aqueous Species Options'!E249)</f>
        <v>-155300</v>
      </c>
      <c r="F249" s="139">
        <f>IF(ISBLANK('Aqueous Species Options'!F249), "", 'Aqueous Species Options'!F249)</f>
        <v>-10.1</v>
      </c>
      <c r="G249" s="29">
        <f>IF(ISBLANK('Aqueous Species Options'!B249), "", IF('Aqueous Species Options'!L249 = 1, IF(ISBLANK('Aqueous Species Options'!G249), "", 'Aqueous Species Options'!G249), ('Aqueous Species Table'!I249/10 + ('Aqueous Species Table'!J249*100)/(Calculations!$C$12+Calculations!$C$9) + ('Aqueous Species Table'!K249 + ('Aqueous Species Table'!L249*10000)/(Calculations!$C$12+Calculations!$C$9))*(1/(Calculations!$C$8-Calculations!$C$13)) - 'Aqueous Species Table'!O249*100000*0.0000005903)*41.8393))</f>
        <v>-33.500025437090166</v>
      </c>
      <c r="H249" s="29">
        <f>IF(ISBLANK('Aqueous Species Options'!B249), "", IF('Aqueous Species Options'!L249 = 1, IF(ISBLANK('Aqueous Species Options'!H249), "", 'Aqueous Species Options'!H249), 'Aqueous Species Table'!M249 + 'Aqueous Species Table'!N249*10000*(1/(Calculations!$C$8-Calculations!$C$13))^2 + 'Aqueous Species Table'!O249*100000*Calculations!$C$8*Calculations!$C$7))</f>
        <v>31.100091111776393</v>
      </c>
      <c r="I249" s="42">
        <f>IF(ISBLANK('Aqueous Species Options'!B249), "", IF('Aqueous Species Options'!L249=0, 'Aqueous Species Options'!N249, IF(OR(ISBLANK('Aqueous Species Options'!G249),'Aqueous Species Table'!O249="", 'Aqueous Species Table'!P249=""), "", IF('Aqueous Species Options'!B249="H+", 0, (CHOOSE('Aqueous Species Options'!M249+1,'Aqueous Species Options'!$V$4*ABS('Aqueous Species Table'!P249)+'Aqueous Species Options'!$W$4,'Aqueous Species Options'!$Z$4)*('Aqueous Species Options'!G249 + 'Aqueous Species Table'!O249*100000*0.0000005903*41.8393) + CHOOSE('Aqueous Species Options'!M249+1,'Aqueous Species Options'!$X$4*ABS('Aqueous Species Table'!P249)+'Aqueous Species Options'!$Y$4,'Aqueous Species Options'!$AA$4))*10 ) ) ) )</f>
        <v>-1.3780471312323965</v>
      </c>
      <c r="J249" s="42">
        <f>IF(ISBLANK('Aqueous Species Options'!B249), "", IF('Aqueous Species Options'!L249 = 0, 'Aqueous Species Options'!O249, IF('Aqueous Species Table'!I249="", "", IF('Aqueous Species Options'!B249="H+", 0, ((1.11*('Aqueous Species Options'!G249 + 'Aqueous Species Table'!O249*100000*0.0000005903*41.8393)+1.8)/41.8393 - 'Aqueous Species Table'!I249/10)*26.01 ) ) ) )</f>
        <v>-17.219814939973684</v>
      </c>
      <c r="K249" s="42">
        <f>IF(ISBLANK('Aqueous Species Options'!B249), "", IF('Aqueous Species Options'!L249 = 0, 'Aqueous Species Options'!P249, IF('Aqueous Species Table'!I249="", "", IF('Aqueous Species Options'!B249="H+", 0, ('Aqueous Species Options'!G249/41.8393 + 'Aqueous Species Table'!O249*100000*0.0000005903 - 'Aqueous Species Table'!I249/10 - 'Aqueous Species Table'!J249*100/2601)*(298.15-228) - ('Aqueous Species Table'!L249*10000/2601) ) ) ) )</f>
        <v>10.788960245060967</v>
      </c>
      <c r="L249" s="42">
        <f>IF(ISBLANK('Aqueous Species Options'!B249), "", IF('Aqueous Species Options'!L249 = 0, 'Aqueous Species Options'!Q249, IF('Aqueous Species Table'!J249="", "", IF('Aqueous Species Options'!B249="H+", 0, (-4.134*'Aqueous Species Table'!J249*100 - 27790)*0.0001) ) ) )</f>
        <v>-2.0671328503814879</v>
      </c>
      <c r="M249" s="42">
        <f>IF(ISBLANK('Aqueous Species Options'!B249), "", IF('Aqueous Species Options'!L249=0, 'Aqueous Species Options'!R249, IF('Aqueous Species Table'!N249="", "", IF('Aqueous Species Options'!B249="H+", 0, 'Aqueous Species Options'!H249 - 'Aqueous Species Table'!O249*100000*(-0.000000309)*298.15 - 'Aqueous Species Table'!N249*10000/(298.15-228)^2 ) ) ) )</f>
        <v>30.844923248280509</v>
      </c>
      <c r="N249" s="42">
        <f>IF(ISBLANK('Aqueous Species Options'!B249), "", IF('Aqueous Species Options'!L249=0, 'Aqueous Species Options'!S249, IF(OR(ISBLANK('Aqueous Species Options'!H249), 'Aqueous Species Table'!O249=""), "", IF('Aqueous Species Options'!B249="H+", 0, 0.2037*'Aqueous Species Options'!H249 - 3.0346) ) ) )</f>
        <v>3.3004885594688513</v>
      </c>
      <c r="O249" s="42">
        <f>IF(ISBLANK('Aqueous Species Options'!B249), "", IF('Aqueous Species Options'!K249=0, 'Aqueous Species Options'!I249, IF(OR('Aqueous Species Options'!J249&gt;4,'Aqueous Species Options'!J249&lt;-4), "", IF('Aqueous Species Options'!B249="H+", 0, IF('Aqueous Species Options'!J249=0, -0.038, IF(ISBLANK('Aqueous Species Options'!F249), "", -1514.4*'Aqueous Species Options'!F249*0.00001 + SUM(({4,3,2,1,-1,-2,-3,-4}='Aqueous Species Options'!J249)*{2.1764,1.5793,1.0579,0.5517,1.6291,3.2127,4.8115,6.486}) ) ) ) ) ) )</f>
        <v>0.70030000000000003</v>
      </c>
      <c r="P249" s="1">
        <f>IF(ISBLANK('Aqueous Species Options'!J249), "", 'Aqueous Species Options'!J249)</f>
        <v>1</v>
      </c>
      <c r="Q249" s="184" t="str">
        <f>IF(ISBLANK('Aqueous Species Options'!T249), "", 'Aqueous Species Options'!T249)</f>
        <v>Shock &amp; Helgeson (1988) revised with new predicted a1 for ions</v>
      </c>
    </row>
    <row r="250" spans="2:17" ht="32" x14ac:dyDescent="0.2">
      <c r="B250" s="9" t="str">
        <f>IF(ISBLANK('Aqueous Species Options'!B250), "", 'Aqueous Species Options'!B250)</f>
        <v>WO4-2</v>
      </c>
      <c r="C250" s="9" t="str">
        <f>IF(ISBLANK('Aqueous Species Options'!C250), "", 'Aqueous Species Options'!C250)</f>
        <v>WO4(-2)</v>
      </c>
      <c r="D250" s="2">
        <f>IF(ISBLANK('Aqueous Species Options'!D250), "", 'Aqueous Species Options'!D250)</f>
        <v>-219150</v>
      </c>
      <c r="E250" s="1">
        <f>IF(ISBLANK('Aqueous Species Options'!E250), "", 'Aqueous Species Options'!E250)</f>
        <v>-257100</v>
      </c>
      <c r="F250" s="139">
        <f>IF(ISBLANK('Aqueous Species Options'!F250), "", 'Aqueous Species Options'!F250)</f>
        <v>9.6999999999999993</v>
      </c>
      <c r="G250" s="29">
        <f>IF(ISBLANK('Aqueous Species Options'!B250), "", IF('Aqueous Species Options'!L250 = 1, IF(ISBLANK('Aqueous Species Options'!G250), "", 'Aqueous Species Options'!G250), ('Aqueous Species Table'!I250/10 + ('Aqueous Species Table'!J250*100)/(Calculations!$C$12+Calculations!$C$9) + ('Aqueous Species Table'!K250 + ('Aqueous Species Table'!L250*10000)/(Calculations!$C$12+Calculations!$C$9))*(1/(Calculations!$C$8-Calculations!$C$13)) - 'Aqueous Species Table'!O250*100000*0.0000005903)*41.8393))</f>
        <v>32.200362202689455</v>
      </c>
      <c r="H250" s="29">
        <f>IF(ISBLANK('Aqueous Species Options'!B250), "", IF('Aqueous Species Options'!L250 = 1, IF(ISBLANK('Aqueous Species Options'!H250), "", 'Aqueous Species Options'!H250), 'Aqueous Species Table'!M250 + 'Aqueous Species Table'!N250*10000*(1/(Calculations!$C$8-Calculations!$C$13))^2 + 'Aqueous Species Table'!O250*100000*Calculations!$C$8*Calculations!$C$7))</f>
        <v>-44.499448429769501</v>
      </c>
      <c r="I250" s="42">
        <f>IF(ISBLANK('Aqueous Species Options'!B250), "", IF('Aqueous Species Options'!L250=0, 'Aqueous Species Options'!N250, IF(OR(ISBLANK('Aqueous Species Options'!G250),'Aqueous Species Table'!O250="", 'Aqueous Species Table'!P250=""), "", IF('Aqueous Species Options'!B250="H+", 0, (CHOOSE('Aqueous Species Options'!M250+1,'Aqueous Species Options'!$V$4*ABS('Aqueous Species Table'!P250)+'Aqueous Species Options'!$W$4,'Aqueous Species Options'!$Z$4)*('Aqueous Species Options'!G250 + 'Aqueous Species Table'!O250*100000*0.0000005903*41.8393) + CHOOSE('Aqueous Species Options'!M250+1,'Aqueous Species Options'!$X$4*ABS('Aqueous Species Table'!P250)+'Aqueous Species Options'!$Y$4,'Aqueous Species Options'!$AA$4))*10 ) ) ) )</f>
        <v>13.041572762864355</v>
      </c>
      <c r="J250" s="42">
        <f>IF(ISBLANK('Aqueous Species Options'!B250), "", IF('Aqueous Species Options'!L250 = 0, 'Aqueous Species Options'!O250, IF('Aqueous Species Table'!I250="", "", IF('Aqueous Species Options'!B250="H+", 0, ((1.11*('Aqueous Species Options'!G250 + 'Aqueous Species Table'!O250*100000*0.0000005903*41.8393)+1.8)/41.8393 - 'Aqueous Species Table'!I250/10)*26.01 ) ) ) )</f>
        <v>-5.3576058543219016</v>
      </c>
      <c r="K250" s="42">
        <f>IF(ISBLANK('Aqueous Species Options'!B250), "", IF('Aqueous Species Options'!L250 = 0, 'Aqueous Species Options'!P250, IF('Aqueous Species Table'!I250="", "", IF('Aqueous Species Options'!B250="H+", 0, ('Aqueous Species Options'!G250/41.8393 + 'Aqueous Species Table'!O250*100000*0.0000005903 - 'Aqueous Species Table'!I250/10 - 'Aqueous Species Table'!J250*100/2601)*(298.15-228) - ('Aqueous Species Table'!L250*10000/2601) ) ) ) )</f>
        <v>-0.52036998689851011</v>
      </c>
      <c r="L250" s="42">
        <f>IF(ISBLANK('Aqueous Species Options'!B250), "", IF('Aqueous Species Options'!L250 = 0, 'Aqueous Species Options'!Q250, IF('Aqueous Species Table'!J250="", "", IF('Aqueous Species Options'!B250="H+", 0, (-4.134*'Aqueous Species Table'!J250*100 - 27790)*0.0001) ) ) )</f>
        <v>-2.5575165739823329</v>
      </c>
      <c r="M250" s="42">
        <f>IF(ISBLANK('Aqueous Species Options'!B250), "", IF('Aqueous Species Options'!L250=0, 'Aqueous Species Options'!R250, IF('Aqueous Species Table'!N250="", "", IF('Aqueous Species Options'!B250="H+", 0, 'Aqueous Species Options'!H250 - 'Aqueous Species Table'!O250*100000*(-0.000000309)*298.15 - 'Aqueous Species Table'!N250*10000/(298.15-228)^2 ) ) ) )</f>
        <v>8.330973288821685</v>
      </c>
      <c r="N250" s="42">
        <f>IF(ISBLANK('Aqueous Species Options'!B250), "", IF('Aqueous Species Options'!L250=0, 'Aqueous Species Options'!S250, IF(OR(ISBLANK('Aqueous Species Options'!H250), 'Aqueous Species Table'!O250=""), "", IF('Aqueous Species Options'!B250="H+", 0, 0.2037*'Aqueous Species Options'!H250 - 3.0346) ) ) )</f>
        <v>-12.099137645144047</v>
      </c>
      <c r="O250" s="42">
        <f>IF(ISBLANK('Aqueous Species Options'!B250), "", IF('Aqueous Species Options'!K250=0, 'Aqueous Species Options'!I250, IF(OR('Aqueous Species Options'!J250&gt;4,'Aqueous Species Options'!J250&lt;-4), "", IF('Aqueous Species Options'!B250="H+", 0, IF('Aqueous Species Options'!J250=0, -0.038, IF(ISBLANK('Aqueous Species Options'!F250), "", -1514.4*'Aqueous Species Options'!F250*0.00001 + SUM(({4,3,2,1,-1,-2,-3,-4}='Aqueous Species Options'!J250)*{2.1764,1.5793,1.0579,0.5517,1.6291,3.2127,4.8115,6.486}) ) ) ) ) ) )</f>
        <v>3.0657000000000001</v>
      </c>
      <c r="P250" s="1">
        <f>IF(ISBLANK('Aqueous Species Options'!J250), "", 'Aqueous Species Options'!J250)</f>
        <v>-2</v>
      </c>
      <c r="Q250" s="184" t="str">
        <f>IF(ISBLANK('Aqueous Species Options'!T250), "", 'Aqueous Species Options'!T250)</f>
        <v>Shock &amp; Helgeson (1988) revised with new predicted a1 for ions</v>
      </c>
    </row>
    <row r="251" spans="2:17" ht="16" x14ac:dyDescent="0.2">
      <c r="B251" s="9" t="str">
        <f>IF(ISBLANK('Aqueous Species Options'!B251), "", 'Aqueous Species Options'!B251)</f>
        <v>Xe,aq</v>
      </c>
      <c r="C251" s="9" t="str">
        <f>IF(ISBLANK('Aqueous Species Options'!C251), "", 'Aqueous Species Options'!C251)</f>
        <v>Xe(0)</v>
      </c>
      <c r="D251" s="2">
        <f>IF(ISBLANK('Aqueous Species Options'!D251), "", 'Aqueous Species Options'!D251)</f>
        <v>3225</v>
      </c>
      <c r="E251" s="1">
        <f>IF(ISBLANK('Aqueous Species Options'!E251), "", 'Aqueous Species Options'!E251)</f>
        <v>-4510</v>
      </c>
      <c r="F251" s="139">
        <f>IF(ISBLANK('Aqueous Species Options'!F251), "", 'Aqueous Species Options'!F251)</f>
        <v>14.62</v>
      </c>
      <c r="G251" s="29">
        <f>IF(ISBLANK('Aqueous Species Options'!B251), "", IF('Aqueous Species Options'!L251 = 1, IF(ISBLANK('Aqueous Species Options'!G251), "", 'Aqueous Species Options'!G251), ('Aqueous Species Table'!I251/10 + ('Aqueous Species Table'!J251*100)/(Calculations!$C$12+Calculations!$C$9) + ('Aqueous Species Table'!K251 + ('Aqueous Species Table'!L251*10000)/(Calculations!$C$12+Calculations!$C$9))*(1/(Calculations!$C$8-Calculations!$C$13)) - 'Aqueous Species Table'!O251*100000*0.0000005903)*41.8393))</f>
        <v>42.600258614023709</v>
      </c>
      <c r="H251" s="29">
        <f>IF(ISBLANK('Aqueous Species Options'!B251), "", IF('Aqueous Species Options'!L251 = 1, IF(ISBLANK('Aqueous Species Options'!H251), "", 'Aqueous Species Options'!H251), 'Aqueous Species Table'!M251 + 'Aqueous Species Table'!N251*10000*(1/(Calculations!$C$8-Calculations!$C$13))^2 + 'Aqueous Species Table'!O251*100000*Calculations!$C$8*Calculations!$C$7))</f>
        <v>64.800004299489913</v>
      </c>
      <c r="I251" s="42">
        <f>IF(ISBLANK('Aqueous Species Options'!B251), "", IF('Aqueous Species Options'!L251=0, 'Aqueous Species Options'!N251, IF(OR(ISBLANK('Aqueous Species Options'!G251),'Aqueous Species Table'!O251="", 'Aqueous Species Table'!P251=""), "", IF('Aqueous Species Options'!B251="H+", 0, (CHOOSE('Aqueous Species Options'!M251+1,'Aqueous Species Options'!$V$4*ABS('Aqueous Species Table'!P251)+'Aqueous Species Options'!$W$4,'Aqueous Species Options'!$Z$4)*('Aqueous Species Options'!G251 + 'Aqueous Species Table'!O251*100000*0.0000005903*41.8393) + CHOOSE('Aqueous Species Options'!M251+1,'Aqueous Species Options'!$X$4*ABS('Aqueous Species Table'!P251)+'Aqueous Species Options'!$Y$4,'Aqueous Species Options'!$AA$4))*10 ) ) ) )</f>
        <v>7.5195999999999996</v>
      </c>
      <c r="J251" s="42">
        <f>IF(ISBLANK('Aqueous Species Options'!B251), "", IF('Aqueous Species Options'!L251 = 0, 'Aqueous Species Options'!O251, IF('Aqueous Species Table'!I251="", "", IF('Aqueous Species Options'!B251="H+", 0, ((1.11*('Aqueous Species Options'!G251 + 'Aqueous Species Table'!O251*100000*0.0000005903*41.8393)+1.8)/41.8393 - 'Aqueous Species Table'!I251/10)*26.01 ) ) ) )</f>
        <v>10.5793</v>
      </c>
      <c r="K251" s="42">
        <f>IF(ISBLANK('Aqueous Species Options'!B251), "", IF('Aqueous Species Options'!L251 = 0, 'Aqueous Species Options'!P251, IF('Aqueous Species Table'!I251="", "", IF('Aqueous Species Options'!B251="H+", 0, ('Aqueous Species Options'!G251/41.8393 + 'Aqueous Species Table'!O251*100000*0.0000005903 - 'Aqueous Species Table'!I251/10 - 'Aqueous Species Table'!J251*100/2601)*(298.15-228) - ('Aqueous Species Table'!L251*10000/2601) ) ) ) )</f>
        <v>1.5919000000000001</v>
      </c>
      <c r="L251" s="42">
        <f>IF(ISBLANK('Aqueous Species Options'!B251), "", IF('Aqueous Species Options'!L251 = 0, 'Aqueous Species Options'!Q251, IF('Aqueous Species Table'!J251="", "", IF('Aqueous Species Options'!B251="H+", 0, (-4.134*'Aqueous Species Table'!J251*100 - 27790)*0.0001) ) ) )</f>
        <v>-3.2162999999999999</v>
      </c>
      <c r="M251" s="42">
        <f>IF(ISBLANK('Aqueous Species Options'!B251), "", IF('Aqueous Species Options'!L251=0, 'Aqueous Species Options'!R251, IF('Aqueous Species Table'!N251="", "", IF('Aqueous Species Options'!B251="H+", 0, 'Aqueous Species Options'!H251 - 'Aqueous Species Table'!O251*100000*(-0.000000309)*298.15 - 'Aqueous Species Table'!N251*10000/(298.15-228)^2 ) ) ) )</f>
        <v>42.1036</v>
      </c>
      <c r="N251" s="42">
        <f>IF(ISBLANK('Aqueous Species Options'!B251), "", IF('Aqueous Species Options'!L251=0, 'Aqueous Species Options'!S251, IF(OR(ISBLANK('Aqueous Species Options'!H251), 'Aqueous Species Table'!O251=""), "", IF('Aqueous Species Options'!B251="H+", 0, 0.2037*'Aqueous Species Options'!H251 - 3.0346) ) ) )</f>
        <v>10.1652</v>
      </c>
      <c r="O251" s="42">
        <f>IF(ISBLANK('Aqueous Species Options'!B251), "", IF('Aqueous Species Options'!K251=0, 'Aqueous Species Options'!I251, IF(OR('Aqueous Species Options'!J251&gt;4,'Aqueous Species Options'!J251&lt;-4), "", IF('Aqueous Species Options'!B251="H+", 0, IF('Aqueous Species Options'!J251=0, -0.038, IF(ISBLANK('Aqueous Species Options'!F251), "", -1514.4*'Aqueous Species Options'!F251*0.00001 + SUM(({4,3,2,1,-1,-2,-3,-4}='Aqueous Species Options'!J251)*{2.1764,1.5793,1.0579,0.5517,1.6291,3.2127,4.8115,6.486}) ) ) ) ) ) )</f>
        <v>-0.22140000000000001</v>
      </c>
      <c r="P251" s="1">
        <f>IF(ISBLANK('Aqueous Species Options'!J251), "", 'Aqueous Species Options'!J251)</f>
        <v>0</v>
      </c>
      <c r="Q251" s="184" t="str">
        <f>IF(ISBLANK('Aqueous Species Options'!T251), "", 'Aqueous Species Options'!T251)</f>
        <v>Shock et al. (1989)</v>
      </c>
    </row>
    <row r="252" spans="2:17" ht="32" x14ac:dyDescent="0.2">
      <c r="B252" s="9" t="str">
        <f>IF(ISBLANK('Aqueous Species Options'!B252), "", 'Aqueous Species Options'!B252)</f>
        <v>Y+3</v>
      </c>
      <c r="C252" s="9" t="str">
        <f>IF(ISBLANK('Aqueous Species Options'!C252), "", 'Aqueous Species Options'!C252)</f>
        <v>Y(+3)</v>
      </c>
      <c r="D252" s="2">
        <f>IF(ISBLANK('Aqueous Species Options'!D252), "", 'Aqueous Species Options'!D252)</f>
        <v>-163800</v>
      </c>
      <c r="E252" s="1">
        <f>IF(ISBLANK('Aqueous Species Options'!E252), "", 'Aqueous Species Options'!E252)</f>
        <v>-170900</v>
      </c>
      <c r="F252" s="139">
        <f>IF(ISBLANK('Aqueous Species Options'!F252), "", 'Aqueous Species Options'!F252)</f>
        <v>-60</v>
      </c>
      <c r="G252" s="29">
        <f>IF(ISBLANK('Aqueous Species Options'!B252), "", IF('Aqueous Species Options'!L252 = 1, IF(ISBLANK('Aqueous Species Options'!G252), "", 'Aqueous Species Options'!G252), ('Aqueous Species Table'!I252/10 + ('Aqueous Species Table'!J252*100)/(Calculations!$C$12+Calculations!$C$9) + ('Aqueous Species Table'!K252 + ('Aqueous Species Table'!L252*10000)/(Calculations!$C$12+Calculations!$C$9))*(1/(Calculations!$C$8-Calculations!$C$13)) - 'Aqueous Species Table'!O252*100000*0.0000005903)*41.8393))</f>
        <v>-40.800132347178021</v>
      </c>
      <c r="H252" s="29">
        <f>IF(ISBLANK('Aqueous Species Options'!B252), "", IF('Aqueous Species Options'!L252 = 1, IF(ISBLANK('Aqueous Species Options'!H252), "", 'Aqueous Species Options'!H252), 'Aqueous Species Table'!M252 + 'Aqueous Species Table'!N252*10000*(1/(Calculations!$C$8-Calculations!$C$13))^2 + 'Aqueous Species Table'!O252*100000*Calculations!$C$8*Calculations!$C$7))</f>
        <v>-35.700001530059104</v>
      </c>
      <c r="I252" s="42">
        <f>IF(ISBLANK('Aqueous Species Options'!B252), "", IF('Aqueous Species Options'!L252=0, 'Aqueous Species Options'!N252, IF(OR(ISBLANK('Aqueous Species Options'!G252),'Aqueous Species Table'!O252="", 'Aqueous Species Table'!P252=""), "", IF('Aqueous Species Options'!B252="H+", 0, (CHOOSE('Aqueous Species Options'!M252+1,'Aqueous Species Options'!$V$4*ABS('Aqueous Species Table'!P252)+'Aqueous Species Options'!$W$4,'Aqueous Species Options'!$Z$4)*('Aqueous Species Options'!G252 + 'Aqueous Species Table'!O252*100000*0.0000005903*41.8393) + CHOOSE('Aqueous Species Options'!M252+1,'Aqueous Species Options'!$X$4*ABS('Aqueous Species Table'!P252)+'Aqueous Species Options'!$Y$4,'Aqueous Species Options'!$AA$4))*10 ) ) ) )</f>
        <v>-7.9156351205095232</v>
      </c>
      <c r="J252" s="42">
        <f>IF(ISBLANK('Aqueous Species Options'!B252), "", IF('Aqueous Species Options'!L252 = 0, 'Aqueous Species Options'!O252, IF('Aqueous Species Table'!I252="", "", IF('Aqueous Species Options'!B252="H+", 0, ((1.11*('Aqueous Species Options'!G252 + 'Aqueous Species Table'!O252*100000*0.0000005903*41.8393)+1.8)/41.8393 - 'Aqueous Species Table'!I252/10)*26.01 ) ) ) )</f>
        <v>-2.3916844926899592</v>
      </c>
      <c r="K252" s="42">
        <f>IF(ISBLANK('Aqueous Species Options'!B252), "", IF('Aqueous Species Options'!L252 = 0, 'Aqueous Species Options'!P252, IF('Aqueous Species Table'!I252="", "", IF('Aqueous Species Options'!B252="H+", 0, ('Aqueous Species Options'!G252/41.8393 + 'Aqueous Species Table'!O252*100000*0.0000005903 - 'Aqueous Species Table'!I252/10 - 'Aqueous Species Table'!J252*100/2601)*(298.15-228) - ('Aqueous Species Table'!L252*10000/2601) ) ) ) )</f>
        <v>13.727351511067141</v>
      </c>
      <c r="L252" s="42">
        <f>IF(ISBLANK('Aqueous Species Options'!B252), "", IF('Aqueous Species Options'!L252 = 0, 'Aqueous Species Options'!Q252, IF('Aqueous Species Table'!J252="", "", IF('Aqueous Species Options'!B252="H+", 0, (-4.134*'Aqueous Species Table'!J252*100 - 27790)*0.0001) ) ) )</f>
        <v>-2.6801277630721971</v>
      </c>
      <c r="M252" s="42">
        <f>IF(ISBLANK('Aqueous Species Options'!B252), "", IF('Aqueous Species Options'!L252=0, 'Aqueous Species Options'!R252, IF('Aqueous Species Table'!N252="", "", IF('Aqueous Species Options'!B252="H+", 0, 'Aqueous Species Options'!H252 - 'Aqueous Species Table'!O252*100000*(-0.000000309)*298.15 - 'Aqueous Species Table'!N252*10000/(298.15-228)^2 ) ) ) )</f>
        <v>7.1633803123701192</v>
      </c>
      <c r="N252" s="42">
        <f>IF(ISBLANK('Aqueous Species Options'!B252), "", IF('Aqueous Species Options'!L252=0, 'Aqueous Species Options'!S252, IF(OR(ISBLANK('Aqueous Species Options'!H252), 'Aqueous Species Table'!O252=""), "", IF('Aqueous Species Options'!B252="H+", 0, 0.2037*'Aqueous Species Options'!H252 - 3.0346) ) ) )</f>
        <v>-10.306690311673039</v>
      </c>
      <c r="O252" s="42">
        <f>IF(ISBLANK('Aqueous Species Options'!B252), "", IF('Aqueous Species Options'!K252=0, 'Aqueous Species Options'!I252, IF(OR('Aqueous Species Options'!J252&gt;4,'Aqueous Species Options'!J252&lt;-4), "", IF('Aqueous Species Options'!B252="H+", 0, IF('Aqueous Species Options'!J252=0, -0.038, IF(ISBLANK('Aqueous Species Options'!F252), "", -1514.4*'Aqueous Species Options'!F252*0.00001 + SUM(({4,3,2,1,-1,-2,-3,-4}='Aqueous Species Options'!J252)*{2.1764,1.5793,1.0579,0.5517,1.6291,3.2127,4.8115,6.486}) ) ) ) ) ) )</f>
        <v>2.3792</v>
      </c>
      <c r="P252" s="1">
        <f>IF(ISBLANK('Aqueous Species Options'!J252), "", 'Aqueous Species Options'!J252)</f>
        <v>3</v>
      </c>
      <c r="Q252" s="184" t="str">
        <f>IF(ISBLANK('Aqueous Species Options'!T252), "", 'Aqueous Species Options'!T252)</f>
        <v>Shock &amp; Helgeson (1988) revised with new predicted a1 for ions</v>
      </c>
    </row>
    <row r="253" spans="2:17" ht="32" x14ac:dyDescent="0.2">
      <c r="B253" s="9" t="str">
        <f>IF(ISBLANK('Aqueous Species Options'!B253), "", 'Aqueous Species Options'!B253)</f>
        <v>Yb+2</v>
      </c>
      <c r="C253" s="9" t="str">
        <f>IF(ISBLANK('Aqueous Species Options'!C253), "", 'Aqueous Species Options'!C253)</f>
        <v>Yb(+2)</v>
      </c>
      <c r="D253" s="2">
        <f>IF(ISBLANK('Aqueous Species Options'!D253), "", 'Aqueous Species Options'!D253)</f>
        <v>-128500</v>
      </c>
      <c r="E253" s="1">
        <f>IF(ISBLANK('Aqueous Species Options'!E253), "", 'Aqueous Species Options'!E253)</f>
        <v>-126800</v>
      </c>
      <c r="F253" s="139">
        <f>IF(ISBLANK('Aqueous Species Options'!F253), "", 'Aqueous Species Options'!F253)</f>
        <v>-11.2</v>
      </c>
      <c r="G253" s="29">
        <f>IF(ISBLANK('Aqueous Species Options'!B253), "", IF('Aqueous Species Options'!L253 = 1, IF(ISBLANK('Aqueous Species Options'!G253), "", 'Aqueous Species Options'!G253), ('Aqueous Species Table'!I253/10 + ('Aqueous Species Table'!J253*100)/(Calculations!$C$12+Calculations!$C$9) + ('Aqueous Species Table'!K253 + ('Aqueous Species Table'!L253*10000)/(Calculations!$C$12+Calculations!$C$9))*(1/(Calculations!$C$8-Calculations!$C$13)) - 'Aqueous Species Table'!O253*100000*0.0000005903)*41.8393))</f>
        <v>-10.300115853237205</v>
      </c>
      <c r="H253" s="29">
        <f>IF(ISBLANK('Aqueous Species Options'!B253), "", IF('Aqueous Species Options'!L253 = 1, IF(ISBLANK('Aqueous Species Options'!H253), "", 'Aqueous Species Options'!H253), 'Aqueous Species Table'!M253 + 'Aqueous Species Table'!N253*10000*(1/(Calculations!$C$8-Calculations!$C$13))^2 + 'Aqueous Species Table'!O253*100000*Calculations!$C$8*Calculations!$C$7))</f>
        <v>0.70030477486681875</v>
      </c>
      <c r="I253" s="42">
        <f>IF(ISBLANK('Aqueous Species Options'!B253), "", IF('Aqueous Species Options'!L253=0, 'Aqueous Species Options'!N253, IF(OR(ISBLANK('Aqueous Species Options'!G253),'Aqueous Species Table'!O253="", 'Aqueous Species Table'!P253=""), "", IF('Aqueous Species Options'!B253="H+", 0, (CHOOSE('Aqueous Species Options'!M253+1,'Aqueous Species Options'!$V$4*ABS('Aqueous Species Table'!P253)+'Aqueous Species Options'!$W$4,'Aqueous Species Options'!$Z$4)*('Aqueous Species Options'!G253 + 'Aqueous Species Table'!O253*100000*0.0000005903*41.8393) + CHOOSE('Aqueous Species Options'!M253+1,'Aqueous Species Options'!$X$4*ABS('Aqueous Species Table'!P253)+'Aqueous Species Options'!$Y$4,'Aqueous Species Options'!$AA$4))*10 ) ) ) )</f>
        <v>1.7947997244860274</v>
      </c>
      <c r="J253" s="42">
        <f>IF(ISBLANK('Aqueous Species Options'!B253), "", IF('Aqueous Species Options'!L253 = 0, 'Aqueous Species Options'!O253, IF('Aqueous Species Table'!I253="", "", IF('Aqueous Species Options'!B253="H+", 0, ((1.11*('Aqueous Species Options'!G253 + 'Aqueous Species Table'!O253*100000*0.0000005903*41.8393)+1.8)/41.8393 - 'Aqueous Species Table'!I253/10)*26.01 ) ) ) )</f>
        <v>-8.5631617468676495</v>
      </c>
      <c r="K253" s="42">
        <f>IF(ISBLANK('Aqueous Species Options'!B253), "", IF('Aqueous Species Options'!L253 = 0, 'Aqueous Species Options'!P253, IF('Aqueous Species Table'!I253="", "", IF('Aqueous Species Options'!B253="H+", 0, ('Aqueous Species Options'!G253/41.8393 + 'Aqueous Species Table'!O253*100000*0.0000005903 - 'Aqueous Species Table'!I253/10 - 'Aqueous Species Table'!J253*100/2601)*(298.15-228) - ('Aqueous Species Table'!L253*10000/2601) ) ) ) )</f>
        <v>7.6454386596130535</v>
      </c>
      <c r="L253" s="42">
        <f>IF(ISBLANK('Aqueous Species Options'!B253), "", IF('Aqueous Species Options'!L253 = 0, 'Aqueous Species Options'!Q253, IF('Aqueous Species Table'!J253="", "", IF('Aqueous Species Options'!B253="H+", 0, (-4.134*'Aqueous Species Table'!J253*100 - 27790)*0.0001) ) ) )</f>
        <v>-2.4249988933844917</v>
      </c>
      <c r="M253" s="42">
        <f>IF(ISBLANK('Aqueous Species Options'!B253), "", IF('Aqueous Species Options'!L253=0, 'Aqueous Species Options'!R253, IF('Aqueous Species Table'!N253="", "", IF('Aqueous Species Options'!B253="H+", 0, 'Aqueous Species Options'!H253 - 'Aqueous Species Table'!O253*100000*(-0.000000309)*298.15 - 'Aqueous Species Table'!N253*10000/(298.15-228)^2 ) ) ) )</f>
        <v>17.894994162970459</v>
      </c>
      <c r="N253" s="42">
        <f>IF(ISBLANK('Aqueous Species Options'!B253), "", IF('Aqueous Species Options'!L253=0, 'Aqueous Species Options'!S253, IF(OR(ISBLANK('Aqueous Species Options'!H253), 'Aqueous Species Table'!O253=""), "", IF('Aqueous Species Options'!B253="H+", 0, 0.2037*'Aqueous Species Options'!H253 - 3.0346) ) ) )</f>
        <v>-2.8919479173596292</v>
      </c>
      <c r="O253" s="42">
        <f>IF(ISBLANK('Aqueous Species Options'!B253), "", IF('Aqueous Species Options'!K253=0, 'Aqueous Species Options'!I253, IF(OR('Aqueous Species Options'!J253&gt;4,'Aqueous Species Options'!J253&lt;-4), "", IF('Aqueous Species Options'!B253="H+", 0, IF('Aqueous Species Options'!J253=0, -0.038, IF(ISBLANK('Aqueous Species Options'!F253), "", -1514.4*'Aqueous Species Options'!F253*0.00001 + SUM(({4,3,2,1,-1,-2,-3,-4}='Aqueous Species Options'!J253)*{2.1764,1.5793,1.0579,0.5517,1.6291,3.2127,4.8115,6.486}) ) ) ) ) ) )</f>
        <v>1.2284999999999999</v>
      </c>
      <c r="P253" s="1">
        <f>IF(ISBLANK('Aqueous Species Options'!J253), "", 'Aqueous Species Options'!J253)</f>
        <v>2</v>
      </c>
      <c r="Q253" s="184" t="str">
        <f>IF(ISBLANK('Aqueous Species Options'!T253), "", 'Aqueous Species Options'!T253)</f>
        <v>Shock &amp; Helgeson (1988) revised with new predicted a1 for ions</v>
      </c>
    </row>
    <row r="254" spans="2:17" ht="32" x14ac:dyDescent="0.2">
      <c r="B254" s="9" t="str">
        <f>IF(ISBLANK('Aqueous Species Options'!B254), "", 'Aqueous Species Options'!B254)</f>
        <v>Yb+3</v>
      </c>
      <c r="C254" s="9" t="str">
        <f>IF(ISBLANK('Aqueous Species Options'!C254), "", 'Aqueous Species Options'!C254)</f>
        <v>Yb(+3)</v>
      </c>
      <c r="D254" s="2">
        <f>IF(ISBLANK('Aqueous Species Options'!D254), "", 'Aqueous Species Options'!D254)</f>
        <v>-153000</v>
      </c>
      <c r="E254" s="1">
        <f>IF(ISBLANK('Aqueous Species Options'!E254), "", 'Aqueous Species Options'!E254)</f>
        <v>-160300</v>
      </c>
      <c r="F254" s="139">
        <f>IF(ISBLANK('Aqueous Species Options'!F254), "", 'Aqueous Species Options'!F254)</f>
        <v>-56.9</v>
      </c>
      <c r="G254" s="29">
        <f>IF(ISBLANK('Aqueous Species Options'!B254), "", IF('Aqueous Species Options'!L254 = 1, IF(ISBLANK('Aqueous Species Options'!G254), "", 'Aqueous Species Options'!G254), ('Aqueous Species Table'!I254/10 + ('Aqueous Species Table'!J254*100)/(Calculations!$C$12+Calculations!$C$9) + ('Aqueous Species Table'!K254 + ('Aqueous Species Table'!L254*10000)/(Calculations!$C$12+Calculations!$C$9))*(1/(Calculations!$C$8-Calculations!$C$13)) - 'Aqueous Species Table'!O254*100000*0.0000005903)*41.8393))</f>
        <v>-44.499994082572492</v>
      </c>
      <c r="H254" s="29">
        <f>IF(ISBLANK('Aqueous Species Options'!B254), "", IF('Aqueous Species Options'!L254 = 1, IF(ISBLANK('Aqueous Species Options'!H254), "", 'Aqueous Species Options'!H254), 'Aqueous Species Table'!M254 + 'Aqueous Species Table'!N254*10000*(1/(Calculations!$C$8-Calculations!$C$13))^2 + 'Aqueous Species Table'!O254*100000*Calculations!$C$8*Calculations!$C$7))</f>
        <v>-36.399634263932711</v>
      </c>
      <c r="I254" s="42">
        <f>IF(ISBLANK('Aqueous Species Options'!B254), "", IF('Aqueous Species Options'!L254=0, 'Aqueous Species Options'!N254, IF(OR(ISBLANK('Aqueous Species Options'!G254),'Aqueous Species Table'!O254="", 'Aqueous Species Table'!P254=""), "", IF('Aqueous Species Options'!B254="H+", 0, (CHOOSE('Aqueous Species Options'!M254+1,'Aqueous Species Options'!$V$4*ABS('Aqueous Species Table'!P254)+'Aqueous Species Options'!$W$4,'Aqueous Species Options'!$Z$4)*('Aqueous Species Options'!G254 + 'Aqueous Species Table'!O254*100000*0.0000005903*41.8393) + CHOOSE('Aqueous Species Options'!M254+1,'Aqueous Species Options'!$X$4*ABS('Aqueous Species Table'!P254)+'Aqueous Species Options'!$Y$4,'Aqueous Species Options'!$AA$4))*10 ) ) ) )</f>
        <v>-9.2233249794540679</v>
      </c>
      <c r="J254" s="42">
        <f>IF(ISBLANK('Aqueous Species Options'!B254), "", IF('Aqueous Species Options'!L254 = 0, 'Aqueous Species Options'!O254, IF('Aqueous Species Table'!I254="", "", IF('Aqueous Species Options'!B254="H+", 0, ((1.11*('Aqueous Species Options'!G254 + 'Aqueous Species Table'!O254*100000*0.0000005903*41.8393)+1.8)/41.8393 - 'Aqueous Species Table'!I254/10)*26.01 ) ) ) )</f>
        <v>-1.4325157310285168</v>
      </c>
      <c r="K254" s="42">
        <f>IF(ISBLANK('Aqueous Species Options'!B254), "", IF('Aqueous Species Options'!L254 = 0, 'Aqueous Species Options'!P254, IF('Aqueous Species Table'!I254="", "", IF('Aqueous Species Options'!B254="H+", 0, ('Aqueous Species Options'!G254/41.8393 + 'Aqueous Species Table'!O254*100000*0.0000005903 - 'Aqueous Species Table'!I254/10 - 'Aqueous Species Table'!J254*100/2601)*(298.15-228) - ('Aqueous Species Table'!L254*10000/2601) ) ) ) )</f>
        <v>14.53251972335698</v>
      </c>
      <c r="L254" s="42">
        <f>IF(ISBLANK('Aqueous Species Options'!B254), "", IF('Aqueous Species Options'!L254 = 0, 'Aqueous Species Options'!Q254, IF('Aqueous Species Table'!J254="", "", IF('Aqueous Species Options'!B254="H+", 0, (-4.134*'Aqueous Species Table'!J254*100 - 27790)*0.0001) ) ) )</f>
        <v>-2.7197797996792814</v>
      </c>
      <c r="M254" s="42">
        <f>IF(ISBLANK('Aqueous Species Options'!B254), "", IF('Aqueous Species Options'!L254=0, 'Aqueous Species Options'!R254, IF('Aqueous Species Table'!N254="", "", IF('Aqueous Species Options'!B254="H+", 0, 'Aqueous Species Options'!H254 - 'Aqueous Species Table'!O254*100000*(-0.000000309)*298.15 - 'Aqueous Species Table'!N254*10000/(298.15-228)^2 ) ) ) )</f>
        <v>7.3531079658507892</v>
      </c>
      <c r="N254" s="42">
        <f>IF(ISBLANK('Aqueous Species Options'!B254), "", IF('Aqueous Species Options'!L254=0, 'Aqueous Species Options'!S254, IF(OR(ISBLANK('Aqueous Species Options'!H254), 'Aqueous Species Table'!O254=""), "", IF('Aqueous Species Options'!B254="H+", 0, 0.2037*'Aqueous Species Options'!H254 - 3.0346) ) ) )</f>
        <v>-10.449205499563092</v>
      </c>
      <c r="O254" s="42">
        <f>IF(ISBLANK('Aqueous Species Options'!B254), "", IF('Aqueous Species Options'!K254=0, 'Aqueous Species Options'!I254, IF(OR('Aqueous Species Options'!J254&gt;4,'Aqueous Species Options'!J254&lt;-4), "", IF('Aqueous Species Options'!B254="H+", 0, IF('Aqueous Species Options'!J254=0, -0.038, IF(ISBLANK('Aqueous Species Options'!F254), "", -1514.4*'Aqueous Species Options'!F254*0.00001 + SUM(({4,3,2,1,-1,-2,-3,-4}='Aqueous Species Options'!J254)*{2.1764,1.5793,1.0579,0.5517,1.6291,3.2127,4.8115,6.486}) ) ) ) ) ) )</f>
        <v>2.4443000000000001</v>
      </c>
      <c r="P254" s="1">
        <f>IF(ISBLANK('Aqueous Species Options'!J254), "", 'Aqueous Species Options'!J254)</f>
        <v>3</v>
      </c>
      <c r="Q254" s="184" t="str">
        <f>IF(ISBLANK('Aqueous Species Options'!T254), "", 'Aqueous Species Options'!T254)</f>
        <v>Shock &amp; Helgeson (1988) revised with new predicted a1 for ions</v>
      </c>
    </row>
    <row r="255" spans="2:17" ht="32" x14ac:dyDescent="0.2">
      <c r="B255" s="9" t="str">
        <f>IF(ISBLANK('Aqueous Species Options'!B255), "", 'Aqueous Species Options'!B255)</f>
        <v>Zn+2</v>
      </c>
      <c r="C255" s="9" t="str">
        <f>IF(ISBLANK('Aqueous Species Options'!C255), "", 'Aqueous Species Options'!C255)</f>
        <v>Zn(+2)</v>
      </c>
      <c r="D255" s="2">
        <f>IF(ISBLANK('Aqueous Species Options'!D255), "", 'Aqueous Species Options'!D255)</f>
        <v>-35200</v>
      </c>
      <c r="E255" s="1">
        <f>IF(ISBLANK('Aqueous Species Options'!E255), "", 'Aqueous Species Options'!E255)</f>
        <v>-36660</v>
      </c>
      <c r="F255" s="139">
        <f>IF(ISBLANK('Aqueous Species Options'!F255), "", 'Aqueous Species Options'!F255)</f>
        <v>-26.2</v>
      </c>
      <c r="G255" s="29">
        <f>IF(ISBLANK('Aqueous Species Options'!B255), "", IF('Aqueous Species Options'!L255 = 1, IF(ISBLANK('Aqueous Species Options'!G255), "", 'Aqueous Species Options'!G255), ('Aqueous Species Table'!I255/10 + ('Aqueous Species Table'!J255*100)/(Calculations!$C$12+Calculations!$C$9) + ('Aqueous Species Table'!K255 + ('Aqueous Species Table'!L255*10000)/(Calculations!$C$12+Calculations!$C$9))*(1/(Calculations!$C$8-Calculations!$C$13)) - 'Aqueous Species Table'!O255*100000*0.0000005903)*41.8393))</f>
        <v>-24.300094251723031</v>
      </c>
      <c r="H255" s="29">
        <f>IF(ISBLANK('Aqueous Species Options'!B255), "", IF('Aqueous Species Options'!L255 = 1, IF(ISBLANK('Aqueous Species Options'!H255), "", 'Aqueous Species Options'!H255), 'Aqueous Species Table'!M255 + 'Aqueous Species Table'!N255*10000*(1/(Calculations!$C$8-Calculations!$C$13))^2 + 'Aqueous Species Table'!O255*100000*Calculations!$C$8*Calculations!$C$7))</f>
        <v>-6.3002817005689202</v>
      </c>
      <c r="I255" s="42">
        <f>IF(ISBLANK('Aqueous Species Options'!B255), "", IF('Aqueous Species Options'!L255=0, 'Aqueous Species Options'!N255, IF(OR(ISBLANK('Aqueous Species Options'!G255),'Aqueous Species Table'!O255="", 'Aqueous Species Table'!P255=""), "", IF('Aqueous Species Options'!B255="H+", 0, (CHOOSE('Aqueous Species Options'!M255+1,'Aqueous Species Options'!$V$4*ABS('Aqueous Species Table'!P255)+'Aqueous Species Options'!$W$4,'Aqueous Species Options'!$Z$4)*('Aqueous Species Options'!G255 + 'Aqueous Species Table'!O255*100000*0.0000005903*41.8393) + CHOOSE('Aqueous Species Options'!M255+1,'Aqueous Species Options'!$X$4*ABS('Aqueous Species Table'!P255)+'Aqueous Species Options'!$Y$4,'Aqueous Species Options'!$AA$4))*10 ) ) ) )</f>
        <v>-1.4174244108920027</v>
      </c>
      <c r="J255" s="42">
        <f>IF(ISBLANK('Aqueous Species Options'!B255), "", IF('Aqueous Species Options'!L255 = 0, 'Aqueous Species Options'!O255, IF('Aqueous Species Table'!I255="", "", IF('Aqueous Species Options'!B255="H+", 0, ((1.11*('Aqueous Species Options'!G255 + 'Aqueous Species Table'!O255*100000*0.0000005903*41.8393)+1.8)/41.8393 - 'Aqueous Species Table'!I255/10)*26.01 ) ) ) )</f>
        <v>-9.4787100530530335</v>
      </c>
      <c r="K255" s="42">
        <f>IF(ISBLANK('Aqueous Species Options'!B255), "", IF('Aqueous Species Options'!L255 = 0, 'Aqueous Species Options'!P255, IF('Aqueous Species Table'!I255="", "", IF('Aqueous Species Options'!B255="H+", 0, ('Aqueous Species Options'!G255/41.8393 + 'Aqueous Species Table'!O255*100000*0.0000005903 - 'Aqueous Species Table'!I255/10 - 'Aqueous Species Table'!J255*100/2601)*(298.15-228) - ('Aqueous Species Table'!L255*10000/2601) ) ) ) )</f>
        <v>9.9776994360770992</v>
      </c>
      <c r="L255" s="42">
        <f>IF(ISBLANK('Aqueous Species Options'!B255), "", IF('Aqueous Species Options'!L255 = 0, 'Aqueous Species Options'!Q255, IF('Aqueous Species Table'!J255="", "", IF('Aqueous Species Options'!B255="H+", 0, (-4.134*'Aqueous Species Table'!J255*100 - 27790)*0.0001) ) ) )</f>
        <v>-2.3871501264067878</v>
      </c>
      <c r="M255" s="42">
        <f>IF(ISBLANK('Aqueous Species Options'!B255), "", IF('Aqueous Species Options'!L255=0, 'Aqueous Species Options'!R255, IF('Aqueous Species Table'!N255="", "", IF('Aqueous Species Options'!B255="H+", 0, 'Aqueous Species Options'!H255 - 'Aqueous Species Table'!O255*100000*(-0.000000309)*298.15 - 'Aqueous Species Table'!N255*10000/(298.15-228)^2 ) ) ) )</f>
        <v>15.901036927652514</v>
      </c>
      <c r="N255" s="42">
        <f>IF(ISBLANK('Aqueous Species Options'!B255), "", IF('Aqueous Species Options'!L255=0, 'Aqueous Species Options'!S255, IF(OR(ISBLANK('Aqueous Species Options'!H255), 'Aqueous Species Table'!O255=""), "", IF('Aqueous Species Options'!B255="H+", 0, 0.2037*'Aqueous Species Options'!H255 - 3.0346) ) ) )</f>
        <v>-4.3179673824058895</v>
      </c>
      <c r="O255" s="42">
        <f>IF(ISBLANK('Aqueous Species Options'!B255), "", IF('Aqueous Species Options'!K255=0, 'Aqueous Species Options'!I255, IF(OR('Aqueous Species Options'!J255&gt;4,'Aqueous Species Options'!J255&lt;-4), "", IF('Aqueous Species Options'!B255="H+", 0, IF('Aqueous Species Options'!J255=0, -0.038, IF(ISBLANK('Aqueous Species Options'!F255), "", -1514.4*'Aqueous Species Options'!F255*0.00001 + SUM(({4,3,2,1,-1,-2,-3,-4}='Aqueous Species Options'!J255)*{2.1764,1.5793,1.0579,0.5517,1.6291,3.2127,4.8115,6.486}) ) ) ) ) ) )</f>
        <v>1.4574</v>
      </c>
      <c r="P255" s="1">
        <f>IF(ISBLANK('Aqueous Species Options'!J255), "", 'Aqueous Species Options'!J255)</f>
        <v>2</v>
      </c>
      <c r="Q255" s="184" t="str">
        <f>IF(ISBLANK('Aqueous Species Options'!T255), "", 'Aqueous Species Options'!T255)</f>
        <v>Shock &amp; Helgeson (1988) revised with new predicted a1 for ions</v>
      </c>
    </row>
    <row r="256" spans="2:17" ht="64" x14ac:dyDescent="0.2">
      <c r="B256" s="9" t="str">
        <f>IF(ISBLANK('Aqueous Species Options'!B256), "", 'Aqueous Species Options'!B256)</f>
        <v>ZnCl+</v>
      </c>
      <c r="C256" s="9" t="str">
        <f>IF(ISBLANK('Aqueous Species Options'!C256), "", 'Aqueous Species Options'!C256)</f>
        <v>ZnCl(+)</v>
      </c>
      <c r="D256" s="2">
        <f>IF(ISBLANK('Aqueous Species Options'!D256), "", 'Aqueous Species Options'!D256)</f>
        <v>-66850</v>
      </c>
      <c r="E256" s="1">
        <f>IF(ISBLANK('Aqueous Species Options'!E256), "", 'Aqueous Species Options'!E256)</f>
        <v>-66240</v>
      </c>
      <c r="F256" s="139">
        <f>IF(ISBLANK('Aqueous Species Options'!F256), "", 'Aqueous Species Options'!F256)</f>
        <v>23</v>
      </c>
      <c r="G256" s="29">
        <f>IF(ISBLANK('Aqueous Species Options'!B256), "", IF('Aqueous Species Options'!L256 = 1, IF(ISBLANK('Aqueous Species Options'!G256), "", 'Aqueous Species Options'!G256), ('Aqueous Species Table'!I256/10 + ('Aqueous Species Table'!J256*100)/(Calculations!$C$12+Calculations!$C$9) + ('Aqueous Species Table'!K256 + ('Aqueous Species Table'!L256*10000)/(Calculations!$C$12+Calculations!$C$9))*(1/(Calculations!$C$8-Calculations!$C$13)) - 'Aqueous Species Table'!O256*100000*0.0000005903)*41.8393))</f>
        <v>4.8</v>
      </c>
      <c r="H256" s="29">
        <f>IF(ISBLANK('Aqueous Species Options'!B256), "", IF('Aqueous Species Options'!L256 = 1, IF(ISBLANK('Aqueous Species Options'!H256), "", 'Aqueous Species Options'!H256), 'Aqueous Species Table'!M256 + 'Aqueous Species Table'!N256*10000*(1/(Calculations!$C$8-Calculations!$C$13))^2 + 'Aqueous Species Table'!O256*100000*Calculations!$C$8*Calculations!$C$7))</f>
        <v>19.899908778598967</v>
      </c>
      <c r="I256" s="42">
        <f>IF(ISBLANK('Aqueous Species Options'!B256), "", IF('Aqueous Species Options'!L256=0, 'Aqueous Species Options'!N256, IF(OR(ISBLANK('Aqueous Species Options'!G256),'Aqueous Species Table'!O256="", 'Aqueous Species Table'!P256=""), "", IF('Aqueous Species Options'!B256="H+", 0, (CHOOSE('Aqueous Species Options'!M256+1,'Aqueous Species Options'!$V$4*ABS('Aqueous Species Table'!P256)+'Aqueous Species Options'!$W$4,'Aqueous Species Options'!$Z$4)*('Aqueous Species Options'!G256 + 'Aqueous Species Table'!O256*100000*0.0000005903*41.8393) + CHOOSE('Aqueous Species Options'!M256+1,'Aqueous Species Options'!$X$4*ABS('Aqueous Species Table'!P256)+'Aqueous Species Options'!$Y$4,'Aqueous Species Options'!$AA$4))*10 ) ) ) )</f>
        <v>2.5497380939707193</v>
      </c>
      <c r="J256" s="42">
        <f>IF(ISBLANK('Aqueous Species Options'!B256), "", IF('Aqueous Species Options'!L256 = 0, 'Aqueous Species Options'!O256, IF('Aqueous Species Table'!I256="", "", IF('Aqueous Species Options'!B256="H+", 0, ((1.11*('Aqueous Species Options'!G256 + 'Aqueous Species Table'!O256*100000*0.0000005903*41.8393)+1.8)/41.8393 - 'Aqueous Species Table'!I256/10)*26.01 ) ) ) )</f>
        <v>-1.8555326475113212</v>
      </c>
      <c r="K256" s="42">
        <f>IF(ISBLANK('Aqueous Species Options'!B256), "", IF('Aqueous Species Options'!L256 = 0, 'Aqueous Species Options'!P256, IF('Aqueous Species Table'!I256="", "", IF('Aqueous Species Options'!B256="H+", 0, ('Aqueous Species Options'!G256/41.8393 + 'Aqueous Species Table'!O256*100000*0.0000005903 - 'Aqueous Species Table'!I256/10 - 'Aqueous Species Table'!J256*100/2601)*(298.15-228) - ('Aqueous Species Table'!L256*10000/2601) ) ) ) )</f>
        <v>6.3939472898050029</v>
      </c>
      <c r="L256" s="42">
        <f>IF(ISBLANK('Aqueous Species Options'!B256), "", IF('Aqueous Species Options'!L256 = 0, 'Aqueous Species Options'!Q256, IF('Aqueous Species Table'!J256="", "", IF('Aqueous Species Options'!B256="H+", 0, (-4.134*'Aqueous Species Table'!J256*100 - 27790)*0.0001) ) ) )</f>
        <v>-2.7022922803518821</v>
      </c>
      <c r="M256" s="42">
        <f>IF(ISBLANK('Aqueous Species Options'!B256), "", IF('Aqueous Species Options'!L256=0, 'Aqueous Species Options'!R256, IF('Aqueous Species Table'!N256="", "", IF('Aqueous Species Options'!B256="H+", 0, 'Aqueous Species Options'!H256 - 'Aqueous Species Table'!O256*100000*(-0.000000309)*298.15 - 'Aqueous Species Table'!N256*10000/(298.15-228)^2 ) ) ) )</f>
        <v>19.69477679709733</v>
      </c>
      <c r="N256" s="42">
        <f>IF(ISBLANK('Aqueous Species Options'!B256), "", IF('Aqueous Species Options'!L256=0, 'Aqueous Species Options'!S256, IF(OR(ISBLANK('Aqueous Species Options'!H256), 'Aqueous Species Table'!O256=""), "", IF('Aqueous Species Options'!B256="H+", 0, 0.2037*'Aqueous Species Options'!H256 - 3.0346) ) ) )</f>
        <v>1.0190114182006091</v>
      </c>
      <c r="O256" s="42">
        <f>IF(ISBLANK('Aqueous Species Options'!B256), "", IF('Aqueous Species Options'!K256=0, 'Aqueous Species Options'!I256, IF(OR('Aqueous Species Options'!J256&gt;4,'Aqueous Species Options'!J256&lt;-4), "", IF('Aqueous Species Options'!B256="H+", 0, IF('Aqueous Species Options'!J256=0, -0.038, IF(ISBLANK('Aqueous Species Options'!F256), "", -1514.4*'Aqueous Species Options'!F256*0.00001 + SUM(({4,3,2,1,-1,-2,-3,-4}='Aqueous Species Options'!J256)*{2.1764,1.5793,1.0579,0.5517,1.6291,3.2127,4.8115,6.486}) ) ) ) ) ) )</f>
        <v>0.20250000000000001</v>
      </c>
      <c r="P256" s="1">
        <f>IF(ISBLANK('Aqueous Species Options'!J256), "", 'Aqueous Species Options'!J256)</f>
        <v>1</v>
      </c>
      <c r="Q256" s="184" t="str">
        <f>IF(ISBLANK('Aqueous Species Options'!T256), "", 'Aqueous Species Options'!T256)</f>
        <v>Sverjensky et al. (1997) with revised a1 equal to the sum of the ions used to predict new values of V using new correlation in Sverjensky et al. (2014)</v>
      </c>
    </row>
    <row r="257" spans="2:17" ht="64" x14ac:dyDescent="0.2">
      <c r="B257" s="9" t="str">
        <f>IF(ISBLANK('Aqueous Species Options'!B257), "", 'Aqueous Species Options'!B257)</f>
        <v>ZnCl2,aq</v>
      </c>
      <c r="C257" s="9" t="str">
        <f>IF(ISBLANK('Aqueous Species Options'!C257), "", 'Aqueous Species Options'!C257)</f>
        <v>ZnCl2(0)</v>
      </c>
      <c r="D257" s="2">
        <f>IF(ISBLANK('Aqueous Species Options'!D257), "", 'Aqueous Species Options'!D257)</f>
        <v>-98300</v>
      </c>
      <c r="E257" s="1">
        <f>IF(ISBLANK('Aqueous Species Options'!E257), "", 'Aqueous Species Options'!E257)</f>
        <v>-109080</v>
      </c>
      <c r="F257" s="139">
        <f>IF(ISBLANK('Aqueous Species Options'!F257), "", 'Aqueous Species Options'!F257)</f>
        <v>27.03</v>
      </c>
      <c r="G257" s="29">
        <f>IF(ISBLANK('Aqueous Species Options'!B257), "", IF('Aqueous Species Options'!L257 = 1, IF(ISBLANK('Aqueous Species Options'!G257), "", 'Aqueous Species Options'!G257), ('Aqueous Species Table'!I257/10 + ('Aqueous Species Table'!J257*100)/(Calculations!$C$12+Calculations!$C$9) + ('Aqueous Species Table'!K257 + ('Aqueous Species Table'!L257*10000)/(Calculations!$C$12+Calculations!$C$9))*(1/(Calculations!$C$8-Calculations!$C$13)) - 'Aqueous Species Table'!O257*100000*0.0000005903)*41.8393))</f>
        <v>26</v>
      </c>
      <c r="H257" s="29">
        <f>IF(ISBLANK('Aqueous Species Options'!B257), "", IF('Aqueous Species Options'!L257 = 1, IF(ISBLANK('Aqueous Species Options'!H257), "", 'Aqueous Species Options'!H257), 'Aqueous Species Table'!M257 + 'Aqueous Species Table'!N257*10000*(1/(Calculations!$C$8-Calculations!$C$13))^2 + 'Aqueous Species Table'!O257*100000*Calculations!$C$8*Calculations!$C$7))</f>
        <v>34.660101454993132</v>
      </c>
      <c r="I257" s="42">
        <f>IF(ISBLANK('Aqueous Species Options'!B257), "", IF('Aqueous Species Options'!L257=0, 'Aqueous Species Options'!N257, IF(OR(ISBLANK('Aqueous Species Options'!G257),'Aqueous Species Table'!O257="", 'Aqueous Species Table'!P257=""), "", IF('Aqueous Species Options'!B257="H+", 0, (CHOOSE('Aqueous Species Options'!M257+1,'Aqueous Species Options'!$V$4*ABS('Aqueous Species Table'!P257)+'Aqueous Species Options'!$W$4,'Aqueous Species Options'!$Z$4)*('Aqueous Species Options'!G257 + 'Aqueous Species Table'!O257*100000*0.0000005903*41.8393) + CHOOSE('Aqueous Species Options'!M257+1,'Aqueous Species Options'!$X$4*ABS('Aqueous Species Table'!P257)+'Aqueous Species Options'!$Y$4,'Aqueous Species Options'!$AA$4))*10 ) ) ) )</f>
        <v>6.5516331181684588</v>
      </c>
      <c r="J257" s="42">
        <f>IF(ISBLANK('Aqueous Species Options'!B257), "", IF('Aqueous Species Options'!L257 = 0, 'Aqueous Species Options'!O257, IF('Aqueous Species Table'!I257="", "", IF('Aqueous Species Options'!B257="H+", 0, ((1.11*('Aqueous Species Options'!G257 + 'Aqueous Species Table'!O257*100000*0.0000005903*41.8393)+1.8)/41.8393 - 'Aqueous Species Table'!I257/10)*26.01 ) ) ) )</f>
        <v>1.9546684034788493</v>
      </c>
      <c r="K257" s="42">
        <f>IF(ISBLANK('Aqueous Species Options'!B257), "", IF('Aqueous Species Options'!L257 = 0, 'Aqueous Species Options'!P257, IF('Aqueous Species Table'!I257="", "", IF('Aqueous Species Options'!B257="H+", 0, ('Aqueous Species Options'!G257/41.8393 + 'Aqueous Species Table'!O257*100000*0.0000005903 - 'Aqueous Species Table'!I257/10 - 'Aqueous Species Table'!J257*100/2601)*(298.15-228) - ('Aqueous Species Table'!L257*10000/2601) ) ) ) )</f>
        <v>3.1991298168588314</v>
      </c>
      <c r="L257" s="42">
        <f>IF(ISBLANK('Aqueous Species Options'!B257), "", IF('Aqueous Species Options'!L257 = 0, 'Aqueous Species Options'!Q257, IF('Aqueous Species Table'!J257="", "", IF('Aqueous Species Options'!B257="H+", 0, (-4.134*'Aqueous Species Table'!J257*100 - 27790)*0.0001) ) ) )</f>
        <v>-2.8598059917998158</v>
      </c>
      <c r="M257" s="42">
        <f>IF(ISBLANK('Aqueous Species Options'!B257), "", IF('Aqueous Species Options'!L257=0, 'Aqueous Species Options'!R257, IF('Aqueous Species Table'!N257="", "", IF('Aqueous Species Options'!B257="H+", 0, 'Aqueous Species Options'!H257 - 'Aqueous Species Table'!O257*100000*(-0.000000309)*298.15 - 'Aqueous Species Table'!N257*10000/(298.15-228)^2 ) ) ) )</f>
        <v>26.129472655770016</v>
      </c>
      <c r="N257" s="42">
        <f>IF(ISBLANK('Aqueous Species Options'!B257), "", IF('Aqueous Species Options'!L257=0, 'Aqueous Species Options'!S257, IF(OR(ISBLANK('Aqueous Species Options'!H257), 'Aqueous Species Table'!O257=""), "", IF('Aqueous Species Options'!B257="H+", 0, 0.2037*'Aqueous Species Options'!H257 - 3.0346) ) ) )</f>
        <v>4.0256626663821002</v>
      </c>
      <c r="O257" s="42">
        <f>IF(ISBLANK('Aqueous Species Options'!B257), "", IF('Aqueous Species Options'!K257=0, 'Aqueous Species Options'!I257, IF(OR('Aqueous Species Options'!J257&gt;4,'Aqueous Species Options'!J257&lt;-4), "", IF('Aqueous Species Options'!B257="H+", 0, IF('Aqueous Species Options'!J257=0, -0.038, IF(ISBLANK('Aqueous Species Options'!F257), "", -1514.4*'Aqueous Species Options'!F257*0.00001 + SUM(({4,3,2,1,-1,-2,-3,-4}='Aqueous Species Options'!J257)*{2.1764,1.5793,1.0579,0.5517,1.6291,3.2127,4.8115,6.486}) ) ) ) ) ) )</f>
        <v>-3.7999999999999999E-2</v>
      </c>
      <c r="P257" s="1">
        <f>IF(ISBLANK('Aqueous Species Options'!J257), "", 'Aqueous Species Options'!J257)</f>
        <v>0</v>
      </c>
      <c r="Q257" s="184" t="str">
        <f>IF(ISBLANK('Aqueous Species Options'!T257), "", 'Aqueous Species Options'!T257)</f>
        <v>Sverjensky et al. (1997) with revised a1 equal to the sum of the ions used to predict new values of V using new correlation in Sverjensky et al. (2014)</v>
      </c>
    </row>
    <row r="258" spans="2:17" ht="64" x14ac:dyDescent="0.2">
      <c r="B258" s="9" t="str">
        <f>IF(ISBLANK('Aqueous Species Options'!B258), "", 'Aqueous Species Options'!B258)</f>
        <v>ZnCl3-</v>
      </c>
      <c r="C258" s="9" t="str">
        <f>IF(ISBLANK('Aqueous Species Options'!C258), "", 'Aqueous Species Options'!C258)</f>
        <v>ZnCl3(-)</v>
      </c>
      <c r="D258" s="2">
        <f>IF(ISBLANK('Aqueous Species Options'!D258), "", 'Aqueous Species Options'!D258)</f>
        <v>-129310</v>
      </c>
      <c r="E258" s="1">
        <f>IF(ISBLANK('Aqueous Species Options'!E258), "", 'Aqueous Species Options'!E258)</f>
        <v>-151060</v>
      </c>
      <c r="F258" s="139">
        <f>IF(ISBLANK('Aqueous Species Options'!F258), "", 'Aqueous Species Options'!F258)</f>
        <v>25</v>
      </c>
      <c r="G258" s="29">
        <f>IF(ISBLANK('Aqueous Species Options'!B258), "", IF('Aqueous Species Options'!L258 = 1, IF(ISBLANK('Aqueous Species Options'!G258), "", 'Aqueous Species Options'!G258), ('Aqueous Species Table'!I258/10 + ('Aqueous Species Table'!J258*100)/(Calculations!$C$12+Calculations!$C$9) + ('Aqueous Species Table'!K258 + ('Aqueous Species Table'!L258*10000)/(Calculations!$C$12+Calculations!$C$9))*(1/(Calculations!$C$8-Calculations!$C$13)) - 'Aqueous Species Table'!O258*100000*0.0000005903)*41.8393))</f>
        <v>43.9</v>
      </c>
      <c r="H258" s="29">
        <f>IF(ISBLANK('Aqueous Species Options'!B258), "", IF('Aqueous Species Options'!L258 = 1, IF(ISBLANK('Aqueous Species Options'!H258), "", 'Aqueous Species Options'!H258), 'Aqueous Species Table'!M258 + 'Aqueous Species Table'!N258*10000*(1/(Calculations!$C$8-Calculations!$C$13))^2 + 'Aqueous Species Table'!O258*100000*Calculations!$C$8*Calculations!$C$7))</f>
        <v>41.97</v>
      </c>
      <c r="I258" s="42">
        <f>IF(ISBLANK('Aqueous Species Options'!B258), "", IF('Aqueous Species Options'!L258=0, 'Aqueous Species Options'!N258, IF(OR(ISBLANK('Aqueous Species Options'!G258),'Aqueous Species Table'!O258="", 'Aqueous Species Table'!P258=""), "", IF('Aqueous Species Options'!B258="H+", 0, (CHOOSE('Aqueous Species Options'!M258+1,'Aqueous Species Options'!$V$4*ABS('Aqueous Species Table'!P258)+'Aqueous Species Options'!$W$4,'Aqueous Species Options'!$Z$4)*('Aqueous Species Options'!G258 + 'Aqueous Species Table'!O258*100000*0.0000005903*41.8393) + CHOOSE('Aqueous Species Options'!M258+1,'Aqueous Species Options'!$X$4*ABS('Aqueous Species Table'!P258)+'Aqueous Species Options'!$Y$4,'Aqueous Species Options'!$AA$4))*10 ) ) ) )</f>
        <v>10.646411032521289</v>
      </c>
      <c r="J258" s="42">
        <f>IF(ISBLANK('Aqueous Species Options'!B258), "", IF('Aqueous Species Options'!L258 = 0, 'Aqueous Species Options'!O258, IF('Aqueous Species Table'!I258="", "", IF('Aqueous Species Options'!B258="H+", 0, ((1.11*('Aqueous Species Options'!G258 + 'Aqueous Species Table'!O258*100000*0.0000005903*41.8393)+1.8)/41.8393 - 'Aqueous Species Table'!I258/10)*26.01 ) ) ) )</f>
        <v>5.8533031798786261</v>
      </c>
      <c r="K258" s="42">
        <f>IF(ISBLANK('Aqueous Species Options'!B258), "", IF('Aqueous Species Options'!L258 = 0, 'Aqueous Species Options'!P258, IF('Aqueous Species Table'!I258="", "", IF('Aqueous Species Options'!B258="H+", 0, ('Aqueous Species Options'!G258/41.8393 + 'Aqueous Species Table'!O258*100000*0.0000005903 - 'Aqueous Species Table'!I258/10 - 'Aqueous Species Table'!J258*100/2601)*(298.15-228) - ('Aqueous Species Table'!L258*10000/2601) ) ) ) )</f>
        <v>-6.9838496779295767E-2</v>
      </c>
      <c r="L258" s="42">
        <f>IF(ISBLANK('Aqueous Species Options'!B258), "", IF('Aqueous Species Options'!L258 = 0, 'Aqueous Species Options'!Q258, IF('Aqueous Species Table'!J258="", "", IF('Aqueous Species Options'!B258="H+", 0, (-4.134*'Aqueous Species Table'!J258*100 - 27790)*0.0001) ) ) )</f>
        <v>-3.0209755534561826</v>
      </c>
      <c r="M258" s="42">
        <f>IF(ISBLANK('Aqueous Species Options'!B258), "", IF('Aqueous Species Options'!L258=0, 'Aqueous Species Options'!R258, IF('Aqueous Species Table'!N258="", "", IF('Aqueous Species Options'!B258="H+", 0, 'Aqueous Species Options'!H258 - 'Aqueous Species Table'!O258*100000*(-0.000000309)*298.15 - 'Aqueous Species Table'!N258*10000/(298.15-228)^2 ) ) ) )</f>
        <v>42.291631925794945</v>
      </c>
      <c r="N258" s="42">
        <f>IF(ISBLANK('Aqueous Species Options'!B258), "", IF('Aqueous Species Options'!L258=0, 'Aqueous Species Options'!S258, IF(OR(ISBLANK('Aqueous Species Options'!H258), 'Aqueous Species Table'!O258=""), "", IF('Aqueous Species Options'!B258="H+", 0, 0.2037*'Aqueous Species Options'!H258 - 3.0346) ) ) )</f>
        <v>5.5146889999999997</v>
      </c>
      <c r="O258" s="42">
        <f>IF(ISBLANK('Aqueous Species Options'!B258), "", IF('Aqueous Species Options'!K258=0, 'Aqueous Species Options'!I258, IF(OR('Aqueous Species Options'!J258&gt;4,'Aqueous Species Options'!J258&lt;-4), "", IF('Aqueous Species Options'!B258="H+", 0, IF('Aqueous Species Options'!J258=0, -0.038, IF(ISBLANK('Aqueous Species Options'!F258), "", -1514.4*'Aqueous Species Options'!F258*0.00001 + SUM(({4,3,2,1,-1,-2,-3,-4}='Aqueous Species Options'!J258)*{2.1764,1.5793,1.0579,0.5517,1.6291,3.2127,4.8115,6.486}) ) ) ) ) ) )</f>
        <v>1.2513000000000001</v>
      </c>
      <c r="P258" s="1">
        <f>IF(ISBLANK('Aqueous Species Options'!J258), "", 'Aqueous Species Options'!J258)</f>
        <v>-1</v>
      </c>
      <c r="Q258" s="184" t="str">
        <f>IF(ISBLANK('Aqueous Species Options'!T258), "", 'Aqueous Species Options'!T258)</f>
        <v>Sverjensky et al. (1997) with revised a1 equal to the sum of the ions used to predict new values of V using new correlation in Sverjensky et al. (2014)</v>
      </c>
    </row>
    <row r="259" spans="2:17" ht="16" x14ac:dyDescent="0.2">
      <c r="B259" s="9" t="str">
        <f>IF(ISBLANK('Aqueous Species Options'!B259), "", 'Aqueous Species Options'!B259)</f>
        <v>ZrO2,aq</v>
      </c>
      <c r="C259" s="9" t="str">
        <f>IF(ISBLANK('Aqueous Species Options'!C259), "", 'Aqueous Species Options'!C259)</f>
        <v>ZrO2(0)</v>
      </c>
      <c r="D259" s="2">
        <f>IF(ISBLANK('Aqueous Species Options'!D259), "", 'Aqueous Species Options'!D259)</f>
        <v>-233000</v>
      </c>
      <c r="E259" s="1" t="str">
        <f>IF(ISBLANK('Aqueous Species Options'!E259), "", 'Aqueous Species Options'!E259)</f>
        <v/>
      </c>
      <c r="F259" s="139">
        <f>IF(ISBLANK('Aqueous Species Options'!F259), "", 'Aqueous Species Options'!F259)</f>
        <v>6.45</v>
      </c>
      <c r="G259" s="29">
        <f>IF(ISBLANK('Aqueous Species Options'!B259), "", IF('Aqueous Species Options'!L259 = 1, IF(ISBLANK('Aqueous Species Options'!G259), "", 'Aqueous Species Options'!G259), ('Aqueous Species Table'!I259/10 + ('Aqueous Species Table'!J259*100)/(Calculations!$C$12+Calculations!$C$9) + ('Aqueous Species Table'!K259 + ('Aqueous Species Table'!L259*10000)/(Calculations!$C$12+Calculations!$C$9))*(1/(Calculations!$C$8-Calculations!$C$13)) - 'Aqueous Species Table'!O259*100000*0.0000005903)*41.8393))</f>
        <v>11.6</v>
      </c>
      <c r="H259" s="29">
        <f>IF(ISBLANK('Aqueous Species Options'!B259), "", IF('Aqueous Species Options'!L259 = 1, IF(ISBLANK('Aqueous Species Options'!H259), "", 'Aqueous Species Options'!H259), 'Aqueous Species Table'!M259 + 'Aqueous Species Table'!N259*10000*(1/(Calculations!$C$8-Calculations!$C$13))^2 + 'Aqueous Species Table'!O259*100000*Calculations!$C$8*Calculations!$C$7))</f>
        <v>9.4</v>
      </c>
      <c r="I259" s="42">
        <f>IF(ISBLANK('Aqueous Species Options'!B259), "", IF('Aqueous Species Options'!L259=0, 'Aqueous Species Options'!N259, IF(OR(ISBLANK('Aqueous Species Options'!G259),'Aqueous Species Table'!O259="", 'Aqueous Species Table'!P259=""), "", IF('Aqueous Species Options'!B259="H+", 0, (CHOOSE('Aqueous Species Options'!M259+1,'Aqueous Species Options'!$V$4*ABS('Aqueous Species Table'!P259)+'Aqueous Species Options'!$W$4,'Aqueous Species Options'!$Z$4)*('Aqueous Species Options'!G259 + 'Aqueous Species Table'!O259*100000*0.0000005903*41.8393) + CHOOSE('Aqueous Species Options'!M259+1,'Aqueous Species Options'!$X$4*ABS('Aqueous Species Table'!P259)+'Aqueous Species Options'!$Y$4,'Aqueous Species Options'!$AA$4))*10 ) ) ) )</f>
        <v>3.917132435512177</v>
      </c>
      <c r="J259" s="42">
        <f>IF(ISBLANK('Aqueous Species Options'!B259), "", IF('Aqueous Species Options'!L259 = 0, 'Aqueous Species Options'!O259, IF('Aqueous Species Table'!I259="", "", IF('Aqueous Species Options'!B259="H+", 0, ((1.11*('Aqueous Species Options'!G259 + 'Aqueous Species Table'!O259*100000*0.0000005903*41.8393)+1.8)/41.8393 - 'Aqueous Species Table'!I259/10)*26.01 ) ) ) )</f>
        <v>-0.55363758885626901</v>
      </c>
      <c r="K259" s="42">
        <f>IF(ISBLANK('Aqueous Species Options'!B259), "", IF('Aqueous Species Options'!L259 = 0, 'Aqueous Species Options'!P259, IF('Aqueous Species Table'!I259="", "", IF('Aqueous Species Options'!B259="H+", 0, ('Aqueous Species Options'!G259/41.8393 + 'Aqueous Species Table'!O259*100000*0.0000005903 - 'Aqueous Species Table'!I259/10 - 'Aqueous Species Table'!J259*100/2601)*(298.15-228) - ('Aqueous Species Table'!L259*10000/2601) ) ) ) )</f>
        <v>5.3023206208520488</v>
      </c>
      <c r="L259" s="42">
        <f>IF(ISBLANK('Aqueous Species Options'!B259), "", IF('Aqueous Species Options'!L259 = 0, 'Aqueous Species Options'!Q259, IF('Aqueous Species Table'!J259="", "", IF('Aqueous Species Options'!B259="H+", 0, (-4.134*'Aqueous Species Table'!J259*100 - 27790)*0.0001) ) ) )</f>
        <v>-2.7561126220766821</v>
      </c>
      <c r="M259" s="42">
        <f>IF(ISBLANK('Aqueous Species Options'!B259), "", IF('Aqueous Species Options'!L259=0, 'Aqueous Species Options'!R259, IF('Aqueous Species Table'!N259="", "", IF('Aqueous Species Options'!B259="H+", 0, 'Aqueous Species Options'!H259 - 'Aqueous Species Table'!O259*100000*(-0.000000309)*298.15 - 'Aqueous Species Table'!N259*10000/(298.15-228)^2 ) ) ) )</f>
        <v>14.439434486864521</v>
      </c>
      <c r="N259" s="42">
        <f>IF(ISBLANK('Aqueous Species Options'!B259), "", IF('Aqueous Species Options'!L259=0, 'Aqueous Species Options'!S259, IF(OR(ISBLANK('Aqueous Species Options'!H259), 'Aqueous Species Table'!O259=""), "", IF('Aqueous Species Options'!B259="H+", 0, 0.2037*'Aqueous Species Options'!H259 - 3.0346) ) ) )</f>
        <v>-1.1198200000000003</v>
      </c>
      <c r="O259" s="42">
        <f>IF(ISBLANK('Aqueous Species Options'!B259), "", IF('Aqueous Species Options'!K259=0, 'Aqueous Species Options'!I259, IF(OR('Aqueous Species Options'!J259&gt;4,'Aqueous Species Options'!J259&lt;-4), "", IF('Aqueous Species Options'!B259="H+", 0, IF('Aqueous Species Options'!J259=0, -0.038, IF(ISBLANK('Aqueous Species Options'!F259), "", -1514.4*'Aqueous Species Options'!F259*0.00001 + SUM(({4,3,2,1,-1,-2,-3,-4}='Aqueous Species Options'!J259)*{2.1764,1.5793,1.0579,0.5517,1.6291,3.2127,4.8115,6.486}) ) ) ) ) ) )</f>
        <v>0.3</v>
      </c>
      <c r="P259" s="1">
        <f>IF(ISBLANK('Aqueous Species Options'!J259), "", 'Aqueous Species Options'!J259)</f>
        <v>0</v>
      </c>
      <c r="Q259" s="184" t="str">
        <f>IF(ISBLANK('Aqueous Species Options'!T259), "", 'Aqueous Species Options'!T259)</f>
        <v>Simon, June 15th, 2020</v>
      </c>
    </row>
    <row r="260" spans="2:17" ht="16" x14ac:dyDescent="0.2">
      <c r="B260" s="9" t="str">
        <f>IF(ISBLANK('Aqueous Species Options'!B260), "", 'Aqueous Species Options'!B260)</f>
        <v/>
      </c>
      <c r="C260" s="9" t="str">
        <f>IF(ISBLANK('Aqueous Species Options'!C260), "", 'Aqueous Species Options'!C260)</f>
        <v/>
      </c>
      <c r="D260" s="2" t="str">
        <f>IF(ISBLANK('Aqueous Species Options'!D260), "", 'Aqueous Species Options'!D260)</f>
        <v/>
      </c>
      <c r="E260" s="1" t="str">
        <f>IF(ISBLANK('Aqueous Species Options'!E260), "", 'Aqueous Species Options'!E260)</f>
        <v/>
      </c>
      <c r="F260" s="139" t="str">
        <f>IF(ISBLANK('Aqueous Species Options'!F260), "", 'Aqueous Species Options'!F260)</f>
        <v/>
      </c>
      <c r="G260" s="29" t="str">
        <f>IF(ISBLANK('Aqueous Species Options'!B260), "", IF('Aqueous Species Options'!L260 = 1, IF(ISBLANK('Aqueous Species Options'!G260), "", 'Aqueous Species Options'!G260), ('Aqueous Species Table'!I260/10 + ('Aqueous Species Table'!J260*100)/(Calculations!$C$12+Calculations!$C$9) + ('Aqueous Species Table'!K260 + ('Aqueous Species Table'!L260*10000)/(Calculations!$C$12+Calculations!$C$9))*(1/(Calculations!$C$8-Calculations!$C$13)) - 'Aqueous Species Table'!O260*100000*0.0000005903)*41.8393))</f>
        <v/>
      </c>
      <c r="H260" s="29" t="str">
        <f>IF(ISBLANK('Aqueous Species Options'!B260), "", IF('Aqueous Species Options'!L260 = 1, IF(ISBLANK('Aqueous Species Options'!H260), "", 'Aqueous Species Options'!H260), 'Aqueous Species Table'!M260 + 'Aqueous Species Table'!N260*10000*(1/(Calculations!$C$8-Calculations!$C$13))^2 + 'Aqueous Species Table'!O260*100000*Calculations!$C$8*Calculations!$C$7))</f>
        <v/>
      </c>
      <c r="I260" s="42" t="str">
        <f>IF(ISBLANK('Aqueous Species Options'!B260), "", IF('Aqueous Species Options'!L260=0, 'Aqueous Species Options'!N260, IF(OR(ISBLANK('Aqueous Species Options'!G260),'Aqueous Species Table'!O260="", 'Aqueous Species Table'!P260=""), "", IF('Aqueous Species Options'!B260="H+", 0, (CHOOSE('Aqueous Species Options'!M260+1,'Aqueous Species Options'!$V$4*ABS('Aqueous Species Table'!P260)+'Aqueous Species Options'!$W$4,'Aqueous Species Options'!$Z$4)*('Aqueous Species Options'!G260 + 'Aqueous Species Table'!O260*100000*0.0000005903*41.8393) + CHOOSE('Aqueous Species Options'!M260+1,'Aqueous Species Options'!$X$4*ABS('Aqueous Species Table'!P260)+'Aqueous Species Options'!$Y$4,'Aqueous Species Options'!$AA$4))*10 ) ) ) )</f>
        <v/>
      </c>
      <c r="J260" s="42" t="str">
        <f>IF(ISBLANK('Aqueous Species Options'!B260), "", IF('Aqueous Species Options'!L260 = 0, 'Aqueous Species Options'!O260, IF('Aqueous Species Table'!I260="", "", IF('Aqueous Species Options'!B260="H+", 0, ((1.11*('Aqueous Species Options'!G260 + 'Aqueous Species Table'!O260*100000*0.0000005903*41.8393)+1.8)/41.8393 - 'Aqueous Species Table'!I260/10)*26.01 ) ) ) )</f>
        <v/>
      </c>
      <c r="K260" s="42" t="str">
        <f>IF(ISBLANK('Aqueous Species Options'!B260), "", IF('Aqueous Species Options'!L260 = 0, 'Aqueous Species Options'!P260, IF('Aqueous Species Table'!I260="", "", IF('Aqueous Species Options'!B260="H+", 0, ('Aqueous Species Options'!G260/41.8393 + 'Aqueous Species Table'!O260*100000*0.0000005903 - 'Aqueous Species Table'!I260/10 - 'Aqueous Species Table'!J260*100/2601)*(298.15-228) - ('Aqueous Species Table'!L260*10000/2601) ) ) ) )</f>
        <v/>
      </c>
      <c r="L260" s="42" t="str">
        <f>IF(ISBLANK('Aqueous Species Options'!B260), "", IF('Aqueous Species Options'!L260 = 0, 'Aqueous Species Options'!Q260, IF('Aqueous Species Table'!J260="", "", IF('Aqueous Species Options'!B260="H+", 0, (-4.134*'Aqueous Species Table'!J260*100 - 27790)*0.0001) ) ) )</f>
        <v/>
      </c>
      <c r="M260" s="42" t="str">
        <f>IF(ISBLANK('Aqueous Species Options'!B260), "", IF('Aqueous Species Options'!L260=0, 'Aqueous Species Options'!R260, IF('Aqueous Species Table'!N260="", "", IF('Aqueous Species Options'!B260="H+", 0, 'Aqueous Species Options'!H260 - 'Aqueous Species Table'!O260*100000*(-0.000000309)*298.15 - 'Aqueous Species Table'!N260*10000/(298.15-228)^2 ) ) ) )</f>
        <v/>
      </c>
      <c r="N260" s="42" t="str">
        <f>IF(ISBLANK('Aqueous Species Options'!B260), "", IF('Aqueous Species Options'!L260=0, 'Aqueous Species Options'!S260, IF(OR(ISBLANK('Aqueous Species Options'!H260), 'Aqueous Species Table'!O260=""), "", IF('Aqueous Species Options'!B260="H+", 0, 0.2037*'Aqueous Species Options'!H260 - 3.0346) ) ) )</f>
        <v/>
      </c>
      <c r="O260" s="42" t="str">
        <f>IF(ISBLANK('Aqueous Species Options'!B260), "", IF('Aqueous Species Options'!K260=0, 'Aqueous Species Options'!I260, IF(OR('Aqueous Species Options'!J260&gt;4,'Aqueous Species Options'!J260&lt;-4), "", IF('Aqueous Species Options'!B260="H+", 0, IF('Aqueous Species Options'!J260=0, -0.038, IF(ISBLANK('Aqueous Species Options'!F260), "", -1514.4*'Aqueous Species Options'!F260*0.00001 + SUM(({4,3,2,1,-1,-2,-3,-4}='Aqueous Species Options'!J260)*{2.1764,1.5793,1.0579,0.5517,1.6291,3.2127,4.8115,6.486}) ) ) ) ) ) )</f>
        <v/>
      </c>
      <c r="P260" s="1" t="str">
        <f>IF(ISBLANK('Aqueous Species Options'!J260), "", 'Aqueous Species Options'!J260)</f>
        <v/>
      </c>
      <c r="Q260" s="184" t="str">
        <f>IF(ISBLANK('Aqueous Species Options'!T260), "", 'Aqueous Species Options'!T260)</f>
        <v/>
      </c>
    </row>
    <row r="261" spans="2:17" ht="16" x14ac:dyDescent="0.2">
      <c r="B261" s="9" t="str">
        <f>IF(ISBLANK('Aqueous Species Options'!B261), "", 'Aqueous Species Options'!B261)</f>
        <v/>
      </c>
      <c r="C261" s="9" t="str">
        <f>IF(ISBLANK('Aqueous Species Options'!C261), "", 'Aqueous Species Options'!C261)</f>
        <v/>
      </c>
      <c r="D261" s="2" t="str">
        <f>IF(ISBLANK('Aqueous Species Options'!D261), "", 'Aqueous Species Options'!D261)</f>
        <v/>
      </c>
      <c r="E261" s="1" t="str">
        <f>IF(ISBLANK('Aqueous Species Options'!E261), "", 'Aqueous Species Options'!E261)</f>
        <v/>
      </c>
      <c r="F261" s="139" t="str">
        <f>IF(ISBLANK('Aqueous Species Options'!F261), "", 'Aqueous Species Options'!F261)</f>
        <v/>
      </c>
      <c r="G261" s="29" t="str">
        <f>IF(ISBLANK('Aqueous Species Options'!B261), "", IF('Aqueous Species Options'!L261 = 1, IF(ISBLANK('Aqueous Species Options'!G261), "", 'Aqueous Species Options'!G261), ('Aqueous Species Table'!I261/10 + ('Aqueous Species Table'!J261*100)/(Calculations!$C$12+Calculations!$C$9) + ('Aqueous Species Table'!K261 + ('Aqueous Species Table'!L261*10000)/(Calculations!$C$12+Calculations!$C$9))*(1/(Calculations!$C$8-Calculations!$C$13)) - 'Aqueous Species Table'!O261*100000*0.0000005903)*41.8393))</f>
        <v/>
      </c>
      <c r="H261" s="29" t="str">
        <f>IF(ISBLANK('Aqueous Species Options'!B261), "", IF('Aqueous Species Options'!L261 = 1, IF(ISBLANK('Aqueous Species Options'!H261), "", 'Aqueous Species Options'!H261), 'Aqueous Species Table'!M261 + 'Aqueous Species Table'!N261*10000*(1/(Calculations!$C$8-Calculations!$C$13))^2 + 'Aqueous Species Table'!O261*100000*Calculations!$C$8*Calculations!$C$7))</f>
        <v/>
      </c>
      <c r="I261" s="42" t="str">
        <f>IF(ISBLANK('Aqueous Species Options'!B261), "", IF('Aqueous Species Options'!L261=0, 'Aqueous Species Options'!N261, IF(OR(ISBLANK('Aqueous Species Options'!G261),'Aqueous Species Table'!O261="", 'Aqueous Species Table'!P261=""), "", IF('Aqueous Species Options'!B261="H+", 0, (CHOOSE('Aqueous Species Options'!M261+1,'Aqueous Species Options'!$V$4*ABS('Aqueous Species Table'!P261)+'Aqueous Species Options'!$W$4,'Aqueous Species Options'!$Z$4)*('Aqueous Species Options'!G261 + 'Aqueous Species Table'!O261*100000*0.0000005903*41.8393) + CHOOSE('Aqueous Species Options'!M261+1,'Aqueous Species Options'!$X$4*ABS('Aqueous Species Table'!P261)+'Aqueous Species Options'!$Y$4,'Aqueous Species Options'!$AA$4))*10 ) ) ) )</f>
        <v/>
      </c>
      <c r="J261" s="42" t="str">
        <f>IF(ISBLANK('Aqueous Species Options'!B261), "", IF('Aqueous Species Options'!L261 = 0, 'Aqueous Species Options'!O261, IF('Aqueous Species Table'!I261="", "", IF('Aqueous Species Options'!B261="H+", 0, ((1.11*('Aqueous Species Options'!G261 + 'Aqueous Species Table'!O261*100000*0.0000005903*41.8393)+1.8)/41.8393 - 'Aqueous Species Table'!I261/10)*26.01 ) ) ) )</f>
        <v/>
      </c>
      <c r="K261" s="42" t="str">
        <f>IF(ISBLANK('Aqueous Species Options'!B261), "", IF('Aqueous Species Options'!L261 = 0, 'Aqueous Species Options'!P261, IF('Aqueous Species Table'!I261="", "", IF('Aqueous Species Options'!B261="H+", 0, ('Aqueous Species Options'!G261/41.8393 + 'Aqueous Species Table'!O261*100000*0.0000005903 - 'Aqueous Species Table'!I261/10 - 'Aqueous Species Table'!J261*100/2601)*(298.15-228) - ('Aqueous Species Table'!L261*10000/2601) ) ) ) )</f>
        <v/>
      </c>
      <c r="L261" s="42" t="str">
        <f>IF(ISBLANK('Aqueous Species Options'!B261), "", IF('Aqueous Species Options'!L261 = 0, 'Aqueous Species Options'!Q261, IF('Aqueous Species Table'!J261="", "", IF('Aqueous Species Options'!B261="H+", 0, (-4.134*'Aqueous Species Table'!J261*100 - 27790)*0.0001) ) ) )</f>
        <v/>
      </c>
      <c r="M261" s="42" t="str">
        <f>IF(ISBLANK('Aqueous Species Options'!B261), "", IF('Aqueous Species Options'!L261=0, 'Aqueous Species Options'!R261, IF('Aqueous Species Table'!N261="", "", IF('Aqueous Species Options'!B261="H+", 0, 'Aqueous Species Options'!H261 - 'Aqueous Species Table'!O261*100000*(-0.000000309)*298.15 - 'Aqueous Species Table'!N261*10000/(298.15-228)^2 ) ) ) )</f>
        <v/>
      </c>
      <c r="N261" s="42" t="str">
        <f>IF(ISBLANK('Aqueous Species Options'!B261), "", IF('Aqueous Species Options'!L261=0, 'Aqueous Species Options'!S261, IF(OR(ISBLANK('Aqueous Species Options'!H261), 'Aqueous Species Table'!O261=""), "", IF('Aqueous Species Options'!B261="H+", 0, 0.2037*'Aqueous Species Options'!H261 - 3.0346) ) ) )</f>
        <v/>
      </c>
      <c r="O261" s="42" t="str">
        <f>IF(ISBLANK('Aqueous Species Options'!B261), "", IF('Aqueous Species Options'!K261=0, 'Aqueous Species Options'!I261, IF(OR('Aqueous Species Options'!J261&gt;4,'Aqueous Species Options'!J261&lt;-4), "", IF('Aqueous Species Options'!B261="H+", 0, IF('Aqueous Species Options'!J261=0, -0.038, IF(ISBLANK('Aqueous Species Options'!F261), "", -1514.4*'Aqueous Species Options'!F261*0.00001 + SUM(({4,3,2,1,-1,-2,-3,-4}='Aqueous Species Options'!J261)*{2.1764,1.5793,1.0579,0.5517,1.6291,3.2127,4.8115,6.486}) ) ) ) ) ) )</f>
        <v/>
      </c>
      <c r="P261" s="1" t="str">
        <f>IF(ISBLANK('Aqueous Species Options'!J261), "", 'Aqueous Species Options'!J261)</f>
        <v/>
      </c>
      <c r="Q261" s="184" t="str">
        <f>IF(ISBLANK('Aqueous Species Options'!T261), "", 'Aqueous Species Options'!T261)</f>
        <v/>
      </c>
    </row>
    <row r="262" spans="2:17" ht="16" x14ac:dyDescent="0.2">
      <c r="B262" s="9" t="str">
        <f>IF(ISBLANK('Aqueous Species Options'!B262), "", 'Aqueous Species Options'!B262)</f>
        <v/>
      </c>
      <c r="C262" s="9" t="str">
        <f>IF(ISBLANK('Aqueous Species Options'!C262), "", 'Aqueous Species Options'!C262)</f>
        <v/>
      </c>
      <c r="D262" s="2" t="str">
        <f>IF(ISBLANK('Aqueous Species Options'!D262), "", 'Aqueous Species Options'!D262)</f>
        <v/>
      </c>
      <c r="E262" s="1" t="str">
        <f>IF(ISBLANK('Aqueous Species Options'!E262), "", 'Aqueous Species Options'!E262)</f>
        <v/>
      </c>
      <c r="F262" s="139" t="str">
        <f>IF(ISBLANK('Aqueous Species Options'!F262), "", 'Aqueous Species Options'!F262)</f>
        <v/>
      </c>
      <c r="G262" s="29" t="str">
        <f>IF(ISBLANK('Aqueous Species Options'!B262), "", IF('Aqueous Species Options'!L262 = 1, IF(ISBLANK('Aqueous Species Options'!G262), "", 'Aqueous Species Options'!G262), ('Aqueous Species Table'!I262/10 + ('Aqueous Species Table'!J262*100)/(Calculations!$C$12+Calculations!$C$9) + ('Aqueous Species Table'!K262 + ('Aqueous Species Table'!L262*10000)/(Calculations!$C$12+Calculations!$C$9))*(1/(Calculations!$C$8-Calculations!$C$13)) - 'Aqueous Species Table'!O262*100000*0.0000005903)*41.8393))</f>
        <v/>
      </c>
      <c r="H262" s="29" t="str">
        <f>IF(ISBLANK('Aqueous Species Options'!B262), "", IF('Aqueous Species Options'!L262 = 1, IF(ISBLANK('Aqueous Species Options'!H262), "", 'Aqueous Species Options'!H262), 'Aqueous Species Table'!M262 + 'Aqueous Species Table'!N262*10000*(1/(Calculations!$C$8-Calculations!$C$13))^2 + 'Aqueous Species Table'!O262*100000*Calculations!$C$8*Calculations!$C$7))</f>
        <v/>
      </c>
      <c r="I262" s="42" t="str">
        <f>IF(ISBLANK('Aqueous Species Options'!B262), "", IF('Aqueous Species Options'!L262=0, 'Aqueous Species Options'!N262, IF(OR(ISBLANK('Aqueous Species Options'!G262),'Aqueous Species Table'!O262="", 'Aqueous Species Table'!P262=""), "", IF('Aqueous Species Options'!B262="H+", 0, (CHOOSE('Aqueous Species Options'!M262+1,'Aqueous Species Options'!$V$4*ABS('Aqueous Species Table'!P262)+'Aqueous Species Options'!$W$4,'Aqueous Species Options'!$Z$4)*('Aqueous Species Options'!G262 + 'Aqueous Species Table'!O262*100000*0.0000005903*41.8393) + CHOOSE('Aqueous Species Options'!M262+1,'Aqueous Species Options'!$X$4*ABS('Aqueous Species Table'!P262)+'Aqueous Species Options'!$Y$4,'Aqueous Species Options'!$AA$4))*10 ) ) ) )</f>
        <v/>
      </c>
      <c r="J262" s="42" t="str">
        <f>IF(ISBLANK('Aqueous Species Options'!B262), "", IF('Aqueous Species Options'!L262 = 0, 'Aqueous Species Options'!O262, IF('Aqueous Species Table'!I262="", "", IF('Aqueous Species Options'!B262="H+", 0, ((1.11*('Aqueous Species Options'!G262 + 'Aqueous Species Table'!O262*100000*0.0000005903*41.8393)+1.8)/41.8393 - 'Aqueous Species Table'!I262/10)*26.01 ) ) ) )</f>
        <v/>
      </c>
      <c r="K262" s="42" t="str">
        <f>IF(ISBLANK('Aqueous Species Options'!B262), "", IF('Aqueous Species Options'!L262 = 0, 'Aqueous Species Options'!P262, IF('Aqueous Species Table'!I262="", "", IF('Aqueous Species Options'!B262="H+", 0, ('Aqueous Species Options'!G262/41.8393 + 'Aqueous Species Table'!O262*100000*0.0000005903 - 'Aqueous Species Table'!I262/10 - 'Aqueous Species Table'!J262*100/2601)*(298.15-228) - ('Aqueous Species Table'!L262*10000/2601) ) ) ) )</f>
        <v/>
      </c>
      <c r="L262" s="42" t="str">
        <f>IF(ISBLANK('Aqueous Species Options'!B262), "", IF('Aqueous Species Options'!L262 = 0, 'Aqueous Species Options'!Q262, IF('Aqueous Species Table'!J262="", "", IF('Aqueous Species Options'!B262="H+", 0, (-4.134*'Aqueous Species Table'!J262*100 - 27790)*0.0001) ) ) )</f>
        <v/>
      </c>
      <c r="M262" s="42" t="str">
        <f>IF(ISBLANK('Aqueous Species Options'!B262), "", IF('Aqueous Species Options'!L262=0, 'Aqueous Species Options'!R262, IF('Aqueous Species Table'!N262="", "", IF('Aqueous Species Options'!B262="H+", 0, 'Aqueous Species Options'!H262 - 'Aqueous Species Table'!O262*100000*(-0.000000309)*298.15 - 'Aqueous Species Table'!N262*10000/(298.15-228)^2 ) ) ) )</f>
        <v/>
      </c>
      <c r="N262" s="42" t="str">
        <f>IF(ISBLANK('Aqueous Species Options'!B262), "", IF('Aqueous Species Options'!L262=0, 'Aqueous Species Options'!S262, IF(OR(ISBLANK('Aqueous Species Options'!H262), 'Aqueous Species Table'!O262=""), "", IF('Aqueous Species Options'!B262="H+", 0, 0.2037*'Aqueous Species Options'!H262 - 3.0346) ) ) )</f>
        <v/>
      </c>
      <c r="O262" s="42" t="str">
        <f>IF(ISBLANK('Aqueous Species Options'!B262), "", IF('Aqueous Species Options'!K262=0, 'Aqueous Species Options'!I262, IF(OR('Aqueous Species Options'!J262&gt;4,'Aqueous Species Options'!J262&lt;-4), "", IF('Aqueous Species Options'!B262="H+", 0, IF('Aqueous Species Options'!J262=0, -0.038, IF(ISBLANK('Aqueous Species Options'!F262), "", -1514.4*'Aqueous Species Options'!F262*0.00001 + SUM(({4,3,2,1,-1,-2,-3,-4}='Aqueous Species Options'!J262)*{2.1764,1.5793,1.0579,0.5517,1.6291,3.2127,4.8115,6.486}) ) ) ) ) ) )</f>
        <v/>
      </c>
      <c r="P262" s="1" t="str">
        <f>IF(ISBLANK('Aqueous Species Options'!J262), "", 'Aqueous Species Options'!J262)</f>
        <v/>
      </c>
      <c r="Q262" s="184" t="str">
        <f>IF(ISBLANK('Aqueous Species Options'!T262), "", 'Aqueous Species Options'!T262)</f>
        <v/>
      </c>
    </row>
    <row r="263" spans="2:17" ht="16" x14ac:dyDescent="0.2">
      <c r="B263" s="9" t="str">
        <f>IF(ISBLANK('Aqueous Species Options'!B263), "", 'Aqueous Species Options'!B263)</f>
        <v/>
      </c>
      <c r="C263" s="9" t="str">
        <f>IF(ISBLANK('Aqueous Species Options'!C263), "", 'Aqueous Species Options'!C263)</f>
        <v/>
      </c>
      <c r="D263" s="2" t="str">
        <f>IF(ISBLANK('Aqueous Species Options'!D263), "", 'Aqueous Species Options'!D263)</f>
        <v/>
      </c>
      <c r="E263" s="1" t="str">
        <f>IF(ISBLANK('Aqueous Species Options'!E263), "", 'Aqueous Species Options'!E263)</f>
        <v/>
      </c>
      <c r="F263" s="139" t="str">
        <f>IF(ISBLANK('Aqueous Species Options'!F263), "", 'Aqueous Species Options'!F263)</f>
        <v/>
      </c>
      <c r="G263" s="29" t="str">
        <f>IF(ISBLANK('Aqueous Species Options'!B263), "", IF('Aqueous Species Options'!L263 = 1, IF(ISBLANK('Aqueous Species Options'!G263), "", 'Aqueous Species Options'!G263), ('Aqueous Species Table'!I263/10 + ('Aqueous Species Table'!J263*100)/(Calculations!$C$12+Calculations!$C$9) + ('Aqueous Species Table'!K263 + ('Aqueous Species Table'!L263*10000)/(Calculations!$C$12+Calculations!$C$9))*(1/(Calculations!$C$8-Calculations!$C$13)) - 'Aqueous Species Table'!O263*100000*0.0000005903)*41.8393))</f>
        <v/>
      </c>
      <c r="H263" s="29" t="str">
        <f>IF(ISBLANK('Aqueous Species Options'!B263), "", IF('Aqueous Species Options'!L263 = 1, IF(ISBLANK('Aqueous Species Options'!H263), "", 'Aqueous Species Options'!H263), 'Aqueous Species Table'!M263 + 'Aqueous Species Table'!N263*10000*(1/(Calculations!$C$8-Calculations!$C$13))^2 + 'Aqueous Species Table'!O263*100000*Calculations!$C$8*Calculations!$C$7))</f>
        <v/>
      </c>
      <c r="I263" s="42" t="str">
        <f>IF(ISBLANK('Aqueous Species Options'!B263), "", IF('Aqueous Species Options'!L263=0, 'Aqueous Species Options'!N263, IF(OR(ISBLANK('Aqueous Species Options'!G263),'Aqueous Species Table'!O263="", 'Aqueous Species Table'!P263=""), "", IF('Aqueous Species Options'!B263="H+", 0, (CHOOSE('Aqueous Species Options'!M263+1,'Aqueous Species Options'!$V$4*ABS('Aqueous Species Table'!P263)+'Aqueous Species Options'!$W$4,'Aqueous Species Options'!$Z$4)*('Aqueous Species Options'!G263 + 'Aqueous Species Table'!O263*100000*0.0000005903*41.8393) + CHOOSE('Aqueous Species Options'!M263+1,'Aqueous Species Options'!$X$4*ABS('Aqueous Species Table'!P263)+'Aqueous Species Options'!$Y$4,'Aqueous Species Options'!$AA$4))*10 ) ) ) )</f>
        <v/>
      </c>
      <c r="J263" s="42" t="str">
        <f>IF(ISBLANK('Aqueous Species Options'!B263), "", IF('Aqueous Species Options'!L263 = 0, 'Aqueous Species Options'!O263, IF('Aqueous Species Table'!I263="", "", IF('Aqueous Species Options'!B263="H+", 0, ((1.11*('Aqueous Species Options'!G263 + 'Aqueous Species Table'!O263*100000*0.0000005903*41.8393)+1.8)/41.8393 - 'Aqueous Species Table'!I263/10)*26.01 ) ) ) )</f>
        <v/>
      </c>
      <c r="K263" s="42" t="str">
        <f>IF(ISBLANK('Aqueous Species Options'!B263), "", IF('Aqueous Species Options'!L263 = 0, 'Aqueous Species Options'!P263, IF('Aqueous Species Table'!I263="", "", IF('Aqueous Species Options'!B263="H+", 0, ('Aqueous Species Options'!G263/41.8393 + 'Aqueous Species Table'!O263*100000*0.0000005903 - 'Aqueous Species Table'!I263/10 - 'Aqueous Species Table'!J263*100/2601)*(298.15-228) - ('Aqueous Species Table'!L263*10000/2601) ) ) ) )</f>
        <v/>
      </c>
      <c r="L263" s="42" t="str">
        <f>IF(ISBLANK('Aqueous Species Options'!B263), "", IF('Aqueous Species Options'!L263 = 0, 'Aqueous Species Options'!Q263, IF('Aqueous Species Table'!J263="", "", IF('Aqueous Species Options'!B263="H+", 0, (-4.134*'Aqueous Species Table'!J263*100 - 27790)*0.0001) ) ) )</f>
        <v/>
      </c>
      <c r="M263" s="42" t="str">
        <f>IF(ISBLANK('Aqueous Species Options'!B263), "", IF('Aqueous Species Options'!L263=0, 'Aqueous Species Options'!R263, IF('Aqueous Species Table'!N263="", "", IF('Aqueous Species Options'!B263="H+", 0, 'Aqueous Species Options'!H263 - 'Aqueous Species Table'!O263*100000*(-0.000000309)*298.15 - 'Aqueous Species Table'!N263*10000/(298.15-228)^2 ) ) ) )</f>
        <v/>
      </c>
      <c r="N263" s="42" t="str">
        <f>IF(ISBLANK('Aqueous Species Options'!B263), "", IF('Aqueous Species Options'!L263=0, 'Aqueous Species Options'!S263, IF(OR(ISBLANK('Aqueous Species Options'!H263), 'Aqueous Species Table'!O263=""), "", IF('Aqueous Species Options'!B263="H+", 0, 0.2037*'Aqueous Species Options'!H263 - 3.0346) ) ) )</f>
        <v/>
      </c>
      <c r="O263" s="42" t="str">
        <f>IF(ISBLANK('Aqueous Species Options'!B263), "", IF('Aqueous Species Options'!K263=0, 'Aqueous Species Options'!I263, IF(OR('Aqueous Species Options'!J263&gt;4,'Aqueous Species Options'!J263&lt;-4), "", IF('Aqueous Species Options'!B263="H+", 0, IF('Aqueous Species Options'!J263=0, -0.038, IF(ISBLANK('Aqueous Species Options'!F263), "", -1514.4*'Aqueous Species Options'!F263*0.00001 + SUM(({4,3,2,1,-1,-2,-3,-4}='Aqueous Species Options'!J263)*{2.1764,1.5793,1.0579,0.5517,1.6291,3.2127,4.8115,6.486}) ) ) ) ) ) )</f>
        <v/>
      </c>
      <c r="P263" s="1" t="str">
        <f>IF(ISBLANK('Aqueous Species Options'!J263), "", 'Aqueous Species Options'!J263)</f>
        <v/>
      </c>
      <c r="Q263" s="184" t="str">
        <f>IF(ISBLANK('Aqueous Species Options'!T263), "", 'Aqueous Species Options'!T263)</f>
        <v/>
      </c>
    </row>
    <row r="264" spans="2:17" ht="16" x14ac:dyDescent="0.2">
      <c r="B264" s="9" t="str">
        <f>IF(ISBLANK('Aqueous Species Options'!B264), "", 'Aqueous Species Options'!B264)</f>
        <v/>
      </c>
      <c r="C264" s="9" t="str">
        <f>IF(ISBLANK('Aqueous Species Options'!C264), "", 'Aqueous Species Options'!C264)</f>
        <v/>
      </c>
      <c r="D264" s="2" t="str">
        <f>IF(ISBLANK('Aqueous Species Options'!D264), "", 'Aqueous Species Options'!D264)</f>
        <v/>
      </c>
      <c r="E264" s="1" t="str">
        <f>IF(ISBLANK('Aqueous Species Options'!E264), "", 'Aqueous Species Options'!E264)</f>
        <v/>
      </c>
      <c r="F264" s="139" t="str">
        <f>IF(ISBLANK('Aqueous Species Options'!F264), "", 'Aqueous Species Options'!F264)</f>
        <v/>
      </c>
      <c r="G264" s="29" t="str">
        <f>IF(ISBLANK('Aqueous Species Options'!B264), "", IF('Aqueous Species Options'!L264 = 1, IF(ISBLANK('Aqueous Species Options'!G264), "", 'Aqueous Species Options'!G264), ('Aqueous Species Table'!I264/10 + ('Aqueous Species Table'!J264*100)/(Calculations!$C$12+Calculations!$C$9) + ('Aqueous Species Table'!K264 + ('Aqueous Species Table'!L264*10000)/(Calculations!$C$12+Calculations!$C$9))*(1/(Calculations!$C$8-Calculations!$C$13)) - 'Aqueous Species Table'!O264*100000*0.0000005903)*41.8393))</f>
        <v/>
      </c>
      <c r="H264" s="29" t="str">
        <f>IF(ISBLANK('Aqueous Species Options'!B264), "", IF('Aqueous Species Options'!L264 = 1, IF(ISBLANK('Aqueous Species Options'!H264), "", 'Aqueous Species Options'!H264), 'Aqueous Species Table'!M264 + 'Aqueous Species Table'!N264*10000*(1/(Calculations!$C$8-Calculations!$C$13))^2 + 'Aqueous Species Table'!O264*100000*Calculations!$C$8*Calculations!$C$7))</f>
        <v/>
      </c>
      <c r="I264" s="42" t="str">
        <f>IF(ISBLANK('Aqueous Species Options'!B264), "", IF('Aqueous Species Options'!L264=0, 'Aqueous Species Options'!N264, IF(OR(ISBLANK('Aqueous Species Options'!G264),'Aqueous Species Table'!O264="", 'Aqueous Species Table'!P264=""), "", IF('Aqueous Species Options'!B264="H+", 0, (CHOOSE('Aqueous Species Options'!M264+1,'Aqueous Species Options'!$V$4*ABS('Aqueous Species Table'!P264)+'Aqueous Species Options'!$W$4,'Aqueous Species Options'!$Z$4)*('Aqueous Species Options'!G264 + 'Aqueous Species Table'!O264*100000*0.0000005903*41.8393) + CHOOSE('Aqueous Species Options'!M264+1,'Aqueous Species Options'!$X$4*ABS('Aqueous Species Table'!P264)+'Aqueous Species Options'!$Y$4,'Aqueous Species Options'!$AA$4))*10 ) ) ) )</f>
        <v/>
      </c>
      <c r="J264" s="42" t="str">
        <f>IF(ISBLANK('Aqueous Species Options'!B264), "", IF('Aqueous Species Options'!L264 = 0, 'Aqueous Species Options'!O264, IF('Aqueous Species Table'!I264="", "", IF('Aqueous Species Options'!B264="H+", 0, ((1.11*('Aqueous Species Options'!G264 + 'Aqueous Species Table'!O264*100000*0.0000005903*41.8393)+1.8)/41.8393 - 'Aqueous Species Table'!I264/10)*26.01 ) ) ) )</f>
        <v/>
      </c>
      <c r="K264" s="42" t="str">
        <f>IF(ISBLANK('Aqueous Species Options'!B264), "", IF('Aqueous Species Options'!L264 = 0, 'Aqueous Species Options'!P264, IF('Aqueous Species Table'!I264="", "", IF('Aqueous Species Options'!B264="H+", 0, ('Aqueous Species Options'!G264/41.8393 + 'Aqueous Species Table'!O264*100000*0.0000005903 - 'Aqueous Species Table'!I264/10 - 'Aqueous Species Table'!J264*100/2601)*(298.15-228) - ('Aqueous Species Table'!L264*10000/2601) ) ) ) )</f>
        <v/>
      </c>
      <c r="L264" s="42" t="str">
        <f>IF(ISBLANK('Aqueous Species Options'!B264), "", IF('Aqueous Species Options'!L264 = 0, 'Aqueous Species Options'!Q264, IF('Aqueous Species Table'!J264="", "", IF('Aqueous Species Options'!B264="H+", 0, (-4.134*'Aqueous Species Table'!J264*100 - 27790)*0.0001) ) ) )</f>
        <v/>
      </c>
      <c r="M264" s="42" t="str">
        <f>IF(ISBLANK('Aqueous Species Options'!B264), "", IF('Aqueous Species Options'!L264=0, 'Aqueous Species Options'!R264, IF('Aqueous Species Table'!N264="", "", IF('Aqueous Species Options'!B264="H+", 0, 'Aqueous Species Options'!H264 - 'Aqueous Species Table'!O264*100000*(-0.000000309)*298.15 - 'Aqueous Species Table'!N264*10000/(298.15-228)^2 ) ) ) )</f>
        <v/>
      </c>
      <c r="N264" s="42" t="str">
        <f>IF(ISBLANK('Aqueous Species Options'!B264), "", IF('Aqueous Species Options'!L264=0, 'Aqueous Species Options'!S264, IF(OR(ISBLANK('Aqueous Species Options'!H264), 'Aqueous Species Table'!O264=""), "", IF('Aqueous Species Options'!B264="H+", 0, 0.2037*'Aqueous Species Options'!H264 - 3.0346) ) ) )</f>
        <v/>
      </c>
      <c r="O264" s="42" t="str">
        <f>IF(ISBLANK('Aqueous Species Options'!B264), "", IF('Aqueous Species Options'!K264=0, 'Aqueous Species Options'!I264, IF(OR('Aqueous Species Options'!J264&gt;4,'Aqueous Species Options'!J264&lt;-4), "", IF('Aqueous Species Options'!B264="H+", 0, IF('Aqueous Species Options'!J264=0, -0.038, IF(ISBLANK('Aqueous Species Options'!F264), "", -1514.4*'Aqueous Species Options'!F264*0.00001 + SUM(({4,3,2,1,-1,-2,-3,-4}='Aqueous Species Options'!J264)*{2.1764,1.5793,1.0579,0.5517,1.6291,3.2127,4.8115,6.486}) ) ) ) ) ) )</f>
        <v/>
      </c>
      <c r="P264" s="1" t="str">
        <f>IF(ISBLANK('Aqueous Species Options'!J264), "", 'Aqueous Species Options'!J264)</f>
        <v/>
      </c>
      <c r="Q264" s="184" t="str">
        <f>IF(ISBLANK('Aqueous Species Options'!T264), "", 'Aqueous Species Options'!T264)</f>
        <v/>
      </c>
    </row>
    <row r="265" spans="2:17" ht="16" x14ac:dyDescent="0.2">
      <c r="B265" s="9" t="str">
        <f>IF(ISBLANK('Aqueous Species Options'!B265), "", 'Aqueous Species Options'!B265)</f>
        <v/>
      </c>
      <c r="C265" s="9" t="str">
        <f>IF(ISBLANK('Aqueous Species Options'!C265), "", 'Aqueous Species Options'!C265)</f>
        <v/>
      </c>
      <c r="D265" s="2" t="str">
        <f>IF(ISBLANK('Aqueous Species Options'!D265), "", 'Aqueous Species Options'!D265)</f>
        <v/>
      </c>
      <c r="E265" s="1" t="str">
        <f>IF(ISBLANK('Aqueous Species Options'!E265), "", 'Aqueous Species Options'!E265)</f>
        <v/>
      </c>
      <c r="F265" s="139" t="str">
        <f>IF(ISBLANK('Aqueous Species Options'!F265), "", 'Aqueous Species Options'!F265)</f>
        <v/>
      </c>
      <c r="G265" s="29" t="str">
        <f>IF(ISBLANK('Aqueous Species Options'!B265), "", IF('Aqueous Species Options'!L265 = 1, IF(ISBLANK('Aqueous Species Options'!G265), "", 'Aqueous Species Options'!G265), ('Aqueous Species Table'!I265/10 + ('Aqueous Species Table'!J265*100)/(Calculations!$C$12+Calculations!$C$9) + ('Aqueous Species Table'!K265 + ('Aqueous Species Table'!L265*10000)/(Calculations!$C$12+Calculations!$C$9))*(1/(Calculations!$C$8-Calculations!$C$13)) - 'Aqueous Species Table'!O265*100000*0.0000005903)*41.8393))</f>
        <v/>
      </c>
      <c r="H265" s="29" t="str">
        <f>IF(ISBLANK('Aqueous Species Options'!B265), "", IF('Aqueous Species Options'!L265 = 1, IF(ISBLANK('Aqueous Species Options'!H265), "", 'Aqueous Species Options'!H265), 'Aqueous Species Table'!M265 + 'Aqueous Species Table'!N265*10000*(1/(Calculations!$C$8-Calculations!$C$13))^2 + 'Aqueous Species Table'!O265*100000*Calculations!$C$8*Calculations!$C$7))</f>
        <v/>
      </c>
      <c r="I265" s="42" t="str">
        <f>IF(ISBLANK('Aqueous Species Options'!B265), "", IF('Aqueous Species Options'!L265=0, 'Aqueous Species Options'!N265, IF(OR(ISBLANK('Aqueous Species Options'!G265),'Aqueous Species Table'!O265="", 'Aqueous Species Table'!P265=""), "", IF('Aqueous Species Options'!B265="H+", 0, (CHOOSE('Aqueous Species Options'!M265+1,'Aqueous Species Options'!$V$4*ABS('Aqueous Species Table'!P265)+'Aqueous Species Options'!$W$4,'Aqueous Species Options'!$Z$4)*('Aqueous Species Options'!G265 + 'Aqueous Species Table'!O265*100000*0.0000005903*41.8393) + CHOOSE('Aqueous Species Options'!M265+1,'Aqueous Species Options'!$X$4*ABS('Aqueous Species Table'!P265)+'Aqueous Species Options'!$Y$4,'Aqueous Species Options'!$AA$4))*10 ) ) ) )</f>
        <v/>
      </c>
      <c r="J265" s="42" t="str">
        <f>IF(ISBLANK('Aqueous Species Options'!B265), "", IF('Aqueous Species Options'!L265 = 0, 'Aqueous Species Options'!O265, IF('Aqueous Species Table'!I265="", "", IF('Aqueous Species Options'!B265="H+", 0, ((1.11*('Aqueous Species Options'!G265 + 'Aqueous Species Table'!O265*100000*0.0000005903*41.8393)+1.8)/41.8393 - 'Aqueous Species Table'!I265/10)*26.01 ) ) ) )</f>
        <v/>
      </c>
      <c r="K265" s="42" t="str">
        <f>IF(ISBLANK('Aqueous Species Options'!B265), "", IF('Aqueous Species Options'!L265 = 0, 'Aqueous Species Options'!P265, IF('Aqueous Species Table'!I265="", "", IF('Aqueous Species Options'!B265="H+", 0, ('Aqueous Species Options'!G265/41.8393 + 'Aqueous Species Table'!O265*100000*0.0000005903 - 'Aqueous Species Table'!I265/10 - 'Aqueous Species Table'!J265*100/2601)*(298.15-228) - ('Aqueous Species Table'!L265*10000/2601) ) ) ) )</f>
        <v/>
      </c>
      <c r="L265" s="42" t="str">
        <f>IF(ISBLANK('Aqueous Species Options'!B265), "", IF('Aqueous Species Options'!L265 = 0, 'Aqueous Species Options'!Q265, IF('Aqueous Species Table'!J265="", "", IF('Aqueous Species Options'!B265="H+", 0, (-4.134*'Aqueous Species Table'!J265*100 - 27790)*0.0001) ) ) )</f>
        <v/>
      </c>
      <c r="M265" s="42" t="str">
        <f>IF(ISBLANK('Aqueous Species Options'!B265), "", IF('Aqueous Species Options'!L265=0, 'Aqueous Species Options'!R265, IF('Aqueous Species Table'!N265="", "", IF('Aqueous Species Options'!B265="H+", 0, 'Aqueous Species Options'!H265 - 'Aqueous Species Table'!O265*100000*(-0.000000309)*298.15 - 'Aqueous Species Table'!N265*10000/(298.15-228)^2 ) ) ) )</f>
        <v/>
      </c>
      <c r="N265" s="42" t="str">
        <f>IF(ISBLANK('Aqueous Species Options'!B265), "", IF('Aqueous Species Options'!L265=0, 'Aqueous Species Options'!S265, IF(OR(ISBLANK('Aqueous Species Options'!H265), 'Aqueous Species Table'!O265=""), "", IF('Aqueous Species Options'!B265="H+", 0, 0.2037*'Aqueous Species Options'!H265 - 3.0346) ) ) )</f>
        <v/>
      </c>
      <c r="O265" s="42" t="str">
        <f>IF(ISBLANK('Aqueous Species Options'!B265), "", IF('Aqueous Species Options'!K265=0, 'Aqueous Species Options'!I265, IF(OR('Aqueous Species Options'!J265&gt;4,'Aqueous Species Options'!J265&lt;-4), "", IF('Aqueous Species Options'!B265="H+", 0, IF('Aqueous Species Options'!J265=0, -0.038, IF(ISBLANK('Aqueous Species Options'!F265), "", -1514.4*'Aqueous Species Options'!F265*0.00001 + SUM(({4,3,2,1,-1,-2,-3,-4}='Aqueous Species Options'!J265)*{2.1764,1.5793,1.0579,0.5517,1.6291,3.2127,4.8115,6.486}) ) ) ) ) ) )</f>
        <v/>
      </c>
      <c r="P265" s="1" t="str">
        <f>IF(ISBLANK('Aqueous Species Options'!J265), "", 'Aqueous Species Options'!J265)</f>
        <v/>
      </c>
      <c r="Q265" s="184" t="str">
        <f>IF(ISBLANK('Aqueous Species Options'!T265), "", 'Aqueous Species Options'!T265)</f>
        <v/>
      </c>
    </row>
    <row r="266" spans="2:17" ht="16" x14ac:dyDescent="0.2">
      <c r="B266" s="9" t="str">
        <f>IF(ISBLANK('Aqueous Species Options'!B266), "", 'Aqueous Species Options'!B266)</f>
        <v/>
      </c>
      <c r="C266" s="9" t="str">
        <f>IF(ISBLANK('Aqueous Species Options'!C266), "", 'Aqueous Species Options'!C266)</f>
        <v/>
      </c>
      <c r="D266" s="2" t="str">
        <f>IF(ISBLANK('Aqueous Species Options'!D266), "", 'Aqueous Species Options'!D266)</f>
        <v/>
      </c>
      <c r="E266" s="1" t="str">
        <f>IF(ISBLANK('Aqueous Species Options'!E266), "", 'Aqueous Species Options'!E266)</f>
        <v/>
      </c>
      <c r="F266" s="139" t="str">
        <f>IF(ISBLANK('Aqueous Species Options'!F266), "", 'Aqueous Species Options'!F266)</f>
        <v/>
      </c>
      <c r="G266" s="29" t="str">
        <f>IF(ISBLANK('Aqueous Species Options'!B266), "", IF('Aqueous Species Options'!L266 = 1, IF(ISBLANK('Aqueous Species Options'!G266), "", 'Aqueous Species Options'!G266), ('Aqueous Species Table'!I266/10 + ('Aqueous Species Table'!J266*100)/(Calculations!$C$12+Calculations!$C$9) + ('Aqueous Species Table'!K266 + ('Aqueous Species Table'!L266*10000)/(Calculations!$C$12+Calculations!$C$9))*(1/(Calculations!$C$8-Calculations!$C$13)) - 'Aqueous Species Table'!O266*100000*0.0000005903)*41.8393))</f>
        <v/>
      </c>
      <c r="H266" s="29" t="str">
        <f>IF(ISBLANK('Aqueous Species Options'!B266), "", IF('Aqueous Species Options'!L266 = 1, IF(ISBLANK('Aqueous Species Options'!H266), "", 'Aqueous Species Options'!H266), 'Aqueous Species Table'!M266 + 'Aqueous Species Table'!N266*10000*(1/(Calculations!$C$8-Calculations!$C$13))^2 + 'Aqueous Species Table'!O266*100000*Calculations!$C$8*Calculations!$C$7))</f>
        <v/>
      </c>
      <c r="I266" s="42" t="str">
        <f>IF(ISBLANK('Aqueous Species Options'!B266), "", IF('Aqueous Species Options'!L266=0, 'Aqueous Species Options'!N266, IF(OR(ISBLANK('Aqueous Species Options'!G266),'Aqueous Species Table'!O266="", 'Aqueous Species Table'!P266=""), "", IF('Aqueous Species Options'!B266="H+", 0, (CHOOSE('Aqueous Species Options'!M266+1,'Aqueous Species Options'!$V$4*ABS('Aqueous Species Table'!P266)+'Aqueous Species Options'!$W$4,'Aqueous Species Options'!$Z$4)*('Aqueous Species Options'!G266 + 'Aqueous Species Table'!O266*100000*0.0000005903*41.8393) + CHOOSE('Aqueous Species Options'!M266+1,'Aqueous Species Options'!$X$4*ABS('Aqueous Species Table'!P266)+'Aqueous Species Options'!$Y$4,'Aqueous Species Options'!$AA$4))*10 ) ) ) )</f>
        <v/>
      </c>
      <c r="J266" s="42" t="str">
        <f>IF(ISBLANK('Aqueous Species Options'!B266), "", IF('Aqueous Species Options'!L266 = 0, 'Aqueous Species Options'!O266, IF('Aqueous Species Table'!I266="", "", IF('Aqueous Species Options'!B266="H+", 0, ((1.11*('Aqueous Species Options'!G266 + 'Aqueous Species Table'!O266*100000*0.0000005903*41.8393)+1.8)/41.8393 - 'Aqueous Species Table'!I266/10)*26.01 ) ) ) )</f>
        <v/>
      </c>
      <c r="K266" s="42" t="str">
        <f>IF(ISBLANK('Aqueous Species Options'!B266), "", IF('Aqueous Species Options'!L266 = 0, 'Aqueous Species Options'!P266, IF('Aqueous Species Table'!I266="", "", IF('Aqueous Species Options'!B266="H+", 0, ('Aqueous Species Options'!G266/41.8393 + 'Aqueous Species Table'!O266*100000*0.0000005903 - 'Aqueous Species Table'!I266/10 - 'Aqueous Species Table'!J266*100/2601)*(298.15-228) - ('Aqueous Species Table'!L266*10000/2601) ) ) ) )</f>
        <v/>
      </c>
      <c r="L266" s="42" t="str">
        <f>IF(ISBLANK('Aqueous Species Options'!B266), "", IF('Aqueous Species Options'!L266 = 0, 'Aqueous Species Options'!Q266, IF('Aqueous Species Table'!J266="", "", IF('Aqueous Species Options'!B266="H+", 0, (-4.134*'Aqueous Species Table'!J266*100 - 27790)*0.0001) ) ) )</f>
        <v/>
      </c>
      <c r="M266" s="42" t="str">
        <f>IF(ISBLANK('Aqueous Species Options'!B266), "", IF('Aqueous Species Options'!L266=0, 'Aqueous Species Options'!R266, IF('Aqueous Species Table'!N266="", "", IF('Aqueous Species Options'!B266="H+", 0, 'Aqueous Species Options'!H266 - 'Aqueous Species Table'!O266*100000*(-0.000000309)*298.15 - 'Aqueous Species Table'!N266*10000/(298.15-228)^2 ) ) ) )</f>
        <v/>
      </c>
      <c r="N266" s="42" t="str">
        <f>IF(ISBLANK('Aqueous Species Options'!B266), "", IF('Aqueous Species Options'!L266=0, 'Aqueous Species Options'!S266, IF(OR(ISBLANK('Aqueous Species Options'!H266), 'Aqueous Species Table'!O266=""), "", IF('Aqueous Species Options'!B266="H+", 0, 0.2037*'Aqueous Species Options'!H266 - 3.0346) ) ) )</f>
        <v/>
      </c>
      <c r="O266" s="42" t="str">
        <f>IF(ISBLANK('Aqueous Species Options'!B266), "", IF('Aqueous Species Options'!K266=0, 'Aqueous Species Options'!I266, IF(OR('Aqueous Species Options'!J266&gt;4,'Aqueous Species Options'!J266&lt;-4), "", IF('Aqueous Species Options'!B266="H+", 0, IF('Aqueous Species Options'!J266=0, -0.038, IF(ISBLANK('Aqueous Species Options'!F266), "", -1514.4*'Aqueous Species Options'!F266*0.00001 + SUM(({4,3,2,1,-1,-2,-3,-4}='Aqueous Species Options'!J266)*{2.1764,1.5793,1.0579,0.5517,1.6291,3.2127,4.8115,6.486}) ) ) ) ) ) )</f>
        <v/>
      </c>
      <c r="P266" s="1" t="str">
        <f>IF(ISBLANK('Aqueous Species Options'!J266), "", 'Aqueous Species Options'!J266)</f>
        <v/>
      </c>
      <c r="Q266" s="184" t="str">
        <f>IF(ISBLANK('Aqueous Species Options'!T266), "", 'Aqueous Species Options'!T266)</f>
        <v/>
      </c>
    </row>
    <row r="267" spans="2:17" ht="16" x14ac:dyDescent="0.2">
      <c r="B267" s="9" t="str">
        <f>IF(ISBLANK('Aqueous Species Options'!B267), "", 'Aqueous Species Options'!B267)</f>
        <v/>
      </c>
      <c r="C267" s="9" t="str">
        <f>IF(ISBLANK('Aqueous Species Options'!C267), "", 'Aqueous Species Options'!C267)</f>
        <v/>
      </c>
      <c r="D267" s="2" t="str">
        <f>IF(ISBLANK('Aqueous Species Options'!D267), "", 'Aqueous Species Options'!D267)</f>
        <v/>
      </c>
      <c r="E267" s="1" t="str">
        <f>IF(ISBLANK('Aqueous Species Options'!E267), "", 'Aqueous Species Options'!E267)</f>
        <v/>
      </c>
      <c r="F267" s="139" t="str">
        <f>IF(ISBLANK('Aqueous Species Options'!F267), "", 'Aqueous Species Options'!F267)</f>
        <v/>
      </c>
      <c r="G267" s="29" t="str">
        <f>IF(ISBLANK('Aqueous Species Options'!B267), "", IF('Aqueous Species Options'!L267 = 1, IF(ISBLANK('Aqueous Species Options'!G267), "", 'Aqueous Species Options'!G267), ('Aqueous Species Table'!I267/10 + ('Aqueous Species Table'!J267*100)/(Calculations!$C$12+Calculations!$C$9) + ('Aqueous Species Table'!K267 + ('Aqueous Species Table'!L267*10000)/(Calculations!$C$12+Calculations!$C$9))*(1/(Calculations!$C$8-Calculations!$C$13)) - 'Aqueous Species Table'!O267*100000*0.0000005903)*41.8393))</f>
        <v/>
      </c>
      <c r="H267" s="29" t="str">
        <f>IF(ISBLANK('Aqueous Species Options'!B267), "", IF('Aqueous Species Options'!L267 = 1, IF(ISBLANK('Aqueous Species Options'!H267), "", 'Aqueous Species Options'!H267), 'Aqueous Species Table'!M267 + 'Aqueous Species Table'!N267*10000*(1/(Calculations!$C$8-Calculations!$C$13))^2 + 'Aqueous Species Table'!O267*100000*Calculations!$C$8*Calculations!$C$7))</f>
        <v/>
      </c>
      <c r="I267" s="42" t="str">
        <f>IF(ISBLANK('Aqueous Species Options'!B267), "", IF('Aqueous Species Options'!L267=0, 'Aqueous Species Options'!N267, IF(OR(ISBLANK('Aqueous Species Options'!G267),'Aqueous Species Table'!O267="", 'Aqueous Species Table'!P267=""), "", IF('Aqueous Species Options'!B267="H+", 0, (CHOOSE('Aqueous Species Options'!M267+1,'Aqueous Species Options'!$V$4*ABS('Aqueous Species Table'!P267)+'Aqueous Species Options'!$W$4,'Aqueous Species Options'!$Z$4)*('Aqueous Species Options'!G267 + 'Aqueous Species Table'!O267*100000*0.0000005903*41.8393) + CHOOSE('Aqueous Species Options'!M267+1,'Aqueous Species Options'!$X$4*ABS('Aqueous Species Table'!P267)+'Aqueous Species Options'!$Y$4,'Aqueous Species Options'!$AA$4))*10 ) ) ) )</f>
        <v/>
      </c>
      <c r="J267" s="42" t="str">
        <f>IF(ISBLANK('Aqueous Species Options'!B267), "", IF('Aqueous Species Options'!L267 = 0, 'Aqueous Species Options'!O267, IF('Aqueous Species Table'!I267="", "", IF('Aqueous Species Options'!B267="H+", 0, ((1.11*('Aqueous Species Options'!G267 + 'Aqueous Species Table'!O267*100000*0.0000005903*41.8393)+1.8)/41.8393 - 'Aqueous Species Table'!I267/10)*26.01 ) ) ) )</f>
        <v/>
      </c>
      <c r="K267" s="42" t="str">
        <f>IF(ISBLANK('Aqueous Species Options'!B267), "", IF('Aqueous Species Options'!L267 = 0, 'Aqueous Species Options'!P267, IF('Aqueous Species Table'!I267="", "", IF('Aqueous Species Options'!B267="H+", 0, ('Aqueous Species Options'!G267/41.8393 + 'Aqueous Species Table'!O267*100000*0.0000005903 - 'Aqueous Species Table'!I267/10 - 'Aqueous Species Table'!J267*100/2601)*(298.15-228) - ('Aqueous Species Table'!L267*10000/2601) ) ) ) )</f>
        <v/>
      </c>
      <c r="L267" s="42" t="str">
        <f>IF(ISBLANK('Aqueous Species Options'!B267), "", IF('Aqueous Species Options'!L267 = 0, 'Aqueous Species Options'!Q267, IF('Aqueous Species Table'!J267="", "", IF('Aqueous Species Options'!B267="H+", 0, (-4.134*'Aqueous Species Table'!J267*100 - 27790)*0.0001) ) ) )</f>
        <v/>
      </c>
      <c r="M267" s="42" t="str">
        <f>IF(ISBLANK('Aqueous Species Options'!B267), "", IF('Aqueous Species Options'!L267=0, 'Aqueous Species Options'!R267, IF('Aqueous Species Table'!N267="", "", IF('Aqueous Species Options'!B267="H+", 0, 'Aqueous Species Options'!H267 - 'Aqueous Species Table'!O267*100000*(-0.000000309)*298.15 - 'Aqueous Species Table'!N267*10000/(298.15-228)^2 ) ) ) )</f>
        <v/>
      </c>
      <c r="N267" s="42" t="str">
        <f>IF(ISBLANK('Aqueous Species Options'!B267), "", IF('Aqueous Species Options'!L267=0, 'Aqueous Species Options'!S267, IF(OR(ISBLANK('Aqueous Species Options'!H267), 'Aqueous Species Table'!O267=""), "", IF('Aqueous Species Options'!B267="H+", 0, 0.2037*'Aqueous Species Options'!H267 - 3.0346) ) ) )</f>
        <v/>
      </c>
      <c r="O267" s="42" t="str">
        <f>IF(ISBLANK('Aqueous Species Options'!B267), "", IF('Aqueous Species Options'!K267=0, 'Aqueous Species Options'!I267, IF(OR('Aqueous Species Options'!J267&gt;4,'Aqueous Species Options'!J267&lt;-4), "", IF('Aqueous Species Options'!B267="H+", 0, IF('Aqueous Species Options'!J267=0, -0.038, IF(ISBLANK('Aqueous Species Options'!F267), "", -1514.4*'Aqueous Species Options'!F267*0.00001 + SUM(({4,3,2,1,-1,-2,-3,-4}='Aqueous Species Options'!J267)*{2.1764,1.5793,1.0579,0.5517,1.6291,3.2127,4.8115,6.486}) ) ) ) ) ) )</f>
        <v/>
      </c>
      <c r="P267" s="1" t="str">
        <f>IF(ISBLANK('Aqueous Species Options'!J267), "", 'Aqueous Species Options'!J267)</f>
        <v/>
      </c>
      <c r="Q267" s="184" t="str">
        <f>IF(ISBLANK('Aqueous Species Options'!T267), "", 'Aqueous Species Options'!T267)</f>
        <v/>
      </c>
    </row>
    <row r="268" spans="2:17" ht="16" x14ac:dyDescent="0.2">
      <c r="B268" s="9" t="str">
        <f>IF(ISBLANK('Aqueous Species Options'!B268), "", 'Aqueous Species Options'!B268)</f>
        <v/>
      </c>
      <c r="C268" s="9" t="str">
        <f>IF(ISBLANK('Aqueous Species Options'!C268), "", 'Aqueous Species Options'!C268)</f>
        <v/>
      </c>
      <c r="D268" s="2" t="str">
        <f>IF(ISBLANK('Aqueous Species Options'!D268), "", 'Aqueous Species Options'!D268)</f>
        <v/>
      </c>
      <c r="E268" s="1" t="str">
        <f>IF(ISBLANK('Aqueous Species Options'!E268), "", 'Aqueous Species Options'!E268)</f>
        <v/>
      </c>
      <c r="F268" s="139" t="str">
        <f>IF(ISBLANK('Aqueous Species Options'!F268), "", 'Aqueous Species Options'!F268)</f>
        <v/>
      </c>
      <c r="G268" s="29" t="str">
        <f>IF(ISBLANK('Aqueous Species Options'!B268), "", IF('Aqueous Species Options'!L268 = 1, IF(ISBLANK('Aqueous Species Options'!G268), "", 'Aqueous Species Options'!G268), ('Aqueous Species Table'!I268/10 + ('Aqueous Species Table'!J268*100)/(Calculations!$C$12+Calculations!$C$9) + ('Aqueous Species Table'!K268 + ('Aqueous Species Table'!L268*10000)/(Calculations!$C$12+Calculations!$C$9))*(1/(Calculations!$C$8-Calculations!$C$13)) - 'Aqueous Species Table'!O268*100000*0.0000005903)*41.8393))</f>
        <v/>
      </c>
      <c r="H268" s="29" t="str">
        <f>IF(ISBLANK('Aqueous Species Options'!B268), "", IF('Aqueous Species Options'!L268 = 1, IF(ISBLANK('Aqueous Species Options'!H268), "", 'Aqueous Species Options'!H268), 'Aqueous Species Table'!M268 + 'Aqueous Species Table'!N268*10000*(1/(Calculations!$C$8-Calculations!$C$13))^2 + 'Aqueous Species Table'!O268*100000*Calculations!$C$8*Calculations!$C$7))</f>
        <v/>
      </c>
      <c r="I268" s="42" t="str">
        <f>IF(ISBLANK('Aqueous Species Options'!B268), "", IF('Aqueous Species Options'!L268=0, 'Aqueous Species Options'!N268, IF(OR(ISBLANK('Aqueous Species Options'!G268),'Aqueous Species Table'!O268="", 'Aqueous Species Table'!P268=""), "", IF('Aqueous Species Options'!B268="H+", 0, (CHOOSE('Aqueous Species Options'!M268+1,'Aqueous Species Options'!$V$4*ABS('Aqueous Species Table'!P268)+'Aqueous Species Options'!$W$4,'Aqueous Species Options'!$Z$4)*('Aqueous Species Options'!G268 + 'Aqueous Species Table'!O268*100000*0.0000005903*41.8393) + CHOOSE('Aqueous Species Options'!M268+1,'Aqueous Species Options'!$X$4*ABS('Aqueous Species Table'!P268)+'Aqueous Species Options'!$Y$4,'Aqueous Species Options'!$AA$4))*10 ) ) ) )</f>
        <v/>
      </c>
      <c r="J268" s="42" t="str">
        <f>IF(ISBLANK('Aqueous Species Options'!B268), "", IF('Aqueous Species Options'!L268 = 0, 'Aqueous Species Options'!O268, IF('Aqueous Species Table'!I268="", "", IF('Aqueous Species Options'!B268="H+", 0, ((1.11*('Aqueous Species Options'!G268 + 'Aqueous Species Table'!O268*100000*0.0000005903*41.8393)+1.8)/41.8393 - 'Aqueous Species Table'!I268/10)*26.01 ) ) ) )</f>
        <v/>
      </c>
      <c r="K268" s="42" t="str">
        <f>IF(ISBLANK('Aqueous Species Options'!B268), "", IF('Aqueous Species Options'!L268 = 0, 'Aqueous Species Options'!P268, IF('Aqueous Species Table'!I268="", "", IF('Aqueous Species Options'!B268="H+", 0, ('Aqueous Species Options'!G268/41.8393 + 'Aqueous Species Table'!O268*100000*0.0000005903 - 'Aqueous Species Table'!I268/10 - 'Aqueous Species Table'!J268*100/2601)*(298.15-228) - ('Aqueous Species Table'!L268*10000/2601) ) ) ) )</f>
        <v/>
      </c>
      <c r="L268" s="42" t="str">
        <f>IF(ISBLANK('Aqueous Species Options'!B268), "", IF('Aqueous Species Options'!L268 = 0, 'Aqueous Species Options'!Q268, IF('Aqueous Species Table'!J268="", "", IF('Aqueous Species Options'!B268="H+", 0, (-4.134*'Aqueous Species Table'!J268*100 - 27790)*0.0001) ) ) )</f>
        <v/>
      </c>
      <c r="M268" s="42" t="str">
        <f>IF(ISBLANK('Aqueous Species Options'!B268), "", IF('Aqueous Species Options'!L268=0, 'Aqueous Species Options'!R268, IF('Aqueous Species Table'!N268="", "", IF('Aqueous Species Options'!B268="H+", 0, 'Aqueous Species Options'!H268 - 'Aqueous Species Table'!O268*100000*(-0.000000309)*298.15 - 'Aqueous Species Table'!N268*10000/(298.15-228)^2 ) ) ) )</f>
        <v/>
      </c>
      <c r="N268" s="42" t="str">
        <f>IF(ISBLANK('Aqueous Species Options'!B268), "", IF('Aqueous Species Options'!L268=0, 'Aqueous Species Options'!S268, IF(OR(ISBLANK('Aqueous Species Options'!H268), 'Aqueous Species Table'!O268=""), "", IF('Aqueous Species Options'!B268="H+", 0, 0.2037*'Aqueous Species Options'!H268 - 3.0346) ) ) )</f>
        <v/>
      </c>
      <c r="O268" s="42" t="str">
        <f>IF(ISBLANK('Aqueous Species Options'!B268), "", IF('Aqueous Species Options'!K268=0, 'Aqueous Species Options'!I268, IF(OR('Aqueous Species Options'!J268&gt;4,'Aqueous Species Options'!J268&lt;-4), "", IF('Aqueous Species Options'!B268="H+", 0, IF('Aqueous Species Options'!J268=0, -0.038, IF(ISBLANK('Aqueous Species Options'!F268), "", -1514.4*'Aqueous Species Options'!F268*0.00001 + SUM(({4,3,2,1,-1,-2,-3,-4}='Aqueous Species Options'!J268)*{2.1764,1.5793,1.0579,0.5517,1.6291,3.2127,4.8115,6.486}) ) ) ) ) ) )</f>
        <v/>
      </c>
      <c r="P268" s="1" t="str">
        <f>IF(ISBLANK('Aqueous Species Options'!J268), "", 'Aqueous Species Options'!J268)</f>
        <v/>
      </c>
      <c r="Q268" s="184" t="str">
        <f>IF(ISBLANK('Aqueous Species Options'!T268), "", 'Aqueous Species Options'!T268)</f>
        <v/>
      </c>
    </row>
    <row r="269" spans="2:17" ht="16" x14ac:dyDescent="0.2">
      <c r="B269" s="9" t="str">
        <f>IF(ISBLANK('Aqueous Species Options'!B269), "", 'Aqueous Species Options'!B269)</f>
        <v/>
      </c>
      <c r="C269" s="9" t="str">
        <f>IF(ISBLANK('Aqueous Species Options'!C269), "", 'Aqueous Species Options'!C269)</f>
        <v/>
      </c>
      <c r="D269" s="2" t="str">
        <f>IF(ISBLANK('Aqueous Species Options'!D269), "", 'Aqueous Species Options'!D269)</f>
        <v/>
      </c>
      <c r="E269" s="1" t="str">
        <f>IF(ISBLANK('Aqueous Species Options'!E269), "", 'Aqueous Species Options'!E269)</f>
        <v/>
      </c>
      <c r="F269" s="139" t="str">
        <f>IF(ISBLANK('Aqueous Species Options'!F269), "", 'Aqueous Species Options'!F269)</f>
        <v/>
      </c>
      <c r="G269" s="29" t="str">
        <f>IF(ISBLANK('Aqueous Species Options'!B269), "", IF('Aqueous Species Options'!L269 = 1, IF(ISBLANK('Aqueous Species Options'!G269), "", 'Aqueous Species Options'!G269), ('Aqueous Species Table'!I269/10 + ('Aqueous Species Table'!J269*100)/(Calculations!$C$12+Calculations!$C$9) + ('Aqueous Species Table'!K269 + ('Aqueous Species Table'!L269*10000)/(Calculations!$C$12+Calculations!$C$9))*(1/(Calculations!$C$8-Calculations!$C$13)) - 'Aqueous Species Table'!O269*100000*0.0000005903)*41.8393))</f>
        <v/>
      </c>
      <c r="H269" s="29" t="str">
        <f>IF(ISBLANK('Aqueous Species Options'!B269), "", IF('Aqueous Species Options'!L269 = 1, IF(ISBLANK('Aqueous Species Options'!H269), "", 'Aqueous Species Options'!H269), 'Aqueous Species Table'!M269 + 'Aqueous Species Table'!N269*10000*(1/(Calculations!$C$8-Calculations!$C$13))^2 + 'Aqueous Species Table'!O269*100000*Calculations!$C$8*Calculations!$C$7))</f>
        <v/>
      </c>
      <c r="I269" s="42" t="str">
        <f>IF(ISBLANK('Aqueous Species Options'!B269), "", IF('Aqueous Species Options'!L269=0, 'Aqueous Species Options'!N269, IF(OR(ISBLANK('Aqueous Species Options'!G269),'Aqueous Species Table'!O269="", 'Aqueous Species Table'!P269=""), "", IF('Aqueous Species Options'!B269="H+", 0, (CHOOSE('Aqueous Species Options'!M269+1,'Aqueous Species Options'!$V$4*ABS('Aqueous Species Table'!P269)+'Aqueous Species Options'!$W$4,'Aqueous Species Options'!$Z$4)*('Aqueous Species Options'!G269 + 'Aqueous Species Table'!O269*100000*0.0000005903*41.8393) + CHOOSE('Aqueous Species Options'!M269+1,'Aqueous Species Options'!$X$4*ABS('Aqueous Species Table'!P269)+'Aqueous Species Options'!$Y$4,'Aqueous Species Options'!$AA$4))*10 ) ) ) )</f>
        <v/>
      </c>
      <c r="J269" s="42" t="str">
        <f>IF(ISBLANK('Aqueous Species Options'!B269), "", IF('Aqueous Species Options'!L269 = 0, 'Aqueous Species Options'!O269, IF('Aqueous Species Table'!I269="", "", IF('Aqueous Species Options'!B269="H+", 0, ((1.11*('Aqueous Species Options'!G269 + 'Aqueous Species Table'!O269*100000*0.0000005903*41.8393)+1.8)/41.8393 - 'Aqueous Species Table'!I269/10)*26.01 ) ) ) )</f>
        <v/>
      </c>
      <c r="K269" s="42" t="str">
        <f>IF(ISBLANK('Aqueous Species Options'!B269), "", IF('Aqueous Species Options'!L269 = 0, 'Aqueous Species Options'!P269, IF('Aqueous Species Table'!I269="", "", IF('Aqueous Species Options'!B269="H+", 0, ('Aqueous Species Options'!G269/41.8393 + 'Aqueous Species Table'!O269*100000*0.0000005903 - 'Aqueous Species Table'!I269/10 - 'Aqueous Species Table'!J269*100/2601)*(298.15-228) - ('Aqueous Species Table'!L269*10000/2601) ) ) ) )</f>
        <v/>
      </c>
      <c r="L269" s="42" t="str">
        <f>IF(ISBLANK('Aqueous Species Options'!B269), "", IF('Aqueous Species Options'!L269 = 0, 'Aqueous Species Options'!Q269, IF('Aqueous Species Table'!J269="", "", IF('Aqueous Species Options'!B269="H+", 0, (-4.134*'Aqueous Species Table'!J269*100 - 27790)*0.0001) ) ) )</f>
        <v/>
      </c>
      <c r="M269" s="42" t="str">
        <f>IF(ISBLANK('Aqueous Species Options'!B269), "", IF('Aqueous Species Options'!L269=0, 'Aqueous Species Options'!R269, IF('Aqueous Species Table'!N269="", "", IF('Aqueous Species Options'!B269="H+", 0, 'Aqueous Species Options'!H269 - 'Aqueous Species Table'!O269*100000*(-0.000000309)*298.15 - 'Aqueous Species Table'!N269*10000/(298.15-228)^2 ) ) ) )</f>
        <v/>
      </c>
      <c r="N269" s="42" t="str">
        <f>IF(ISBLANK('Aqueous Species Options'!B269), "", IF('Aqueous Species Options'!L269=0, 'Aqueous Species Options'!S269, IF(OR(ISBLANK('Aqueous Species Options'!H269), 'Aqueous Species Table'!O269=""), "", IF('Aqueous Species Options'!B269="H+", 0, 0.2037*'Aqueous Species Options'!H269 - 3.0346) ) ) )</f>
        <v/>
      </c>
      <c r="O269" s="42" t="str">
        <f>IF(ISBLANK('Aqueous Species Options'!B269), "", IF('Aqueous Species Options'!K269=0, 'Aqueous Species Options'!I269, IF(OR('Aqueous Species Options'!J269&gt;4,'Aqueous Species Options'!J269&lt;-4), "", IF('Aqueous Species Options'!B269="H+", 0, IF('Aqueous Species Options'!J269=0, -0.038, IF(ISBLANK('Aqueous Species Options'!F269), "", -1514.4*'Aqueous Species Options'!F269*0.00001 + SUM(({4,3,2,1,-1,-2,-3,-4}='Aqueous Species Options'!J269)*{2.1764,1.5793,1.0579,0.5517,1.6291,3.2127,4.8115,6.486}) ) ) ) ) ) )</f>
        <v/>
      </c>
      <c r="P269" s="1" t="str">
        <f>IF(ISBLANK('Aqueous Species Options'!J269), "", 'Aqueous Species Options'!J269)</f>
        <v/>
      </c>
      <c r="Q269" s="184" t="str">
        <f>IF(ISBLANK('Aqueous Species Options'!T269), "", 'Aqueous Species Options'!T269)</f>
        <v/>
      </c>
    </row>
    <row r="270" spans="2:17" ht="16" x14ac:dyDescent="0.2">
      <c r="B270" s="9" t="str">
        <f>IF(ISBLANK('Aqueous Species Options'!B270), "", 'Aqueous Species Options'!B270)</f>
        <v/>
      </c>
      <c r="C270" s="9" t="str">
        <f>IF(ISBLANK('Aqueous Species Options'!C270), "", 'Aqueous Species Options'!C270)</f>
        <v/>
      </c>
      <c r="D270" s="2" t="str">
        <f>IF(ISBLANK('Aqueous Species Options'!D270), "", 'Aqueous Species Options'!D270)</f>
        <v/>
      </c>
      <c r="E270" s="1" t="str">
        <f>IF(ISBLANK('Aqueous Species Options'!E270), "", 'Aqueous Species Options'!E270)</f>
        <v/>
      </c>
      <c r="F270" s="139" t="str">
        <f>IF(ISBLANK('Aqueous Species Options'!F270), "", 'Aqueous Species Options'!F270)</f>
        <v/>
      </c>
      <c r="G270" s="29" t="str">
        <f>IF(ISBLANK('Aqueous Species Options'!B270), "", IF('Aqueous Species Options'!L270 = 1, IF(ISBLANK('Aqueous Species Options'!G270), "", 'Aqueous Species Options'!G270), ('Aqueous Species Table'!I270/10 + ('Aqueous Species Table'!J270*100)/(Calculations!$C$12+Calculations!$C$9) + ('Aqueous Species Table'!K270 + ('Aqueous Species Table'!L270*10000)/(Calculations!$C$12+Calculations!$C$9))*(1/(Calculations!$C$8-Calculations!$C$13)) - 'Aqueous Species Table'!O270*100000*0.0000005903)*41.8393))</f>
        <v/>
      </c>
      <c r="H270" s="29" t="str">
        <f>IF(ISBLANK('Aqueous Species Options'!B270), "", IF('Aqueous Species Options'!L270 = 1, IF(ISBLANK('Aqueous Species Options'!H270), "", 'Aqueous Species Options'!H270), 'Aqueous Species Table'!M270 + 'Aqueous Species Table'!N270*10000*(1/(Calculations!$C$8-Calculations!$C$13))^2 + 'Aqueous Species Table'!O270*100000*Calculations!$C$8*Calculations!$C$7))</f>
        <v/>
      </c>
      <c r="I270" s="42" t="str">
        <f>IF(ISBLANK('Aqueous Species Options'!B270), "", IF('Aqueous Species Options'!L270=0, 'Aqueous Species Options'!N270, IF(OR(ISBLANK('Aqueous Species Options'!G270),'Aqueous Species Table'!O270="", 'Aqueous Species Table'!P270=""), "", IF('Aqueous Species Options'!B270="H+", 0, (CHOOSE('Aqueous Species Options'!M270+1,'Aqueous Species Options'!$V$4*ABS('Aqueous Species Table'!P270)+'Aqueous Species Options'!$W$4,'Aqueous Species Options'!$Z$4)*('Aqueous Species Options'!G270 + 'Aqueous Species Table'!O270*100000*0.0000005903*41.8393) + CHOOSE('Aqueous Species Options'!M270+1,'Aqueous Species Options'!$X$4*ABS('Aqueous Species Table'!P270)+'Aqueous Species Options'!$Y$4,'Aqueous Species Options'!$AA$4))*10 ) ) ) )</f>
        <v/>
      </c>
      <c r="J270" s="42" t="str">
        <f>IF(ISBLANK('Aqueous Species Options'!B270), "", IF('Aqueous Species Options'!L270 = 0, 'Aqueous Species Options'!O270, IF('Aqueous Species Table'!I270="", "", IF('Aqueous Species Options'!B270="H+", 0, ((1.11*('Aqueous Species Options'!G270 + 'Aqueous Species Table'!O270*100000*0.0000005903*41.8393)+1.8)/41.8393 - 'Aqueous Species Table'!I270/10)*26.01 ) ) ) )</f>
        <v/>
      </c>
      <c r="K270" s="42" t="str">
        <f>IF(ISBLANK('Aqueous Species Options'!B270), "", IF('Aqueous Species Options'!L270 = 0, 'Aqueous Species Options'!P270, IF('Aqueous Species Table'!I270="", "", IF('Aqueous Species Options'!B270="H+", 0, ('Aqueous Species Options'!G270/41.8393 + 'Aqueous Species Table'!O270*100000*0.0000005903 - 'Aqueous Species Table'!I270/10 - 'Aqueous Species Table'!J270*100/2601)*(298.15-228) - ('Aqueous Species Table'!L270*10000/2601) ) ) ) )</f>
        <v/>
      </c>
      <c r="L270" s="42" t="str">
        <f>IF(ISBLANK('Aqueous Species Options'!B270), "", IF('Aqueous Species Options'!L270 = 0, 'Aqueous Species Options'!Q270, IF('Aqueous Species Table'!J270="", "", IF('Aqueous Species Options'!B270="H+", 0, (-4.134*'Aqueous Species Table'!J270*100 - 27790)*0.0001) ) ) )</f>
        <v/>
      </c>
      <c r="M270" s="42" t="str">
        <f>IF(ISBLANK('Aqueous Species Options'!B270), "", IF('Aqueous Species Options'!L270=0, 'Aqueous Species Options'!R270, IF('Aqueous Species Table'!N270="", "", IF('Aqueous Species Options'!B270="H+", 0, 'Aqueous Species Options'!H270 - 'Aqueous Species Table'!O270*100000*(-0.000000309)*298.15 - 'Aqueous Species Table'!N270*10000/(298.15-228)^2 ) ) ) )</f>
        <v/>
      </c>
      <c r="N270" s="42" t="str">
        <f>IF(ISBLANK('Aqueous Species Options'!B270), "", IF('Aqueous Species Options'!L270=0, 'Aqueous Species Options'!S270, IF(OR(ISBLANK('Aqueous Species Options'!H270), 'Aqueous Species Table'!O270=""), "", IF('Aqueous Species Options'!B270="H+", 0, 0.2037*'Aqueous Species Options'!H270 - 3.0346) ) ) )</f>
        <v/>
      </c>
      <c r="O270" s="42" t="str">
        <f>IF(ISBLANK('Aqueous Species Options'!B270), "", IF('Aqueous Species Options'!K270=0, 'Aqueous Species Options'!I270, IF(OR('Aqueous Species Options'!J270&gt;4,'Aqueous Species Options'!J270&lt;-4), "", IF('Aqueous Species Options'!B270="H+", 0, IF('Aqueous Species Options'!J270=0, -0.038, IF(ISBLANK('Aqueous Species Options'!F270), "", -1514.4*'Aqueous Species Options'!F270*0.00001 + SUM(({4,3,2,1,-1,-2,-3,-4}='Aqueous Species Options'!J270)*{2.1764,1.5793,1.0579,0.5517,1.6291,3.2127,4.8115,6.486}) ) ) ) ) ) )</f>
        <v/>
      </c>
      <c r="P270" s="1" t="str">
        <f>IF(ISBLANK('Aqueous Species Options'!J270), "", 'Aqueous Species Options'!J270)</f>
        <v/>
      </c>
      <c r="Q270" s="184" t="str">
        <f>IF(ISBLANK('Aqueous Species Options'!T270), "", 'Aqueous Species Options'!T270)</f>
        <v/>
      </c>
    </row>
    <row r="271" spans="2:17" ht="16" x14ac:dyDescent="0.2">
      <c r="B271" s="9" t="str">
        <f>IF(ISBLANK('Aqueous Species Options'!B271), "", 'Aqueous Species Options'!B271)</f>
        <v/>
      </c>
      <c r="C271" s="9" t="str">
        <f>IF(ISBLANK('Aqueous Species Options'!C271), "", 'Aqueous Species Options'!C271)</f>
        <v/>
      </c>
      <c r="D271" s="2" t="str">
        <f>IF(ISBLANK('Aqueous Species Options'!D271), "", 'Aqueous Species Options'!D271)</f>
        <v/>
      </c>
      <c r="E271" s="1" t="str">
        <f>IF(ISBLANK('Aqueous Species Options'!E271), "", 'Aqueous Species Options'!E271)</f>
        <v/>
      </c>
      <c r="F271" s="139" t="str">
        <f>IF(ISBLANK('Aqueous Species Options'!F271), "", 'Aqueous Species Options'!F271)</f>
        <v/>
      </c>
      <c r="G271" s="29" t="str">
        <f>IF(ISBLANK('Aqueous Species Options'!B271), "", IF('Aqueous Species Options'!L271 = 1, IF(ISBLANK('Aqueous Species Options'!G271), "", 'Aqueous Species Options'!G271), ('Aqueous Species Table'!I271/10 + ('Aqueous Species Table'!J271*100)/(Calculations!$C$12+Calculations!$C$9) + ('Aqueous Species Table'!K271 + ('Aqueous Species Table'!L271*10000)/(Calculations!$C$12+Calculations!$C$9))*(1/(Calculations!$C$8-Calculations!$C$13)) - 'Aqueous Species Table'!O271*100000*0.0000005903)*41.8393))</f>
        <v/>
      </c>
      <c r="H271" s="29" t="str">
        <f>IF(ISBLANK('Aqueous Species Options'!B271), "", IF('Aqueous Species Options'!L271 = 1, IF(ISBLANK('Aqueous Species Options'!H271), "", 'Aqueous Species Options'!H271), 'Aqueous Species Table'!M271 + 'Aqueous Species Table'!N271*10000*(1/(Calculations!$C$8-Calculations!$C$13))^2 + 'Aqueous Species Table'!O271*100000*Calculations!$C$8*Calculations!$C$7))</f>
        <v/>
      </c>
      <c r="I271" s="42" t="str">
        <f>IF(ISBLANK('Aqueous Species Options'!B271), "", IF('Aqueous Species Options'!L271=0, 'Aqueous Species Options'!N271, IF(OR(ISBLANK('Aqueous Species Options'!G271),'Aqueous Species Table'!O271="", 'Aqueous Species Table'!P271=""), "", IF('Aqueous Species Options'!B271="H+", 0, (CHOOSE('Aqueous Species Options'!M271+1,'Aqueous Species Options'!$V$4*ABS('Aqueous Species Table'!P271)+'Aqueous Species Options'!$W$4,'Aqueous Species Options'!$Z$4)*('Aqueous Species Options'!G271 + 'Aqueous Species Table'!O271*100000*0.0000005903*41.8393) + CHOOSE('Aqueous Species Options'!M271+1,'Aqueous Species Options'!$X$4*ABS('Aqueous Species Table'!P271)+'Aqueous Species Options'!$Y$4,'Aqueous Species Options'!$AA$4))*10 ) ) ) )</f>
        <v/>
      </c>
      <c r="J271" s="42" t="str">
        <f>IF(ISBLANK('Aqueous Species Options'!B271), "", IF('Aqueous Species Options'!L271 = 0, 'Aqueous Species Options'!O271, IF('Aqueous Species Table'!I271="", "", IF('Aqueous Species Options'!B271="H+", 0, ((1.11*('Aqueous Species Options'!G271 + 'Aqueous Species Table'!O271*100000*0.0000005903*41.8393)+1.8)/41.8393 - 'Aqueous Species Table'!I271/10)*26.01 ) ) ) )</f>
        <v/>
      </c>
      <c r="K271" s="42" t="str">
        <f>IF(ISBLANK('Aqueous Species Options'!B271), "", IF('Aqueous Species Options'!L271 = 0, 'Aqueous Species Options'!P271, IF('Aqueous Species Table'!I271="", "", IF('Aqueous Species Options'!B271="H+", 0, ('Aqueous Species Options'!G271/41.8393 + 'Aqueous Species Table'!O271*100000*0.0000005903 - 'Aqueous Species Table'!I271/10 - 'Aqueous Species Table'!J271*100/2601)*(298.15-228) - ('Aqueous Species Table'!L271*10000/2601) ) ) ) )</f>
        <v/>
      </c>
      <c r="L271" s="42" t="str">
        <f>IF(ISBLANK('Aqueous Species Options'!B271), "", IF('Aqueous Species Options'!L271 = 0, 'Aqueous Species Options'!Q271, IF('Aqueous Species Table'!J271="", "", IF('Aqueous Species Options'!B271="H+", 0, (-4.134*'Aqueous Species Table'!J271*100 - 27790)*0.0001) ) ) )</f>
        <v/>
      </c>
      <c r="M271" s="42" t="str">
        <f>IF(ISBLANK('Aqueous Species Options'!B271), "", IF('Aqueous Species Options'!L271=0, 'Aqueous Species Options'!R271, IF('Aqueous Species Table'!N271="", "", IF('Aqueous Species Options'!B271="H+", 0, 'Aqueous Species Options'!H271 - 'Aqueous Species Table'!O271*100000*(-0.000000309)*298.15 - 'Aqueous Species Table'!N271*10000/(298.15-228)^2 ) ) ) )</f>
        <v/>
      </c>
      <c r="N271" s="42" t="str">
        <f>IF(ISBLANK('Aqueous Species Options'!B271), "", IF('Aqueous Species Options'!L271=0, 'Aqueous Species Options'!S271, IF(OR(ISBLANK('Aqueous Species Options'!H271), 'Aqueous Species Table'!O271=""), "", IF('Aqueous Species Options'!B271="H+", 0, 0.2037*'Aqueous Species Options'!H271 - 3.0346) ) ) )</f>
        <v/>
      </c>
      <c r="O271" s="42" t="str">
        <f>IF(ISBLANK('Aqueous Species Options'!B271), "", IF('Aqueous Species Options'!K271=0, 'Aqueous Species Options'!I271, IF(OR('Aqueous Species Options'!J271&gt;4,'Aqueous Species Options'!J271&lt;-4), "", IF('Aqueous Species Options'!B271="H+", 0, IF('Aqueous Species Options'!J271=0, -0.038, IF(ISBLANK('Aqueous Species Options'!F271), "", -1514.4*'Aqueous Species Options'!F271*0.00001 + SUM(({4,3,2,1,-1,-2,-3,-4}='Aqueous Species Options'!J271)*{2.1764,1.5793,1.0579,0.5517,1.6291,3.2127,4.8115,6.486}) ) ) ) ) ) )</f>
        <v/>
      </c>
      <c r="P271" s="1" t="str">
        <f>IF(ISBLANK('Aqueous Species Options'!J271), "", 'Aqueous Species Options'!J271)</f>
        <v/>
      </c>
      <c r="Q271" s="184" t="str">
        <f>IF(ISBLANK('Aqueous Species Options'!T271), "", 'Aqueous Species Options'!T271)</f>
        <v/>
      </c>
    </row>
    <row r="272" spans="2:17" ht="16" x14ac:dyDescent="0.2">
      <c r="B272" s="9" t="str">
        <f>IF(ISBLANK('Aqueous Species Options'!B272), "", 'Aqueous Species Options'!B272)</f>
        <v/>
      </c>
      <c r="C272" s="9" t="str">
        <f>IF(ISBLANK('Aqueous Species Options'!C272), "", 'Aqueous Species Options'!C272)</f>
        <v/>
      </c>
      <c r="D272" s="2" t="str">
        <f>IF(ISBLANK('Aqueous Species Options'!D272), "", 'Aqueous Species Options'!D272)</f>
        <v/>
      </c>
      <c r="E272" s="1" t="str">
        <f>IF(ISBLANK('Aqueous Species Options'!E272), "", 'Aqueous Species Options'!E272)</f>
        <v/>
      </c>
      <c r="F272" s="139" t="str">
        <f>IF(ISBLANK('Aqueous Species Options'!F272), "", 'Aqueous Species Options'!F272)</f>
        <v/>
      </c>
      <c r="G272" s="29" t="str">
        <f>IF(ISBLANK('Aqueous Species Options'!B272), "", IF('Aqueous Species Options'!L272 = 1, IF(ISBLANK('Aqueous Species Options'!G272), "", 'Aqueous Species Options'!G272), ('Aqueous Species Table'!I272/10 + ('Aqueous Species Table'!J272*100)/(Calculations!$C$12+Calculations!$C$9) + ('Aqueous Species Table'!K272 + ('Aqueous Species Table'!L272*10000)/(Calculations!$C$12+Calculations!$C$9))*(1/(Calculations!$C$8-Calculations!$C$13)) - 'Aqueous Species Table'!O272*100000*0.0000005903)*41.8393))</f>
        <v/>
      </c>
      <c r="H272" s="29" t="str">
        <f>IF(ISBLANK('Aqueous Species Options'!B272), "", IF('Aqueous Species Options'!L272 = 1, IF(ISBLANK('Aqueous Species Options'!H272), "", 'Aqueous Species Options'!H272), 'Aqueous Species Table'!M272 + 'Aqueous Species Table'!N272*10000*(1/(Calculations!$C$8-Calculations!$C$13))^2 + 'Aqueous Species Table'!O272*100000*Calculations!$C$8*Calculations!$C$7))</f>
        <v/>
      </c>
      <c r="I272" s="42" t="str">
        <f>IF(ISBLANK('Aqueous Species Options'!B272), "", IF('Aqueous Species Options'!L272=0, 'Aqueous Species Options'!N272, IF(OR(ISBLANK('Aqueous Species Options'!G272),'Aqueous Species Table'!O272="", 'Aqueous Species Table'!P272=""), "", IF('Aqueous Species Options'!B272="H+", 0, (CHOOSE('Aqueous Species Options'!M272+1,'Aqueous Species Options'!$V$4*ABS('Aqueous Species Table'!P272)+'Aqueous Species Options'!$W$4,'Aqueous Species Options'!$Z$4)*('Aqueous Species Options'!G272 + 'Aqueous Species Table'!O272*100000*0.0000005903*41.8393) + CHOOSE('Aqueous Species Options'!M272+1,'Aqueous Species Options'!$X$4*ABS('Aqueous Species Table'!P272)+'Aqueous Species Options'!$Y$4,'Aqueous Species Options'!$AA$4))*10 ) ) ) )</f>
        <v/>
      </c>
      <c r="J272" s="42" t="str">
        <f>IF(ISBLANK('Aqueous Species Options'!B272), "", IF('Aqueous Species Options'!L272 = 0, 'Aqueous Species Options'!O272, IF('Aqueous Species Table'!I272="", "", IF('Aqueous Species Options'!B272="H+", 0, ((1.11*('Aqueous Species Options'!G272 + 'Aqueous Species Table'!O272*100000*0.0000005903*41.8393)+1.8)/41.8393 - 'Aqueous Species Table'!I272/10)*26.01 ) ) ) )</f>
        <v/>
      </c>
      <c r="K272" s="42" t="str">
        <f>IF(ISBLANK('Aqueous Species Options'!B272), "", IF('Aqueous Species Options'!L272 = 0, 'Aqueous Species Options'!P272, IF('Aqueous Species Table'!I272="", "", IF('Aqueous Species Options'!B272="H+", 0, ('Aqueous Species Options'!G272/41.8393 + 'Aqueous Species Table'!O272*100000*0.0000005903 - 'Aqueous Species Table'!I272/10 - 'Aqueous Species Table'!J272*100/2601)*(298.15-228) - ('Aqueous Species Table'!L272*10000/2601) ) ) ) )</f>
        <v/>
      </c>
      <c r="L272" s="42" t="str">
        <f>IF(ISBLANK('Aqueous Species Options'!B272), "", IF('Aqueous Species Options'!L272 = 0, 'Aqueous Species Options'!Q272, IF('Aqueous Species Table'!J272="", "", IF('Aqueous Species Options'!B272="H+", 0, (-4.134*'Aqueous Species Table'!J272*100 - 27790)*0.0001) ) ) )</f>
        <v/>
      </c>
      <c r="M272" s="42" t="str">
        <f>IF(ISBLANK('Aqueous Species Options'!B272), "", IF('Aqueous Species Options'!L272=0, 'Aqueous Species Options'!R272, IF('Aqueous Species Table'!N272="", "", IF('Aqueous Species Options'!B272="H+", 0, 'Aqueous Species Options'!H272 - 'Aqueous Species Table'!O272*100000*(-0.000000309)*298.15 - 'Aqueous Species Table'!N272*10000/(298.15-228)^2 ) ) ) )</f>
        <v/>
      </c>
      <c r="N272" s="42" t="str">
        <f>IF(ISBLANK('Aqueous Species Options'!B272), "", IF('Aqueous Species Options'!L272=0, 'Aqueous Species Options'!S272, IF(OR(ISBLANK('Aqueous Species Options'!H272), 'Aqueous Species Table'!O272=""), "", IF('Aqueous Species Options'!B272="H+", 0, 0.2037*'Aqueous Species Options'!H272 - 3.0346) ) ) )</f>
        <v/>
      </c>
      <c r="O272" s="42" t="str">
        <f>IF(ISBLANK('Aqueous Species Options'!B272), "", IF('Aqueous Species Options'!K272=0, 'Aqueous Species Options'!I272, IF(OR('Aqueous Species Options'!J272&gt;4,'Aqueous Species Options'!J272&lt;-4), "", IF('Aqueous Species Options'!B272="H+", 0, IF('Aqueous Species Options'!J272=0, -0.038, IF(ISBLANK('Aqueous Species Options'!F272), "", -1514.4*'Aqueous Species Options'!F272*0.00001 + SUM(({4,3,2,1,-1,-2,-3,-4}='Aqueous Species Options'!J272)*{2.1764,1.5793,1.0579,0.5517,1.6291,3.2127,4.8115,6.486}) ) ) ) ) ) )</f>
        <v/>
      </c>
      <c r="P272" s="1" t="str">
        <f>IF(ISBLANK('Aqueous Species Options'!J272), "", 'Aqueous Species Options'!J272)</f>
        <v/>
      </c>
      <c r="Q272" s="184" t="str">
        <f>IF(ISBLANK('Aqueous Species Options'!T272), "", 'Aqueous Species Options'!T272)</f>
        <v/>
      </c>
    </row>
    <row r="273" spans="2:17" ht="16" x14ac:dyDescent="0.2">
      <c r="B273" s="9" t="str">
        <f>IF(ISBLANK('Aqueous Species Options'!B273), "", 'Aqueous Species Options'!B273)</f>
        <v/>
      </c>
      <c r="C273" s="9" t="str">
        <f>IF(ISBLANK('Aqueous Species Options'!C273), "", 'Aqueous Species Options'!C273)</f>
        <v/>
      </c>
      <c r="D273" s="2" t="str">
        <f>IF(ISBLANK('Aqueous Species Options'!D273), "", 'Aqueous Species Options'!D273)</f>
        <v/>
      </c>
      <c r="E273" s="1" t="str">
        <f>IF(ISBLANK('Aqueous Species Options'!E273), "", 'Aqueous Species Options'!E273)</f>
        <v/>
      </c>
      <c r="F273" s="139" t="str">
        <f>IF(ISBLANK('Aqueous Species Options'!F273), "", 'Aqueous Species Options'!F273)</f>
        <v/>
      </c>
      <c r="G273" s="29" t="str">
        <f>IF(ISBLANK('Aqueous Species Options'!B273), "", IF('Aqueous Species Options'!L273 = 1, IF(ISBLANK('Aqueous Species Options'!G273), "", 'Aqueous Species Options'!G273), ('Aqueous Species Table'!I273/10 + ('Aqueous Species Table'!J273*100)/(Calculations!$C$12+Calculations!$C$9) + ('Aqueous Species Table'!K273 + ('Aqueous Species Table'!L273*10000)/(Calculations!$C$12+Calculations!$C$9))*(1/(Calculations!$C$8-Calculations!$C$13)) - 'Aqueous Species Table'!O273*100000*0.0000005903)*41.8393))</f>
        <v/>
      </c>
      <c r="H273" s="29" t="str">
        <f>IF(ISBLANK('Aqueous Species Options'!B273), "", IF('Aqueous Species Options'!L273 = 1, IF(ISBLANK('Aqueous Species Options'!H273), "", 'Aqueous Species Options'!H273), 'Aqueous Species Table'!M273 + 'Aqueous Species Table'!N273*10000*(1/(Calculations!$C$8-Calculations!$C$13))^2 + 'Aqueous Species Table'!O273*100000*Calculations!$C$8*Calculations!$C$7))</f>
        <v/>
      </c>
      <c r="I273" s="42" t="str">
        <f>IF(ISBLANK('Aqueous Species Options'!B273), "", IF('Aqueous Species Options'!L273=0, 'Aqueous Species Options'!N273, IF(OR(ISBLANK('Aqueous Species Options'!G273),'Aqueous Species Table'!O273="", 'Aqueous Species Table'!P273=""), "", IF('Aqueous Species Options'!B273="H+", 0, (CHOOSE('Aqueous Species Options'!M273+1,'Aqueous Species Options'!$V$4*ABS('Aqueous Species Table'!P273)+'Aqueous Species Options'!$W$4,'Aqueous Species Options'!$Z$4)*('Aqueous Species Options'!G273 + 'Aqueous Species Table'!O273*100000*0.0000005903*41.8393) + CHOOSE('Aqueous Species Options'!M273+1,'Aqueous Species Options'!$X$4*ABS('Aqueous Species Table'!P273)+'Aqueous Species Options'!$Y$4,'Aqueous Species Options'!$AA$4))*10 ) ) ) )</f>
        <v/>
      </c>
      <c r="J273" s="42" t="str">
        <f>IF(ISBLANK('Aqueous Species Options'!B273), "", IF('Aqueous Species Options'!L273 = 0, 'Aqueous Species Options'!O273, IF('Aqueous Species Table'!I273="", "", IF('Aqueous Species Options'!B273="H+", 0, ((1.11*('Aqueous Species Options'!G273 + 'Aqueous Species Table'!O273*100000*0.0000005903*41.8393)+1.8)/41.8393 - 'Aqueous Species Table'!I273/10)*26.01 ) ) ) )</f>
        <v/>
      </c>
      <c r="K273" s="42" t="str">
        <f>IF(ISBLANK('Aqueous Species Options'!B273), "", IF('Aqueous Species Options'!L273 = 0, 'Aqueous Species Options'!P273, IF('Aqueous Species Table'!I273="", "", IF('Aqueous Species Options'!B273="H+", 0, ('Aqueous Species Options'!G273/41.8393 + 'Aqueous Species Table'!O273*100000*0.0000005903 - 'Aqueous Species Table'!I273/10 - 'Aqueous Species Table'!J273*100/2601)*(298.15-228) - ('Aqueous Species Table'!L273*10000/2601) ) ) ) )</f>
        <v/>
      </c>
      <c r="L273" s="42" t="str">
        <f>IF(ISBLANK('Aqueous Species Options'!B273), "", IF('Aqueous Species Options'!L273 = 0, 'Aqueous Species Options'!Q273, IF('Aqueous Species Table'!J273="", "", IF('Aqueous Species Options'!B273="H+", 0, (-4.134*'Aqueous Species Table'!J273*100 - 27790)*0.0001) ) ) )</f>
        <v/>
      </c>
      <c r="M273" s="42" t="str">
        <f>IF(ISBLANK('Aqueous Species Options'!B273), "", IF('Aqueous Species Options'!L273=0, 'Aqueous Species Options'!R273, IF('Aqueous Species Table'!N273="", "", IF('Aqueous Species Options'!B273="H+", 0, 'Aqueous Species Options'!H273 - 'Aqueous Species Table'!O273*100000*(-0.000000309)*298.15 - 'Aqueous Species Table'!N273*10000/(298.15-228)^2 ) ) ) )</f>
        <v/>
      </c>
      <c r="N273" s="42" t="str">
        <f>IF(ISBLANK('Aqueous Species Options'!B273), "", IF('Aqueous Species Options'!L273=0, 'Aqueous Species Options'!S273, IF(OR(ISBLANK('Aqueous Species Options'!H273), 'Aqueous Species Table'!O273=""), "", IF('Aqueous Species Options'!B273="H+", 0, 0.2037*'Aqueous Species Options'!H273 - 3.0346) ) ) )</f>
        <v/>
      </c>
      <c r="O273" s="42" t="str">
        <f>IF(ISBLANK('Aqueous Species Options'!B273), "", IF('Aqueous Species Options'!K273=0, 'Aqueous Species Options'!I273, IF(OR('Aqueous Species Options'!J273&gt;4,'Aqueous Species Options'!J273&lt;-4), "", IF('Aqueous Species Options'!B273="H+", 0, IF('Aqueous Species Options'!J273=0, -0.038, IF(ISBLANK('Aqueous Species Options'!F273), "", -1514.4*'Aqueous Species Options'!F273*0.00001 + SUM(({4,3,2,1,-1,-2,-3,-4}='Aqueous Species Options'!J273)*{2.1764,1.5793,1.0579,0.5517,1.6291,3.2127,4.8115,6.486}) ) ) ) ) ) )</f>
        <v/>
      </c>
      <c r="P273" s="1" t="str">
        <f>IF(ISBLANK('Aqueous Species Options'!J273), "", 'Aqueous Species Options'!J273)</f>
        <v/>
      </c>
      <c r="Q273" s="184" t="str">
        <f>IF(ISBLANK('Aqueous Species Options'!T273), "", 'Aqueous Species Options'!T273)</f>
        <v/>
      </c>
    </row>
    <row r="274" spans="2:17" ht="16" x14ac:dyDescent="0.2">
      <c r="B274" s="9" t="str">
        <f>IF(ISBLANK('Aqueous Species Options'!B274), "", 'Aqueous Species Options'!B274)</f>
        <v/>
      </c>
      <c r="C274" s="9" t="str">
        <f>IF(ISBLANK('Aqueous Species Options'!C274), "", 'Aqueous Species Options'!C274)</f>
        <v/>
      </c>
      <c r="D274" s="2" t="str">
        <f>IF(ISBLANK('Aqueous Species Options'!D274), "", 'Aqueous Species Options'!D274)</f>
        <v/>
      </c>
      <c r="E274" s="1" t="str">
        <f>IF(ISBLANK('Aqueous Species Options'!E274), "", 'Aqueous Species Options'!E274)</f>
        <v/>
      </c>
      <c r="F274" s="139" t="str">
        <f>IF(ISBLANK('Aqueous Species Options'!F274), "", 'Aqueous Species Options'!F274)</f>
        <v/>
      </c>
      <c r="G274" s="29" t="str">
        <f>IF(ISBLANK('Aqueous Species Options'!B274), "", IF('Aqueous Species Options'!L274 = 1, IF(ISBLANK('Aqueous Species Options'!G274), "", 'Aqueous Species Options'!G274), ('Aqueous Species Table'!I274/10 + ('Aqueous Species Table'!J274*100)/(Calculations!$C$12+Calculations!$C$9) + ('Aqueous Species Table'!K274 + ('Aqueous Species Table'!L274*10000)/(Calculations!$C$12+Calculations!$C$9))*(1/(Calculations!$C$8-Calculations!$C$13)) - 'Aqueous Species Table'!O274*100000*0.0000005903)*41.8393))</f>
        <v/>
      </c>
      <c r="H274" s="29" t="str">
        <f>IF(ISBLANK('Aqueous Species Options'!B274), "", IF('Aqueous Species Options'!L274 = 1, IF(ISBLANK('Aqueous Species Options'!H274), "", 'Aqueous Species Options'!H274), 'Aqueous Species Table'!M274 + 'Aqueous Species Table'!N274*10000*(1/(Calculations!$C$8-Calculations!$C$13))^2 + 'Aqueous Species Table'!O274*100000*Calculations!$C$8*Calculations!$C$7))</f>
        <v/>
      </c>
      <c r="I274" s="42" t="str">
        <f>IF(ISBLANK('Aqueous Species Options'!B274), "", IF('Aqueous Species Options'!L274=0, 'Aqueous Species Options'!N274, IF(OR(ISBLANK('Aqueous Species Options'!G274),'Aqueous Species Table'!O274="", 'Aqueous Species Table'!P274=""), "", IF('Aqueous Species Options'!B274="H+", 0, (CHOOSE('Aqueous Species Options'!M274+1,'Aqueous Species Options'!$V$4*ABS('Aqueous Species Table'!P274)+'Aqueous Species Options'!$W$4,'Aqueous Species Options'!$Z$4)*('Aqueous Species Options'!G274 + 'Aqueous Species Table'!O274*100000*0.0000005903*41.8393) + CHOOSE('Aqueous Species Options'!M274+1,'Aqueous Species Options'!$X$4*ABS('Aqueous Species Table'!P274)+'Aqueous Species Options'!$Y$4,'Aqueous Species Options'!$AA$4))*10 ) ) ) )</f>
        <v/>
      </c>
      <c r="J274" s="42" t="str">
        <f>IF(ISBLANK('Aqueous Species Options'!B274), "", IF('Aqueous Species Options'!L274 = 0, 'Aqueous Species Options'!O274, IF('Aqueous Species Table'!I274="", "", IF('Aqueous Species Options'!B274="H+", 0, ((1.11*('Aqueous Species Options'!G274 + 'Aqueous Species Table'!O274*100000*0.0000005903*41.8393)+1.8)/41.8393 - 'Aqueous Species Table'!I274/10)*26.01 ) ) ) )</f>
        <v/>
      </c>
      <c r="K274" s="42" t="str">
        <f>IF(ISBLANK('Aqueous Species Options'!B274), "", IF('Aqueous Species Options'!L274 = 0, 'Aqueous Species Options'!P274, IF('Aqueous Species Table'!I274="", "", IF('Aqueous Species Options'!B274="H+", 0, ('Aqueous Species Options'!G274/41.8393 + 'Aqueous Species Table'!O274*100000*0.0000005903 - 'Aqueous Species Table'!I274/10 - 'Aqueous Species Table'!J274*100/2601)*(298.15-228) - ('Aqueous Species Table'!L274*10000/2601) ) ) ) )</f>
        <v/>
      </c>
      <c r="L274" s="42" t="str">
        <f>IF(ISBLANK('Aqueous Species Options'!B274), "", IF('Aqueous Species Options'!L274 = 0, 'Aqueous Species Options'!Q274, IF('Aqueous Species Table'!J274="", "", IF('Aqueous Species Options'!B274="H+", 0, (-4.134*'Aqueous Species Table'!J274*100 - 27790)*0.0001) ) ) )</f>
        <v/>
      </c>
      <c r="M274" s="42" t="str">
        <f>IF(ISBLANK('Aqueous Species Options'!B274), "", IF('Aqueous Species Options'!L274=0, 'Aqueous Species Options'!R274, IF('Aqueous Species Table'!N274="", "", IF('Aqueous Species Options'!B274="H+", 0, 'Aqueous Species Options'!H274 - 'Aqueous Species Table'!O274*100000*(-0.000000309)*298.15 - 'Aqueous Species Table'!N274*10000/(298.15-228)^2 ) ) ) )</f>
        <v/>
      </c>
      <c r="N274" s="42" t="str">
        <f>IF(ISBLANK('Aqueous Species Options'!B274), "", IF('Aqueous Species Options'!L274=0, 'Aqueous Species Options'!S274, IF(OR(ISBLANK('Aqueous Species Options'!H274), 'Aqueous Species Table'!O274=""), "", IF('Aqueous Species Options'!B274="H+", 0, 0.2037*'Aqueous Species Options'!H274 - 3.0346) ) ) )</f>
        <v/>
      </c>
      <c r="O274" s="42" t="str">
        <f>IF(ISBLANK('Aqueous Species Options'!B274), "", IF('Aqueous Species Options'!K274=0, 'Aqueous Species Options'!I274, IF(OR('Aqueous Species Options'!J274&gt;4,'Aqueous Species Options'!J274&lt;-4), "", IF('Aqueous Species Options'!B274="H+", 0, IF('Aqueous Species Options'!J274=0, -0.038, IF(ISBLANK('Aqueous Species Options'!F274), "", -1514.4*'Aqueous Species Options'!F274*0.00001 + SUM(({4,3,2,1,-1,-2,-3,-4}='Aqueous Species Options'!J274)*{2.1764,1.5793,1.0579,0.5517,1.6291,3.2127,4.8115,6.486}) ) ) ) ) ) )</f>
        <v/>
      </c>
      <c r="P274" s="1" t="str">
        <f>IF(ISBLANK('Aqueous Species Options'!J274), "", 'Aqueous Species Options'!J274)</f>
        <v/>
      </c>
      <c r="Q274" s="184" t="str">
        <f>IF(ISBLANK('Aqueous Species Options'!T274), "", 'Aqueous Species Options'!T274)</f>
        <v/>
      </c>
    </row>
    <row r="275" spans="2:17" ht="16" x14ac:dyDescent="0.2">
      <c r="B275" s="9" t="str">
        <f>IF(ISBLANK('Aqueous Species Options'!B275), "", 'Aqueous Species Options'!B275)</f>
        <v/>
      </c>
      <c r="C275" s="9" t="str">
        <f>IF(ISBLANK('Aqueous Species Options'!C275), "", 'Aqueous Species Options'!C275)</f>
        <v/>
      </c>
      <c r="D275" s="2" t="str">
        <f>IF(ISBLANK('Aqueous Species Options'!D275), "", 'Aqueous Species Options'!D275)</f>
        <v/>
      </c>
      <c r="E275" s="1" t="str">
        <f>IF(ISBLANK('Aqueous Species Options'!E275), "", 'Aqueous Species Options'!E275)</f>
        <v/>
      </c>
      <c r="F275" s="139" t="str">
        <f>IF(ISBLANK('Aqueous Species Options'!F275), "", 'Aqueous Species Options'!F275)</f>
        <v/>
      </c>
      <c r="G275" s="29" t="str">
        <f>IF(ISBLANK('Aqueous Species Options'!B275), "", IF('Aqueous Species Options'!L275 = 1, IF(ISBLANK('Aqueous Species Options'!G275), "", 'Aqueous Species Options'!G275), ('Aqueous Species Table'!I275/10 + ('Aqueous Species Table'!J275*100)/(Calculations!$C$12+Calculations!$C$9) + ('Aqueous Species Table'!K275 + ('Aqueous Species Table'!L275*10000)/(Calculations!$C$12+Calculations!$C$9))*(1/(Calculations!$C$8-Calculations!$C$13)) - 'Aqueous Species Table'!O275*100000*0.0000005903)*41.8393))</f>
        <v/>
      </c>
      <c r="H275" s="29" t="str">
        <f>IF(ISBLANK('Aqueous Species Options'!B275), "", IF('Aqueous Species Options'!L275 = 1, IF(ISBLANK('Aqueous Species Options'!H275), "", 'Aqueous Species Options'!H275), 'Aqueous Species Table'!M275 + 'Aqueous Species Table'!N275*10000*(1/(Calculations!$C$8-Calculations!$C$13))^2 + 'Aqueous Species Table'!O275*100000*Calculations!$C$8*Calculations!$C$7))</f>
        <v/>
      </c>
      <c r="I275" s="42" t="str">
        <f>IF(ISBLANK('Aqueous Species Options'!B275), "", IF('Aqueous Species Options'!L275=0, 'Aqueous Species Options'!N275, IF(OR(ISBLANK('Aqueous Species Options'!G275),'Aqueous Species Table'!O275="", 'Aqueous Species Table'!P275=""), "", IF('Aqueous Species Options'!B275="H+", 0, (CHOOSE('Aqueous Species Options'!M275+1,'Aqueous Species Options'!$V$4*ABS('Aqueous Species Table'!P275)+'Aqueous Species Options'!$W$4,'Aqueous Species Options'!$Z$4)*('Aqueous Species Options'!G275 + 'Aqueous Species Table'!O275*100000*0.0000005903*41.8393) + CHOOSE('Aqueous Species Options'!M275+1,'Aqueous Species Options'!$X$4*ABS('Aqueous Species Table'!P275)+'Aqueous Species Options'!$Y$4,'Aqueous Species Options'!$AA$4))*10 ) ) ) )</f>
        <v/>
      </c>
      <c r="J275" s="42" t="str">
        <f>IF(ISBLANK('Aqueous Species Options'!B275), "", IF('Aqueous Species Options'!L275 = 0, 'Aqueous Species Options'!O275, IF('Aqueous Species Table'!I275="", "", IF('Aqueous Species Options'!B275="H+", 0, ((1.11*('Aqueous Species Options'!G275 + 'Aqueous Species Table'!O275*100000*0.0000005903*41.8393)+1.8)/41.8393 - 'Aqueous Species Table'!I275/10)*26.01 ) ) ) )</f>
        <v/>
      </c>
      <c r="K275" s="42" t="str">
        <f>IF(ISBLANK('Aqueous Species Options'!B275), "", IF('Aqueous Species Options'!L275 = 0, 'Aqueous Species Options'!P275, IF('Aqueous Species Table'!I275="", "", IF('Aqueous Species Options'!B275="H+", 0, ('Aqueous Species Options'!G275/41.8393 + 'Aqueous Species Table'!O275*100000*0.0000005903 - 'Aqueous Species Table'!I275/10 - 'Aqueous Species Table'!J275*100/2601)*(298.15-228) - ('Aqueous Species Table'!L275*10000/2601) ) ) ) )</f>
        <v/>
      </c>
      <c r="L275" s="42" t="str">
        <f>IF(ISBLANK('Aqueous Species Options'!B275), "", IF('Aqueous Species Options'!L275 = 0, 'Aqueous Species Options'!Q275, IF('Aqueous Species Table'!J275="", "", IF('Aqueous Species Options'!B275="H+", 0, (-4.134*'Aqueous Species Table'!J275*100 - 27790)*0.0001) ) ) )</f>
        <v/>
      </c>
      <c r="M275" s="42" t="str">
        <f>IF(ISBLANK('Aqueous Species Options'!B275), "", IF('Aqueous Species Options'!L275=0, 'Aqueous Species Options'!R275, IF('Aqueous Species Table'!N275="", "", IF('Aqueous Species Options'!B275="H+", 0, 'Aqueous Species Options'!H275 - 'Aqueous Species Table'!O275*100000*(-0.000000309)*298.15 - 'Aqueous Species Table'!N275*10000/(298.15-228)^2 ) ) ) )</f>
        <v/>
      </c>
      <c r="N275" s="42" t="str">
        <f>IF(ISBLANK('Aqueous Species Options'!B275), "", IF('Aqueous Species Options'!L275=0, 'Aqueous Species Options'!S275, IF(OR(ISBLANK('Aqueous Species Options'!H275), 'Aqueous Species Table'!O275=""), "", IF('Aqueous Species Options'!B275="H+", 0, 0.2037*'Aqueous Species Options'!H275 - 3.0346) ) ) )</f>
        <v/>
      </c>
      <c r="O275" s="42" t="str">
        <f>IF(ISBLANK('Aqueous Species Options'!B275), "", IF('Aqueous Species Options'!K275=0, 'Aqueous Species Options'!I275, IF(OR('Aqueous Species Options'!J275&gt;4,'Aqueous Species Options'!J275&lt;-4), "", IF('Aqueous Species Options'!B275="H+", 0, IF('Aqueous Species Options'!J275=0, -0.038, IF(ISBLANK('Aqueous Species Options'!F275), "", -1514.4*'Aqueous Species Options'!F275*0.00001 + SUM(({4,3,2,1,-1,-2,-3,-4}='Aqueous Species Options'!J275)*{2.1764,1.5793,1.0579,0.5517,1.6291,3.2127,4.8115,6.486}) ) ) ) ) ) )</f>
        <v/>
      </c>
      <c r="P275" s="1" t="str">
        <f>IF(ISBLANK('Aqueous Species Options'!J275), "", 'Aqueous Species Options'!J275)</f>
        <v/>
      </c>
      <c r="Q275" s="184" t="str">
        <f>IF(ISBLANK('Aqueous Species Options'!T275), "", 'Aqueous Species Options'!T275)</f>
        <v/>
      </c>
    </row>
    <row r="276" spans="2:17" ht="16" x14ac:dyDescent="0.2">
      <c r="B276" s="9" t="str">
        <f>IF(ISBLANK('Aqueous Species Options'!B276), "", 'Aqueous Species Options'!B276)</f>
        <v/>
      </c>
      <c r="C276" s="9" t="str">
        <f>IF(ISBLANK('Aqueous Species Options'!C276), "", 'Aqueous Species Options'!C276)</f>
        <v/>
      </c>
      <c r="D276" s="2" t="str">
        <f>IF(ISBLANK('Aqueous Species Options'!D276), "", 'Aqueous Species Options'!D276)</f>
        <v/>
      </c>
      <c r="E276" s="1" t="str">
        <f>IF(ISBLANK('Aqueous Species Options'!E276), "", 'Aqueous Species Options'!E276)</f>
        <v/>
      </c>
      <c r="F276" s="139" t="str">
        <f>IF(ISBLANK('Aqueous Species Options'!F276), "", 'Aqueous Species Options'!F276)</f>
        <v/>
      </c>
      <c r="G276" s="29" t="str">
        <f>IF(ISBLANK('Aqueous Species Options'!B276), "", IF('Aqueous Species Options'!L276 = 1, IF(ISBLANK('Aqueous Species Options'!G276), "", 'Aqueous Species Options'!G276), ('Aqueous Species Table'!I276/10 + ('Aqueous Species Table'!J276*100)/(Calculations!$C$12+Calculations!$C$9) + ('Aqueous Species Table'!K276 + ('Aqueous Species Table'!L276*10000)/(Calculations!$C$12+Calculations!$C$9))*(1/(Calculations!$C$8-Calculations!$C$13)) - 'Aqueous Species Table'!O276*100000*0.0000005903)*41.8393))</f>
        <v/>
      </c>
      <c r="H276" s="29" t="str">
        <f>IF(ISBLANK('Aqueous Species Options'!B276), "", IF('Aqueous Species Options'!L276 = 1, IF(ISBLANK('Aqueous Species Options'!H276), "", 'Aqueous Species Options'!H276), 'Aqueous Species Table'!M276 + 'Aqueous Species Table'!N276*10000*(1/(Calculations!$C$8-Calculations!$C$13))^2 + 'Aqueous Species Table'!O276*100000*Calculations!$C$8*Calculations!$C$7))</f>
        <v/>
      </c>
      <c r="I276" s="42" t="str">
        <f>IF(ISBLANK('Aqueous Species Options'!B276), "", IF('Aqueous Species Options'!L276=0, 'Aqueous Species Options'!N276, IF(OR(ISBLANK('Aqueous Species Options'!G276),'Aqueous Species Table'!O276="", 'Aqueous Species Table'!P276=""), "", IF('Aqueous Species Options'!B276="H+", 0, (CHOOSE('Aqueous Species Options'!M276+1,'Aqueous Species Options'!$V$4*ABS('Aqueous Species Table'!P276)+'Aqueous Species Options'!$W$4,'Aqueous Species Options'!$Z$4)*('Aqueous Species Options'!G276 + 'Aqueous Species Table'!O276*100000*0.0000005903*41.8393) + CHOOSE('Aqueous Species Options'!M276+1,'Aqueous Species Options'!$X$4*ABS('Aqueous Species Table'!P276)+'Aqueous Species Options'!$Y$4,'Aqueous Species Options'!$AA$4))*10 ) ) ) )</f>
        <v/>
      </c>
      <c r="J276" s="42" t="str">
        <f>IF(ISBLANK('Aqueous Species Options'!B276), "", IF('Aqueous Species Options'!L276 = 0, 'Aqueous Species Options'!O276, IF('Aqueous Species Table'!I276="", "", IF('Aqueous Species Options'!B276="H+", 0, ((1.11*('Aqueous Species Options'!G276 + 'Aqueous Species Table'!O276*100000*0.0000005903*41.8393)+1.8)/41.8393 - 'Aqueous Species Table'!I276/10)*26.01 ) ) ) )</f>
        <v/>
      </c>
      <c r="K276" s="42" t="str">
        <f>IF(ISBLANK('Aqueous Species Options'!B276), "", IF('Aqueous Species Options'!L276 = 0, 'Aqueous Species Options'!P276, IF('Aqueous Species Table'!I276="", "", IF('Aqueous Species Options'!B276="H+", 0, ('Aqueous Species Options'!G276/41.8393 + 'Aqueous Species Table'!O276*100000*0.0000005903 - 'Aqueous Species Table'!I276/10 - 'Aqueous Species Table'!J276*100/2601)*(298.15-228) - ('Aqueous Species Table'!L276*10000/2601) ) ) ) )</f>
        <v/>
      </c>
      <c r="L276" s="42" t="str">
        <f>IF(ISBLANK('Aqueous Species Options'!B276), "", IF('Aqueous Species Options'!L276 = 0, 'Aqueous Species Options'!Q276, IF('Aqueous Species Table'!J276="", "", IF('Aqueous Species Options'!B276="H+", 0, (-4.134*'Aqueous Species Table'!J276*100 - 27790)*0.0001) ) ) )</f>
        <v/>
      </c>
      <c r="M276" s="42" t="str">
        <f>IF(ISBLANK('Aqueous Species Options'!B276), "", IF('Aqueous Species Options'!L276=0, 'Aqueous Species Options'!R276, IF('Aqueous Species Table'!N276="", "", IF('Aqueous Species Options'!B276="H+", 0, 'Aqueous Species Options'!H276 - 'Aqueous Species Table'!O276*100000*(-0.000000309)*298.15 - 'Aqueous Species Table'!N276*10000/(298.15-228)^2 ) ) ) )</f>
        <v/>
      </c>
      <c r="N276" s="42" t="str">
        <f>IF(ISBLANK('Aqueous Species Options'!B276), "", IF('Aqueous Species Options'!L276=0, 'Aqueous Species Options'!S276, IF(OR(ISBLANK('Aqueous Species Options'!H276), 'Aqueous Species Table'!O276=""), "", IF('Aqueous Species Options'!B276="H+", 0, 0.2037*'Aqueous Species Options'!H276 - 3.0346) ) ) )</f>
        <v/>
      </c>
      <c r="O276" s="42" t="str">
        <f>IF(ISBLANK('Aqueous Species Options'!B276), "", IF('Aqueous Species Options'!K276=0, 'Aqueous Species Options'!I276, IF(OR('Aqueous Species Options'!J276&gt;4,'Aqueous Species Options'!J276&lt;-4), "", IF('Aqueous Species Options'!B276="H+", 0, IF('Aqueous Species Options'!J276=0, -0.038, IF(ISBLANK('Aqueous Species Options'!F276), "", -1514.4*'Aqueous Species Options'!F276*0.00001 + SUM(({4,3,2,1,-1,-2,-3,-4}='Aqueous Species Options'!J276)*{2.1764,1.5793,1.0579,0.5517,1.6291,3.2127,4.8115,6.486}) ) ) ) ) ) )</f>
        <v/>
      </c>
      <c r="P276" s="1" t="str">
        <f>IF(ISBLANK('Aqueous Species Options'!J276), "", 'Aqueous Species Options'!J276)</f>
        <v/>
      </c>
      <c r="Q276" s="184" t="str">
        <f>IF(ISBLANK('Aqueous Species Options'!T276), "", 'Aqueous Species Options'!T276)</f>
        <v/>
      </c>
    </row>
    <row r="277" spans="2:17" ht="16" x14ac:dyDescent="0.2">
      <c r="B277" s="9" t="str">
        <f>IF(ISBLANK('Aqueous Species Options'!B277), "", 'Aqueous Species Options'!B277)</f>
        <v/>
      </c>
      <c r="C277" s="9" t="str">
        <f>IF(ISBLANK('Aqueous Species Options'!C277), "", 'Aqueous Species Options'!C277)</f>
        <v/>
      </c>
      <c r="D277" s="2" t="str">
        <f>IF(ISBLANK('Aqueous Species Options'!D277), "", 'Aqueous Species Options'!D277)</f>
        <v/>
      </c>
      <c r="E277" s="1" t="str">
        <f>IF(ISBLANK('Aqueous Species Options'!E277), "", 'Aqueous Species Options'!E277)</f>
        <v/>
      </c>
      <c r="F277" s="139" t="str">
        <f>IF(ISBLANK('Aqueous Species Options'!F277), "", 'Aqueous Species Options'!F277)</f>
        <v/>
      </c>
      <c r="G277" s="29" t="str">
        <f>IF(ISBLANK('Aqueous Species Options'!B277), "", IF('Aqueous Species Options'!L277 = 1, IF(ISBLANK('Aqueous Species Options'!G277), "", 'Aqueous Species Options'!G277), ('Aqueous Species Table'!I277/10 + ('Aqueous Species Table'!J277*100)/(Calculations!$C$12+Calculations!$C$9) + ('Aqueous Species Table'!K277 + ('Aqueous Species Table'!L277*10000)/(Calculations!$C$12+Calculations!$C$9))*(1/(Calculations!$C$8-Calculations!$C$13)) - 'Aqueous Species Table'!O277*100000*0.0000005903)*41.8393))</f>
        <v/>
      </c>
      <c r="H277" s="29" t="str">
        <f>IF(ISBLANK('Aqueous Species Options'!B277), "", IF('Aqueous Species Options'!L277 = 1, IF(ISBLANK('Aqueous Species Options'!H277), "", 'Aqueous Species Options'!H277), 'Aqueous Species Table'!M277 + 'Aqueous Species Table'!N277*10000*(1/(Calculations!$C$8-Calculations!$C$13))^2 + 'Aqueous Species Table'!O277*100000*Calculations!$C$8*Calculations!$C$7))</f>
        <v/>
      </c>
      <c r="I277" s="42" t="str">
        <f>IF(ISBLANK('Aqueous Species Options'!B277), "", IF('Aqueous Species Options'!L277=0, 'Aqueous Species Options'!N277, IF(OR(ISBLANK('Aqueous Species Options'!G277),'Aqueous Species Table'!O277="", 'Aqueous Species Table'!P277=""), "", IF('Aqueous Species Options'!B277="H+", 0, (CHOOSE('Aqueous Species Options'!M277+1,'Aqueous Species Options'!$V$4*ABS('Aqueous Species Table'!P277)+'Aqueous Species Options'!$W$4,'Aqueous Species Options'!$Z$4)*('Aqueous Species Options'!G277 + 'Aqueous Species Table'!O277*100000*0.0000005903*41.8393) + CHOOSE('Aqueous Species Options'!M277+1,'Aqueous Species Options'!$X$4*ABS('Aqueous Species Table'!P277)+'Aqueous Species Options'!$Y$4,'Aqueous Species Options'!$AA$4))*10 ) ) ) )</f>
        <v/>
      </c>
      <c r="J277" s="42" t="str">
        <f>IF(ISBLANK('Aqueous Species Options'!B277), "", IF('Aqueous Species Options'!L277 = 0, 'Aqueous Species Options'!O277, IF('Aqueous Species Table'!I277="", "", IF('Aqueous Species Options'!B277="H+", 0, ((1.11*('Aqueous Species Options'!G277 + 'Aqueous Species Table'!O277*100000*0.0000005903*41.8393)+1.8)/41.8393 - 'Aqueous Species Table'!I277/10)*26.01 ) ) ) )</f>
        <v/>
      </c>
      <c r="K277" s="42" t="str">
        <f>IF(ISBLANK('Aqueous Species Options'!B277), "", IF('Aqueous Species Options'!L277 = 0, 'Aqueous Species Options'!P277, IF('Aqueous Species Table'!I277="", "", IF('Aqueous Species Options'!B277="H+", 0, ('Aqueous Species Options'!G277/41.8393 + 'Aqueous Species Table'!O277*100000*0.0000005903 - 'Aqueous Species Table'!I277/10 - 'Aqueous Species Table'!J277*100/2601)*(298.15-228) - ('Aqueous Species Table'!L277*10000/2601) ) ) ) )</f>
        <v/>
      </c>
      <c r="L277" s="42" t="str">
        <f>IF(ISBLANK('Aqueous Species Options'!B277), "", IF('Aqueous Species Options'!L277 = 0, 'Aqueous Species Options'!Q277, IF('Aqueous Species Table'!J277="", "", IF('Aqueous Species Options'!B277="H+", 0, (-4.134*'Aqueous Species Table'!J277*100 - 27790)*0.0001) ) ) )</f>
        <v/>
      </c>
      <c r="M277" s="42" t="str">
        <f>IF(ISBLANK('Aqueous Species Options'!B277), "", IF('Aqueous Species Options'!L277=0, 'Aqueous Species Options'!R277, IF('Aqueous Species Table'!N277="", "", IF('Aqueous Species Options'!B277="H+", 0, 'Aqueous Species Options'!H277 - 'Aqueous Species Table'!O277*100000*(-0.000000309)*298.15 - 'Aqueous Species Table'!N277*10000/(298.15-228)^2 ) ) ) )</f>
        <v/>
      </c>
      <c r="N277" s="42" t="str">
        <f>IF(ISBLANK('Aqueous Species Options'!B277), "", IF('Aqueous Species Options'!L277=0, 'Aqueous Species Options'!S277, IF(OR(ISBLANK('Aqueous Species Options'!H277), 'Aqueous Species Table'!O277=""), "", IF('Aqueous Species Options'!B277="H+", 0, 0.2037*'Aqueous Species Options'!H277 - 3.0346) ) ) )</f>
        <v/>
      </c>
      <c r="O277" s="42" t="str">
        <f>IF(ISBLANK('Aqueous Species Options'!B277), "", IF('Aqueous Species Options'!K277=0, 'Aqueous Species Options'!I277, IF(OR('Aqueous Species Options'!J277&gt;4,'Aqueous Species Options'!J277&lt;-4), "", IF('Aqueous Species Options'!B277="H+", 0, IF('Aqueous Species Options'!J277=0, -0.038, IF(ISBLANK('Aqueous Species Options'!F277), "", -1514.4*'Aqueous Species Options'!F277*0.00001 + SUM(({4,3,2,1,-1,-2,-3,-4}='Aqueous Species Options'!J277)*{2.1764,1.5793,1.0579,0.5517,1.6291,3.2127,4.8115,6.486}) ) ) ) ) ) )</f>
        <v/>
      </c>
      <c r="P277" s="1" t="str">
        <f>IF(ISBLANK('Aqueous Species Options'!J277), "", 'Aqueous Species Options'!J277)</f>
        <v/>
      </c>
      <c r="Q277" s="184" t="str">
        <f>IF(ISBLANK('Aqueous Species Options'!T277), "", 'Aqueous Species Options'!T277)</f>
        <v/>
      </c>
    </row>
    <row r="278" spans="2:17" ht="16" x14ac:dyDescent="0.2">
      <c r="B278" s="9" t="str">
        <f>IF(ISBLANK('Aqueous Species Options'!B278), "", 'Aqueous Species Options'!B278)</f>
        <v/>
      </c>
      <c r="C278" s="9" t="str">
        <f>IF(ISBLANK('Aqueous Species Options'!C278), "", 'Aqueous Species Options'!C278)</f>
        <v/>
      </c>
      <c r="D278" s="2" t="str">
        <f>IF(ISBLANK('Aqueous Species Options'!D278), "", 'Aqueous Species Options'!D278)</f>
        <v/>
      </c>
      <c r="E278" s="1" t="str">
        <f>IF(ISBLANK('Aqueous Species Options'!E278), "", 'Aqueous Species Options'!E278)</f>
        <v/>
      </c>
      <c r="F278" s="139" t="str">
        <f>IF(ISBLANK('Aqueous Species Options'!F278), "", 'Aqueous Species Options'!F278)</f>
        <v/>
      </c>
      <c r="G278" s="29" t="str">
        <f>IF(ISBLANK('Aqueous Species Options'!B278), "", IF('Aqueous Species Options'!L278 = 1, IF(ISBLANK('Aqueous Species Options'!G278), "", 'Aqueous Species Options'!G278), ('Aqueous Species Table'!I278/10 + ('Aqueous Species Table'!J278*100)/(Calculations!$C$12+Calculations!$C$9) + ('Aqueous Species Table'!K278 + ('Aqueous Species Table'!L278*10000)/(Calculations!$C$12+Calculations!$C$9))*(1/(Calculations!$C$8-Calculations!$C$13)) - 'Aqueous Species Table'!O278*100000*0.0000005903)*41.8393))</f>
        <v/>
      </c>
      <c r="H278" s="29" t="str">
        <f>IF(ISBLANK('Aqueous Species Options'!B278), "", IF('Aqueous Species Options'!L278 = 1, IF(ISBLANK('Aqueous Species Options'!H278), "", 'Aqueous Species Options'!H278), 'Aqueous Species Table'!M278 + 'Aqueous Species Table'!N278*10000*(1/(Calculations!$C$8-Calculations!$C$13))^2 + 'Aqueous Species Table'!O278*100000*Calculations!$C$8*Calculations!$C$7))</f>
        <v/>
      </c>
      <c r="I278" s="42" t="str">
        <f>IF(ISBLANK('Aqueous Species Options'!B278), "", IF('Aqueous Species Options'!L278=0, 'Aqueous Species Options'!N278, IF(OR(ISBLANK('Aqueous Species Options'!G278),'Aqueous Species Table'!O278="", 'Aqueous Species Table'!P278=""), "", IF('Aqueous Species Options'!B278="H+", 0, (CHOOSE('Aqueous Species Options'!M278+1,'Aqueous Species Options'!$V$4*ABS('Aqueous Species Table'!P278)+'Aqueous Species Options'!$W$4,'Aqueous Species Options'!$Z$4)*('Aqueous Species Options'!G278 + 'Aqueous Species Table'!O278*100000*0.0000005903*41.8393) + CHOOSE('Aqueous Species Options'!M278+1,'Aqueous Species Options'!$X$4*ABS('Aqueous Species Table'!P278)+'Aqueous Species Options'!$Y$4,'Aqueous Species Options'!$AA$4))*10 ) ) ) )</f>
        <v/>
      </c>
      <c r="J278" s="42" t="str">
        <f>IF(ISBLANK('Aqueous Species Options'!B278), "", IF('Aqueous Species Options'!L278 = 0, 'Aqueous Species Options'!O278, IF('Aqueous Species Table'!I278="", "", IF('Aqueous Species Options'!B278="H+", 0, ((1.11*('Aqueous Species Options'!G278 + 'Aqueous Species Table'!O278*100000*0.0000005903*41.8393)+1.8)/41.8393 - 'Aqueous Species Table'!I278/10)*26.01 ) ) ) )</f>
        <v/>
      </c>
      <c r="K278" s="42" t="str">
        <f>IF(ISBLANK('Aqueous Species Options'!B278), "", IF('Aqueous Species Options'!L278 = 0, 'Aqueous Species Options'!P278, IF('Aqueous Species Table'!I278="", "", IF('Aqueous Species Options'!B278="H+", 0, ('Aqueous Species Options'!G278/41.8393 + 'Aqueous Species Table'!O278*100000*0.0000005903 - 'Aqueous Species Table'!I278/10 - 'Aqueous Species Table'!J278*100/2601)*(298.15-228) - ('Aqueous Species Table'!L278*10000/2601) ) ) ) )</f>
        <v/>
      </c>
      <c r="L278" s="42" t="str">
        <f>IF(ISBLANK('Aqueous Species Options'!B278), "", IF('Aqueous Species Options'!L278 = 0, 'Aqueous Species Options'!Q278, IF('Aqueous Species Table'!J278="", "", IF('Aqueous Species Options'!B278="H+", 0, (-4.134*'Aqueous Species Table'!J278*100 - 27790)*0.0001) ) ) )</f>
        <v/>
      </c>
      <c r="M278" s="42" t="str">
        <f>IF(ISBLANK('Aqueous Species Options'!B278), "", IF('Aqueous Species Options'!L278=0, 'Aqueous Species Options'!R278, IF('Aqueous Species Table'!N278="", "", IF('Aqueous Species Options'!B278="H+", 0, 'Aqueous Species Options'!H278 - 'Aqueous Species Table'!O278*100000*(-0.000000309)*298.15 - 'Aqueous Species Table'!N278*10000/(298.15-228)^2 ) ) ) )</f>
        <v/>
      </c>
      <c r="N278" s="42" t="str">
        <f>IF(ISBLANK('Aqueous Species Options'!B278), "", IF('Aqueous Species Options'!L278=0, 'Aqueous Species Options'!S278, IF(OR(ISBLANK('Aqueous Species Options'!H278), 'Aqueous Species Table'!O278=""), "", IF('Aqueous Species Options'!B278="H+", 0, 0.2037*'Aqueous Species Options'!H278 - 3.0346) ) ) )</f>
        <v/>
      </c>
      <c r="O278" s="42" t="str">
        <f>IF(ISBLANK('Aqueous Species Options'!B278), "", IF('Aqueous Species Options'!K278=0, 'Aqueous Species Options'!I278, IF(OR('Aqueous Species Options'!J278&gt;4,'Aqueous Species Options'!J278&lt;-4), "", IF('Aqueous Species Options'!B278="H+", 0, IF('Aqueous Species Options'!J278=0, -0.038, IF(ISBLANK('Aqueous Species Options'!F278), "", -1514.4*'Aqueous Species Options'!F278*0.00001 + SUM(({4,3,2,1,-1,-2,-3,-4}='Aqueous Species Options'!J278)*{2.1764,1.5793,1.0579,0.5517,1.6291,3.2127,4.8115,6.486}) ) ) ) ) ) )</f>
        <v/>
      </c>
      <c r="P278" s="1" t="str">
        <f>IF(ISBLANK('Aqueous Species Options'!J278), "", 'Aqueous Species Options'!J278)</f>
        <v/>
      </c>
      <c r="Q278" s="184" t="str">
        <f>IF(ISBLANK('Aqueous Species Options'!T278), "", 'Aqueous Species Options'!T278)</f>
        <v/>
      </c>
    </row>
    <row r="279" spans="2:17" ht="16" x14ac:dyDescent="0.2">
      <c r="B279" s="9" t="str">
        <f>IF(ISBLANK('Aqueous Species Options'!B279), "", 'Aqueous Species Options'!B279)</f>
        <v/>
      </c>
      <c r="C279" s="9" t="str">
        <f>IF(ISBLANK('Aqueous Species Options'!C279), "", 'Aqueous Species Options'!C279)</f>
        <v/>
      </c>
      <c r="D279" s="2" t="str">
        <f>IF(ISBLANK('Aqueous Species Options'!D279), "", 'Aqueous Species Options'!D279)</f>
        <v/>
      </c>
      <c r="E279" s="1" t="str">
        <f>IF(ISBLANK('Aqueous Species Options'!E279), "", 'Aqueous Species Options'!E279)</f>
        <v/>
      </c>
      <c r="F279" s="139" t="str">
        <f>IF(ISBLANK('Aqueous Species Options'!F279), "", 'Aqueous Species Options'!F279)</f>
        <v/>
      </c>
      <c r="G279" s="29" t="str">
        <f>IF(ISBLANK('Aqueous Species Options'!B279), "", IF('Aqueous Species Options'!L279 = 1, IF(ISBLANK('Aqueous Species Options'!G279), "", 'Aqueous Species Options'!G279), ('Aqueous Species Table'!I279/10 + ('Aqueous Species Table'!J279*100)/(Calculations!$C$12+Calculations!$C$9) + ('Aqueous Species Table'!K279 + ('Aqueous Species Table'!L279*10000)/(Calculations!$C$12+Calculations!$C$9))*(1/(Calculations!$C$8-Calculations!$C$13)) - 'Aqueous Species Table'!O279*100000*0.0000005903)*41.8393))</f>
        <v/>
      </c>
      <c r="H279" s="29" t="str">
        <f>IF(ISBLANK('Aqueous Species Options'!B279), "", IF('Aqueous Species Options'!L279 = 1, IF(ISBLANK('Aqueous Species Options'!H279), "", 'Aqueous Species Options'!H279), 'Aqueous Species Table'!M279 + 'Aqueous Species Table'!N279*10000*(1/(Calculations!$C$8-Calculations!$C$13))^2 + 'Aqueous Species Table'!O279*100000*Calculations!$C$8*Calculations!$C$7))</f>
        <v/>
      </c>
      <c r="I279" s="42" t="str">
        <f>IF(ISBLANK('Aqueous Species Options'!B279), "", IF('Aqueous Species Options'!L279=0, 'Aqueous Species Options'!N279, IF(OR(ISBLANK('Aqueous Species Options'!G279),'Aqueous Species Table'!O279="", 'Aqueous Species Table'!P279=""), "", IF('Aqueous Species Options'!B279="H+", 0, (CHOOSE('Aqueous Species Options'!M279+1,'Aqueous Species Options'!$V$4*ABS('Aqueous Species Table'!P279)+'Aqueous Species Options'!$W$4,'Aqueous Species Options'!$Z$4)*('Aqueous Species Options'!G279 + 'Aqueous Species Table'!O279*100000*0.0000005903*41.8393) + CHOOSE('Aqueous Species Options'!M279+1,'Aqueous Species Options'!$X$4*ABS('Aqueous Species Table'!P279)+'Aqueous Species Options'!$Y$4,'Aqueous Species Options'!$AA$4))*10 ) ) ) )</f>
        <v/>
      </c>
      <c r="J279" s="42" t="str">
        <f>IF(ISBLANK('Aqueous Species Options'!B279), "", IF('Aqueous Species Options'!L279 = 0, 'Aqueous Species Options'!O279, IF('Aqueous Species Table'!I279="", "", IF('Aqueous Species Options'!B279="H+", 0, ((1.11*('Aqueous Species Options'!G279 + 'Aqueous Species Table'!O279*100000*0.0000005903*41.8393)+1.8)/41.8393 - 'Aqueous Species Table'!I279/10)*26.01 ) ) ) )</f>
        <v/>
      </c>
      <c r="K279" s="42" t="str">
        <f>IF(ISBLANK('Aqueous Species Options'!B279), "", IF('Aqueous Species Options'!L279 = 0, 'Aqueous Species Options'!P279, IF('Aqueous Species Table'!I279="", "", IF('Aqueous Species Options'!B279="H+", 0, ('Aqueous Species Options'!G279/41.8393 + 'Aqueous Species Table'!O279*100000*0.0000005903 - 'Aqueous Species Table'!I279/10 - 'Aqueous Species Table'!J279*100/2601)*(298.15-228) - ('Aqueous Species Table'!L279*10000/2601) ) ) ) )</f>
        <v/>
      </c>
      <c r="L279" s="42" t="str">
        <f>IF(ISBLANK('Aqueous Species Options'!B279), "", IF('Aqueous Species Options'!L279 = 0, 'Aqueous Species Options'!Q279, IF('Aqueous Species Table'!J279="", "", IF('Aqueous Species Options'!B279="H+", 0, (-4.134*'Aqueous Species Table'!J279*100 - 27790)*0.0001) ) ) )</f>
        <v/>
      </c>
      <c r="M279" s="42" t="str">
        <f>IF(ISBLANK('Aqueous Species Options'!B279), "", IF('Aqueous Species Options'!L279=0, 'Aqueous Species Options'!R279, IF('Aqueous Species Table'!N279="", "", IF('Aqueous Species Options'!B279="H+", 0, 'Aqueous Species Options'!H279 - 'Aqueous Species Table'!O279*100000*(-0.000000309)*298.15 - 'Aqueous Species Table'!N279*10000/(298.15-228)^2 ) ) ) )</f>
        <v/>
      </c>
      <c r="N279" s="42" t="str">
        <f>IF(ISBLANK('Aqueous Species Options'!B279), "", IF('Aqueous Species Options'!L279=0, 'Aqueous Species Options'!S279, IF(OR(ISBLANK('Aqueous Species Options'!H279), 'Aqueous Species Table'!O279=""), "", IF('Aqueous Species Options'!B279="H+", 0, 0.2037*'Aqueous Species Options'!H279 - 3.0346) ) ) )</f>
        <v/>
      </c>
      <c r="O279" s="42" t="str">
        <f>IF(ISBLANK('Aqueous Species Options'!B279), "", IF('Aqueous Species Options'!K279=0, 'Aqueous Species Options'!I279, IF(OR('Aqueous Species Options'!J279&gt;4,'Aqueous Species Options'!J279&lt;-4), "", IF('Aqueous Species Options'!B279="H+", 0, IF('Aqueous Species Options'!J279=0, -0.038, IF(ISBLANK('Aqueous Species Options'!F279), "", -1514.4*'Aqueous Species Options'!F279*0.00001 + SUM(({4,3,2,1,-1,-2,-3,-4}='Aqueous Species Options'!J279)*{2.1764,1.5793,1.0579,0.5517,1.6291,3.2127,4.8115,6.486}) ) ) ) ) ) )</f>
        <v/>
      </c>
      <c r="P279" s="1" t="str">
        <f>IF(ISBLANK('Aqueous Species Options'!J279), "", 'Aqueous Species Options'!J279)</f>
        <v/>
      </c>
      <c r="Q279" s="184" t="str">
        <f>IF(ISBLANK('Aqueous Species Options'!T279), "", 'Aqueous Species Options'!T279)</f>
        <v/>
      </c>
    </row>
    <row r="280" spans="2:17" ht="16" x14ac:dyDescent="0.2">
      <c r="B280" s="9" t="str">
        <f>IF(ISBLANK('Aqueous Species Options'!B280), "", 'Aqueous Species Options'!B280)</f>
        <v/>
      </c>
      <c r="C280" s="9" t="str">
        <f>IF(ISBLANK('Aqueous Species Options'!C280), "", 'Aqueous Species Options'!C280)</f>
        <v/>
      </c>
      <c r="D280" s="2" t="str">
        <f>IF(ISBLANK('Aqueous Species Options'!D280), "", 'Aqueous Species Options'!D280)</f>
        <v/>
      </c>
      <c r="E280" s="1" t="str">
        <f>IF(ISBLANK('Aqueous Species Options'!E280), "", 'Aqueous Species Options'!E280)</f>
        <v/>
      </c>
      <c r="F280" s="139" t="str">
        <f>IF(ISBLANK('Aqueous Species Options'!F280), "", 'Aqueous Species Options'!F280)</f>
        <v/>
      </c>
      <c r="G280" s="29" t="str">
        <f>IF(ISBLANK('Aqueous Species Options'!B280), "", IF('Aqueous Species Options'!L280 = 1, IF(ISBLANK('Aqueous Species Options'!G280), "", 'Aqueous Species Options'!G280), ('Aqueous Species Table'!I280/10 + ('Aqueous Species Table'!J280*100)/(Calculations!$C$12+Calculations!$C$9) + ('Aqueous Species Table'!K280 + ('Aqueous Species Table'!L280*10000)/(Calculations!$C$12+Calculations!$C$9))*(1/(Calculations!$C$8-Calculations!$C$13)) - 'Aqueous Species Table'!O280*100000*0.0000005903)*41.8393))</f>
        <v/>
      </c>
      <c r="H280" s="29" t="str">
        <f>IF(ISBLANK('Aqueous Species Options'!B280), "", IF('Aqueous Species Options'!L280 = 1, IF(ISBLANK('Aqueous Species Options'!H280), "", 'Aqueous Species Options'!H280), 'Aqueous Species Table'!M280 + 'Aqueous Species Table'!N280*10000*(1/(Calculations!$C$8-Calculations!$C$13))^2 + 'Aqueous Species Table'!O280*100000*Calculations!$C$8*Calculations!$C$7))</f>
        <v/>
      </c>
      <c r="I280" s="42" t="str">
        <f>IF(ISBLANK('Aqueous Species Options'!B280), "", IF('Aqueous Species Options'!L280=0, 'Aqueous Species Options'!N280, IF(OR(ISBLANK('Aqueous Species Options'!G280),'Aqueous Species Table'!O280="", 'Aqueous Species Table'!P280=""), "", IF('Aqueous Species Options'!B280="H+", 0, (CHOOSE('Aqueous Species Options'!M280+1,'Aqueous Species Options'!$V$4*ABS('Aqueous Species Table'!P280)+'Aqueous Species Options'!$W$4,'Aqueous Species Options'!$Z$4)*('Aqueous Species Options'!G280 + 'Aqueous Species Table'!O280*100000*0.0000005903*41.8393) + CHOOSE('Aqueous Species Options'!M280+1,'Aqueous Species Options'!$X$4*ABS('Aqueous Species Table'!P280)+'Aqueous Species Options'!$Y$4,'Aqueous Species Options'!$AA$4))*10 ) ) ) )</f>
        <v/>
      </c>
      <c r="J280" s="42" t="str">
        <f>IF(ISBLANK('Aqueous Species Options'!B280), "", IF('Aqueous Species Options'!L280 = 0, 'Aqueous Species Options'!O280, IF('Aqueous Species Table'!I280="", "", IF('Aqueous Species Options'!B280="H+", 0, ((1.11*('Aqueous Species Options'!G280 + 'Aqueous Species Table'!O280*100000*0.0000005903*41.8393)+1.8)/41.8393 - 'Aqueous Species Table'!I280/10)*26.01 ) ) ) )</f>
        <v/>
      </c>
      <c r="K280" s="42" t="str">
        <f>IF(ISBLANK('Aqueous Species Options'!B280), "", IF('Aqueous Species Options'!L280 = 0, 'Aqueous Species Options'!P280, IF('Aqueous Species Table'!I280="", "", IF('Aqueous Species Options'!B280="H+", 0, ('Aqueous Species Options'!G280/41.8393 + 'Aqueous Species Table'!O280*100000*0.0000005903 - 'Aqueous Species Table'!I280/10 - 'Aqueous Species Table'!J280*100/2601)*(298.15-228) - ('Aqueous Species Table'!L280*10000/2601) ) ) ) )</f>
        <v/>
      </c>
      <c r="L280" s="42" t="str">
        <f>IF(ISBLANK('Aqueous Species Options'!B280), "", IF('Aqueous Species Options'!L280 = 0, 'Aqueous Species Options'!Q280, IF('Aqueous Species Table'!J280="", "", IF('Aqueous Species Options'!B280="H+", 0, (-4.134*'Aqueous Species Table'!J280*100 - 27790)*0.0001) ) ) )</f>
        <v/>
      </c>
      <c r="M280" s="42" t="str">
        <f>IF(ISBLANK('Aqueous Species Options'!B280), "", IF('Aqueous Species Options'!L280=0, 'Aqueous Species Options'!R280, IF('Aqueous Species Table'!N280="", "", IF('Aqueous Species Options'!B280="H+", 0, 'Aqueous Species Options'!H280 - 'Aqueous Species Table'!O280*100000*(-0.000000309)*298.15 - 'Aqueous Species Table'!N280*10000/(298.15-228)^2 ) ) ) )</f>
        <v/>
      </c>
      <c r="N280" s="42" t="str">
        <f>IF(ISBLANK('Aqueous Species Options'!B280), "", IF('Aqueous Species Options'!L280=0, 'Aqueous Species Options'!S280, IF(OR(ISBLANK('Aqueous Species Options'!H280), 'Aqueous Species Table'!O280=""), "", IF('Aqueous Species Options'!B280="H+", 0, 0.2037*'Aqueous Species Options'!H280 - 3.0346) ) ) )</f>
        <v/>
      </c>
      <c r="O280" s="42" t="str">
        <f>IF(ISBLANK('Aqueous Species Options'!B280), "", IF('Aqueous Species Options'!K280=0, 'Aqueous Species Options'!I280, IF(OR('Aqueous Species Options'!J280&gt;4,'Aqueous Species Options'!J280&lt;-4), "", IF('Aqueous Species Options'!B280="H+", 0, IF('Aqueous Species Options'!J280=0, -0.038, IF(ISBLANK('Aqueous Species Options'!F280), "", -1514.4*'Aqueous Species Options'!F280*0.00001 + SUM(({4,3,2,1,-1,-2,-3,-4}='Aqueous Species Options'!J280)*{2.1764,1.5793,1.0579,0.5517,1.6291,3.2127,4.8115,6.486}) ) ) ) ) ) )</f>
        <v/>
      </c>
      <c r="P280" s="1" t="str">
        <f>IF(ISBLANK('Aqueous Species Options'!J280), "", 'Aqueous Species Options'!J280)</f>
        <v/>
      </c>
      <c r="Q280" s="184" t="str">
        <f>IF(ISBLANK('Aqueous Species Options'!T280), "", 'Aqueous Species Options'!T280)</f>
        <v/>
      </c>
    </row>
    <row r="281" spans="2:17" ht="16" x14ac:dyDescent="0.2">
      <c r="B281" s="9" t="str">
        <f>IF(ISBLANK('Aqueous Species Options'!B281), "", 'Aqueous Species Options'!B281)</f>
        <v/>
      </c>
      <c r="C281" s="9" t="str">
        <f>IF(ISBLANK('Aqueous Species Options'!C281), "", 'Aqueous Species Options'!C281)</f>
        <v/>
      </c>
      <c r="D281" s="2" t="str">
        <f>IF(ISBLANK('Aqueous Species Options'!D281), "", 'Aqueous Species Options'!D281)</f>
        <v/>
      </c>
      <c r="E281" s="1" t="str">
        <f>IF(ISBLANK('Aqueous Species Options'!E281), "", 'Aqueous Species Options'!E281)</f>
        <v/>
      </c>
      <c r="F281" s="139" t="str">
        <f>IF(ISBLANK('Aqueous Species Options'!F281), "", 'Aqueous Species Options'!F281)</f>
        <v/>
      </c>
      <c r="G281" s="29" t="str">
        <f>IF(ISBLANK('Aqueous Species Options'!B281), "", IF('Aqueous Species Options'!L281 = 1, IF(ISBLANK('Aqueous Species Options'!G281), "", 'Aqueous Species Options'!G281), ('Aqueous Species Table'!I281/10 + ('Aqueous Species Table'!J281*100)/(Calculations!$C$12+Calculations!$C$9) + ('Aqueous Species Table'!K281 + ('Aqueous Species Table'!L281*10000)/(Calculations!$C$12+Calculations!$C$9))*(1/(Calculations!$C$8-Calculations!$C$13)) - 'Aqueous Species Table'!O281*100000*0.0000005903)*41.8393))</f>
        <v/>
      </c>
      <c r="H281" s="29" t="str">
        <f>IF(ISBLANK('Aqueous Species Options'!B281), "", IF('Aqueous Species Options'!L281 = 1, IF(ISBLANK('Aqueous Species Options'!H281), "", 'Aqueous Species Options'!H281), 'Aqueous Species Table'!M281 + 'Aqueous Species Table'!N281*10000*(1/(Calculations!$C$8-Calculations!$C$13))^2 + 'Aqueous Species Table'!O281*100000*Calculations!$C$8*Calculations!$C$7))</f>
        <v/>
      </c>
      <c r="I281" s="42" t="str">
        <f>IF(ISBLANK('Aqueous Species Options'!B281), "", IF('Aqueous Species Options'!L281=0, 'Aqueous Species Options'!N281, IF(OR(ISBLANK('Aqueous Species Options'!G281),'Aqueous Species Table'!O281="", 'Aqueous Species Table'!P281=""), "", IF('Aqueous Species Options'!B281="H+", 0, (CHOOSE('Aqueous Species Options'!M281+1,'Aqueous Species Options'!$V$4*ABS('Aqueous Species Table'!P281)+'Aqueous Species Options'!$W$4,'Aqueous Species Options'!$Z$4)*('Aqueous Species Options'!G281 + 'Aqueous Species Table'!O281*100000*0.0000005903*41.8393) + CHOOSE('Aqueous Species Options'!M281+1,'Aqueous Species Options'!$X$4*ABS('Aqueous Species Table'!P281)+'Aqueous Species Options'!$Y$4,'Aqueous Species Options'!$AA$4))*10 ) ) ) )</f>
        <v/>
      </c>
      <c r="J281" s="42" t="str">
        <f>IF(ISBLANK('Aqueous Species Options'!B281), "", IF('Aqueous Species Options'!L281 = 0, 'Aqueous Species Options'!O281, IF('Aqueous Species Table'!I281="", "", IF('Aqueous Species Options'!B281="H+", 0, ((1.11*('Aqueous Species Options'!G281 + 'Aqueous Species Table'!O281*100000*0.0000005903*41.8393)+1.8)/41.8393 - 'Aqueous Species Table'!I281/10)*26.01 ) ) ) )</f>
        <v/>
      </c>
      <c r="K281" s="42" t="str">
        <f>IF(ISBLANK('Aqueous Species Options'!B281), "", IF('Aqueous Species Options'!L281 = 0, 'Aqueous Species Options'!P281, IF('Aqueous Species Table'!I281="", "", IF('Aqueous Species Options'!B281="H+", 0, ('Aqueous Species Options'!G281/41.8393 + 'Aqueous Species Table'!O281*100000*0.0000005903 - 'Aqueous Species Table'!I281/10 - 'Aqueous Species Table'!J281*100/2601)*(298.15-228) - ('Aqueous Species Table'!L281*10000/2601) ) ) ) )</f>
        <v/>
      </c>
      <c r="L281" s="42" t="str">
        <f>IF(ISBLANK('Aqueous Species Options'!B281), "", IF('Aqueous Species Options'!L281 = 0, 'Aqueous Species Options'!Q281, IF('Aqueous Species Table'!J281="", "", IF('Aqueous Species Options'!B281="H+", 0, (-4.134*'Aqueous Species Table'!J281*100 - 27790)*0.0001) ) ) )</f>
        <v/>
      </c>
      <c r="M281" s="42" t="str">
        <f>IF(ISBLANK('Aqueous Species Options'!B281), "", IF('Aqueous Species Options'!L281=0, 'Aqueous Species Options'!R281, IF('Aqueous Species Table'!N281="", "", IF('Aqueous Species Options'!B281="H+", 0, 'Aqueous Species Options'!H281 - 'Aqueous Species Table'!O281*100000*(-0.000000309)*298.15 - 'Aqueous Species Table'!N281*10000/(298.15-228)^2 ) ) ) )</f>
        <v/>
      </c>
      <c r="N281" s="42" t="str">
        <f>IF(ISBLANK('Aqueous Species Options'!B281), "", IF('Aqueous Species Options'!L281=0, 'Aqueous Species Options'!S281, IF(OR(ISBLANK('Aqueous Species Options'!H281), 'Aqueous Species Table'!O281=""), "", IF('Aqueous Species Options'!B281="H+", 0, 0.2037*'Aqueous Species Options'!H281 - 3.0346) ) ) )</f>
        <v/>
      </c>
      <c r="O281" s="42" t="str">
        <f>IF(ISBLANK('Aqueous Species Options'!B281), "", IF('Aqueous Species Options'!K281=0, 'Aqueous Species Options'!I281, IF(OR('Aqueous Species Options'!J281&gt;4,'Aqueous Species Options'!J281&lt;-4), "", IF('Aqueous Species Options'!B281="H+", 0, IF('Aqueous Species Options'!J281=0, -0.038, IF(ISBLANK('Aqueous Species Options'!F281), "", -1514.4*'Aqueous Species Options'!F281*0.00001 + SUM(({4,3,2,1,-1,-2,-3,-4}='Aqueous Species Options'!J281)*{2.1764,1.5793,1.0579,0.5517,1.6291,3.2127,4.8115,6.486}) ) ) ) ) ) )</f>
        <v/>
      </c>
      <c r="P281" s="1" t="str">
        <f>IF(ISBLANK('Aqueous Species Options'!J281), "", 'Aqueous Species Options'!J281)</f>
        <v/>
      </c>
      <c r="Q281" s="184" t="str">
        <f>IF(ISBLANK('Aqueous Species Options'!T281), "", 'Aqueous Species Options'!T281)</f>
        <v/>
      </c>
    </row>
    <row r="282" spans="2:17" ht="16" x14ac:dyDescent="0.2">
      <c r="B282" s="9" t="str">
        <f>IF(ISBLANK('Aqueous Species Options'!B282), "", 'Aqueous Species Options'!B282)</f>
        <v/>
      </c>
      <c r="C282" s="9" t="str">
        <f>IF(ISBLANK('Aqueous Species Options'!C282), "", 'Aqueous Species Options'!C282)</f>
        <v/>
      </c>
      <c r="D282" s="2" t="str">
        <f>IF(ISBLANK('Aqueous Species Options'!D282), "", 'Aqueous Species Options'!D282)</f>
        <v/>
      </c>
      <c r="E282" s="1" t="str">
        <f>IF(ISBLANK('Aqueous Species Options'!E282), "", 'Aqueous Species Options'!E282)</f>
        <v/>
      </c>
      <c r="F282" s="139" t="str">
        <f>IF(ISBLANK('Aqueous Species Options'!F282), "", 'Aqueous Species Options'!F282)</f>
        <v/>
      </c>
      <c r="G282" s="29" t="str">
        <f>IF(ISBLANK('Aqueous Species Options'!B282), "", IF('Aqueous Species Options'!L282 = 1, IF(ISBLANK('Aqueous Species Options'!G282), "", 'Aqueous Species Options'!G282), ('Aqueous Species Table'!I282/10 + ('Aqueous Species Table'!J282*100)/(Calculations!$C$12+Calculations!$C$9) + ('Aqueous Species Table'!K282 + ('Aqueous Species Table'!L282*10000)/(Calculations!$C$12+Calculations!$C$9))*(1/(Calculations!$C$8-Calculations!$C$13)) - 'Aqueous Species Table'!O282*100000*0.0000005903)*41.8393))</f>
        <v/>
      </c>
      <c r="H282" s="29" t="str">
        <f>IF(ISBLANK('Aqueous Species Options'!B282), "", IF('Aqueous Species Options'!L282 = 1, IF(ISBLANK('Aqueous Species Options'!H282), "", 'Aqueous Species Options'!H282), 'Aqueous Species Table'!M282 + 'Aqueous Species Table'!N282*10000*(1/(Calculations!$C$8-Calculations!$C$13))^2 + 'Aqueous Species Table'!O282*100000*Calculations!$C$8*Calculations!$C$7))</f>
        <v/>
      </c>
      <c r="I282" s="42" t="str">
        <f>IF(ISBLANK('Aqueous Species Options'!B282), "", IF('Aqueous Species Options'!L282=0, 'Aqueous Species Options'!N282, IF(OR(ISBLANK('Aqueous Species Options'!G282),'Aqueous Species Table'!O282="", 'Aqueous Species Table'!P282=""), "", IF('Aqueous Species Options'!B282="H+", 0, (CHOOSE('Aqueous Species Options'!M282+1,'Aqueous Species Options'!$V$4*ABS('Aqueous Species Table'!P282)+'Aqueous Species Options'!$W$4,'Aqueous Species Options'!$Z$4)*('Aqueous Species Options'!G282 + 'Aqueous Species Table'!O282*100000*0.0000005903*41.8393) + CHOOSE('Aqueous Species Options'!M282+1,'Aqueous Species Options'!$X$4*ABS('Aqueous Species Table'!P282)+'Aqueous Species Options'!$Y$4,'Aqueous Species Options'!$AA$4))*10 ) ) ) )</f>
        <v/>
      </c>
      <c r="J282" s="42" t="str">
        <f>IF(ISBLANK('Aqueous Species Options'!B282), "", IF('Aqueous Species Options'!L282 = 0, 'Aqueous Species Options'!O282, IF('Aqueous Species Table'!I282="", "", IF('Aqueous Species Options'!B282="H+", 0, ((1.11*('Aqueous Species Options'!G282 + 'Aqueous Species Table'!O282*100000*0.0000005903*41.8393)+1.8)/41.8393 - 'Aqueous Species Table'!I282/10)*26.01 ) ) ) )</f>
        <v/>
      </c>
      <c r="K282" s="42" t="str">
        <f>IF(ISBLANK('Aqueous Species Options'!B282), "", IF('Aqueous Species Options'!L282 = 0, 'Aqueous Species Options'!P282, IF('Aqueous Species Table'!I282="", "", IF('Aqueous Species Options'!B282="H+", 0, ('Aqueous Species Options'!G282/41.8393 + 'Aqueous Species Table'!O282*100000*0.0000005903 - 'Aqueous Species Table'!I282/10 - 'Aqueous Species Table'!J282*100/2601)*(298.15-228) - ('Aqueous Species Table'!L282*10000/2601) ) ) ) )</f>
        <v/>
      </c>
      <c r="L282" s="42" t="str">
        <f>IF(ISBLANK('Aqueous Species Options'!B282), "", IF('Aqueous Species Options'!L282 = 0, 'Aqueous Species Options'!Q282, IF('Aqueous Species Table'!J282="", "", IF('Aqueous Species Options'!B282="H+", 0, (-4.134*'Aqueous Species Table'!J282*100 - 27790)*0.0001) ) ) )</f>
        <v/>
      </c>
      <c r="M282" s="42" t="str">
        <f>IF(ISBLANK('Aqueous Species Options'!B282), "", IF('Aqueous Species Options'!L282=0, 'Aqueous Species Options'!R282, IF('Aqueous Species Table'!N282="", "", IF('Aqueous Species Options'!B282="H+", 0, 'Aqueous Species Options'!H282 - 'Aqueous Species Table'!O282*100000*(-0.000000309)*298.15 - 'Aqueous Species Table'!N282*10000/(298.15-228)^2 ) ) ) )</f>
        <v/>
      </c>
      <c r="N282" s="42" t="str">
        <f>IF(ISBLANK('Aqueous Species Options'!B282), "", IF('Aqueous Species Options'!L282=0, 'Aqueous Species Options'!S282, IF(OR(ISBLANK('Aqueous Species Options'!H282), 'Aqueous Species Table'!O282=""), "", IF('Aqueous Species Options'!B282="H+", 0, 0.2037*'Aqueous Species Options'!H282 - 3.0346) ) ) )</f>
        <v/>
      </c>
      <c r="O282" s="42" t="str">
        <f>IF(ISBLANK('Aqueous Species Options'!B282), "", IF('Aqueous Species Options'!K282=0, 'Aqueous Species Options'!I282, IF(OR('Aqueous Species Options'!J282&gt;4,'Aqueous Species Options'!J282&lt;-4), "", IF('Aqueous Species Options'!B282="H+", 0, IF('Aqueous Species Options'!J282=0, -0.038, IF(ISBLANK('Aqueous Species Options'!F282), "", -1514.4*'Aqueous Species Options'!F282*0.00001 + SUM(({4,3,2,1,-1,-2,-3,-4}='Aqueous Species Options'!J282)*{2.1764,1.5793,1.0579,0.5517,1.6291,3.2127,4.8115,6.486}) ) ) ) ) ) )</f>
        <v/>
      </c>
      <c r="P282" s="1" t="str">
        <f>IF(ISBLANK('Aqueous Species Options'!J282), "", 'Aqueous Species Options'!J282)</f>
        <v/>
      </c>
      <c r="Q282" s="184" t="str">
        <f>IF(ISBLANK('Aqueous Species Options'!T282), "", 'Aqueous Species Options'!T282)</f>
        <v/>
      </c>
    </row>
    <row r="283" spans="2:17" ht="16" x14ac:dyDescent="0.2">
      <c r="B283" s="9" t="str">
        <f>IF(ISBLANK('Aqueous Species Options'!B283), "", 'Aqueous Species Options'!B283)</f>
        <v/>
      </c>
      <c r="C283" s="9" t="str">
        <f>IF(ISBLANK('Aqueous Species Options'!C283), "", 'Aqueous Species Options'!C283)</f>
        <v/>
      </c>
      <c r="D283" s="2" t="str">
        <f>IF(ISBLANK('Aqueous Species Options'!D283), "", 'Aqueous Species Options'!D283)</f>
        <v/>
      </c>
      <c r="E283" s="1" t="str">
        <f>IF(ISBLANK('Aqueous Species Options'!E283), "", 'Aqueous Species Options'!E283)</f>
        <v/>
      </c>
      <c r="F283" s="139" t="str">
        <f>IF(ISBLANK('Aqueous Species Options'!F283), "", 'Aqueous Species Options'!F283)</f>
        <v/>
      </c>
      <c r="G283" s="29" t="str">
        <f>IF(ISBLANK('Aqueous Species Options'!B283), "", IF('Aqueous Species Options'!L283 = 1, IF(ISBLANK('Aqueous Species Options'!G283), "", 'Aqueous Species Options'!G283), ('Aqueous Species Table'!I283/10 + ('Aqueous Species Table'!J283*100)/(Calculations!$C$12+Calculations!$C$9) + ('Aqueous Species Table'!K283 + ('Aqueous Species Table'!L283*10000)/(Calculations!$C$12+Calculations!$C$9))*(1/(Calculations!$C$8-Calculations!$C$13)) - 'Aqueous Species Table'!O283*100000*0.0000005903)*41.8393))</f>
        <v/>
      </c>
      <c r="H283" s="29" t="str">
        <f>IF(ISBLANK('Aqueous Species Options'!B283), "", IF('Aqueous Species Options'!L283 = 1, IF(ISBLANK('Aqueous Species Options'!H283), "", 'Aqueous Species Options'!H283), 'Aqueous Species Table'!M283 + 'Aqueous Species Table'!N283*10000*(1/(Calculations!$C$8-Calculations!$C$13))^2 + 'Aqueous Species Table'!O283*100000*Calculations!$C$8*Calculations!$C$7))</f>
        <v/>
      </c>
      <c r="I283" s="42" t="str">
        <f>IF(ISBLANK('Aqueous Species Options'!B283), "", IF('Aqueous Species Options'!L283=0, 'Aqueous Species Options'!N283, IF(OR(ISBLANK('Aqueous Species Options'!G283),'Aqueous Species Table'!O283="", 'Aqueous Species Table'!P283=""), "", IF('Aqueous Species Options'!B283="H+", 0, (CHOOSE('Aqueous Species Options'!M283+1,'Aqueous Species Options'!$V$4*ABS('Aqueous Species Table'!P283)+'Aqueous Species Options'!$W$4,'Aqueous Species Options'!$Z$4)*('Aqueous Species Options'!G283 + 'Aqueous Species Table'!O283*100000*0.0000005903*41.8393) + CHOOSE('Aqueous Species Options'!M283+1,'Aqueous Species Options'!$X$4*ABS('Aqueous Species Table'!P283)+'Aqueous Species Options'!$Y$4,'Aqueous Species Options'!$AA$4))*10 ) ) ) )</f>
        <v/>
      </c>
      <c r="J283" s="42" t="str">
        <f>IF(ISBLANK('Aqueous Species Options'!B283), "", IF('Aqueous Species Options'!L283 = 0, 'Aqueous Species Options'!O283, IF('Aqueous Species Table'!I283="", "", IF('Aqueous Species Options'!B283="H+", 0, ((1.11*('Aqueous Species Options'!G283 + 'Aqueous Species Table'!O283*100000*0.0000005903*41.8393)+1.8)/41.8393 - 'Aqueous Species Table'!I283/10)*26.01 ) ) ) )</f>
        <v/>
      </c>
      <c r="K283" s="42" t="str">
        <f>IF(ISBLANK('Aqueous Species Options'!B283), "", IF('Aqueous Species Options'!L283 = 0, 'Aqueous Species Options'!P283, IF('Aqueous Species Table'!I283="", "", IF('Aqueous Species Options'!B283="H+", 0, ('Aqueous Species Options'!G283/41.8393 + 'Aqueous Species Table'!O283*100000*0.0000005903 - 'Aqueous Species Table'!I283/10 - 'Aqueous Species Table'!J283*100/2601)*(298.15-228) - ('Aqueous Species Table'!L283*10000/2601) ) ) ) )</f>
        <v/>
      </c>
      <c r="L283" s="42" t="str">
        <f>IF(ISBLANK('Aqueous Species Options'!B283), "", IF('Aqueous Species Options'!L283 = 0, 'Aqueous Species Options'!Q283, IF('Aqueous Species Table'!J283="", "", IF('Aqueous Species Options'!B283="H+", 0, (-4.134*'Aqueous Species Table'!J283*100 - 27790)*0.0001) ) ) )</f>
        <v/>
      </c>
      <c r="M283" s="42" t="str">
        <f>IF(ISBLANK('Aqueous Species Options'!B283), "", IF('Aqueous Species Options'!L283=0, 'Aqueous Species Options'!R283, IF('Aqueous Species Table'!N283="", "", IF('Aqueous Species Options'!B283="H+", 0, 'Aqueous Species Options'!H283 - 'Aqueous Species Table'!O283*100000*(-0.000000309)*298.15 - 'Aqueous Species Table'!N283*10000/(298.15-228)^2 ) ) ) )</f>
        <v/>
      </c>
      <c r="N283" s="42" t="str">
        <f>IF(ISBLANK('Aqueous Species Options'!B283), "", IF('Aqueous Species Options'!L283=0, 'Aqueous Species Options'!S283, IF(OR(ISBLANK('Aqueous Species Options'!H283), 'Aqueous Species Table'!O283=""), "", IF('Aqueous Species Options'!B283="H+", 0, 0.2037*'Aqueous Species Options'!H283 - 3.0346) ) ) )</f>
        <v/>
      </c>
      <c r="O283" s="42" t="str">
        <f>IF(ISBLANK('Aqueous Species Options'!B283), "", IF('Aqueous Species Options'!K283=0, 'Aqueous Species Options'!I283, IF(OR('Aqueous Species Options'!J283&gt;4,'Aqueous Species Options'!J283&lt;-4), "", IF('Aqueous Species Options'!B283="H+", 0, IF('Aqueous Species Options'!J283=0, -0.038, IF(ISBLANK('Aqueous Species Options'!F283), "", -1514.4*'Aqueous Species Options'!F283*0.00001 + SUM(({4,3,2,1,-1,-2,-3,-4}='Aqueous Species Options'!J283)*{2.1764,1.5793,1.0579,0.5517,1.6291,3.2127,4.8115,6.486}) ) ) ) ) ) )</f>
        <v/>
      </c>
      <c r="P283" s="1" t="str">
        <f>IF(ISBLANK('Aqueous Species Options'!J283), "", 'Aqueous Species Options'!J283)</f>
        <v/>
      </c>
      <c r="Q283" s="184" t="str">
        <f>IF(ISBLANK('Aqueous Species Options'!T283), "", 'Aqueous Species Options'!T283)</f>
        <v/>
      </c>
    </row>
    <row r="284" spans="2:17" ht="16" x14ac:dyDescent="0.2">
      <c r="B284" s="9" t="str">
        <f>IF(ISBLANK('Aqueous Species Options'!B284), "", 'Aqueous Species Options'!B284)</f>
        <v/>
      </c>
      <c r="C284" s="9" t="str">
        <f>IF(ISBLANK('Aqueous Species Options'!C284), "", 'Aqueous Species Options'!C284)</f>
        <v/>
      </c>
      <c r="D284" s="2" t="str">
        <f>IF(ISBLANK('Aqueous Species Options'!D284), "", 'Aqueous Species Options'!D284)</f>
        <v/>
      </c>
      <c r="E284" s="1" t="str">
        <f>IF(ISBLANK('Aqueous Species Options'!E284), "", 'Aqueous Species Options'!E284)</f>
        <v/>
      </c>
      <c r="F284" s="139" t="str">
        <f>IF(ISBLANK('Aqueous Species Options'!F284), "", 'Aqueous Species Options'!F284)</f>
        <v/>
      </c>
      <c r="G284" s="29" t="str">
        <f>IF(ISBLANK('Aqueous Species Options'!B284), "", IF('Aqueous Species Options'!L284 = 1, IF(ISBLANK('Aqueous Species Options'!G284), "", 'Aqueous Species Options'!G284), ('Aqueous Species Table'!I284/10 + ('Aqueous Species Table'!J284*100)/(Calculations!$C$12+Calculations!$C$9) + ('Aqueous Species Table'!K284 + ('Aqueous Species Table'!L284*10000)/(Calculations!$C$12+Calculations!$C$9))*(1/(Calculations!$C$8-Calculations!$C$13)) - 'Aqueous Species Table'!O284*100000*0.0000005903)*41.8393))</f>
        <v/>
      </c>
      <c r="H284" s="29" t="str">
        <f>IF(ISBLANK('Aqueous Species Options'!B284), "", IF('Aqueous Species Options'!L284 = 1, IF(ISBLANK('Aqueous Species Options'!H284), "", 'Aqueous Species Options'!H284), 'Aqueous Species Table'!M284 + 'Aqueous Species Table'!N284*10000*(1/(Calculations!$C$8-Calculations!$C$13))^2 + 'Aqueous Species Table'!O284*100000*Calculations!$C$8*Calculations!$C$7))</f>
        <v/>
      </c>
      <c r="I284" s="42" t="str">
        <f>IF(ISBLANK('Aqueous Species Options'!B284), "", IF('Aqueous Species Options'!L284=0, 'Aqueous Species Options'!N284, IF(OR(ISBLANK('Aqueous Species Options'!G284),'Aqueous Species Table'!O284="", 'Aqueous Species Table'!P284=""), "", IF('Aqueous Species Options'!B284="H+", 0, (CHOOSE('Aqueous Species Options'!M284+1,'Aqueous Species Options'!$V$4*ABS('Aqueous Species Table'!P284)+'Aqueous Species Options'!$W$4,'Aqueous Species Options'!$Z$4)*('Aqueous Species Options'!G284 + 'Aqueous Species Table'!O284*100000*0.0000005903*41.8393) + CHOOSE('Aqueous Species Options'!M284+1,'Aqueous Species Options'!$X$4*ABS('Aqueous Species Table'!P284)+'Aqueous Species Options'!$Y$4,'Aqueous Species Options'!$AA$4))*10 ) ) ) )</f>
        <v/>
      </c>
      <c r="J284" s="42" t="str">
        <f>IF(ISBLANK('Aqueous Species Options'!B284), "", IF('Aqueous Species Options'!L284 = 0, 'Aqueous Species Options'!O284, IF('Aqueous Species Table'!I284="", "", IF('Aqueous Species Options'!B284="H+", 0, ((1.11*('Aqueous Species Options'!G284 + 'Aqueous Species Table'!O284*100000*0.0000005903*41.8393)+1.8)/41.8393 - 'Aqueous Species Table'!I284/10)*26.01 ) ) ) )</f>
        <v/>
      </c>
      <c r="K284" s="42" t="str">
        <f>IF(ISBLANK('Aqueous Species Options'!B284), "", IF('Aqueous Species Options'!L284 = 0, 'Aqueous Species Options'!P284, IF('Aqueous Species Table'!I284="", "", IF('Aqueous Species Options'!B284="H+", 0, ('Aqueous Species Options'!G284/41.8393 + 'Aqueous Species Table'!O284*100000*0.0000005903 - 'Aqueous Species Table'!I284/10 - 'Aqueous Species Table'!J284*100/2601)*(298.15-228) - ('Aqueous Species Table'!L284*10000/2601) ) ) ) )</f>
        <v/>
      </c>
      <c r="L284" s="42" t="str">
        <f>IF(ISBLANK('Aqueous Species Options'!B284), "", IF('Aqueous Species Options'!L284 = 0, 'Aqueous Species Options'!Q284, IF('Aqueous Species Table'!J284="", "", IF('Aqueous Species Options'!B284="H+", 0, (-4.134*'Aqueous Species Table'!J284*100 - 27790)*0.0001) ) ) )</f>
        <v/>
      </c>
      <c r="M284" s="42" t="str">
        <f>IF(ISBLANK('Aqueous Species Options'!B284), "", IF('Aqueous Species Options'!L284=0, 'Aqueous Species Options'!R284, IF('Aqueous Species Table'!N284="", "", IF('Aqueous Species Options'!B284="H+", 0, 'Aqueous Species Options'!H284 - 'Aqueous Species Table'!O284*100000*(-0.000000309)*298.15 - 'Aqueous Species Table'!N284*10000/(298.15-228)^2 ) ) ) )</f>
        <v/>
      </c>
      <c r="N284" s="42" t="str">
        <f>IF(ISBLANK('Aqueous Species Options'!B284), "", IF('Aqueous Species Options'!L284=0, 'Aqueous Species Options'!S284, IF(OR(ISBLANK('Aqueous Species Options'!H284), 'Aqueous Species Table'!O284=""), "", IF('Aqueous Species Options'!B284="H+", 0, 0.2037*'Aqueous Species Options'!H284 - 3.0346) ) ) )</f>
        <v/>
      </c>
      <c r="O284" s="42" t="str">
        <f>IF(ISBLANK('Aqueous Species Options'!B284), "", IF('Aqueous Species Options'!K284=0, 'Aqueous Species Options'!I284, IF(OR('Aqueous Species Options'!J284&gt;4,'Aqueous Species Options'!J284&lt;-4), "", IF('Aqueous Species Options'!B284="H+", 0, IF('Aqueous Species Options'!J284=0, -0.038, IF(ISBLANK('Aqueous Species Options'!F284), "", -1514.4*'Aqueous Species Options'!F284*0.00001 + SUM(({4,3,2,1,-1,-2,-3,-4}='Aqueous Species Options'!J284)*{2.1764,1.5793,1.0579,0.5517,1.6291,3.2127,4.8115,6.486}) ) ) ) ) ) )</f>
        <v/>
      </c>
      <c r="P284" s="1" t="str">
        <f>IF(ISBLANK('Aqueous Species Options'!J284), "", 'Aqueous Species Options'!J284)</f>
        <v/>
      </c>
      <c r="Q284" s="184" t="str">
        <f>IF(ISBLANK('Aqueous Species Options'!T284), "", 'Aqueous Species Options'!T284)</f>
        <v/>
      </c>
    </row>
    <row r="285" spans="2:17" ht="16" x14ac:dyDescent="0.2">
      <c r="B285" s="9" t="str">
        <f>IF(ISBLANK('Aqueous Species Options'!B285), "", 'Aqueous Species Options'!B285)</f>
        <v/>
      </c>
      <c r="C285" s="9" t="str">
        <f>IF(ISBLANK('Aqueous Species Options'!C285), "", 'Aqueous Species Options'!C285)</f>
        <v/>
      </c>
      <c r="D285" s="2" t="str">
        <f>IF(ISBLANK('Aqueous Species Options'!D285), "", 'Aqueous Species Options'!D285)</f>
        <v/>
      </c>
      <c r="E285" s="1" t="str">
        <f>IF(ISBLANK('Aqueous Species Options'!E285), "", 'Aqueous Species Options'!E285)</f>
        <v/>
      </c>
      <c r="F285" s="139" t="str">
        <f>IF(ISBLANK('Aqueous Species Options'!F285), "", 'Aqueous Species Options'!F285)</f>
        <v/>
      </c>
      <c r="G285" s="29" t="str">
        <f>IF(ISBLANK('Aqueous Species Options'!B285), "", IF('Aqueous Species Options'!L285 = 1, IF(ISBLANK('Aqueous Species Options'!G285), "", 'Aqueous Species Options'!G285), ('Aqueous Species Table'!I285/10 + ('Aqueous Species Table'!J285*100)/(Calculations!$C$12+Calculations!$C$9) + ('Aqueous Species Table'!K285 + ('Aqueous Species Table'!L285*10000)/(Calculations!$C$12+Calculations!$C$9))*(1/(Calculations!$C$8-Calculations!$C$13)) - 'Aqueous Species Table'!O285*100000*0.0000005903)*41.8393))</f>
        <v/>
      </c>
      <c r="H285" s="29" t="str">
        <f>IF(ISBLANK('Aqueous Species Options'!B285), "", IF('Aqueous Species Options'!L285 = 1, IF(ISBLANK('Aqueous Species Options'!H285), "", 'Aqueous Species Options'!H285), 'Aqueous Species Table'!M285 + 'Aqueous Species Table'!N285*10000*(1/(Calculations!$C$8-Calculations!$C$13))^2 + 'Aqueous Species Table'!O285*100000*Calculations!$C$8*Calculations!$C$7))</f>
        <v/>
      </c>
      <c r="I285" s="42" t="str">
        <f>IF(ISBLANK('Aqueous Species Options'!B285), "", IF('Aqueous Species Options'!L285=0, 'Aqueous Species Options'!N285, IF(OR(ISBLANK('Aqueous Species Options'!G285),'Aqueous Species Table'!O285="", 'Aqueous Species Table'!P285=""), "", IF('Aqueous Species Options'!B285="H+", 0, (CHOOSE('Aqueous Species Options'!M285+1,'Aqueous Species Options'!$V$4*ABS('Aqueous Species Table'!P285)+'Aqueous Species Options'!$W$4,'Aqueous Species Options'!$Z$4)*('Aqueous Species Options'!G285 + 'Aqueous Species Table'!O285*100000*0.0000005903*41.8393) + CHOOSE('Aqueous Species Options'!M285+1,'Aqueous Species Options'!$X$4*ABS('Aqueous Species Table'!P285)+'Aqueous Species Options'!$Y$4,'Aqueous Species Options'!$AA$4))*10 ) ) ) )</f>
        <v/>
      </c>
      <c r="J285" s="42" t="str">
        <f>IF(ISBLANK('Aqueous Species Options'!B285), "", IF('Aqueous Species Options'!L285 = 0, 'Aqueous Species Options'!O285, IF('Aqueous Species Table'!I285="", "", IF('Aqueous Species Options'!B285="H+", 0, ((1.11*('Aqueous Species Options'!G285 + 'Aqueous Species Table'!O285*100000*0.0000005903*41.8393)+1.8)/41.8393 - 'Aqueous Species Table'!I285/10)*26.01 ) ) ) )</f>
        <v/>
      </c>
      <c r="K285" s="42" t="str">
        <f>IF(ISBLANK('Aqueous Species Options'!B285), "", IF('Aqueous Species Options'!L285 = 0, 'Aqueous Species Options'!P285, IF('Aqueous Species Table'!I285="", "", IF('Aqueous Species Options'!B285="H+", 0, ('Aqueous Species Options'!G285/41.8393 + 'Aqueous Species Table'!O285*100000*0.0000005903 - 'Aqueous Species Table'!I285/10 - 'Aqueous Species Table'!J285*100/2601)*(298.15-228) - ('Aqueous Species Table'!L285*10000/2601) ) ) ) )</f>
        <v/>
      </c>
      <c r="L285" s="42" t="str">
        <f>IF(ISBLANK('Aqueous Species Options'!B285), "", IF('Aqueous Species Options'!L285 = 0, 'Aqueous Species Options'!Q285, IF('Aqueous Species Table'!J285="", "", IF('Aqueous Species Options'!B285="H+", 0, (-4.134*'Aqueous Species Table'!J285*100 - 27790)*0.0001) ) ) )</f>
        <v/>
      </c>
      <c r="M285" s="42" t="str">
        <f>IF(ISBLANK('Aqueous Species Options'!B285), "", IF('Aqueous Species Options'!L285=0, 'Aqueous Species Options'!R285, IF('Aqueous Species Table'!N285="", "", IF('Aqueous Species Options'!B285="H+", 0, 'Aqueous Species Options'!H285 - 'Aqueous Species Table'!O285*100000*(-0.000000309)*298.15 - 'Aqueous Species Table'!N285*10000/(298.15-228)^2 ) ) ) )</f>
        <v/>
      </c>
      <c r="N285" s="42" t="str">
        <f>IF(ISBLANK('Aqueous Species Options'!B285), "", IF('Aqueous Species Options'!L285=0, 'Aqueous Species Options'!S285, IF(OR(ISBLANK('Aqueous Species Options'!H285), 'Aqueous Species Table'!O285=""), "", IF('Aqueous Species Options'!B285="H+", 0, 0.2037*'Aqueous Species Options'!H285 - 3.0346) ) ) )</f>
        <v/>
      </c>
      <c r="O285" s="42" t="str">
        <f>IF(ISBLANK('Aqueous Species Options'!B285), "", IF('Aqueous Species Options'!K285=0, 'Aqueous Species Options'!I285, IF(OR('Aqueous Species Options'!J285&gt;4,'Aqueous Species Options'!J285&lt;-4), "", IF('Aqueous Species Options'!B285="H+", 0, IF('Aqueous Species Options'!J285=0, -0.038, IF(ISBLANK('Aqueous Species Options'!F285), "", -1514.4*'Aqueous Species Options'!F285*0.00001 + SUM(({4,3,2,1,-1,-2,-3,-4}='Aqueous Species Options'!J285)*{2.1764,1.5793,1.0579,0.5517,1.6291,3.2127,4.8115,6.486}) ) ) ) ) ) )</f>
        <v/>
      </c>
      <c r="P285" s="1" t="str">
        <f>IF(ISBLANK('Aqueous Species Options'!J285), "", 'Aqueous Species Options'!J285)</f>
        <v/>
      </c>
      <c r="Q285" s="184" t="str">
        <f>IF(ISBLANK('Aqueous Species Options'!T285), "", 'Aqueous Species Options'!T285)</f>
        <v/>
      </c>
    </row>
    <row r="286" spans="2:17" ht="16" x14ac:dyDescent="0.2">
      <c r="B286" s="9" t="str">
        <f>IF(ISBLANK('Aqueous Species Options'!B286), "", 'Aqueous Species Options'!B286)</f>
        <v/>
      </c>
      <c r="C286" s="9" t="str">
        <f>IF(ISBLANK('Aqueous Species Options'!C286), "", 'Aqueous Species Options'!C286)</f>
        <v/>
      </c>
      <c r="D286" s="2" t="str">
        <f>IF(ISBLANK('Aqueous Species Options'!D286), "", 'Aqueous Species Options'!D286)</f>
        <v/>
      </c>
      <c r="E286" s="1" t="str">
        <f>IF(ISBLANK('Aqueous Species Options'!E286), "", 'Aqueous Species Options'!E286)</f>
        <v/>
      </c>
      <c r="F286" s="139" t="str">
        <f>IF(ISBLANK('Aqueous Species Options'!F286), "", 'Aqueous Species Options'!F286)</f>
        <v/>
      </c>
      <c r="G286" s="29" t="str">
        <f>IF(ISBLANK('Aqueous Species Options'!B286), "", IF('Aqueous Species Options'!L286 = 1, IF(ISBLANK('Aqueous Species Options'!G286), "", 'Aqueous Species Options'!G286), ('Aqueous Species Table'!I286/10 + ('Aqueous Species Table'!J286*100)/(Calculations!$C$12+Calculations!$C$9) + ('Aqueous Species Table'!K286 + ('Aqueous Species Table'!L286*10000)/(Calculations!$C$12+Calculations!$C$9))*(1/(Calculations!$C$8-Calculations!$C$13)) - 'Aqueous Species Table'!O286*100000*0.0000005903)*41.8393))</f>
        <v/>
      </c>
      <c r="H286" s="29" t="str">
        <f>IF(ISBLANK('Aqueous Species Options'!B286), "", IF('Aqueous Species Options'!L286 = 1, IF(ISBLANK('Aqueous Species Options'!H286), "", 'Aqueous Species Options'!H286), 'Aqueous Species Table'!M286 + 'Aqueous Species Table'!N286*10000*(1/(Calculations!$C$8-Calculations!$C$13))^2 + 'Aqueous Species Table'!O286*100000*Calculations!$C$8*Calculations!$C$7))</f>
        <v/>
      </c>
      <c r="I286" s="42" t="str">
        <f>IF(ISBLANK('Aqueous Species Options'!B286), "", IF('Aqueous Species Options'!L286=0, 'Aqueous Species Options'!N286, IF(OR(ISBLANK('Aqueous Species Options'!G286),'Aqueous Species Table'!O286="", 'Aqueous Species Table'!P286=""), "", IF('Aqueous Species Options'!B286="H+", 0, (CHOOSE('Aqueous Species Options'!M286+1,'Aqueous Species Options'!$V$4*ABS('Aqueous Species Table'!P286)+'Aqueous Species Options'!$W$4,'Aqueous Species Options'!$Z$4)*('Aqueous Species Options'!G286 + 'Aqueous Species Table'!O286*100000*0.0000005903*41.8393) + CHOOSE('Aqueous Species Options'!M286+1,'Aqueous Species Options'!$X$4*ABS('Aqueous Species Table'!P286)+'Aqueous Species Options'!$Y$4,'Aqueous Species Options'!$AA$4))*10 ) ) ) )</f>
        <v/>
      </c>
      <c r="J286" s="42" t="str">
        <f>IF(ISBLANK('Aqueous Species Options'!B286), "", IF('Aqueous Species Options'!L286 = 0, 'Aqueous Species Options'!O286, IF('Aqueous Species Table'!I286="", "", IF('Aqueous Species Options'!B286="H+", 0, ((1.11*('Aqueous Species Options'!G286 + 'Aqueous Species Table'!O286*100000*0.0000005903*41.8393)+1.8)/41.8393 - 'Aqueous Species Table'!I286/10)*26.01 ) ) ) )</f>
        <v/>
      </c>
      <c r="K286" s="42" t="str">
        <f>IF(ISBLANK('Aqueous Species Options'!B286), "", IF('Aqueous Species Options'!L286 = 0, 'Aqueous Species Options'!P286, IF('Aqueous Species Table'!I286="", "", IF('Aqueous Species Options'!B286="H+", 0, ('Aqueous Species Options'!G286/41.8393 + 'Aqueous Species Table'!O286*100000*0.0000005903 - 'Aqueous Species Table'!I286/10 - 'Aqueous Species Table'!J286*100/2601)*(298.15-228) - ('Aqueous Species Table'!L286*10000/2601) ) ) ) )</f>
        <v/>
      </c>
      <c r="L286" s="42" t="str">
        <f>IF(ISBLANK('Aqueous Species Options'!B286), "", IF('Aqueous Species Options'!L286 = 0, 'Aqueous Species Options'!Q286, IF('Aqueous Species Table'!J286="", "", IF('Aqueous Species Options'!B286="H+", 0, (-4.134*'Aqueous Species Table'!J286*100 - 27790)*0.0001) ) ) )</f>
        <v/>
      </c>
      <c r="M286" s="42" t="str">
        <f>IF(ISBLANK('Aqueous Species Options'!B286), "", IF('Aqueous Species Options'!L286=0, 'Aqueous Species Options'!R286, IF('Aqueous Species Table'!N286="", "", IF('Aqueous Species Options'!B286="H+", 0, 'Aqueous Species Options'!H286 - 'Aqueous Species Table'!O286*100000*(-0.000000309)*298.15 - 'Aqueous Species Table'!N286*10000/(298.15-228)^2 ) ) ) )</f>
        <v/>
      </c>
      <c r="N286" s="42" t="str">
        <f>IF(ISBLANK('Aqueous Species Options'!B286), "", IF('Aqueous Species Options'!L286=0, 'Aqueous Species Options'!S286, IF(OR(ISBLANK('Aqueous Species Options'!H286), 'Aqueous Species Table'!O286=""), "", IF('Aqueous Species Options'!B286="H+", 0, 0.2037*'Aqueous Species Options'!H286 - 3.0346) ) ) )</f>
        <v/>
      </c>
      <c r="O286" s="42" t="str">
        <f>IF(ISBLANK('Aqueous Species Options'!B286), "", IF('Aqueous Species Options'!K286=0, 'Aqueous Species Options'!I286, IF(OR('Aqueous Species Options'!J286&gt;4,'Aqueous Species Options'!J286&lt;-4), "", IF('Aqueous Species Options'!B286="H+", 0, IF('Aqueous Species Options'!J286=0, -0.038, IF(ISBLANK('Aqueous Species Options'!F286), "", -1514.4*'Aqueous Species Options'!F286*0.00001 + SUM(({4,3,2,1,-1,-2,-3,-4}='Aqueous Species Options'!J286)*{2.1764,1.5793,1.0579,0.5517,1.6291,3.2127,4.8115,6.486}) ) ) ) ) ) )</f>
        <v/>
      </c>
      <c r="P286" s="1" t="str">
        <f>IF(ISBLANK('Aqueous Species Options'!J286), "", 'Aqueous Species Options'!J286)</f>
        <v/>
      </c>
      <c r="Q286" s="184" t="str">
        <f>IF(ISBLANK('Aqueous Species Options'!T286), "", 'Aqueous Species Options'!T286)</f>
        <v/>
      </c>
    </row>
    <row r="287" spans="2:17" ht="16" x14ac:dyDescent="0.2">
      <c r="B287" s="9" t="str">
        <f>IF(ISBLANK('Aqueous Species Options'!B287), "", 'Aqueous Species Options'!B287)</f>
        <v/>
      </c>
      <c r="C287" s="9" t="str">
        <f>IF(ISBLANK('Aqueous Species Options'!C287), "", 'Aqueous Species Options'!C287)</f>
        <v/>
      </c>
      <c r="D287" s="2" t="str">
        <f>IF(ISBLANK('Aqueous Species Options'!D287), "", 'Aqueous Species Options'!D287)</f>
        <v/>
      </c>
      <c r="E287" s="1" t="str">
        <f>IF(ISBLANK('Aqueous Species Options'!E287), "", 'Aqueous Species Options'!E287)</f>
        <v/>
      </c>
      <c r="F287" s="139" t="str">
        <f>IF(ISBLANK('Aqueous Species Options'!F287), "", 'Aqueous Species Options'!F287)</f>
        <v/>
      </c>
      <c r="G287" s="29" t="str">
        <f>IF(ISBLANK('Aqueous Species Options'!B287), "", IF('Aqueous Species Options'!L287 = 1, IF(ISBLANK('Aqueous Species Options'!G287), "", 'Aqueous Species Options'!G287), ('Aqueous Species Table'!I287/10 + ('Aqueous Species Table'!J287*100)/(Calculations!$C$12+Calculations!$C$9) + ('Aqueous Species Table'!K287 + ('Aqueous Species Table'!L287*10000)/(Calculations!$C$12+Calculations!$C$9))*(1/(Calculations!$C$8-Calculations!$C$13)) - 'Aqueous Species Table'!O287*100000*0.0000005903)*41.8393))</f>
        <v/>
      </c>
      <c r="H287" s="29" t="str">
        <f>IF(ISBLANK('Aqueous Species Options'!B287), "", IF('Aqueous Species Options'!L287 = 1, IF(ISBLANK('Aqueous Species Options'!H287), "", 'Aqueous Species Options'!H287), 'Aqueous Species Table'!M287 + 'Aqueous Species Table'!N287*10000*(1/(Calculations!$C$8-Calculations!$C$13))^2 + 'Aqueous Species Table'!O287*100000*Calculations!$C$8*Calculations!$C$7))</f>
        <v/>
      </c>
      <c r="I287" s="42" t="str">
        <f>IF(ISBLANK('Aqueous Species Options'!B287), "", IF('Aqueous Species Options'!L287=0, 'Aqueous Species Options'!N287, IF(OR(ISBLANK('Aqueous Species Options'!G287),'Aqueous Species Table'!O287="", 'Aqueous Species Table'!P287=""), "", IF('Aqueous Species Options'!B287="H+", 0, (CHOOSE('Aqueous Species Options'!M287+1,'Aqueous Species Options'!$V$4*ABS('Aqueous Species Table'!P287)+'Aqueous Species Options'!$W$4,'Aqueous Species Options'!$Z$4)*('Aqueous Species Options'!G287 + 'Aqueous Species Table'!O287*100000*0.0000005903*41.8393) + CHOOSE('Aqueous Species Options'!M287+1,'Aqueous Species Options'!$X$4*ABS('Aqueous Species Table'!P287)+'Aqueous Species Options'!$Y$4,'Aqueous Species Options'!$AA$4))*10 ) ) ) )</f>
        <v/>
      </c>
      <c r="J287" s="42" t="str">
        <f>IF(ISBLANK('Aqueous Species Options'!B287), "", IF('Aqueous Species Options'!L287 = 0, 'Aqueous Species Options'!O287, IF('Aqueous Species Table'!I287="", "", IF('Aqueous Species Options'!B287="H+", 0, ((1.11*('Aqueous Species Options'!G287 + 'Aqueous Species Table'!O287*100000*0.0000005903*41.8393)+1.8)/41.8393 - 'Aqueous Species Table'!I287/10)*26.01 ) ) ) )</f>
        <v/>
      </c>
      <c r="K287" s="42" t="str">
        <f>IF(ISBLANK('Aqueous Species Options'!B287), "", IF('Aqueous Species Options'!L287 = 0, 'Aqueous Species Options'!P287, IF('Aqueous Species Table'!I287="", "", IF('Aqueous Species Options'!B287="H+", 0, ('Aqueous Species Options'!G287/41.8393 + 'Aqueous Species Table'!O287*100000*0.0000005903 - 'Aqueous Species Table'!I287/10 - 'Aqueous Species Table'!J287*100/2601)*(298.15-228) - ('Aqueous Species Table'!L287*10000/2601) ) ) ) )</f>
        <v/>
      </c>
      <c r="L287" s="42" t="str">
        <f>IF(ISBLANK('Aqueous Species Options'!B287), "", IF('Aqueous Species Options'!L287 = 0, 'Aqueous Species Options'!Q287, IF('Aqueous Species Table'!J287="", "", IF('Aqueous Species Options'!B287="H+", 0, (-4.134*'Aqueous Species Table'!J287*100 - 27790)*0.0001) ) ) )</f>
        <v/>
      </c>
      <c r="M287" s="42" t="str">
        <f>IF(ISBLANK('Aqueous Species Options'!B287), "", IF('Aqueous Species Options'!L287=0, 'Aqueous Species Options'!R287, IF('Aqueous Species Table'!N287="", "", IF('Aqueous Species Options'!B287="H+", 0, 'Aqueous Species Options'!H287 - 'Aqueous Species Table'!O287*100000*(-0.000000309)*298.15 - 'Aqueous Species Table'!N287*10000/(298.15-228)^2 ) ) ) )</f>
        <v/>
      </c>
      <c r="N287" s="42" t="str">
        <f>IF(ISBLANK('Aqueous Species Options'!B287), "", IF('Aqueous Species Options'!L287=0, 'Aqueous Species Options'!S287, IF(OR(ISBLANK('Aqueous Species Options'!H287), 'Aqueous Species Table'!O287=""), "", IF('Aqueous Species Options'!B287="H+", 0, 0.2037*'Aqueous Species Options'!H287 - 3.0346) ) ) )</f>
        <v/>
      </c>
      <c r="O287" s="42" t="str">
        <f>IF(ISBLANK('Aqueous Species Options'!B287), "", IF('Aqueous Species Options'!K287=0, 'Aqueous Species Options'!I287, IF(OR('Aqueous Species Options'!J287&gt;4,'Aqueous Species Options'!J287&lt;-4), "", IF('Aqueous Species Options'!B287="H+", 0, IF('Aqueous Species Options'!J287=0, -0.038, IF(ISBLANK('Aqueous Species Options'!F287), "", -1514.4*'Aqueous Species Options'!F287*0.00001 + SUM(({4,3,2,1,-1,-2,-3,-4}='Aqueous Species Options'!J287)*{2.1764,1.5793,1.0579,0.5517,1.6291,3.2127,4.8115,6.486}) ) ) ) ) ) )</f>
        <v/>
      </c>
      <c r="P287" s="1" t="str">
        <f>IF(ISBLANK('Aqueous Species Options'!J287), "", 'Aqueous Species Options'!J287)</f>
        <v/>
      </c>
      <c r="Q287" s="184" t="str">
        <f>IF(ISBLANK('Aqueous Species Options'!T287), "", 'Aqueous Species Options'!T287)</f>
        <v/>
      </c>
    </row>
    <row r="288" spans="2:17" ht="16" x14ac:dyDescent="0.2">
      <c r="B288" s="9" t="str">
        <f>IF(ISBLANK('Aqueous Species Options'!B288), "", 'Aqueous Species Options'!B288)</f>
        <v/>
      </c>
      <c r="C288" s="9" t="str">
        <f>IF(ISBLANK('Aqueous Species Options'!C288), "", 'Aqueous Species Options'!C288)</f>
        <v/>
      </c>
      <c r="D288" s="2" t="str">
        <f>IF(ISBLANK('Aqueous Species Options'!D288), "", 'Aqueous Species Options'!D288)</f>
        <v/>
      </c>
      <c r="E288" s="1" t="str">
        <f>IF(ISBLANK('Aqueous Species Options'!E288), "", 'Aqueous Species Options'!E288)</f>
        <v/>
      </c>
      <c r="F288" s="139" t="str">
        <f>IF(ISBLANK('Aqueous Species Options'!F288), "", 'Aqueous Species Options'!F288)</f>
        <v/>
      </c>
      <c r="G288" s="29" t="str">
        <f>IF(ISBLANK('Aqueous Species Options'!B288), "", IF('Aqueous Species Options'!L288 = 1, IF(ISBLANK('Aqueous Species Options'!G288), "", 'Aqueous Species Options'!G288), ('Aqueous Species Table'!I288/10 + ('Aqueous Species Table'!J288*100)/(Calculations!$C$12+Calculations!$C$9) + ('Aqueous Species Table'!K288 + ('Aqueous Species Table'!L288*10000)/(Calculations!$C$12+Calculations!$C$9))*(1/(Calculations!$C$8-Calculations!$C$13)) - 'Aqueous Species Table'!O288*100000*0.0000005903)*41.8393))</f>
        <v/>
      </c>
      <c r="H288" s="29" t="str">
        <f>IF(ISBLANK('Aqueous Species Options'!B288), "", IF('Aqueous Species Options'!L288 = 1, IF(ISBLANK('Aqueous Species Options'!H288), "", 'Aqueous Species Options'!H288), 'Aqueous Species Table'!M288 + 'Aqueous Species Table'!N288*10000*(1/(Calculations!$C$8-Calculations!$C$13))^2 + 'Aqueous Species Table'!O288*100000*Calculations!$C$8*Calculations!$C$7))</f>
        <v/>
      </c>
      <c r="I288" s="42" t="str">
        <f>IF(ISBLANK('Aqueous Species Options'!B288), "", IF('Aqueous Species Options'!L288=0, 'Aqueous Species Options'!N288, IF(OR(ISBLANK('Aqueous Species Options'!G288),'Aqueous Species Table'!O288="", 'Aqueous Species Table'!P288=""), "", IF('Aqueous Species Options'!B288="H+", 0, (CHOOSE('Aqueous Species Options'!M288+1,'Aqueous Species Options'!$V$4*ABS('Aqueous Species Table'!P288)+'Aqueous Species Options'!$W$4,'Aqueous Species Options'!$Z$4)*('Aqueous Species Options'!G288 + 'Aqueous Species Table'!O288*100000*0.0000005903*41.8393) + CHOOSE('Aqueous Species Options'!M288+1,'Aqueous Species Options'!$X$4*ABS('Aqueous Species Table'!P288)+'Aqueous Species Options'!$Y$4,'Aqueous Species Options'!$AA$4))*10 ) ) ) )</f>
        <v/>
      </c>
      <c r="J288" s="42" t="str">
        <f>IF(ISBLANK('Aqueous Species Options'!B288), "", IF('Aqueous Species Options'!L288 = 0, 'Aqueous Species Options'!O288, IF('Aqueous Species Table'!I288="", "", IF('Aqueous Species Options'!B288="H+", 0, ((1.11*('Aqueous Species Options'!G288 + 'Aqueous Species Table'!O288*100000*0.0000005903*41.8393)+1.8)/41.8393 - 'Aqueous Species Table'!I288/10)*26.01 ) ) ) )</f>
        <v/>
      </c>
      <c r="K288" s="42" t="str">
        <f>IF(ISBLANK('Aqueous Species Options'!B288), "", IF('Aqueous Species Options'!L288 = 0, 'Aqueous Species Options'!P288, IF('Aqueous Species Table'!I288="", "", IF('Aqueous Species Options'!B288="H+", 0, ('Aqueous Species Options'!G288/41.8393 + 'Aqueous Species Table'!O288*100000*0.0000005903 - 'Aqueous Species Table'!I288/10 - 'Aqueous Species Table'!J288*100/2601)*(298.15-228) - ('Aqueous Species Table'!L288*10000/2601) ) ) ) )</f>
        <v/>
      </c>
      <c r="L288" s="42" t="str">
        <f>IF(ISBLANK('Aqueous Species Options'!B288), "", IF('Aqueous Species Options'!L288 = 0, 'Aqueous Species Options'!Q288, IF('Aqueous Species Table'!J288="", "", IF('Aqueous Species Options'!B288="H+", 0, (-4.134*'Aqueous Species Table'!J288*100 - 27790)*0.0001) ) ) )</f>
        <v/>
      </c>
      <c r="M288" s="42" t="str">
        <f>IF(ISBLANK('Aqueous Species Options'!B288), "", IF('Aqueous Species Options'!L288=0, 'Aqueous Species Options'!R288, IF('Aqueous Species Table'!N288="", "", IF('Aqueous Species Options'!B288="H+", 0, 'Aqueous Species Options'!H288 - 'Aqueous Species Table'!O288*100000*(-0.000000309)*298.15 - 'Aqueous Species Table'!N288*10000/(298.15-228)^2 ) ) ) )</f>
        <v/>
      </c>
      <c r="N288" s="42" t="str">
        <f>IF(ISBLANK('Aqueous Species Options'!B288), "", IF('Aqueous Species Options'!L288=0, 'Aqueous Species Options'!S288, IF(OR(ISBLANK('Aqueous Species Options'!H288), 'Aqueous Species Table'!O288=""), "", IF('Aqueous Species Options'!B288="H+", 0, 0.2037*'Aqueous Species Options'!H288 - 3.0346) ) ) )</f>
        <v/>
      </c>
      <c r="O288" s="42" t="str">
        <f>IF(ISBLANK('Aqueous Species Options'!B288), "", IF('Aqueous Species Options'!K288=0, 'Aqueous Species Options'!I288, IF(OR('Aqueous Species Options'!J288&gt;4,'Aqueous Species Options'!J288&lt;-4), "", IF('Aqueous Species Options'!B288="H+", 0, IF('Aqueous Species Options'!J288=0, -0.038, IF(ISBLANK('Aqueous Species Options'!F288), "", -1514.4*'Aqueous Species Options'!F288*0.00001 + SUM(({4,3,2,1,-1,-2,-3,-4}='Aqueous Species Options'!J288)*{2.1764,1.5793,1.0579,0.5517,1.6291,3.2127,4.8115,6.486}) ) ) ) ) ) )</f>
        <v/>
      </c>
      <c r="P288" s="1" t="str">
        <f>IF(ISBLANK('Aqueous Species Options'!J288), "", 'Aqueous Species Options'!J288)</f>
        <v/>
      </c>
      <c r="Q288" s="184" t="str">
        <f>IF(ISBLANK('Aqueous Species Options'!T288), "", 'Aqueous Species Options'!T288)</f>
        <v/>
      </c>
    </row>
    <row r="289" spans="2:17" ht="16" x14ac:dyDescent="0.2">
      <c r="B289" s="9" t="str">
        <f>IF(ISBLANK('Aqueous Species Options'!B289), "", 'Aqueous Species Options'!B289)</f>
        <v/>
      </c>
      <c r="C289" s="9" t="str">
        <f>IF(ISBLANK('Aqueous Species Options'!C289), "", 'Aqueous Species Options'!C289)</f>
        <v/>
      </c>
      <c r="D289" s="2" t="str">
        <f>IF(ISBLANK('Aqueous Species Options'!D289), "", 'Aqueous Species Options'!D289)</f>
        <v/>
      </c>
      <c r="E289" s="1" t="str">
        <f>IF(ISBLANK('Aqueous Species Options'!E289), "", 'Aqueous Species Options'!E289)</f>
        <v/>
      </c>
      <c r="F289" s="139" t="str">
        <f>IF(ISBLANK('Aqueous Species Options'!F289), "", 'Aqueous Species Options'!F289)</f>
        <v/>
      </c>
      <c r="G289" s="29" t="str">
        <f>IF(ISBLANK('Aqueous Species Options'!B289), "", IF('Aqueous Species Options'!L289 = 1, IF(ISBLANK('Aqueous Species Options'!G289), "", 'Aqueous Species Options'!G289), ('Aqueous Species Table'!I289/10 + ('Aqueous Species Table'!J289*100)/(Calculations!$C$12+Calculations!$C$9) + ('Aqueous Species Table'!K289 + ('Aqueous Species Table'!L289*10000)/(Calculations!$C$12+Calculations!$C$9))*(1/(Calculations!$C$8-Calculations!$C$13)) - 'Aqueous Species Table'!O289*100000*0.0000005903)*41.8393))</f>
        <v/>
      </c>
      <c r="H289" s="29" t="str">
        <f>IF(ISBLANK('Aqueous Species Options'!B289), "", IF('Aqueous Species Options'!L289 = 1, IF(ISBLANK('Aqueous Species Options'!H289), "", 'Aqueous Species Options'!H289), 'Aqueous Species Table'!M289 + 'Aqueous Species Table'!N289*10000*(1/(Calculations!$C$8-Calculations!$C$13))^2 + 'Aqueous Species Table'!O289*100000*Calculations!$C$8*Calculations!$C$7))</f>
        <v/>
      </c>
      <c r="I289" s="42" t="str">
        <f>IF(ISBLANK('Aqueous Species Options'!B289), "", IF('Aqueous Species Options'!L289=0, 'Aqueous Species Options'!N289, IF(OR(ISBLANK('Aqueous Species Options'!G289),'Aqueous Species Table'!O289="", 'Aqueous Species Table'!P289=""), "", IF('Aqueous Species Options'!B289="H+", 0, (CHOOSE('Aqueous Species Options'!M289+1,'Aqueous Species Options'!$V$4*ABS('Aqueous Species Table'!P289)+'Aqueous Species Options'!$W$4,'Aqueous Species Options'!$Z$4)*('Aqueous Species Options'!G289 + 'Aqueous Species Table'!O289*100000*0.0000005903*41.8393) + CHOOSE('Aqueous Species Options'!M289+1,'Aqueous Species Options'!$X$4*ABS('Aqueous Species Table'!P289)+'Aqueous Species Options'!$Y$4,'Aqueous Species Options'!$AA$4))*10 ) ) ) )</f>
        <v/>
      </c>
      <c r="J289" s="42" t="str">
        <f>IF(ISBLANK('Aqueous Species Options'!B289), "", IF('Aqueous Species Options'!L289 = 0, 'Aqueous Species Options'!O289, IF('Aqueous Species Table'!I289="", "", IF('Aqueous Species Options'!B289="H+", 0, ((1.11*('Aqueous Species Options'!G289 + 'Aqueous Species Table'!O289*100000*0.0000005903*41.8393)+1.8)/41.8393 - 'Aqueous Species Table'!I289/10)*26.01 ) ) ) )</f>
        <v/>
      </c>
      <c r="K289" s="42" t="str">
        <f>IF(ISBLANK('Aqueous Species Options'!B289), "", IF('Aqueous Species Options'!L289 = 0, 'Aqueous Species Options'!P289, IF('Aqueous Species Table'!I289="", "", IF('Aqueous Species Options'!B289="H+", 0, ('Aqueous Species Options'!G289/41.8393 + 'Aqueous Species Table'!O289*100000*0.0000005903 - 'Aqueous Species Table'!I289/10 - 'Aqueous Species Table'!J289*100/2601)*(298.15-228) - ('Aqueous Species Table'!L289*10000/2601) ) ) ) )</f>
        <v/>
      </c>
      <c r="L289" s="42" t="str">
        <f>IF(ISBLANK('Aqueous Species Options'!B289), "", IF('Aqueous Species Options'!L289 = 0, 'Aqueous Species Options'!Q289, IF('Aqueous Species Table'!J289="", "", IF('Aqueous Species Options'!B289="H+", 0, (-4.134*'Aqueous Species Table'!J289*100 - 27790)*0.0001) ) ) )</f>
        <v/>
      </c>
      <c r="M289" s="42" t="str">
        <f>IF(ISBLANK('Aqueous Species Options'!B289), "", IF('Aqueous Species Options'!L289=0, 'Aqueous Species Options'!R289, IF('Aqueous Species Table'!N289="", "", IF('Aqueous Species Options'!B289="H+", 0, 'Aqueous Species Options'!H289 - 'Aqueous Species Table'!O289*100000*(-0.000000309)*298.15 - 'Aqueous Species Table'!N289*10000/(298.15-228)^2 ) ) ) )</f>
        <v/>
      </c>
      <c r="N289" s="42" t="str">
        <f>IF(ISBLANK('Aqueous Species Options'!B289), "", IF('Aqueous Species Options'!L289=0, 'Aqueous Species Options'!S289, IF(OR(ISBLANK('Aqueous Species Options'!H289), 'Aqueous Species Table'!O289=""), "", IF('Aqueous Species Options'!B289="H+", 0, 0.2037*'Aqueous Species Options'!H289 - 3.0346) ) ) )</f>
        <v/>
      </c>
      <c r="O289" s="42" t="str">
        <f>IF(ISBLANK('Aqueous Species Options'!B289), "", IF('Aqueous Species Options'!K289=0, 'Aqueous Species Options'!I289, IF(OR('Aqueous Species Options'!J289&gt;4,'Aqueous Species Options'!J289&lt;-4), "", IF('Aqueous Species Options'!B289="H+", 0, IF('Aqueous Species Options'!J289=0, -0.038, IF(ISBLANK('Aqueous Species Options'!F289), "", -1514.4*'Aqueous Species Options'!F289*0.00001 + SUM(({4,3,2,1,-1,-2,-3,-4}='Aqueous Species Options'!J289)*{2.1764,1.5793,1.0579,0.5517,1.6291,3.2127,4.8115,6.486}) ) ) ) ) ) )</f>
        <v/>
      </c>
      <c r="P289" s="1" t="str">
        <f>IF(ISBLANK('Aqueous Species Options'!J289), "", 'Aqueous Species Options'!J289)</f>
        <v/>
      </c>
      <c r="Q289" s="184" t="str">
        <f>IF(ISBLANK('Aqueous Species Options'!T289), "", 'Aqueous Species Options'!T289)</f>
        <v/>
      </c>
    </row>
    <row r="290" spans="2:17" ht="16" x14ac:dyDescent="0.2">
      <c r="B290" s="9" t="str">
        <f>IF(ISBLANK('Aqueous Species Options'!B290), "", 'Aqueous Species Options'!B290)</f>
        <v/>
      </c>
      <c r="C290" s="9" t="str">
        <f>IF(ISBLANK('Aqueous Species Options'!C290), "", 'Aqueous Species Options'!C290)</f>
        <v/>
      </c>
      <c r="D290" s="2" t="str">
        <f>IF(ISBLANK('Aqueous Species Options'!D290), "", 'Aqueous Species Options'!D290)</f>
        <v/>
      </c>
      <c r="E290" s="1" t="str">
        <f>IF(ISBLANK('Aqueous Species Options'!E290), "", 'Aqueous Species Options'!E290)</f>
        <v/>
      </c>
      <c r="F290" s="139" t="str">
        <f>IF(ISBLANK('Aqueous Species Options'!F290), "", 'Aqueous Species Options'!F290)</f>
        <v/>
      </c>
      <c r="G290" s="29" t="str">
        <f>IF(ISBLANK('Aqueous Species Options'!B290), "", IF('Aqueous Species Options'!L290 = 1, IF(ISBLANK('Aqueous Species Options'!G290), "", 'Aqueous Species Options'!G290), ('Aqueous Species Table'!I290/10 + ('Aqueous Species Table'!J290*100)/(Calculations!$C$12+Calculations!$C$9) + ('Aqueous Species Table'!K290 + ('Aqueous Species Table'!L290*10000)/(Calculations!$C$12+Calculations!$C$9))*(1/(Calculations!$C$8-Calculations!$C$13)) - 'Aqueous Species Table'!O290*100000*0.0000005903)*41.8393))</f>
        <v/>
      </c>
      <c r="H290" s="29" t="str">
        <f>IF(ISBLANK('Aqueous Species Options'!B290), "", IF('Aqueous Species Options'!L290 = 1, IF(ISBLANK('Aqueous Species Options'!H290), "", 'Aqueous Species Options'!H290), 'Aqueous Species Table'!M290 + 'Aqueous Species Table'!N290*10000*(1/(Calculations!$C$8-Calculations!$C$13))^2 + 'Aqueous Species Table'!O290*100000*Calculations!$C$8*Calculations!$C$7))</f>
        <v/>
      </c>
      <c r="I290" s="42" t="str">
        <f>IF(ISBLANK('Aqueous Species Options'!B290), "", IF('Aqueous Species Options'!L290=0, 'Aqueous Species Options'!N290, IF(OR(ISBLANK('Aqueous Species Options'!G290),'Aqueous Species Table'!O290="", 'Aqueous Species Table'!P290=""), "", IF('Aqueous Species Options'!B290="H+", 0, (CHOOSE('Aqueous Species Options'!M290+1,'Aqueous Species Options'!$V$4*ABS('Aqueous Species Table'!P290)+'Aqueous Species Options'!$W$4,'Aqueous Species Options'!$Z$4)*('Aqueous Species Options'!G290 + 'Aqueous Species Table'!O290*100000*0.0000005903*41.8393) + CHOOSE('Aqueous Species Options'!M290+1,'Aqueous Species Options'!$X$4*ABS('Aqueous Species Table'!P290)+'Aqueous Species Options'!$Y$4,'Aqueous Species Options'!$AA$4))*10 ) ) ) )</f>
        <v/>
      </c>
      <c r="J290" s="42" t="str">
        <f>IF(ISBLANK('Aqueous Species Options'!B290), "", IF('Aqueous Species Options'!L290 = 0, 'Aqueous Species Options'!O290, IF('Aqueous Species Table'!I290="", "", IF('Aqueous Species Options'!B290="H+", 0, ((1.11*('Aqueous Species Options'!G290 + 'Aqueous Species Table'!O290*100000*0.0000005903*41.8393)+1.8)/41.8393 - 'Aqueous Species Table'!I290/10)*26.01 ) ) ) )</f>
        <v/>
      </c>
      <c r="K290" s="42" t="str">
        <f>IF(ISBLANK('Aqueous Species Options'!B290), "", IF('Aqueous Species Options'!L290 = 0, 'Aqueous Species Options'!P290, IF('Aqueous Species Table'!I290="", "", IF('Aqueous Species Options'!B290="H+", 0, ('Aqueous Species Options'!G290/41.8393 + 'Aqueous Species Table'!O290*100000*0.0000005903 - 'Aqueous Species Table'!I290/10 - 'Aqueous Species Table'!J290*100/2601)*(298.15-228) - ('Aqueous Species Table'!L290*10000/2601) ) ) ) )</f>
        <v/>
      </c>
      <c r="L290" s="42" t="str">
        <f>IF(ISBLANK('Aqueous Species Options'!B290), "", IF('Aqueous Species Options'!L290 = 0, 'Aqueous Species Options'!Q290, IF('Aqueous Species Table'!J290="", "", IF('Aqueous Species Options'!B290="H+", 0, (-4.134*'Aqueous Species Table'!J290*100 - 27790)*0.0001) ) ) )</f>
        <v/>
      </c>
      <c r="M290" s="42" t="str">
        <f>IF(ISBLANK('Aqueous Species Options'!B290), "", IF('Aqueous Species Options'!L290=0, 'Aqueous Species Options'!R290, IF('Aqueous Species Table'!N290="", "", IF('Aqueous Species Options'!B290="H+", 0, 'Aqueous Species Options'!H290 - 'Aqueous Species Table'!O290*100000*(-0.000000309)*298.15 - 'Aqueous Species Table'!N290*10000/(298.15-228)^2 ) ) ) )</f>
        <v/>
      </c>
      <c r="N290" s="42" t="str">
        <f>IF(ISBLANK('Aqueous Species Options'!B290), "", IF('Aqueous Species Options'!L290=0, 'Aqueous Species Options'!S290, IF(OR(ISBLANK('Aqueous Species Options'!H290), 'Aqueous Species Table'!O290=""), "", IF('Aqueous Species Options'!B290="H+", 0, 0.2037*'Aqueous Species Options'!H290 - 3.0346) ) ) )</f>
        <v/>
      </c>
      <c r="O290" s="42" t="str">
        <f>IF(ISBLANK('Aqueous Species Options'!B290), "", IF('Aqueous Species Options'!K290=0, 'Aqueous Species Options'!I290, IF(OR('Aqueous Species Options'!J290&gt;4,'Aqueous Species Options'!J290&lt;-4), "", IF('Aqueous Species Options'!B290="H+", 0, IF('Aqueous Species Options'!J290=0, -0.038, IF(ISBLANK('Aqueous Species Options'!F290), "", -1514.4*'Aqueous Species Options'!F290*0.00001 + SUM(({4,3,2,1,-1,-2,-3,-4}='Aqueous Species Options'!J290)*{2.1764,1.5793,1.0579,0.5517,1.6291,3.2127,4.8115,6.486}) ) ) ) ) ) )</f>
        <v/>
      </c>
      <c r="P290" s="1" t="str">
        <f>IF(ISBLANK('Aqueous Species Options'!J290), "", 'Aqueous Species Options'!J290)</f>
        <v/>
      </c>
      <c r="Q290" s="184" t="str">
        <f>IF(ISBLANK('Aqueous Species Options'!T290), "", 'Aqueous Species Options'!T290)</f>
        <v/>
      </c>
    </row>
    <row r="291" spans="2:17" ht="16" x14ac:dyDescent="0.2">
      <c r="B291" s="9" t="str">
        <f>IF(ISBLANK('Aqueous Species Options'!B291), "", 'Aqueous Species Options'!B291)</f>
        <v/>
      </c>
      <c r="C291" s="9" t="str">
        <f>IF(ISBLANK('Aqueous Species Options'!C291), "", 'Aqueous Species Options'!C291)</f>
        <v/>
      </c>
      <c r="D291" s="2" t="str">
        <f>IF(ISBLANK('Aqueous Species Options'!D291), "", 'Aqueous Species Options'!D291)</f>
        <v/>
      </c>
      <c r="E291" s="1" t="str">
        <f>IF(ISBLANK('Aqueous Species Options'!E291), "", 'Aqueous Species Options'!E291)</f>
        <v/>
      </c>
      <c r="F291" s="139" t="str">
        <f>IF(ISBLANK('Aqueous Species Options'!F291), "", 'Aqueous Species Options'!F291)</f>
        <v/>
      </c>
      <c r="G291" s="29" t="str">
        <f>IF(ISBLANK('Aqueous Species Options'!B291), "", IF('Aqueous Species Options'!L291 = 1, IF(ISBLANK('Aqueous Species Options'!G291), "", 'Aqueous Species Options'!G291), ('Aqueous Species Table'!I291/10 + ('Aqueous Species Table'!J291*100)/(Calculations!$C$12+Calculations!$C$9) + ('Aqueous Species Table'!K291 + ('Aqueous Species Table'!L291*10000)/(Calculations!$C$12+Calculations!$C$9))*(1/(Calculations!$C$8-Calculations!$C$13)) - 'Aqueous Species Table'!O291*100000*0.0000005903)*41.8393))</f>
        <v/>
      </c>
      <c r="H291" s="29" t="str">
        <f>IF(ISBLANK('Aqueous Species Options'!B291), "", IF('Aqueous Species Options'!L291 = 1, IF(ISBLANK('Aqueous Species Options'!H291), "", 'Aqueous Species Options'!H291), 'Aqueous Species Table'!M291 + 'Aqueous Species Table'!N291*10000*(1/(Calculations!$C$8-Calculations!$C$13))^2 + 'Aqueous Species Table'!O291*100000*Calculations!$C$8*Calculations!$C$7))</f>
        <v/>
      </c>
      <c r="I291" s="42" t="str">
        <f>IF(ISBLANK('Aqueous Species Options'!B291), "", IF('Aqueous Species Options'!L291=0, 'Aqueous Species Options'!N291, IF(OR(ISBLANK('Aqueous Species Options'!G291),'Aqueous Species Table'!O291="", 'Aqueous Species Table'!P291=""), "", IF('Aqueous Species Options'!B291="H+", 0, (CHOOSE('Aqueous Species Options'!M291+1,'Aqueous Species Options'!$V$4*ABS('Aqueous Species Table'!P291)+'Aqueous Species Options'!$W$4,'Aqueous Species Options'!$Z$4)*('Aqueous Species Options'!G291 + 'Aqueous Species Table'!O291*100000*0.0000005903*41.8393) + CHOOSE('Aqueous Species Options'!M291+1,'Aqueous Species Options'!$X$4*ABS('Aqueous Species Table'!P291)+'Aqueous Species Options'!$Y$4,'Aqueous Species Options'!$AA$4))*10 ) ) ) )</f>
        <v/>
      </c>
      <c r="J291" s="42" t="str">
        <f>IF(ISBLANK('Aqueous Species Options'!B291), "", IF('Aqueous Species Options'!L291 = 0, 'Aqueous Species Options'!O291, IF('Aqueous Species Table'!I291="", "", IF('Aqueous Species Options'!B291="H+", 0, ((1.11*('Aqueous Species Options'!G291 + 'Aqueous Species Table'!O291*100000*0.0000005903*41.8393)+1.8)/41.8393 - 'Aqueous Species Table'!I291/10)*26.01 ) ) ) )</f>
        <v/>
      </c>
      <c r="K291" s="42" t="str">
        <f>IF(ISBLANK('Aqueous Species Options'!B291), "", IF('Aqueous Species Options'!L291 = 0, 'Aqueous Species Options'!P291, IF('Aqueous Species Table'!I291="", "", IF('Aqueous Species Options'!B291="H+", 0, ('Aqueous Species Options'!G291/41.8393 + 'Aqueous Species Table'!O291*100000*0.0000005903 - 'Aqueous Species Table'!I291/10 - 'Aqueous Species Table'!J291*100/2601)*(298.15-228) - ('Aqueous Species Table'!L291*10000/2601) ) ) ) )</f>
        <v/>
      </c>
      <c r="L291" s="42" t="str">
        <f>IF(ISBLANK('Aqueous Species Options'!B291), "", IF('Aqueous Species Options'!L291 = 0, 'Aqueous Species Options'!Q291, IF('Aqueous Species Table'!J291="", "", IF('Aqueous Species Options'!B291="H+", 0, (-4.134*'Aqueous Species Table'!J291*100 - 27790)*0.0001) ) ) )</f>
        <v/>
      </c>
      <c r="M291" s="42" t="str">
        <f>IF(ISBLANK('Aqueous Species Options'!B291), "", IF('Aqueous Species Options'!L291=0, 'Aqueous Species Options'!R291, IF('Aqueous Species Table'!N291="", "", IF('Aqueous Species Options'!B291="H+", 0, 'Aqueous Species Options'!H291 - 'Aqueous Species Table'!O291*100000*(-0.000000309)*298.15 - 'Aqueous Species Table'!N291*10000/(298.15-228)^2 ) ) ) )</f>
        <v/>
      </c>
      <c r="N291" s="42" t="str">
        <f>IF(ISBLANK('Aqueous Species Options'!B291), "", IF('Aqueous Species Options'!L291=0, 'Aqueous Species Options'!S291, IF(OR(ISBLANK('Aqueous Species Options'!H291), 'Aqueous Species Table'!O291=""), "", IF('Aqueous Species Options'!B291="H+", 0, 0.2037*'Aqueous Species Options'!H291 - 3.0346) ) ) )</f>
        <v/>
      </c>
      <c r="O291" s="42" t="str">
        <f>IF(ISBLANK('Aqueous Species Options'!B291), "", IF('Aqueous Species Options'!K291=0, 'Aqueous Species Options'!I291, IF(OR('Aqueous Species Options'!J291&gt;4,'Aqueous Species Options'!J291&lt;-4), "", IF('Aqueous Species Options'!B291="H+", 0, IF('Aqueous Species Options'!J291=0, -0.038, IF(ISBLANK('Aqueous Species Options'!F291), "", -1514.4*'Aqueous Species Options'!F291*0.00001 + SUM(({4,3,2,1,-1,-2,-3,-4}='Aqueous Species Options'!J291)*{2.1764,1.5793,1.0579,0.5517,1.6291,3.2127,4.8115,6.486}) ) ) ) ) ) )</f>
        <v/>
      </c>
      <c r="P291" s="1" t="str">
        <f>IF(ISBLANK('Aqueous Species Options'!J291), "", 'Aqueous Species Options'!J291)</f>
        <v/>
      </c>
      <c r="Q291" s="184" t="str">
        <f>IF(ISBLANK('Aqueous Species Options'!T291), "", 'Aqueous Species Options'!T291)</f>
        <v/>
      </c>
    </row>
    <row r="292" spans="2:17" ht="16" x14ac:dyDescent="0.2">
      <c r="B292" s="9" t="str">
        <f>IF(ISBLANK('Aqueous Species Options'!B292), "", 'Aqueous Species Options'!B292)</f>
        <v/>
      </c>
      <c r="C292" s="9" t="str">
        <f>IF(ISBLANK('Aqueous Species Options'!C292), "", 'Aqueous Species Options'!C292)</f>
        <v/>
      </c>
      <c r="D292" s="2" t="str">
        <f>IF(ISBLANK('Aqueous Species Options'!D292), "", 'Aqueous Species Options'!D292)</f>
        <v/>
      </c>
      <c r="E292" s="1" t="str">
        <f>IF(ISBLANK('Aqueous Species Options'!E292), "", 'Aqueous Species Options'!E292)</f>
        <v/>
      </c>
      <c r="F292" s="139" t="str">
        <f>IF(ISBLANK('Aqueous Species Options'!F292), "", 'Aqueous Species Options'!F292)</f>
        <v/>
      </c>
      <c r="G292" s="29" t="str">
        <f>IF(ISBLANK('Aqueous Species Options'!B292), "", IF('Aqueous Species Options'!L292 = 1, IF(ISBLANK('Aqueous Species Options'!G292), "", 'Aqueous Species Options'!G292), ('Aqueous Species Table'!I292/10 + ('Aqueous Species Table'!J292*100)/(Calculations!$C$12+Calculations!$C$9) + ('Aqueous Species Table'!K292 + ('Aqueous Species Table'!L292*10000)/(Calculations!$C$12+Calculations!$C$9))*(1/(Calculations!$C$8-Calculations!$C$13)) - 'Aqueous Species Table'!O292*100000*0.0000005903)*41.8393))</f>
        <v/>
      </c>
      <c r="H292" s="29" t="str">
        <f>IF(ISBLANK('Aqueous Species Options'!B292), "", IF('Aqueous Species Options'!L292 = 1, IF(ISBLANK('Aqueous Species Options'!H292), "", 'Aqueous Species Options'!H292), 'Aqueous Species Table'!M292 + 'Aqueous Species Table'!N292*10000*(1/(Calculations!$C$8-Calculations!$C$13))^2 + 'Aqueous Species Table'!O292*100000*Calculations!$C$8*Calculations!$C$7))</f>
        <v/>
      </c>
      <c r="I292" s="42" t="str">
        <f>IF(ISBLANK('Aqueous Species Options'!B292), "", IF('Aqueous Species Options'!L292=0, 'Aqueous Species Options'!N292, IF(OR(ISBLANK('Aqueous Species Options'!G292),'Aqueous Species Table'!O292="", 'Aqueous Species Table'!P292=""), "", IF('Aqueous Species Options'!B292="H+", 0, (CHOOSE('Aqueous Species Options'!M292+1,'Aqueous Species Options'!$V$4*ABS('Aqueous Species Table'!P292)+'Aqueous Species Options'!$W$4,'Aqueous Species Options'!$Z$4)*('Aqueous Species Options'!G292 + 'Aqueous Species Table'!O292*100000*0.0000005903*41.8393) + CHOOSE('Aqueous Species Options'!M292+1,'Aqueous Species Options'!$X$4*ABS('Aqueous Species Table'!P292)+'Aqueous Species Options'!$Y$4,'Aqueous Species Options'!$AA$4))*10 ) ) ) )</f>
        <v/>
      </c>
      <c r="J292" s="42" t="str">
        <f>IF(ISBLANK('Aqueous Species Options'!B292), "", IF('Aqueous Species Options'!L292 = 0, 'Aqueous Species Options'!O292, IF('Aqueous Species Table'!I292="", "", IF('Aqueous Species Options'!B292="H+", 0, ((1.11*('Aqueous Species Options'!G292 + 'Aqueous Species Table'!O292*100000*0.0000005903*41.8393)+1.8)/41.8393 - 'Aqueous Species Table'!I292/10)*26.01 ) ) ) )</f>
        <v/>
      </c>
      <c r="K292" s="42" t="str">
        <f>IF(ISBLANK('Aqueous Species Options'!B292), "", IF('Aqueous Species Options'!L292 = 0, 'Aqueous Species Options'!P292, IF('Aqueous Species Table'!I292="", "", IF('Aqueous Species Options'!B292="H+", 0, ('Aqueous Species Options'!G292/41.8393 + 'Aqueous Species Table'!O292*100000*0.0000005903 - 'Aqueous Species Table'!I292/10 - 'Aqueous Species Table'!J292*100/2601)*(298.15-228) - ('Aqueous Species Table'!L292*10000/2601) ) ) ) )</f>
        <v/>
      </c>
      <c r="L292" s="42" t="str">
        <f>IF(ISBLANK('Aqueous Species Options'!B292), "", IF('Aqueous Species Options'!L292 = 0, 'Aqueous Species Options'!Q292, IF('Aqueous Species Table'!J292="", "", IF('Aqueous Species Options'!B292="H+", 0, (-4.134*'Aqueous Species Table'!J292*100 - 27790)*0.0001) ) ) )</f>
        <v/>
      </c>
      <c r="M292" s="42" t="str">
        <f>IF(ISBLANK('Aqueous Species Options'!B292), "", IF('Aqueous Species Options'!L292=0, 'Aqueous Species Options'!R292, IF('Aqueous Species Table'!N292="", "", IF('Aqueous Species Options'!B292="H+", 0, 'Aqueous Species Options'!H292 - 'Aqueous Species Table'!O292*100000*(-0.000000309)*298.15 - 'Aqueous Species Table'!N292*10000/(298.15-228)^2 ) ) ) )</f>
        <v/>
      </c>
      <c r="N292" s="42" t="str">
        <f>IF(ISBLANK('Aqueous Species Options'!B292), "", IF('Aqueous Species Options'!L292=0, 'Aqueous Species Options'!S292, IF(OR(ISBLANK('Aqueous Species Options'!H292), 'Aqueous Species Table'!O292=""), "", IF('Aqueous Species Options'!B292="H+", 0, 0.2037*'Aqueous Species Options'!H292 - 3.0346) ) ) )</f>
        <v/>
      </c>
      <c r="O292" s="42" t="str">
        <f>IF(ISBLANK('Aqueous Species Options'!B292), "", IF('Aqueous Species Options'!K292=0, 'Aqueous Species Options'!I292, IF(OR('Aqueous Species Options'!J292&gt;4,'Aqueous Species Options'!J292&lt;-4), "", IF('Aqueous Species Options'!B292="H+", 0, IF('Aqueous Species Options'!J292=0, -0.038, IF(ISBLANK('Aqueous Species Options'!F292), "", -1514.4*'Aqueous Species Options'!F292*0.00001 + SUM(({4,3,2,1,-1,-2,-3,-4}='Aqueous Species Options'!J292)*{2.1764,1.5793,1.0579,0.5517,1.6291,3.2127,4.8115,6.486}) ) ) ) ) ) )</f>
        <v/>
      </c>
      <c r="P292" s="1" t="str">
        <f>IF(ISBLANK('Aqueous Species Options'!J292), "", 'Aqueous Species Options'!J292)</f>
        <v/>
      </c>
      <c r="Q292" s="184" t="str">
        <f>IF(ISBLANK('Aqueous Species Options'!T292), "", 'Aqueous Species Options'!T292)</f>
        <v/>
      </c>
    </row>
    <row r="293" spans="2:17" ht="16" x14ac:dyDescent="0.2">
      <c r="B293" s="9" t="str">
        <f>IF(ISBLANK('Aqueous Species Options'!B293), "", 'Aqueous Species Options'!B293)</f>
        <v/>
      </c>
      <c r="C293" s="9" t="str">
        <f>IF(ISBLANK('Aqueous Species Options'!C293), "", 'Aqueous Species Options'!C293)</f>
        <v/>
      </c>
      <c r="D293" s="2" t="str">
        <f>IF(ISBLANK('Aqueous Species Options'!D293), "", 'Aqueous Species Options'!D293)</f>
        <v/>
      </c>
      <c r="E293" s="1" t="str">
        <f>IF(ISBLANK('Aqueous Species Options'!E293), "", 'Aqueous Species Options'!E293)</f>
        <v/>
      </c>
      <c r="F293" s="139" t="str">
        <f>IF(ISBLANK('Aqueous Species Options'!F293), "", 'Aqueous Species Options'!F293)</f>
        <v/>
      </c>
      <c r="G293" s="29" t="str">
        <f>IF(ISBLANK('Aqueous Species Options'!B293), "", IF('Aqueous Species Options'!L293 = 1, IF(ISBLANK('Aqueous Species Options'!G293), "", 'Aqueous Species Options'!G293), ('Aqueous Species Table'!I293/10 + ('Aqueous Species Table'!J293*100)/(Calculations!$C$12+Calculations!$C$9) + ('Aqueous Species Table'!K293 + ('Aqueous Species Table'!L293*10000)/(Calculations!$C$12+Calculations!$C$9))*(1/(Calculations!$C$8-Calculations!$C$13)) - 'Aqueous Species Table'!O293*100000*0.0000005903)*41.8393))</f>
        <v/>
      </c>
      <c r="H293" s="29" t="str">
        <f>IF(ISBLANK('Aqueous Species Options'!B293), "", IF('Aqueous Species Options'!L293 = 1, IF(ISBLANK('Aqueous Species Options'!H293), "", 'Aqueous Species Options'!H293), 'Aqueous Species Table'!M293 + 'Aqueous Species Table'!N293*10000*(1/(Calculations!$C$8-Calculations!$C$13))^2 + 'Aqueous Species Table'!O293*100000*Calculations!$C$8*Calculations!$C$7))</f>
        <v/>
      </c>
      <c r="I293" s="42" t="str">
        <f>IF(ISBLANK('Aqueous Species Options'!B293), "", IF('Aqueous Species Options'!L293=0, 'Aqueous Species Options'!N293, IF(OR(ISBLANK('Aqueous Species Options'!G293),'Aqueous Species Table'!O293="", 'Aqueous Species Table'!P293=""), "", IF('Aqueous Species Options'!B293="H+", 0, (CHOOSE('Aqueous Species Options'!M293+1,'Aqueous Species Options'!$V$4*ABS('Aqueous Species Table'!P293)+'Aqueous Species Options'!$W$4,'Aqueous Species Options'!$Z$4)*('Aqueous Species Options'!G293 + 'Aqueous Species Table'!O293*100000*0.0000005903*41.8393) + CHOOSE('Aqueous Species Options'!M293+1,'Aqueous Species Options'!$X$4*ABS('Aqueous Species Table'!P293)+'Aqueous Species Options'!$Y$4,'Aqueous Species Options'!$AA$4))*10 ) ) ) )</f>
        <v/>
      </c>
      <c r="J293" s="42" t="str">
        <f>IF(ISBLANK('Aqueous Species Options'!B293), "", IF('Aqueous Species Options'!L293 = 0, 'Aqueous Species Options'!O293, IF('Aqueous Species Table'!I293="", "", IF('Aqueous Species Options'!B293="H+", 0, ((1.11*('Aqueous Species Options'!G293 + 'Aqueous Species Table'!O293*100000*0.0000005903*41.8393)+1.8)/41.8393 - 'Aqueous Species Table'!I293/10)*26.01 ) ) ) )</f>
        <v/>
      </c>
      <c r="K293" s="42" t="str">
        <f>IF(ISBLANK('Aqueous Species Options'!B293), "", IF('Aqueous Species Options'!L293 = 0, 'Aqueous Species Options'!P293, IF('Aqueous Species Table'!I293="", "", IF('Aqueous Species Options'!B293="H+", 0, ('Aqueous Species Options'!G293/41.8393 + 'Aqueous Species Table'!O293*100000*0.0000005903 - 'Aqueous Species Table'!I293/10 - 'Aqueous Species Table'!J293*100/2601)*(298.15-228) - ('Aqueous Species Table'!L293*10000/2601) ) ) ) )</f>
        <v/>
      </c>
      <c r="L293" s="42" t="str">
        <f>IF(ISBLANK('Aqueous Species Options'!B293), "", IF('Aqueous Species Options'!L293 = 0, 'Aqueous Species Options'!Q293, IF('Aqueous Species Table'!J293="", "", IF('Aqueous Species Options'!B293="H+", 0, (-4.134*'Aqueous Species Table'!J293*100 - 27790)*0.0001) ) ) )</f>
        <v/>
      </c>
      <c r="M293" s="42" t="str">
        <f>IF(ISBLANK('Aqueous Species Options'!B293), "", IF('Aqueous Species Options'!L293=0, 'Aqueous Species Options'!R293, IF('Aqueous Species Table'!N293="", "", IF('Aqueous Species Options'!B293="H+", 0, 'Aqueous Species Options'!H293 - 'Aqueous Species Table'!O293*100000*(-0.000000309)*298.15 - 'Aqueous Species Table'!N293*10000/(298.15-228)^2 ) ) ) )</f>
        <v/>
      </c>
      <c r="N293" s="42" t="str">
        <f>IF(ISBLANK('Aqueous Species Options'!B293), "", IF('Aqueous Species Options'!L293=0, 'Aqueous Species Options'!S293, IF(OR(ISBLANK('Aqueous Species Options'!H293), 'Aqueous Species Table'!O293=""), "", IF('Aqueous Species Options'!B293="H+", 0, 0.2037*'Aqueous Species Options'!H293 - 3.0346) ) ) )</f>
        <v/>
      </c>
      <c r="O293" s="42" t="str">
        <f>IF(ISBLANK('Aqueous Species Options'!B293), "", IF('Aqueous Species Options'!K293=0, 'Aqueous Species Options'!I293, IF(OR('Aqueous Species Options'!J293&gt;4,'Aqueous Species Options'!J293&lt;-4), "", IF('Aqueous Species Options'!B293="H+", 0, IF('Aqueous Species Options'!J293=0, -0.038, IF(ISBLANK('Aqueous Species Options'!F293), "", -1514.4*'Aqueous Species Options'!F293*0.00001 + SUM(({4,3,2,1,-1,-2,-3,-4}='Aqueous Species Options'!J293)*{2.1764,1.5793,1.0579,0.5517,1.6291,3.2127,4.8115,6.486}) ) ) ) ) ) )</f>
        <v/>
      </c>
      <c r="P293" s="1" t="str">
        <f>IF(ISBLANK('Aqueous Species Options'!J293), "", 'Aqueous Species Options'!J293)</f>
        <v/>
      </c>
      <c r="Q293" s="184" t="str">
        <f>IF(ISBLANK('Aqueous Species Options'!T293), "", 'Aqueous Species Options'!T293)</f>
        <v/>
      </c>
    </row>
    <row r="294" spans="2:17" ht="16" x14ac:dyDescent="0.2">
      <c r="B294" s="9" t="str">
        <f>IF(ISBLANK('Aqueous Species Options'!B294), "", 'Aqueous Species Options'!B294)</f>
        <v/>
      </c>
      <c r="C294" s="9" t="str">
        <f>IF(ISBLANK('Aqueous Species Options'!C294), "", 'Aqueous Species Options'!C294)</f>
        <v/>
      </c>
      <c r="D294" s="2" t="str">
        <f>IF(ISBLANK('Aqueous Species Options'!D294), "", 'Aqueous Species Options'!D294)</f>
        <v/>
      </c>
      <c r="E294" s="1" t="str">
        <f>IF(ISBLANK('Aqueous Species Options'!E294), "", 'Aqueous Species Options'!E294)</f>
        <v/>
      </c>
      <c r="F294" s="139" t="str">
        <f>IF(ISBLANK('Aqueous Species Options'!F294), "", 'Aqueous Species Options'!F294)</f>
        <v/>
      </c>
      <c r="G294" s="29" t="str">
        <f>IF(ISBLANK('Aqueous Species Options'!B294), "", IF('Aqueous Species Options'!L294 = 1, IF(ISBLANK('Aqueous Species Options'!G294), "", 'Aqueous Species Options'!G294), ('Aqueous Species Table'!I294/10 + ('Aqueous Species Table'!J294*100)/(Calculations!$C$12+Calculations!$C$9) + ('Aqueous Species Table'!K294 + ('Aqueous Species Table'!L294*10000)/(Calculations!$C$12+Calculations!$C$9))*(1/(Calculations!$C$8-Calculations!$C$13)) - 'Aqueous Species Table'!O294*100000*0.0000005903)*41.8393))</f>
        <v/>
      </c>
      <c r="H294" s="29" t="str">
        <f>IF(ISBLANK('Aqueous Species Options'!B294), "", IF('Aqueous Species Options'!L294 = 1, IF(ISBLANK('Aqueous Species Options'!H294), "", 'Aqueous Species Options'!H294), 'Aqueous Species Table'!M294 + 'Aqueous Species Table'!N294*10000*(1/(Calculations!$C$8-Calculations!$C$13))^2 + 'Aqueous Species Table'!O294*100000*Calculations!$C$8*Calculations!$C$7))</f>
        <v/>
      </c>
      <c r="I294" s="42" t="str">
        <f>IF(ISBLANK('Aqueous Species Options'!B294), "", IF('Aqueous Species Options'!L294=0, 'Aqueous Species Options'!N294, IF(OR(ISBLANK('Aqueous Species Options'!G294),'Aqueous Species Table'!O294="", 'Aqueous Species Table'!P294=""), "", IF('Aqueous Species Options'!B294="H+", 0, (CHOOSE('Aqueous Species Options'!M294+1,'Aqueous Species Options'!$V$4*ABS('Aqueous Species Table'!P294)+'Aqueous Species Options'!$W$4,'Aqueous Species Options'!$Z$4)*('Aqueous Species Options'!G294 + 'Aqueous Species Table'!O294*100000*0.0000005903*41.8393) + CHOOSE('Aqueous Species Options'!M294+1,'Aqueous Species Options'!$X$4*ABS('Aqueous Species Table'!P294)+'Aqueous Species Options'!$Y$4,'Aqueous Species Options'!$AA$4))*10 ) ) ) )</f>
        <v/>
      </c>
      <c r="J294" s="42" t="str">
        <f>IF(ISBLANK('Aqueous Species Options'!B294), "", IF('Aqueous Species Options'!L294 = 0, 'Aqueous Species Options'!O294, IF('Aqueous Species Table'!I294="", "", IF('Aqueous Species Options'!B294="H+", 0, ((1.11*('Aqueous Species Options'!G294 + 'Aqueous Species Table'!O294*100000*0.0000005903*41.8393)+1.8)/41.8393 - 'Aqueous Species Table'!I294/10)*26.01 ) ) ) )</f>
        <v/>
      </c>
      <c r="K294" s="42" t="str">
        <f>IF(ISBLANK('Aqueous Species Options'!B294), "", IF('Aqueous Species Options'!L294 = 0, 'Aqueous Species Options'!P294, IF('Aqueous Species Table'!I294="", "", IF('Aqueous Species Options'!B294="H+", 0, ('Aqueous Species Options'!G294/41.8393 + 'Aqueous Species Table'!O294*100000*0.0000005903 - 'Aqueous Species Table'!I294/10 - 'Aqueous Species Table'!J294*100/2601)*(298.15-228) - ('Aqueous Species Table'!L294*10000/2601) ) ) ) )</f>
        <v/>
      </c>
      <c r="L294" s="42" t="str">
        <f>IF(ISBLANK('Aqueous Species Options'!B294), "", IF('Aqueous Species Options'!L294 = 0, 'Aqueous Species Options'!Q294, IF('Aqueous Species Table'!J294="", "", IF('Aqueous Species Options'!B294="H+", 0, (-4.134*'Aqueous Species Table'!J294*100 - 27790)*0.0001) ) ) )</f>
        <v/>
      </c>
      <c r="M294" s="42" t="str">
        <f>IF(ISBLANK('Aqueous Species Options'!B294), "", IF('Aqueous Species Options'!L294=0, 'Aqueous Species Options'!R294, IF('Aqueous Species Table'!N294="", "", IF('Aqueous Species Options'!B294="H+", 0, 'Aqueous Species Options'!H294 - 'Aqueous Species Table'!O294*100000*(-0.000000309)*298.15 - 'Aqueous Species Table'!N294*10000/(298.15-228)^2 ) ) ) )</f>
        <v/>
      </c>
      <c r="N294" s="42" t="str">
        <f>IF(ISBLANK('Aqueous Species Options'!B294), "", IF('Aqueous Species Options'!L294=0, 'Aqueous Species Options'!S294, IF(OR(ISBLANK('Aqueous Species Options'!H294), 'Aqueous Species Table'!O294=""), "", IF('Aqueous Species Options'!B294="H+", 0, 0.2037*'Aqueous Species Options'!H294 - 3.0346) ) ) )</f>
        <v/>
      </c>
      <c r="O294" s="42" t="str">
        <f>IF(ISBLANK('Aqueous Species Options'!B294), "", IF('Aqueous Species Options'!K294=0, 'Aqueous Species Options'!I294, IF(OR('Aqueous Species Options'!J294&gt;4,'Aqueous Species Options'!J294&lt;-4), "", IF('Aqueous Species Options'!B294="H+", 0, IF('Aqueous Species Options'!J294=0, -0.038, IF(ISBLANK('Aqueous Species Options'!F294), "", -1514.4*'Aqueous Species Options'!F294*0.00001 + SUM(({4,3,2,1,-1,-2,-3,-4}='Aqueous Species Options'!J294)*{2.1764,1.5793,1.0579,0.5517,1.6291,3.2127,4.8115,6.486}) ) ) ) ) ) )</f>
        <v/>
      </c>
      <c r="P294" s="1" t="str">
        <f>IF(ISBLANK('Aqueous Species Options'!J294), "", 'Aqueous Species Options'!J294)</f>
        <v/>
      </c>
      <c r="Q294" s="184" t="str">
        <f>IF(ISBLANK('Aqueous Species Options'!T294), "", 'Aqueous Species Options'!T294)</f>
        <v/>
      </c>
    </row>
    <row r="295" spans="2:17" ht="16" x14ac:dyDescent="0.2">
      <c r="B295" s="9" t="str">
        <f>IF(ISBLANK('Aqueous Species Options'!B295), "", 'Aqueous Species Options'!B295)</f>
        <v/>
      </c>
      <c r="C295" s="9" t="str">
        <f>IF(ISBLANK('Aqueous Species Options'!C295), "", 'Aqueous Species Options'!C295)</f>
        <v/>
      </c>
      <c r="D295" s="2" t="str">
        <f>IF(ISBLANK('Aqueous Species Options'!D295), "", 'Aqueous Species Options'!D295)</f>
        <v/>
      </c>
      <c r="E295" s="1" t="str">
        <f>IF(ISBLANK('Aqueous Species Options'!E295), "", 'Aqueous Species Options'!E295)</f>
        <v/>
      </c>
      <c r="F295" s="139" t="str">
        <f>IF(ISBLANK('Aqueous Species Options'!F295), "", 'Aqueous Species Options'!F295)</f>
        <v/>
      </c>
      <c r="G295" s="29" t="str">
        <f>IF(ISBLANK('Aqueous Species Options'!B295), "", IF('Aqueous Species Options'!L295 = 1, IF(ISBLANK('Aqueous Species Options'!G295), "", 'Aqueous Species Options'!G295), ('Aqueous Species Table'!I295/10 + ('Aqueous Species Table'!J295*100)/(Calculations!$C$12+Calculations!$C$9) + ('Aqueous Species Table'!K295 + ('Aqueous Species Table'!L295*10000)/(Calculations!$C$12+Calculations!$C$9))*(1/(Calculations!$C$8-Calculations!$C$13)) - 'Aqueous Species Table'!O295*100000*0.0000005903)*41.8393))</f>
        <v/>
      </c>
      <c r="H295" s="29" t="str">
        <f>IF(ISBLANK('Aqueous Species Options'!B295), "", IF('Aqueous Species Options'!L295 = 1, IF(ISBLANK('Aqueous Species Options'!H295), "", 'Aqueous Species Options'!H295), 'Aqueous Species Table'!M295 + 'Aqueous Species Table'!N295*10000*(1/(Calculations!$C$8-Calculations!$C$13))^2 + 'Aqueous Species Table'!O295*100000*Calculations!$C$8*Calculations!$C$7))</f>
        <v/>
      </c>
      <c r="I295" s="42" t="str">
        <f>IF(ISBLANK('Aqueous Species Options'!B295), "", IF('Aqueous Species Options'!L295=0, 'Aqueous Species Options'!N295, IF(OR(ISBLANK('Aqueous Species Options'!G295),'Aqueous Species Table'!O295="", 'Aqueous Species Table'!P295=""), "", IF('Aqueous Species Options'!B295="H+", 0, (CHOOSE('Aqueous Species Options'!M295+1,'Aqueous Species Options'!$V$4*ABS('Aqueous Species Table'!P295)+'Aqueous Species Options'!$W$4,'Aqueous Species Options'!$Z$4)*('Aqueous Species Options'!G295 + 'Aqueous Species Table'!O295*100000*0.0000005903*41.8393) + CHOOSE('Aqueous Species Options'!M295+1,'Aqueous Species Options'!$X$4*ABS('Aqueous Species Table'!P295)+'Aqueous Species Options'!$Y$4,'Aqueous Species Options'!$AA$4))*10 ) ) ) )</f>
        <v/>
      </c>
      <c r="J295" s="42" t="str">
        <f>IF(ISBLANK('Aqueous Species Options'!B295), "", IF('Aqueous Species Options'!L295 = 0, 'Aqueous Species Options'!O295, IF('Aqueous Species Table'!I295="", "", IF('Aqueous Species Options'!B295="H+", 0, ((1.11*('Aqueous Species Options'!G295 + 'Aqueous Species Table'!O295*100000*0.0000005903*41.8393)+1.8)/41.8393 - 'Aqueous Species Table'!I295/10)*26.01 ) ) ) )</f>
        <v/>
      </c>
      <c r="K295" s="42" t="str">
        <f>IF(ISBLANK('Aqueous Species Options'!B295), "", IF('Aqueous Species Options'!L295 = 0, 'Aqueous Species Options'!P295, IF('Aqueous Species Table'!I295="", "", IF('Aqueous Species Options'!B295="H+", 0, ('Aqueous Species Options'!G295/41.8393 + 'Aqueous Species Table'!O295*100000*0.0000005903 - 'Aqueous Species Table'!I295/10 - 'Aqueous Species Table'!J295*100/2601)*(298.15-228) - ('Aqueous Species Table'!L295*10000/2601) ) ) ) )</f>
        <v/>
      </c>
      <c r="L295" s="42" t="str">
        <f>IF(ISBLANK('Aqueous Species Options'!B295), "", IF('Aqueous Species Options'!L295 = 0, 'Aqueous Species Options'!Q295, IF('Aqueous Species Table'!J295="", "", IF('Aqueous Species Options'!B295="H+", 0, (-4.134*'Aqueous Species Table'!J295*100 - 27790)*0.0001) ) ) )</f>
        <v/>
      </c>
      <c r="M295" s="42" t="str">
        <f>IF(ISBLANK('Aqueous Species Options'!B295), "", IF('Aqueous Species Options'!L295=0, 'Aqueous Species Options'!R295, IF('Aqueous Species Table'!N295="", "", IF('Aqueous Species Options'!B295="H+", 0, 'Aqueous Species Options'!H295 - 'Aqueous Species Table'!O295*100000*(-0.000000309)*298.15 - 'Aqueous Species Table'!N295*10000/(298.15-228)^2 ) ) ) )</f>
        <v/>
      </c>
      <c r="N295" s="42" t="str">
        <f>IF(ISBLANK('Aqueous Species Options'!B295), "", IF('Aqueous Species Options'!L295=0, 'Aqueous Species Options'!S295, IF(OR(ISBLANK('Aqueous Species Options'!H295), 'Aqueous Species Table'!O295=""), "", IF('Aqueous Species Options'!B295="H+", 0, 0.2037*'Aqueous Species Options'!H295 - 3.0346) ) ) )</f>
        <v/>
      </c>
      <c r="O295" s="42" t="str">
        <f>IF(ISBLANK('Aqueous Species Options'!B295), "", IF('Aqueous Species Options'!K295=0, 'Aqueous Species Options'!I295, IF(OR('Aqueous Species Options'!J295&gt;4,'Aqueous Species Options'!J295&lt;-4), "", IF('Aqueous Species Options'!B295="H+", 0, IF('Aqueous Species Options'!J295=0, -0.038, IF(ISBLANK('Aqueous Species Options'!F295), "", -1514.4*'Aqueous Species Options'!F295*0.00001 + SUM(({4,3,2,1,-1,-2,-3,-4}='Aqueous Species Options'!J295)*{2.1764,1.5793,1.0579,0.5517,1.6291,3.2127,4.8115,6.486}) ) ) ) ) ) )</f>
        <v/>
      </c>
      <c r="P295" s="1" t="str">
        <f>IF(ISBLANK('Aqueous Species Options'!J295), "", 'Aqueous Species Options'!J295)</f>
        <v/>
      </c>
      <c r="Q295" s="184" t="str">
        <f>IF(ISBLANK('Aqueous Species Options'!T295), "", 'Aqueous Species Options'!T295)</f>
        <v/>
      </c>
    </row>
    <row r="296" spans="2:17" ht="16" x14ac:dyDescent="0.2">
      <c r="B296" s="9" t="str">
        <f>IF(ISBLANK('Aqueous Species Options'!B296), "", 'Aqueous Species Options'!B296)</f>
        <v/>
      </c>
      <c r="C296" s="9" t="str">
        <f>IF(ISBLANK('Aqueous Species Options'!C296), "", 'Aqueous Species Options'!C296)</f>
        <v/>
      </c>
      <c r="D296" s="2" t="str">
        <f>IF(ISBLANK('Aqueous Species Options'!D296), "", 'Aqueous Species Options'!D296)</f>
        <v/>
      </c>
      <c r="E296" s="1" t="str">
        <f>IF(ISBLANK('Aqueous Species Options'!E296), "", 'Aqueous Species Options'!E296)</f>
        <v/>
      </c>
      <c r="F296" s="139" t="str">
        <f>IF(ISBLANK('Aqueous Species Options'!F296), "", 'Aqueous Species Options'!F296)</f>
        <v/>
      </c>
      <c r="G296" s="29" t="str">
        <f>IF(ISBLANK('Aqueous Species Options'!B296), "", IF('Aqueous Species Options'!L296 = 1, IF(ISBLANK('Aqueous Species Options'!G296), "", 'Aqueous Species Options'!G296), ('Aqueous Species Table'!I296/10 + ('Aqueous Species Table'!J296*100)/(Calculations!$C$12+Calculations!$C$9) + ('Aqueous Species Table'!K296 + ('Aqueous Species Table'!L296*10000)/(Calculations!$C$12+Calculations!$C$9))*(1/(Calculations!$C$8-Calculations!$C$13)) - 'Aqueous Species Table'!O296*100000*0.0000005903)*41.8393))</f>
        <v/>
      </c>
      <c r="H296" s="29" t="str">
        <f>IF(ISBLANK('Aqueous Species Options'!B296), "", IF('Aqueous Species Options'!L296 = 1, IF(ISBLANK('Aqueous Species Options'!H296), "", 'Aqueous Species Options'!H296), 'Aqueous Species Table'!M296 + 'Aqueous Species Table'!N296*10000*(1/(Calculations!$C$8-Calculations!$C$13))^2 + 'Aqueous Species Table'!O296*100000*Calculations!$C$8*Calculations!$C$7))</f>
        <v/>
      </c>
      <c r="I296" s="42" t="str">
        <f>IF(ISBLANK('Aqueous Species Options'!B296), "", IF('Aqueous Species Options'!L296=0, 'Aqueous Species Options'!N296, IF(OR(ISBLANK('Aqueous Species Options'!G296),'Aqueous Species Table'!O296="", 'Aqueous Species Table'!P296=""), "", IF('Aqueous Species Options'!B296="H+", 0, (CHOOSE('Aqueous Species Options'!M296+1,'Aqueous Species Options'!$V$4*ABS('Aqueous Species Table'!P296)+'Aqueous Species Options'!$W$4,'Aqueous Species Options'!$Z$4)*('Aqueous Species Options'!G296 + 'Aqueous Species Table'!O296*100000*0.0000005903*41.8393) + CHOOSE('Aqueous Species Options'!M296+1,'Aqueous Species Options'!$X$4*ABS('Aqueous Species Table'!P296)+'Aqueous Species Options'!$Y$4,'Aqueous Species Options'!$AA$4))*10 ) ) ) )</f>
        <v/>
      </c>
      <c r="J296" s="42" t="str">
        <f>IF(ISBLANK('Aqueous Species Options'!B296), "", IF('Aqueous Species Options'!L296 = 0, 'Aqueous Species Options'!O296, IF('Aqueous Species Table'!I296="", "", IF('Aqueous Species Options'!B296="H+", 0, ((1.11*('Aqueous Species Options'!G296 + 'Aqueous Species Table'!O296*100000*0.0000005903*41.8393)+1.8)/41.8393 - 'Aqueous Species Table'!I296/10)*26.01 ) ) ) )</f>
        <v/>
      </c>
      <c r="K296" s="42" t="str">
        <f>IF(ISBLANK('Aqueous Species Options'!B296), "", IF('Aqueous Species Options'!L296 = 0, 'Aqueous Species Options'!P296, IF('Aqueous Species Table'!I296="", "", IF('Aqueous Species Options'!B296="H+", 0, ('Aqueous Species Options'!G296/41.8393 + 'Aqueous Species Table'!O296*100000*0.0000005903 - 'Aqueous Species Table'!I296/10 - 'Aqueous Species Table'!J296*100/2601)*(298.15-228) - ('Aqueous Species Table'!L296*10000/2601) ) ) ) )</f>
        <v/>
      </c>
      <c r="L296" s="42" t="str">
        <f>IF(ISBLANK('Aqueous Species Options'!B296), "", IF('Aqueous Species Options'!L296 = 0, 'Aqueous Species Options'!Q296, IF('Aqueous Species Table'!J296="", "", IF('Aqueous Species Options'!B296="H+", 0, (-4.134*'Aqueous Species Table'!J296*100 - 27790)*0.0001) ) ) )</f>
        <v/>
      </c>
      <c r="M296" s="42" t="str">
        <f>IF(ISBLANK('Aqueous Species Options'!B296), "", IF('Aqueous Species Options'!L296=0, 'Aqueous Species Options'!R296, IF('Aqueous Species Table'!N296="", "", IF('Aqueous Species Options'!B296="H+", 0, 'Aqueous Species Options'!H296 - 'Aqueous Species Table'!O296*100000*(-0.000000309)*298.15 - 'Aqueous Species Table'!N296*10000/(298.15-228)^2 ) ) ) )</f>
        <v/>
      </c>
      <c r="N296" s="42" t="str">
        <f>IF(ISBLANK('Aqueous Species Options'!B296), "", IF('Aqueous Species Options'!L296=0, 'Aqueous Species Options'!S296, IF(OR(ISBLANK('Aqueous Species Options'!H296), 'Aqueous Species Table'!O296=""), "", IF('Aqueous Species Options'!B296="H+", 0, 0.2037*'Aqueous Species Options'!H296 - 3.0346) ) ) )</f>
        <v/>
      </c>
      <c r="O296" s="42" t="str">
        <f>IF(ISBLANK('Aqueous Species Options'!B296), "", IF('Aqueous Species Options'!K296=0, 'Aqueous Species Options'!I296, IF(OR('Aqueous Species Options'!J296&gt;4,'Aqueous Species Options'!J296&lt;-4), "", IF('Aqueous Species Options'!B296="H+", 0, IF('Aqueous Species Options'!J296=0, -0.038, IF(ISBLANK('Aqueous Species Options'!F296), "", -1514.4*'Aqueous Species Options'!F296*0.00001 + SUM(({4,3,2,1,-1,-2,-3,-4}='Aqueous Species Options'!J296)*{2.1764,1.5793,1.0579,0.5517,1.6291,3.2127,4.8115,6.486}) ) ) ) ) ) )</f>
        <v/>
      </c>
      <c r="P296" s="1" t="str">
        <f>IF(ISBLANK('Aqueous Species Options'!J296), "", 'Aqueous Species Options'!J296)</f>
        <v/>
      </c>
      <c r="Q296" s="184" t="str">
        <f>IF(ISBLANK('Aqueous Species Options'!T296), "", 'Aqueous Species Options'!T296)</f>
        <v/>
      </c>
    </row>
    <row r="297" spans="2:17" ht="16" x14ac:dyDescent="0.2">
      <c r="B297" s="9" t="str">
        <f>IF(ISBLANK('Aqueous Species Options'!B297), "", 'Aqueous Species Options'!B297)</f>
        <v/>
      </c>
      <c r="C297" s="9" t="str">
        <f>IF(ISBLANK('Aqueous Species Options'!C297), "", 'Aqueous Species Options'!C297)</f>
        <v/>
      </c>
      <c r="D297" s="2" t="str">
        <f>IF(ISBLANK('Aqueous Species Options'!D297), "", 'Aqueous Species Options'!D297)</f>
        <v/>
      </c>
      <c r="E297" s="1" t="str">
        <f>IF(ISBLANK('Aqueous Species Options'!E297), "", 'Aqueous Species Options'!E297)</f>
        <v/>
      </c>
      <c r="F297" s="139" t="str">
        <f>IF(ISBLANK('Aqueous Species Options'!F297), "", 'Aqueous Species Options'!F297)</f>
        <v/>
      </c>
      <c r="G297" s="29" t="str">
        <f>IF(ISBLANK('Aqueous Species Options'!B297), "", IF('Aqueous Species Options'!L297 = 1, IF(ISBLANK('Aqueous Species Options'!G297), "", 'Aqueous Species Options'!G297), ('Aqueous Species Table'!I297/10 + ('Aqueous Species Table'!J297*100)/(Calculations!$C$12+Calculations!$C$9) + ('Aqueous Species Table'!K297 + ('Aqueous Species Table'!L297*10000)/(Calculations!$C$12+Calculations!$C$9))*(1/(Calculations!$C$8-Calculations!$C$13)) - 'Aqueous Species Table'!O297*100000*0.0000005903)*41.8393))</f>
        <v/>
      </c>
      <c r="H297" s="29" t="str">
        <f>IF(ISBLANK('Aqueous Species Options'!B297), "", IF('Aqueous Species Options'!L297 = 1, IF(ISBLANK('Aqueous Species Options'!H297), "", 'Aqueous Species Options'!H297), 'Aqueous Species Table'!M297 + 'Aqueous Species Table'!N297*10000*(1/(Calculations!$C$8-Calculations!$C$13))^2 + 'Aqueous Species Table'!O297*100000*Calculations!$C$8*Calculations!$C$7))</f>
        <v/>
      </c>
      <c r="I297" s="42" t="str">
        <f>IF(ISBLANK('Aqueous Species Options'!B297), "", IF('Aqueous Species Options'!L297=0, 'Aqueous Species Options'!N297, IF(OR(ISBLANK('Aqueous Species Options'!G297),'Aqueous Species Table'!O297="", 'Aqueous Species Table'!P297=""), "", IF('Aqueous Species Options'!B297="H+", 0, (CHOOSE('Aqueous Species Options'!M297+1,'Aqueous Species Options'!$V$4*ABS('Aqueous Species Table'!P297)+'Aqueous Species Options'!$W$4,'Aqueous Species Options'!$Z$4)*('Aqueous Species Options'!G297 + 'Aqueous Species Table'!O297*100000*0.0000005903*41.8393) + CHOOSE('Aqueous Species Options'!M297+1,'Aqueous Species Options'!$X$4*ABS('Aqueous Species Table'!P297)+'Aqueous Species Options'!$Y$4,'Aqueous Species Options'!$AA$4))*10 ) ) ) )</f>
        <v/>
      </c>
      <c r="J297" s="42" t="str">
        <f>IF(ISBLANK('Aqueous Species Options'!B297), "", IF('Aqueous Species Options'!L297 = 0, 'Aqueous Species Options'!O297, IF('Aqueous Species Table'!I297="", "", IF('Aqueous Species Options'!B297="H+", 0, ((1.11*('Aqueous Species Options'!G297 + 'Aqueous Species Table'!O297*100000*0.0000005903*41.8393)+1.8)/41.8393 - 'Aqueous Species Table'!I297/10)*26.01 ) ) ) )</f>
        <v/>
      </c>
      <c r="K297" s="42" t="str">
        <f>IF(ISBLANK('Aqueous Species Options'!B297), "", IF('Aqueous Species Options'!L297 = 0, 'Aqueous Species Options'!P297, IF('Aqueous Species Table'!I297="", "", IF('Aqueous Species Options'!B297="H+", 0, ('Aqueous Species Options'!G297/41.8393 + 'Aqueous Species Table'!O297*100000*0.0000005903 - 'Aqueous Species Table'!I297/10 - 'Aqueous Species Table'!J297*100/2601)*(298.15-228) - ('Aqueous Species Table'!L297*10000/2601) ) ) ) )</f>
        <v/>
      </c>
      <c r="L297" s="42" t="str">
        <f>IF(ISBLANK('Aqueous Species Options'!B297), "", IF('Aqueous Species Options'!L297 = 0, 'Aqueous Species Options'!Q297, IF('Aqueous Species Table'!J297="", "", IF('Aqueous Species Options'!B297="H+", 0, (-4.134*'Aqueous Species Table'!J297*100 - 27790)*0.0001) ) ) )</f>
        <v/>
      </c>
      <c r="M297" s="42" t="str">
        <f>IF(ISBLANK('Aqueous Species Options'!B297), "", IF('Aqueous Species Options'!L297=0, 'Aqueous Species Options'!R297, IF('Aqueous Species Table'!N297="", "", IF('Aqueous Species Options'!B297="H+", 0, 'Aqueous Species Options'!H297 - 'Aqueous Species Table'!O297*100000*(-0.000000309)*298.15 - 'Aqueous Species Table'!N297*10000/(298.15-228)^2 ) ) ) )</f>
        <v/>
      </c>
      <c r="N297" s="42" t="str">
        <f>IF(ISBLANK('Aqueous Species Options'!B297), "", IF('Aqueous Species Options'!L297=0, 'Aqueous Species Options'!S297, IF(OR(ISBLANK('Aqueous Species Options'!H297), 'Aqueous Species Table'!O297=""), "", IF('Aqueous Species Options'!B297="H+", 0, 0.2037*'Aqueous Species Options'!H297 - 3.0346) ) ) )</f>
        <v/>
      </c>
      <c r="O297" s="42" t="str">
        <f>IF(ISBLANK('Aqueous Species Options'!B297), "", IF('Aqueous Species Options'!K297=0, 'Aqueous Species Options'!I297, IF(OR('Aqueous Species Options'!J297&gt;4,'Aqueous Species Options'!J297&lt;-4), "", IF('Aqueous Species Options'!B297="H+", 0, IF('Aqueous Species Options'!J297=0, -0.038, IF(ISBLANK('Aqueous Species Options'!F297), "", -1514.4*'Aqueous Species Options'!F297*0.00001 + SUM(({4,3,2,1,-1,-2,-3,-4}='Aqueous Species Options'!J297)*{2.1764,1.5793,1.0579,0.5517,1.6291,3.2127,4.8115,6.486}) ) ) ) ) ) )</f>
        <v/>
      </c>
      <c r="P297" s="1" t="str">
        <f>IF(ISBLANK('Aqueous Species Options'!J297), "", 'Aqueous Species Options'!J297)</f>
        <v/>
      </c>
      <c r="Q297" s="184" t="str">
        <f>IF(ISBLANK('Aqueous Species Options'!T297), "", 'Aqueous Species Options'!T297)</f>
        <v/>
      </c>
    </row>
    <row r="298" spans="2:17" ht="16" x14ac:dyDescent="0.2">
      <c r="B298" s="9" t="str">
        <f>IF(ISBLANK('Aqueous Species Options'!B298), "", 'Aqueous Species Options'!B298)</f>
        <v/>
      </c>
      <c r="C298" s="9" t="str">
        <f>IF(ISBLANK('Aqueous Species Options'!C298), "", 'Aqueous Species Options'!C298)</f>
        <v/>
      </c>
      <c r="D298" s="2" t="str">
        <f>IF(ISBLANK('Aqueous Species Options'!D298), "", 'Aqueous Species Options'!D298)</f>
        <v/>
      </c>
      <c r="E298" s="1" t="str">
        <f>IF(ISBLANK('Aqueous Species Options'!E298), "", 'Aqueous Species Options'!E298)</f>
        <v/>
      </c>
      <c r="F298" s="139" t="str">
        <f>IF(ISBLANK('Aqueous Species Options'!F298), "", 'Aqueous Species Options'!F298)</f>
        <v/>
      </c>
      <c r="G298" s="29" t="str">
        <f>IF(ISBLANK('Aqueous Species Options'!B298), "", IF('Aqueous Species Options'!L298 = 1, IF(ISBLANK('Aqueous Species Options'!G298), "", 'Aqueous Species Options'!G298), ('Aqueous Species Table'!I298/10 + ('Aqueous Species Table'!J298*100)/(Calculations!$C$12+Calculations!$C$9) + ('Aqueous Species Table'!K298 + ('Aqueous Species Table'!L298*10000)/(Calculations!$C$12+Calculations!$C$9))*(1/(Calculations!$C$8-Calculations!$C$13)) - 'Aqueous Species Table'!O298*100000*0.0000005903)*41.8393))</f>
        <v/>
      </c>
      <c r="H298" s="29" t="str">
        <f>IF(ISBLANK('Aqueous Species Options'!B298), "", IF('Aqueous Species Options'!L298 = 1, IF(ISBLANK('Aqueous Species Options'!H298), "", 'Aqueous Species Options'!H298), 'Aqueous Species Table'!M298 + 'Aqueous Species Table'!N298*10000*(1/(Calculations!$C$8-Calculations!$C$13))^2 + 'Aqueous Species Table'!O298*100000*Calculations!$C$8*Calculations!$C$7))</f>
        <v/>
      </c>
      <c r="I298" s="42" t="str">
        <f>IF(ISBLANK('Aqueous Species Options'!B298), "", IF('Aqueous Species Options'!L298=0, 'Aqueous Species Options'!N298, IF(OR(ISBLANK('Aqueous Species Options'!G298),'Aqueous Species Table'!O298="", 'Aqueous Species Table'!P298=""), "", IF('Aqueous Species Options'!B298="H+", 0, (CHOOSE('Aqueous Species Options'!M298+1,'Aqueous Species Options'!$V$4*ABS('Aqueous Species Table'!P298)+'Aqueous Species Options'!$W$4,'Aqueous Species Options'!$Z$4)*('Aqueous Species Options'!G298 + 'Aqueous Species Table'!O298*100000*0.0000005903*41.8393) + CHOOSE('Aqueous Species Options'!M298+1,'Aqueous Species Options'!$X$4*ABS('Aqueous Species Table'!P298)+'Aqueous Species Options'!$Y$4,'Aqueous Species Options'!$AA$4))*10 ) ) ) )</f>
        <v/>
      </c>
      <c r="J298" s="42" t="str">
        <f>IF(ISBLANK('Aqueous Species Options'!B298), "", IF('Aqueous Species Options'!L298 = 0, 'Aqueous Species Options'!O298, IF('Aqueous Species Table'!I298="", "", IF('Aqueous Species Options'!B298="H+", 0, ((1.11*('Aqueous Species Options'!G298 + 'Aqueous Species Table'!O298*100000*0.0000005903*41.8393)+1.8)/41.8393 - 'Aqueous Species Table'!I298/10)*26.01 ) ) ) )</f>
        <v/>
      </c>
      <c r="K298" s="42" t="str">
        <f>IF(ISBLANK('Aqueous Species Options'!B298), "", IF('Aqueous Species Options'!L298 = 0, 'Aqueous Species Options'!P298, IF('Aqueous Species Table'!I298="", "", IF('Aqueous Species Options'!B298="H+", 0, ('Aqueous Species Options'!G298/41.8393 + 'Aqueous Species Table'!O298*100000*0.0000005903 - 'Aqueous Species Table'!I298/10 - 'Aqueous Species Table'!J298*100/2601)*(298.15-228) - ('Aqueous Species Table'!L298*10000/2601) ) ) ) )</f>
        <v/>
      </c>
      <c r="L298" s="42" t="str">
        <f>IF(ISBLANK('Aqueous Species Options'!B298), "", IF('Aqueous Species Options'!L298 = 0, 'Aqueous Species Options'!Q298, IF('Aqueous Species Table'!J298="", "", IF('Aqueous Species Options'!B298="H+", 0, (-4.134*'Aqueous Species Table'!J298*100 - 27790)*0.0001) ) ) )</f>
        <v/>
      </c>
      <c r="M298" s="42" t="str">
        <f>IF(ISBLANK('Aqueous Species Options'!B298), "", IF('Aqueous Species Options'!L298=0, 'Aqueous Species Options'!R298, IF('Aqueous Species Table'!N298="", "", IF('Aqueous Species Options'!B298="H+", 0, 'Aqueous Species Options'!H298 - 'Aqueous Species Table'!O298*100000*(-0.000000309)*298.15 - 'Aqueous Species Table'!N298*10000/(298.15-228)^2 ) ) ) )</f>
        <v/>
      </c>
      <c r="N298" s="42" t="str">
        <f>IF(ISBLANK('Aqueous Species Options'!B298), "", IF('Aqueous Species Options'!L298=0, 'Aqueous Species Options'!S298, IF(OR(ISBLANK('Aqueous Species Options'!H298), 'Aqueous Species Table'!O298=""), "", IF('Aqueous Species Options'!B298="H+", 0, 0.2037*'Aqueous Species Options'!H298 - 3.0346) ) ) )</f>
        <v/>
      </c>
      <c r="O298" s="42" t="str">
        <f>IF(ISBLANK('Aqueous Species Options'!B298), "", IF('Aqueous Species Options'!K298=0, 'Aqueous Species Options'!I298, IF(OR('Aqueous Species Options'!J298&gt;4,'Aqueous Species Options'!J298&lt;-4), "", IF('Aqueous Species Options'!B298="H+", 0, IF('Aqueous Species Options'!J298=0, -0.038, IF(ISBLANK('Aqueous Species Options'!F298), "", -1514.4*'Aqueous Species Options'!F298*0.00001 + SUM(({4,3,2,1,-1,-2,-3,-4}='Aqueous Species Options'!J298)*{2.1764,1.5793,1.0579,0.5517,1.6291,3.2127,4.8115,6.486}) ) ) ) ) ) )</f>
        <v/>
      </c>
      <c r="P298" s="1" t="str">
        <f>IF(ISBLANK('Aqueous Species Options'!J298), "", 'Aqueous Species Options'!J298)</f>
        <v/>
      </c>
      <c r="Q298" s="184" t="str">
        <f>IF(ISBLANK('Aqueous Species Options'!T298), "", 'Aqueous Species Options'!T298)</f>
        <v/>
      </c>
    </row>
    <row r="299" spans="2:17" ht="16" x14ac:dyDescent="0.2">
      <c r="B299" s="9" t="str">
        <f>IF(ISBLANK('Aqueous Species Options'!B299), "", 'Aqueous Species Options'!B299)</f>
        <v/>
      </c>
      <c r="C299" s="9" t="str">
        <f>IF(ISBLANK('Aqueous Species Options'!C299), "", 'Aqueous Species Options'!C299)</f>
        <v/>
      </c>
      <c r="D299" s="2" t="str">
        <f>IF(ISBLANK('Aqueous Species Options'!D299), "", 'Aqueous Species Options'!D299)</f>
        <v/>
      </c>
      <c r="E299" s="1" t="str">
        <f>IF(ISBLANK('Aqueous Species Options'!E299), "", 'Aqueous Species Options'!E299)</f>
        <v/>
      </c>
      <c r="F299" s="139" t="str">
        <f>IF(ISBLANK('Aqueous Species Options'!F299), "", 'Aqueous Species Options'!F299)</f>
        <v/>
      </c>
      <c r="G299" s="29" t="str">
        <f>IF(ISBLANK('Aqueous Species Options'!B299), "", IF('Aqueous Species Options'!L299 = 1, IF(ISBLANK('Aqueous Species Options'!G299), "", 'Aqueous Species Options'!G299), ('Aqueous Species Table'!I299/10 + ('Aqueous Species Table'!J299*100)/(Calculations!$C$12+Calculations!$C$9) + ('Aqueous Species Table'!K299 + ('Aqueous Species Table'!L299*10000)/(Calculations!$C$12+Calculations!$C$9))*(1/(Calculations!$C$8-Calculations!$C$13)) - 'Aqueous Species Table'!O299*100000*0.0000005903)*41.8393))</f>
        <v/>
      </c>
      <c r="H299" s="29" t="str">
        <f>IF(ISBLANK('Aqueous Species Options'!B299), "", IF('Aqueous Species Options'!L299 = 1, IF(ISBLANK('Aqueous Species Options'!H299), "", 'Aqueous Species Options'!H299), 'Aqueous Species Table'!M299 + 'Aqueous Species Table'!N299*10000*(1/(Calculations!$C$8-Calculations!$C$13))^2 + 'Aqueous Species Table'!O299*100000*Calculations!$C$8*Calculations!$C$7))</f>
        <v/>
      </c>
      <c r="I299" s="42" t="str">
        <f>IF(ISBLANK('Aqueous Species Options'!B299), "", IF('Aqueous Species Options'!L299=0, 'Aqueous Species Options'!N299, IF(OR(ISBLANK('Aqueous Species Options'!G299),'Aqueous Species Table'!O299="", 'Aqueous Species Table'!P299=""), "", IF('Aqueous Species Options'!B299="H+", 0, (CHOOSE('Aqueous Species Options'!M299+1,'Aqueous Species Options'!$V$4*ABS('Aqueous Species Table'!P299)+'Aqueous Species Options'!$W$4,'Aqueous Species Options'!$Z$4)*('Aqueous Species Options'!G299 + 'Aqueous Species Table'!O299*100000*0.0000005903*41.8393) + CHOOSE('Aqueous Species Options'!M299+1,'Aqueous Species Options'!$X$4*ABS('Aqueous Species Table'!P299)+'Aqueous Species Options'!$Y$4,'Aqueous Species Options'!$AA$4))*10 ) ) ) )</f>
        <v/>
      </c>
      <c r="J299" s="42" t="str">
        <f>IF(ISBLANK('Aqueous Species Options'!B299), "", IF('Aqueous Species Options'!L299 = 0, 'Aqueous Species Options'!O299, IF('Aqueous Species Table'!I299="", "", IF('Aqueous Species Options'!B299="H+", 0, ((1.11*('Aqueous Species Options'!G299 + 'Aqueous Species Table'!O299*100000*0.0000005903*41.8393)+1.8)/41.8393 - 'Aqueous Species Table'!I299/10)*26.01 ) ) ) )</f>
        <v/>
      </c>
      <c r="K299" s="42" t="str">
        <f>IF(ISBLANK('Aqueous Species Options'!B299), "", IF('Aqueous Species Options'!L299 = 0, 'Aqueous Species Options'!P299, IF('Aqueous Species Table'!I299="", "", IF('Aqueous Species Options'!B299="H+", 0, ('Aqueous Species Options'!G299/41.8393 + 'Aqueous Species Table'!O299*100000*0.0000005903 - 'Aqueous Species Table'!I299/10 - 'Aqueous Species Table'!J299*100/2601)*(298.15-228) - ('Aqueous Species Table'!L299*10000/2601) ) ) ) )</f>
        <v/>
      </c>
      <c r="L299" s="42" t="str">
        <f>IF(ISBLANK('Aqueous Species Options'!B299), "", IF('Aqueous Species Options'!L299 = 0, 'Aqueous Species Options'!Q299, IF('Aqueous Species Table'!J299="", "", IF('Aqueous Species Options'!B299="H+", 0, (-4.134*'Aqueous Species Table'!J299*100 - 27790)*0.0001) ) ) )</f>
        <v/>
      </c>
      <c r="M299" s="42" t="str">
        <f>IF(ISBLANK('Aqueous Species Options'!B299), "", IF('Aqueous Species Options'!L299=0, 'Aqueous Species Options'!R299, IF('Aqueous Species Table'!N299="", "", IF('Aqueous Species Options'!B299="H+", 0, 'Aqueous Species Options'!H299 - 'Aqueous Species Table'!O299*100000*(-0.000000309)*298.15 - 'Aqueous Species Table'!N299*10000/(298.15-228)^2 ) ) ) )</f>
        <v/>
      </c>
      <c r="N299" s="42" t="str">
        <f>IF(ISBLANK('Aqueous Species Options'!B299), "", IF('Aqueous Species Options'!L299=0, 'Aqueous Species Options'!S299, IF(OR(ISBLANK('Aqueous Species Options'!H299), 'Aqueous Species Table'!O299=""), "", IF('Aqueous Species Options'!B299="H+", 0, 0.2037*'Aqueous Species Options'!H299 - 3.0346) ) ) )</f>
        <v/>
      </c>
      <c r="O299" s="42" t="str">
        <f>IF(ISBLANK('Aqueous Species Options'!B299), "", IF('Aqueous Species Options'!K299=0, 'Aqueous Species Options'!I299, IF(OR('Aqueous Species Options'!J299&gt;4,'Aqueous Species Options'!J299&lt;-4), "", IF('Aqueous Species Options'!B299="H+", 0, IF('Aqueous Species Options'!J299=0, -0.038, IF(ISBLANK('Aqueous Species Options'!F299), "", -1514.4*'Aqueous Species Options'!F299*0.00001 + SUM(({4,3,2,1,-1,-2,-3,-4}='Aqueous Species Options'!J299)*{2.1764,1.5793,1.0579,0.5517,1.6291,3.2127,4.8115,6.486}) ) ) ) ) ) )</f>
        <v/>
      </c>
      <c r="P299" s="1" t="str">
        <f>IF(ISBLANK('Aqueous Species Options'!J299), "", 'Aqueous Species Options'!J299)</f>
        <v/>
      </c>
      <c r="Q299" s="184" t="str">
        <f>IF(ISBLANK('Aqueous Species Options'!T299), "", 'Aqueous Species Options'!T299)</f>
        <v/>
      </c>
    </row>
    <row r="300" spans="2:17" ht="16" x14ac:dyDescent="0.2">
      <c r="B300" s="9" t="str">
        <f>IF(ISBLANK('Aqueous Species Options'!B300), "", 'Aqueous Species Options'!B300)</f>
        <v/>
      </c>
      <c r="C300" s="9" t="str">
        <f>IF(ISBLANK('Aqueous Species Options'!C300), "", 'Aqueous Species Options'!C300)</f>
        <v/>
      </c>
      <c r="D300" s="2" t="str">
        <f>IF(ISBLANK('Aqueous Species Options'!D300), "", 'Aqueous Species Options'!D300)</f>
        <v/>
      </c>
      <c r="E300" s="1" t="str">
        <f>IF(ISBLANK('Aqueous Species Options'!E300), "", 'Aqueous Species Options'!E300)</f>
        <v/>
      </c>
      <c r="F300" s="139" t="str">
        <f>IF(ISBLANK('Aqueous Species Options'!F300), "", 'Aqueous Species Options'!F300)</f>
        <v/>
      </c>
      <c r="G300" s="29" t="str">
        <f>IF(ISBLANK('Aqueous Species Options'!B300), "", IF('Aqueous Species Options'!L300 = 1, IF(ISBLANK('Aqueous Species Options'!G300), "", 'Aqueous Species Options'!G300), ('Aqueous Species Table'!I300/10 + ('Aqueous Species Table'!J300*100)/(Calculations!$C$12+Calculations!$C$9) + ('Aqueous Species Table'!K300 + ('Aqueous Species Table'!L300*10000)/(Calculations!$C$12+Calculations!$C$9))*(1/(Calculations!$C$8-Calculations!$C$13)) - 'Aqueous Species Table'!O300*100000*0.0000005903)*41.8393))</f>
        <v/>
      </c>
      <c r="H300" s="29" t="str">
        <f>IF(ISBLANK('Aqueous Species Options'!B300), "", IF('Aqueous Species Options'!L300 = 1, IF(ISBLANK('Aqueous Species Options'!H300), "", 'Aqueous Species Options'!H300), 'Aqueous Species Table'!M300 + 'Aqueous Species Table'!N300*10000*(1/(Calculations!$C$8-Calculations!$C$13))^2 + 'Aqueous Species Table'!O300*100000*Calculations!$C$8*Calculations!$C$7))</f>
        <v/>
      </c>
      <c r="I300" s="42" t="str">
        <f>IF(ISBLANK('Aqueous Species Options'!B300), "", IF('Aqueous Species Options'!L300=0, 'Aqueous Species Options'!N300, IF(OR(ISBLANK('Aqueous Species Options'!G300),'Aqueous Species Table'!O300="", 'Aqueous Species Table'!P300=""), "", IF('Aqueous Species Options'!B300="H+", 0, (CHOOSE('Aqueous Species Options'!M300+1,'Aqueous Species Options'!$V$4*ABS('Aqueous Species Table'!P300)+'Aqueous Species Options'!$W$4,'Aqueous Species Options'!$Z$4)*('Aqueous Species Options'!G300 + 'Aqueous Species Table'!O300*100000*0.0000005903*41.8393) + CHOOSE('Aqueous Species Options'!M300+1,'Aqueous Species Options'!$X$4*ABS('Aqueous Species Table'!P300)+'Aqueous Species Options'!$Y$4,'Aqueous Species Options'!$AA$4))*10 ) ) ) )</f>
        <v/>
      </c>
      <c r="J300" s="42" t="str">
        <f>IF(ISBLANK('Aqueous Species Options'!B300), "", IF('Aqueous Species Options'!L300 = 0, 'Aqueous Species Options'!O300, IF('Aqueous Species Table'!I300="", "", IF('Aqueous Species Options'!B300="H+", 0, ((1.11*('Aqueous Species Options'!G300 + 'Aqueous Species Table'!O300*100000*0.0000005903*41.8393)+1.8)/41.8393 - 'Aqueous Species Table'!I300/10)*26.01 ) ) ) )</f>
        <v/>
      </c>
      <c r="K300" s="42" t="str">
        <f>IF(ISBLANK('Aqueous Species Options'!B300), "", IF('Aqueous Species Options'!L300 = 0, 'Aqueous Species Options'!P300, IF('Aqueous Species Table'!I300="", "", IF('Aqueous Species Options'!B300="H+", 0, ('Aqueous Species Options'!G300/41.8393 + 'Aqueous Species Table'!O300*100000*0.0000005903 - 'Aqueous Species Table'!I300/10 - 'Aqueous Species Table'!J300*100/2601)*(298.15-228) - ('Aqueous Species Table'!L300*10000/2601) ) ) ) )</f>
        <v/>
      </c>
      <c r="L300" s="42" t="str">
        <f>IF(ISBLANK('Aqueous Species Options'!B300), "", IF('Aqueous Species Options'!L300 = 0, 'Aqueous Species Options'!Q300, IF('Aqueous Species Table'!J300="", "", IF('Aqueous Species Options'!B300="H+", 0, (-4.134*'Aqueous Species Table'!J300*100 - 27790)*0.0001) ) ) )</f>
        <v/>
      </c>
      <c r="M300" s="42" t="str">
        <f>IF(ISBLANK('Aqueous Species Options'!B300), "", IF('Aqueous Species Options'!L300=0, 'Aqueous Species Options'!R300, IF('Aqueous Species Table'!N300="", "", IF('Aqueous Species Options'!B300="H+", 0, 'Aqueous Species Options'!H300 - 'Aqueous Species Table'!O300*100000*(-0.000000309)*298.15 - 'Aqueous Species Table'!N300*10000/(298.15-228)^2 ) ) ) )</f>
        <v/>
      </c>
      <c r="N300" s="42" t="str">
        <f>IF(ISBLANK('Aqueous Species Options'!B300), "", IF('Aqueous Species Options'!L300=0, 'Aqueous Species Options'!S300, IF(OR(ISBLANK('Aqueous Species Options'!H300), 'Aqueous Species Table'!O300=""), "", IF('Aqueous Species Options'!B300="H+", 0, 0.2037*'Aqueous Species Options'!H300 - 3.0346) ) ) )</f>
        <v/>
      </c>
      <c r="O300" s="42" t="str">
        <f>IF(ISBLANK('Aqueous Species Options'!B300), "", IF('Aqueous Species Options'!K300=0, 'Aqueous Species Options'!I300, IF(OR('Aqueous Species Options'!J300&gt;4,'Aqueous Species Options'!J300&lt;-4), "", IF('Aqueous Species Options'!B300="H+", 0, IF('Aqueous Species Options'!J300=0, -0.038, IF(ISBLANK('Aqueous Species Options'!F300), "", -1514.4*'Aqueous Species Options'!F300*0.00001 + SUM(({4,3,2,1,-1,-2,-3,-4}='Aqueous Species Options'!J300)*{2.1764,1.5793,1.0579,0.5517,1.6291,3.2127,4.8115,6.486}) ) ) ) ) ) )</f>
        <v/>
      </c>
      <c r="P300" s="1" t="str">
        <f>IF(ISBLANK('Aqueous Species Options'!J300), "", 'Aqueous Species Options'!J300)</f>
        <v/>
      </c>
      <c r="Q300" s="184" t="str">
        <f>IF(ISBLANK('Aqueous Species Options'!T300), "", 'Aqueous Species Options'!T300)</f>
        <v/>
      </c>
    </row>
    <row r="301" spans="2:17" ht="16" x14ac:dyDescent="0.2">
      <c r="B301" s="9" t="str">
        <f>IF(ISBLANK('Aqueous Species Options'!B301), "", 'Aqueous Species Options'!B301)</f>
        <v/>
      </c>
      <c r="C301" s="9" t="str">
        <f>IF(ISBLANK('Aqueous Species Options'!C301), "", 'Aqueous Species Options'!C301)</f>
        <v/>
      </c>
      <c r="D301" s="2" t="str">
        <f>IF(ISBLANK('Aqueous Species Options'!D301), "", 'Aqueous Species Options'!D301)</f>
        <v/>
      </c>
      <c r="E301" s="1" t="str">
        <f>IF(ISBLANK('Aqueous Species Options'!E301), "", 'Aqueous Species Options'!E301)</f>
        <v/>
      </c>
      <c r="F301" s="139" t="str">
        <f>IF(ISBLANK('Aqueous Species Options'!F301), "", 'Aqueous Species Options'!F301)</f>
        <v/>
      </c>
      <c r="G301" s="29" t="str">
        <f>IF(ISBLANK('Aqueous Species Options'!B301), "", IF('Aqueous Species Options'!L301 = 1, IF(ISBLANK('Aqueous Species Options'!G301), "", 'Aqueous Species Options'!G301), ('Aqueous Species Table'!I301/10 + ('Aqueous Species Table'!J301*100)/(Calculations!$C$12+Calculations!$C$9) + ('Aqueous Species Table'!K301 + ('Aqueous Species Table'!L301*10000)/(Calculations!$C$12+Calculations!$C$9))*(1/(Calculations!$C$8-Calculations!$C$13)) - 'Aqueous Species Table'!O301*100000*0.0000005903)*41.8393))</f>
        <v/>
      </c>
      <c r="H301" s="29" t="str">
        <f>IF(ISBLANK('Aqueous Species Options'!B301), "", IF('Aqueous Species Options'!L301 = 1, IF(ISBLANK('Aqueous Species Options'!H301), "", 'Aqueous Species Options'!H301), 'Aqueous Species Table'!M301 + 'Aqueous Species Table'!N301*10000*(1/(Calculations!$C$8-Calculations!$C$13))^2 + 'Aqueous Species Table'!O301*100000*Calculations!$C$8*Calculations!$C$7))</f>
        <v/>
      </c>
      <c r="I301" s="42" t="str">
        <f>IF(ISBLANK('Aqueous Species Options'!B301), "", IF('Aqueous Species Options'!L301=0, 'Aqueous Species Options'!N301, IF(OR(ISBLANK('Aqueous Species Options'!G301),'Aqueous Species Table'!O301="", 'Aqueous Species Table'!P301=""), "", IF('Aqueous Species Options'!B301="H+", 0, (CHOOSE('Aqueous Species Options'!M301+1,'Aqueous Species Options'!$V$4*ABS('Aqueous Species Table'!P301)+'Aqueous Species Options'!$W$4,'Aqueous Species Options'!$Z$4)*('Aqueous Species Options'!G301 + 'Aqueous Species Table'!O301*100000*0.0000005903*41.8393) + CHOOSE('Aqueous Species Options'!M301+1,'Aqueous Species Options'!$X$4*ABS('Aqueous Species Table'!P301)+'Aqueous Species Options'!$Y$4,'Aqueous Species Options'!$AA$4))*10 ) ) ) )</f>
        <v/>
      </c>
      <c r="J301" s="42" t="str">
        <f>IF(ISBLANK('Aqueous Species Options'!B301), "", IF('Aqueous Species Options'!L301 = 0, 'Aqueous Species Options'!O301, IF('Aqueous Species Table'!I301="", "", IF('Aqueous Species Options'!B301="H+", 0, ((1.11*('Aqueous Species Options'!G301 + 'Aqueous Species Table'!O301*100000*0.0000005903*41.8393)+1.8)/41.8393 - 'Aqueous Species Table'!I301/10)*26.01 ) ) ) )</f>
        <v/>
      </c>
      <c r="K301" s="42" t="str">
        <f>IF(ISBLANK('Aqueous Species Options'!B301), "", IF('Aqueous Species Options'!L301 = 0, 'Aqueous Species Options'!P301, IF('Aqueous Species Table'!I301="", "", IF('Aqueous Species Options'!B301="H+", 0, ('Aqueous Species Options'!G301/41.8393 + 'Aqueous Species Table'!O301*100000*0.0000005903 - 'Aqueous Species Table'!I301/10 - 'Aqueous Species Table'!J301*100/2601)*(298.15-228) - ('Aqueous Species Table'!L301*10000/2601) ) ) ) )</f>
        <v/>
      </c>
      <c r="L301" s="42" t="str">
        <f>IF(ISBLANK('Aqueous Species Options'!B301), "", IF('Aqueous Species Options'!L301 = 0, 'Aqueous Species Options'!Q301, IF('Aqueous Species Table'!J301="", "", IF('Aqueous Species Options'!B301="H+", 0, (-4.134*'Aqueous Species Table'!J301*100 - 27790)*0.0001) ) ) )</f>
        <v/>
      </c>
      <c r="M301" s="42" t="str">
        <f>IF(ISBLANK('Aqueous Species Options'!B301), "", IF('Aqueous Species Options'!L301=0, 'Aqueous Species Options'!R301, IF('Aqueous Species Table'!N301="", "", IF('Aqueous Species Options'!B301="H+", 0, 'Aqueous Species Options'!H301 - 'Aqueous Species Table'!O301*100000*(-0.000000309)*298.15 - 'Aqueous Species Table'!N301*10000/(298.15-228)^2 ) ) ) )</f>
        <v/>
      </c>
      <c r="N301" s="42" t="str">
        <f>IF(ISBLANK('Aqueous Species Options'!B301), "", IF('Aqueous Species Options'!L301=0, 'Aqueous Species Options'!S301, IF(OR(ISBLANK('Aqueous Species Options'!H301), 'Aqueous Species Table'!O301=""), "", IF('Aqueous Species Options'!B301="H+", 0, 0.2037*'Aqueous Species Options'!H301 - 3.0346) ) ) )</f>
        <v/>
      </c>
      <c r="O301" s="42" t="str">
        <f>IF(ISBLANK('Aqueous Species Options'!B301), "", IF('Aqueous Species Options'!K301=0, 'Aqueous Species Options'!I301, IF(OR('Aqueous Species Options'!J301&gt;4,'Aqueous Species Options'!J301&lt;-4), "", IF('Aqueous Species Options'!B301="H+", 0, IF('Aqueous Species Options'!J301=0, -0.038, IF(ISBLANK('Aqueous Species Options'!F301), "", -1514.4*'Aqueous Species Options'!F301*0.00001 + SUM(({4,3,2,1,-1,-2,-3,-4}='Aqueous Species Options'!J301)*{2.1764,1.5793,1.0579,0.5517,1.6291,3.2127,4.8115,6.486}) ) ) ) ) ) )</f>
        <v/>
      </c>
      <c r="P301" s="1" t="str">
        <f>IF(ISBLANK('Aqueous Species Options'!J301), "", 'Aqueous Species Options'!J301)</f>
        <v/>
      </c>
      <c r="Q301" s="184" t="str">
        <f>IF(ISBLANK('Aqueous Species Options'!T301), "", 'Aqueous Species Options'!T301)</f>
        <v/>
      </c>
    </row>
    <row r="302" spans="2:17" ht="16" x14ac:dyDescent="0.2">
      <c r="B302" s="9" t="str">
        <f>IF(ISBLANK('Aqueous Species Options'!B302), "", 'Aqueous Species Options'!B302)</f>
        <v/>
      </c>
      <c r="C302" s="9" t="str">
        <f>IF(ISBLANK('Aqueous Species Options'!C302), "", 'Aqueous Species Options'!C302)</f>
        <v/>
      </c>
      <c r="D302" s="2" t="str">
        <f>IF(ISBLANK('Aqueous Species Options'!D302), "", 'Aqueous Species Options'!D302)</f>
        <v/>
      </c>
      <c r="E302" s="1" t="str">
        <f>IF(ISBLANK('Aqueous Species Options'!E302), "", 'Aqueous Species Options'!E302)</f>
        <v/>
      </c>
      <c r="F302" s="139" t="str">
        <f>IF(ISBLANK('Aqueous Species Options'!F302), "", 'Aqueous Species Options'!F302)</f>
        <v/>
      </c>
      <c r="G302" s="29" t="str">
        <f>IF(ISBLANK('Aqueous Species Options'!B302), "", IF('Aqueous Species Options'!L302 = 1, IF(ISBLANK('Aqueous Species Options'!G302), "", 'Aqueous Species Options'!G302), ('Aqueous Species Table'!I302/10 + ('Aqueous Species Table'!J302*100)/(Calculations!$C$12+Calculations!$C$9) + ('Aqueous Species Table'!K302 + ('Aqueous Species Table'!L302*10000)/(Calculations!$C$12+Calculations!$C$9))*(1/(Calculations!$C$8-Calculations!$C$13)) - 'Aqueous Species Table'!O302*100000*0.0000005903)*41.8393))</f>
        <v/>
      </c>
      <c r="H302" s="29" t="str">
        <f>IF(ISBLANK('Aqueous Species Options'!B302), "", IF('Aqueous Species Options'!L302 = 1, IF(ISBLANK('Aqueous Species Options'!H302), "", 'Aqueous Species Options'!H302), 'Aqueous Species Table'!M302 + 'Aqueous Species Table'!N302*10000*(1/(Calculations!$C$8-Calculations!$C$13))^2 + 'Aqueous Species Table'!O302*100000*Calculations!$C$8*Calculations!$C$7))</f>
        <v/>
      </c>
      <c r="I302" s="42" t="str">
        <f>IF(ISBLANK('Aqueous Species Options'!B302), "", IF('Aqueous Species Options'!L302=0, 'Aqueous Species Options'!N302, IF(OR(ISBLANK('Aqueous Species Options'!G302),'Aqueous Species Table'!O302="", 'Aqueous Species Table'!P302=""), "", IF('Aqueous Species Options'!B302="H+", 0, (CHOOSE('Aqueous Species Options'!M302+1,'Aqueous Species Options'!$V$4*ABS('Aqueous Species Table'!P302)+'Aqueous Species Options'!$W$4,'Aqueous Species Options'!$Z$4)*('Aqueous Species Options'!G302 + 'Aqueous Species Table'!O302*100000*0.0000005903*41.8393) + CHOOSE('Aqueous Species Options'!M302+1,'Aqueous Species Options'!$X$4*ABS('Aqueous Species Table'!P302)+'Aqueous Species Options'!$Y$4,'Aqueous Species Options'!$AA$4))*10 ) ) ) )</f>
        <v/>
      </c>
      <c r="J302" s="42" t="str">
        <f>IF(ISBLANK('Aqueous Species Options'!B302), "", IF('Aqueous Species Options'!L302 = 0, 'Aqueous Species Options'!O302, IF('Aqueous Species Table'!I302="", "", IF('Aqueous Species Options'!B302="H+", 0, ((1.11*('Aqueous Species Options'!G302 + 'Aqueous Species Table'!O302*100000*0.0000005903*41.8393)+1.8)/41.8393 - 'Aqueous Species Table'!I302/10)*26.01 ) ) ) )</f>
        <v/>
      </c>
      <c r="K302" s="42" t="str">
        <f>IF(ISBLANK('Aqueous Species Options'!B302), "", IF('Aqueous Species Options'!L302 = 0, 'Aqueous Species Options'!P302, IF('Aqueous Species Table'!I302="", "", IF('Aqueous Species Options'!B302="H+", 0, ('Aqueous Species Options'!G302/41.8393 + 'Aqueous Species Table'!O302*100000*0.0000005903 - 'Aqueous Species Table'!I302/10 - 'Aqueous Species Table'!J302*100/2601)*(298.15-228) - ('Aqueous Species Table'!L302*10000/2601) ) ) ) )</f>
        <v/>
      </c>
      <c r="L302" s="42" t="str">
        <f>IF(ISBLANK('Aqueous Species Options'!B302), "", IF('Aqueous Species Options'!L302 = 0, 'Aqueous Species Options'!Q302, IF('Aqueous Species Table'!J302="", "", IF('Aqueous Species Options'!B302="H+", 0, (-4.134*'Aqueous Species Table'!J302*100 - 27790)*0.0001) ) ) )</f>
        <v/>
      </c>
      <c r="M302" s="42" t="str">
        <f>IF(ISBLANK('Aqueous Species Options'!B302), "", IF('Aqueous Species Options'!L302=0, 'Aqueous Species Options'!R302, IF('Aqueous Species Table'!N302="", "", IF('Aqueous Species Options'!B302="H+", 0, 'Aqueous Species Options'!H302 - 'Aqueous Species Table'!O302*100000*(-0.000000309)*298.15 - 'Aqueous Species Table'!N302*10000/(298.15-228)^2 ) ) ) )</f>
        <v/>
      </c>
      <c r="N302" s="42" t="str">
        <f>IF(ISBLANK('Aqueous Species Options'!B302), "", IF('Aqueous Species Options'!L302=0, 'Aqueous Species Options'!S302, IF(OR(ISBLANK('Aqueous Species Options'!H302), 'Aqueous Species Table'!O302=""), "", IF('Aqueous Species Options'!B302="H+", 0, 0.2037*'Aqueous Species Options'!H302 - 3.0346) ) ) )</f>
        <v/>
      </c>
      <c r="O302" s="42" t="str">
        <f>IF(ISBLANK('Aqueous Species Options'!B302), "", IF('Aqueous Species Options'!K302=0, 'Aqueous Species Options'!I302, IF(OR('Aqueous Species Options'!J302&gt;4,'Aqueous Species Options'!J302&lt;-4), "", IF('Aqueous Species Options'!B302="H+", 0, IF('Aqueous Species Options'!J302=0, -0.038, IF(ISBLANK('Aqueous Species Options'!F302), "", -1514.4*'Aqueous Species Options'!F302*0.00001 + SUM(({4,3,2,1,-1,-2,-3,-4}='Aqueous Species Options'!J302)*{2.1764,1.5793,1.0579,0.5517,1.6291,3.2127,4.8115,6.486}) ) ) ) ) ) )</f>
        <v/>
      </c>
      <c r="P302" s="1" t="str">
        <f>IF(ISBLANK('Aqueous Species Options'!J302), "", 'Aqueous Species Options'!J302)</f>
        <v/>
      </c>
      <c r="Q302" s="184" t="str">
        <f>IF(ISBLANK('Aqueous Species Options'!T302), "", 'Aqueous Species Options'!T302)</f>
        <v/>
      </c>
    </row>
    <row r="303" spans="2:17" ht="16" x14ac:dyDescent="0.2">
      <c r="B303" s="9" t="str">
        <f>IF(ISBLANK('Aqueous Species Options'!B303), "", 'Aqueous Species Options'!B303)</f>
        <v/>
      </c>
      <c r="C303" s="9" t="str">
        <f>IF(ISBLANK('Aqueous Species Options'!C303), "", 'Aqueous Species Options'!C303)</f>
        <v/>
      </c>
      <c r="D303" s="2" t="str">
        <f>IF(ISBLANK('Aqueous Species Options'!D303), "", 'Aqueous Species Options'!D303)</f>
        <v/>
      </c>
      <c r="E303" s="1" t="str">
        <f>IF(ISBLANK('Aqueous Species Options'!E303), "", 'Aqueous Species Options'!E303)</f>
        <v/>
      </c>
      <c r="F303" s="139" t="str">
        <f>IF(ISBLANK('Aqueous Species Options'!F303), "", 'Aqueous Species Options'!F303)</f>
        <v/>
      </c>
      <c r="G303" s="29" t="str">
        <f>IF(ISBLANK('Aqueous Species Options'!B303), "", IF('Aqueous Species Options'!L303 = 1, IF(ISBLANK('Aqueous Species Options'!G303), "", 'Aqueous Species Options'!G303), ('Aqueous Species Table'!I303/10 + ('Aqueous Species Table'!J303*100)/(Calculations!$C$12+Calculations!$C$9) + ('Aqueous Species Table'!K303 + ('Aqueous Species Table'!L303*10000)/(Calculations!$C$12+Calculations!$C$9))*(1/(Calculations!$C$8-Calculations!$C$13)) - 'Aqueous Species Table'!O303*100000*0.0000005903)*41.8393))</f>
        <v/>
      </c>
      <c r="H303" s="29" t="str">
        <f>IF(ISBLANK('Aqueous Species Options'!B303), "", IF('Aqueous Species Options'!L303 = 1, IF(ISBLANK('Aqueous Species Options'!H303), "", 'Aqueous Species Options'!H303), 'Aqueous Species Table'!M303 + 'Aqueous Species Table'!N303*10000*(1/(Calculations!$C$8-Calculations!$C$13))^2 + 'Aqueous Species Table'!O303*100000*Calculations!$C$8*Calculations!$C$7))</f>
        <v/>
      </c>
      <c r="I303" s="42" t="str">
        <f>IF(ISBLANK('Aqueous Species Options'!B303), "", IF('Aqueous Species Options'!L303=0, 'Aqueous Species Options'!N303, IF(OR(ISBLANK('Aqueous Species Options'!G303),'Aqueous Species Table'!O303="", 'Aqueous Species Table'!P303=""), "", IF('Aqueous Species Options'!B303="H+", 0, (CHOOSE('Aqueous Species Options'!M303+1,'Aqueous Species Options'!$V$4*ABS('Aqueous Species Table'!P303)+'Aqueous Species Options'!$W$4,'Aqueous Species Options'!$Z$4)*('Aqueous Species Options'!G303 + 'Aqueous Species Table'!O303*100000*0.0000005903*41.8393) + CHOOSE('Aqueous Species Options'!M303+1,'Aqueous Species Options'!$X$4*ABS('Aqueous Species Table'!P303)+'Aqueous Species Options'!$Y$4,'Aqueous Species Options'!$AA$4))*10 ) ) ) )</f>
        <v/>
      </c>
      <c r="J303" s="42" t="str">
        <f>IF(ISBLANK('Aqueous Species Options'!B303), "", IF('Aqueous Species Options'!L303 = 0, 'Aqueous Species Options'!O303, IF('Aqueous Species Table'!I303="", "", IF('Aqueous Species Options'!B303="H+", 0, ((1.11*('Aqueous Species Options'!G303 + 'Aqueous Species Table'!O303*100000*0.0000005903*41.8393)+1.8)/41.8393 - 'Aqueous Species Table'!I303/10)*26.01 ) ) ) )</f>
        <v/>
      </c>
      <c r="K303" s="42" t="str">
        <f>IF(ISBLANK('Aqueous Species Options'!B303), "", IF('Aqueous Species Options'!L303 = 0, 'Aqueous Species Options'!P303, IF('Aqueous Species Table'!I303="", "", IF('Aqueous Species Options'!B303="H+", 0, ('Aqueous Species Options'!G303/41.8393 + 'Aqueous Species Table'!O303*100000*0.0000005903 - 'Aqueous Species Table'!I303/10 - 'Aqueous Species Table'!J303*100/2601)*(298.15-228) - ('Aqueous Species Table'!L303*10000/2601) ) ) ) )</f>
        <v/>
      </c>
      <c r="L303" s="42" t="str">
        <f>IF(ISBLANK('Aqueous Species Options'!B303), "", IF('Aqueous Species Options'!L303 = 0, 'Aqueous Species Options'!Q303, IF('Aqueous Species Table'!J303="", "", IF('Aqueous Species Options'!B303="H+", 0, (-4.134*'Aqueous Species Table'!J303*100 - 27790)*0.0001) ) ) )</f>
        <v/>
      </c>
      <c r="M303" s="42" t="str">
        <f>IF(ISBLANK('Aqueous Species Options'!B303), "", IF('Aqueous Species Options'!L303=0, 'Aqueous Species Options'!R303, IF('Aqueous Species Table'!N303="", "", IF('Aqueous Species Options'!B303="H+", 0, 'Aqueous Species Options'!H303 - 'Aqueous Species Table'!O303*100000*(-0.000000309)*298.15 - 'Aqueous Species Table'!N303*10000/(298.15-228)^2 ) ) ) )</f>
        <v/>
      </c>
      <c r="N303" s="42" t="str">
        <f>IF(ISBLANK('Aqueous Species Options'!B303), "", IF('Aqueous Species Options'!L303=0, 'Aqueous Species Options'!S303, IF(OR(ISBLANK('Aqueous Species Options'!H303), 'Aqueous Species Table'!O303=""), "", IF('Aqueous Species Options'!B303="H+", 0, 0.2037*'Aqueous Species Options'!H303 - 3.0346) ) ) )</f>
        <v/>
      </c>
      <c r="O303" s="42" t="str">
        <f>IF(ISBLANK('Aqueous Species Options'!B303), "", IF('Aqueous Species Options'!K303=0, 'Aqueous Species Options'!I303, IF(OR('Aqueous Species Options'!J303&gt;4,'Aqueous Species Options'!J303&lt;-4), "", IF('Aqueous Species Options'!B303="H+", 0, IF('Aqueous Species Options'!J303=0, -0.038, IF(ISBLANK('Aqueous Species Options'!F303), "", -1514.4*'Aqueous Species Options'!F303*0.00001 + SUM(({4,3,2,1,-1,-2,-3,-4}='Aqueous Species Options'!J303)*{2.1764,1.5793,1.0579,0.5517,1.6291,3.2127,4.8115,6.486}) ) ) ) ) ) )</f>
        <v/>
      </c>
      <c r="P303" s="1" t="str">
        <f>IF(ISBLANK('Aqueous Species Options'!J303), "", 'Aqueous Species Options'!J303)</f>
        <v/>
      </c>
      <c r="Q303" s="184" t="str">
        <f>IF(ISBLANK('Aqueous Species Options'!T303), "", 'Aqueous Species Options'!T303)</f>
        <v/>
      </c>
    </row>
    <row r="304" spans="2:17" ht="16" x14ac:dyDescent="0.2">
      <c r="B304" s="9" t="str">
        <f>IF(ISBLANK('Aqueous Species Options'!B304), "", 'Aqueous Species Options'!B304)</f>
        <v/>
      </c>
      <c r="C304" s="9" t="str">
        <f>IF(ISBLANK('Aqueous Species Options'!C304), "", 'Aqueous Species Options'!C304)</f>
        <v/>
      </c>
      <c r="D304" s="2" t="str">
        <f>IF(ISBLANK('Aqueous Species Options'!D304), "", 'Aqueous Species Options'!D304)</f>
        <v/>
      </c>
      <c r="E304" s="1" t="str">
        <f>IF(ISBLANK('Aqueous Species Options'!E304), "", 'Aqueous Species Options'!E304)</f>
        <v/>
      </c>
      <c r="F304" s="139" t="str">
        <f>IF(ISBLANK('Aqueous Species Options'!F304), "", 'Aqueous Species Options'!F304)</f>
        <v/>
      </c>
      <c r="G304" s="29" t="str">
        <f>IF(ISBLANK('Aqueous Species Options'!B304), "", IF('Aqueous Species Options'!L304 = 1, IF(ISBLANK('Aqueous Species Options'!G304), "", 'Aqueous Species Options'!G304), ('Aqueous Species Table'!I304/10 + ('Aqueous Species Table'!J304*100)/(Calculations!$C$12+Calculations!$C$9) + ('Aqueous Species Table'!K304 + ('Aqueous Species Table'!L304*10000)/(Calculations!$C$12+Calculations!$C$9))*(1/(Calculations!$C$8-Calculations!$C$13)) - 'Aqueous Species Table'!O304*100000*0.0000005903)*41.8393))</f>
        <v/>
      </c>
      <c r="H304" s="29" t="str">
        <f>IF(ISBLANK('Aqueous Species Options'!B304), "", IF('Aqueous Species Options'!L304 = 1, IF(ISBLANK('Aqueous Species Options'!H304), "", 'Aqueous Species Options'!H304), 'Aqueous Species Table'!M304 + 'Aqueous Species Table'!N304*10000*(1/(Calculations!$C$8-Calculations!$C$13))^2 + 'Aqueous Species Table'!O304*100000*Calculations!$C$8*Calculations!$C$7))</f>
        <v/>
      </c>
      <c r="I304" s="42" t="str">
        <f>IF(ISBLANK('Aqueous Species Options'!B304), "", IF('Aqueous Species Options'!L304=0, 'Aqueous Species Options'!N304, IF(OR(ISBLANK('Aqueous Species Options'!G304),'Aqueous Species Table'!O304="", 'Aqueous Species Table'!P304=""), "", IF('Aqueous Species Options'!B304="H+", 0, (CHOOSE('Aqueous Species Options'!M304+1,'Aqueous Species Options'!$V$4*ABS('Aqueous Species Table'!P304)+'Aqueous Species Options'!$W$4,'Aqueous Species Options'!$Z$4)*('Aqueous Species Options'!G304 + 'Aqueous Species Table'!O304*100000*0.0000005903*41.8393) + CHOOSE('Aqueous Species Options'!M304+1,'Aqueous Species Options'!$X$4*ABS('Aqueous Species Table'!P304)+'Aqueous Species Options'!$Y$4,'Aqueous Species Options'!$AA$4))*10 ) ) ) )</f>
        <v/>
      </c>
      <c r="J304" s="42" t="str">
        <f>IF(ISBLANK('Aqueous Species Options'!B304), "", IF('Aqueous Species Options'!L304 = 0, 'Aqueous Species Options'!O304, IF('Aqueous Species Table'!I304="", "", IF('Aqueous Species Options'!B304="H+", 0, ((1.11*('Aqueous Species Options'!G304 + 'Aqueous Species Table'!O304*100000*0.0000005903*41.8393)+1.8)/41.8393 - 'Aqueous Species Table'!I304/10)*26.01 ) ) ) )</f>
        <v/>
      </c>
      <c r="K304" s="42" t="str">
        <f>IF(ISBLANK('Aqueous Species Options'!B304), "", IF('Aqueous Species Options'!L304 = 0, 'Aqueous Species Options'!P304, IF('Aqueous Species Table'!I304="", "", IF('Aqueous Species Options'!B304="H+", 0, ('Aqueous Species Options'!G304/41.8393 + 'Aqueous Species Table'!O304*100000*0.0000005903 - 'Aqueous Species Table'!I304/10 - 'Aqueous Species Table'!J304*100/2601)*(298.15-228) - ('Aqueous Species Table'!L304*10000/2601) ) ) ) )</f>
        <v/>
      </c>
      <c r="L304" s="42" t="str">
        <f>IF(ISBLANK('Aqueous Species Options'!B304), "", IF('Aqueous Species Options'!L304 = 0, 'Aqueous Species Options'!Q304, IF('Aqueous Species Table'!J304="", "", IF('Aqueous Species Options'!B304="H+", 0, (-4.134*'Aqueous Species Table'!J304*100 - 27790)*0.0001) ) ) )</f>
        <v/>
      </c>
      <c r="M304" s="42" t="str">
        <f>IF(ISBLANK('Aqueous Species Options'!B304), "", IF('Aqueous Species Options'!L304=0, 'Aqueous Species Options'!R304, IF('Aqueous Species Table'!N304="", "", IF('Aqueous Species Options'!B304="H+", 0, 'Aqueous Species Options'!H304 - 'Aqueous Species Table'!O304*100000*(-0.000000309)*298.15 - 'Aqueous Species Table'!N304*10000/(298.15-228)^2 ) ) ) )</f>
        <v/>
      </c>
      <c r="N304" s="42" t="str">
        <f>IF(ISBLANK('Aqueous Species Options'!B304), "", IF('Aqueous Species Options'!L304=0, 'Aqueous Species Options'!S304, IF(OR(ISBLANK('Aqueous Species Options'!H304), 'Aqueous Species Table'!O304=""), "", IF('Aqueous Species Options'!B304="H+", 0, 0.2037*'Aqueous Species Options'!H304 - 3.0346) ) ) )</f>
        <v/>
      </c>
      <c r="O304" s="42" t="str">
        <f>IF(ISBLANK('Aqueous Species Options'!B304), "", IF('Aqueous Species Options'!K304=0, 'Aqueous Species Options'!I304, IF(OR('Aqueous Species Options'!J304&gt;4,'Aqueous Species Options'!J304&lt;-4), "", IF('Aqueous Species Options'!B304="H+", 0, IF('Aqueous Species Options'!J304=0, -0.038, IF(ISBLANK('Aqueous Species Options'!F304), "", -1514.4*'Aqueous Species Options'!F304*0.00001 + SUM(({4,3,2,1,-1,-2,-3,-4}='Aqueous Species Options'!J304)*{2.1764,1.5793,1.0579,0.5517,1.6291,3.2127,4.8115,6.486}) ) ) ) ) ) )</f>
        <v/>
      </c>
      <c r="P304" s="1" t="str">
        <f>IF(ISBLANK('Aqueous Species Options'!J304), "", 'Aqueous Species Options'!J304)</f>
        <v/>
      </c>
      <c r="Q304" s="184" t="str">
        <f>IF(ISBLANK('Aqueous Species Options'!T304), "", 'Aqueous Species Options'!T304)</f>
        <v/>
      </c>
    </row>
    <row r="305" spans="2:17" ht="16" x14ac:dyDescent="0.2">
      <c r="B305" s="9" t="str">
        <f>IF(ISBLANK('Aqueous Species Options'!B305), "", 'Aqueous Species Options'!B305)</f>
        <v/>
      </c>
      <c r="C305" s="9" t="str">
        <f>IF(ISBLANK('Aqueous Species Options'!C305), "", 'Aqueous Species Options'!C305)</f>
        <v/>
      </c>
      <c r="D305" s="2" t="str">
        <f>IF(ISBLANK('Aqueous Species Options'!D305), "", 'Aqueous Species Options'!D305)</f>
        <v/>
      </c>
      <c r="E305" s="1" t="str">
        <f>IF(ISBLANK('Aqueous Species Options'!E305), "", 'Aqueous Species Options'!E305)</f>
        <v/>
      </c>
      <c r="F305" s="139" t="str">
        <f>IF(ISBLANK('Aqueous Species Options'!F305), "", 'Aqueous Species Options'!F305)</f>
        <v/>
      </c>
      <c r="G305" s="29" t="str">
        <f>IF(ISBLANK('Aqueous Species Options'!B305), "", IF('Aqueous Species Options'!L305 = 1, IF(ISBLANK('Aqueous Species Options'!G305), "", 'Aqueous Species Options'!G305), ('Aqueous Species Table'!I305/10 + ('Aqueous Species Table'!J305*100)/(Calculations!$C$12+Calculations!$C$9) + ('Aqueous Species Table'!K305 + ('Aqueous Species Table'!L305*10000)/(Calculations!$C$12+Calculations!$C$9))*(1/(Calculations!$C$8-Calculations!$C$13)) - 'Aqueous Species Table'!O305*100000*0.0000005903)*41.8393))</f>
        <v/>
      </c>
      <c r="H305" s="29" t="str">
        <f>IF(ISBLANK('Aqueous Species Options'!B305), "", IF('Aqueous Species Options'!L305 = 1, IF(ISBLANK('Aqueous Species Options'!H305), "", 'Aqueous Species Options'!H305), 'Aqueous Species Table'!M305 + 'Aqueous Species Table'!N305*10000*(1/(Calculations!$C$8-Calculations!$C$13))^2 + 'Aqueous Species Table'!O305*100000*Calculations!$C$8*Calculations!$C$7))</f>
        <v/>
      </c>
      <c r="I305" s="42" t="str">
        <f>IF(ISBLANK('Aqueous Species Options'!B305), "", IF('Aqueous Species Options'!L305=0, 'Aqueous Species Options'!N305, IF(OR(ISBLANK('Aqueous Species Options'!G305),'Aqueous Species Table'!O305="", 'Aqueous Species Table'!P305=""), "", IF('Aqueous Species Options'!B305="H+", 0, (CHOOSE('Aqueous Species Options'!M305+1,'Aqueous Species Options'!$V$4*ABS('Aqueous Species Table'!P305)+'Aqueous Species Options'!$W$4,'Aqueous Species Options'!$Z$4)*('Aqueous Species Options'!G305 + 'Aqueous Species Table'!O305*100000*0.0000005903*41.8393) + CHOOSE('Aqueous Species Options'!M305+1,'Aqueous Species Options'!$X$4*ABS('Aqueous Species Table'!P305)+'Aqueous Species Options'!$Y$4,'Aqueous Species Options'!$AA$4))*10 ) ) ) )</f>
        <v/>
      </c>
      <c r="J305" s="42" t="str">
        <f>IF(ISBLANK('Aqueous Species Options'!B305), "", IF('Aqueous Species Options'!L305 = 0, 'Aqueous Species Options'!O305, IF('Aqueous Species Table'!I305="", "", IF('Aqueous Species Options'!B305="H+", 0, ((1.11*('Aqueous Species Options'!G305 + 'Aqueous Species Table'!O305*100000*0.0000005903*41.8393)+1.8)/41.8393 - 'Aqueous Species Table'!I305/10)*26.01 ) ) ) )</f>
        <v/>
      </c>
      <c r="K305" s="42" t="str">
        <f>IF(ISBLANK('Aqueous Species Options'!B305), "", IF('Aqueous Species Options'!L305 = 0, 'Aqueous Species Options'!P305, IF('Aqueous Species Table'!I305="", "", IF('Aqueous Species Options'!B305="H+", 0, ('Aqueous Species Options'!G305/41.8393 + 'Aqueous Species Table'!O305*100000*0.0000005903 - 'Aqueous Species Table'!I305/10 - 'Aqueous Species Table'!J305*100/2601)*(298.15-228) - ('Aqueous Species Table'!L305*10000/2601) ) ) ) )</f>
        <v/>
      </c>
      <c r="L305" s="42" t="str">
        <f>IF(ISBLANK('Aqueous Species Options'!B305), "", IF('Aqueous Species Options'!L305 = 0, 'Aqueous Species Options'!Q305, IF('Aqueous Species Table'!J305="", "", IF('Aqueous Species Options'!B305="H+", 0, (-4.134*'Aqueous Species Table'!J305*100 - 27790)*0.0001) ) ) )</f>
        <v/>
      </c>
      <c r="M305" s="42" t="str">
        <f>IF(ISBLANK('Aqueous Species Options'!B305), "", IF('Aqueous Species Options'!L305=0, 'Aqueous Species Options'!R305, IF('Aqueous Species Table'!N305="", "", IF('Aqueous Species Options'!B305="H+", 0, 'Aqueous Species Options'!H305 - 'Aqueous Species Table'!O305*100000*(-0.000000309)*298.15 - 'Aqueous Species Table'!N305*10000/(298.15-228)^2 ) ) ) )</f>
        <v/>
      </c>
      <c r="N305" s="42" t="str">
        <f>IF(ISBLANK('Aqueous Species Options'!B305), "", IF('Aqueous Species Options'!L305=0, 'Aqueous Species Options'!S305, IF(OR(ISBLANK('Aqueous Species Options'!H305), 'Aqueous Species Table'!O305=""), "", IF('Aqueous Species Options'!B305="H+", 0, 0.2037*'Aqueous Species Options'!H305 - 3.0346) ) ) )</f>
        <v/>
      </c>
      <c r="O305" s="42" t="str">
        <f>IF(ISBLANK('Aqueous Species Options'!B305), "", IF('Aqueous Species Options'!K305=0, 'Aqueous Species Options'!I305, IF(OR('Aqueous Species Options'!J305&gt;4,'Aqueous Species Options'!J305&lt;-4), "", IF('Aqueous Species Options'!B305="H+", 0, IF('Aqueous Species Options'!J305=0, -0.038, IF(ISBLANK('Aqueous Species Options'!F305), "", -1514.4*'Aqueous Species Options'!F305*0.00001 + SUM(({4,3,2,1,-1,-2,-3,-4}='Aqueous Species Options'!J305)*{2.1764,1.5793,1.0579,0.5517,1.6291,3.2127,4.8115,6.486}) ) ) ) ) ) )</f>
        <v/>
      </c>
      <c r="P305" s="1" t="str">
        <f>IF(ISBLANK('Aqueous Species Options'!J305), "", 'Aqueous Species Options'!J305)</f>
        <v/>
      </c>
      <c r="Q305" s="184" t="str">
        <f>IF(ISBLANK('Aqueous Species Options'!T305), "", 'Aqueous Species Options'!T305)</f>
        <v/>
      </c>
    </row>
    <row r="306" spans="2:17" ht="16" x14ac:dyDescent="0.2">
      <c r="B306" s="9" t="str">
        <f>IF(ISBLANK('Aqueous Species Options'!B306), "", 'Aqueous Species Options'!B306)</f>
        <v/>
      </c>
      <c r="C306" s="9" t="str">
        <f>IF(ISBLANK('Aqueous Species Options'!C306), "", 'Aqueous Species Options'!C306)</f>
        <v/>
      </c>
      <c r="D306" s="2" t="str">
        <f>IF(ISBLANK('Aqueous Species Options'!D306), "", 'Aqueous Species Options'!D306)</f>
        <v/>
      </c>
      <c r="E306" s="1" t="str">
        <f>IF(ISBLANK('Aqueous Species Options'!E306), "", 'Aqueous Species Options'!E306)</f>
        <v/>
      </c>
      <c r="F306" s="139" t="str">
        <f>IF(ISBLANK('Aqueous Species Options'!F306), "", 'Aqueous Species Options'!F306)</f>
        <v/>
      </c>
      <c r="G306" s="29" t="str">
        <f>IF(ISBLANK('Aqueous Species Options'!B306), "", IF('Aqueous Species Options'!L306 = 1, IF(ISBLANK('Aqueous Species Options'!G306), "", 'Aqueous Species Options'!G306), ('Aqueous Species Table'!I306/10 + ('Aqueous Species Table'!J306*100)/(Calculations!$C$12+Calculations!$C$9) + ('Aqueous Species Table'!K306 + ('Aqueous Species Table'!L306*10000)/(Calculations!$C$12+Calculations!$C$9))*(1/(Calculations!$C$8-Calculations!$C$13)) - 'Aqueous Species Table'!O306*100000*0.0000005903)*41.8393))</f>
        <v/>
      </c>
      <c r="H306" s="29" t="str">
        <f>IF(ISBLANK('Aqueous Species Options'!B306), "", IF('Aqueous Species Options'!L306 = 1, IF(ISBLANK('Aqueous Species Options'!H306), "", 'Aqueous Species Options'!H306), 'Aqueous Species Table'!M306 + 'Aqueous Species Table'!N306*10000*(1/(Calculations!$C$8-Calculations!$C$13))^2 + 'Aqueous Species Table'!O306*100000*Calculations!$C$8*Calculations!$C$7))</f>
        <v/>
      </c>
      <c r="I306" s="42" t="str">
        <f>IF(ISBLANK('Aqueous Species Options'!B306), "", IF('Aqueous Species Options'!L306=0, 'Aqueous Species Options'!N306, IF(OR(ISBLANK('Aqueous Species Options'!G306),'Aqueous Species Table'!O306="", 'Aqueous Species Table'!P306=""), "", IF('Aqueous Species Options'!B306="H+", 0, (CHOOSE('Aqueous Species Options'!M306+1,'Aqueous Species Options'!$V$4*ABS('Aqueous Species Table'!P306)+'Aqueous Species Options'!$W$4,'Aqueous Species Options'!$Z$4)*('Aqueous Species Options'!G306 + 'Aqueous Species Table'!O306*100000*0.0000005903*41.8393) + CHOOSE('Aqueous Species Options'!M306+1,'Aqueous Species Options'!$X$4*ABS('Aqueous Species Table'!P306)+'Aqueous Species Options'!$Y$4,'Aqueous Species Options'!$AA$4))*10 ) ) ) )</f>
        <v/>
      </c>
      <c r="J306" s="42" t="str">
        <f>IF(ISBLANK('Aqueous Species Options'!B306), "", IF('Aqueous Species Options'!L306 = 0, 'Aqueous Species Options'!O306, IF('Aqueous Species Table'!I306="", "", IF('Aqueous Species Options'!B306="H+", 0, ((1.11*('Aqueous Species Options'!G306 + 'Aqueous Species Table'!O306*100000*0.0000005903*41.8393)+1.8)/41.8393 - 'Aqueous Species Table'!I306/10)*26.01 ) ) ) )</f>
        <v/>
      </c>
      <c r="K306" s="42" t="str">
        <f>IF(ISBLANK('Aqueous Species Options'!B306), "", IF('Aqueous Species Options'!L306 = 0, 'Aqueous Species Options'!P306, IF('Aqueous Species Table'!I306="", "", IF('Aqueous Species Options'!B306="H+", 0, ('Aqueous Species Options'!G306/41.8393 + 'Aqueous Species Table'!O306*100000*0.0000005903 - 'Aqueous Species Table'!I306/10 - 'Aqueous Species Table'!J306*100/2601)*(298.15-228) - ('Aqueous Species Table'!L306*10000/2601) ) ) ) )</f>
        <v/>
      </c>
      <c r="L306" s="42" t="str">
        <f>IF(ISBLANK('Aqueous Species Options'!B306), "", IF('Aqueous Species Options'!L306 = 0, 'Aqueous Species Options'!Q306, IF('Aqueous Species Table'!J306="", "", IF('Aqueous Species Options'!B306="H+", 0, (-4.134*'Aqueous Species Table'!J306*100 - 27790)*0.0001) ) ) )</f>
        <v/>
      </c>
      <c r="M306" s="42" t="str">
        <f>IF(ISBLANK('Aqueous Species Options'!B306), "", IF('Aqueous Species Options'!L306=0, 'Aqueous Species Options'!R306, IF('Aqueous Species Table'!N306="", "", IF('Aqueous Species Options'!B306="H+", 0, 'Aqueous Species Options'!H306 - 'Aqueous Species Table'!O306*100000*(-0.000000309)*298.15 - 'Aqueous Species Table'!N306*10000/(298.15-228)^2 ) ) ) )</f>
        <v/>
      </c>
      <c r="N306" s="42" t="str">
        <f>IF(ISBLANK('Aqueous Species Options'!B306), "", IF('Aqueous Species Options'!L306=0, 'Aqueous Species Options'!S306, IF(OR(ISBLANK('Aqueous Species Options'!H306), 'Aqueous Species Table'!O306=""), "", IF('Aqueous Species Options'!B306="H+", 0, 0.2037*'Aqueous Species Options'!H306 - 3.0346) ) ) )</f>
        <v/>
      </c>
      <c r="O306" s="42" t="str">
        <f>IF(ISBLANK('Aqueous Species Options'!B306), "", IF('Aqueous Species Options'!K306=0, 'Aqueous Species Options'!I306, IF(OR('Aqueous Species Options'!J306&gt;4,'Aqueous Species Options'!J306&lt;-4), "", IF('Aqueous Species Options'!B306="H+", 0, IF('Aqueous Species Options'!J306=0, -0.038, IF(ISBLANK('Aqueous Species Options'!F306), "", -1514.4*'Aqueous Species Options'!F306*0.00001 + SUM(({4,3,2,1,-1,-2,-3,-4}='Aqueous Species Options'!J306)*{2.1764,1.5793,1.0579,0.5517,1.6291,3.2127,4.8115,6.486}) ) ) ) ) ) )</f>
        <v/>
      </c>
      <c r="P306" s="1" t="str">
        <f>IF(ISBLANK('Aqueous Species Options'!J306), "", 'Aqueous Species Options'!J306)</f>
        <v/>
      </c>
      <c r="Q306" s="184" t="str">
        <f>IF(ISBLANK('Aqueous Species Options'!T306), "", 'Aqueous Species Options'!T306)</f>
        <v/>
      </c>
    </row>
    <row r="307" spans="2:17" ht="16" x14ac:dyDescent="0.2">
      <c r="B307" s="9" t="str">
        <f>IF(ISBLANK('Aqueous Species Options'!B307), "", 'Aqueous Species Options'!B307)</f>
        <v/>
      </c>
      <c r="C307" s="9" t="str">
        <f>IF(ISBLANK('Aqueous Species Options'!C307), "", 'Aqueous Species Options'!C307)</f>
        <v/>
      </c>
      <c r="D307" s="2" t="str">
        <f>IF(ISBLANK('Aqueous Species Options'!D307), "", 'Aqueous Species Options'!D307)</f>
        <v/>
      </c>
      <c r="E307" s="1" t="str">
        <f>IF(ISBLANK('Aqueous Species Options'!E307), "", 'Aqueous Species Options'!E307)</f>
        <v/>
      </c>
      <c r="F307" s="139" t="str">
        <f>IF(ISBLANK('Aqueous Species Options'!F307), "", 'Aqueous Species Options'!F307)</f>
        <v/>
      </c>
      <c r="G307" s="29" t="str">
        <f>IF(ISBLANK('Aqueous Species Options'!B307), "", IF('Aqueous Species Options'!L307 = 1, IF(ISBLANK('Aqueous Species Options'!G307), "", 'Aqueous Species Options'!G307), ('Aqueous Species Table'!I307/10 + ('Aqueous Species Table'!J307*100)/(Calculations!$C$12+Calculations!$C$9) + ('Aqueous Species Table'!K307 + ('Aqueous Species Table'!L307*10000)/(Calculations!$C$12+Calculations!$C$9))*(1/(Calculations!$C$8-Calculations!$C$13)) - 'Aqueous Species Table'!O307*100000*0.0000005903)*41.8393))</f>
        <v/>
      </c>
      <c r="H307" s="29" t="str">
        <f>IF(ISBLANK('Aqueous Species Options'!B307), "", IF('Aqueous Species Options'!L307 = 1, IF(ISBLANK('Aqueous Species Options'!H307), "", 'Aqueous Species Options'!H307), 'Aqueous Species Table'!M307 + 'Aqueous Species Table'!N307*10000*(1/(Calculations!$C$8-Calculations!$C$13))^2 + 'Aqueous Species Table'!O307*100000*Calculations!$C$8*Calculations!$C$7))</f>
        <v/>
      </c>
      <c r="I307" s="42" t="str">
        <f>IF(ISBLANK('Aqueous Species Options'!B307), "", IF('Aqueous Species Options'!L307=0, 'Aqueous Species Options'!N307, IF(OR(ISBLANK('Aqueous Species Options'!G307),'Aqueous Species Table'!O307="", 'Aqueous Species Table'!P307=""), "", IF('Aqueous Species Options'!B307="H+", 0, (CHOOSE('Aqueous Species Options'!M307+1,'Aqueous Species Options'!$V$4*ABS('Aqueous Species Table'!P307)+'Aqueous Species Options'!$W$4,'Aqueous Species Options'!$Z$4)*('Aqueous Species Options'!G307 + 'Aqueous Species Table'!O307*100000*0.0000005903*41.8393) + CHOOSE('Aqueous Species Options'!M307+1,'Aqueous Species Options'!$X$4*ABS('Aqueous Species Table'!P307)+'Aqueous Species Options'!$Y$4,'Aqueous Species Options'!$AA$4))*10 ) ) ) )</f>
        <v/>
      </c>
      <c r="J307" s="42" t="str">
        <f>IF(ISBLANK('Aqueous Species Options'!B307), "", IF('Aqueous Species Options'!L307 = 0, 'Aqueous Species Options'!O307, IF('Aqueous Species Table'!I307="", "", IF('Aqueous Species Options'!B307="H+", 0, ((1.11*('Aqueous Species Options'!G307 + 'Aqueous Species Table'!O307*100000*0.0000005903*41.8393)+1.8)/41.8393 - 'Aqueous Species Table'!I307/10)*26.01 ) ) ) )</f>
        <v/>
      </c>
      <c r="K307" s="42" t="str">
        <f>IF(ISBLANK('Aqueous Species Options'!B307), "", IF('Aqueous Species Options'!L307 = 0, 'Aqueous Species Options'!P307, IF('Aqueous Species Table'!I307="", "", IF('Aqueous Species Options'!B307="H+", 0, ('Aqueous Species Options'!G307/41.8393 + 'Aqueous Species Table'!O307*100000*0.0000005903 - 'Aqueous Species Table'!I307/10 - 'Aqueous Species Table'!J307*100/2601)*(298.15-228) - ('Aqueous Species Table'!L307*10000/2601) ) ) ) )</f>
        <v/>
      </c>
      <c r="L307" s="42" t="str">
        <f>IF(ISBLANK('Aqueous Species Options'!B307), "", IF('Aqueous Species Options'!L307 = 0, 'Aqueous Species Options'!Q307, IF('Aqueous Species Table'!J307="", "", IF('Aqueous Species Options'!B307="H+", 0, (-4.134*'Aqueous Species Table'!J307*100 - 27790)*0.0001) ) ) )</f>
        <v/>
      </c>
      <c r="M307" s="42" t="str">
        <f>IF(ISBLANK('Aqueous Species Options'!B307), "", IF('Aqueous Species Options'!L307=0, 'Aqueous Species Options'!R307, IF('Aqueous Species Table'!N307="", "", IF('Aqueous Species Options'!B307="H+", 0, 'Aqueous Species Options'!H307 - 'Aqueous Species Table'!O307*100000*(-0.000000309)*298.15 - 'Aqueous Species Table'!N307*10000/(298.15-228)^2 ) ) ) )</f>
        <v/>
      </c>
      <c r="N307" s="42" t="str">
        <f>IF(ISBLANK('Aqueous Species Options'!B307), "", IF('Aqueous Species Options'!L307=0, 'Aqueous Species Options'!S307, IF(OR(ISBLANK('Aqueous Species Options'!H307), 'Aqueous Species Table'!O307=""), "", IF('Aqueous Species Options'!B307="H+", 0, 0.2037*'Aqueous Species Options'!H307 - 3.0346) ) ) )</f>
        <v/>
      </c>
      <c r="O307" s="42" t="str">
        <f>IF(ISBLANK('Aqueous Species Options'!B307), "", IF('Aqueous Species Options'!K307=0, 'Aqueous Species Options'!I307, IF(OR('Aqueous Species Options'!J307&gt;4,'Aqueous Species Options'!J307&lt;-4), "", IF('Aqueous Species Options'!B307="H+", 0, IF('Aqueous Species Options'!J307=0, -0.038, IF(ISBLANK('Aqueous Species Options'!F307), "", -1514.4*'Aqueous Species Options'!F307*0.00001 + SUM(({4,3,2,1,-1,-2,-3,-4}='Aqueous Species Options'!J307)*{2.1764,1.5793,1.0579,0.5517,1.6291,3.2127,4.8115,6.486}) ) ) ) ) ) )</f>
        <v/>
      </c>
      <c r="P307" s="1" t="str">
        <f>IF(ISBLANK('Aqueous Species Options'!J307), "", 'Aqueous Species Options'!J307)</f>
        <v/>
      </c>
      <c r="Q307" s="184" t="str">
        <f>IF(ISBLANK('Aqueous Species Options'!T307), "", 'Aqueous Species Options'!T307)</f>
        <v/>
      </c>
    </row>
    <row r="308" spans="2:17" ht="16" x14ac:dyDescent="0.2">
      <c r="B308" s="9" t="str">
        <f>IF(ISBLANK('Aqueous Species Options'!B308), "", 'Aqueous Species Options'!B308)</f>
        <v/>
      </c>
      <c r="C308" s="9" t="str">
        <f>IF(ISBLANK('Aqueous Species Options'!C308), "", 'Aqueous Species Options'!C308)</f>
        <v/>
      </c>
      <c r="D308" s="2" t="str">
        <f>IF(ISBLANK('Aqueous Species Options'!D308), "", 'Aqueous Species Options'!D308)</f>
        <v/>
      </c>
      <c r="E308" s="1" t="str">
        <f>IF(ISBLANK('Aqueous Species Options'!E308), "", 'Aqueous Species Options'!E308)</f>
        <v/>
      </c>
      <c r="F308" s="139" t="str">
        <f>IF(ISBLANK('Aqueous Species Options'!F308), "", 'Aqueous Species Options'!F308)</f>
        <v/>
      </c>
      <c r="G308" s="29" t="str">
        <f>IF(ISBLANK('Aqueous Species Options'!B308), "", IF('Aqueous Species Options'!L308 = 1, IF(ISBLANK('Aqueous Species Options'!G308), "", 'Aqueous Species Options'!G308), ('Aqueous Species Table'!I308/10 + ('Aqueous Species Table'!J308*100)/(Calculations!$C$12+Calculations!$C$9) + ('Aqueous Species Table'!K308 + ('Aqueous Species Table'!L308*10000)/(Calculations!$C$12+Calculations!$C$9))*(1/(Calculations!$C$8-Calculations!$C$13)) - 'Aqueous Species Table'!O308*100000*0.0000005903)*41.8393))</f>
        <v/>
      </c>
      <c r="H308" s="29" t="str">
        <f>IF(ISBLANK('Aqueous Species Options'!B308), "", IF('Aqueous Species Options'!L308 = 1, IF(ISBLANK('Aqueous Species Options'!H308), "", 'Aqueous Species Options'!H308), 'Aqueous Species Table'!M308 + 'Aqueous Species Table'!N308*10000*(1/(Calculations!$C$8-Calculations!$C$13))^2 + 'Aqueous Species Table'!O308*100000*Calculations!$C$8*Calculations!$C$7))</f>
        <v/>
      </c>
      <c r="I308" s="42" t="str">
        <f>IF(ISBLANK('Aqueous Species Options'!B308), "", IF('Aqueous Species Options'!L308=0, 'Aqueous Species Options'!N308, IF(OR(ISBLANK('Aqueous Species Options'!G308),'Aqueous Species Table'!O308="", 'Aqueous Species Table'!P308=""), "", IF('Aqueous Species Options'!B308="H+", 0, (CHOOSE('Aqueous Species Options'!M308+1,'Aqueous Species Options'!$V$4*ABS('Aqueous Species Table'!P308)+'Aqueous Species Options'!$W$4,'Aqueous Species Options'!$Z$4)*('Aqueous Species Options'!G308 + 'Aqueous Species Table'!O308*100000*0.0000005903*41.8393) + CHOOSE('Aqueous Species Options'!M308+1,'Aqueous Species Options'!$X$4*ABS('Aqueous Species Table'!P308)+'Aqueous Species Options'!$Y$4,'Aqueous Species Options'!$AA$4))*10 ) ) ) )</f>
        <v/>
      </c>
      <c r="J308" s="42" t="str">
        <f>IF(ISBLANK('Aqueous Species Options'!B308), "", IF('Aqueous Species Options'!L308 = 0, 'Aqueous Species Options'!O308, IF('Aqueous Species Table'!I308="", "", IF('Aqueous Species Options'!B308="H+", 0, ((1.11*('Aqueous Species Options'!G308 + 'Aqueous Species Table'!O308*100000*0.0000005903*41.8393)+1.8)/41.8393 - 'Aqueous Species Table'!I308/10)*26.01 ) ) ) )</f>
        <v/>
      </c>
      <c r="K308" s="42" t="str">
        <f>IF(ISBLANK('Aqueous Species Options'!B308), "", IF('Aqueous Species Options'!L308 = 0, 'Aqueous Species Options'!P308, IF('Aqueous Species Table'!I308="", "", IF('Aqueous Species Options'!B308="H+", 0, ('Aqueous Species Options'!G308/41.8393 + 'Aqueous Species Table'!O308*100000*0.0000005903 - 'Aqueous Species Table'!I308/10 - 'Aqueous Species Table'!J308*100/2601)*(298.15-228) - ('Aqueous Species Table'!L308*10000/2601) ) ) ) )</f>
        <v/>
      </c>
      <c r="L308" s="42" t="str">
        <f>IF(ISBLANK('Aqueous Species Options'!B308), "", IF('Aqueous Species Options'!L308 = 0, 'Aqueous Species Options'!Q308, IF('Aqueous Species Table'!J308="", "", IF('Aqueous Species Options'!B308="H+", 0, (-4.134*'Aqueous Species Table'!J308*100 - 27790)*0.0001) ) ) )</f>
        <v/>
      </c>
      <c r="M308" s="42" t="str">
        <f>IF(ISBLANK('Aqueous Species Options'!B308), "", IF('Aqueous Species Options'!L308=0, 'Aqueous Species Options'!R308, IF('Aqueous Species Table'!N308="", "", IF('Aqueous Species Options'!B308="H+", 0, 'Aqueous Species Options'!H308 - 'Aqueous Species Table'!O308*100000*(-0.000000309)*298.15 - 'Aqueous Species Table'!N308*10000/(298.15-228)^2 ) ) ) )</f>
        <v/>
      </c>
      <c r="N308" s="42" t="str">
        <f>IF(ISBLANK('Aqueous Species Options'!B308), "", IF('Aqueous Species Options'!L308=0, 'Aqueous Species Options'!S308, IF(OR(ISBLANK('Aqueous Species Options'!H308), 'Aqueous Species Table'!O308=""), "", IF('Aqueous Species Options'!B308="H+", 0, 0.2037*'Aqueous Species Options'!H308 - 3.0346) ) ) )</f>
        <v/>
      </c>
      <c r="O308" s="42" t="str">
        <f>IF(ISBLANK('Aqueous Species Options'!B308), "", IF('Aqueous Species Options'!K308=0, 'Aqueous Species Options'!I308, IF(OR('Aqueous Species Options'!J308&gt;4,'Aqueous Species Options'!J308&lt;-4), "", IF('Aqueous Species Options'!B308="H+", 0, IF('Aqueous Species Options'!J308=0, -0.038, IF(ISBLANK('Aqueous Species Options'!F308), "", -1514.4*'Aqueous Species Options'!F308*0.00001 + SUM(({4,3,2,1,-1,-2,-3,-4}='Aqueous Species Options'!J308)*{2.1764,1.5793,1.0579,0.5517,1.6291,3.2127,4.8115,6.486}) ) ) ) ) ) )</f>
        <v/>
      </c>
      <c r="P308" s="1" t="str">
        <f>IF(ISBLANK('Aqueous Species Options'!J308), "", 'Aqueous Species Options'!J308)</f>
        <v/>
      </c>
      <c r="Q308" s="184" t="str">
        <f>IF(ISBLANK('Aqueous Species Options'!T308), "", 'Aqueous Species Options'!T308)</f>
        <v/>
      </c>
    </row>
    <row r="309" spans="2:17" ht="16" x14ac:dyDescent="0.2">
      <c r="B309" s="9" t="str">
        <f>IF(ISBLANK('Aqueous Species Options'!B309), "", 'Aqueous Species Options'!B309)</f>
        <v/>
      </c>
      <c r="C309" s="9" t="str">
        <f>IF(ISBLANK('Aqueous Species Options'!C309), "", 'Aqueous Species Options'!C309)</f>
        <v/>
      </c>
      <c r="D309" s="2" t="str">
        <f>IF(ISBLANK('Aqueous Species Options'!D309), "", 'Aqueous Species Options'!D309)</f>
        <v/>
      </c>
      <c r="E309" s="1" t="str">
        <f>IF(ISBLANK('Aqueous Species Options'!E309), "", 'Aqueous Species Options'!E309)</f>
        <v/>
      </c>
      <c r="F309" s="139" t="str">
        <f>IF(ISBLANK('Aqueous Species Options'!F309), "", 'Aqueous Species Options'!F309)</f>
        <v/>
      </c>
      <c r="G309" s="29" t="str">
        <f>IF(ISBLANK('Aqueous Species Options'!B309), "", IF('Aqueous Species Options'!L309 = 1, IF(ISBLANK('Aqueous Species Options'!G309), "", 'Aqueous Species Options'!G309), ('Aqueous Species Table'!I309/10 + ('Aqueous Species Table'!J309*100)/(Calculations!$C$12+Calculations!$C$9) + ('Aqueous Species Table'!K309 + ('Aqueous Species Table'!L309*10000)/(Calculations!$C$12+Calculations!$C$9))*(1/(Calculations!$C$8-Calculations!$C$13)) - 'Aqueous Species Table'!O309*100000*0.0000005903)*41.8393))</f>
        <v/>
      </c>
      <c r="H309" s="29" t="str">
        <f>IF(ISBLANK('Aqueous Species Options'!B309), "", IF('Aqueous Species Options'!L309 = 1, IF(ISBLANK('Aqueous Species Options'!H309), "", 'Aqueous Species Options'!H309), 'Aqueous Species Table'!M309 + 'Aqueous Species Table'!N309*10000*(1/(Calculations!$C$8-Calculations!$C$13))^2 + 'Aqueous Species Table'!O309*100000*Calculations!$C$8*Calculations!$C$7))</f>
        <v/>
      </c>
      <c r="I309" s="42" t="str">
        <f>IF(ISBLANK('Aqueous Species Options'!B309), "", IF('Aqueous Species Options'!L309=0, 'Aqueous Species Options'!N309, IF(OR(ISBLANK('Aqueous Species Options'!G309),'Aqueous Species Table'!O309="", 'Aqueous Species Table'!P309=""), "", IF('Aqueous Species Options'!B309="H+", 0, (CHOOSE('Aqueous Species Options'!M309+1,'Aqueous Species Options'!$V$4*ABS('Aqueous Species Table'!P309)+'Aqueous Species Options'!$W$4,'Aqueous Species Options'!$Z$4)*('Aqueous Species Options'!G309 + 'Aqueous Species Table'!O309*100000*0.0000005903*41.8393) + CHOOSE('Aqueous Species Options'!M309+1,'Aqueous Species Options'!$X$4*ABS('Aqueous Species Table'!P309)+'Aqueous Species Options'!$Y$4,'Aqueous Species Options'!$AA$4))*10 ) ) ) )</f>
        <v/>
      </c>
      <c r="J309" s="42" t="str">
        <f>IF(ISBLANK('Aqueous Species Options'!B309), "", IF('Aqueous Species Options'!L309 = 0, 'Aqueous Species Options'!O309, IF('Aqueous Species Table'!I309="", "", IF('Aqueous Species Options'!B309="H+", 0, ((1.11*('Aqueous Species Options'!G309 + 'Aqueous Species Table'!O309*100000*0.0000005903*41.8393)+1.8)/41.8393 - 'Aqueous Species Table'!I309/10)*26.01 ) ) ) )</f>
        <v/>
      </c>
      <c r="K309" s="42" t="str">
        <f>IF(ISBLANK('Aqueous Species Options'!B309), "", IF('Aqueous Species Options'!L309 = 0, 'Aqueous Species Options'!P309, IF('Aqueous Species Table'!I309="", "", IF('Aqueous Species Options'!B309="H+", 0, ('Aqueous Species Options'!G309/41.8393 + 'Aqueous Species Table'!O309*100000*0.0000005903 - 'Aqueous Species Table'!I309/10 - 'Aqueous Species Table'!J309*100/2601)*(298.15-228) - ('Aqueous Species Table'!L309*10000/2601) ) ) ) )</f>
        <v/>
      </c>
      <c r="L309" s="42" t="str">
        <f>IF(ISBLANK('Aqueous Species Options'!B309), "", IF('Aqueous Species Options'!L309 = 0, 'Aqueous Species Options'!Q309, IF('Aqueous Species Table'!J309="", "", IF('Aqueous Species Options'!B309="H+", 0, (-4.134*'Aqueous Species Table'!J309*100 - 27790)*0.0001) ) ) )</f>
        <v/>
      </c>
      <c r="M309" s="42" t="str">
        <f>IF(ISBLANK('Aqueous Species Options'!B309), "", IF('Aqueous Species Options'!L309=0, 'Aqueous Species Options'!R309, IF('Aqueous Species Table'!N309="", "", IF('Aqueous Species Options'!B309="H+", 0, 'Aqueous Species Options'!H309 - 'Aqueous Species Table'!O309*100000*(-0.000000309)*298.15 - 'Aqueous Species Table'!N309*10000/(298.15-228)^2 ) ) ) )</f>
        <v/>
      </c>
      <c r="N309" s="42" t="str">
        <f>IF(ISBLANK('Aqueous Species Options'!B309), "", IF('Aqueous Species Options'!L309=0, 'Aqueous Species Options'!S309, IF(OR(ISBLANK('Aqueous Species Options'!H309), 'Aqueous Species Table'!O309=""), "", IF('Aqueous Species Options'!B309="H+", 0, 0.2037*'Aqueous Species Options'!H309 - 3.0346) ) ) )</f>
        <v/>
      </c>
      <c r="O309" s="42" t="str">
        <f>IF(ISBLANK('Aqueous Species Options'!B309), "", IF('Aqueous Species Options'!K309=0, 'Aqueous Species Options'!I309, IF(OR('Aqueous Species Options'!J309&gt;4,'Aqueous Species Options'!J309&lt;-4), "", IF('Aqueous Species Options'!B309="H+", 0, IF('Aqueous Species Options'!J309=0, -0.038, IF(ISBLANK('Aqueous Species Options'!F309), "", -1514.4*'Aqueous Species Options'!F309*0.00001 + SUM(({4,3,2,1,-1,-2,-3,-4}='Aqueous Species Options'!J309)*{2.1764,1.5793,1.0579,0.5517,1.6291,3.2127,4.8115,6.486}) ) ) ) ) ) )</f>
        <v/>
      </c>
      <c r="P309" s="1" t="str">
        <f>IF(ISBLANK('Aqueous Species Options'!J309), "", 'Aqueous Species Options'!J309)</f>
        <v/>
      </c>
      <c r="Q309" s="184" t="str">
        <f>IF(ISBLANK('Aqueous Species Options'!T309), "", 'Aqueous Species Options'!T309)</f>
        <v/>
      </c>
    </row>
    <row r="310" spans="2:17" ht="16" x14ac:dyDescent="0.2">
      <c r="B310" s="9" t="str">
        <f>IF(ISBLANK('Aqueous Species Options'!B310), "", 'Aqueous Species Options'!B310)</f>
        <v/>
      </c>
      <c r="C310" s="9" t="str">
        <f>IF(ISBLANK('Aqueous Species Options'!C310), "", 'Aqueous Species Options'!C310)</f>
        <v/>
      </c>
      <c r="D310" s="2" t="str">
        <f>IF(ISBLANK('Aqueous Species Options'!D310), "", 'Aqueous Species Options'!D310)</f>
        <v/>
      </c>
      <c r="E310" s="1" t="str">
        <f>IF(ISBLANK('Aqueous Species Options'!E310), "", 'Aqueous Species Options'!E310)</f>
        <v/>
      </c>
      <c r="F310" s="139" t="str">
        <f>IF(ISBLANK('Aqueous Species Options'!F310), "", 'Aqueous Species Options'!F310)</f>
        <v/>
      </c>
      <c r="G310" s="29" t="str">
        <f>IF(ISBLANK('Aqueous Species Options'!B310), "", IF('Aqueous Species Options'!L310 = 1, IF(ISBLANK('Aqueous Species Options'!G310), "", 'Aqueous Species Options'!G310), ('Aqueous Species Table'!I310/10 + ('Aqueous Species Table'!J310*100)/(Calculations!$C$12+Calculations!$C$9) + ('Aqueous Species Table'!K310 + ('Aqueous Species Table'!L310*10000)/(Calculations!$C$12+Calculations!$C$9))*(1/(Calculations!$C$8-Calculations!$C$13)) - 'Aqueous Species Table'!O310*100000*0.0000005903)*41.8393))</f>
        <v/>
      </c>
      <c r="H310" s="29" t="str">
        <f>IF(ISBLANK('Aqueous Species Options'!B310), "", IF('Aqueous Species Options'!L310 = 1, IF(ISBLANK('Aqueous Species Options'!H310), "", 'Aqueous Species Options'!H310), 'Aqueous Species Table'!M310 + 'Aqueous Species Table'!N310*10000*(1/(Calculations!$C$8-Calculations!$C$13))^2 + 'Aqueous Species Table'!O310*100000*Calculations!$C$8*Calculations!$C$7))</f>
        <v/>
      </c>
      <c r="I310" s="42" t="str">
        <f>IF(ISBLANK('Aqueous Species Options'!B310), "", IF('Aqueous Species Options'!L310=0, 'Aqueous Species Options'!N310, IF(OR(ISBLANK('Aqueous Species Options'!G310),'Aqueous Species Table'!O310="", 'Aqueous Species Table'!P310=""), "", IF('Aqueous Species Options'!B310="H+", 0, (CHOOSE('Aqueous Species Options'!M310+1,'Aqueous Species Options'!$V$4*ABS('Aqueous Species Table'!P310)+'Aqueous Species Options'!$W$4,'Aqueous Species Options'!$Z$4)*('Aqueous Species Options'!G310 + 'Aqueous Species Table'!O310*100000*0.0000005903*41.8393) + CHOOSE('Aqueous Species Options'!M310+1,'Aqueous Species Options'!$X$4*ABS('Aqueous Species Table'!P310)+'Aqueous Species Options'!$Y$4,'Aqueous Species Options'!$AA$4))*10 ) ) ) )</f>
        <v/>
      </c>
      <c r="J310" s="42" t="str">
        <f>IF(ISBLANK('Aqueous Species Options'!B310), "", IF('Aqueous Species Options'!L310 = 0, 'Aqueous Species Options'!O310, IF('Aqueous Species Table'!I310="", "", IF('Aqueous Species Options'!B310="H+", 0, ((1.11*('Aqueous Species Options'!G310 + 'Aqueous Species Table'!O310*100000*0.0000005903*41.8393)+1.8)/41.8393 - 'Aqueous Species Table'!I310/10)*26.01 ) ) ) )</f>
        <v/>
      </c>
      <c r="K310" s="42" t="str">
        <f>IF(ISBLANK('Aqueous Species Options'!B310), "", IF('Aqueous Species Options'!L310 = 0, 'Aqueous Species Options'!P310, IF('Aqueous Species Table'!I310="", "", IF('Aqueous Species Options'!B310="H+", 0, ('Aqueous Species Options'!G310/41.8393 + 'Aqueous Species Table'!O310*100000*0.0000005903 - 'Aqueous Species Table'!I310/10 - 'Aqueous Species Table'!J310*100/2601)*(298.15-228) - ('Aqueous Species Table'!L310*10000/2601) ) ) ) )</f>
        <v/>
      </c>
      <c r="L310" s="42" t="str">
        <f>IF(ISBLANK('Aqueous Species Options'!B310), "", IF('Aqueous Species Options'!L310 = 0, 'Aqueous Species Options'!Q310, IF('Aqueous Species Table'!J310="", "", IF('Aqueous Species Options'!B310="H+", 0, (-4.134*'Aqueous Species Table'!J310*100 - 27790)*0.0001) ) ) )</f>
        <v/>
      </c>
      <c r="M310" s="42" t="str">
        <f>IF(ISBLANK('Aqueous Species Options'!B310), "", IF('Aqueous Species Options'!L310=0, 'Aqueous Species Options'!R310, IF('Aqueous Species Table'!N310="", "", IF('Aqueous Species Options'!B310="H+", 0, 'Aqueous Species Options'!H310 - 'Aqueous Species Table'!O310*100000*(-0.000000309)*298.15 - 'Aqueous Species Table'!N310*10000/(298.15-228)^2 ) ) ) )</f>
        <v/>
      </c>
      <c r="N310" s="42" t="str">
        <f>IF(ISBLANK('Aqueous Species Options'!B310), "", IF('Aqueous Species Options'!L310=0, 'Aqueous Species Options'!S310, IF(OR(ISBLANK('Aqueous Species Options'!H310), 'Aqueous Species Table'!O310=""), "", IF('Aqueous Species Options'!B310="H+", 0, 0.2037*'Aqueous Species Options'!H310 - 3.0346) ) ) )</f>
        <v/>
      </c>
      <c r="O310" s="42" t="str">
        <f>IF(ISBLANK('Aqueous Species Options'!B310), "", IF('Aqueous Species Options'!K310=0, 'Aqueous Species Options'!I310, IF(OR('Aqueous Species Options'!J310&gt;4,'Aqueous Species Options'!J310&lt;-4), "", IF('Aqueous Species Options'!B310="H+", 0, IF('Aqueous Species Options'!J310=0, -0.038, IF(ISBLANK('Aqueous Species Options'!F310), "", -1514.4*'Aqueous Species Options'!F310*0.00001 + SUM(({4,3,2,1,-1,-2,-3,-4}='Aqueous Species Options'!J310)*{2.1764,1.5793,1.0579,0.5517,1.6291,3.2127,4.8115,6.486}) ) ) ) ) ) )</f>
        <v/>
      </c>
      <c r="P310" s="1" t="str">
        <f>IF(ISBLANK('Aqueous Species Options'!J310), "", 'Aqueous Species Options'!J310)</f>
        <v/>
      </c>
      <c r="Q310" s="184" t="str">
        <f>IF(ISBLANK('Aqueous Species Options'!T310), "", 'Aqueous Species Options'!T310)</f>
        <v/>
      </c>
    </row>
    <row r="311" spans="2:17" ht="16" x14ac:dyDescent="0.2">
      <c r="B311" s="9" t="str">
        <f>IF(ISBLANK('Aqueous Species Options'!B311), "", 'Aqueous Species Options'!B311)</f>
        <v/>
      </c>
      <c r="C311" s="9" t="str">
        <f>IF(ISBLANK('Aqueous Species Options'!C311), "", 'Aqueous Species Options'!C311)</f>
        <v/>
      </c>
      <c r="D311" s="2" t="str">
        <f>IF(ISBLANK('Aqueous Species Options'!D311), "", 'Aqueous Species Options'!D311)</f>
        <v/>
      </c>
      <c r="E311" s="1" t="str">
        <f>IF(ISBLANK('Aqueous Species Options'!E311), "", 'Aqueous Species Options'!E311)</f>
        <v/>
      </c>
      <c r="F311" s="139" t="str">
        <f>IF(ISBLANK('Aqueous Species Options'!F311), "", 'Aqueous Species Options'!F311)</f>
        <v/>
      </c>
      <c r="G311" s="29" t="str">
        <f>IF(ISBLANK('Aqueous Species Options'!B311), "", IF('Aqueous Species Options'!L311 = 1, IF(ISBLANK('Aqueous Species Options'!G311), "", 'Aqueous Species Options'!G311), ('Aqueous Species Table'!I311/10 + ('Aqueous Species Table'!J311*100)/(Calculations!$C$12+Calculations!$C$9) + ('Aqueous Species Table'!K311 + ('Aqueous Species Table'!L311*10000)/(Calculations!$C$12+Calculations!$C$9))*(1/(Calculations!$C$8-Calculations!$C$13)) - 'Aqueous Species Table'!O311*100000*0.0000005903)*41.8393))</f>
        <v/>
      </c>
      <c r="H311" s="29" t="str">
        <f>IF(ISBLANK('Aqueous Species Options'!B311), "", IF('Aqueous Species Options'!L311 = 1, IF(ISBLANK('Aqueous Species Options'!H311), "", 'Aqueous Species Options'!H311), 'Aqueous Species Table'!M311 + 'Aqueous Species Table'!N311*10000*(1/(Calculations!$C$8-Calculations!$C$13))^2 + 'Aqueous Species Table'!O311*100000*Calculations!$C$8*Calculations!$C$7))</f>
        <v/>
      </c>
      <c r="I311" s="42" t="str">
        <f>IF(ISBLANK('Aqueous Species Options'!B311), "", IF('Aqueous Species Options'!L311=0, 'Aqueous Species Options'!N311, IF(OR(ISBLANK('Aqueous Species Options'!G311),'Aqueous Species Table'!O311="", 'Aqueous Species Table'!P311=""), "", IF('Aqueous Species Options'!B311="H+", 0, (CHOOSE('Aqueous Species Options'!M311+1,'Aqueous Species Options'!$V$4*ABS('Aqueous Species Table'!P311)+'Aqueous Species Options'!$W$4,'Aqueous Species Options'!$Z$4)*('Aqueous Species Options'!G311 + 'Aqueous Species Table'!O311*100000*0.0000005903*41.8393) + CHOOSE('Aqueous Species Options'!M311+1,'Aqueous Species Options'!$X$4*ABS('Aqueous Species Table'!P311)+'Aqueous Species Options'!$Y$4,'Aqueous Species Options'!$AA$4))*10 ) ) ) )</f>
        <v/>
      </c>
      <c r="J311" s="42" t="str">
        <f>IF(ISBLANK('Aqueous Species Options'!B311), "", IF('Aqueous Species Options'!L311 = 0, 'Aqueous Species Options'!O311, IF('Aqueous Species Table'!I311="", "", IF('Aqueous Species Options'!B311="H+", 0, ((1.11*('Aqueous Species Options'!G311 + 'Aqueous Species Table'!O311*100000*0.0000005903*41.8393)+1.8)/41.8393 - 'Aqueous Species Table'!I311/10)*26.01 ) ) ) )</f>
        <v/>
      </c>
      <c r="K311" s="42" t="str">
        <f>IF(ISBLANK('Aqueous Species Options'!B311), "", IF('Aqueous Species Options'!L311 = 0, 'Aqueous Species Options'!P311, IF('Aqueous Species Table'!I311="", "", IF('Aqueous Species Options'!B311="H+", 0, ('Aqueous Species Options'!G311/41.8393 + 'Aqueous Species Table'!O311*100000*0.0000005903 - 'Aqueous Species Table'!I311/10 - 'Aqueous Species Table'!J311*100/2601)*(298.15-228) - ('Aqueous Species Table'!L311*10000/2601) ) ) ) )</f>
        <v/>
      </c>
      <c r="L311" s="42" t="str">
        <f>IF(ISBLANK('Aqueous Species Options'!B311), "", IF('Aqueous Species Options'!L311 = 0, 'Aqueous Species Options'!Q311, IF('Aqueous Species Table'!J311="", "", IF('Aqueous Species Options'!B311="H+", 0, (-4.134*'Aqueous Species Table'!J311*100 - 27790)*0.0001) ) ) )</f>
        <v/>
      </c>
      <c r="M311" s="42" t="str">
        <f>IF(ISBLANK('Aqueous Species Options'!B311), "", IF('Aqueous Species Options'!L311=0, 'Aqueous Species Options'!R311, IF('Aqueous Species Table'!N311="", "", IF('Aqueous Species Options'!B311="H+", 0, 'Aqueous Species Options'!H311 - 'Aqueous Species Table'!O311*100000*(-0.000000309)*298.15 - 'Aqueous Species Table'!N311*10000/(298.15-228)^2 ) ) ) )</f>
        <v/>
      </c>
      <c r="N311" s="42" t="str">
        <f>IF(ISBLANK('Aqueous Species Options'!B311), "", IF('Aqueous Species Options'!L311=0, 'Aqueous Species Options'!S311, IF(OR(ISBLANK('Aqueous Species Options'!H311), 'Aqueous Species Table'!O311=""), "", IF('Aqueous Species Options'!B311="H+", 0, 0.2037*'Aqueous Species Options'!H311 - 3.0346) ) ) )</f>
        <v/>
      </c>
      <c r="O311" s="42" t="str">
        <f>IF(ISBLANK('Aqueous Species Options'!B311), "", IF('Aqueous Species Options'!K311=0, 'Aqueous Species Options'!I311, IF(OR('Aqueous Species Options'!J311&gt;4,'Aqueous Species Options'!J311&lt;-4), "", IF('Aqueous Species Options'!B311="H+", 0, IF('Aqueous Species Options'!J311=0, -0.038, IF(ISBLANK('Aqueous Species Options'!F311), "", -1514.4*'Aqueous Species Options'!F311*0.00001 + SUM(({4,3,2,1,-1,-2,-3,-4}='Aqueous Species Options'!J311)*{2.1764,1.5793,1.0579,0.5517,1.6291,3.2127,4.8115,6.486}) ) ) ) ) ) )</f>
        <v/>
      </c>
      <c r="P311" s="1" t="str">
        <f>IF(ISBLANK('Aqueous Species Options'!J311), "", 'Aqueous Species Options'!J311)</f>
        <v/>
      </c>
      <c r="Q311" s="184" t="str">
        <f>IF(ISBLANK('Aqueous Species Options'!T311), "", 'Aqueous Species Options'!T311)</f>
        <v/>
      </c>
    </row>
    <row r="312" spans="2:17" ht="16" x14ac:dyDescent="0.2">
      <c r="B312" s="9" t="str">
        <f>IF(ISBLANK('Aqueous Species Options'!B312), "", 'Aqueous Species Options'!B312)</f>
        <v/>
      </c>
      <c r="C312" s="9" t="str">
        <f>IF(ISBLANK('Aqueous Species Options'!C312), "", 'Aqueous Species Options'!C312)</f>
        <v/>
      </c>
      <c r="D312" s="2" t="str">
        <f>IF(ISBLANK('Aqueous Species Options'!D312), "", 'Aqueous Species Options'!D312)</f>
        <v/>
      </c>
      <c r="E312" s="1" t="str">
        <f>IF(ISBLANK('Aqueous Species Options'!E312), "", 'Aqueous Species Options'!E312)</f>
        <v/>
      </c>
      <c r="F312" s="139" t="str">
        <f>IF(ISBLANK('Aqueous Species Options'!F312), "", 'Aqueous Species Options'!F312)</f>
        <v/>
      </c>
      <c r="G312" s="29" t="str">
        <f>IF(ISBLANK('Aqueous Species Options'!B312), "", IF('Aqueous Species Options'!L312 = 1, IF(ISBLANK('Aqueous Species Options'!G312), "", 'Aqueous Species Options'!G312), ('Aqueous Species Table'!I312/10 + ('Aqueous Species Table'!J312*100)/(Calculations!$C$12+Calculations!$C$9) + ('Aqueous Species Table'!K312 + ('Aqueous Species Table'!L312*10000)/(Calculations!$C$12+Calculations!$C$9))*(1/(Calculations!$C$8-Calculations!$C$13)) - 'Aqueous Species Table'!O312*100000*0.0000005903)*41.8393))</f>
        <v/>
      </c>
      <c r="H312" s="29" t="str">
        <f>IF(ISBLANK('Aqueous Species Options'!B312), "", IF('Aqueous Species Options'!L312 = 1, IF(ISBLANK('Aqueous Species Options'!H312), "", 'Aqueous Species Options'!H312), 'Aqueous Species Table'!M312 + 'Aqueous Species Table'!N312*10000*(1/(Calculations!$C$8-Calculations!$C$13))^2 + 'Aqueous Species Table'!O312*100000*Calculations!$C$8*Calculations!$C$7))</f>
        <v/>
      </c>
      <c r="I312" s="42" t="str">
        <f>IF(ISBLANK('Aqueous Species Options'!B312), "", IF('Aqueous Species Options'!L312=0, 'Aqueous Species Options'!N312, IF(OR(ISBLANK('Aqueous Species Options'!G312),'Aqueous Species Table'!O312="", 'Aqueous Species Table'!P312=""), "", IF('Aqueous Species Options'!B312="H+", 0, (CHOOSE('Aqueous Species Options'!M312+1,'Aqueous Species Options'!$V$4*ABS('Aqueous Species Table'!P312)+'Aqueous Species Options'!$W$4,'Aqueous Species Options'!$Z$4)*('Aqueous Species Options'!G312 + 'Aqueous Species Table'!O312*100000*0.0000005903*41.8393) + CHOOSE('Aqueous Species Options'!M312+1,'Aqueous Species Options'!$X$4*ABS('Aqueous Species Table'!P312)+'Aqueous Species Options'!$Y$4,'Aqueous Species Options'!$AA$4))*10 ) ) ) )</f>
        <v/>
      </c>
      <c r="J312" s="42" t="str">
        <f>IF(ISBLANK('Aqueous Species Options'!B312), "", IF('Aqueous Species Options'!L312 = 0, 'Aqueous Species Options'!O312, IF('Aqueous Species Table'!I312="", "", IF('Aqueous Species Options'!B312="H+", 0, ((1.11*('Aqueous Species Options'!G312 + 'Aqueous Species Table'!O312*100000*0.0000005903*41.8393)+1.8)/41.8393 - 'Aqueous Species Table'!I312/10)*26.01 ) ) ) )</f>
        <v/>
      </c>
      <c r="K312" s="42" t="str">
        <f>IF(ISBLANK('Aqueous Species Options'!B312), "", IF('Aqueous Species Options'!L312 = 0, 'Aqueous Species Options'!P312, IF('Aqueous Species Table'!I312="", "", IF('Aqueous Species Options'!B312="H+", 0, ('Aqueous Species Options'!G312/41.8393 + 'Aqueous Species Table'!O312*100000*0.0000005903 - 'Aqueous Species Table'!I312/10 - 'Aqueous Species Table'!J312*100/2601)*(298.15-228) - ('Aqueous Species Table'!L312*10000/2601) ) ) ) )</f>
        <v/>
      </c>
      <c r="L312" s="42" t="str">
        <f>IF(ISBLANK('Aqueous Species Options'!B312), "", IF('Aqueous Species Options'!L312 = 0, 'Aqueous Species Options'!Q312, IF('Aqueous Species Table'!J312="", "", IF('Aqueous Species Options'!B312="H+", 0, (-4.134*'Aqueous Species Table'!J312*100 - 27790)*0.0001) ) ) )</f>
        <v/>
      </c>
      <c r="M312" s="42" t="str">
        <f>IF(ISBLANK('Aqueous Species Options'!B312), "", IF('Aqueous Species Options'!L312=0, 'Aqueous Species Options'!R312, IF('Aqueous Species Table'!N312="", "", IF('Aqueous Species Options'!B312="H+", 0, 'Aqueous Species Options'!H312 - 'Aqueous Species Table'!O312*100000*(-0.000000309)*298.15 - 'Aqueous Species Table'!N312*10000/(298.15-228)^2 ) ) ) )</f>
        <v/>
      </c>
      <c r="N312" s="42" t="str">
        <f>IF(ISBLANK('Aqueous Species Options'!B312), "", IF('Aqueous Species Options'!L312=0, 'Aqueous Species Options'!S312, IF(OR(ISBLANK('Aqueous Species Options'!H312), 'Aqueous Species Table'!O312=""), "", IF('Aqueous Species Options'!B312="H+", 0, 0.2037*'Aqueous Species Options'!H312 - 3.0346) ) ) )</f>
        <v/>
      </c>
      <c r="O312" s="42" t="str">
        <f>IF(ISBLANK('Aqueous Species Options'!B312), "", IF('Aqueous Species Options'!K312=0, 'Aqueous Species Options'!I312, IF(OR('Aqueous Species Options'!J312&gt;4,'Aqueous Species Options'!J312&lt;-4), "", IF('Aqueous Species Options'!B312="H+", 0, IF('Aqueous Species Options'!J312=0, -0.038, IF(ISBLANK('Aqueous Species Options'!F312), "", -1514.4*'Aqueous Species Options'!F312*0.00001 + SUM(({4,3,2,1,-1,-2,-3,-4}='Aqueous Species Options'!J312)*{2.1764,1.5793,1.0579,0.5517,1.6291,3.2127,4.8115,6.486}) ) ) ) ) ) )</f>
        <v/>
      </c>
      <c r="P312" s="1" t="str">
        <f>IF(ISBLANK('Aqueous Species Options'!J312), "", 'Aqueous Species Options'!J312)</f>
        <v/>
      </c>
      <c r="Q312" s="184" t="str">
        <f>IF(ISBLANK('Aqueous Species Options'!T312), "", 'Aqueous Species Options'!T312)</f>
        <v/>
      </c>
    </row>
    <row r="313" spans="2:17" ht="16" x14ac:dyDescent="0.2">
      <c r="B313" s="9" t="str">
        <f>IF(ISBLANK('Aqueous Species Options'!B313), "", 'Aqueous Species Options'!B313)</f>
        <v/>
      </c>
      <c r="C313" s="9" t="str">
        <f>IF(ISBLANK('Aqueous Species Options'!C313), "", 'Aqueous Species Options'!C313)</f>
        <v/>
      </c>
      <c r="D313" s="2" t="str">
        <f>IF(ISBLANK('Aqueous Species Options'!D313), "", 'Aqueous Species Options'!D313)</f>
        <v/>
      </c>
      <c r="E313" s="1" t="str">
        <f>IF(ISBLANK('Aqueous Species Options'!E313), "", 'Aqueous Species Options'!E313)</f>
        <v/>
      </c>
      <c r="F313" s="139" t="str">
        <f>IF(ISBLANK('Aqueous Species Options'!F313), "", 'Aqueous Species Options'!F313)</f>
        <v/>
      </c>
      <c r="G313" s="29" t="str">
        <f>IF(ISBLANK('Aqueous Species Options'!B313), "", IF('Aqueous Species Options'!L313 = 1, IF(ISBLANK('Aqueous Species Options'!G313), "", 'Aqueous Species Options'!G313), ('Aqueous Species Table'!I313/10 + ('Aqueous Species Table'!J313*100)/(Calculations!$C$12+Calculations!$C$9) + ('Aqueous Species Table'!K313 + ('Aqueous Species Table'!L313*10000)/(Calculations!$C$12+Calculations!$C$9))*(1/(Calculations!$C$8-Calculations!$C$13)) - 'Aqueous Species Table'!O313*100000*0.0000005903)*41.8393))</f>
        <v/>
      </c>
      <c r="H313" s="29" t="str">
        <f>IF(ISBLANK('Aqueous Species Options'!B313), "", IF('Aqueous Species Options'!L313 = 1, IF(ISBLANK('Aqueous Species Options'!H313), "", 'Aqueous Species Options'!H313), 'Aqueous Species Table'!M313 + 'Aqueous Species Table'!N313*10000*(1/(Calculations!$C$8-Calculations!$C$13))^2 + 'Aqueous Species Table'!O313*100000*Calculations!$C$8*Calculations!$C$7))</f>
        <v/>
      </c>
      <c r="I313" s="42" t="str">
        <f>IF(ISBLANK('Aqueous Species Options'!B313), "", IF('Aqueous Species Options'!L313=0, 'Aqueous Species Options'!N313, IF(OR(ISBLANK('Aqueous Species Options'!G313),'Aqueous Species Table'!O313="", 'Aqueous Species Table'!P313=""), "", IF('Aqueous Species Options'!B313="H+", 0, (CHOOSE('Aqueous Species Options'!M313+1,'Aqueous Species Options'!$V$4*ABS('Aqueous Species Table'!P313)+'Aqueous Species Options'!$W$4,'Aqueous Species Options'!$Z$4)*('Aqueous Species Options'!G313 + 'Aqueous Species Table'!O313*100000*0.0000005903*41.8393) + CHOOSE('Aqueous Species Options'!M313+1,'Aqueous Species Options'!$X$4*ABS('Aqueous Species Table'!P313)+'Aqueous Species Options'!$Y$4,'Aqueous Species Options'!$AA$4))*10 ) ) ) )</f>
        <v/>
      </c>
      <c r="J313" s="42" t="str">
        <f>IF(ISBLANK('Aqueous Species Options'!B313), "", IF('Aqueous Species Options'!L313 = 0, 'Aqueous Species Options'!O313, IF('Aqueous Species Table'!I313="", "", IF('Aqueous Species Options'!B313="H+", 0, ((1.11*('Aqueous Species Options'!G313 + 'Aqueous Species Table'!O313*100000*0.0000005903*41.8393)+1.8)/41.8393 - 'Aqueous Species Table'!I313/10)*26.01 ) ) ) )</f>
        <v/>
      </c>
      <c r="K313" s="42" t="str">
        <f>IF(ISBLANK('Aqueous Species Options'!B313), "", IF('Aqueous Species Options'!L313 = 0, 'Aqueous Species Options'!P313, IF('Aqueous Species Table'!I313="", "", IF('Aqueous Species Options'!B313="H+", 0, ('Aqueous Species Options'!G313/41.8393 + 'Aqueous Species Table'!O313*100000*0.0000005903 - 'Aqueous Species Table'!I313/10 - 'Aqueous Species Table'!J313*100/2601)*(298.15-228) - ('Aqueous Species Table'!L313*10000/2601) ) ) ) )</f>
        <v/>
      </c>
      <c r="L313" s="42" t="str">
        <f>IF(ISBLANK('Aqueous Species Options'!B313), "", IF('Aqueous Species Options'!L313 = 0, 'Aqueous Species Options'!Q313, IF('Aqueous Species Table'!J313="", "", IF('Aqueous Species Options'!B313="H+", 0, (-4.134*'Aqueous Species Table'!J313*100 - 27790)*0.0001) ) ) )</f>
        <v/>
      </c>
      <c r="M313" s="42" t="str">
        <f>IF(ISBLANK('Aqueous Species Options'!B313), "", IF('Aqueous Species Options'!L313=0, 'Aqueous Species Options'!R313, IF('Aqueous Species Table'!N313="", "", IF('Aqueous Species Options'!B313="H+", 0, 'Aqueous Species Options'!H313 - 'Aqueous Species Table'!O313*100000*(-0.000000309)*298.15 - 'Aqueous Species Table'!N313*10000/(298.15-228)^2 ) ) ) )</f>
        <v/>
      </c>
      <c r="N313" s="42" t="str">
        <f>IF(ISBLANK('Aqueous Species Options'!B313), "", IF('Aqueous Species Options'!L313=0, 'Aqueous Species Options'!S313, IF(OR(ISBLANK('Aqueous Species Options'!H313), 'Aqueous Species Table'!O313=""), "", IF('Aqueous Species Options'!B313="H+", 0, 0.2037*'Aqueous Species Options'!H313 - 3.0346) ) ) )</f>
        <v/>
      </c>
      <c r="O313" s="42" t="str">
        <f>IF(ISBLANK('Aqueous Species Options'!B313), "", IF('Aqueous Species Options'!K313=0, 'Aqueous Species Options'!I313, IF(OR('Aqueous Species Options'!J313&gt;4,'Aqueous Species Options'!J313&lt;-4), "", IF('Aqueous Species Options'!B313="H+", 0, IF('Aqueous Species Options'!J313=0, -0.038, IF(ISBLANK('Aqueous Species Options'!F313), "", -1514.4*'Aqueous Species Options'!F313*0.00001 + SUM(({4,3,2,1,-1,-2,-3,-4}='Aqueous Species Options'!J313)*{2.1764,1.5793,1.0579,0.5517,1.6291,3.2127,4.8115,6.486}) ) ) ) ) ) )</f>
        <v/>
      </c>
      <c r="P313" s="1" t="str">
        <f>IF(ISBLANK('Aqueous Species Options'!J313), "", 'Aqueous Species Options'!J313)</f>
        <v/>
      </c>
      <c r="Q313" s="184" t="str">
        <f>IF(ISBLANK('Aqueous Species Options'!T313), "", 'Aqueous Species Options'!T313)</f>
        <v/>
      </c>
    </row>
    <row r="314" spans="2:17" ht="16" x14ac:dyDescent="0.2">
      <c r="B314" s="9" t="str">
        <f>IF(ISBLANK('Aqueous Species Options'!B314), "", 'Aqueous Species Options'!B314)</f>
        <v/>
      </c>
      <c r="C314" s="9" t="str">
        <f>IF(ISBLANK('Aqueous Species Options'!C314), "", 'Aqueous Species Options'!C314)</f>
        <v/>
      </c>
      <c r="D314" s="2" t="str">
        <f>IF(ISBLANK('Aqueous Species Options'!D314), "", 'Aqueous Species Options'!D314)</f>
        <v/>
      </c>
      <c r="E314" s="1" t="str">
        <f>IF(ISBLANK('Aqueous Species Options'!E314), "", 'Aqueous Species Options'!E314)</f>
        <v/>
      </c>
      <c r="F314" s="139" t="str">
        <f>IF(ISBLANK('Aqueous Species Options'!F314), "", 'Aqueous Species Options'!F314)</f>
        <v/>
      </c>
      <c r="G314" s="29" t="str">
        <f>IF(ISBLANK('Aqueous Species Options'!B314), "", IF('Aqueous Species Options'!L314 = 1, IF(ISBLANK('Aqueous Species Options'!G314), "", 'Aqueous Species Options'!G314), ('Aqueous Species Table'!I314/10 + ('Aqueous Species Table'!J314*100)/(Calculations!$C$12+Calculations!$C$9) + ('Aqueous Species Table'!K314 + ('Aqueous Species Table'!L314*10000)/(Calculations!$C$12+Calculations!$C$9))*(1/(Calculations!$C$8-Calculations!$C$13)) - 'Aqueous Species Table'!O314*100000*0.0000005903)*41.8393))</f>
        <v/>
      </c>
      <c r="H314" s="29" t="str">
        <f>IF(ISBLANK('Aqueous Species Options'!B314), "", IF('Aqueous Species Options'!L314 = 1, IF(ISBLANK('Aqueous Species Options'!H314), "", 'Aqueous Species Options'!H314), 'Aqueous Species Table'!M314 + 'Aqueous Species Table'!N314*10000*(1/(Calculations!$C$8-Calculations!$C$13))^2 + 'Aqueous Species Table'!O314*100000*Calculations!$C$8*Calculations!$C$7))</f>
        <v/>
      </c>
      <c r="I314" s="42" t="str">
        <f>IF(ISBLANK('Aqueous Species Options'!B314), "", IF('Aqueous Species Options'!L314=0, 'Aqueous Species Options'!N314, IF(OR(ISBLANK('Aqueous Species Options'!G314),'Aqueous Species Table'!O314="", 'Aqueous Species Table'!P314=""), "", IF('Aqueous Species Options'!B314="H+", 0, (CHOOSE('Aqueous Species Options'!M314+1,'Aqueous Species Options'!$V$4*ABS('Aqueous Species Table'!P314)+'Aqueous Species Options'!$W$4,'Aqueous Species Options'!$Z$4)*('Aqueous Species Options'!G314 + 'Aqueous Species Table'!O314*100000*0.0000005903*41.8393) + CHOOSE('Aqueous Species Options'!M314+1,'Aqueous Species Options'!$X$4*ABS('Aqueous Species Table'!P314)+'Aqueous Species Options'!$Y$4,'Aqueous Species Options'!$AA$4))*10 ) ) ) )</f>
        <v/>
      </c>
      <c r="J314" s="42" t="str">
        <f>IF(ISBLANK('Aqueous Species Options'!B314), "", IF('Aqueous Species Options'!L314 = 0, 'Aqueous Species Options'!O314, IF('Aqueous Species Table'!I314="", "", IF('Aqueous Species Options'!B314="H+", 0, ((1.11*('Aqueous Species Options'!G314 + 'Aqueous Species Table'!O314*100000*0.0000005903*41.8393)+1.8)/41.8393 - 'Aqueous Species Table'!I314/10)*26.01 ) ) ) )</f>
        <v/>
      </c>
      <c r="K314" s="42" t="str">
        <f>IF(ISBLANK('Aqueous Species Options'!B314), "", IF('Aqueous Species Options'!L314 = 0, 'Aqueous Species Options'!P314, IF('Aqueous Species Table'!I314="", "", IF('Aqueous Species Options'!B314="H+", 0, ('Aqueous Species Options'!G314/41.8393 + 'Aqueous Species Table'!O314*100000*0.0000005903 - 'Aqueous Species Table'!I314/10 - 'Aqueous Species Table'!J314*100/2601)*(298.15-228) - ('Aqueous Species Table'!L314*10000/2601) ) ) ) )</f>
        <v/>
      </c>
      <c r="L314" s="42" t="str">
        <f>IF(ISBLANK('Aqueous Species Options'!B314), "", IF('Aqueous Species Options'!L314 = 0, 'Aqueous Species Options'!Q314, IF('Aqueous Species Table'!J314="", "", IF('Aqueous Species Options'!B314="H+", 0, (-4.134*'Aqueous Species Table'!J314*100 - 27790)*0.0001) ) ) )</f>
        <v/>
      </c>
      <c r="M314" s="42" t="str">
        <f>IF(ISBLANK('Aqueous Species Options'!B314), "", IF('Aqueous Species Options'!L314=0, 'Aqueous Species Options'!R314, IF('Aqueous Species Table'!N314="", "", IF('Aqueous Species Options'!B314="H+", 0, 'Aqueous Species Options'!H314 - 'Aqueous Species Table'!O314*100000*(-0.000000309)*298.15 - 'Aqueous Species Table'!N314*10000/(298.15-228)^2 ) ) ) )</f>
        <v/>
      </c>
      <c r="N314" s="42" t="str">
        <f>IF(ISBLANK('Aqueous Species Options'!B314), "", IF('Aqueous Species Options'!L314=0, 'Aqueous Species Options'!S314, IF(OR(ISBLANK('Aqueous Species Options'!H314), 'Aqueous Species Table'!O314=""), "", IF('Aqueous Species Options'!B314="H+", 0, 0.2037*'Aqueous Species Options'!H314 - 3.0346) ) ) )</f>
        <v/>
      </c>
      <c r="O314" s="42" t="str">
        <f>IF(ISBLANK('Aqueous Species Options'!B314), "", IF('Aqueous Species Options'!K314=0, 'Aqueous Species Options'!I314, IF(OR('Aqueous Species Options'!J314&gt;4,'Aqueous Species Options'!J314&lt;-4), "", IF('Aqueous Species Options'!B314="H+", 0, IF('Aqueous Species Options'!J314=0, -0.038, IF(ISBLANK('Aqueous Species Options'!F314), "", -1514.4*'Aqueous Species Options'!F314*0.00001 + SUM(({4,3,2,1,-1,-2,-3,-4}='Aqueous Species Options'!J314)*{2.1764,1.5793,1.0579,0.5517,1.6291,3.2127,4.8115,6.486}) ) ) ) ) ) )</f>
        <v/>
      </c>
      <c r="P314" s="1" t="str">
        <f>IF(ISBLANK('Aqueous Species Options'!J314), "", 'Aqueous Species Options'!J314)</f>
        <v/>
      </c>
      <c r="Q314" s="184" t="str">
        <f>IF(ISBLANK('Aqueous Species Options'!T314), "", 'Aqueous Species Options'!T314)</f>
        <v/>
      </c>
    </row>
    <row r="315" spans="2:17" ht="16" x14ac:dyDescent="0.2">
      <c r="B315" s="9" t="str">
        <f>IF(ISBLANK('Aqueous Species Options'!B315), "", 'Aqueous Species Options'!B315)</f>
        <v/>
      </c>
      <c r="C315" s="9" t="str">
        <f>IF(ISBLANK('Aqueous Species Options'!C315), "", 'Aqueous Species Options'!C315)</f>
        <v/>
      </c>
      <c r="D315" s="2" t="str">
        <f>IF(ISBLANK('Aqueous Species Options'!D315), "", 'Aqueous Species Options'!D315)</f>
        <v/>
      </c>
      <c r="E315" s="1" t="str">
        <f>IF(ISBLANK('Aqueous Species Options'!E315), "", 'Aqueous Species Options'!E315)</f>
        <v/>
      </c>
      <c r="F315" s="139" t="str">
        <f>IF(ISBLANK('Aqueous Species Options'!F315), "", 'Aqueous Species Options'!F315)</f>
        <v/>
      </c>
      <c r="G315" s="29" t="str">
        <f>IF(ISBLANK('Aqueous Species Options'!B315), "", IF('Aqueous Species Options'!L315 = 1, IF(ISBLANK('Aqueous Species Options'!G315), "", 'Aqueous Species Options'!G315), ('Aqueous Species Table'!I315/10 + ('Aqueous Species Table'!J315*100)/(Calculations!$C$12+Calculations!$C$9) + ('Aqueous Species Table'!K315 + ('Aqueous Species Table'!L315*10000)/(Calculations!$C$12+Calculations!$C$9))*(1/(Calculations!$C$8-Calculations!$C$13)) - 'Aqueous Species Table'!O315*100000*0.0000005903)*41.8393))</f>
        <v/>
      </c>
      <c r="H315" s="29" t="str">
        <f>IF(ISBLANK('Aqueous Species Options'!B315), "", IF('Aqueous Species Options'!L315 = 1, IF(ISBLANK('Aqueous Species Options'!H315), "", 'Aqueous Species Options'!H315), 'Aqueous Species Table'!M315 + 'Aqueous Species Table'!N315*10000*(1/(Calculations!$C$8-Calculations!$C$13))^2 + 'Aqueous Species Table'!O315*100000*Calculations!$C$8*Calculations!$C$7))</f>
        <v/>
      </c>
      <c r="I315" s="42" t="str">
        <f>IF(ISBLANK('Aqueous Species Options'!B315), "", IF('Aqueous Species Options'!L315=0, 'Aqueous Species Options'!N315, IF(OR(ISBLANK('Aqueous Species Options'!G315),'Aqueous Species Table'!O315="", 'Aqueous Species Table'!P315=""), "", IF('Aqueous Species Options'!B315="H+", 0, (CHOOSE('Aqueous Species Options'!M315+1,'Aqueous Species Options'!$V$4*ABS('Aqueous Species Table'!P315)+'Aqueous Species Options'!$W$4,'Aqueous Species Options'!$Z$4)*('Aqueous Species Options'!G315 + 'Aqueous Species Table'!O315*100000*0.0000005903*41.8393) + CHOOSE('Aqueous Species Options'!M315+1,'Aqueous Species Options'!$X$4*ABS('Aqueous Species Table'!P315)+'Aqueous Species Options'!$Y$4,'Aqueous Species Options'!$AA$4))*10 ) ) ) )</f>
        <v/>
      </c>
      <c r="J315" s="42" t="str">
        <f>IF(ISBLANK('Aqueous Species Options'!B315), "", IF('Aqueous Species Options'!L315 = 0, 'Aqueous Species Options'!O315, IF('Aqueous Species Table'!I315="", "", IF('Aqueous Species Options'!B315="H+", 0, ((1.11*('Aqueous Species Options'!G315 + 'Aqueous Species Table'!O315*100000*0.0000005903*41.8393)+1.8)/41.8393 - 'Aqueous Species Table'!I315/10)*26.01 ) ) ) )</f>
        <v/>
      </c>
      <c r="K315" s="42" t="str">
        <f>IF(ISBLANK('Aqueous Species Options'!B315), "", IF('Aqueous Species Options'!L315 = 0, 'Aqueous Species Options'!P315, IF('Aqueous Species Table'!I315="", "", IF('Aqueous Species Options'!B315="H+", 0, ('Aqueous Species Options'!G315/41.8393 + 'Aqueous Species Table'!O315*100000*0.0000005903 - 'Aqueous Species Table'!I315/10 - 'Aqueous Species Table'!J315*100/2601)*(298.15-228) - ('Aqueous Species Table'!L315*10000/2601) ) ) ) )</f>
        <v/>
      </c>
      <c r="L315" s="42" t="str">
        <f>IF(ISBLANK('Aqueous Species Options'!B315), "", IF('Aqueous Species Options'!L315 = 0, 'Aqueous Species Options'!Q315, IF('Aqueous Species Table'!J315="", "", IF('Aqueous Species Options'!B315="H+", 0, (-4.134*'Aqueous Species Table'!J315*100 - 27790)*0.0001) ) ) )</f>
        <v/>
      </c>
      <c r="M315" s="42" t="str">
        <f>IF(ISBLANK('Aqueous Species Options'!B315), "", IF('Aqueous Species Options'!L315=0, 'Aqueous Species Options'!R315, IF('Aqueous Species Table'!N315="", "", IF('Aqueous Species Options'!B315="H+", 0, 'Aqueous Species Options'!H315 - 'Aqueous Species Table'!O315*100000*(-0.000000309)*298.15 - 'Aqueous Species Table'!N315*10000/(298.15-228)^2 ) ) ) )</f>
        <v/>
      </c>
      <c r="N315" s="42" t="str">
        <f>IF(ISBLANK('Aqueous Species Options'!B315), "", IF('Aqueous Species Options'!L315=0, 'Aqueous Species Options'!S315, IF(OR(ISBLANK('Aqueous Species Options'!H315), 'Aqueous Species Table'!O315=""), "", IF('Aqueous Species Options'!B315="H+", 0, 0.2037*'Aqueous Species Options'!H315 - 3.0346) ) ) )</f>
        <v/>
      </c>
      <c r="O315" s="42" t="str">
        <f>IF(ISBLANK('Aqueous Species Options'!B315), "", IF('Aqueous Species Options'!K315=0, 'Aqueous Species Options'!I315, IF(OR('Aqueous Species Options'!J315&gt;4,'Aqueous Species Options'!J315&lt;-4), "", IF('Aqueous Species Options'!B315="H+", 0, IF('Aqueous Species Options'!J315=0, -0.038, IF(ISBLANK('Aqueous Species Options'!F315), "", -1514.4*'Aqueous Species Options'!F315*0.00001 + SUM(({4,3,2,1,-1,-2,-3,-4}='Aqueous Species Options'!J315)*{2.1764,1.5793,1.0579,0.5517,1.6291,3.2127,4.8115,6.486}) ) ) ) ) ) )</f>
        <v/>
      </c>
      <c r="P315" s="1" t="str">
        <f>IF(ISBLANK('Aqueous Species Options'!J315), "", 'Aqueous Species Options'!J315)</f>
        <v/>
      </c>
      <c r="Q315" s="184" t="str">
        <f>IF(ISBLANK('Aqueous Species Options'!T315), "", 'Aqueous Species Options'!T315)</f>
        <v/>
      </c>
    </row>
    <row r="316" spans="2:17" ht="16" x14ac:dyDescent="0.2">
      <c r="B316" s="9" t="str">
        <f>IF(ISBLANK('Aqueous Species Options'!B316), "", 'Aqueous Species Options'!B316)</f>
        <v/>
      </c>
      <c r="C316" s="9" t="str">
        <f>IF(ISBLANK('Aqueous Species Options'!C316), "", 'Aqueous Species Options'!C316)</f>
        <v/>
      </c>
      <c r="D316" s="2" t="str">
        <f>IF(ISBLANK('Aqueous Species Options'!D316), "", 'Aqueous Species Options'!D316)</f>
        <v/>
      </c>
      <c r="E316" s="1" t="str">
        <f>IF(ISBLANK('Aqueous Species Options'!E316), "", 'Aqueous Species Options'!E316)</f>
        <v/>
      </c>
      <c r="F316" s="139" t="str">
        <f>IF(ISBLANK('Aqueous Species Options'!F316), "", 'Aqueous Species Options'!F316)</f>
        <v/>
      </c>
      <c r="G316" s="29" t="str">
        <f>IF(ISBLANK('Aqueous Species Options'!B316), "", IF('Aqueous Species Options'!L316 = 1, IF(ISBLANK('Aqueous Species Options'!G316), "", 'Aqueous Species Options'!G316), ('Aqueous Species Table'!I316/10 + ('Aqueous Species Table'!J316*100)/(Calculations!$C$12+Calculations!$C$9) + ('Aqueous Species Table'!K316 + ('Aqueous Species Table'!L316*10000)/(Calculations!$C$12+Calculations!$C$9))*(1/(Calculations!$C$8-Calculations!$C$13)) - 'Aqueous Species Table'!O316*100000*0.0000005903)*41.8393))</f>
        <v/>
      </c>
      <c r="H316" s="29" t="str">
        <f>IF(ISBLANK('Aqueous Species Options'!B316), "", IF('Aqueous Species Options'!L316 = 1, IF(ISBLANK('Aqueous Species Options'!H316), "", 'Aqueous Species Options'!H316), 'Aqueous Species Table'!M316 + 'Aqueous Species Table'!N316*10000*(1/(Calculations!$C$8-Calculations!$C$13))^2 + 'Aqueous Species Table'!O316*100000*Calculations!$C$8*Calculations!$C$7))</f>
        <v/>
      </c>
      <c r="I316" s="42" t="str">
        <f>IF(ISBLANK('Aqueous Species Options'!B316), "", IF('Aqueous Species Options'!L316=0, 'Aqueous Species Options'!N316, IF(OR(ISBLANK('Aqueous Species Options'!G316),'Aqueous Species Table'!O316="", 'Aqueous Species Table'!P316=""), "", IF('Aqueous Species Options'!B316="H+", 0, (CHOOSE('Aqueous Species Options'!M316+1,'Aqueous Species Options'!$V$4*ABS('Aqueous Species Table'!P316)+'Aqueous Species Options'!$W$4,'Aqueous Species Options'!$Z$4)*('Aqueous Species Options'!G316 + 'Aqueous Species Table'!O316*100000*0.0000005903*41.8393) + CHOOSE('Aqueous Species Options'!M316+1,'Aqueous Species Options'!$X$4*ABS('Aqueous Species Table'!P316)+'Aqueous Species Options'!$Y$4,'Aqueous Species Options'!$AA$4))*10 ) ) ) )</f>
        <v/>
      </c>
      <c r="J316" s="42" t="str">
        <f>IF(ISBLANK('Aqueous Species Options'!B316), "", IF('Aqueous Species Options'!L316 = 0, 'Aqueous Species Options'!O316, IF('Aqueous Species Table'!I316="", "", IF('Aqueous Species Options'!B316="H+", 0, ((1.11*('Aqueous Species Options'!G316 + 'Aqueous Species Table'!O316*100000*0.0000005903*41.8393)+1.8)/41.8393 - 'Aqueous Species Table'!I316/10)*26.01 ) ) ) )</f>
        <v/>
      </c>
      <c r="K316" s="42" t="str">
        <f>IF(ISBLANK('Aqueous Species Options'!B316), "", IF('Aqueous Species Options'!L316 = 0, 'Aqueous Species Options'!P316, IF('Aqueous Species Table'!I316="", "", IF('Aqueous Species Options'!B316="H+", 0, ('Aqueous Species Options'!G316/41.8393 + 'Aqueous Species Table'!O316*100000*0.0000005903 - 'Aqueous Species Table'!I316/10 - 'Aqueous Species Table'!J316*100/2601)*(298.15-228) - ('Aqueous Species Table'!L316*10000/2601) ) ) ) )</f>
        <v/>
      </c>
      <c r="L316" s="42" t="str">
        <f>IF(ISBLANK('Aqueous Species Options'!B316), "", IF('Aqueous Species Options'!L316 = 0, 'Aqueous Species Options'!Q316, IF('Aqueous Species Table'!J316="", "", IF('Aqueous Species Options'!B316="H+", 0, (-4.134*'Aqueous Species Table'!J316*100 - 27790)*0.0001) ) ) )</f>
        <v/>
      </c>
      <c r="M316" s="42" t="str">
        <f>IF(ISBLANK('Aqueous Species Options'!B316), "", IF('Aqueous Species Options'!L316=0, 'Aqueous Species Options'!R316, IF('Aqueous Species Table'!N316="", "", IF('Aqueous Species Options'!B316="H+", 0, 'Aqueous Species Options'!H316 - 'Aqueous Species Table'!O316*100000*(-0.000000309)*298.15 - 'Aqueous Species Table'!N316*10000/(298.15-228)^2 ) ) ) )</f>
        <v/>
      </c>
      <c r="N316" s="42" t="str">
        <f>IF(ISBLANK('Aqueous Species Options'!B316), "", IF('Aqueous Species Options'!L316=0, 'Aqueous Species Options'!S316, IF(OR(ISBLANK('Aqueous Species Options'!H316), 'Aqueous Species Table'!O316=""), "", IF('Aqueous Species Options'!B316="H+", 0, 0.2037*'Aqueous Species Options'!H316 - 3.0346) ) ) )</f>
        <v/>
      </c>
      <c r="O316" s="42" t="str">
        <f>IF(ISBLANK('Aqueous Species Options'!B316), "", IF('Aqueous Species Options'!K316=0, 'Aqueous Species Options'!I316, IF(OR('Aqueous Species Options'!J316&gt;4,'Aqueous Species Options'!J316&lt;-4), "", IF('Aqueous Species Options'!B316="H+", 0, IF('Aqueous Species Options'!J316=0, -0.038, IF(ISBLANK('Aqueous Species Options'!F316), "", -1514.4*'Aqueous Species Options'!F316*0.00001 + SUM(({4,3,2,1,-1,-2,-3,-4}='Aqueous Species Options'!J316)*{2.1764,1.5793,1.0579,0.5517,1.6291,3.2127,4.8115,6.486}) ) ) ) ) ) )</f>
        <v/>
      </c>
      <c r="P316" s="1" t="str">
        <f>IF(ISBLANK('Aqueous Species Options'!J316), "", 'Aqueous Species Options'!J316)</f>
        <v/>
      </c>
      <c r="Q316" s="184" t="str">
        <f>IF(ISBLANK('Aqueous Species Options'!T316), "", 'Aqueous Species Options'!T316)</f>
        <v/>
      </c>
    </row>
    <row r="317" spans="2:17" ht="16" x14ac:dyDescent="0.2">
      <c r="B317" s="9" t="str">
        <f>IF(ISBLANK('Aqueous Species Options'!B317), "", 'Aqueous Species Options'!B317)</f>
        <v/>
      </c>
      <c r="C317" s="9" t="str">
        <f>IF(ISBLANK('Aqueous Species Options'!C317), "", 'Aqueous Species Options'!C317)</f>
        <v/>
      </c>
      <c r="D317" s="2" t="str">
        <f>IF(ISBLANK('Aqueous Species Options'!D317), "", 'Aqueous Species Options'!D317)</f>
        <v/>
      </c>
      <c r="E317" s="1" t="str">
        <f>IF(ISBLANK('Aqueous Species Options'!E317), "", 'Aqueous Species Options'!E317)</f>
        <v/>
      </c>
      <c r="F317" s="139" t="str">
        <f>IF(ISBLANK('Aqueous Species Options'!F317), "", 'Aqueous Species Options'!F317)</f>
        <v/>
      </c>
      <c r="G317" s="29" t="str">
        <f>IF(ISBLANK('Aqueous Species Options'!B317), "", IF('Aqueous Species Options'!L317 = 1, IF(ISBLANK('Aqueous Species Options'!G317), "", 'Aqueous Species Options'!G317), ('Aqueous Species Table'!I317/10 + ('Aqueous Species Table'!J317*100)/(Calculations!$C$12+Calculations!$C$9) + ('Aqueous Species Table'!K317 + ('Aqueous Species Table'!L317*10000)/(Calculations!$C$12+Calculations!$C$9))*(1/(Calculations!$C$8-Calculations!$C$13)) - 'Aqueous Species Table'!O317*100000*0.0000005903)*41.8393))</f>
        <v/>
      </c>
      <c r="H317" s="29" t="str">
        <f>IF(ISBLANK('Aqueous Species Options'!B317), "", IF('Aqueous Species Options'!L317 = 1, IF(ISBLANK('Aqueous Species Options'!H317), "", 'Aqueous Species Options'!H317), 'Aqueous Species Table'!M317 + 'Aqueous Species Table'!N317*10000*(1/(Calculations!$C$8-Calculations!$C$13))^2 + 'Aqueous Species Table'!O317*100000*Calculations!$C$8*Calculations!$C$7))</f>
        <v/>
      </c>
      <c r="I317" s="42" t="str">
        <f>IF(ISBLANK('Aqueous Species Options'!B317), "", IF('Aqueous Species Options'!L317=0, 'Aqueous Species Options'!N317, IF(OR(ISBLANK('Aqueous Species Options'!G317),'Aqueous Species Table'!O317="", 'Aqueous Species Table'!P317=""), "", IF('Aqueous Species Options'!B317="H+", 0, (CHOOSE('Aqueous Species Options'!M317+1,'Aqueous Species Options'!$V$4*ABS('Aqueous Species Table'!P317)+'Aqueous Species Options'!$W$4,'Aqueous Species Options'!$Z$4)*('Aqueous Species Options'!G317 + 'Aqueous Species Table'!O317*100000*0.0000005903*41.8393) + CHOOSE('Aqueous Species Options'!M317+1,'Aqueous Species Options'!$X$4*ABS('Aqueous Species Table'!P317)+'Aqueous Species Options'!$Y$4,'Aqueous Species Options'!$AA$4))*10 ) ) ) )</f>
        <v/>
      </c>
      <c r="J317" s="42" t="str">
        <f>IF(ISBLANK('Aqueous Species Options'!B317), "", IF('Aqueous Species Options'!L317 = 0, 'Aqueous Species Options'!O317, IF('Aqueous Species Table'!I317="", "", IF('Aqueous Species Options'!B317="H+", 0, ((1.11*('Aqueous Species Options'!G317 + 'Aqueous Species Table'!O317*100000*0.0000005903*41.8393)+1.8)/41.8393 - 'Aqueous Species Table'!I317/10)*26.01 ) ) ) )</f>
        <v/>
      </c>
      <c r="K317" s="42" t="str">
        <f>IF(ISBLANK('Aqueous Species Options'!B317), "", IF('Aqueous Species Options'!L317 = 0, 'Aqueous Species Options'!P317, IF('Aqueous Species Table'!I317="", "", IF('Aqueous Species Options'!B317="H+", 0, ('Aqueous Species Options'!G317/41.8393 + 'Aqueous Species Table'!O317*100000*0.0000005903 - 'Aqueous Species Table'!I317/10 - 'Aqueous Species Table'!J317*100/2601)*(298.15-228) - ('Aqueous Species Table'!L317*10000/2601) ) ) ) )</f>
        <v/>
      </c>
      <c r="L317" s="42" t="str">
        <f>IF(ISBLANK('Aqueous Species Options'!B317), "", IF('Aqueous Species Options'!L317 = 0, 'Aqueous Species Options'!Q317, IF('Aqueous Species Table'!J317="", "", IF('Aqueous Species Options'!B317="H+", 0, (-4.134*'Aqueous Species Table'!J317*100 - 27790)*0.0001) ) ) )</f>
        <v/>
      </c>
      <c r="M317" s="42" t="str">
        <f>IF(ISBLANK('Aqueous Species Options'!B317), "", IF('Aqueous Species Options'!L317=0, 'Aqueous Species Options'!R317, IF('Aqueous Species Table'!N317="", "", IF('Aqueous Species Options'!B317="H+", 0, 'Aqueous Species Options'!H317 - 'Aqueous Species Table'!O317*100000*(-0.000000309)*298.15 - 'Aqueous Species Table'!N317*10000/(298.15-228)^2 ) ) ) )</f>
        <v/>
      </c>
      <c r="N317" s="42" t="str">
        <f>IF(ISBLANK('Aqueous Species Options'!B317), "", IF('Aqueous Species Options'!L317=0, 'Aqueous Species Options'!S317, IF(OR(ISBLANK('Aqueous Species Options'!H317), 'Aqueous Species Table'!O317=""), "", IF('Aqueous Species Options'!B317="H+", 0, 0.2037*'Aqueous Species Options'!H317 - 3.0346) ) ) )</f>
        <v/>
      </c>
      <c r="O317" s="42" t="str">
        <f>IF(ISBLANK('Aqueous Species Options'!B317), "", IF('Aqueous Species Options'!K317=0, 'Aqueous Species Options'!I317, IF(OR('Aqueous Species Options'!J317&gt;4,'Aqueous Species Options'!J317&lt;-4), "", IF('Aqueous Species Options'!B317="H+", 0, IF('Aqueous Species Options'!J317=0, -0.038, IF(ISBLANK('Aqueous Species Options'!F317), "", -1514.4*'Aqueous Species Options'!F317*0.00001 + SUM(({4,3,2,1,-1,-2,-3,-4}='Aqueous Species Options'!J317)*{2.1764,1.5793,1.0579,0.5517,1.6291,3.2127,4.8115,6.486}) ) ) ) ) ) )</f>
        <v/>
      </c>
      <c r="P317" s="1" t="str">
        <f>IF(ISBLANK('Aqueous Species Options'!J317), "", 'Aqueous Species Options'!J317)</f>
        <v/>
      </c>
      <c r="Q317" s="184" t="str">
        <f>IF(ISBLANK('Aqueous Species Options'!T317), "", 'Aqueous Species Options'!T317)</f>
        <v/>
      </c>
    </row>
    <row r="318" spans="2:17" ht="16" x14ac:dyDescent="0.2">
      <c r="B318" s="9" t="str">
        <f>IF(ISBLANK('Aqueous Species Options'!B318), "", 'Aqueous Species Options'!B318)</f>
        <v/>
      </c>
      <c r="C318" s="9" t="str">
        <f>IF(ISBLANK('Aqueous Species Options'!C318), "", 'Aqueous Species Options'!C318)</f>
        <v/>
      </c>
      <c r="D318" s="2" t="str">
        <f>IF(ISBLANK('Aqueous Species Options'!D318), "", 'Aqueous Species Options'!D318)</f>
        <v/>
      </c>
      <c r="E318" s="1" t="str">
        <f>IF(ISBLANK('Aqueous Species Options'!E318), "", 'Aqueous Species Options'!E318)</f>
        <v/>
      </c>
      <c r="F318" s="139" t="str">
        <f>IF(ISBLANK('Aqueous Species Options'!F318), "", 'Aqueous Species Options'!F318)</f>
        <v/>
      </c>
      <c r="G318" s="29" t="str">
        <f>IF(ISBLANK('Aqueous Species Options'!B318), "", IF('Aqueous Species Options'!L318 = 1, IF(ISBLANK('Aqueous Species Options'!G318), "", 'Aqueous Species Options'!G318), ('Aqueous Species Table'!I318/10 + ('Aqueous Species Table'!J318*100)/(Calculations!$C$12+Calculations!$C$9) + ('Aqueous Species Table'!K318 + ('Aqueous Species Table'!L318*10000)/(Calculations!$C$12+Calculations!$C$9))*(1/(Calculations!$C$8-Calculations!$C$13)) - 'Aqueous Species Table'!O318*100000*0.0000005903)*41.8393))</f>
        <v/>
      </c>
      <c r="H318" s="29" t="str">
        <f>IF(ISBLANK('Aqueous Species Options'!B318), "", IF('Aqueous Species Options'!L318 = 1, IF(ISBLANK('Aqueous Species Options'!H318), "", 'Aqueous Species Options'!H318), 'Aqueous Species Table'!M318 + 'Aqueous Species Table'!N318*10000*(1/(Calculations!$C$8-Calculations!$C$13))^2 + 'Aqueous Species Table'!O318*100000*Calculations!$C$8*Calculations!$C$7))</f>
        <v/>
      </c>
      <c r="I318" s="42" t="str">
        <f>IF(ISBLANK('Aqueous Species Options'!B318), "", IF('Aqueous Species Options'!L318=0, 'Aqueous Species Options'!N318, IF(OR(ISBLANK('Aqueous Species Options'!G318),'Aqueous Species Table'!O318="", 'Aqueous Species Table'!P318=""), "", IF('Aqueous Species Options'!B318="H+", 0, (CHOOSE('Aqueous Species Options'!M318+1,'Aqueous Species Options'!$V$4*ABS('Aqueous Species Table'!P318)+'Aqueous Species Options'!$W$4,'Aqueous Species Options'!$Z$4)*('Aqueous Species Options'!G318 + 'Aqueous Species Table'!O318*100000*0.0000005903*41.8393) + CHOOSE('Aqueous Species Options'!M318+1,'Aqueous Species Options'!$X$4*ABS('Aqueous Species Table'!P318)+'Aqueous Species Options'!$Y$4,'Aqueous Species Options'!$AA$4))*10 ) ) ) )</f>
        <v/>
      </c>
      <c r="J318" s="42" t="str">
        <f>IF(ISBLANK('Aqueous Species Options'!B318), "", IF('Aqueous Species Options'!L318 = 0, 'Aqueous Species Options'!O318, IF('Aqueous Species Table'!I318="", "", IF('Aqueous Species Options'!B318="H+", 0, ((1.11*('Aqueous Species Options'!G318 + 'Aqueous Species Table'!O318*100000*0.0000005903*41.8393)+1.8)/41.8393 - 'Aqueous Species Table'!I318/10)*26.01 ) ) ) )</f>
        <v/>
      </c>
      <c r="K318" s="42" t="str">
        <f>IF(ISBLANK('Aqueous Species Options'!B318), "", IF('Aqueous Species Options'!L318 = 0, 'Aqueous Species Options'!P318, IF('Aqueous Species Table'!I318="", "", IF('Aqueous Species Options'!B318="H+", 0, ('Aqueous Species Options'!G318/41.8393 + 'Aqueous Species Table'!O318*100000*0.0000005903 - 'Aqueous Species Table'!I318/10 - 'Aqueous Species Table'!J318*100/2601)*(298.15-228) - ('Aqueous Species Table'!L318*10000/2601) ) ) ) )</f>
        <v/>
      </c>
      <c r="L318" s="42" t="str">
        <f>IF(ISBLANK('Aqueous Species Options'!B318), "", IF('Aqueous Species Options'!L318 = 0, 'Aqueous Species Options'!Q318, IF('Aqueous Species Table'!J318="", "", IF('Aqueous Species Options'!B318="H+", 0, (-4.134*'Aqueous Species Table'!J318*100 - 27790)*0.0001) ) ) )</f>
        <v/>
      </c>
      <c r="M318" s="42" t="str">
        <f>IF(ISBLANK('Aqueous Species Options'!B318), "", IF('Aqueous Species Options'!L318=0, 'Aqueous Species Options'!R318, IF('Aqueous Species Table'!N318="", "", IF('Aqueous Species Options'!B318="H+", 0, 'Aqueous Species Options'!H318 - 'Aqueous Species Table'!O318*100000*(-0.000000309)*298.15 - 'Aqueous Species Table'!N318*10000/(298.15-228)^2 ) ) ) )</f>
        <v/>
      </c>
      <c r="N318" s="42" t="str">
        <f>IF(ISBLANK('Aqueous Species Options'!B318), "", IF('Aqueous Species Options'!L318=0, 'Aqueous Species Options'!S318, IF(OR(ISBLANK('Aqueous Species Options'!H318), 'Aqueous Species Table'!O318=""), "", IF('Aqueous Species Options'!B318="H+", 0, 0.2037*'Aqueous Species Options'!H318 - 3.0346) ) ) )</f>
        <v/>
      </c>
      <c r="O318" s="42" t="str">
        <f>IF(ISBLANK('Aqueous Species Options'!B318), "", IF('Aqueous Species Options'!K318=0, 'Aqueous Species Options'!I318, IF(OR('Aqueous Species Options'!J318&gt;4,'Aqueous Species Options'!J318&lt;-4), "", IF('Aqueous Species Options'!B318="H+", 0, IF('Aqueous Species Options'!J318=0, -0.038, IF(ISBLANK('Aqueous Species Options'!F318), "", -1514.4*'Aqueous Species Options'!F318*0.00001 + SUM(({4,3,2,1,-1,-2,-3,-4}='Aqueous Species Options'!J318)*{2.1764,1.5793,1.0579,0.5517,1.6291,3.2127,4.8115,6.486}) ) ) ) ) ) )</f>
        <v/>
      </c>
      <c r="P318" s="1" t="str">
        <f>IF(ISBLANK('Aqueous Species Options'!J318), "", 'Aqueous Species Options'!J318)</f>
        <v/>
      </c>
      <c r="Q318" s="184" t="str">
        <f>IF(ISBLANK('Aqueous Species Options'!T318), "", 'Aqueous Species Options'!T318)</f>
        <v/>
      </c>
    </row>
    <row r="319" spans="2:17" ht="16" x14ac:dyDescent="0.2">
      <c r="B319" s="9" t="str">
        <f>IF(ISBLANK('Aqueous Species Options'!B319), "", 'Aqueous Species Options'!B319)</f>
        <v/>
      </c>
      <c r="C319" s="9" t="str">
        <f>IF(ISBLANK('Aqueous Species Options'!C319), "", 'Aqueous Species Options'!C319)</f>
        <v/>
      </c>
      <c r="D319" s="2" t="str">
        <f>IF(ISBLANK('Aqueous Species Options'!D319), "", 'Aqueous Species Options'!D319)</f>
        <v/>
      </c>
      <c r="E319" s="1" t="str">
        <f>IF(ISBLANK('Aqueous Species Options'!E319), "", 'Aqueous Species Options'!E319)</f>
        <v/>
      </c>
      <c r="F319" s="139" t="str">
        <f>IF(ISBLANK('Aqueous Species Options'!F319), "", 'Aqueous Species Options'!F319)</f>
        <v/>
      </c>
      <c r="G319" s="29" t="str">
        <f>IF(ISBLANK('Aqueous Species Options'!B319), "", IF('Aqueous Species Options'!L319 = 1, IF(ISBLANK('Aqueous Species Options'!G319), "", 'Aqueous Species Options'!G319), ('Aqueous Species Table'!I319/10 + ('Aqueous Species Table'!J319*100)/(Calculations!$C$12+Calculations!$C$9) + ('Aqueous Species Table'!K319 + ('Aqueous Species Table'!L319*10000)/(Calculations!$C$12+Calculations!$C$9))*(1/(Calculations!$C$8-Calculations!$C$13)) - 'Aqueous Species Table'!O319*100000*0.0000005903)*41.8393))</f>
        <v/>
      </c>
      <c r="H319" s="29" t="str">
        <f>IF(ISBLANK('Aqueous Species Options'!B319), "", IF('Aqueous Species Options'!L319 = 1, IF(ISBLANK('Aqueous Species Options'!H319), "", 'Aqueous Species Options'!H319), 'Aqueous Species Table'!M319 + 'Aqueous Species Table'!N319*10000*(1/(Calculations!$C$8-Calculations!$C$13))^2 + 'Aqueous Species Table'!O319*100000*Calculations!$C$8*Calculations!$C$7))</f>
        <v/>
      </c>
      <c r="I319" s="42" t="str">
        <f>IF(ISBLANK('Aqueous Species Options'!B319), "", IF('Aqueous Species Options'!L319=0, 'Aqueous Species Options'!N319, IF(OR(ISBLANK('Aqueous Species Options'!G319),'Aqueous Species Table'!O319="", 'Aqueous Species Table'!P319=""), "", IF('Aqueous Species Options'!B319="H+", 0, (CHOOSE('Aqueous Species Options'!M319+1,'Aqueous Species Options'!$V$4*ABS('Aqueous Species Table'!P319)+'Aqueous Species Options'!$W$4,'Aqueous Species Options'!$Z$4)*('Aqueous Species Options'!G319 + 'Aqueous Species Table'!O319*100000*0.0000005903*41.8393) + CHOOSE('Aqueous Species Options'!M319+1,'Aqueous Species Options'!$X$4*ABS('Aqueous Species Table'!P319)+'Aqueous Species Options'!$Y$4,'Aqueous Species Options'!$AA$4))*10 ) ) ) )</f>
        <v/>
      </c>
      <c r="J319" s="42" t="str">
        <f>IF(ISBLANK('Aqueous Species Options'!B319), "", IF('Aqueous Species Options'!L319 = 0, 'Aqueous Species Options'!O319, IF('Aqueous Species Table'!I319="", "", IF('Aqueous Species Options'!B319="H+", 0, ((1.11*('Aqueous Species Options'!G319 + 'Aqueous Species Table'!O319*100000*0.0000005903*41.8393)+1.8)/41.8393 - 'Aqueous Species Table'!I319/10)*26.01 ) ) ) )</f>
        <v/>
      </c>
      <c r="K319" s="42" t="str">
        <f>IF(ISBLANK('Aqueous Species Options'!B319), "", IF('Aqueous Species Options'!L319 = 0, 'Aqueous Species Options'!P319, IF('Aqueous Species Table'!I319="", "", IF('Aqueous Species Options'!B319="H+", 0, ('Aqueous Species Options'!G319/41.8393 + 'Aqueous Species Table'!O319*100000*0.0000005903 - 'Aqueous Species Table'!I319/10 - 'Aqueous Species Table'!J319*100/2601)*(298.15-228) - ('Aqueous Species Table'!L319*10000/2601) ) ) ) )</f>
        <v/>
      </c>
      <c r="L319" s="42" t="str">
        <f>IF(ISBLANK('Aqueous Species Options'!B319), "", IF('Aqueous Species Options'!L319 = 0, 'Aqueous Species Options'!Q319, IF('Aqueous Species Table'!J319="", "", IF('Aqueous Species Options'!B319="H+", 0, (-4.134*'Aqueous Species Table'!J319*100 - 27790)*0.0001) ) ) )</f>
        <v/>
      </c>
      <c r="M319" s="42" t="str">
        <f>IF(ISBLANK('Aqueous Species Options'!B319), "", IF('Aqueous Species Options'!L319=0, 'Aqueous Species Options'!R319, IF('Aqueous Species Table'!N319="", "", IF('Aqueous Species Options'!B319="H+", 0, 'Aqueous Species Options'!H319 - 'Aqueous Species Table'!O319*100000*(-0.000000309)*298.15 - 'Aqueous Species Table'!N319*10000/(298.15-228)^2 ) ) ) )</f>
        <v/>
      </c>
      <c r="N319" s="42" t="str">
        <f>IF(ISBLANK('Aqueous Species Options'!B319), "", IF('Aqueous Species Options'!L319=0, 'Aqueous Species Options'!S319, IF(OR(ISBLANK('Aqueous Species Options'!H319), 'Aqueous Species Table'!O319=""), "", IF('Aqueous Species Options'!B319="H+", 0, 0.2037*'Aqueous Species Options'!H319 - 3.0346) ) ) )</f>
        <v/>
      </c>
      <c r="O319" s="42" t="str">
        <f>IF(ISBLANK('Aqueous Species Options'!B319), "", IF('Aqueous Species Options'!K319=0, 'Aqueous Species Options'!I319, IF(OR('Aqueous Species Options'!J319&gt;4,'Aqueous Species Options'!J319&lt;-4), "", IF('Aqueous Species Options'!B319="H+", 0, IF('Aqueous Species Options'!J319=0, -0.038, IF(ISBLANK('Aqueous Species Options'!F319), "", -1514.4*'Aqueous Species Options'!F319*0.00001 + SUM(({4,3,2,1,-1,-2,-3,-4}='Aqueous Species Options'!J319)*{2.1764,1.5793,1.0579,0.5517,1.6291,3.2127,4.8115,6.486}) ) ) ) ) ) )</f>
        <v/>
      </c>
      <c r="P319" s="1" t="str">
        <f>IF(ISBLANK('Aqueous Species Options'!J319), "", 'Aqueous Species Options'!J319)</f>
        <v/>
      </c>
      <c r="Q319" s="184" t="str">
        <f>IF(ISBLANK('Aqueous Species Options'!T319), "", 'Aqueous Species Options'!T319)</f>
        <v/>
      </c>
    </row>
    <row r="320" spans="2:17" ht="16" x14ac:dyDescent="0.2">
      <c r="B320" s="9" t="str">
        <f>IF(ISBLANK('Aqueous Species Options'!B320), "", 'Aqueous Species Options'!B320)</f>
        <v/>
      </c>
      <c r="C320" s="9" t="str">
        <f>IF(ISBLANK('Aqueous Species Options'!C320), "", 'Aqueous Species Options'!C320)</f>
        <v/>
      </c>
      <c r="D320" s="2" t="str">
        <f>IF(ISBLANK('Aqueous Species Options'!D320), "", 'Aqueous Species Options'!D320)</f>
        <v/>
      </c>
      <c r="E320" s="1" t="str">
        <f>IF(ISBLANK('Aqueous Species Options'!E320), "", 'Aqueous Species Options'!E320)</f>
        <v/>
      </c>
      <c r="F320" s="139" t="str">
        <f>IF(ISBLANK('Aqueous Species Options'!F320), "", 'Aqueous Species Options'!F320)</f>
        <v/>
      </c>
      <c r="G320" s="29" t="str">
        <f>IF(ISBLANK('Aqueous Species Options'!B320), "", IF('Aqueous Species Options'!L320 = 1, IF(ISBLANK('Aqueous Species Options'!G320), "", 'Aqueous Species Options'!G320), ('Aqueous Species Table'!I320/10 + ('Aqueous Species Table'!J320*100)/(Calculations!$C$12+Calculations!$C$9) + ('Aqueous Species Table'!K320 + ('Aqueous Species Table'!L320*10000)/(Calculations!$C$12+Calculations!$C$9))*(1/(Calculations!$C$8-Calculations!$C$13)) - 'Aqueous Species Table'!O320*100000*0.0000005903)*41.8393))</f>
        <v/>
      </c>
      <c r="H320" s="29" t="str">
        <f>IF(ISBLANK('Aqueous Species Options'!B320), "", IF('Aqueous Species Options'!L320 = 1, IF(ISBLANK('Aqueous Species Options'!H320), "", 'Aqueous Species Options'!H320), 'Aqueous Species Table'!M320 + 'Aqueous Species Table'!N320*10000*(1/(Calculations!$C$8-Calculations!$C$13))^2 + 'Aqueous Species Table'!O320*100000*Calculations!$C$8*Calculations!$C$7))</f>
        <v/>
      </c>
      <c r="I320" s="42" t="str">
        <f>IF(ISBLANK('Aqueous Species Options'!B320), "", IF('Aqueous Species Options'!L320=0, 'Aqueous Species Options'!N320, IF(OR(ISBLANK('Aqueous Species Options'!G320),'Aqueous Species Table'!O320="", 'Aqueous Species Table'!P320=""), "", IF('Aqueous Species Options'!B320="H+", 0, (CHOOSE('Aqueous Species Options'!M320+1,'Aqueous Species Options'!$V$4*ABS('Aqueous Species Table'!P320)+'Aqueous Species Options'!$W$4,'Aqueous Species Options'!$Z$4)*('Aqueous Species Options'!G320 + 'Aqueous Species Table'!O320*100000*0.0000005903*41.8393) + CHOOSE('Aqueous Species Options'!M320+1,'Aqueous Species Options'!$X$4*ABS('Aqueous Species Table'!P320)+'Aqueous Species Options'!$Y$4,'Aqueous Species Options'!$AA$4))*10 ) ) ) )</f>
        <v/>
      </c>
      <c r="J320" s="42" t="str">
        <f>IF(ISBLANK('Aqueous Species Options'!B320), "", IF('Aqueous Species Options'!L320 = 0, 'Aqueous Species Options'!O320, IF('Aqueous Species Table'!I320="", "", IF('Aqueous Species Options'!B320="H+", 0, ((1.11*('Aqueous Species Options'!G320 + 'Aqueous Species Table'!O320*100000*0.0000005903*41.8393)+1.8)/41.8393 - 'Aqueous Species Table'!I320/10)*26.01 ) ) ) )</f>
        <v/>
      </c>
      <c r="K320" s="42" t="str">
        <f>IF(ISBLANK('Aqueous Species Options'!B320), "", IF('Aqueous Species Options'!L320 = 0, 'Aqueous Species Options'!P320, IF('Aqueous Species Table'!I320="", "", IF('Aqueous Species Options'!B320="H+", 0, ('Aqueous Species Options'!G320/41.8393 + 'Aqueous Species Table'!O320*100000*0.0000005903 - 'Aqueous Species Table'!I320/10 - 'Aqueous Species Table'!J320*100/2601)*(298.15-228) - ('Aqueous Species Table'!L320*10000/2601) ) ) ) )</f>
        <v/>
      </c>
      <c r="L320" s="42" t="str">
        <f>IF(ISBLANK('Aqueous Species Options'!B320), "", IF('Aqueous Species Options'!L320 = 0, 'Aqueous Species Options'!Q320, IF('Aqueous Species Table'!J320="", "", IF('Aqueous Species Options'!B320="H+", 0, (-4.134*'Aqueous Species Table'!J320*100 - 27790)*0.0001) ) ) )</f>
        <v/>
      </c>
      <c r="M320" s="42" t="str">
        <f>IF(ISBLANK('Aqueous Species Options'!B320), "", IF('Aqueous Species Options'!L320=0, 'Aqueous Species Options'!R320, IF('Aqueous Species Table'!N320="", "", IF('Aqueous Species Options'!B320="H+", 0, 'Aqueous Species Options'!H320 - 'Aqueous Species Table'!O320*100000*(-0.000000309)*298.15 - 'Aqueous Species Table'!N320*10000/(298.15-228)^2 ) ) ) )</f>
        <v/>
      </c>
      <c r="N320" s="42" t="str">
        <f>IF(ISBLANK('Aqueous Species Options'!B320), "", IF('Aqueous Species Options'!L320=0, 'Aqueous Species Options'!S320, IF(OR(ISBLANK('Aqueous Species Options'!H320), 'Aqueous Species Table'!O320=""), "", IF('Aqueous Species Options'!B320="H+", 0, 0.2037*'Aqueous Species Options'!H320 - 3.0346) ) ) )</f>
        <v/>
      </c>
      <c r="O320" s="42" t="str">
        <f>IF(ISBLANK('Aqueous Species Options'!B320), "", IF('Aqueous Species Options'!K320=0, 'Aqueous Species Options'!I320, IF(OR('Aqueous Species Options'!J320&gt;4,'Aqueous Species Options'!J320&lt;-4), "", IF('Aqueous Species Options'!B320="H+", 0, IF('Aqueous Species Options'!J320=0, -0.038, IF(ISBLANK('Aqueous Species Options'!F320), "", -1514.4*'Aqueous Species Options'!F320*0.00001 + SUM(({4,3,2,1,-1,-2,-3,-4}='Aqueous Species Options'!J320)*{2.1764,1.5793,1.0579,0.5517,1.6291,3.2127,4.8115,6.486}) ) ) ) ) ) )</f>
        <v/>
      </c>
      <c r="P320" s="1" t="str">
        <f>IF(ISBLANK('Aqueous Species Options'!J320), "", 'Aqueous Species Options'!J320)</f>
        <v/>
      </c>
      <c r="Q320" s="184" t="str">
        <f>IF(ISBLANK('Aqueous Species Options'!T320), "", 'Aqueous Species Options'!T320)</f>
        <v/>
      </c>
    </row>
    <row r="321" spans="2:17" ht="16" x14ac:dyDescent="0.2">
      <c r="B321" s="9" t="str">
        <f>IF(ISBLANK('Aqueous Species Options'!B321), "", 'Aqueous Species Options'!B321)</f>
        <v/>
      </c>
      <c r="C321" s="9" t="str">
        <f>IF(ISBLANK('Aqueous Species Options'!C321), "", 'Aqueous Species Options'!C321)</f>
        <v/>
      </c>
      <c r="D321" s="2" t="str">
        <f>IF(ISBLANK('Aqueous Species Options'!D321), "", 'Aqueous Species Options'!D321)</f>
        <v/>
      </c>
      <c r="E321" s="1" t="str">
        <f>IF(ISBLANK('Aqueous Species Options'!E321), "", 'Aqueous Species Options'!E321)</f>
        <v/>
      </c>
      <c r="F321" s="139" t="str">
        <f>IF(ISBLANK('Aqueous Species Options'!F321), "", 'Aqueous Species Options'!F321)</f>
        <v/>
      </c>
      <c r="G321" s="29" t="str">
        <f>IF(ISBLANK('Aqueous Species Options'!B321), "", IF('Aqueous Species Options'!L321 = 1, IF(ISBLANK('Aqueous Species Options'!G321), "", 'Aqueous Species Options'!G321), ('Aqueous Species Table'!I321/10 + ('Aqueous Species Table'!J321*100)/(Calculations!$C$12+Calculations!$C$9) + ('Aqueous Species Table'!K321 + ('Aqueous Species Table'!L321*10000)/(Calculations!$C$12+Calculations!$C$9))*(1/(Calculations!$C$8-Calculations!$C$13)) - 'Aqueous Species Table'!O321*100000*0.0000005903)*41.8393))</f>
        <v/>
      </c>
      <c r="H321" s="29" t="str">
        <f>IF(ISBLANK('Aqueous Species Options'!B321), "", IF('Aqueous Species Options'!L321 = 1, IF(ISBLANK('Aqueous Species Options'!H321), "", 'Aqueous Species Options'!H321), 'Aqueous Species Table'!M321 + 'Aqueous Species Table'!N321*10000*(1/(Calculations!$C$8-Calculations!$C$13))^2 + 'Aqueous Species Table'!O321*100000*Calculations!$C$8*Calculations!$C$7))</f>
        <v/>
      </c>
      <c r="I321" s="42" t="str">
        <f>IF(ISBLANK('Aqueous Species Options'!B321), "", IF('Aqueous Species Options'!L321=0, 'Aqueous Species Options'!N321, IF(OR(ISBLANK('Aqueous Species Options'!G321),'Aqueous Species Table'!O321="", 'Aqueous Species Table'!P321=""), "", IF('Aqueous Species Options'!B321="H+", 0, (CHOOSE('Aqueous Species Options'!M321+1,'Aqueous Species Options'!$V$4*ABS('Aqueous Species Table'!P321)+'Aqueous Species Options'!$W$4,'Aqueous Species Options'!$Z$4)*('Aqueous Species Options'!G321 + 'Aqueous Species Table'!O321*100000*0.0000005903*41.8393) + CHOOSE('Aqueous Species Options'!M321+1,'Aqueous Species Options'!$X$4*ABS('Aqueous Species Table'!P321)+'Aqueous Species Options'!$Y$4,'Aqueous Species Options'!$AA$4))*10 ) ) ) )</f>
        <v/>
      </c>
      <c r="J321" s="42" t="str">
        <f>IF(ISBLANK('Aqueous Species Options'!B321), "", IF('Aqueous Species Options'!L321 = 0, 'Aqueous Species Options'!O321, IF('Aqueous Species Table'!I321="", "", IF('Aqueous Species Options'!B321="H+", 0, ((1.11*('Aqueous Species Options'!G321 + 'Aqueous Species Table'!O321*100000*0.0000005903*41.8393)+1.8)/41.8393 - 'Aqueous Species Table'!I321/10)*26.01 ) ) ) )</f>
        <v/>
      </c>
      <c r="K321" s="42" t="str">
        <f>IF(ISBLANK('Aqueous Species Options'!B321), "", IF('Aqueous Species Options'!L321 = 0, 'Aqueous Species Options'!P321, IF('Aqueous Species Table'!I321="", "", IF('Aqueous Species Options'!B321="H+", 0, ('Aqueous Species Options'!G321/41.8393 + 'Aqueous Species Table'!O321*100000*0.0000005903 - 'Aqueous Species Table'!I321/10 - 'Aqueous Species Table'!J321*100/2601)*(298.15-228) - ('Aqueous Species Table'!L321*10000/2601) ) ) ) )</f>
        <v/>
      </c>
      <c r="L321" s="42" t="str">
        <f>IF(ISBLANK('Aqueous Species Options'!B321), "", IF('Aqueous Species Options'!L321 = 0, 'Aqueous Species Options'!Q321, IF('Aqueous Species Table'!J321="", "", IF('Aqueous Species Options'!B321="H+", 0, (-4.134*'Aqueous Species Table'!J321*100 - 27790)*0.0001) ) ) )</f>
        <v/>
      </c>
      <c r="M321" s="42" t="str">
        <f>IF(ISBLANK('Aqueous Species Options'!B321), "", IF('Aqueous Species Options'!L321=0, 'Aqueous Species Options'!R321, IF('Aqueous Species Table'!N321="", "", IF('Aqueous Species Options'!B321="H+", 0, 'Aqueous Species Options'!H321 - 'Aqueous Species Table'!O321*100000*(-0.000000309)*298.15 - 'Aqueous Species Table'!N321*10000/(298.15-228)^2 ) ) ) )</f>
        <v/>
      </c>
      <c r="N321" s="42" t="str">
        <f>IF(ISBLANK('Aqueous Species Options'!B321), "", IF('Aqueous Species Options'!L321=0, 'Aqueous Species Options'!S321, IF(OR(ISBLANK('Aqueous Species Options'!H321), 'Aqueous Species Table'!O321=""), "", IF('Aqueous Species Options'!B321="H+", 0, 0.2037*'Aqueous Species Options'!H321 - 3.0346) ) ) )</f>
        <v/>
      </c>
      <c r="O321" s="42" t="str">
        <f>IF(ISBLANK('Aqueous Species Options'!B321), "", IF('Aqueous Species Options'!K321=0, 'Aqueous Species Options'!I321, IF(OR('Aqueous Species Options'!J321&gt;4,'Aqueous Species Options'!J321&lt;-4), "", IF('Aqueous Species Options'!B321="H+", 0, IF('Aqueous Species Options'!J321=0, -0.038, IF(ISBLANK('Aqueous Species Options'!F321), "", -1514.4*'Aqueous Species Options'!F321*0.00001 + SUM(({4,3,2,1,-1,-2,-3,-4}='Aqueous Species Options'!J321)*{2.1764,1.5793,1.0579,0.5517,1.6291,3.2127,4.8115,6.486}) ) ) ) ) ) )</f>
        <v/>
      </c>
      <c r="P321" s="1" t="str">
        <f>IF(ISBLANK('Aqueous Species Options'!J321), "", 'Aqueous Species Options'!J321)</f>
        <v/>
      </c>
      <c r="Q321" s="184" t="str">
        <f>IF(ISBLANK('Aqueous Species Options'!T321), "", 'Aqueous Species Options'!T321)</f>
        <v/>
      </c>
    </row>
    <row r="322" spans="2:17" ht="16" x14ac:dyDescent="0.2">
      <c r="B322" s="9" t="str">
        <f>IF(ISBLANK('Aqueous Species Options'!B322), "", 'Aqueous Species Options'!B322)</f>
        <v/>
      </c>
      <c r="C322" s="9" t="str">
        <f>IF(ISBLANK('Aqueous Species Options'!C322), "", 'Aqueous Species Options'!C322)</f>
        <v/>
      </c>
      <c r="D322" s="2" t="str">
        <f>IF(ISBLANK('Aqueous Species Options'!D322), "", 'Aqueous Species Options'!D322)</f>
        <v/>
      </c>
      <c r="E322" s="1" t="str">
        <f>IF(ISBLANK('Aqueous Species Options'!E322), "", 'Aqueous Species Options'!E322)</f>
        <v/>
      </c>
      <c r="F322" s="139" t="str">
        <f>IF(ISBLANK('Aqueous Species Options'!F322), "", 'Aqueous Species Options'!F322)</f>
        <v/>
      </c>
      <c r="G322" s="29" t="str">
        <f>IF(ISBLANK('Aqueous Species Options'!B322), "", IF('Aqueous Species Options'!L322 = 1, IF(ISBLANK('Aqueous Species Options'!G322), "", 'Aqueous Species Options'!G322), ('Aqueous Species Table'!I322/10 + ('Aqueous Species Table'!J322*100)/(Calculations!$C$12+Calculations!$C$9) + ('Aqueous Species Table'!K322 + ('Aqueous Species Table'!L322*10000)/(Calculations!$C$12+Calculations!$C$9))*(1/(Calculations!$C$8-Calculations!$C$13)) - 'Aqueous Species Table'!O322*100000*0.0000005903)*41.8393))</f>
        <v/>
      </c>
      <c r="H322" s="29" t="str">
        <f>IF(ISBLANK('Aqueous Species Options'!B322), "", IF('Aqueous Species Options'!L322 = 1, IF(ISBLANK('Aqueous Species Options'!H322), "", 'Aqueous Species Options'!H322), 'Aqueous Species Table'!M322 + 'Aqueous Species Table'!N322*10000*(1/(Calculations!$C$8-Calculations!$C$13))^2 + 'Aqueous Species Table'!O322*100000*Calculations!$C$8*Calculations!$C$7))</f>
        <v/>
      </c>
      <c r="I322" s="42" t="str">
        <f>IF(ISBLANK('Aqueous Species Options'!B322), "", IF('Aqueous Species Options'!L322=0, 'Aqueous Species Options'!N322, IF(OR(ISBLANK('Aqueous Species Options'!G322),'Aqueous Species Table'!O322="", 'Aqueous Species Table'!P322=""), "", IF('Aqueous Species Options'!B322="H+", 0, (CHOOSE('Aqueous Species Options'!M322+1,'Aqueous Species Options'!$V$4*ABS('Aqueous Species Table'!P322)+'Aqueous Species Options'!$W$4,'Aqueous Species Options'!$Z$4)*('Aqueous Species Options'!G322 + 'Aqueous Species Table'!O322*100000*0.0000005903*41.8393) + CHOOSE('Aqueous Species Options'!M322+1,'Aqueous Species Options'!$X$4*ABS('Aqueous Species Table'!P322)+'Aqueous Species Options'!$Y$4,'Aqueous Species Options'!$AA$4))*10 ) ) ) )</f>
        <v/>
      </c>
      <c r="J322" s="42" t="str">
        <f>IF(ISBLANK('Aqueous Species Options'!B322), "", IF('Aqueous Species Options'!L322 = 0, 'Aqueous Species Options'!O322, IF('Aqueous Species Table'!I322="", "", IF('Aqueous Species Options'!B322="H+", 0, ((1.11*('Aqueous Species Options'!G322 + 'Aqueous Species Table'!O322*100000*0.0000005903*41.8393)+1.8)/41.8393 - 'Aqueous Species Table'!I322/10)*26.01 ) ) ) )</f>
        <v/>
      </c>
      <c r="K322" s="42" t="str">
        <f>IF(ISBLANK('Aqueous Species Options'!B322), "", IF('Aqueous Species Options'!L322 = 0, 'Aqueous Species Options'!P322, IF('Aqueous Species Table'!I322="", "", IF('Aqueous Species Options'!B322="H+", 0, ('Aqueous Species Options'!G322/41.8393 + 'Aqueous Species Table'!O322*100000*0.0000005903 - 'Aqueous Species Table'!I322/10 - 'Aqueous Species Table'!J322*100/2601)*(298.15-228) - ('Aqueous Species Table'!L322*10000/2601) ) ) ) )</f>
        <v/>
      </c>
      <c r="L322" s="42" t="str">
        <f>IF(ISBLANK('Aqueous Species Options'!B322), "", IF('Aqueous Species Options'!L322 = 0, 'Aqueous Species Options'!Q322, IF('Aqueous Species Table'!J322="", "", IF('Aqueous Species Options'!B322="H+", 0, (-4.134*'Aqueous Species Table'!J322*100 - 27790)*0.0001) ) ) )</f>
        <v/>
      </c>
      <c r="M322" s="42" t="str">
        <f>IF(ISBLANK('Aqueous Species Options'!B322), "", IF('Aqueous Species Options'!L322=0, 'Aqueous Species Options'!R322, IF('Aqueous Species Table'!N322="", "", IF('Aqueous Species Options'!B322="H+", 0, 'Aqueous Species Options'!H322 - 'Aqueous Species Table'!O322*100000*(-0.000000309)*298.15 - 'Aqueous Species Table'!N322*10000/(298.15-228)^2 ) ) ) )</f>
        <v/>
      </c>
      <c r="N322" s="42" t="str">
        <f>IF(ISBLANK('Aqueous Species Options'!B322), "", IF('Aqueous Species Options'!L322=0, 'Aqueous Species Options'!S322, IF(OR(ISBLANK('Aqueous Species Options'!H322), 'Aqueous Species Table'!O322=""), "", IF('Aqueous Species Options'!B322="H+", 0, 0.2037*'Aqueous Species Options'!H322 - 3.0346) ) ) )</f>
        <v/>
      </c>
      <c r="O322" s="42" t="str">
        <f>IF(ISBLANK('Aqueous Species Options'!B322), "", IF('Aqueous Species Options'!K322=0, 'Aqueous Species Options'!I322, IF(OR('Aqueous Species Options'!J322&gt;4,'Aqueous Species Options'!J322&lt;-4), "", IF('Aqueous Species Options'!B322="H+", 0, IF('Aqueous Species Options'!J322=0, -0.038, IF(ISBLANK('Aqueous Species Options'!F322), "", -1514.4*'Aqueous Species Options'!F322*0.00001 + SUM(({4,3,2,1,-1,-2,-3,-4}='Aqueous Species Options'!J322)*{2.1764,1.5793,1.0579,0.5517,1.6291,3.2127,4.8115,6.486}) ) ) ) ) ) )</f>
        <v/>
      </c>
      <c r="P322" s="1" t="str">
        <f>IF(ISBLANK('Aqueous Species Options'!J322), "", 'Aqueous Species Options'!J322)</f>
        <v/>
      </c>
      <c r="Q322" s="184" t="str">
        <f>IF(ISBLANK('Aqueous Species Options'!T322), "", 'Aqueous Species Options'!T322)</f>
        <v/>
      </c>
    </row>
    <row r="323" spans="2:17" ht="16" x14ac:dyDescent="0.2">
      <c r="B323" s="9" t="str">
        <f>IF(ISBLANK('Aqueous Species Options'!B323), "", 'Aqueous Species Options'!B323)</f>
        <v/>
      </c>
      <c r="C323" s="9" t="str">
        <f>IF(ISBLANK('Aqueous Species Options'!C323), "", 'Aqueous Species Options'!C323)</f>
        <v/>
      </c>
      <c r="D323" s="2" t="str">
        <f>IF(ISBLANK('Aqueous Species Options'!D323), "", 'Aqueous Species Options'!D323)</f>
        <v/>
      </c>
      <c r="E323" s="1" t="str">
        <f>IF(ISBLANK('Aqueous Species Options'!E323), "", 'Aqueous Species Options'!E323)</f>
        <v/>
      </c>
      <c r="F323" s="139" t="str">
        <f>IF(ISBLANK('Aqueous Species Options'!F323), "", 'Aqueous Species Options'!F323)</f>
        <v/>
      </c>
      <c r="G323" s="29" t="str">
        <f>IF(ISBLANK('Aqueous Species Options'!B323), "", IF('Aqueous Species Options'!L323 = 1, IF(ISBLANK('Aqueous Species Options'!G323), "", 'Aqueous Species Options'!G323), ('Aqueous Species Table'!I323/10 + ('Aqueous Species Table'!J323*100)/(Calculations!$C$12+Calculations!$C$9) + ('Aqueous Species Table'!K323 + ('Aqueous Species Table'!L323*10000)/(Calculations!$C$12+Calculations!$C$9))*(1/(Calculations!$C$8-Calculations!$C$13)) - 'Aqueous Species Table'!O323*100000*0.0000005903)*41.8393))</f>
        <v/>
      </c>
      <c r="H323" s="29" t="str">
        <f>IF(ISBLANK('Aqueous Species Options'!B323), "", IF('Aqueous Species Options'!L323 = 1, IF(ISBLANK('Aqueous Species Options'!H323), "", 'Aqueous Species Options'!H323), 'Aqueous Species Table'!M323 + 'Aqueous Species Table'!N323*10000*(1/(Calculations!$C$8-Calculations!$C$13))^2 + 'Aqueous Species Table'!O323*100000*Calculations!$C$8*Calculations!$C$7))</f>
        <v/>
      </c>
      <c r="I323" s="42" t="str">
        <f>IF(ISBLANK('Aqueous Species Options'!B323), "", IF('Aqueous Species Options'!L323=0, 'Aqueous Species Options'!N323, IF(OR(ISBLANK('Aqueous Species Options'!G323),'Aqueous Species Table'!O323="", 'Aqueous Species Table'!P323=""), "", IF('Aqueous Species Options'!B323="H+", 0, (CHOOSE('Aqueous Species Options'!M323+1,'Aqueous Species Options'!$V$4*ABS('Aqueous Species Table'!P323)+'Aqueous Species Options'!$W$4,'Aqueous Species Options'!$Z$4)*('Aqueous Species Options'!G323 + 'Aqueous Species Table'!O323*100000*0.0000005903*41.8393) + CHOOSE('Aqueous Species Options'!M323+1,'Aqueous Species Options'!$X$4*ABS('Aqueous Species Table'!P323)+'Aqueous Species Options'!$Y$4,'Aqueous Species Options'!$AA$4))*10 ) ) ) )</f>
        <v/>
      </c>
      <c r="J323" s="42" t="str">
        <f>IF(ISBLANK('Aqueous Species Options'!B323), "", IF('Aqueous Species Options'!L323 = 0, 'Aqueous Species Options'!O323, IF('Aqueous Species Table'!I323="", "", IF('Aqueous Species Options'!B323="H+", 0, ((1.11*('Aqueous Species Options'!G323 + 'Aqueous Species Table'!O323*100000*0.0000005903*41.8393)+1.8)/41.8393 - 'Aqueous Species Table'!I323/10)*26.01 ) ) ) )</f>
        <v/>
      </c>
      <c r="K323" s="42" t="str">
        <f>IF(ISBLANK('Aqueous Species Options'!B323), "", IF('Aqueous Species Options'!L323 = 0, 'Aqueous Species Options'!P323, IF('Aqueous Species Table'!I323="", "", IF('Aqueous Species Options'!B323="H+", 0, ('Aqueous Species Options'!G323/41.8393 + 'Aqueous Species Table'!O323*100000*0.0000005903 - 'Aqueous Species Table'!I323/10 - 'Aqueous Species Table'!J323*100/2601)*(298.15-228) - ('Aqueous Species Table'!L323*10000/2601) ) ) ) )</f>
        <v/>
      </c>
      <c r="L323" s="42" t="str">
        <f>IF(ISBLANK('Aqueous Species Options'!B323), "", IF('Aqueous Species Options'!L323 = 0, 'Aqueous Species Options'!Q323, IF('Aqueous Species Table'!J323="", "", IF('Aqueous Species Options'!B323="H+", 0, (-4.134*'Aqueous Species Table'!J323*100 - 27790)*0.0001) ) ) )</f>
        <v/>
      </c>
      <c r="M323" s="42" t="str">
        <f>IF(ISBLANK('Aqueous Species Options'!B323), "", IF('Aqueous Species Options'!L323=0, 'Aqueous Species Options'!R323, IF('Aqueous Species Table'!N323="", "", IF('Aqueous Species Options'!B323="H+", 0, 'Aqueous Species Options'!H323 - 'Aqueous Species Table'!O323*100000*(-0.000000309)*298.15 - 'Aqueous Species Table'!N323*10000/(298.15-228)^2 ) ) ) )</f>
        <v/>
      </c>
      <c r="N323" s="42" t="str">
        <f>IF(ISBLANK('Aqueous Species Options'!B323), "", IF('Aqueous Species Options'!L323=0, 'Aqueous Species Options'!S323, IF(OR(ISBLANK('Aqueous Species Options'!H323), 'Aqueous Species Table'!O323=""), "", IF('Aqueous Species Options'!B323="H+", 0, 0.2037*'Aqueous Species Options'!H323 - 3.0346) ) ) )</f>
        <v/>
      </c>
      <c r="O323" s="42" t="str">
        <f>IF(ISBLANK('Aqueous Species Options'!B323), "", IF('Aqueous Species Options'!K323=0, 'Aqueous Species Options'!I323, IF(OR('Aqueous Species Options'!J323&gt;4,'Aqueous Species Options'!J323&lt;-4), "", IF('Aqueous Species Options'!B323="H+", 0, IF('Aqueous Species Options'!J323=0, -0.038, IF(ISBLANK('Aqueous Species Options'!F323), "", -1514.4*'Aqueous Species Options'!F323*0.00001 + SUM(({4,3,2,1,-1,-2,-3,-4}='Aqueous Species Options'!J323)*{2.1764,1.5793,1.0579,0.5517,1.6291,3.2127,4.8115,6.486}) ) ) ) ) ) )</f>
        <v/>
      </c>
      <c r="P323" s="1" t="str">
        <f>IF(ISBLANK('Aqueous Species Options'!J323), "", 'Aqueous Species Options'!J323)</f>
        <v/>
      </c>
      <c r="Q323" s="184" t="str">
        <f>IF(ISBLANK('Aqueous Species Options'!T323), "", 'Aqueous Species Options'!T323)</f>
        <v/>
      </c>
    </row>
    <row r="324" spans="2:17" ht="16" x14ac:dyDescent="0.2">
      <c r="B324" s="9" t="str">
        <f>IF(ISBLANK('Aqueous Species Options'!B324), "", 'Aqueous Species Options'!B324)</f>
        <v/>
      </c>
      <c r="C324" s="9" t="str">
        <f>IF(ISBLANK('Aqueous Species Options'!C324), "", 'Aqueous Species Options'!C324)</f>
        <v/>
      </c>
      <c r="D324" s="2" t="str">
        <f>IF(ISBLANK('Aqueous Species Options'!D324), "", 'Aqueous Species Options'!D324)</f>
        <v/>
      </c>
      <c r="E324" s="1" t="str">
        <f>IF(ISBLANK('Aqueous Species Options'!E324), "", 'Aqueous Species Options'!E324)</f>
        <v/>
      </c>
      <c r="F324" s="139" t="str">
        <f>IF(ISBLANK('Aqueous Species Options'!F324), "", 'Aqueous Species Options'!F324)</f>
        <v/>
      </c>
      <c r="G324" s="29" t="str">
        <f>IF(ISBLANK('Aqueous Species Options'!B324), "", IF('Aqueous Species Options'!L324 = 1, IF(ISBLANK('Aqueous Species Options'!G324), "", 'Aqueous Species Options'!G324), ('Aqueous Species Table'!I324/10 + ('Aqueous Species Table'!J324*100)/(Calculations!$C$12+Calculations!$C$9) + ('Aqueous Species Table'!K324 + ('Aqueous Species Table'!L324*10000)/(Calculations!$C$12+Calculations!$C$9))*(1/(Calculations!$C$8-Calculations!$C$13)) - 'Aqueous Species Table'!O324*100000*0.0000005903)*41.8393))</f>
        <v/>
      </c>
      <c r="H324" s="29" t="str">
        <f>IF(ISBLANK('Aqueous Species Options'!B324), "", IF('Aqueous Species Options'!L324 = 1, IF(ISBLANK('Aqueous Species Options'!H324), "", 'Aqueous Species Options'!H324), 'Aqueous Species Table'!M324 + 'Aqueous Species Table'!N324*10000*(1/(Calculations!$C$8-Calculations!$C$13))^2 + 'Aqueous Species Table'!O324*100000*Calculations!$C$8*Calculations!$C$7))</f>
        <v/>
      </c>
      <c r="I324" s="42" t="str">
        <f>IF(ISBLANK('Aqueous Species Options'!B324), "", IF('Aqueous Species Options'!L324=0, 'Aqueous Species Options'!N324, IF(OR(ISBLANK('Aqueous Species Options'!G324),'Aqueous Species Table'!O324="", 'Aqueous Species Table'!P324=""), "", IF('Aqueous Species Options'!B324="H+", 0, (CHOOSE('Aqueous Species Options'!M324+1,'Aqueous Species Options'!$V$4*ABS('Aqueous Species Table'!P324)+'Aqueous Species Options'!$W$4,'Aqueous Species Options'!$Z$4)*('Aqueous Species Options'!G324 + 'Aqueous Species Table'!O324*100000*0.0000005903*41.8393) + CHOOSE('Aqueous Species Options'!M324+1,'Aqueous Species Options'!$X$4*ABS('Aqueous Species Table'!P324)+'Aqueous Species Options'!$Y$4,'Aqueous Species Options'!$AA$4))*10 ) ) ) )</f>
        <v/>
      </c>
      <c r="J324" s="42" t="str">
        <f>IF(ISBLANK('Aqueous Species Options'!B324), "", IF('Aqueous Species Options'!L324 = 0, 'Aqueous Species Options'!O324, IF('Aqueous Species Table'!I324="", "", IF('Aqueous Species Options'!B324="H+", 0, ((1.11*('Aqueous Species Options'!G324 + 'Aqueous Species Table'!O324*100000*0.0000005903*41.8393)+1.8)/41.8393 - 'Aqueous Species Table'!I324/10)*26.01 ) ) ) )</f>
        <v/>
      </c>
      <c r="K324" s="42" t="str">
        <f>IF(ISBLANK('Aqueous Species Options'!B324), "", IF('Aqueous Species Options'!L324 = 0, 'Aqueous Species Options'!P324, IF('Aqueous Species Table'!I324="", "", IF('Aqueous Species Options'!B324="H+", 0, ('Aqueous Species Options'!G324/41.8393 + 'Aqueous Species Table'!O324*100000*0.0000005903 - 'Aqueous Species Table'!I324/10 - 'Aqueous Species Table'!J324*100/2601)*(298.15-228) - ('Aqueous Species Table'!L324*10000/2601) ) ) ) )</f>
        <v/>
      </c>
      <c r="L324" s="42" t="str">
        <f>IF(ISBLANK('Aqueous Species Options'!B324), "", IF('Aqueous Species Options'!L324 = 0, 'Aqueous Species Options'!Q324, IF('Aqueous Species Table'!J324="", "", IF('Aqueous Species Options'!B324="H+", 0, (-4.134*'Aqueous Species Table'!J324*100 - 27790)*0.0001) ) ) )</f>
        <v/>
      </c>
      <c r="M324" s="42" t="str">
        <f>IF(ISBLANK('Aqueous Species Options'!B324), "", IF('Aqueous Species Options'!L324=0, 'Aqueous Species Options'!R324, IF('Aqueous Species Table'!N324="", "", IF('Aqueous Species Options'!B324="H+", 0, 'Aqueous Species Options'!H324 - 'Aqueous Species Table'!O324*100000*(-0.000000309)*298.15 - 'Aqueous Species Table'!N324*10000/(298.15-228)^2 ) ) ) )</f>
        <v/>
      </c>
      <c r="N324" s="42" t="str">
        <f>IF(ISBLANK('Aqueous Species Options'!B324), "", IF('Aqueous Species Options'!L324=0, 'Aqueous Species Options'!S324, IF(OR(ISBLANK('Aqueous Species Options'!H324), 'Aqueous Species Table'!O324=""), "", IF('Aqueous Species Options'!B324="H+", 0, 0.2037*'Aqueous Species Options'!H324 - 3.0346) ) ) )</f>
        <v/>
      </c>
      <c r="O324" s="42" t="str">
        <f>IF(ISBLANK('Aqueous Species Options'!B324), "", IF('Aqueous Species Options'!K324=0, 'Aqueous Species Options'!I324, IF(OR('Aqueous Species Options'!J324&gt;4,'Aqueous Species Options'!J324&lt;-4), "", IF('Aqueous Species Options'!B324="H+", 0, IF('Aqueous Species Options'!J324=0, -0.038, IF(ISBLANK('Aqueous Species Options'!F324), "", -1514.4*'Aqueous Species Options'!F324*0.00001 + SUM(({4,3,2,1,-1,-2,-3,-4}='Aqueous Species Options'!J324)*{2.1764,1.5793,1.0579,0.5517,1.6291,3.2127,4.8115,6.486}) ) ) ) ) ) )</f>
        <v/>
      </c>
      <c r="P324" s="1" t="str">
        <f>IF(ISBLANK('Aqueous Species Options'!J324), "", 'Aqueous Species Options'!J324)</f>
        <v/>
      </c>
      <c r="Q324" s="184" t="str">
        <f>IF(ISBLANK('Aqueous Species Options'!T324), "", 'Aqueous Species Options'!T324)</f>
        <v/>
      </c>
    </row>
    <row r="325" spans="2:17" ht="16" x14ac:dyDescent="0.2">
      <c r="B325" s="9" t="str">
        <f>IF(ISBLANK('Aqueous Species Options'!B325), "", 'Aqueous Species Options'!B325)</f>
        <v/>
      </c>
      <c r="C325" s="9" t="str">
        <f>IF(ISBLANK('Aqueous Species Options'!C325), "", 'Aqueous Species Options'!C325)</f>
        <v/>
      </c>
      <c r="D325" s="2" t="str">
        <f>IF(ISBLANK('Aqueous Species Options'!D325), "", 'Aqueous Species Options'!D325)</f>
        <v/>
      </c>
      <c r="E325" s="1" t="str">
        <f>IF(ISBLANK('Aqueous Species Options'!E325), "", 'Aqueous Species Options'!E325)</f>
        <v/>
      </c>
      <c r="F325" s="139" t="str">
        <f>IF(ISBLANK('Aqueous Species Options'!F325), "", 'Aqueous Species Options'!F325)</f>
        <v/>
      </c>
      <c r="G325" s="29" t="str">
        <f>IF(ISBLANK('Aqueous Species Options'!B325), "", IF('Aqueous Species Options'!L325 = 1, IF(ISBLANK('Aqueous Species Options'!G325), "", 'Aqueous Species Options'!G325), ('Aqueous Species Table'!I325/10 + ('Aqueous Species Table'!J325*100)/(Calculations!$C$12+Calculations!$C$9) + ('Aqueous Species Table'!K325 + ('Aqueous Species Table'!L325*10000)/(Calculations!$C$12+Calculations!$C$9))*(1/(Calculations!$C$8-Calculations!$C$13)) - 'Aqueous Species Table'!O325*100000*0.0000005903)*41.8393))</f>
        <v/>
      </c>
      <c r="H325" s="29" t="str">
        <f>IF(ISBLANK('Aqueous Species Options'!B325), "", IF('Aqueous Species Options'!L325 = 1, IF(ISBLANK('Aqueous Species Options'!H325), "", 'Aqueous Species Options'!H325), 'Aqueous Species Table'!M325 + 'Aqueous Species Table'!N325*10000*(1/(Calculations!$C$8-Calculations!$C$13))^2 + 'Aqueous Species Table'!O325*100000*Calculations!$C$8*Calculations!$C$7))</f>
        <v/>
      </c>
      <c r="I325" s="42" t="str">
        <f>IF(ISBLANK('Aqueous Species Options'!B325), "", IF('Aqueous Species Options'!L325=0, 'Aqueous Species Options'!N325, IF(OR(ISBLANK('Aqueous Species Options'!G325),'Aqueous Species Table'!O325="", 'Aqueous Species Table'!P325=""), "", IF('Aqueous Species Options'!B325="H+", 0, (CHOOSE('Aqueous Species Options'!M325+1,'Aqueous Species Options'!$V$4*ABS('Aqueous Species Table'!P325)+'Aqueous Species Options'!$W$4,'Aqueous Species Options'!$Z$4)*('Aqueous Species Options'!G325 + 'Aqueous Species Table'!O325*100000*0.0000005903*41.8393) + CHOOSE('Aqueous Species Options'!M325+1,'Aqueous Species Options'!$X$4*ABS('Aqueous Species Table'!P325)+'Aqueous Species Options'!$Y$4,'Aqueous Species Options'!$AA$4))*10 ) ) ) )</f>
        <v/>
      </c>
      <c r="J325" s="42" t="str">
        <f>IF(ISBLANK('Aqueous Species Options'!B325), "", IF('Aqueous Species Options'!L325 = 0, 'Aqueous Species Options'!O325, IF('Aqueous Species Table'!I325="", "", IF('Aqueous Species Options'!B325="H+", 0, ((1.11*('Aqueous Species Options'!G325 + 'Aqueous Species Table'!O325*100000*0.0000005903*41.8393)+1.8)/41.8393 - 'Aqueous Species Table'!I325/10)*26.01 ) ) ) )</f>
        <v/>
      </c>
      <c r="K325" s="42" t="str">
        <f>IF(ISBLANK('Aqueous Species Options'!B325), "", IF('Aqueous Species Options'!L325 = 0, 'Aqueous Species Options'!P325, IF('Aqueous Species Table'!I325="", "", IF('Aqueous Species Options'!B325="H+", 0, ('Aqueous Species Options'!G325/41.8393 + 'Aqueous Species Table'!O325*100000*0.0000005903 - 'Aqueous Species Table'!I325/10 - 'Aqueous Species Table'!J325*100/2601)*(298.15-228) - ('Aqueous Species Table'!L325*10000/2601) ) ) ) )</f>
        <v/>
      </c>
      <c r="L325" s="42" t="str">
        <f>IF(ISBLANK('Aqueous Species Options'!B325), "", IF('Aqueous Species Options'!L325 = 0, 'Aqueous Species Options'!Q325, IF('Aqueous Species Table'!J325="", "", IF('Aqueous Species Options'!B325="H+", 0, (-4.134*'Aqueous Species Table'!J325*100 - 27790)*0.0001) ) ) )</f>
        <v/>
      </c>
      <c r="M325" s="42" t="str">
        <f>IF(ISBLANK('Aqueous Species Options'!B325), "", IF('Aqueous Species Options'!L325=0, 'Aqueous Species Options'!R325, IF('Aqueous Species Table'!N325="", "", IF('Aqueous Species Options'!B325="H+", 0, 'Aqueous Species Options'!H325 - 'Aqueous Species Table'!O325*100000*(-0.000000309)*298.15 - 'Aqueous Species Table'!N325*10000/(298.15-228)^2 ) ) ) )</f>
        <v/>
      </c>
      <c r="N325" s="42" t="str">
        <f>IF(ISBLANK('Aqueous Species Options'!B325), "", IF('Aqueous Species Options'!L325=0, 'Aqueous Species Options'!S325, IF(OR(ISBLANK('Aqueous Species Options'!H325), 'Aqueous Species Table'!O325=""), "", IF('Aqueous Species Options'!B325="H+", 0, 0.2037*'Aqueous Species Options'!H325 - 3.0346) ) ) )</f>
        <v/>
      </c>
      <c r="O325" s="42" t="str">
        <f>IF(ISBLANK('Aqueous Species Options'!B325), "", IF('Aqueous Species Options'!K325=0, 'Aqueous Species Options'!I325, IF(OR('Aqueous Species Options'!J325&gt;4,'Aqueous Species Options'!J325&lt;-4), "", IF('Aqueous Species Options'!B325="H+", 0, IF('Aqueous Species Options'!J325=0, -0.038, IF(ISBLANK('Aqueous Species Options'!F325), "", -1514.4*'Aqueous Species Options'!F325*0.00001 + SUM(({4,3,2,1,-1,-2,-3,-4}='Aqueous Species Options'!J325)*{2.1764,1.5793,1.0579,0.5517,1.6291,3.2127,4.8115,6.486}) ) ) ) ) ) )</f>
        <v/>
      </c>
      <c r="P325" s="1" t="str">
        <f>IF(ISBLANK('Aqueous Species Options'!J325), "", 'Aqueous Species Options'!J325)</f>
        <v/>
      </c>
      <c r="Q325" s="184" t="str">
        <f>IF(ISBLANK('Aqueous Species Options'!T325), "", 'Aqueous Species Options'!T325)</f>
        <v/>
      </c>
    </row>
    <row r="326" spans="2:17" ht="16" x14ac:dyDescent="0.2">
      <c r="B326" s="9" t="str">
        <f>IF(ISBLANK('Aqueous Species Options'!B326), "", 'Aqueous Species Options'!B326)</f>
        <v/>
      </c>
      <c r="C326" s="9" t="str">
        <f>IF(ISBLANK('Aqueous Species Options'!C326), "", 'Aqueous Species Options'!C326)</f>
        <v/>
      </c>
      <c r="D326" s="2" t="str">
        <f>IF(ISBLANK('Aqueous Species Options'!D326), "", 'Aqueous Species Options'!D326)</f>
        <v/>
      </c>
      <c r="E326" s="1" t="str">
        <f>IF(ISBLANK('Aqueous Species Options'!E326), "", 'Aqueous Species Options'!E326)</f>
        <v/>
      </c>
      <c r="F326" s="139" t="str">
        <f>IF(ISBLANK('Aqueous Species Options'!F326), "", 'Aqueous Species Options'!F326)</f>
        <v/>
      </c>
      <c r="G326" s="29" t="str">
        <f>IF(ISBLANK('Aqueous Species Options'!B326), "", IF('Aqueous Species Options'!L326 = 1, IF(ISBLANK('Aqueous Species Options'!G326), "", 'Aqueous Species Options'!G326), ('Aqueous Species Table'!I326/10 + ('Aqueous Species Table'!J326*100)/(Calculations!$C$12+Calculations!$C$9) + ('Aqueous Species Table'!K326 + ('Aqueous Species Table'!L326*10000)/(Calculations!$C$12+Calculations!$C$9))*(1/(Calculations!$C$8-Calculations!$C$13)) - 'Aqueous Species Table'!O326*100000*0.0000005903)*41.8393))</f>
        <v/>
      </c>
      <c r="H326" s="29" t="str">
        <f>IF(ISBLANK('Aqueous Species Options'!B326), "", IF('Aqueous Species Options'!L326 = 1, IF(ISBLANK('Aqueous Species Options'!H326), "", 'Aqueous Species Options'!H326), 'Aqueous Species Table'!M326 + 'Aqueous Species Table'!N326*10000*(1/(Calculations!$C$8-Calculations!$C$13))^2 + 'Aqueous Species Table'!O326*100000*Calculations!$C$8*Calculations!$C$7))</f>
        <v/>
      </c>
      <c r="I326" s="42" t="str">
        <f>IF(ISBLANK('Aqueous Species Options'!B326), "", IF('Aqueous Species Options'!L326=0, 'Aqueous Species Options'!N326, IF(OR(ISBLANK('Aqueous Species Options'!G326),'Aqueous Species Table'!O326="", 'Aqueous Species Table'!P326=""), "", IF('Aqueous Species Options'!B326="H+", 0, (CHOOSE('Aqueous Species Options'!M326+1,'Aqueous Species Options'!$V$4*ABS('Aqueous Species Table'!P326)+'Aqueous Species Options'!$W$4,'Aqueous Species Options'!$Z$4)*('Aqueous Species Options'!G326 + 'Aqueous Species Table'!O326*100000*0.0000005903*41.8393) + CHOOSE('Aqueous Species Options'!M326+1,'Aqueous Species Options'!$X$4*ABS('Aqueous Species Table'!P326)+'Aqueous Species Options'!$Y$4,'Aqueous Species Options'!$AA$4))*10 ) ) ) )</f>
        <v/>
      </c>
      <c r="J326" s="42" t="str">
        <f>IF(ISBLANK('Aqueous Species Options'!B326), "", IF('Aqueous Species Options'!L326 = 0, 'Aqueous Species Options'!O326, IF('Aqueous Species Table'!I326="", "", IF('Aqueous Species Options'!B326="H+", 0, ((1.11*('Aqueous Species Options'!G326 + 'Aqueous Species Table'!O326*100000*0.0000005903*41.8393)+1.8)/41.8393 - 'Aqueous Species Table'!I326/10)*26.01 ) ) ) )</f>
        <v/>
      </c>
      <c r="K326" s="42" t="str">
        <f>IF(ISBLANK('Aqueous Species Options'!B326), "", IF('Aqueous Species Options'!L326 = 0, 'Aqueous Species Options'!P326, IF('Aqueous Species Table'!I326="", "", IF('Aqueous Species Options'!B326="H+", 0, ('Aqueous Species Options'!G326/41.8393 + 'Aqueous Species Table'!O326*100000*0.0000005903 - 'Aqueous Species Table'!I326/10 - 'Aqueous Species Table'!J326*100/2601)*(298.15-228) - ('Aqueous Species Table'!L326*10000/2601) ) ) ) )</f>
        <v/>
      </c>
      <c r="L326" s="42" t="str">
        <f>IF(ISBLANK('Aqueous Species Options'!B326), "", IF('Aqueous Species Options'!L326 = 0, 'Aqueous Species Options'!Q326, IF('Aqueous Species Table'!J326="", "", IF('Aqueous Species Options'!B326="H+", 0, (-4.134*'Aqueous Species Table'!J326*100 - 27790)*0.0001) ) ) )</f>
        <v/>
      </c>
      <c r="M326" s="42" t="str">
        <f>IF(ISBLANK('Aqueous Species Options'!B326), "", IF('Aqueous Species Options'!L326=0, 'Aqueous Species Options'!R326, IF('Aqueous Species Table'!N326="", "", IF('Aqueous Species Options'!B326="H+", 0, 'Aqueous Species Options'!H326 - 'Aqueous Species Table'!O326*100000*(-0.000000309)*298.15 - 'Aqueous Species Table'!N326*10000/(298.15-228)^2 ) ) ) )</f>
        <v/>
      </c>
      <c r="N326" s="42" t="str">
        <f>IF(ISBLANK('Aqueous Species Options'!B326), "", IF('Aqueous Species Options'!L326=0, 'Aqueous Species Options'!S326, IF(OR(ISBLANK('Aqueous Species Options'!H326), 'Aqueous Species Table'!O326=""), "", IF('Aqueous Species Options'!B326="H+", 0, 0.2037*'Aqueous Species Options'!H326 - 3.0346) ) ) )</f>
        <v/>
      </c>
      <c r="O326" s="42" t="str">
        <f>IF(ISBLANK('Aqueous Species Options'!B326), "", IF('Aqueous Species Options'!K326=0, 'Aqueous Species Options'!I326, IF(OR('Aqueous Species Options'!J326&gt;4,'Aqueous Species Options'!J326&lt;-4), "", IF('Aqueous Species Options'!B326="H+", 0, IF('Aqueous Species Options'!J326=0, -0.038, IF(ISBLANK('Aqueous Species Options'!F326), "", -1514.4*'Aqueous Species Options'!F326*0.00001 + SUM(({4,3,2,1,-1,-2,-3,-4}='Aqueous Species Options'!J326)*{2.1764,1.5793,1.0579,0.5517,1.6291,3.2127,4.8115,6.486}) ) ) ) ) ) )</f>
        <v/>
      </c>
      <c r="P326" s="1" t="str">
        <f>IF(ISBLANK('Aqueous Species Options'!J326), "", 'Aqueous Species Options'!J326)</f>
        <v/>
      </c>
      <c r="Q326" s="184" t="str">
        <f>IF(ISBLANK('Aqueous Species Options'!T326), "", 'Aqueous Species Options'!T326)</f>
        <v/>
      </c>
    </row>
    <row r="327" spans="2:17" ht="16" x14ac:dyDescent="0.2">
      <c r="B327" s="9" t="str">
        <f>IF(ISBLANK('Aqueous Species Options'!B327), "", 'Aqueous Species Options'!B327)</f>
        <v/>
      </c>
      <c r="C327" s="9" t="str">
        <f>IF(ISBLANK('Aqueous Species Options'!C327), "", 'Aqueous Species Options'!C327)</f>
        <v/>
      </c>
      <c r="D327" s="2" t="str">
        <f>IF(ISBLANK('Aqueous Species Options'!D327), "", 'Aqueous Species Options'!D327)</f>
        <v/>
      </c>
      <c r="E327" s="1" t="str">
        <f>IF(ISBLANK('Aqueous Species Options'!E327), "", 'Aqueous Species Options'!E327)</f>
        <v/>
      </c>
      <c r="F327" s="139" t="str">
        <f>IF(ISBLANK('Aqueous Species Options'!F327), "", 'Aqueous Species Options'!F327)</f>
        <v/>
      </c>
      <c r="G327" s="29" t="str">
        <f>IF(ISBLANK('Aqueous Species Options'!B327), "", IF('Aqueous Species Options'!L327 = 1, IF(ISBLANK('Aqueous Species Options'!G327), "", 'Aqueous Species Options'!G327), ('Aqueous Species Table'!I327/10 + ('Aqueous Species Table'!J327*100)/(Calculations!$C$12+Calculations!$C$9) + ('Aqueous Species Table'!K327 + ('Aqueous Species Table'!L327*10000)/(Calculations!$C$12+Calculations!$C$9))*(1/(Calculations!$C$8-Calculations!$C$13)) - 'Aqueous Species Table'!O327*100000*0.0000005903)*41.8393))</f>
        <v/>
      </c>
      <c r="H327" s="29" t="str">
        <f>IF(ISBLANK('Aqueous Species Options'!B327), "", IF('Aqueous Species Options'!L327 = 1, IF(ISBLANK('Aqueous Species Options'!H327), "", 'Aqueous Species Options'!H327), 'Aqueous Species Table'!M327 + 'Aqueous Species Table'!N327*10000*(1/(Calculations!$C$8-Calculations!$C$13))^2 + 'Aqueous Species Table'!O327*100000*Calculations!$C$8*Calculations!$C$7))</f>
        <v/>
      </c>
      <c r="I327" s="42" t="str">
        <f>IF(ISBLANK('Aqueous Species Options'!B327), "", IF('Aqueous Species Options'!L327=0, 'Aqueous Species Options'!N327, IF(OR(ISBLANK('Aqueous Species Options'!G327),'Aqueous Species Table'!O327="", 'Aqueous Species Table'!P327=""), "", IF('Aqueous Species Options'!B327="H+", 0, (CHOOSE('Aqueous Species Options'!M327+1,'Aqueous Species Options'!$V$4*ABS('Aqueous Species Table'!P327)+'Aqueous Species Options'!$W$4,'Aqueous Species Options'!$Z$4)*('Aqueous Species Options'!G327 + 'Aqueous Species Table'!O327*100000*0.0000005903*41.8393) + CHOOSE('Aqueous Species Options'!M327+1,'Aqueous Species Options'!$X$4*ABS('Aqueous Species Table'!P327)+'Aqueous Species Options'!$Y$4,'Aqueous Species Options'!$AA$4))*10 ) ) ) )</f>
        <v/>
      </c>
      <c r="J327" s="42" t="str">
        <f>IF(ISBLANK('Aqueous Species Options'!B327), "", IF('Aqueous Species Options'!L327 = 0, 'Aqueous Species Options'!O327, IF('Aqueous Species Table'!I327="", "", IF('Aqueous Species Options'!B327="H+", 0, ((1.11*('Aqueous Species Options'!G327 + 'Aqueous Species Table'!O327*100000*0.0000005903*41.8393)+1.8)/41.8393 - 'Aqueous Species Table'!I327/10)*26.01 ) ) ) )</f>
        <v/>
      </c>
      <c r="K327" s="42" t="str">
        <f>IF(ISBLANK('Aqueous Species Options'!B327), "", IF('Aqueous Species Options'!L327 = 0, 'Aqueous Species Options'!P327, IF('Aqueous Species Table'!I327="", "", IF('Aqueous Species Options'!B327="H+", 0, ('Aqueous Species Options'!G327/41.8393 + 'Aqueous Species Table'!O327*100000*0.0000005903 - 'Aqueous Species Table'!I327/10 - 'Aqueous Species Table'!J327*100/2601)*(298.15-228) - ('Aqueous Species Table'!L327*10000/2601) ) ) ) )</f>
        <v/>
      </c>
      <c r="L327" s="42" t="str">
        <f>IF(ISBLANK('Aqueous Species Options'!B327), "", IF('Aqueous Species Options'!L327 = 0, 'Aqueous Species Options'!Q327, IF('Aqueous Species Table'!J327="", "", IF('Aqueous Species Options'!B327="H+", 0, (-4.134*'Aqueous Species Table'!J327*100 - 27790)*0.0001) ) ) )</f>
        <v/>
      </c>
      <c r="M327" s="42" t="str">
        <f>IF(ISBLANK('Aqueous Species Options'!B327), "", IF('Aqueous Species Options'!L327=0, 'Aqueous Species Options'!R327, IF('Aqueous Species Table'!N327="", "", IF('Aqueous Species Options'!B327="H+", 0, 'Aqueous Species Options'!H327 - 'Aqueous Species Table'!O327*100000*(-0.000000309)*298.15 - 'Aqueous Species Table'!N327*10000/(298.15-228)^2 ) ) ) )</f>
        <v/>
      </c>
      <c r="N327" s="42" t="str">
        <f>IF(ISBLANK('Aqueous Species Options'!B327), "", IF('Aqueous Species Options'!L327=0, 'Aqueous Species Options'!S327, IF(OR(ISBLANK('Aqueous Species Options'!H327), 'Aqueous Species Table'!O327=""), "", IF('Aqueous Species Options'!B327="H+", 0, 0.2037*'Aqueous Species Options'!H327 - 3.0346) ) ) )</f>
        <v/>
      </c>
      <c r="O327" s="42" t="str">
        <f>IF(ISBLANK('Aqueous Species Options'!B327), "", IF('Aqueous Species Options'!K327=0, 'Aqueous Species Options'!I327, IF(OR('Aqueous Species Options'!J327&gt;4,'Aqueous Species Options'!J327&lt;-4), "", IF('Aqueous Species Options'!B327="H+", 0, IF('Aqueous Species Options'!J327=0, -0.038, IF(ISBLANK('Aqueous Species Options'!F327), "", -1514.4*'Aqueous Species Options'!F327*0.00001 + SUM(({4,3,2,1,-1,-2,-3,-4}='Aqueous Species Options'!J327)*{2.1764,1.5793,1.0579,0.5517,1.6291,3.2127,4.8115,6.486}) ) ) ) ) ) )</f>
        <v/>
      </c>
      <c r="P327" s="1" t="str">
        <f>IF(ISBLANK('Aqueous Species Options'!J327), "", 'Aqueous Species Options'!J327)</f>
        <v/>
      </c>
      <c r="Q327" s="184" t="str">
        <f>IF(ISBLANK('Aqueous Species Options'!T327), "", 'Aqueous Species Options'!T327)</f>
        <v/>
      </c>
    </row>
    <row r="328" spans="2:17" ht="16" x14ac:dyDescent="0.2">
      <c r="B328" s="9" t="str">
        <f>IF(ISBLANK('Aqueous Species Options'!B328), "", 'Aqueous Species Options'!B328)</f>
        <v/>
      </c>
      <c r="C328" s="9" t="str">
        <f>IF(ISBLANK('Aqueous Species Options'!C328), "", 'Aqueous Species Options'!C328)</f>
        <v/>
      </c>
      <c r="D328" s="2" t="str">
        <f>IF(ISBLANK('Aqueous Species Options'!D328), "", 'Aqueous Species Options'!D328)</f>
        <v/>
      </c>
      <c r="E328" s="1" t="str">
        <f>IF(ISBLANK('Aqueous Species Options'!E328), "", 'Aqueous Species Options'!E328)</f>
        <v/>
      </c>
      <c r="F328" s="139" t="str">
        <f>IF(ISBLANK('Aqueous Species Options'!F328), "", 'Aqueous Species Options'!F328)</f>
        <v/>
      </c>
      <c r="G328" s="29" t="str">
        <f>IF(ISBLANK('Aqueous Species Options'!B328), "", IF('Aqueous Species Options'!L328 = 1, IF(ISBLANK('Aqueous Species Options'!G328), "", 'Aqueous Species Options'!G328), ('Aqueous Species Table'!I328/10 + ('Aqueous Species Table'!J328*100)/(Calculations!$C$12+Calculations!$C$9) + ('Aqueous Species Table'!K328 + ('Aqueous Species Table'!L328*10000)/(Calculations!$C$12+Calculations!$C$9))*(1/(Calculations!$C$8-Calculations!$C$13)) - 'Aqueous Species Table'!O328*100000*0.0000005903)*41.8393))</f>
        <v/>
      </c>
      <c r="H328" s="29" t="str">
        <f>IF(ISBLANK('Aqueous Species Options'!B328), "", IF('Aqueous Species Options'!L328 = 1, IF(ISBLANK('Aqueous Species Options'!H328), "", 'Aqueous Species Options'!H328), 'Aqueous Species Table'!M328 + 'Aqueous Species Table'!N328*10000*(1/(Calculations!$C$8-Calculations!$C$13))^2 + 'Aqueous Species Table'!O328*100000*Calculations!$C$8*Calculations!$C$7))</f>
        <v/>
      </c>
      <c r="I328" s="42" t="str">
        <f>IF(ISBLANK('Aqueous Species Options'!B328), "", IF('Aqueous Species Options'!L328=0, 'Aqueous Species Options'!N328, IF(OR(ISBLANK('Aqueous Species Options'!G328),'Aqueous Species Table'!O328="", 'Aqueous Species Table'!P328=""), "", IF('Aqueous Species Options'!B328="H+", 0, (CHOOSE('Aqueous Species Options'!M328+1,'Aqueous Species Options'!$V$4*ABS('Aqueous Species Table'!P328)+'Aqueous Species Options'!$W$4,'Aqueous Species Options'!$Z$4)*('Aqueous Species Options'!G328 + 'Aqueous Species Table'!O328*100000*0.0000005903*41.8393) + CHOOSE('Aqueous Species Options'!M328+1,'Aqueous Species Options'!$X$4*ABS('Aqueous Species Table'!P328)+'Aqueous Species Options'!$Y$4,'Aqueous Species Options'!$AA$4))*10 ) ) ) )</f>
        <v/>
      </c>
      <c r="J328" s="42" t="str">
        <f>IF(ISBLANK('Aqueous Species Options'!B328), "", IF('Aqueous Species Options'!L328 = 0, 'Aqueous Species Options'!O328, IF('Aqueous Species Table'!I328="", "", IF('Aqueous Species Options'!B328="H+", 0, ((1.11*('Aqueous Species Options'!G328 + 'Aqueous Species Table'!O328*100000*0.0000005903*41.8393)+1.8)/41.8393 - 'Aqueous Species Table'!I328/10)*26.01 ) ) ) )</f>
        <v/>
      </c>
      <c r="K328" s="42" t="str">
        <f>IF(ISBLANK('Aqueous Species Options'!B328), "", IF('Aqueous Species Options'!L328 = 0, 'Aqueous Species Options'!P328, IF('Aqueous Species Table'!I328="", "", IF('Aqueous Species Options'!B328="H+", 0, ('Aqueous Species Options'!G328/41.8393 + 'Aqueous Species Table'!O328*100000*0.0000005903 - 'Aqueous Species Table'!I328/10 - 'Aqueous Species Table'!J328*100/2601)*(298.15-228) - ('Aqueous Species Table'!L328*10000/2601) ) ) ) )</f>
        <v/>
      </c>
      <c r="L328" s="42" t="str">
        <f>IF(ISBLANK('Aqueous Species Options'!B328), "", IF('Aqueous Species Options'!L328 = 0, 'Aqueous Species Options'!Q328, IF('Aqueous Species Table'!J328="", "", IF('Aqueous Species Options'!B328="H+", 0, (-4.134*'Aqueous Species Table'!J328*100 - 27790)*0.0001) ) ) )</f>
        <v/>
      </c>
      <c r="M328" s="42" t="str">
        <f>IF(ISBLANK('Aqueous Species Options'!B328), "", IF('Aqueous Species Options'!L328=0, 'Aqueous Species Options'!R328, IF('Aqueous Species Table'!N328="", "", IF('Aqueous Species Options'!B328="H+", 0, 'Aqueous Species Options'!H328 - 'Aqueous Species Table'!O328*100000*(-0.000000309)*298.15 - 'Aqueous Species Table'!N328*10000/(298.15-228)^2 ) ) ) )</f>
        <v/>
      </c>
      <c r="N328" s="42" t="str">
        <f>IF(ISBLANK('Aqueous Species Options'!B328), "", IF('Aqueous Species Options'!L328=0, 'Aqueous Species Options'!S328, IF(OR(ISBLANK('Aqueous Species Options'!H328), 'Aqueous Species Table'!O328=""), "", IF('Aqueous Species Options'!B328="H+", 0, 0.2037*'Aqueous Species Options'!H328 - 3.0346) ) ) )</f>
        <v/>
      </c>
      <c r="O328" s="42" t="str">
        <f>IF(ISBLANK('Aqueous Species Options'!B328), "", IF('Aqueous Species Options'!K328=0, 'Aqueous Species Options'!I328, IF(OR('Aqueous Species Options'!J328&gt;4,'Aqueous Species Options'!J328&lt;-4), "", IF('Aqueous Species Options'!B328="H+", 0, IF('Aqueous Species Options'!J328=0, -0.038, IF(ISBLANK('Aqueous Species Options'!F328), "", -1514.4*'Aqueous Species Options'!F328*0.00001 + SUM(({4,3,2,1,-1,-2,-3,-4}='Aqueous Species Options'!J328)*{2.1764,1.5793,1.0579,0.5517,1.6291,3.2127,4.8115,6.486}) ) ) ) ) ) )</f>
        <v/>
      </c>
      <c r="P328" s="1" t="str">
        <f>IF(ISBLANK('Aqueous Species Options'!J328), "", 'Aqueous Species Options'!J328)</f>
        <v/>
      </c>
      <c r="Q328" s="184" t="str">
        <f>IF(ISBLANK('Aqueous Species Options'!T328), "", 'Aqueous Species Options'!T328)</f>
        <v/>
      </c>
    </row>
    <row r="329" spans="2:17" ht="16" x14ac:dyDescent="0.2">
      <c r="B329" s="9" t="str">
        <f>IF(ISBLANK('Aqueous Species Options'!B329), "", 'Aqueous Species Options'!B329)</f>
        <v/>
      </c>
      <c r="C329" s="9" t="str">
        <f>IF(ISBLANK('Aqueous Species Options'!C329), "", 'Aqueous Species Options'!C329)</f>
        <v/>
      </c>
      <c r="D329" s="2" t="str">
        <f>IF(ISBLANK('Aqueous Species Options'!D329), "", 'Aqueous Species Options'!D329)</f>
        <v/>
      </c>
      <c r="E329" s="1" t="str">
        <f>IF(ISBLANK('Aqueous Species Options'!E329), "", 'Aqueous Species Options'!E329)</f>
        <v/>
      </c>
      <c r="F329" s="139" t="str">
        <f>IF(ISBLANK('Aqueous Species Options'!F329), "", 'Aqueous Species Options'!F329)</f>
        <v/>
      </c>
      <c r="G329" s="29" t="str">
        <f>IF(ISBLANK('Aqueous Species Options'!B329), "", IF('Aqueous Species Options'!L329 = 1, IF(ISBLANK('Aqueous Species Options'!G329), "", 'Aqueous Species Options'!G329), ('Aqueous Species Table'!I329/10 + ('Aqueous Species Table'!J329*100)/(Calculations!$C$12+Calculations!$C$9) + ('Aqueous Species Table'!K329 + ('Aqueous Species Table'!L329*10000)/(Calculations!$C$12+Calculations!$C$9))*(1/(Calculations!$C$8-Calculations!$C$13)) - 'Aqueous Species Table'!O329*100000*0.0000005903)*41.8393))</f>
        <v/>
      </c>
      <c r="H329" s="29" t="str">
        <f>IF(ISBLANK('Aqueous Species Options'!B329), "", IF('Aqueous Species Options'!L329 = 1, IF(ISBLANK('Aqueous Species Options'!H329), "", 'Aqueous Species Options'!H329), 'Aqueous Species Table'!M329 + 'Aqueous Species Table'!N329*10000*(1/(Calculations!$C$8-Calculations!$C$13))^2 + 'Aqueous Species Table'!O329*100000*Calculations!$C$8*Calculations!$C$7))</f>
        <v/>
      </c>
      <c r="I329" s="42" t="str">
        <f>IF(ISBLANK('Aqueous Species Options'!B329), "", IF('Aqueous Species Options'!L329=0, 'Aqueous Species Options'!N329, IF(OR(ISBLANK('Aqueous Species Options'!G329),'Aqueous Species Table'!O329="", 'Aqueous Species Table'!P329=""), "", IF('Aqueous Species Options'!B329="H+", 0, (CHOOSE('Aqueous Species Options'!M329+1,'Aqueous Species Options'!$V$4*ABS('Aqueous Species Table'!P329)+'Aqueous Species Options'!$W$4,'Aqueous Species Options'!$Z$4)*('Aqueous Species Options'!G329 + 'Aqueous Species Table'!O329*100000*0.0000005903*41.8393) + CHOOSE('Aqueous Species Options'!M329+1,'Aqueous Species Options'!$X$4*ABS('Aqueous Species Table'!P329)+'Aqueous Species Options'!$Y$4,'Aqueous Species Options'!$AA$4))*10 ) ) ) )</f>
        <v/>
      </c>
      <c r="J329" s="42" t="str">
        <f>IF(ISBLANK('Aqueous Species Options'!B329), "", IF('Aqueous Species Options'!L329 = 0, 'Aqueous Species Options'!O329, IF('Aqueous Species Table'!I329="", "", IF('Aqueous Species Options'!B329="H+", 0, ((1.11*('Aqueous Species Options'!G329 + 'Aqueous Species Table'!O329*100000*0.0000005903*41.8393)+1.8)/41.8393 - 'Aqueous Species Table'!I329/10)*26.01 ) ) ) )</f>
        <v/>
      </c>
      <c r="K329" s="42" t="str">
        <f>IF(ISBLANK('Aqueous Species Options'!B329), "", IF('Aqueous Species Options'!L329 = 0, 'Aqueous Species Options'!P329, IF('Aqueous Species Table'!I329="", "", IF('Aqueous Species Options'!B329="H+", 0, ('Aqueous Species Options'!G329/41.8393 + 'Aqueous Species Table'!O329*100000*0.0000005903 - 'Aqueous Species Table'!I329/10 - 'Aqueous Species Table'!J329*100/2601)*(298.15-228) - ('Aqueous Species Table'!L329*10000/2601) ) ) ) )</f>
        <v/>
      </c>
      <c r="L329" s="42" t="str">
        <f>IF(ISBLANK('Aqueous Species Options'!B329), "", IF('Aqueous Species Options'!L329 = 0, 'Aqueous Species Options'!Q329, IF('Aqueous Species Table'!J329="", "", IF('Aqueous Species Options'!B329="H+", 0, (-4.134*'Aqueous Species Table'!J329*100 - 27790)*0.0001) ) ) )</f>
        <v/>
      </c>
      <c r="M329" s="42" t="str">
        <f>IF(ISBLANK('Aqueous Species Options'!B329), "", IF('Aqueous Species Options'!L329=0, 'Aqueous Species Options'!R329, IF('Aqueous Species Table'!N329="", "", IF('Aqueous Species Options'!B329="H+", 0, 'Aqueous Species Options'!H329 - 'Aqueous Species Table'!O329*100000*(-0.000000309)*298.15 - 'Aqueous Species Table'!N329*10000/(298.15-228)^2 ) ) ) )</f>
        <v/>
      </c>
      <c r="N329" s="42" t="str">
        <f>IF(ISBLANK('Aqueous Species Options'!B329), "", IF('Aqueous Species Options'!L329=0, 'Aqueous Species Options'!S329, IF(OR(ISBLANK('Aqueous Species Options'!H329), 'Aqueous Species Table'!O329=""), "", IF('Aqueous Species Options'!B329="H+", 0, 0.2037*'Aqueous Species Options'!H329 - 3.0346) ) ) )</f>
        <v/>
      </c>
      <c r="O329" s="42" t="str">
        <f>IF(ISBLANK('Aqueous Species Options'!B329), "", IF('Aqueous Species Options'!K329=0, 'Aqueous Species Options'!I329, IF(OR('Aqueous Species Options'!J329&gt;4,'Aqueous Species Options'!J329&lt;-4), "", IF('Aqueous Species Options'!B329="H+", 0, IF('Aqueous Species Options'!J329=0, -0.038, IF(ISBLANK('Aqueous Species Options'!F329), "", -1514.4*'Aqueous Species Options'!F329*0.00001 + SUM(({4,3,2,1,-1,-2,-3,-4}='Aqueous Species Options'!J329)*{2.1764,1.5793,1.0579,0.5517,1.6291,3.2127,4.8115,6.486}) ) ) ) ) ) )</f>
        <v/>
      </c>
      <c r="P329" s="1" t="str">
        <f>IF(ISBLANK('Aqueous Species Options'!J329), "", 'Aqueous Species Options'!J329)</f>
        <v/>
      </c>
      <c r="Q329" s="184" t="str">
        <f>IF(ISBLANK('Aqueous Species Options'!T329), "", 'Aqueous Species Options'!T329)</f>
        <v/>
      </c>
    </row>
    <row r="330" spans="2:17" ht="16" x14ac:dyDescent="0.2">
      <c r="B330" s="9" t="str">
        <f>IF(ISBLANK('Aqueous Species Options'!B330), "", 'Aqueous Species Options'!B330)</f>
        <v/>
      </c>
      <c r="C330" s="9" t="str">
        <f>IF(ISBLANK('Aqueous Species Options'!C330), "", 'Aqueous Species Options'!C330)</f>
        <v/>
      </c>
      <c r="D330" s="2" t="str">
        <f>IF(ISBLANK('Aqueous Species Options'!D330), "", 'Aqueous Species Options'!D330)</f>
        <v/>
      </c>
      <c r="E330" s="1" t="str">
        <f>IF(ISBLANK('Aqueous Species Options'!E330), "", 'Aqueous Species Options'!E330)</f>
        <v/>
      </c>
      <c r="F330" s="139" t="str">
        <f>IF(ISBLANK('Aqueous Species Options'!F330), "", 'Aqueous Species Options'!F330)</f>
        <v/>
      </c>
      <c r="G330" s="29" t="str">
        <f>IF(ISBLANK('Aqueous Species Options'!B330), "", IF('Aqueous Species Options'!L330 = 1, IF(ISBLANK('Aqueous Species Options'!G330), "", 'Aqueous Species Options'!G330), ('Aqueous Species Table'!I330/10 + ('Aqueous Species Table'!J330*100)/(Calculations!$C$12+Calculations!$C$9) + ('Aqueous Species Table'!K330 + ('Aqueous Species Table'!L330*10000)/(Calculations!$C$12+Calculations!$C$9))*(1/(Calculations!$C$8-Calculations!$C$13)) - 'Aqueous Species Table'!O330*100000*0.0000005903)*41.8393))</f>
        <v/>
      </c>
      <c r="H330" s="29" t="str">
        <f>IF(ISBLANK('Aqueous Species Options'!B330), "", IF('Aqueous Species Options'!L330 = 1, IF(ISBLANK('Aqueous Species Options'!H330), "", 'Aqueous Species Options'!H330), 'Aqueous Species Table'!M330 + 'Aqueous Species Table'!N330*10000*(1/(Calculations!$C$8-Calculations!$C$13))^2 + 'Aqueous Species Table'!O330*100000*Calculations!$C$8*Calculations!$C$7))</f>
        <v/>
      </c>
      <c r="I330" s="42" t="str">
        <f>IF(ISBLANK('Aqueous Species Options'!B330), "", IF('Aqueous Species Options'!L330=0, 'Aqueous Species Options'!N330, IF(OR(ISBLANK('Aqueous Species Options'!G330),'Aqueous Species Table'!O330="", 'Aqueous Species Table'!P330=""), "", IF('Aqueous Species Options'!B330="H+", 0, (CHOOSE('Aqueous Species Options'!M330+1,'Aqueous Species Options'!$V$4*ABS('Aqueous Species Table'!P330)+'Aqueous Species Options'!$W$4,'Aqueous Species Options'!$Z$4)*('Aqueous Species Options'!G330 + 'Aqueous Species Table'!O330*100000*0.0000005903*41.8393) + CHOOSE('Aqueous Species Options'!M330+1,'Aqueous Species Options'!$X$4*ABS('Aqueous Species Table'!P330)+'Aqueous Species Options'!$Y$4,'Aqueous Species Options'!$AA$4))*10 ) ) ) )</f>
        <v/>
      </c>
      <c r="J330" s="42" t="str">
        <f>IF(ISBLANK('Aqueous Species Options'!B330), "", IF('Aqueous Species Options'!L330 = 0, 'Aqueous Species Options'!O330, IF('Aqueous Species Table'!I330="", "", IF('Aqueous Species Options'!B330="H+", 0, ((1.11*('Aqueous Species Options'!G330 + 'Aqueous Species Table'!O330*100000*0.0000005903*41.8393)+1.8)/41.8393 - 'Aqueous Species Table'!I330/10)*26.01 ) ) ) )</f>
        <v/>
      </c>
      <c r="K330" s="42" t="str">
        <f>IF(ISBLANK('Aqueous Species Options'!B330), "", IF('Aqueous Species Options'!L330 = 0, 'Aqueous Species Options'!P330, IF('Aqueous Species Table'!I330="", "", IF('Aqueous Species Options'!B330="H+", 0, ('Aqueous Species Options'!G330/41.8393 + 'Aqueous Species Table'!O330*100000*0.0000005903 - 'Aqueous Species Table'!I330/10 - 'Aqueous Species Table'!J330*100/2601)*(298.15-228) - ('Aqueous Species Table'!L330*10000/2601) ) ) ) )</f>
        <v/>
      </c>
      <c r="L330" s="42" t="str">
        <f>IF(ISBLANK('Aqueous Species Options'!B330), "", IF('Aqueous Species Options'!L330 = 0, 'Aqueous Species Options'!Q330, IF('Aqueous Species Table'!J330="", "", IF('Aqueous Species Options'!B330="H+", 0, (-4.134*'Aqueous Species Table'!J330*100 - 27790)*0.0001) ) ) )</f>
        <v/>
      </c>
      <c r="M330" s="42" t="str">
        <f>IF(ISBLANK('Aqueous Species Options'!B330), "", IF('Aqueous Species Options'!L330=0, 'Aqueous Species Options'!R330, IF('Aqueous Species Table'!N330="", "", IF('Aqueous Species Options'!B330="H+", 0, 'Aqueous Species Options'!H330 - 'Aqueous Species Table'!O330*100000*(-0.000000309)*298.15 - 'Aqueous Species Table'!N330*10000/(298.15-228)^2 ) ) ) )</f>
        <v/>
      </c>
      <c r="N330" s="42" t="str">
        <f>IF(ISBLANK('Aqueous Species Options'!B330), "", IF('Aqueous Species Options'!L330=0, 'Aqueous Species Options'!S330, IF(OR(ISBLANK('Aqueous Species Options'!H330), 'Aqueous Species Table'!O330=""), "", IF('Aqueous Species Options'!B330="H+", 0, 0.2037*'Aqueous Species Options'!H330 - 3.0346) ) ) )</f>
        <v/>
      </c>
      <c r="O330" s="42" t="str">
        <f>IF(ISBLANK('Aqueous Species Options'!B330), "", IF('Aqueous Species Options'!K330=0, 'Aqueous Species Options'!I330, IF(OR('Aqueous Species Options'!J330&gt;4,'Aqueous Species Options'!J330&lt;-4), "", IF('Aqueous Species Options'!B330="H+", 0, IF('Aqueous Species Options'!J330=0, -0.038, IF(ISBLANK('Aqueous Species Options'!F330), "", -1514.4*'Aqueous Species Options'!F330*0.00001 + SUM(({4,3,2,1,-1,-2,-3,-4}='Aqueous Species Options'!J330)*{2.1764,1.5793,1.0579,0.5517,1.6291,3.2127,4.8115,6.486}) ) ) ) ) ) )</f>
        <v/>
      </c>
      <c r="P330" s="1" t="str">
        <f>IF(ISBLANK('Aqueous Species Options'!J330), "", 'Aqueous Species Options'!J330)</f>
        <v/>
      </c>
      <c r="Q330" s="184" t="str">
        <f>IF(ISBLANK('Aqueous Species Options'!T330), "", 'Aqueous Species Options'!T330)</f>
        <v/>
      </c>
    </row>
    <row r="331" spans="2:17" ht="16" x14ac:dyDescent="0.2">
      <c r="B331" s="9" t="str">
        <f>IF(ISBLANK('Aqueous Species Options'!B331), "", 'Aqueous Species Options'!B331)</f>
        <v/>
      </c>
      <c r="C331" s="9" t="str">
        <f>IF(ISBLANK('Aqueous Species Options'!C331), "", 'Aqueous Species Options'!C331)</f>
        <v/>
      </c>
      <c r="D331" s="2" t="str">
        <f>IF(ISBLANK('Aqueous Species Options'!D331), "", 'Aqueous Species Options'!D331)</f>
        <v/>
      </c>
      <c r="E331" s="1" t="str">
        <f>IF(ISBLANK('Aqueous Species Options'!E331), "", 'Aqueous Species Options'!E331)</f>
        <v/>
      </c>
      <c r="F331" s="139" t="str">
        <f>IF(ISBLANK('Aqueous Species Options'!F331), "", 'Aqueous Species Options'!F331)</f>
        <v/>
      </c>
      <c r="G331" s="29" t="str">
        <f>IF(ISBLANK('Aqueous Species Options'!B331), "", IF('Aqueous Species Options'!L331 = 1, IF(ISBLANK('Aqueous Species Options'!G331), "", 'Aqueous Species Options'!G331), ('Aqueous Species Table'!I331/10 + ('Aqueous Species Table'!J331*100)/(Calculations!$C$12+Calculations!$C$9) + ('Aqueous Species Table'!K331 + ('Aqueous Species Table'!L331*10000)/(Calculations!$C$12+Calculations!$C$9))*(1/(Calculations!$C$8-Calculations!$C$13)) - 'Aqueous Species Table'!O331*100000*0.0000005903)*41.8393))</f>
        <v/>
      </c>
      <c r="H331" s="29" t="str">
        <f>IF(ISBLANK('Aqueous Species Options'!B331), "", IF('Aqueous Species Options'!L331 = 1, IF(ISBLANK('Aqueous Species Options'!H331), "", 'Aqueous Species Options'!H331), 'Aqueous Species Table'!M331 + 'Aqueous Species Table'!N331*10000*(1/(Calculations!$C$8-Calculations!$C$13))^2 + 'Aqueous Species Table'!O331*100000*Calculations!$C$8*Calculations!$C$7))</f>
        <v/>
      </c>
      <c r="I331" s="42" t="str">
        <f>IF(ISBLANK('Aqueous Species Options'!B331), "", IF('Aqueous Species Options'!L331=0, 'Aqueous Species Options'!N331, IF(OR(ISBLANK('Aqueous Species Options'!G331),'Aqueous Species Table'!O331="", 'Aqueous Species Table'!P331=""), "", IF('Aqueous Species Options'!B331="H+", 0, (CHOOSE('Aqueous Species Options'!M331+1,'Aqueous Species Options'!$V$4*ABS('Aqueous Species Table'!P331)+'Aqueous Species Options'!$W$4,'Aqueous Species Options'!$Z$4)*('Aqueous Species Options'!G331 + 'Aqueous Species Table'!O331*100000*0.0000005903*41.8393) + CHOOSE('Aqueous Species Options'!M331+1,'Aqueous Species Options'!$X$4*ABS('Aqueous Species Table'!P331)+'Aqueous Species Options'!$Y$4,'Aqueous Species Options'!$AA$4))*10 ) ) ) )</f>
        <v/>
      </c>
      <c r="J331" s="42" t="str">
        <f>IF(ISBLANK('Aqueous Species Options'!B331), "", IF('Aqueous Species Options'!L331 = 0, 'Aqueous Species Options'!O331, IF('Aqueous Species Table'!I331="", "", IF('Aqueous Species Options'!B331="H+", 0, ((1.11*('Aqueous Species Options'!G331 + 'Aqueous Species Table'!O331*100000*0.0000005903*41.8393)+1.8)/41.8393 - 'Aqueous Species Table'!I331/10)*26.01 ) ) ) )</f>
        <v/>
      </c>
      <c r="K331" s="42" t="str">
        <f>IF(ISBLANK('Aqueous Species Options'!B331), "", IF('Aqueous Species Options'!L331 = 0, 'Aqueous Species Options'!P331, IF('Aqueous Species Table'!I331="", "", IF('Aqueous Species Options'!B331="H+", 0, ('Aqueous Species Options'!G331/41.8393 + 'Aqueous Species Table'!O331*100000*0.0000005903 - 'Aqueous Species Table'!I331/10 - 'Aqueous Species Table'!J331*100/2601)*(298.15-228) - ('Aqueous Species Table'!L331*10000/2601) ) ) ) )</f>
        <v/>
      </c>
      <c r="L331" s="42" t="str">
        <f>IF(ISBLANK('Aqueous Species Options'!B331), "", IF('Aqueous Species Options'!L331 = 0, 'Aqueous Species Options'!Q331, IF('Aqueous Species Table'!J331="", "", IF('Aqueous Species Options'!B331="H+", 0, (-4.134*'Aqueous Species Table'!J331*100 - 27790)*0.0001) ) ) )</f>
        <v/>
      </c>
      <c r="M331" s="42" t="str">
        <f>IF(ISBLANK('Aqueous Species Options'!B331), "", IF('Aqueous Species Options'!L331=0, 'Aqueous Species Options'!R331, IF('Aqueous Species Table'!N331="", "", IF('Aqueous Species Options'!B331="H+", 0, 'Aqueous Species Options'!H331 - 'Aqueous Species Table'!O331*100000*(-0.000000309)*298.15 - 'Aqueous Species Table'!N331*10000/(298.15-228)^2 ) ) ) )</f>
        <v/>
      </c>
      <c r="N331" s="42" t="str">
        <f>IF(ISBLANK('Aqueous Species Options'!B331), "", IF('Aqueous Species Options'!L331=0, 'Aqueous Species Options'!S331, IF(OR(ISBLANK('Aqueous Species Options'!H331), 'Aqueous Species Table'!O331=""), "", IF('Aqueous Species Options'!B331="H+", 0, 0.2037*'Aqueous Species Options'!H331 - 3.0346) ) ) )</f>
        <v/>
      </c>
      <c r="O331" s="42" t="str">
        <f>IF(ISBLANK('Aqueous Species Options'!B331), "", IF('Aqueous Species Options'!K331=0, 'Aqueous Species Options'!I331, IF(OR('Aqueous Species Options'!J331&gt;4,'Aqueous Species Options'!J331&lt;-4), "", IF('Aqueous Species Options'!B331="H+", 0, IF('Aqueous Species Options'!J331=0, -0.038, IF(ISBLANK('Aqueous Species Options'!F331), "", -1514.4*'Aqueous Species Options'!F331*0.00001 + SUM(({4,3,2,1,-1,-2,-3,-4}='Aqueous Species Options'!J331)*{2.1764,1.5793,1.0579,0.5517,1.6291,3.2127,4.8115,6.486}) ) ) ) ) ) )</f>
        <v/>
      </c>
      <c r="P331" s="1" t="str">
        <f>IF(ISBLANK('Aqueous Species Options'!J331), "", 'Aqueous Species Options'!J331)</f>
        <v/>
      </c>
      <c r="Q331" s="184" t="str">
        <f>IF(ISBLANK('Aqueous Species Options'!T331), "", 'Aqueous Species Options'!T331)</f>
        <v/>
      </c>
    </row>
    <row r="332" spans="2:17" ht="16" x14ac:dyDescent="0.2">
      <c r="B332" s="9" t="str">
        <f>IF(ISBLANK('Aqueous Species Options'!B332), "", 'Aqueous Species Options'!B332)</f>
        <v/>
      </c>
      <c r="C332" s="9" t="str">
        <f>IF(ISBLANK('Aqueous Species Options'!C332), "", 'Aqueous Species Options'!C332)</f>
        <v/>
      </c>
      <c r="D332" s="2" t="str">
        <f>IF(ISBLANK('Aqueous Species Options'!D332), "", 'Aqueous Species Options'!D332)</f>
        <v/>
      </c>
      <c r="E332" s="1" t="str">
        <f>IF(ISBLANK('Aqueous Species Options'!E332), "", 'Aqueous Species Options'!E332)</f>
        <v/>
      </c>
      <c r="F332" s="139" t="str">
        <f>IF(ISBLANK('Aqueous Species Options'!F332), "", 'Aqueous Species Options'!F332)</f>
        <v/>
      </c>
      <c r="G332" s="29" t="str">
        <f>IF(ISBLANK('Aqueous Species Options'!B332), "", IF('Aqueous Species Options'!L332 = 1, IF(ISBLANK('Aqueous Species Options'!G332), "", 'Aqueous Species Options'!G332), ('Aqueous Species Table'!I332/10 + ('Aqueous Species Table'!J332*100)/(Calculations!$C$12+Calculations!$C$9) + ('Aqueous Species Table'!K332 + ('Aqueous Species Table'!L332*10000)/(Calculations!$C$12+Calculations!$C$9))*(1/(Calculations!$C$8-Calculations!$C$13)) - 'Aqueous Species Table'!O332*100000*0.0000005903)*41.8393))</f>
        <v/>
      </c>
      <c r="H332" s="29" t="str">
        <f>IF(ISBLANK('Aqueous Species Options'!B332), "", IF('Aqueous Species Options'!L332 = 1, IF(ISBLANK('Aqueous Species Options'!H332), "", 'Aqueous Species Options'!H332), 'Aqueous Species Table'!M332 + 'Aqueous Species Table'!N332*10000*(1/(Calculations!$C$8-Calculations!$C$13))^2 + 'Aqueous Species Table'!O332*100000*Calculations!$C$8*Calculations!$C$7))</f>
        <v/>
      </c>
      <c r="I332" s="42" t="str">
        <f>IF(ISBLANK('Aqueous Species Options'!B332), "", IF('Aqueous Species Options'!L332=0, 'Aqueous Species Options'!N332, IF(OR(ISBLANK('Aqueous Species Options'!G332),'Aqueous Species Table'!O332="", 'Aqueous Species Table'!P332=""), "", IF('Aqueous Species Options'!B332="H+", 0, (CHOOSE('Aqueous Species Options'!M332+1,'Aqueous Species Options'!$V$4*ABS('Aqueous Species Table'!P332)+'Aqueous Species Options'!$W$4,'Aqueous Species Options'!$Z$4)*('Aqueous Species Options'!G332 + 'Aqueous Species Table'!O332*100000*0.0000005903*41.8393) + CHOOSE('Aqueous Species Options'!M332+1,'Aqueous Species Options'!$X$4*ABS('Aqueous Species Table'!P332)+'Aqueous Species Options'!$Y$4,'Aqueous Species Options'!$AA$4))*10 ) ) ) )</f>
        <v/>
      </c>
      <c r="J332" s="42" t="str">
        <f>IF(ISBLANK('Aqueous Species Options'!B332), "", IF('Aqueous Species Options'!L332 = 0, 'Aqueous Species Options'!O332, IF('Aqueous Species Table'!I332="", "", IF('Aqueous Species Options'!B332="H+", 0, ((1.11*('Aqueous Species Options'!G332 + 'Aqueous Species Table'!O332*100000*0.0000005903*41.8393)+1.8)/41.8393 - 'Aqueous Species Table'!I332/10)*26.01 ) ) ) )</f>
        <v/>
      </c>
      <c r="K332" s="42" t="str">
        <f>IF(ISBLANK('Aqueous Species Options'!B332), "", IF('Aqueous Species Options'!L332 = 0, 'Aqueous Species Options'!P332, IF('Aqueous Species Table'!I332="", "", IF('Aqueous Species Options'!B332="H+", 0, ('Aqueous Species Options'!G332/41.8393 + 'Aqueous Species Table'!O332*100000*0.0000005903 - 'Aqueous Species Table'!I332/10 - 'Aqueous Species Table'!J332*100/2601)*(298.15-228) - ('Aqueous Species Table'!L332*10000/2601) ) ) ) )</f>
        <v/>
      </c>
      <c r="L332" s="42" t="str">
        <f>IF(ISBLANK('Aqueous Species Options'!B332), "", IF('Aqueous Species Options'!L332 = 0, 'Aqueous Species Options'!Q332, IF('Aqueous Species Table'!J332="", "", IF('Aqueous Species Options'!B332="H+", 0, (-4.134*'Aqueous Species Table'!J332*100 - 27790)*0.0001) ) ) )</f>
        <v/>
      </c>
      <c r="M332" s="42" t="str">
        <f>IF(ISBLANK('Aqueous Species Options'!B332), "", IF('Aqueous Species Options'!L332=0, 'Aqueous Species Options'!R332, IF('Aqueous Species Table'!N332="", "", IF('Aqueous Species Options'!B332="H+", 0, 'Aqueous Species Options'!H332 - 'Aqueous Species Table'!O332*100000*(-0.000000309)*298.15 - 'Aqueous Species Table'!N332*10000/(298.15-228)^2 ) ) ) )</f>
        <v/>
      </c>
      <c r="N332" s="42" t="str">
        <f>IF(ISBLANK('Aqueous Species Options'!B332), "", IF('Aqueous Species Options'!L332=0, 'Aqueous Species Options'!S332, IF(OR(ISBLANK('Aqueous Species Options'!H332), 'Aqueous Species Table'!O332=""), "", IF('Aqueous Species Options'!B332="H+", 0, 0.2037*'Aqueous Species Options'!H332 - 3.0346) ) ) )</f>
        <v/>
      </c>
      <c r="O332" s="42" t="str">
        <f>IF(ISBLANK('Aqueous Species Options'!B332), "", IF('Aqueous Species Options'!K332=0, 'Aqueous Species Options'!I332, IF(OR('Aqueous Species Options'!J332&gt;4,'Aqueous Species Options'!J332&lt;-4), "", IF('Aqueous Species Options'!B332="H+", 0, IF('Aqueous Species Options'!J332=0, -0.038, IF(ISBLANK('Aqueous Species Options'!F332), "", -1514.4*'Aqueous Species Options'!F332*0.00001 + SUM(({4,3,2,1,-1,-2,-3,-4}='Aqueous Species Options'!J332)*{2.1764,1.5793,1.0579,0.5517,1.6291,3.2127,4.8115,6.486}) ) ) ) ) ) )</f>
        <v/>
      </c>
      <c r="P332" s="1" t="str">
        <f>IF(ISBLANK('Aqueous Species Options'!J332), "", 'Aqueous Species Options'!J332)</f>
        <v/>
      </c>
      <c r="Q332" s="184" t="str">
        <f>IF(ISBLANK('Aqueous Species Options'!T332), "", 'Aqueous Species Options'!T332)</f>
        <v/>
      </c>
    </row>
    <row r="333" spans="2:17" ht="16" x14ac:dyDescent="0.2">
      <c r="B333" s="9" t="str">
        <f>IF(ISBLANK('Aqueous Species Options'!B333), "", 'Aqueous Species Options'!B333)</f>
        <v/>
      </c>
      <c r="C333" s="9" t="str">
        <f>IF(ISBLANK('Aqueous Species Options'!C333), "", 'Aqueous Species Options'!C333)</f>
        <v/>
      </c>
      <c r="D333" s="2" t="str">
        <f>IF(ISBLANK('Aqueous Species Options'!D333), "", 'Aqueous Species Options'!D333)</f>
        <v/>
      </c>
      <c r="E333" s="1" t="str">
        <f>IF(ISBLANK('Aqueous Species Options'!E333), "", 'Aqueous Species Options'!E333)</f>
        <v/>
      </c>
      <c r="F333" s="139" t="str">
        <f>IF(ISBLANK('Aqueous Species Options'!F333), "", 'Aqueous Species Options'!F333)</f>
        <v/>
      </c>
      <c r="G333" s="29" t="str">
        <f>IF(ISBLANK('Aqueous Species Options'!B333), "", IF('Aqueous Species Options'!L333 = 1, IF(ISBLANK('Aqueous Species Options'!G333), "", 'Aqueous Species Options'!G333), ('Aqueous Species Table'!I333/10 + ('Aqueous Species Table'!J333*100)/(Calculations!$C$12+Calculations!$C$9) + ('Aqueous Species Table'!K333 + ('Aqueous Species Table'!L333*10000)/(Calculations!$C$12+Calculations!$C$9))*(1/(Calculations!$C$8-Calculations!$C$13)) - 'Aqueous Species Table'!O333*100000*0.0000005903)*41.8393))</f>
        <v/>
      </c>
      <c r="H333" s="29" t="str">
        <f>IF(ISBLANK('Aqueous Species Options'!B333), "", IF('Aqueous Species Options'!L333 = 1, IF(ISBLANK('Aqueous Species Options'!H333), "", 'Aqueous Species Options'!H333), 'Aqueous Species Table'!M333 + 'Aqueous Species Table'!N333*10000*(1/(Calculations!$C$8-Calculations!$C$13))^2 + 'Aqueous Species Table'!O333*100000*Calculations!$C$8*Calculations!$C$7))</f>
        <v/>
      </c>
      <c r="I333" s="42" t="str">
        <f>IF(ISBLANK('Aqueous Species Options'!B333), "", IF('Aqueous Species Options'!L333=0, 'Aqueous Species Options'!N333, IF(OR(ISBLANK('Aqueous Species Options'!G333),'Aqueous Species Table'!O333="", 'Aqueous Species Table'!P333=""), "", IF('Aqueous Species Options'!B333="H+", 0, (CHOOSE('Aqueous Species Options'!M333+1,'Aqueous Species Options'!$V$4*ABS('Aqueous Species Table'!P333)+'Aqueous Species Options'!$W$4,'Aqueous Species Options'!$Z$4)*('Aqueous Species Options'!G333 + 'Aqueous Species Table'!O333*100000*0.0000005903*41.8393) + CHOOSE('Aqueous Species Options'!M333+1,'Aqueous Species Options'!$X$4*ABS('Aqueous Species Table'!P333)+'Aqueous Species Options'!$Y$4,'Aqueous Species Options'!$AA$4))*10 ) ) ) )</f>
        <v/>
      </c>
      <c r="J333" s="42" t="str">
        <f>IF(ISBLANK('Aqueous Species Options'!B333), "", IF('Aqueous Species Options'!L333 = 0, 'Aqueous Species Options'!O333, IF('Aqueous Species Table'!I333="", "", IF('Aqueous Species Options'!B333="H+", 0, ((1.11*('Aqueous Species Options'!G333 + 'Aqueous Species Table'!O333*100000*0.0000005903*41.8393)+1.8)/41.8393 - 'Aqueous Species Table'!I333/10)*26.01 ) ) ) )</f>
        <v/>
      </c>
      <c r="K333" s="42" t="str">
        <f>IF(ISBLANK('Aqueous Species Options'!B333), "", IF('Aqueous Species Options'!L333 = 0, 'Aqueous Species Options'!P333, IF('Aqueous Species Table'!I333="", "", IF('Aqueous Species Options'!B333="H+", 0, ('Aqueous Species Options'!G333/41.8393 + 'Aqueous Species Table'!O333*100000*0.0000005903 - 'Aqueous Species Table'!I333/10 - 'Aqueous Species Table'!J333*100/2601)*(298.15-228) - ('Aqueous Species Table'!L333*10000/2601) ) ) ) )</f>
        <v/>
      </c>
      <c r="L333" s="42" t="str">
        <f>IF(ISBLANK('Aqueous Species Options'!B333), "", IF('Aqueous Species Options'!L333 = 0, 'Aqueous Species Options'!Q333, IF('Aqueous Species Table'!J333="", "", IF('Aqueous Species Options'!B333="H+", 0, (-4.134*'Aqueous Species Table'!J333*100 - 27790)*0.0001) ) ) )</f>
        <v/>
      </c>
      <c r="M333" s="42" t="str">
        <f>IF(ISBLANK('Aqueous Species Options'!B333), "", IF('Aqueous Species Options'!L333=0, 'Aqueous Species Options'!R333, IF('Aqueous Species Table'!N333="", "", IF('Aqueous Species Options'!B333="H+", 0, 'Aqueous Species Options'!H333 - 'Aqueous Species Table'!O333*100000*(-0.000000309)*298.15 - 'Aqueous Species Table'!N333*10000/(298.15-228)^2 ) ) ) )</f>
        <v/>
      </c>
      <c r="N333" s="42" t="str">
        <f>IF(ISBLANK('Aqueous Species Options'!B333), "", IF('Aqueous Species Options'!L333=0, 'Aqueous Species Options'!S333, IF(OR(ISBLANK('Aqueous Species Options'!H333), 'Aqueous Species Table'!O333=""), "", IF('Aqueous Species Options'!B333="H+", 0, 0.2037*'Aqueous Species Options'!H333 - 3.0346) ) ) )</f>
        <v/>
      </c>
      <c r="O333" s="42" t="str">
        <f>IF(ISBLANK('Aqueous Species Options'!B333), "", IF('Aqueous Species Options'!K333=0, 'Aqueous Species Options'!I333, IF(OR('Aqueous Species Options'!J333&gt;4,'Aqueous Species Options'!J333&lt;-4), "", IF('Aqueous Species Options'!B333="H+", 0, IF('Aqueous Species Options'!J333=0, -0.038, IF(ISBLANK('Aqueous Species Options'!F333), "", -1514.4*'Aqueous Species Options'!F333*0.00001 + SUM(({4,3,2,1,-1,-2,-3,-4}='Aqueous Species Options'!J333)*{2.1764,1.5793,1.0579,0.5517,1.6291,3.2127,4.8115,6.486}) ) ) ) ) ) )</f>
        <v/>
      </c>
      <c r="P333" s="1" t="str">
        <f>IF(ISBLANK('Aqueous Species Options'!J333), "", 'Aqueous Species Options'!J333)</f>
        <v/>
      </c>
      <c r="Q333" s="184" t="str">
        <f>IF(ISBLANK('Aqueous Species Options'!T333), "", 'Aqueous Species Options'!T333)</f>
        <v/>
      </c>
    </row>
    <row r="334" spans="2:17" ht="16" x14ac:dyDescent="0.2">
      <c r="B334" s="9" t="str">
        <f>IF(ISBLANK('Aqueous Species Options'!B334), "", 'Aqueous Species Options'!B334)</f>
        <v/>
      </c>
      <c r="C334" s="9" t="str">
        <f>IF(ISBLANK('Aqueous Species Options'!C334), "", 'Aqueous Species Options'!C334)</f>
        <v/>
      </c>
      <c r="D334" s="2" t="str">
        <f>IF(ISBLANK('Aqueous Species Options'!D334), "", 'Aqueous Species Options'!D334)</f>
        <v/>
      </c>
      <c r="E334" s="1" t="str">
        <f>IF(ISBLANK('Aqueous Species Options'!E334), "", 'Aqueous Species Options'!E334)</f>
        <v/>
      </c>
      <c r="F334" s="139" t="str">
        <f>IF(ISBLANK('Aqueous Species Options'!F334), "", 'Aqueous Species Options'!F334)</f>
        <v/>
      </c>
      <c r="G334" s="29" t="str">
        <f>IF(ISBLANK('Aqueous Species Options'!B334), "", IF('Aqueous Species Options'!L334 = 1, IF(ISBLANK('Aqueous Species Options'!G334), "", 'Aqueous Species Options'!G334), ('Aqueous Species Table'!I334/10 + ('Aqueous Species Table'!J334*100)/(Calculations!$C$12+Calculations!$C$9) + ('Aqueous Species Table'!K334 + ('Aqueous Species Table'!L334*10000)/(Calculations!$C$12+Calculations!$C$9))*(1/(Calculations!$C$8-Calculations!$C$13)) - 'Aqueous Species Table'!O334*100000*0.0000005903)*41.8393))</f>
        <v/>
      </c>
      <c r="H334" s="29" t="str">
        <f>IF(ISBLANK('Aqueous Species Options'!B334), "", IF('Aqueous Species Options'!L334 = 1, IF(ISBLANK('Aqueous Species Options'!H334), "", 'Aqueous Species Options'!H334), 'Aqueous Species Table'!M334 + 'Aqueous Species Table'!N334*10000*(1/(Calculations!$C$8-Calculations!$C$13))^2 + 'Aqueous Species Table'!O334*100000*Calculations!$C$8*Calculations!$C$7))</f>
        <v/>
      </c>
      <c r="I334" s="42" t="str">
        <f>IF(ISBLANK('Aqueous Species Options'!B334), "", IF('Aqueous Species Options'!L334=0, 'Aqueous Species Options'!N334, IF(OR(ISBLANK('Aqueous Species Options'!G334),'Aqueous Species Table'!O334="", 'Aqueous Species Table'!P334=""), "", IF('Aqueous Species Options'!B334="H+", 0, (CHOOSE('Aqueous Species Options'!M334+1,'Aqueous Species Options'!$V$4*ABS('Aqueous Species Table'!P334)+'Aqueous Species Options'!$W$4,'Aqueous Species Options'!$Z$4)*('Aqueous Species Options'!G334 + 'Aqueous Species Table'!O334*100000*0.0000005903*41.8393) + CHOOSE('Aqueous Species Options'!M334+1,'Aqueous Species Options'!$X$4*ABS('Aqueous Species Table'!P334)+'Aqueous Species Options'!$Y$4,'Aqueous Species Options'!$AA$4))*10 ) ) ) )</f>
        <v/>
      </c>
      <c r="J334" s="42" t="str">
        <f>IF(ISBLANK('Aqueous Species Options'!B334), "", IF('Aqueous Species Options'!L334 = 0, 'Aqueous Species Options'!O334, IF('Aqueous Species Table'!I334="", "", IF('Aqueous Species Options'!B334="H+", 0, ((1.11*('Aqueous Species Options'!G334 + 'Aqueous Species Table'!O334*100000*0.0000005903*41.8393)+1.8)/41.8393 - 'Aqueous Species Table'!I334/10)*26.01 ) ) ) )</f>
        <v/>
      </c>
      <c r="K334" s="42" t="str">
        <f>IF(ISBLANK('Aqueous Species Options'!B334), "", IF('Aqueous Species Options'!L334 = 0, 'Aqueous Species Options'!P334, IF('Aqueous Species Table'!I334="", "", IF('Aqueous Species Options'!B334="H+", 0, ('Aqueous Species Options'!G334/41.8393 + 'Aqueous Species Table'!O334*100000*0.0000005903 - 'Aqueous Species Table'!I334/10 - 'Aqueous Species Table'!J334*100/2601)*(298.15-228) - ('Aqueous Species Table'!L334*10000/2601) ) ) ) )</f>
        <v/>
      </c>
      <c r="L334" s="42" t="str">
        <f>IF(ISBLANK('Aqueous Species Options'!B334), "", IF('Aqueous Species Options'!L334 = 0, 'Aqueous Species Options'!Q334, IF('Aqueous Species Table'!J334="", "", IF('Aqueous Species Options'!B334="H+", 0, (-4.134*'Aqueous Species Table'!J334*100 - 27790)*0.0001) ) ) )</f>
        <v/>
      </c>
      <c r="M334" s="42" t="str">
        <f>IF(ISBLANK('Aqueous Species Options'!B334), "", IF('Aqueous Species Options'!L334=0, 'Aqueous Species Options'!R334, IF('Aqueous Species Table'!N334="", "", IF('Aqueous Species Options'!B334="H+", 0, 'Aqueous Species Options'!H334 - 'Aqueous Species Table'!O334*100000*(-0.000000309)*298.15 - 'Aqueous Species Table'!N334*10000/(298.15-228)^2 ) ) ) )</f>
        <v/>
      </c>
      <c r="N334" s="42" t="str">
        <f>IF(ISBLANK('Aqueous Species Options'!B334), "", IF('Aqueous Species Options'!L334=0, 'Aqueous Species Options'!S334, IF(OR(ISBLANK('Aqueous Species Options'!H334), 'Aqueous Species Table'!O334=""), "", IF('Aqueous Species Options'!B334="H+", 0, 0.2037*'Aqueous Species Options'!H334 - 3.0346) ) ) )</f>
        <v/>
      </c>
      <c r="O334" s="42" t="str">
        <f>IF(ISBLANK('Aqueous Species Options'!B334), "", IF('Aqueous Species Options'!K334=0, 'Aqueous Species Options'!I334, IF(OR('Aqueous Species Options'!J334&gt;4,'Aqueous Species Options'!J334&lt;-4), "", IF('Aqueous Species Options'!B334="H+", 0, IF('Aqueous Species Options'!J334=0, -0.038, IF(ISBLANK('Aqueous Species Options'!F334), "", -1514.4*'Aqueous Species Options'!F334*0.00001 + SUM(({4,3,2,1,-1,-2,-3,-4}='Aqueous Species Options'!J334)*{2.1764,1.5793,1.0579,0.5517,1.6291,3.2127,4.8115,6.486}) ) ) ) ) ) )</f>
        <v/>
      </c>
      <c r="P334" s="1" t="str">
        <f>IF(ISBLANK('Aqueous Species Options'!J334), "", 'Aqueous Species Options'!J334)</f>
        <v/>
      </c>
      <c r="Q334" s="184" t="str">
        <f>IF(ISBLANK('Aqueous Species Options'!T334), "", 'Aqueous Species Options'!T334)</f>
        <v/>
      </c>
    </row>
    <row r="335" spans="2:17" ht="16" x14ac:dyDescent="0.2">
      <c r="B335" s="9" t="str">
        <f>IF(ISBLANK('Aqueous Species Options'!B335), "", 'Aqueous Species Options'!B335)</f>
        <v/>
      </c>
      <c r="C335" s="9" t="str">
        <f>IF(ISBLANK('Aqueous Species Options'!C335), "", 'Aqueous Species Options'!C335)</f>
        <v/>
      </c>
      <c r="D335" s="2" t="str">
        <f>IF(ISBLANK('Aqueous Species Options'!D335), "", 'Aqueous Species Options'!D335)</f>
        <v/>
      </c>
      <c r="E335" s="1" t="str">
        <f>IF(ISBLANK('Aqueous Species Options'!E335), "", 'Aqueous Species Options'!E335)</f>
        <v/>
      </c>
      <c r="F335" s="139" t="str">
        <f>IF(ISBLANK('Aqueous Species Options'!F335), "", 'Aqueous Species Options'!F335)</f>
        <v/>
      </c>
      <c r="G335" s="29" t="str">
        <f>IF(ISBLANK('Aqueous Species Options'!B335), "", IF('Aqueous Species Options'!L335 = 1, IF(ISBLANK('Aqueous Species Options'!G335), "", 'Aqueous Species Options'!G335), ('Aqueous Species Table'!I335/10 + ('Aqueous Species Table'!J335*100)/(Calculations!$C$12+Calculations!$C$9) + ('Aqueous Species Table'!K335 + ('Aqueous Species Table'!L335*10000)/(Calculations!$C$12+Calculations!$C$9))*(1/(Calculations!$C$8-Calculations!$C$13)) - 'Aqueous Species Table'!O335*100000*0.0000005903)*41.8393))</f>
        <v/>
      </c>
      <c r="H335" s="29" t="str">
        <f>IF(ISBLANK('Aqueous Species Options'!B335), "", IF('Aqueous Species Options'!L335 = 1, IF(ISBLANK('Aqueous Species Options'!H335), "", 'Aqueous Species Options'!H335), 'Aqueous Species Table'!M335 + 'Aqueous Species Table'!N335*10000*(1/(Calculations!$C$8-Calculations!$C$13))^2 + 'Aqueous Species Table'!O335*100000*Calculations!$C$8*Calculations!$C$7))</f>
        <v/>
      </c>
      <c r="I335" s="42" t="str">
        <f>IF(ISBLANK('Aqueous Species Options'!B335), "", IF('Aqueous Species Options'!L335=0, 'Aqueous Species Options'!N335, IF(OR(ISBLANK('Aqueous Species Options'!G335),'Aqueous Species Table'!O335="", 'Aqueous Species Table'!P335=""), "", IF('Aqueous Species Options'!B335="H+", 0, (CHOOSE('Aqueous Species Options'!M335+1,'Aqueous Species Options'!$V$4*ABS('Aqueous Species Table'!P335)+'Aqueous Species Options'!$W$4,'Aqueous Species Options'!$Z$4)*('Aqueous Species Options'!G335 + 'Aqueous Species Table'!O335*100000*0.0000005903*41.8393) + CHOOSE('Aqueous Species Options'!M335+1,'Aqueous Species Options'!$X$4*ABS('Aqueous Species Table'!P335)+'Aqueous Species Options'!$Y$4,'Aqueous Species Options'!$AA$4))*10 ) ) ) )</f>
        <v/>
      </c>
      <c r="J335" s="42" t="str">
        <f>IF(ISBLANK('Aqueous Species Options'!B335), "", IF('Aqueous Species Options'!L335 = 0, 'Aqueous Species Options'!O335, IF('Aqueous Species Table'!I335="", "", IF('Aqueous Species Options'!B335="H+", 0, ((1.11*('Aqueous Species Options'!G335 + 'Aqueous Species Table'!O335*100000*0.0000005903*41.8393)+1.8)/41.8393 - 'Aqueous Species Table'!I335/10)*26.01 ) ) ) )</f>
        <v/>
      </c>
      <c r="K335" s="42" t="str">
        <f>IF(ISBLANK('Aqueous Species Options'!B335), "", IF('Aqueous Species Options'!L335 = 0, 'Aqueous Species Options'!P335, IF('Aqueous Species Table'!I335="", "", IF('Aqueous Species Options'!B335="H+", 0, ('Aqueous Species Options'!G335/41.8393 + 'Aqueous Species Table'!O335*100000*0.0000005903 - 'Aqueous Species Table'!I335/10 - 'Aqueous Species Table'!J335*100/2601)*(298.15-228) - ('Aqueous Species Table'!L335*10000/2601) ) ) ) )</f>
        <v/>
      </c>
      <c r="L335" s="42" t="str">
        <f>IF(ISBLANK('Aqueous Species Options'!B335), "", IF('Aqueous Species Options'!L335 = 0, 'Aqueous Species Options'!Q335, IF('Aqueous Species Table'!J335="", "", IF('Aqueous Species Options'!B335="H+", 0, (-4.134*'Aqueous Species Table'!J335*100 - 27790)*0.0001) ) ) )</f>
        <v/>
      </c>
      <c r="M335" s="42" t="str">
        <f>IF(ISBLANK('Aqueous Species Options'!B335), "", IF('Aqueous Species Options'!L335=0, 'Aqueous Species Options'!R335, IF('Aqueous Species Table'!N335="", "", IF('Aqueous Species Options'!B335="H+", 0, 'Aqueous Species Options'!H335 - 'Aqueous Species Table'!O335*100000*(-0.000000309)*298.15 - 'Aqueous Species Table'!N335*10000/(298.15-228)^2 ) ) ) )</f>
        <v/>
      </c>
      <c r="N335" s="42" t="str">
        <f>IF(ISBLANK('Aqueous Species Options'!B335), "", IF('Aqueous Species Options'!L335=0, 'Aqueous Species Options'!S335, IF(OR(ISBLANK('Aqueous Species Options'!H335), 'Aqueous Species Table'!O335=""), "", IF('Aqueous Species Options'!B335="H+", 0, 0.2037*'Aqueous Species Options'!H335 - 3.0346) ) ) )</f>
        <v/>
      </c>
      <c r="O335" s="42" t="str">
        <f>IF(ISBLANK('Aqueous Species Options'!B335), "", IF('Aqueous Species Options'!K335=0, 'Aqueous Species Options'!I335, IF(OR('Aqueous Species Options'!J335&gt;4,'Aqueous Species Options'!J335&lt;-4), "", IF('Aqueous Species Options'!B335="H+", 0, IF('Aqueous Species Options'!J335=0, -0.038, IF(ISBLANK('Aqueous Species Options'!F335), "", -1514.4*'Aqueous Species Options'!F335*0.00001 + SUM(({4,3,2,1,-1,-2,-3,-4}='Aqueous Species Options'!J335)*{2.1764,1.5793,1.0579,0.5517,1.6291,3.2127,4.8115,6.486}) ) ) ) ) ) )</f>
        <v/>
      </c>
      <c r="P335" s="1" t="str">
        <f>IF(ISBLANK('Aqueous Species Options'!J335), "", 'Aqueous Species Options'!J335)</f>
        <v/>
      </c>
      <c r="Q335" s="184" t="str">
        <f>IF(ISBLANK('Aqueous Species Options'!T335), "", 'Aqueous Species Options'!T335)</f>
        <v/>
      </c>
    </row>
    <row r="336" spans="2:17" ht="16" x14ac:dyDescent="0.2">
      <c r="B336" s="9" t="str">
        <f>IF(ISBLANK('Aqueous Species Options'!B336), "", 'Aqueous Species Options'!B336)</f>
        <v/>
      </c>
      <c r="C336" s="9" t="str">
        <f>IF(ISBLANK('Aqueous Species Options'!C336), "", 'Aqueous Species Options'!C336)</f>
        <v/>
      </c>
      <c r="D336" s="2" t="str">
        <f>IF(ISBLANK('Aqueous Species Options'!D336), "", 'Aqueous Species Options'!D336)</f>
        <v/>
      </c>
      <c r="E336" s="1" t="str">
        <f>IF(ISBLANK('Aqueous Species Options'!E336), "", 'Aqueous Species Options'!E336)</f>
        <v/>
      </c>
      <c r="F336" s="139" t="str">
        <f>IF(ISBLANK('Aqueous Species Options'!F336), "", 'Aqueous Species Options'!F336)</f>
        <v/>
      </c>
      <c r="G336" s="29" t="str">
        <f>IF(ISBLANK('Aqueous Species Options'!B336), "", IF('Aqueous Species Options'!L336 = 1, IF(ISBLANK('Aqueous Species Options'!G336), "", 'Aqueous Species Options'!G336), ('Aqueous Species Table'!I336/10 + ('Aqueous Species Table'!J336*100)/(Calculations!$C$12+Calculations!$C$9) + ('Aqueous Species Table'!K336 + ('Aqueous Species Table'!L336*10000)/(Calculations!$C$12+Calculations!$C$9))*(1/(Calculations!$C$8-Calculations!$C$13)) - 'Aqueous Species Table'!O336*100000*0.0000005903)*41.8393))</f>
        <v/>
      </c>
      <c r="H336" s="29" t="str">
        <f>IF(ISBLANK('Aqueous Species Options'!B336), "", IF('Aqueous Species Options'!L336 = 1, IF(ISBLANK('Aqueous Species Options'!H336), "", 'Aqueous Species Options'!H336), 'Aqueous Species Table'!M336 + 'Aqueous Species Table'!N336*10000*(1/(Calculations!$C$8-Calculations!$C$13))^2 + 'Aqueous Species Table'!O336*100000*Calculations!$C$8*Calculations!$C$7))</f>
        <v/>
      </c>
      <c r="I336" s="42" t="str">
        <f>IF(ISBLANK('Aqueous Species Options'!B336), "", IF('Aqueous Species Options'!L336=0, 'Aqueous Species Options'!N336, IF(OR(ISBLANK('Aqueous Species Options'!G336),'Aqueous Species Table'!O336="", 'Aqueous Species Table'!P336=""), "", IF('Aqueous Species Options'!B336="H+", 0, (CHOOSE('Aqueous Species Options'!M336+1,'Aqueous Species Options'!$V$4*ABS('Aqueous Species Table'!P336)+'Aqueous Species Options'!$W$4,'Aqueous Species Options'!$Z$4)*('Aqueous Species Options'!G336 + 'Aqueous Species Table'!O336*100000*0.0000005903*41.8393) + CHOOSE('Aqueous Species Options'!M336+1,'Aqueous Species Options'!$X$4*ABS('Aqueous Species Table'!P336)+'Aqueous Species Options'!$Y$4,'Aqueous Species Options'!$AA$4))*10 ) ) ) )</f>
        <v/>
      </c>
      <c r="J336" s="42" t="str">
        <f>IF(ISBLANK('Aqueous Species Options'!B336), "", IF('Aqueous Species Options'!L336 = 0, 'Aqueous Species Options'!O336, IF('Aqueous Species Table'!I336="", "", IF('Aqueous Species Options'!B336="H+", 0, ((1.11*('Aqueous Species Options'!G336 + 'Aqueous Species Table'!O336*100000*0.0000005903*41.8393)+1.8)/41.8393 - 'Aqueous Species Table'!I336/10)*26.01 ) ) ) )</f>
        <v/>
      </c>
      <c r="K336" s="42" t="str">
        <f>IF(ISBLANK('Aqueous Species Options'!B336), "", IF('Aqueous Species Options'!L336 = 0, 'Aqueous Species Options'!P336, IF('Aqueous Species Table'!I336="", "", IF('Aqueous Species Options'!B336="H+", 0, ('Aqueous Species Options'!G336/41.8393 + 'Aqueous Species Table'!O336*100000*0.0000005903 - 'Aqueous Species Table'!I336/10 - 'Aqueous Species Table'!J336*100/2601)*(298.15-228) - ('Aqueous Species Table'!L336*10000/2601) ) ) ) )</f>
        <v/>
      </c>
      <c r="L336" s="42" t="str">
        <f>IF(ISBLANK('Aqueous Species Options'!B336), "", IF('Aqueous Species Options'!L336 = 0, 'Aqueous Species Options'!Q336, IF('Aqueous Species Table'!J336="", "", IF('Aqueous Species Options'!B336="H+", 0, (-4.134*'Aqueous Species Table'!J336*100 - 27790)*0.0001) ) ) )</f>
        <v/>
      </c>
      <c r="M336" s="42" t="str">
        <f>IF(ISBLANK('Aqueous Species Options'!B336), "", IF('Aqueous Species Options'!L336=0, 'Aqueous Species Options'!R336, IF('Aqueous Species Table'!N336="", "", IF('Aqueous Species Options'!B336="H+", 0, 'Aqueous Species Options'!H336 - 'Aqueous Species Table'!O336*100000*(-0.000000309)*298.15 - 'Aqueous Species Table'!N336*10000/(298.15-228)^2 ) ) ) )</f>
        <v/>
      </c>
      <c r="N336" s="42" t="str">
        <f>IF(ISBLANK('Aqueous Species Options'!B336), "", IF('Aqueous Species Options'!L336=0, 'Aqueous Species Options'!S336, IF(OR(ISBLANK('Aqueous Species Options'!H336), 'Aqueous Species Table'!O336=""), "", IF('Aqueous Species Options'!B336="H+", 0, 0.2037*'Aqueous Species Options'!H336 - 3.0346) ) ) )</f>
        <v/>
      </c>
      <c r="O336" s="42" t="str">
        <f>IF(ISBLANK('Aqueous Species Options'!B336), "", IF('Aqueous Species Options'!K336=0, 'Aqueous Species Options'!I336, IF(OR('Aqueous Species Options'!J336&gt;4,'Aqueous Species Options'!J336&lt;-4), "", IF('Aqueous Species Options'!B336="H+", 0, IF('Aqueous Species Options'!J336=0, -0.038, IF(ISBLANK('Aqueous Species Options'!F336), "", -1514.4*'Aqueous Species Options'!F336*0.00001 + SUM(({4,3,2,1,-1,-2,-3,-4}='Aqueous Species Options'!J336)*{2.1764,1.5793,1.0579,0.5517,1.6291,3.2127,4.8115,6.486}) ) ) ) ) ) )</f>
        <v/>
      </c>
      <c r="P336" s="1" t="str">
        <f>IF(ISBLANK('Aqueous Species Options'!J336), "", 'Aqueous Species Options'!J336)</f>
        <v/>
      </c>
      <c r="Q336" s="184" t="str">
        <f>IF(ISBLANK('Aqueous Species Options'!T336), "", 'Aqueous Species Options'!T336)</f>
        <v/>
      </c>
    </row>
    <row r="337" spans="2:17" ht="16" x14ac:dyDescent="0.2">
      <c r="B337" s="9" t="str">
        <f>IF(ISBLANK('Aqueous Species Options'!B337), "", 'Aqueous Species Options'!B337)</f>
        <v/>
      </c>
      <c r="C337" s="9" t="str">
        <f>IF(ISBLANK('Aqueous Species Options'!C337), "", 'Aqueous Species Options'!C337)</f>
        <v/>
      </c>
      <c r="D337" s="2" t="str">
        <f>IF(ISBLANK('Aqueous Species Options'!D337), "", 'Aqueous Species Options'!D337)</f>
        <v/>
      </c>
      <c r="E337" s="1" t="str">
        <f>IF(ISBLANK('Aqueous Species Options'!E337), "", 'Aqueous Species Options'!E337)</f>
        <v/>
      </c>
      <c r="F337" s="139" t="str">
        <f>IF(ISBLANK('Aqueous Species Options'!F337), "", 'Aqueous Species Options'!F337)</f>
        <v/>
      </c>
      <c r="G337" s="29" t="str">
        <f>IF(ISBLANK('Aqueous Species Options'!B337), "", IF('Aqueous Species Options'!L337 = 1, IF(ISBLANK('Aqueous Species Options'!G337), "", 'Aqueous Species Options'!G337), ('Aqueous Species Table'!I337/10 + ('Aqueous Species Table'!J337*100)/(Calculations!$C$12+Calculations!$C$9) + ('Aqueous Species Table'!K337 + ('Aqueous Species Table'!L337*10000)/(Calculations!$C$12+Calculations!$C$9))*(1/(Calculations!$C$8-Calculations!$C$13)) - 'Aqueous Species Table'!O337*100000*0.0000005903)*41.8393))</f>
        <v/>
      </c>
      <c r="H337" s="29" t="str">
        <f>IF(ISBLANK('Aqueous Species Options'!B337), "", IF('Aqueous Species Options'!L337 = 1, IF(ISBLANK('Aqueous Species Options'!H337), "", 'Aqueous Species Options'!H337), 'Aqueous Species Table'!M337 + 'Aqueous Species Table'!N337*10000*(1/(Calculations!$C$8-Calculations!$C$13))^2 + 'Aqueous Species Table'!O337*100000*Calculations!$C$8*Calculations!$C$7))</f>
        <v/>
      </c>
      <c r="I337" s="42" t="str">
        <f>IF(ISBLANK('Aqueous Species Options'!B337), "", IF('Aqueous Species Options'!L337=0, 'Aqueous Species Options'!N337, IF(OR(ISBLANK('Aqueous Species Options'!G337),'Aqueous Species Table'!O337="", 'Aqueous Species Table'!P337=""), "", IF('Aqueous Species Options'!B337="H+", 0, (CHOOSE('Aqueous Species Options'!M337+1,'Aqueous Species Options'!$V$4*ABS('Aqueous Species Table'!P337)+'Aqueous Species Options'!$W$4,'Aqueous Species Options'!$Z$4)*('Aqueous Species Options'!G337 + 'Aqueous Species Table'!O337*100000*0.0000005903*41.8393) + CHOOSE('Aqueous Species Options'!M337+1,'Aqueous Species Options'!$X$4*ABS('Aqueous Species Table'!P337)+'Aqueous Species Options'!$Y$4,'Aqueous Species Options'!$AA$4))*10 ) ) ) )</f>
        <v/>
      </c>
      <c r="J337" s="42" t="str">
        <f>IF(ISBLANK('Aqueous Species Options'!B337), "", IF('Aqueous Species Options'!L337 = 0, 'Aqueous Species Options'!O337, IF('Aqueous Species Table'!I337="", "", IF('Aqueous Species Options'!B337="H+", 0, ((1.11*('Aqueous Species Options'!G337 + 'Aqueous Species Table'!O337*100000*0.0000005903*41.8393)+1.8)/41.8393 - 'Aqueous Species Table'!I337/10)*26.01 ) ) ) )</f>
        <v/>
      </c>
      <c r="K337" s="42" t="str">
        <f>IF(ISBLANK('Aqueous Species Options'!B337), "", IF('Aqueous Species Options'!L337 = 0, 'Aqueous Species Options'!P337, IF('Aqueous Species Table'!I337="", "", IF('Aqueous Species Options'!B337="H+", 0, ('Aqueous Species Options'!G337/41.8393 + 'Aqueous Species Table'!O337*100000*0.0000005903 - 'Aqueous Species Table'!I337/10 - 'Aqueous Species Table'!J337*100/2601)*(298.15-228) - ('Aqueous Species Table'!L337*10000/2601) ) ) ) )</f>
        <v/>
      </c>
      <c r="L337" s="42" t="str">
        <f>IF(ISBLANK('Aqueous Species Options'!B337), "", IF('Aqueous Species Options'!L337 = 0, 'Aqueous Species Options'!Q337, IF('Aqueous Species Table'!J337="", "", IF('Aqueous Species Options'!B337="H+", 0, (-4.134*'Aqueous Species Table'!J337*100 - 27790)*0.0001) ) ) )</f>
        <v/>
      </c>
      <c r="M337" s="42" t="str">
        <f>IF(ISBLANK('Aqueous Species Options'!B337), "", IF('Aqueous Species Options'!L337=0, 'Aqueous Species Options'!R337, IF('Aqueous Species Table'!N337="", "", IF('Aqueous Species Options'!B337="H+", 0, 'Aqueous Species Options'!H337 - 'Aqueous Species Table'!O337*100000*(-0.000000309)*298.15 - 'Aqueous Species Table'!N337*10000/(298.15-228)^2 ) ) ) )</f>
        <v/>
      </c>
      <c r="N337" s="42" t="str">
        <f>IF(ISBLANK('Aqueous Species Options'!B337), "", IF('Aqueous Species Options'!L337=0, 'Aqueous Species Options'!S337, IF(OR(ISBLANK('Aqueous Species Options'!H337), 'Aqueous Species Table'!O337=""), "", IF('Aqueous Species Options'!B337="H+", 0, 0.2037*'Aqueous Species Options'!H337 - 3.0346) ) ) )</f>
        <v/>
      </c>
      <c r="O337" s="42" t="str">
        <f>IF(ISBLANK('Aqueous Species Options'!B337), "", IF('Aqueous Species Options'!K337=0, 'Aqueous Species Options'!I337, IF(OR('Aqueous Species Options'!J337&gt;4,'Aqueous Species Options'!J337&lt;-4), "", IF('Aqueous Species Options'!B337="H+", 0, IF('Aqueous Species Options'!J337=0, -0.038, IF(ISBLANK('Aqueous Species Options'!F337), "", -1514.4*'Aqueous Species Options'!F337*0.00001 + SUM(({4,3,2,1,-1,-2,-3,-4}='Aqueous Species Options'!J337)*{2.1764,1.5793,1.0579,0.5517,1.6291,3.2127,4.8115,6.486}) ) ) ) ) ) )</f>
        <v/>
      </c>
      <c r="P337" s="1" t="str">
        <f>IF(ISBLANK('Aqueous Species Options'!J337), "", 'Aqueous Species Options'!J337)</f>
        <v/>
      </c>
      <c r="Q337" s="184" t="str">
        <f>IF(ISBLANK('Aqueous Species Options'!T337), "", 'Aqueous Species Options'!T337)</f>
        <v/>
      </c>
    </row>
    <row r="338" spans="2:17" ht="16" x14ac:dyDescent="0.2">
      <c r="B338" s="9" t="str">
        <f>IF(ISBLANK('Aqueous Species Options'!B338), "", 'Aqueous Species Options'!B338)</f>
        <v/>
      </c>
      <c r="C338" s="9" t="str">
        <f>IF(ISBLANK('Aqueous Species Options'!C338), "", 'Aqueous Species Options'!C338)</f>
        <v/>
      </c>
      <c r="D338" s="2" t="str">
        <f>IF(ISBLANK('Aqueous Species Options'!D338), "", 'Aqueous Species Options'!D338)</f>
        <v/>
      </c>
      <c r="E338" s="1" t="str">
        <f>IF(ISBLANK('Aqueous Species Options'!E338), "", 'Aqueous Species Options'!E338)</f>
        <v/>
      </c>
      <c r="F338" s="139" t="str">
        <f>IF(ISBLANK('Aqueous Species Options'!F338), "", 'Aqueous Species Options'!F338)</f>
        <v/>
      </c>
      <c r="G338" s="29" t="str">
        <f>IF(ISBLANK('Aqueous Species Options'!B338), "", IF('Aqueous Species Options'!L338 = 1, IF(ISBLANK('Aqueous Species Options'!G338), "", 'Aqueous Species Options'!G338), ('Aqueous Species Table'!I338/10 + ('Aqueous Species Table'!J338*100)/(Calculations!$C$12+Calculations!$C$9) + ('Aqueous Species Table'!K338 + ('Aqueous Species Table'!L338*10000)/(Calculations!$C$12+Calculations!$C$9))*(1/(Calculations!$C$8-Calculations!$C$13)) - 'Aqueous Species Table'!O338*100000*0.0000005903)*41.8393))</f>
        <v/>
      </c>
      <c r="H338" s="29" t="str">
        <f>IF(ISBLANK('Aqueous Species Options'!B338), "", IF('Aqueous Species Options'!L338 = 1, IF(ISBLANK('Aqueous Species Options'!H338), "", 'Aqueous Species Options'!H338), 'Aqueous Species Table'!M338 + 'Aqueous Species Table'!N338*10000*(1/(Calculations!$C$8-Calculations!$C$13))^2 + 'Aqueous Species Table'!O338*100000*Calculations!$C$8*Calculations!$C$7))</f>
        <v/>
      </c>
      <c r="I338" s="42" t="str">
        <f>IF(ISBLANK('Aqueous Species Options'!B338), "", IF('Aqueous Species Options'!L338=0, 'Aqueous Species Options'!N338, IF(OR(ISBLANK('Aqueous Species Options'!G338),'Aqueous Species Table'!O338="", 'Aqueous Species Table'!P338=""), "", IF('Aqueous Species Options'!B338="H+", 0, (CHOOSE('Aqueous Species Options'!M338+1,'Aqueous Species Options'!$V$4*ABS('Aqueous Species Table'!P338)+'Aqueous Species Options'!$W$4,'Aqueous Species Options'!$Z$4)*('Aqueous Species Options'!G338 + 'Aqueous Species Table'!O338*100000*0.0000005903*41.8393) + CHOOSE('Aqueous Species Options'!M338+1,'Aqueous Species Options'!$X$4*ABS('Aqueous Species Table'!P338)+'Aqueous Species Options'!$Y$4,'Aqueous Species Options'!$AA$4))*10 ) ) ) )</f>
        <v/>
      </c>
      <c r="J338" s="42" t="str">
        <f>IF(ISBLANK('Aqueous Species Options'!B338), "", IF('Aqueous Species Options'!L338 = 0, 'Aqueous Species Options'!O338, IF('Aqueous Species Table'!I338="", "", IF('Aqueous Species Options'!B338="H+", 0, ((1.11*('Aqueous Species Options'!G338 + 'Aqueous Species Table'!O338*100000*0.0000005903*41.8393)+1.8)/41.8393 - 'Aqueous Species Table'!I338/10)*26.01 ) ) ) )</f>
        <v/>
      </c>
      <c r="K338" s="42" t="str">
        <f>IF(ISBLANK('Aqueous Species Options'!B338), "", IF('Aqueous Species Options'!L338 = 0, 'Aqueous Species Options'!P338, IF('Aqueous Species Table'!I338="", "", IF('Aqueous Species Options'!B338="H+", 0, ('Aqueous Species Options'!G338/41.8393 + 'Aqueous Species Table'!O338*100000*0.0000005903 - 'Aqueous Species Table'!I338/10 - 'Aqueous Species Table'!J338*100/2601)*(298.15-228) - ('Aqueous Species Table'!L338*10000/2601) ) ) ) )</f>
        <v/>
      </c>
      <c r="L338" s="42" t="str">
        <f>IF(ISBLANK('Aqueous Species Options'!B338), "", IF('Aqueous Species Options'!L338 = 0, 'Aqueous Species Options'!Q338, IF('Aqueous Species Table'!J338="", "", IF('Aqueous Species Options'!B338="H+", 0, (-4.134*'Aqueous Species Table'!J338*100 - 27790)*0.0001) ) ) )</f>
        <v/>
      </c>
      <c r="M338" s="42" t="str">
        <f>IF(ISBLANK('Aqueous Species Options'!B338), "", IF('Aqueous Species Options'!L338=0, 'Aqueous Species Options'!R338, IF('Aqueous Species Table'!N338="", "", IF('Aqueous Species Options'!B338="H+", 0, 'Aqueous Species Options'!H338 - 'Aqueous Species Table'!O338*100000*(-0.000000309)*298.15 - 'Aqueous Species Table'!N338*10000/(298.15-228)^2 ) ) ) )</f>
        <v/>
      </c>
      <c r="N338" s="42" t="str">
        <f>IF(ISBLANK('Aqueous Species Options'!B338), "", IF('Aqueous Species Options'!L338=0, 'Aqueous Species Options'!S338, IF(OR(ISBLANK('Aqueous Species Options'!H338), 'Aqueous Species Table'!O338=""), "", IF('Aqueous Species Options'!B338="H+", 0, 0.2037*'Aqueous Species Options'!H338 - 3.0346) ) ) )</f>
        <v/>
      </c>
      <c r="O338" s="42" t="str">
        <f>IF(ISBLANK('Aqueous Species Options'!B338), "", IF('Aqueous Species Options'!K338=0, 'Aqueous Species Options'!I338, IF(OR('Aqueous Species Options'!J338&gt;4,'Aqueous Species Options'!J338&lt;-4), "", IF('Aqueous Species Options'!B338="H+", 0, IF('Aqueous Species Options'!J338=0, -0.038, IF(ISBLANK('Aqueous Species Options'!F338), "", -1514.4*'Aqueous Species Options'!F338*0.00001 + SUM(({4,3,2,1,-1,-2,-3,-4}='Aqueous Species Options'!J338)*{2.1764,1.5793,1.0579,0.5517,1.6291,3.2127,4.8115,6.486}) ) ) ) ) ) )</f>
        <v/>
      </c>
      <c r="P338" s="1" t="str">
        <f>IF(ISBLANK('Aqueous Species Options'!J338), "", 'Aqueous Species Options'!J338)</f>
        <v/>
      </c>
      <c r="Q338" s="184" t="str">
        <f>IF(ISBLANK('Aqueous Species Options'!T338), "", 'Aqueous Species Options'!T338)</f>
        <v/>
      </c>
    </row>
    <row r="339" spans="2:17" ht="16" x14ac:dyDescent="0.2">
      <c r="B339" s="9" t="str">
        <f>IF(ISBLANK('Aqueous Species Options'!B339), "", 'Aqueous Species Options'!B339)</f>
        <v/>
      </c>
      <c r="C339" s="9" t="str">
        <f>IF(ISBLANK('Aqueous Species Options'!C339), "", 'Aqueous Species Options'!C339)</f>
        <v/>
      </c>
      <c r="D339" s="2" t="str">
        <f>IF(ISBLANK('Aqueous Species Options'!D339), "", 'Aqueous Species Options'!D339)</f>
        <v/>
      </c>
      <c r="E339" s="1" t="str">
        <f>IF(ISBLANK('Aqueous Species Options'!E339), "", 'Aqueous Species Options'!E339)</f>
        <v/>
      </c>
      <c r="F339" s="139" t="str">
        <f>IF(ISBLANK('Aqueous Species Options'!F339), "", 'Aqueous Species Options'!F339)</f>
        <v/>
      </c>
      <c r="G339" s="29" t="str">
        <f>IF(ISBLANK('Aqueous Species Options'!B339), "", IF('Aqueous Species Options'!L339 = 1, IF(ISBLANK('Aqueous Species Options'!G339), "", 'Aqueous Species Options'!G339), ('Aqueous Species Table'!I339/10 + ('Aqueous Species Table'!J339*100)/(Calculations!$C$12+Calculations!$C$9) + ('Aqueous Species Table'!K339 + ('Aqueous Species Table'!L339*10000)/(Calculations!$C$12+Calculations!$C$9))*(1/(Calculations!$C$8-Calculations!$C$13)) - 'Aqueous Species Table'!O339*100000*0.0000005903)*41.8393))</f>
        <v/>
      </c>
      <c r="H339" s="29" t="str">
        <f>IF(ISBLANK('Aqueous Species Options'!B339), "", IF('Aqueous Species Options'!L339 = 1, IF(ISBLANK('Aqueous Species Options'!H339), "", 'Aqueous Species Options'!H339), 'Aqueous Species Table'!M339 + 'Aqueous Species Table'!N339*10000*(1/(Calculations!$C$8-Calculations!$C$13))^2 + 'Aqueous Species Table'!O339*100000*Calculations!$C$8*Calculations!$C$7))</f>
        <v/>
      </c>
      <c r="I339" s="42" t="str">
        <f>IF(ISBLANK('Aqueous Species Options'!B339), "", IF('Aqueous Species Options'!L339=0, 'Aqueous Species Options'!N339, IF(OR(ISBLANK('Aqueous Species Options'!G339),'Aqueous Species Table'!O339="", 'Aqueous Species Table'!P339=""), "", IF('Aqueous Species Options'!B339="H+", 0, (CHOOSE('Aqueous Species Options'!M339+1,'Aqueous Species Options'!$V$4*ABS('Aqueous Species Table'!P339)+'Aqueous Species Options'!$W$4,'Aqueous Species Options'!$Z$4)*('Aqueous Species Options'!G339 + 'Aqueous Species Table'!O339*100000*0.0000005903*41.8393) + CHOOSE('Aqueous Species Options'!M339+1,'Aqueous Species Options'!$X$4*ABS('Aqueous Species Table'!P339)+'Aqueous Species Options'!$Y$4,'Aqueous Species Options'!$AA$4))*10 ) ) ) )</f>
        <v/>
      </c>
      <c r="J339" s="42" t="str">
        <f>IF(ISBLANK('Aqueous Species Options'!B339), "", IF('Aqueous Species Options'!L339 = 0, 'Aqueous Species Options'!O339, IF('Aqueous Species Table'!I339="", "", IF('Aqueous Species Options'!B339="H+", 0, ((1.11*('Aqueous Species Options'!G339 + 'Aqueous Species Table'!O339*100000*0.0000005903*41.8393)+1.8)/41.8393 - 'Aqueous Species Table'!I339/10)*26.01 ) ) ) )</f>
        <v/>
      </c>
      <c r="K339" s="42" t="str">
        <f>IF(ISBLANK('Aqueous Species Options'!B339), "", IF('Aqueous Species Options'!L339 = 0, 'Aqueous Species Options'!P339, IF('Aqueous Species Table'!I339="", "", IF('Aqueous Species Options'!B339="H+", 0, ('Aqueous Species Options'!G339/41.8393 + 'Aqueous Species Table'!O339*100000*0.0000005903 - 'Aqueous Species Table'!I339/10 - 'Aqueous Species Table'!J339*100/2601)*(298.15-228) - ('Aqueous Species Table'!L339*10000/2601) ) ) ) )</f>
        <v/>
      </c>
      <c r="L339" s="42" t="str">
        <f>IF(ISBLANK('Aqueous Species Options'!B339), "", IF('Aqueous Species Options'!L339 = 0, 'Aqueous Species Options'!Q339, IF('Aqueous Species Table'!J339="", "", IF('Aqueous Species Options'!B339="H+", 0, (-4.134*'Aqueous Species Table'!J339*100 - 27790)*0.0001) ) ) )</f>
        <v/>
      </c>
      <c r="M339" s="42" t="str">
        <f>IF(ISBLANK('Aqueous Species Options'!B339), "", IF('Aqueous Species Options'!L339=0, 'Aqueous Species Options'!R339, IF('Aqueous Species Table'!N339="", "", IF('Aqueous Species Options'!B339="H+", 0, 'Aqueous Species Options'!H339 - 'Aqueous Species Table'!O339*100000*(-0.000000309)*298.15 - 'Aqueous Species Table'!N339*10000/(298.15-228)^2 ) ) ) )</f>
        <v/>
      </c>
      <c r="N339" s="42" t="str">
        <f>IF(ISBLANK('Aqueous Species Options'!B339), "", IF('Aqueous Species Options'!L339=0, 'Aqueous Species Options'!S339, IF(OR(ISBLANK('Aqueous Species Options'!H339), 'Aqueous Species Table'!O339=""), "", IF('Aqueous Species Options'!B339="H+", 0, 0.2037*'Aqueous Species Options'!H339 - 3.0346) ) ) )</f>
        <v/>
      </c>
      <c r="O339" s="42" t="str">
        <f>IF(ISBLANK('Aqueous Species Options'!B339), "", IF('Aqueous Species Options'!K339=0, 'Aqueous Species Options'!I339, IF(OR('Aqueous Species Options'!J339&gt;4,'Aqueous Species Options'!J339&lt;-4), "", IF('Aqueous Species Options'!B339="H+", 0, IF('Aqueous Species Options'!J339=0, -0.038, IF(ISBLANK('Aqueous Species Options'!F339), "", -1514.4*'Aqueous Species Options'!F339*0.00001 + SUM(({4,3,2,1,-1,-2,-3,-4}='Aqueous Species Options'!J339)*{2.1764,1.5793,1.0579,0.5517,1.6291,3.2127,4.8115,6.486}) ) ) ) ) ) )</f>
        <v/>
      </c>
      <c r="P339" s="1" t="str">
        <f>IF(ISBLANK('Aqueous Species Options'!J339), "", 'Aqueous Species Options'!J339)</f>
        <v/>
      </c>
      <c r="Q339" s="184" t="str">
        <f>IF(ISBLANK('Aqueous Species Options'!T339), "", 'Aqueous Species Options'!T339)</f>
        <v/>
      </c>
    </row>
    <row r="340" spans="2:17" ht="16" x14ac:dyDescent="0.2">
      <c r="B340" s="9" t="str">
        <f>IF(ISBLANK('Aqueous Species Options'!B340), "", 'Aqueous Species Options'!B340)</f>
        <v/>
      </c>
      <c r="C340" s="9" t="str">
        <f>IF(ISBLANK('Aqueous Species Options'!C340), "", 'Aqueous Species Options'!C340)</f>
        <v/>
      </c>
      <c r="D340" s="2" t="str">
        <f>IF(ISBLANK('Aqueous Species Options'!D340), "", 'Aqueous Species Options'!D340)</f>
        <v/>
      </c>
      <c r="E340" s="1" t="str">
        <f>IF(ISBLANK('Aqueous Species Options'!E340), "", 'Aqueous Species Options'!E340)</f>
        <v/>
      </c>
      <c r="F340" s="139" t="str">
        <f>IF(ISBLANK('Aqueous Species Options'!F340), "", 'Aqueous Species Options'!F340)</f>
        <v/>
      </c>
      <c r="G340" s="29" t="str">
        <f>IF(ISBLANK('Aqueous Species Options'!B340), "", IF('Aqueous Species Options'!L340 = 1, IF(ISBLANK('Aqueous Species Options'!G340), "", 'Aqueous Species Options'!G340), ('Aqueous Species Table'!I340/10 + ('Aqueous Species Table'!J340*100)/(Calculations!$C$12+Calculations!$C$9) + ('Aqueous Species Table'!K340 + ('Aqueous Species Table'!L340*10000)/(Calculations!$C$12+Calculations!$C$9))*(1/(Calculations!$C$8-Calculations!$C$13)) - 'Aqueous Species Table'!O340*100000*0.0000005903)*41.8393))</f>
        <v/>
      </c>
      <c r="H340" s="29" t="str">
        <f>IF(ISBLANK('Aqueous Species Options'!B340), "", IF('Aqueous Species Options'!L340 = 1, IF(ISBLANK('Aqueous Species Options'!H340), "", 'Aqueous Species Options'!H340), 'Aqueous Species Table'!M340 + 'Aqueous Species Table'!N340*10000*(1/(Calculations!$C$8-Calculations!$C$13))^2 + 'Aqueous Species Table'!O340*100000*Calculations!$C$8*Calculations!$C$7))</f>
        <v/>
      </c>
      <c r="I340" s="42" t="str">
        <f>IF(ISBLANK('Aqueous Species Options'!B340), "", IF('Aqueous Species Options'!L340=0, 'Aqueous Species Options'!N340, IF(OR(ISBLANK('Aqueous Species Options'!G340),'Aqueous Species Table'!O340="", 'Aqueous Species Table'!P340=""), "", IF('Aqueous Species Options'!B340="H+", 0, (CHOOSE('Aqueous Species Options'!M340+1,'Aqueous Species Options'!$V$4*ABS('Aqueous Species Table'!P340)+'Aqueous Species Options'!$W$4,'Aqueous Species Options'!$Z$4)*('Aqueous Species Options'!G340 + 'Aqueous Species Table'!O340*100000*0.0000005903*41.8393) + CHOOSE('Aqueous Species Options'!M340+1,'Aqueous Species Options'!$X$4*ABS('Aqueous Species Table'!P340)+'Aqueous Species Options'!$Y$4,'Aqueous Species Options'!$AA$4))*10 ) ) ) )</f>
        <v/>
      </c>
      <c r="J340" s="42" t="str">
        <f>IF(ISBLANK('Aqueous Species Options'!B340), "", IF('Aqueous Species Options'!L340 = 0, 'Aqueous Species Options'!O340, IF('Aqueous Species Table'!I340="", "", IF('Aqueous Species Options'!B340="H+", 0, ((1.11*('Aqueous Species Options'!G340 + 'Aqueous Species Table'!O340*100000*0.0000005903*41.8393)+1.8)/41.8393 - 'Aqueous Species Table'!I340/10)*26.01 ) ) ) )</f>
        <v/>
      </c>
      <c r="K340" s="42" t="str">
        <f>IF(ISBLANK('Aqueous Species Options'!B340), "", IF('Aqueous Species Options'!L340 = 0, 'Aqueous Species Options'!P340, IF('Aqueous Species Table'!I340="", "", IF('Aqueous Species Options'!B340="H+", 0, ('Aqueous Species Options'!G340/41.8393 + 'Aqueous Species Table'!O340*100000*0.0000005903 - 'Aqueous Species Table'!I340/10 - 'Aqueous Species Table'!J340*100/2601)*(298.15-228) - ('Aqueous Species Table'!L340*10000/2601) ) ) ) )</f>
        <v/>
      </c>
      <c r="L340" s="42" t="str">
        <f>IF(ISBLANK('Aqueous Species Options'!B340), "", IF('Aqueous Species Options'!L340 = 0, 'Aqueous Species Options'!Q340, IF('Aqueous Species Table'!J340="", "", IF('Aqueous Species Options'!B340="H+", 0, (-4.134*'Aqueous Species Table'!J340*100 - 27790)*0.0001) ) ) )</f>
        <v/>
      </c>
      <c r="M340" s="42" t="str">
        <f>IF(ISBLANK('Aqueous Species Options'!B340), "", IF('Aqueous Species Options'!L340=0, 'Aqueous Species Options'!R340, IF('Aqueous Species Table'!N340="", "", IF('Aqueous Species Options'!B340="H+", 0, 'Aqueous Species Options'!H340 - 'Aqueous Species Table'!O340*100000*(-0.000000309)*298.15 - 'Aqueous Species Table'!N340*10000/(298.15-228)^2 ) ) ) )</f>
        <v/>
      </c>
      <c r="N340" s="42" t="str">
        <f>IF(ISBLANK('Aqueous Species Options'!B340), "", IF('Aqueous Species Options'!L340=0, 'Aqueous Species Options'!S340, IF(OR(ISBLANK('Aqueous Species Options'!H340), 'Aqueous Species Table'!O340=""), "", IF('Aqueous Species Options'!B340="H+", 0, 0.2037*'Aqueous Species Options'!H340 - 3.0346) ) ) )</f>
        <v/>
      </c>
      <c r="O340" s="42" t="str">
        <f>IF(ISBLANK('Aqueous Species Options'!B340), "", IF('Aqueous Species Options'!K340=0, 'Aqueous Species Options'!I340, IF(OR('Aqueous Species Options'!J340&gt;4,'Aqueous Species Options'!J340&lt;-4), "", IF('Aqueous Species Options'!B340="H+", 0, IF('Aqueous Species Options'!J340=0, -0.038, IF(ISBLANK('Aqueous Species Options'!F340), "", -1514.4*'Aqueous Species Options'!F340*0.00001 + SUM(({4,3,2,1,-1,-2,-3,-4}='Aqueous Species Options'!J340)*{2.1764,1.5793,1.0579,0.5517,1.6291,3.2127,4.8115,6.486}) ) ) ) ) ) )</f>
        <v/>
      </c>
      <c r="P340" s="1" t="str">
        <f>IF(ISBLANK('Aqueous Species Options'!J340), "", 'Aqueous Species Options'!J340)</f>
        <v/>
      </c>
      <c r="Q340" s="184" t="str">
        <f>IF(ISBLANK('Aqueous Species Options'!T340), "", 'Aqueous Species Options'!T340)</f>
        <v/>
      </c>
    </row>
    <row r="341" spans="2:17" ht="16" x14ac:dyDescent="0.2">
      <c r="B341" s="9" t="str">
        <f>IF(ISBLANK('Aqueous Species Options'!B341), "", 'Aqueous Species Options'!B341)</f>
        <v/>
      </c>
      <c r="C341" s="9" t="str">
        <f>IF(ISBLANK('Aqueous Species Options'!C341), "", 'Aqueous Species Options'!C341)</f>
        <v/>
      </c>
      <c r="D341" s="2" t="str">
        <f>IF(ISBLANK('Aqueous Species Options'!D341), "", 'Aqueous Species Options'!D341)</f>
        <v/>
      </c>
      <c r="E341" s="1" t="str">
        <f>IF(ISBLANK('Aqueous Species Options'!E341), "", 'Aqueous Species Options'!E341)</f>
        <v/>
      </c>
      <c r="F341" s="139" t="str">
        <f>IF(ISBLANK('Aqueous Species Options'!F341), "", 'Aqueous Species Options'!F341)</f>
        <v/>
      </c>
      <c r="G341" s="29" t="str">
        <f>IF(ISBLANK('Aqueous Species Options'!B341), "", IF('Aqueous Species Options'!L341 = 1, IF(ISBLANK('Aqueous Species Options'!G341), "", 'Aqueous Species Options'!G341), ('Aqueous Species Table'!I341/10 + ('Aqueous Species Table'!J341*100)/(Calculations!$C$12+Calculations!$C$9) + ('Aqueous Species Table'!K341 + ('Aqueous Species Table'!L341*10000)/(Calculations!$C$12+Calculations!$C$9))*(1/(Calculations!$C$8-Calculations!$C$13)) - 'Aqueous Species Table'!O341*100000*0.0000005903)*41.8393))</f>
        <v/>
      </c>
      <c r="H341" s="29" t="str">
        <f>IF(ISBLANK('Aqueous Species Options'!B341), "", IF('Aqueous Species Options'!L341 = 1, IF(ISBLANK('Aqueous Species Options'!H341), "", 'Aqueous Species Options'!H341), 'Aqueous Species Table'!M341 + 'Aqueous Species Table'!N341*10000*(1/(Calculations!$C$8-Calculations!$C$13))^2 + 'Aqueous Species Table'!O341*100000*Calculations!$C$8*Calculations!$C$7))</f>
        <v/>
      </c>
      <c r="I341" s="42" t="str">
        <f>IF(ISBLANK('Aqueous Species Options'!B341), "", IF('Aqueous Species Options'!L341=0, 'Aqueous Species Options'!N341, IF(OR(ISBLANK('Aqueous Species Options'!G341),'Aqueous Species Table'!O341="", 'Aqueous Species Table'!P341=""), "", IF('Aqueous Species Options'!B341="H+", 0, (CHOOSE('Aqueous Species Options'!M341+1,'Aqueous Species Options'!$V$4*ABS('Aqueous Species Table'!P341)+'Aqueous Species Options'!$W$4,'Aqueous Species Options'!$Z$4)*('Aqueous Species Options'!G341 + 'Aqueous Species Table'!O341*100000*0.0000005903*41.8393) + CHOOSE('Aqueous Species Options'!M341+1,'Aqueous Species Options'!$X$4*ABS('Aqueous Species Table'!P341)+'Aqueous Species Options'!$Y$4,'Aqueous Species Options'!$AA$4))*10 ) ) ) )</f>
        <v/>
      </c>
      <c r="J341" s="42" t="str">
        <f>IF(ISBLANK('Aqueous Species Options'!B341), "", IF('Aqueous Species Options'!L341 = 0, 'Aqueous Species Options'!O341, IF('Aqueous Species Table'!I341="", "", IF('Aqueous Species Options'!B341="H+", 0, ((1.11*('Aqueous Species Options'!G341 + 'Aqueous Species Table'!O341*100000*0.0000005903*41.8393)+1.8)/41.8393 - 'Aqueous Species Table'!I341/10)*26.01 ) ) ) )</f>
        <v/>
      </c>
      <c r="K341" s="42" t="str">
        <f>IF(ISBLANK('Aqueous Species Options'!B341), "", IF('Aqueous Species Options'!L341 = 0, 'Aqueous Species Options'!P341, IF('Aqueous Species Table'!I341="", "", IF('Aqueous Species Options'!B341="H+", 0, ('Aqueous Species Options'!G341/41.8393 + 'Aqueous Species Table'!O341*100000*0.0000005903 - 'Aqueous Species Table'!I341/10 - 'Aqueous Species Table'!J341*100/2601)*(298.15-228) - ('Aqueous Species Table'!L341*10000/2601) ) ) ) )</f>
        <v/>
      </c>
      <c r="L341" s="42" t="str">
        <f>IF(ISBLANK('Aqueous Species Options'!B341), "", IF('Aqueous Species Options'!L341 = 0, 'Aqueous Species Options'!Q341, IF('Aqueous Species Table'!J341="", "", IF('Aqueous Species Options'!B341="H+", 0, (-4.134*'Aqueous Species Table'!J341*100 - 27790)*0.0001) ) ) )</f>
        <v/>
      </c>
      <c r="M341" s="42" t="str">
        <f>IF(ISBLANK('Aqueous Species Options'!B341), "", IF('Aqueous Species Options'!L341=0, 'Aqueous Species Options'!R341, IF('Aqueous Species Table'!N341="", "", IF('Aqueous Species Options'!B341="H+", 0, 'Aqueous Species Options'!H341 - 'Aqueous Species Table'!O341*100000*(-0.000000309)*298.15 - 'Aqueous Species Table'!N341*10000/(298.15-228)^2 ) ) ) )</f>
        <v/>
      </c>
      <c r="N341" s="42" t="str">
        <f>IF(ISBLANK('Aqueous Species Options'!B341), "", IF('Aqueous Species Options'!L341=0, 'Aqueous Species Options'!S341, IF(OR(ISBLANK('Aqueous Species Options'!H341), 'Aqueous Species Table'!O341=""), "", IF('Aqueous Species Options'!B341="H+", 0, 0.2037*'Aqueous Species Options'!H341 - 3.0346) ) ) )</f>
        <v/>
      </c>
      <c r="O341" s="42" t="str">
        <f>IF(ISBLANK('Aqueous Species Options'!B341), "", IF('Aqueous Species Options'!K341=0, 'Aqueous Species Options'!I341, IF(OR('Aqueous Species Options'!J341&gt;4,'Aqueous Species Options'!J341&lt;-4), "", IF('Aqueous Species Options'!B341="H+", 0, IF('Aqueous Species Options'!J341=0, -0.038, IF(ISBLANK('Aqueous Species Options'!F341), "", -1514.4*'Aqueous Species Options'!F341*0.00001 + SUM(({4,3,2,1,-1,-2,-3,-4}='Aqueous Species Options'!J341)*{2.1764,1.5793,1.0579,0.5517,1.6291,3.2127,4.8115,6.486}) ) ) ) ) ) )</f>
        <v/>
      </c>
      <c r="P341" s="1" t="str">
        <f>IF(ISBLANK('Aqueous Species Options'!J341), "", 'Aqueous Species Options'!J341)</f>
        <v/>
      </c>
      <c r="Q341" s="184" t="str">
        <f>IF(ISBLANK('Aqueous Species Options'!T341), "", 'Aqueous Species Options'!T341)</f>
        <v/>
      </c>
    </row>
    <row r="342" spans="2:17" ht="16" x14ac:dyDescent="0.2">
      <c r="B342" s="9" t="str">
        <f>IF(ISBLANK('Aqueous Species Options'!B342), "", 'Aqueous Species Options'!B342)</f>
        <v/>
      </c>
      <c r="C342" s="9" t="str">
        <f>IF(ISBLANK('Aqueous Species Options'!C342), "", 'Aqueous Species Options'!C342)</f>
        <v/>
      </c>
      <c r="D342" s="2" t="str">
        <f>IF(ISBLANK('Aqueous Species Options'!D342), "", 'Aqueous Species Options'!D342)</f>
        <v/>
      </c>
      <c r="E342" s="1" t="str">
        <f>IF(ISBLANK('Aqueous Species Options'!E342), "", 'Aqueous Species Options'!E342)</f>
        <v/>
      </c>
      <c r="F342" s="139" t="str">
        <f>IF(ISBLANK('Aqueous Species Options'!F342), "", 'Aqueous Species Options'!F342)</f>
        <v/>
      </c>
      <c r="G342" s="29" t="str">
        <f>IF(ISBLANK('Aqueous Species Options'!B342), "", IF('Aqueous Species Options'!L342 = 1, IF(ISBLANK('Aqueous Species Options'!G342), "", 'Aqueous Species Options'!G342), ('Aqueous Species Table'!I342/10 + ('Aqueous Species Table'!J342*100)/(Calculations!$C$12+Calculations!$C$9) + ('Aqueous Species Table'!K342 + ('Aqueous Species Table'!L342*10000)/(Calculations!$C$12+Calculations!$C$9))*(1/(Calculations!$C$8-Calculations!$C$13)) - 'Aqueous Species Table'!O342*100000*0.0000005903)*41.8393))</f>
        <v/>
      </c>
      <c r="H342" s="29" t="str">
        <f>IF(ISBLANK('Aqueous Species Options'!B342), "", IF('Aqueous Species Options'!L342 = 1, IF(ISBLANK('Aqueous Species Options'!H342), "", 'Aqueous Species Options'!H342), 'Aqueous Species Table'!M342 + 'Aqueous Species Table'!N342*10000*(1/(Calculations!$C$8-Calculations!$C$13))^2 + 'Aqueous Species Table'!O342*100000*Calculations!$C$8*Calculations!$C$7))</f>
        <v/>
      </c>
      <c r="I342" s="42" t="str">
        <f>IF(ISBLANK('Aqueous Species Options'!B342), "", IF('Aqueous Species Options'!L342=0, 'Aqueous Species Options'!N342, IF(OR(ISBLANK('Aqueous Species Options'!G342),'Aqueous Species Table'!O342="", 'Aqueous Species Table'!P342=""), "", IF('Aqueous Species Options'!B342="H+", 0, (CHOOSE('Aqueous Species Options'!M342+1,'Aqueous Species Options'!$V$4*ABS('Aqueous Species Table'!P342)+'Aqueous Species Options'!$W$4,'Aqueous Species Options'!$Z$4)*('Aqueous Species Options'!G342 + 'Aqueous Species Table'!O342*100000*0.0000005903*41.8393) + CHOOSE('Aqueous Species Options'!M342+1,'Aqueous Species Options'!$X$4*ABS('Aqueous Species Table'!P342)+'Aqueous Species Options'!$Y$4,'Aqueous Species Options'!$AA$4))*10 ) ) ) )</f>
        <v/>
      </c>
      <c r="J342" s="42" t="str">
        <f>IF(ISBLANK('Aqueous Species Options'!B342), "", IF('Aqueous Species Options'!L342 = 0, 'Aqueous Species Options'!O342, IF('Aqueous Species Table'!I342="", "", IF('Aqueous Species Options'!B342="H+", 0, ((1.11*('Aqueous Species Options'!G342 + 'Aqueous Species Table'!O342*100000*0.0000005903*41.8393)+1.8)/41.8393 - 'Aqueous Species Table'!I342/10)*26.01 ) ) ) )</f>
        <v/>
      </c>
      <c r="K342" s="42" t="str">
        <f>IF(ISBLANK('Aqueous Species Options'!B342), "", IF('Aqueous Species Options'!L342 = 0, 'Aqueous Species Options'!P342, IF('Aqueous Species Table'!I342="", "", IF('Aqueous Species Options'!B342="H+", 0, ('Aqueous Species Options'!G342/41.8393 + 'Aqueous Species Table'!O342*100000*0.0000005903 - 'Aqueous Species Table'!I342/10 - 'Aqueous Species Table'!J342*100/2601)*(298.15-228) - ('Aqueous Species Table'!L342*10000/2601) ) ) ) )</f>
        <v/>
      </c>
      <c r="L342" s="42" t="str">
        <f>IF(ISBLANK('Aqueous Species Options'!B342), "", IF('Aqueous Species Options'!L342 = 0, 'Aqueous Species Options'!Q342, IF('Aqueous Species Table'!J342="", "", IF('Aqueous Species Options'!B342="H+", 0, (-4.134*'Aqueous Species Table'!J342*100 - 27790)*0.0001) ) ) )</f>
        <v/>
      </c>
      <c r="M342" s="42" t="str">
        <f>IF(ISBLANK('Aqueous Species Options'!B342), "", IF('Aqueous Species Options'!L342=0, 'Aqueous Species Options'!R342, IF('Aqueous Species Table'!N342="", "", IF('Aqueous Species Options'!B342="H+", 0, 'Aqueous Species Options'!H342 - 'Aqueous Species Table'!O342*100000*(-0.000000309)*298.15 - 'Aqueous Species Table'!N342*10000/(298.15-228)^2 ) ) ) )</f>
        <v/>
      </c>
      <c r="N342" s="42" t="str">
        <f>IF(ISBLANK('Aqueous Species Options'!B342), "", IF('Aqueous Species Options'!L342=0, 'Aqueous Species Options'!S342, IF(OR(ISBLANK('Aqueous Species Options'!H342), 'Aqueous Species Table'!O342=""), "", IF('Aqueous Species Options'!B342="H+", 0, 0.2037*'Aqueous Species Options'!H342 - 3.0346) ) ) )</f>
        <v/>
      </c>
      <c r="O342" s="42" t="str">
        <f>IF(ISBLANK('Aqueous Species Options'!B342), "", IF('Aqueous Species Options'!K342=0, 'Aqueous Species Options'!I342, IF(OR('Aqueous Species Options'!J342&gt;4,'Aqueous Species Options'!J342&lt;-4), "", IF('Aqueous Species Options'!B342="H+", 0, IF('Aqueous Species Options'!J342=0, -0.038, IF(ISBLANK('Aqueous Species Options'!F342), "", -1514.4*'Aqueous Species Options'!F342*0.00001 + SUM(({4,3,2,1,-1,-2,-3,-4}='Aqueous Species Options'!J342)*{2.1764,1.5793,1.0579,0.5517,1.6291,3.2127,4.8115,6.486}) ) ) ) ) ) )</f>
        <v/>
      </c>
      <c r="P342" s="1" t="str">
        <f>IF(ISBLANK('Aqueous Species Options'!J342), "", 'Aqueous Species Options'!J342)</f>
        <v/>
      </c>
      <c r="Q342" s="184" t="str">
        <f>IF(ISBLANK('Aqueous Species Options'!T342), "", 'Aqueous Species Options'!T342)</f>
        <v/>
      </c>
    </row>
    <row r="343" spans="2:17" ht="16" x14ac:dyDescent="0.2">
      <c r="B343" s="9" t="str">
        <f>IF(ISBLANK('Aqueous Species Options'!B343), "", 'Aqueous Species Options'!B343)</f>
        <v/>
      </c>
      <c r="C343" s="9" t="str">
        <f>IF(ISBLANK('Aqueous Species Options'!C343), "", 'Aqueous Species Options'!C343)</f>
        <v/>
      </c>
      <c r="D343" s="2" t="str">
        <f>IF(ISBLANK('Aqueous Species Options'!D343), "", 'Aqueous Species Options'!D343)</f>
        <v/>
      </c>
      <c r="E343" s="1" t="str">
        <f>IF(ISBLANK('Aqueous Species Options'!E343), "", 'Aqueous Species Options'!E343)</f>
        <v/>
      </c>
      <c r="F343" s="139" t="str">
        <f>IF(ISBLANK('Aqueous Species Options'!F343), "", 'Aqueous Species Options'!F343)</f>
        <v/>
      </c>
      <c r="G343" s="29" t="str">
        <f>IF(ISBLANK('Aqueous Species Options'!B343), "", IF('Aqueous Species Options'!L343 = 1, IF(ISBLANK('Aqueous Species Options'!G343), "", 'Aqueous Species Options'!G343), ('Aqueous Species Table'!I343/10 + ('Aqueous Species Table'!J343*100)/(Calculations!$C$12+Calculations!$C$9) + ('Aqueous Species Table'!K343 + ('Aqueous Species Table'!L343*10000)/(Calculations!$C$12+Calculations!$C$9))*(1/(Calculations!$C$8-Calculations!$C$13)) - 'Aqueous Species Table'!O343*100000*0.0000005903)*41.8393))</f>
        <v/>
      </c>
      <c r="H343" s="29" t="str">
        <f>IF(ISBLANK('Aqueous Species Options'!B343), "", IF('Aqueous Species Options'!L343 = 1, IF(ISBLANK('Aqueous Species Options'!H343), "", 'Aqueous Species Options'!H343), 'Aqueous Species Table'!M343 + 'Aqueous Species Table'!N343*10000*(1/(Calculations!$C$8-Calculations!$C$13))^2 + 'Aqueous Species Table'!O343*100000*Calculations!$C$8*Calculations!$C$7))</f>
        <v/>
      </c>
      <c r="I343" s="42" t="str">
        <f>IF(ISBLANK('Aqueous Species Options'!B343), "", IF('Aqueous Species Options'!L343=0, 'Aqueous Species Options'!N343, IF(OR(ISBLANK('Aqueous Species Options'!G343),'Aqueous Species Table'!O343="", 'Aqueous Species Table'!P343=""), "", IF('Aqueous Species Options'!B343="H+", 0, (CHOOSE('Aqueous Species Options'!M343+1,'Aqueous Species Options'!$V$4*ABS('Aqueous Species Table'!P343)+'Aqueous Species Options'!$W$4,'Aqueous Species Options'!$Z$4)*('Aqueous Species Options'!G343 + 'Aqueous Species Table'!O343*100000*0.0000005903*41.8393) + CHOOSE('Aqueous Species Options'!M343+1,'Aqueous Species Options'!$X$4*ABS('Aqueous Species Table'!P343)+'Aqueous Species Options'!$Y$4,'Aqueous Species Options'!$AA$4))*10 ) ) ) )</f>
        <v/>
      </c>
      <c r="J343" s="42" t="str">
        <f>IF(ISBLANK('Aqueous Species Options'!B343), "", IF('Aqueous Species Options'!L343 = 0, 'Aqueous Species Options'!O343, IF('Aqueous Species Table'!I343="", "", IF('Aqueous Species Options'!B343="H+", 0, ((1.11*('Aqueous Species Options'!G343 + 'Aqueous Species Table'!O343*100000*0.0000005903*41.8393)+1.8)/41.8393 - 'Aqueous Species Table'!I343/10)*26.01 ) ) ) )</f>
        <v/>
      </c>
      <c r="K343" s="42" t="str">
        <f>IF(ISBLANK('Aqueous Species Options'!B343), "", IF('Aqueous Species Options'!L343 = 0, 'Aqueous Species Options'!P343, IF('Aqueous Species Table'!I343="", "", IF('Aqueous Species Options'!B343="H+", 0, ('Aqueous Species Options'!G343/41.8393 + 'Aqueous Species Table'!O343*100000*0.0000005903 - 'Aqueous Species Table'!I343/10 - 'Aqueous Species Table'!J343*100/2601)*(298.15-228) - ('Aqueous Species Table'!L343*10000/2601) ) ) ) )</f>
        <v/>
      </c>
      <c r="L343" s="42" t="str">
        <f>IF(ISBLANK('Aqueous Species Options'!B343), "", IF('Aqueous Species Options'!L343 = 0, 'Aqueous Species Options'!Q343, IF('Aqueous Species Table'!J343="", "", IF('Aqueous Species Options'!B343="H+", 0, (-4.134*'Aqueous Species Table'!J343*100 - 27790)*0.0001) ) ) )</f>
        <v/>
      </c>
      <c r="M343" s="42" t="str">
        <f>IF(ISBLANK('Aqueous Species Options'!B343), "", IF('Aqueous Species Options'!L343=0, 'Aqueous Species Options'!R343, IF('Aqueous Species Table'!N343="", "", IF('Aqueous Species Options'!B343="H+", 0, 'Aqueous Species Options'!H343 - 'Aqueous Species Table'!O343*100000*(-0.000000309)*298.15 - 'Aqueous Species Table'!N343*10000/(298.15-228)^2 ) ) ) )</f>
        <v/>
      </c>
      <c r="N343" s="42" t="str">
        <f>IF(ISBLANK('Aqueous Species Options'!B343), "", IF('Aqueous Species Options'!L343=0, 'Aqueous Species Options'!S343, IF(OR(ISBLANK('Aqueous Species Options'!H343), 'Aqueous Species Table'!O343=""), "", IF('Aqueous Species Options'!B343="H+", 0, 0.2037*'Aqueous Species Options'!H343 - 3.0346) ) ) )</f>
        <v/>
      </c>
      <c r="O343" s="42" t="str">
        <f>IF(ISBLANK('Aqueous Species Options'!B343), "", IF('Aqueous Species Options'!K343=0, 'Aqueous Species Options'!I343, IF(OR('Aqueous Species Options'!J343&gt;4,'Aqueous Species Options'!J343&lt;-4), "", IF('Aqueous Species Options'!B343="H+", 0, IF('Aqueous Species Options'!J343=0, -0.038, IF(ISBLANK('Aqueous Species Options'!F343), "", -1514.4*'Aqueous Species Options'!F343*0.00001 + SUM(({4,3,2,1,-1,-2,-3,-4}='Aqueous Species Options'!J343)*{2.1764,1.5793,1.0579,0.5517,1.6291,3.2127,4.8115,6.486}) ) ) ) ) ) )</f>
        <v/>
      </c>
      <c r="P343" s="1" t="str">
        <f>IF(ISBLANK('Aqueous Species Options'!J343), "", 'Aqueous Species Options'!J343)</f>
        <v/>
      </c>
      <c r="Q343" s="184" t="str">
        <f>IF(ISBLANK('Aqueous Species Options'!T343), "", 'Aqueous Species Options'!T343)</f>
        <v/>
      </c>
    </row>
    <row r="344" spans="2:17" ht="16" x14ac:dyDescent="0.2">
      <c r="B344" s="9" t="str">
        <f>IF(ISBLANK('Aqueous Species Options'!B344), "", 'Aqueous Species Options'!B344)</f>
        <v/>
      </c>
      <c r="C344" s="9" t="str">
        <f>IF(ISBLANK('Aqueous Species Options'!C344), "", 'Aqueous Species Options'!C344)</f>
        <v/>
      </c>
      <c r="D344" s="2" t="str">
        <f>IF(ISBLANK('Aqueous Species Options'!D344), "", 'Aqueous Species Options'!D344)</f>
        <v/>
      </c>
      <c r="E344" s="1" t="str">
        <f>IF(ISBLANK('Aqueous Species Options'!E344), "", 'Aqueous Species Options'!E344)</f>
        <v/>
      </c>
      <c r="F344" s="139" t="str">
        <f>IF(ISBLANK('Aqueous Species Options'!F344), "", 'Aqueous Species Options'!F344)</f>
        <v/>
      </c>
      <c r="G344" s="29" t="str">
        <f>IF(ISBLANK('Aqueous Species Options'!B344), "", IF('Aqueous Species Options'!L344 = 1, IF(ISBLANK('Aqueous Species Options'!G344), "", 'Aqueous Species Options'!G344), ('Aqueous Species Table'!I344/10 + ('Aqueous Species Table'!J344*100)/(Calculations!$C$12+Calculations!$C$9) + ('Aqueous Species Table'!K344 + ('Aqueous Species Table'!L344*10000)/(Calculations!$C$12+Calculations!$C$9))*(1/(Calculations!$C$8-Calculations!$C$13)) - 'Aqueous Species Table'!O344*100000*0.0000005903)*41.8393))</f>
        <v/>
      </c>
      <c r="H344" s="29" t="str">
        <f>IF(ISBLANK('Aqueous Species Options'!B344), "", IF('Aqueous Species Options'!L344 = 1, IF(ISBLANK('Aqueous Species Options'!H344), "", 'Aqueous Species Options'!H344), 'Aqueous Species Table'!M344 + 'Aqueous Species Table'!N344*10000*(1/(Calculations!$C$8-Calculations!$C$13))^2 + 'Aqueous Species Table'!O344*100000*Calculations!$C$8*Calculations!$C$7))</f>
        <v/>
      </c>
      <c r="I344" s="42" t="str">
        <f>IF(ISBLANK('Aqueous Species Options'!B344), "", IF('Aqueous Species Options'!L344=0, 'Aqueous Species Options'!N344, IF(OR(ISBLANK('Aqueous Species Options'!G344),'Aqueous Species Table'!O344="", 'Aqueous Species Table'!P344=""), "", IF('Aqueous Species Options'!B344="H+", 0, (CHOOSE('Aqueous Species Options'!M344+1,'Aqueous Species Options'!$V$4*ABS('Aqueous Species Table'!P344)+'Aqueous Species Options'!$W$4,'Aqueous Species Options'!$Z$4)*('Aqueous Species Options'!G344 + 'Aqueous Species Table'!O344*100000*0.0000005903*41.8393) + CHOOSE('Aqueous Species Options'!M344+1,'Aqueous Species Options'!$X$4*ABS('Aqueous Species Table'!P344)+'Aqueous Species Options'!$Y$4,'Aqueous Species Options'!$AA$4))*10 ) ) ) )</f>
        <v/>
      </c>
      <c r="J344" s="42" t="str">
        <f>IF(ISBLANK('Aqueous Species Options'!B344), "", IF('Aqueous Species Options'!L344 = 0, 'Aqueous Species Options'!O344, IF('Aqueous Species Table'!I344="", "", IF('Aqueous Species Options'!B344="H+", 0, ((1.11*('Aqueous Species Options'!G344 + 'Aqueous Species Table'!O344*100000*0.0000005903*41.8393)+1.8)/41.8393 - 'Aqueous Species Table'!I344/10)*26.01 ) ) ) )</f>
        <v/>
      </c>
      <c r="K344" s="42" t="str">
        <f>IF(ISBLANK('Aqueous Species Options'!B344), "", IF('Aqueous Species Options'!L344 = 0, 'Aqueous Species Options'!P344, IF('Aqueous Species Table'!I344="", "", IF('Aqueous Species Options'!B344="H+", 0, ('Aqueous Species Options'!G344/41.8393 + 'Aqueous Species Table'!O344*100000*0.0000005903 - 'Aqueous Species Table'!I344/10 - 'Aqueous Species Table'!J344*100/2601)*(298.15-228) - ('Aqueous Species Table'!L344*10000/2601) ) ) ) )</f>
        <v/>
      </c>
      <c r="L344" s="42" t="str">
        <f>IF(ISBLANK('Aqueous Species Options'!B344), "", IF('Aqueous Species Options'!L344 = 0, 'Aqueous Species Options'!Q344, IF('Aqueous Species Table'!J344="", "", IF('Aqueous Species Options'!B344="H+", 0, (-4.134*'Aqueous Species Table'!J344*100 - 27790)*0.0001) ) ) )</f>
        <v/>
      </c>
      <c r="M344" s="42" t="str">
        <f>IF(ISBLANK('Aqueous Species Options'!B344), "", IF('Aqueous Species Options'!L344=0, 'Aqueous Species Options'!R344, IF('Aqueous Species Table'!N344="", "", IF('Aqueous Species Options'!B344="H+", 0, 'Aqueous Species Options'!H344 - 'Aqueous Species Table'!O344*100000*(-0.000000309)*298.15 - 'Aqueous Species Table'!N344*10000/(298.15-228)^2 ) ) ) )</f>
        <v/>
      </c>
      <c r="N344" s="42" t="str">
        <f>IF(ISBLANK('Aqueous Species Options'!B344), "", IF('Aqueous Species Options'!L344=0, 'Aqueous Species Options'!S344, IF(OR(ISBLANK('Aqueous Species Options'!H344), 'Aqueous Species Table'!O344=""), "", IF('Aqueous Species Options'!B344="H+", 0, 0.2037*'Aqueous Species Options'!H344 - 3.0346) ) ) )</f>
        <v/>
      </c>
      <c r="O344" s="42" t="str">
        <f>IF(ISBLANK('Aqueous Species Options'!B344), "", IF('Aqueous Species Options'!K344=0, 'Aqueous Species Options'!I344, IF(OR('Aqueous Species Options'!J344&gt;4,'Aqueous Species Options'!J344&lt;-4), "", IF('Aqueous Species Options'!B344="H+", 0, IF('Aqueous Species Options'!J344=0, -0.038, IF(ISBLANK('Aqueous Species Options'!F344), "", -1514.4*'Aqueous Species Options'!F344*0.00001 + SUM(({4,3,2,1,-1,-2,-3,-4}='Aqueous Species Options'!J344)*{2.1764,1.5793,1.0579,0.5517,1.6291,3.2127,4.8115,6.486}) ) ) ) ) ) )</f>
        <v/>
      </c>
      <c r="P344" s="1" t="str">
        <f>IF(ISBLANK('Aqueous Species Options'!J344), "", 'Aqueous Species Options'!J344)</f>
        <v/>
      </c>
      <c r="Q344" s="184" t="str">
        <f>IF(ISBLANK('Aqueous Species Options'!T344), "", 'Aqueous Species Options'!T344)</f>
        <v/>
      </c>
    </row>
    <row r="345" spans="2:17" ht="16" x14ac:dyDescent="0.2">
      <c r="B345" s="9" t="str">
        <f>IF(ISBLANK('Aqueous Species Options'!B345), "", 'Aqueous Species Options'!B345)</f>
        <v/>
      </c>
      <c r="C345" s="55" t="str">
        <f>IF(ISBLANK('Aqueous Species Options'!C345), "", 'Aqueous Species Options'!C345)</f>
        <v/>
      </c>
      <c r="D345" s="1" t="str">
        <f>IF(ISBLANK('Aqueous Species Options'!D345), "", 'Aqueous Species Options'!D345)</f>
        <v/>
      </c>
      <c r="E345" s="1" t="str">
        <f>IF(ISBLANK('Aqueous Species Options'!E345), "", 'Aqueous Species Options'!E345)</f>
        <v/>
      </c>
      <c r="F345" s="139" t="str">
        <f>IF(ISBLANK('Aqueous Species Options'!F345), "", 'Aqueous Species Options'!F345)</f>
        <v/>
      </c>
      <c r="G345" s="29" t="str">
        <f>IF(ISBLANK('Aqueous Species Options'!B345), "", IF('Aqueous Species Options'!L345 = 1, IF(ISBLANK('Aqueous Species Options'!G345), "", 'Aqueous Species Options'!G345), ('Aqueous Species Table'!I345/10 + ('Aqueous Species Table'!J345*100)/(Calculations!$C$12+Calculations!$C$9) + ('Aqueous Species Table'!K345 + ('Aqueous Species Table'!L345*10000)/(Calculations!$C$12+Calculations!$C$9))*(1/(Calculations!$C$8-Calculations!$C$13)) - 'Aqueous Species Table'!O345*100000*0.0000005903)*41.8393))</f>
        <v/>
      </c>
      <c r="H345" s="29" t="str">
        <f>IF(ISBLANK('Aqueous Species Options'!B345), "", IF('Aqueous Species Options'!L345 = 1, IF(ISBLANK('Aqueous Species Options'!H345), "", 'Aqueous Species Options'!H345), 'Aqueous Species Table'!M345 + 'Aqueous Species Table'!N345*10000*(1/(Calculations!$C$8-Calculations!$C$13))^2 + 'Aqueous Species Table'!O345*100000*Calculations!$C$8*Calculations!$C$7))</f>
        <v/>
      </c>
      <c r="I345" s="42" t="str">
        <f>IF(ISBLANK('Aqueous Species Options'!B345), "", IF('Aqueous Species Options'!L345=0, 'Aqueous Species Options'!N345, IF(OR(ISBLANK('Aqueous Species Options'!G345),'Aqueous Species Table'!O345="", 'Aqueous Species Table'!P345=""), "", IF('Aqueous Species Options'!B345="H+", 0, (CHOOSE('Aqueous Species Options'!M345+1,'Aqueous Species Options'!$V$4*ABS('Aqueous Species Table'!P345)+'Aqueous Species Options'!$W$4,'Aqueous Species Options'!$Z$4)*('Aqueous Species Options'!G345 + 'Aqueous Species Table'!O345*100000*0.0000005903*41.8393) + CHOOSE('Aqueous Species Options'!M345+1,'Aqueous Species Options'!$X$4*ABS('Aqueous Species Table'!P345)+'Aqueous Species Options'!$Y$4,'Aqueous Species Options'!$AA$4))*10 ) ) ) )</f>
        <v/>
      </c>
      <c r="J345" s="42" t="str">
        <f>IF(ISBLANK('Aqueous Species Options'!B345), "", IF('Aqueous Species Options'!L345 = 0, 'Aqueous Species Options'!O345, IF('Aqueous Species Table'!I345="", "", IF('Aqueous Species Options'!B345="H+", 0, ((1.11*('Aqueous Species Options'!G345 + 'Aqueous Species Table'!O345*100000*0.0000005903*41.8393)+1.8)/41.8393 - 'Aqueous Species Table'!I345/10)*26.01 ) ) ) )</f>
        <v/>
      </c>
      <c r="K345" s="42" t="str">
        <f>IF(ISBLANK('Aqueous Species Options'!B345), "", IF('Aqueous Species Options'!L345 = 0, 'Aqueous Species Options'!P345, IF('Aqueous Species Table'!I345="", "", IF('Aqueous Species Options'!B345="H+", 0, ('Aqueous Species Options'!G345/41.8393 + 'Aqueous Species Table'!O345*100000*0.0000005903 - 'Aqueous Species Table'!I345/10 - 'Aqueous Species Table'!J345*100/2601)*(298.15-228) - ('Aqueous Species Table'!L345*10000/2601) ) ) ) )</f>
        <v/>
      </c>
      <c r="L345" s="42" t="str">
        <f>IF(ISBLANK('Aqueous Species Options'!B345), "", IF('Aqueous Species Options'!L345 = 0, 'Aqueous Species Options'!Q345, IF('Aqueous Species Table'!J345="", "", IF('Aqueous Species Options'!B345="H+", 0, (-4.134*'Aqueous Species Table'!J345*100 - 27790)*0.0001) ) ) )</f>
        <v/>
      </c>
      <c r="M345" s="42" t="str">
        <f>IF(ISBLANK('Aqueous Species Options'!B345), "", IF('Aqueous Species Options'!L345=0, 'Aqueous Species Options'!R345, IF('Aqueous Species Table'!N345="", "", IF('Aqueous Species Options'!B345="H+", 0, 'Aqueous Species Options'!H345 - 'Aqueous Species Table'!O345*100000*(-0.000000309)*298.15 - 'Aqueous Species Table'!N345*10000/(298.15-228)^2 ) ) ) )</f>
        <v/>
      </c>
      <c r="N345" s="42" t="str">
        <f>IF(ISBLANK('Aqueous Species Options'!B345), "", IF('Aqueous Species Options'!L345=0, 'Aqueous Species Options'!S345, IF(OR(ISBLANK('Aqueous Species Options'!H345), 'Aqueous Species Table'!O345=""), "", IF('Aqueous Species Options'!B345="H+", 0, 0.2037*'Aqueous Species Options'!H345 - 3.0346) ) ) )</f>
        <v/>
      </c>
      <c r="O345" s="42" t="str">
        <f>IF(ISBLANK('Aqueous Species Options'!B345), "", IF('Aqueous Species Options'!K345=0, 'Aqueous Species Options'!I345, IF(OR('Aqueous Species Options'!J345&gt;4,'Aqueous Species Options'!J345&lt;-4), "", IF('Aqueous Species Options'!B345="H+", 0, IF('Aqueous Species Options'!J345=0, -0.038, IF(ISBLANK('Aqueous Species Options'!F345), "", -1514.4*'Aqueous Species Options'!F345*0.00001 + SUM(({4,3,2,1,-1,-2,-3,-4}='Aqueous Species Options'!J345)*{2.1764,1.5793,1.0579,0.5517,1.6291,3.2127,4.8115,6.486}) ) ) ) ) ) )</f>
        <v/>
      </c>
      <c r="P345" s="1" t="str">
        <f>IF(ISBLANK('Aqueous Species Options'!J345), "", 'Aqueous Species Options'!J345)</f>
        <v/>
      </c>
      <c r="Q345" s="184" t="str">
        <f>IF(ISBLANK('Aqueous Species Options'!T345), "", 'Aqueous Species Options'!T345)</f>
        <v/>
      </c>
    </row>
    <row r="346" spans="2:17" ht="16" x14ac:dyDescent="0.2">
      <c r="B346" s="9" t="str">
        <f>IF(ISBLANK('Aqueous Species Options'!B346), "", 'Aqueous Species Options'!B346)</f>
        <v/>
      </c>
      <c r="C346" s="55" t="str">
        <f>IF(ISBLANK('Aqueous Species Options'!C346), "", 'Aqueous Species Options'!C346)</f>
        <v/>
      </c>
      <c r="D346" s="1" t="str">
        <f>IF(ISBLANK('Aqueous Species Options'!D346), "", 'Aqueous Species Options'!D346)</f>
        <v/>
      </c>
      <c r="E346" s="1" t="str">
        <f>IF(ISBLANK('Aqueous Species Options'!E346), "", 'Aqueous Species Options'!E346)</f>
        <v/>
      </c>
      <c r="F346" s="139" t="str">
        <f>IF(ISBLANK('Aqueous Species Options'!F346), "", 'Aqueous Species Options'!F346)</f>
        <v/>
      </c>
      <c r="G346" s="29" t="str">
        <f>IF(ISBLANK('Aqueous Species Options'!B346), "", IF('Aqueous Species Options'!L346 = 1, IF(ISBLANK('Aqueous Species Options'!G346), "", 'Aqueous Species Options'!G346), ('Aqueous Species Table'!I346/10 + ('Aqueous Species Table'!J346*100)/(Calculations!$C$12+Calculations!$C$9) + ('Aqueous Species Table'!K346 + ('Aqueous Species Table'!L346*10000)/(Calculations!$C$12+Calculations!$C$9))*(1/(Calculations!$C$8-Calculations!$C$13)) - 'Aqueous Species Table'!O346*100000*0.0000005903)*41.8393))</f>
        <v/>
      </c>
      <c r="H346" s="29" t="str">
        <f>IF(ISBLANK('Aqueous Species Options'!B346), "", IF('Aqueous Species Options'!L346 = 1, IF(ISBLANK('Aqueous Species Options'!H346), "", 'Aqueous Species Options'!H346), 'Aqueous Species Table'!M346 + 'Aqueous Species Table'!N346*10000*(1/(Calculations!$C$8-Calculations!$C$13))^2 + 'Aqueous Species Table'!O346*100000*Calculations!$C$8*Calculations!$C$7))</f>
        <v/>
      </c>
      <c r="I346" s="42" t="str">
        <f>IF(ISBLANK('Aqueous Species Options'!B346), "", IF('Aqueous Species Options'!L346=0, 'Aqueous Species Options'!N346, IF(OR(ISBLANK('Aqueous Species Options'!G346),'Aqueous Species Table'!O346="", 'Aqueous Species Table'!P346=""), "", IF('Aqueous Species Options'!B346="H+", 0, (CHOOSE('Aqueous Species Options'!M346+1,'Aqueous Species Options'!$V$4*ABS('Aqueous Species Table'!P346)+'Aqueous Species Options'!$W$4,'Aqueous Species Options'!$Z$4)*('Aqueous Species Options'!G346 + 'Aqueous Species Table'!O346*100000*0.0000005903*41.8393) + CHOOSE('Aqueous Species Options'!M346+1,'Aqueous Species Options'!$X$4*ABS('Aqueous Species Table'!P346)+'Aqueous Species Options'!$Y$4,'Aqueous Species Options'!$AA$4))*10 ) ) ) )</f>
        <v/>
      </c>
      <c r="J346" s="42" t="str">
        <f>IF(ISBLANK('Aqueous Species Options'!B346), "", IF('Aqueous Species Options'!L346 = 0, 'Aqueous Species Options'!O346, IF('Aqueous Species Table'!I346="", "", IF('Aqueous Species Options'!B346="H+", 0, ((1.11*('Aqueous Species Options'!G346 + 'Aqueous Species Table'!O346*100000*0.0000005903*41.8393)+1.8)/41.8393 - 'Aqueous Species Table'!I346/10)*26.01 ) ) ) )</f>
        <v/>
      </c>
      <c r="K346" s="42" t="str">
        <f>IF(ISBLANK('Aqueous Species Options'!B346), "", IF('Aqueous Species Options'!L346 = 0, 'Aqueous Species Options'!P346, IF('Aqueous Species Table'!I346="", "", IF('Aqueous Species Options'!B346="H+", 0, ('Aqueous Species Options'!G346/41.8393 + 'Aqueous Species Table'!O346*100000*0.0000005903 - 'Aqueous Species Table'!I346/10 - 'Aqueous Species Table'!J346*100/2601)*(298.15-228) - ('Aqueous Species Table'!L346*10000/2601) ) ) ) )</f>
        <v/>
      </c>
      <c r="L346" s="42" t="str">
        <f>IF(ISBLANK('Aqueous Species Options'!B346), "", IF('Aqueous Species Options'!L346 = 0, 'Aqueous Species Options'!Q346, IF('Aqueous Species Table'!J346="", "", IF('Aqueous Species Options'!B346="H+", 0, (-4.134*'Aqueous Species Table'!J346*100 - 27790)*0.0001) ) ) )</f>
        <v/>
      </c>
      <c r="M346" s="42" t="str">
        <f>IF(ISBLANK('Aqueous Species Options'!B346), "", IF('Aqueous Species Options'!L346=0, 'Aqueous Species Options'!R346, IF('Aqueous Species Table'!N346="", "", IF('Aqueous Species Options'!B346="H+", 0, 'Aqueous Species Options'!H346 - 'Aqueous Species Table'!O346*100000*(-0.000000309)*298.15 - 'Aqueous Species Table'!N346*10000/(298.15-228)^2 ) ) ) )</f>
        <v/>
      </c>
      <c r="N346" s="42" t="str">
        <f>IF(ISBLANK('Aqueous Species Options'!B346), "", IF('Aqueous Species Options'!L346=0, 'Aqueous Species Options'!S346, IF(OR(ISBLANK('Aqueous Species Options'!H346), 'Aqueous Species Table'!O346=""), "", IF('Aqueous Species Options'!B346="H+", 0, 0.2037*'Aqueous Species Options'!H346 - 3.0346) ) ) )</f>
        <v/>
      </c>
      <c r="O346" s="42" t="str">
        <f>IF(ISBLANK('Aqueous Species Options'!B346), "", IF('Aqueous Species Options'!K346=0, 'Aqueous Species Options'!I346, IF(OR('Aqueous Species Options'!J346&gt;4,'Aqueous Species Options'!J346&lt;-4), "", IF('Aqueous Species Options'!B346="H+", 0, IF('Aqueous Species Options'!J346=0, -0.038, IF(ISBLANK('Aqueous Species Options'!F346), "", -1514.4*'Aqueous Species Options'!F346*0.00001 + SUM(({4,3,2,1,-1,-2,-3,-4}='Aqueous Species Options'!J346)*{2.1764,1.5793,1.0579,0.5517,1.6291,3.2127,4.8115,6.486}) ) ) ) ) ) )</f>
        <v/>
      </c>
      <c r="P346" s="1" t="str">
        <f>IF(ISBLANK('Aqueous Species Options'!J346), "", 'Aqueous Species Options'!J346)</f>
        <v/>
      </c>
      <c r="Q346" s="184" t="str">
        <f>IF(ISBLANK('Aqueous Species Options'!T346), "", 'Aqueous Species Options'!T346)</f>
        <v/>
      </c>
    </row>
    <row r="347" spans="2:17" ht="16" x14ac:dyDescent="0.2">
      <c r="B347" s="9" t="str">
        <f>IF(ISBLANK('Aqueous Species Options'!B347), "", 'Aqueous Species Options'!B347)</f>
        <v/>
      </c>
      <c r="C347" s="55" t="str">
        <f>IF(ISBLANK('Aqueous Species Options'!C347), "", 'Aqueous Species Options'!C347)</f>
        <v/>
      </c>
      <c r="D347" s="1" t="str">
        <f>IF(ISBLANK('Aqueous Species Options'!D347), "", 'Aqueous Species Options'!D347)</f>
        <v/>
      </c>
      <c r="E347" s="1" t="str">
        <f>IF(ISBLANK('Aqueous Species Options'!E347), "", 'Aqueous Species Options'!E347)</f>
        <v/>
      </c>
      <c r="F347" s="139" t="str">
        <f>IF(ISBLANK('Aqueous Species Options'!F347), "", 'Aqueous Species Options'!F347)</f>
        <v/>
      </c>
      <c r="G347" s="29" t="str">
        <f>IF(ISBLANK('Aqueous Species Options'!B347), "", IF('Aqueous Species Options'!L347 = 1, IF(ISBLANK('Aqueous Species Options'!G347), "", 'Aqueous Species Options'!G347), ('Aqueous Species Table'!I347/10 + ('Aqueous Species Table'!J347*100)/(Calculations!$C$12+Calculations!$C$9) + ('Aqueous Species Table'!K347 + ('Aqueous Species Table'!L347*10000)/(Calculations!$C$12+Calculations!$C$9))*(1/(Calculations!$C$8-Calculations!$C$13)) - 'Aqueous Species Table'!O347*100000*0.0000005903)*41.8393))</f>
        <v/>
      </c>
      <c r="H347" s="29" t="str">
        <f>IF(ISBLANK('Aqueous Species Options'!B347), "", IF('Aqueous Species Options'!L347 = 1, IF(ISBLANK('Aqueous Species Options'!H347), "", 'Aqueous Species Options'!H347), 'Aqueous Species Table'!M347 + 'Aqueous Species Table'!N347*10000*(1/(Calculations!$C$8-Calculations!$C$13))^2 + 'Aqueous Species Table'!O347*100000*Calculations!$C$8*Calculations!$C$7))</f>
        <v/>
      </c>
      <c r="I347" s="42" t="str">
        <f>IF(ISBLANK('Aqueous Species Options'!B347), "", IF('Aqueous Species Options'!L347=0, 'Aqueous Species Options'!N347, IF(OR(ISBLANK('Aqueous Species Options'!G347),'Aqueous Species Table'!O347="", 'Aqueous Species Table'!P347=""), "", IF('Aqueous Species Options'!B347="H+", 0, (CHOOSE('Aqueous Species Options'!M347+1,'Aqueous Species Options'!$V$4*ABS('Aqueous Species Table'!P347)+'Aqueous Species Options'!$W$4,'Aqueous Species Options'!$Z$4)*('Aqueous Species Options'!G347 + 'Aqueous Species Table'!O347*100000*0.0000005903*41.8393) + CHOOSE('Aqueous Species Options'!M347+1,'Aqueous Species Options'!$X$4*ABS('Aqueous Species Table'!P347)+'Aqueous Species Options'!$Y$4,'Aqueous Species Options'!$AA$4))*10 ) ) ) )</f>
        <v/>
      </c>
      <c r="J347" s="42" t="str">
        <f>IF(ISBLANK('Aqueous Species Options'!B347), "", IF('Aqueous Species Options'!L347 = 0, 'Aqueous Species Options'!O347, IF('Aqueous Species Table'!I347="", "", IF('Aqueous Species Options'!B347="H+", 0, ((1.11*('Aqueous Species Options'!G347 + 'Aqueous Species Table'!O347*100000*0.0000005903*41.8393)+1.8)/41.8393 - 'Aqueous Species Table'!I347/10)*26.01 ) ) ) )</f>
        <v/>
      </c>
      <c r="K347" s="42" t="str">
        <f>IF(ISBLANK('Aqueous Species Options'!B347), "", IF('Aqueous Species Options'!L347 = 0, 'Aqueous Species Options'!P347, IF('Aqueous Species Table'!I347="", "", IF('Aqueous Species Options'!B347="H+", 0, ('Aqueous Species Options'!G347/41.8393 + 'Aqueous Species Table'!O347*100000*0.0000005903 - 'Aqueous Species Table'!I347/10 - 'Aqueous Species Table'!J347*100/2601)*(298.15-228) - ('Aqueous Species Table'!L347*10000/2601) ) ) ) )</f>
        <v/>
      </c>
      <c r="L347" s="42" t="str">
        <f>IF(ISBLANK('Aqueous Species Options'!B347), "", IF('Aqueous Species Options'!L347 = 0, 'Aqueous Species Options'!Q347, IF('Aqueous Species Table'!J347="", "", IF('Aqueous Species Options'!B347="H+", 0, (-4.134*'Aqueous Species Table'!J347*100 - 27790)*0.0001) ) ) )</f>
        <v/>
      </c>
      <c r="M347" s="42" t="str">
        <f>IF(ISBLANK('Aqueous Species Options'!B347), "", IF('Aqueous Species Options'!L347=0, 'Aqueous Species Options'!R347, IF('Aqueous Species Table'!N347="", "", IF('Aqueous Species Options'!B347="H+", 0, 'Aqueous Species Options'!H347 - 'Aqueous Species Table'!O347*100000*(-0.000000309)*298.15 - 'Aqueous Species Table'!N347*10000/(298.15-228)^2 ) ) ) )</f>
        <v/>
      </c>
      <c r="N347" s="42" t="str">
        <f>IF(ISBLANK('Aqueous Species Options'!B347), "", IF('Aqueous Species Options'!L347=0, 'Aqueous Species Options'!S347, IF(OR(ISBLANK('Aqueous Species Options'!H347), 'Aqueous Species Table'!O347=""), "", IF('Aqueous Species Options'!B347="H+", 0, 0.2037*'Aqueous Species Options'!H347 - 3.0346) ) ) )</f>
        <v/>
      </c>
      <c r="O347" s="42" t="str">
        <f>IF(ISBLANK('Aqueous Species Options'!B347), "", IF('Aqueous Species Options'!K347=0, 'Aqueous Species Options'!I347, IF(OR('Aqueous Species Options'!J347&gt;4,'Aqueous Species Options'!J347&lt;-4), "", IF('Aqueous Species Options'!B347="H+", 0, IF('Aqueous Species Options'!J347=0, -0.038, IF(ISBLANK('Aqueous Species Options'!F347), "", -1514.4*'Aqueous Species Options'!F347*0.00001 + SUM(({4,3,2,1,-1,-2,-3,-4}='Aqueous Species Options'!J347)*{2.1764,1.5793,1.0579,0.5517,1.6291,3.2127,4.8115,6.486}) ) ) ) ) ) )</f>
        <v/>
      </c>
      <c r="P347" s="1" t="str">
        <f>IF(ISBLANK('Aqueous Species Options'!J347), "", 'Aqueous Species Options'!J347)</f>
        <v/>
      </c>
      <c r="Q347" s="184" t="str">
        <f>IF(ISBLANK('Aqueous Species Options'!T347), "", 'Aqueous Species Options'!T347)</f>
        <v/>
      </c>
    </row>
    <row r="348" spans="2:17" ht="16" x14ac:dyDescent="0.2">
      <c r="B348" s="9" t="str">
        <f>IF(ISBLANK('Aqueous Species Options'!B348), "", 'Aqueous Species Options'!B348)</f>
        <v/>
      </c>
      <c r="C348" s="55" t="str">
        <f>IF(ISBLANK('Aqueous Species Options'!C348), "", 'Aqueous Species Options'!C348)</f>
        <v/>
      </c>
      <c r="D348" s="1" t="str">
        <f>IF(ISBLANK('Aqueous Species Options'!D348), "", 'Aqueous Species Options'!D348)</f>
        <v/>
      </c>
      <c r="E348" s="1" t="str">
        <f>IF(ISBLANK('Aqueous Species Options'!E348), "", 'Aqueous Species Options'!E348)</f>
        <v/>
      </c>
      <c r="F348" s="139" t="str">
        <f>IF(ISBLANK('Aqueous Species Options'!F348), "", 'Aqueous Species Options'!F348)</f>
        <v/>
      </c>
      <c r="G348" s="29" t="str">
        <f>IF(ISBLANK('Aqueous Species Options'!B348), "", IF('Aqueous Species Options'!L348 = 1, IF(ISBLANK('Aqueous Species Options'!G348), "", 'Aqueous Species Options'!G348), ('Aqueous Species Table'!I348/10 + ('Aqueous Species Table'!J348*100)/(Calculations!$C$12+Calculations!$C$9) + ('Aqueous Species Table'!K348 + ('Aqueous Species Table'!L348*10000)/(Calculations!$C$12+Calculations!$C$9))*(1/(Calculations!$C$8-Calculations!$C$13)) - 'Aqueous Species Table'!O348*100000*0.0000005903)*41.8393))</f>
        <v/>
      </c>
      <c r="H348" s="29" t="str">
        <f>IF(ISBLANK('Aqueous Species Options'!B348), "", IF('Aqueous Species Options'!L348 = 1, IF(ISBLANK('Aqueous Species Options'!H348), "", 'Aqueous Species Options'!H348), 'Aqueous Species Table'!M348 + 'Aqueous Species Table'!N348*10000*(1/(Calculations!$C$8-Calculations!$C$13))^2 + 'Aqueous Species Table'!O348*100000*Calculations!$C$8*Calculations!$C$7))</f>
        <v/>
      </c>
      <c r="I348" s="42" t="str">
        <f>IF(ISBLANK('Aqueous Species Options'!B348), "", IF('Aqueous Species Options'!L348=0, 'Aqueous Species Options'!N348, IF(OR(ISBLANK('Aqueous Species Options'!G348),'Aqueous Species Table'!O348="", 'Aqueous Species Table'!P348=""), "", IF('Aqueous Species Options'!B348="H+", 0, (CHOOSE('Aqueous Species Options'!M348+1,'Aqueous Species Options'!$V$4*ABS('Aqueous Species Table'!P348)+'Aqueous Species Options'!$W$4,'Aqueous Species Options'!$Z$4)*('Aqueous Species Options'!G348 + 'Aqueous Species Table'!O348*100000*0.0000005903*41.8393) + CHOOSE('Aqueous Species Options'!M348+1,'Aqueous Species Options'!$X$4*ABS('Aqueous Species Table'!P348)+'Aqueous Species Options'!$Y$4,'Aqueous Species Options'!$AA$4))*10 ) ) ) )</f>
        <v/>
      </c>
      <c r="J348" s="42" t="str">
        <f>IF(ISBLANK('Aqueous Species Options'!B348), "", IF('Aqueous Species Options'!L348 = 0, 'Aqueous Species Options'!O348, IF('Aqueous Species Table'!I348="", "", IF('Aqueous Species Options'!B348="H+", 0, ((1.11*('Aqueous Species Options'!G348 + 'Aqueous Species Table'!O348*100000*0.0000005903*41.8393)+1.8)/41.8393 - 'Aqueous Species Table'!I348/10)*26.01 ) ) ) )</f>
        <v/>
      </c>
      <c r="K348" s="42" t="str">
        <f>IF(ISBLANK('Aqueous Species Options'!B348), "", IF('Aqueous Species Options'!L348 = 0, 'Aqueous Species Options'!P348, IF('Aqueous Species Table'!I348="", "", IF('Aqueous Species Options'!B348="H+", 0, ('Aqueous Species Options'!G348/41.8393 + 'Aqueous Species Table'!O348*100000*0.0000005903 - 'Aqueous Species Table'!I348/10 - 'Aqueous Species Table'!J348*100/2601)*(298.15-228) - ('Aqueous Species Table'!L348*10000/2601) ) ) ) )</f>
        <v/>
      </c>
      <c r="L348" s="42" t="str">
        <f>IF(ISBLANK('Aqueous Species Options'!B348), "", IF('Aqueous Species Options'!L348 = 0, 'Aqueous Species Options'!Q348, IF('Aqueous Species Table'!J348="", "", IF('Aqueous Species Options'!B348="H+", 0, (-4.134*'Aqueous Species Table'!J348*100 - 27790)*0.0001) ) ) )</f>
        <v/>
      </c>
      <c r="M348" s="42" t="str">
        <f>IF(ISBLANK('Aqueous Species Options'!B348), "", IF('Aqueous Species Options'!L348=0, 'Aqueous Species Options'!R348, IF('Aqueous Species Table'!N348="", "", IF('Aqueous Species Options'!B348="H+", 0, 'Aqueous Species Options'!H348 - 'Aqueous Species Table'!O348*100000*(-0.000000309)*298.15 - 'Aqueous Species Table'!N348*10000/(298.15-228)^2 ) ) ) )</f>
        <v/>
      </c>
      <c r="N348" s="42" t="str">
        <f>IF(ISBLANK('Aqueous Species Options'!B348), "", IF('Aqueous Species Options'!L348=0, 'Aqueous Species Options'!S348, IF(OR(ISBLANK('Aqueous Species Options'!H348), 'Aqueous Species Table'!O348=""), "", IF('Aqueous Species Options'!B348="H+", 0, 0.2037*'Aqueous Species Options'!H348 - 3.0346) ) ) )</f>
        <v/>
      </c>
      <c r="O348" s="42" t="str">
        <f>IF(ISBLANK('Aqueous Species Options'!B348), "", IF('Aqueous Species Options'!K348=0, 'Aqueous Species Options'!I348, IF(OR('Aqueous Species Options'!J348&gt;4,'Aqueous Species Options'!J348&lt;-4), "", IF('Aqueous Species Options'!B348="H+", 0, IF('Aqueous Species Options'!J348=0, -0.038, IF(ISBLANK('Aqueous Species Options'!F348), "", -1514.4*'Aqueous Species Options'!F348*0.00001 + SUM(({4,3,2,1,-1,-2,-3,-4}='Aqueous Species Options'!J348)*{2.1764,1.5793,1.0579,0.5517,1.6291,3.2127,4.8115,6.486}) ) ) ) ) ) )</f>
        <v/>
      </c>
      <c r="P348" s="1" t="str">
        <f>IF(ISBLANK('Aqueous Species Options'!J348), "", 'Aqueous Species Options'!J348)</f>
        <v/>
      </c>
      <c r="Q348" s="184" t="str">
        <f>IF(ISBLANK('Aqueous Species Options'!T348), "", 'Aqueous Species Options'!T348)</f>
        <v/>
      </c>
    </row>
    <row r="349" spans="2:17" ht="16" x14ac:dyDescent="0.2">
      <c r="B349" s="9" t="str">
        <f>IF(ISBLANK('Aqueous Species Options'!B349), "", 'Aqueous Species Options'!B349)</f>
        <v/>
      </c>
      <c r="C349" s="55" t="str">
        <f>IF(ISBLANK('Aqueous Species Options'!C349), "", 'Aqueous Species Options'!C349)</f>
        <v/>
      </c>
      <c r="D349" s="1" t="str">
        <f>IF(ISBLANK('Aqueous Species Options'!D349), "", 'Aqueous Species Options'!D349)</f>
        <v/>
      </c>
      <c r="E349" s="1" t="str">
        <f>IF(ISBLANK('Aqueous Species Options'!E349), "", 'Aqueous Species Options'!E349)</f>
        <v/>
      </c>
      <c r="F349" s="139" t="str">
        <f>IF(ISBLANK('Aqueous Species Options'!F349), "", 'Aqueous Species Options'!F349)</f>
        <v/>
      </c>
      <c r="G349" s="29" t="str">
        <f>IF(ISBLANK('Aqueous Species Options'!B349), "", IF('Aqueous Species Options'!L349 = 1, IF(ISBLANK('Aqueous Species Options'!G349), "", 'Aqueous Species Options'!G349), ('Aqueous Species Table'!I349/10 + ('Aqueous Species Table'!J349*100)/(Calculations!$C$12+Calculations!$C$9) + ('Aqueous Species Table'!K349 + ('Aqueous Species Table'!L349*10000)/(Calculations!$C$12+Calculations!$C$9))*(1/(Calculations!$C$8-Calculations!$C$13)) - 'Aqueous Species Table'!O349*100000*0.0000005903)*41.8393))</f>
        <v/>
      </c>
      <c r="H349" s="29" t="str">
        <f>IF(ISBLANK('Aqueous Species Options'!B349), "", IF('Aqueous Species Options'!L349 = 1, IF(ISBLANK('Aqueous Species Options'!H349), "", 'Aqueous Species Options'!H349), 'Aqueous Species Table'!M349 + 'Aqueous Species Table'!N349*10000*(1/(Calculations!$C$8-Calculations!$C$13))^2 + 'Aqueous Species Table'!O349*100000*Calculations!$C$8*Calculations!$C$7))</f>
        <v/>
      </c>
      <c r="I349" s="42" t="str">
        <f>IF(ISBLANK('Aqueous Species Options'!B349), "", IF('Aqueous Species Options'!L349=0, 'Aqueous Species Options'!N349, IF(OR(ISBLANK('Aqueous Species Options'!G349),'Aqueous Species Table'!O349="", 'Aqueous Species Table'!P349=""), "", IF('Aqueous Species Options'!B349="H+", 0, (CHOOSE('Aqueous Species Options'!M349+1,'Aqueous Species Options'!$V$4*ABS('Aqueous Species Table'!P349)+'Aqueous Species Options'!$W$4,'Aqueous Species Options'!$Z$4)*('Aqueous Species Options'!G349 + 'Aqueous Species Table'!O349*100000*0.0000005903*41.8393) + CHOOSE('Aqueous Species Options'!M349+1,'Aqueous Species Options'!$X$4*ABS('Aqueous Species Table'!P349)+'Aqueous Species Options'!$Y$4,'Aqueous Species Options'!$AA$4))*10 ) ) ) )</f>
        <v/>
      </c>
      <c r="J349" s="42" t="str">
        <f>IF(ISBLANK('Aqueous Species Options'!B349), "", IF('Aqueous Species Options'!L349 = 0, 'Aqueous Species Options'!O349, IF('Aqueous Species Table'!I349="", "", IF('Aqueous Species Options'!B349="H+", 0, ((1.11*('Aqueous Species Options'!G349 + 'Aqueous Species Table'!O349*100000*0.0000005903*41.8393)+1.8)/41.8393 - 'Aqueous Species Table'!I349/10)*26.01 ) ) ) )</f>
        <v/>
      </c>
      <c r="K349" s="42" t="str">
        <f>IF(ISBLANK('Aqueous Species Options'!B349), "", IF('Aqueous Species Options'!L349 = 0, 'Aqueous Species Options'!P349, IF('Aqueous Species Table'!I349="", "", IF('Aqueous Species Options'!B349="H+", 0, ('Aqueous Species Options'!G349/41.8393 + 'Aqueous Species Table'!O349*100000*0.0000005903 - 'Aqueous Species Table'!I349/10 - 'Aqueous Species Table'!J349*100/2601)*(298.15-228) - ('Aqueous Species Table'!L349*10000/2601) ) ) ) )</f>
        <v/>
      </c>
      <c r="L349" s="42" t="str">
        <f>IF(ISBLANK('Aqueous Species Options'!B349), "", IF('Aqueous Species Options'!L349 = 0, 'Aqueous Species Options'!Q349, IF('Aqueous Species Table'!J349="", "", IF('Aqueous Species Options'!B349="H+", 0, (-4.134*'Aqueous Species Table'!J349*100 - 27790)*0.0001) ) ) )</f>
        <v/>
      </c>
      <c r="M349" s="42" t="str">
        <f>IF(ISBLANK('Aqueous Species Options'!B349), "", IF('Aqueous Species Options'!L349=0, 'Aqueous Species Options'!R349, IF('Aqueous Species Table'!N349="", "", IF('Aqueous Species Options'!B349="H+", 0, 'Aqueous Species Options'!H349 - 'Aqueous Species Table'!O349*100000*(-0.000000309)*298.15 - 'Aqueous Species Table'!N349*10000/(298.15-228)^2 ) ) ) )</f>
        <v/>
      </c>
      <c r="N349" s="42" t="str">
        <f>IF(ISBLANK('Aqueous Species Options'!B349), "", IF('Aqueous Species Options'!L349=0, 'Aqueous Species Options'!S349, IF(OR(ISBLANK('Aqueous Species Options'!H349), 'Aqueous Species Table'!O349=""), "", IF('Aqueous Species Options'!B349="H+", 0, 0.2037*'Aqueous Species Options'!H349 - 3.0346) ) ) )</f>
        <v/>
      </c>
      <c r="O349" s="42" t="str">
        <f>IF(ISBLANK('Aqueous Species Options'!B349), "", IF('Aqueous Species Options'!K349=0, 'Aqueous Species Options'!I349, IF(OR('Aqueous Species Options'!J349&gt;4,'Aqueous Species Options'!J349&lt;-4), "", IF('Aqueous Species Options'!B349="H+", 0, IF('Aqueous Species Options'!J349=0, -0.038, IF(ISBLANK('Aqueous Species Options'!F349), "", -1514.4*'Aqueous Species Options'!F349*0.00001 + SUM(({4,3,2,1,-1,-2,-3,-4}='Aqueous Species Options'!J349)*{2.1764,1.5793,1.0579,0.5517,1.6291,3.2127,4.8115,6.486}) ) ) ) ) ) )</f>
        <v/>
      </c>
      <c r="P349" s="1" t="str">
        <f>IF(ISBLANK('Aqueous Species Options'!J349), "", 'Aqueous Species Options'!J349)</f>
        <v/>
      </c>
      <c r="Q349" s="184" t="str">
        <f>IF(ISBLANK('Aqueous Species Options'!T349), "", 'Aqueous Species Options'!T349)</f>
        <v/>
      </c>
    </row>
    <row r="350" spans="2:17" ht="15" customHeight="1" x14ac:dyDescent="0.2">
      <c r="B350" s="9" t="str">
        <f>IF(ISBLANK('Aqueous Species Options'!B350), "", 'Aqueous Species Options'!B350)</f>
        <v/>
      </c>
      <c r="C350" s="55" t="str">
        <f>IF(ISBLANK('Aqueous Species Options'!C350), "", 'Aqueous Species Options'!C350)</f>
        <v/>
      </c>
      <c r="D350" s="1" t="str">
        <f>IF(ISBLANK('Aqueous Species Options'!D350), "", 'Aqueous Species Options'!D350)</f>
        <v/>
      </c>
      <c r="E350" s="1" t="str">
        <f>IF(ISBLANK('Aqueous Species Options'!E350), "", 'Aqueous Species Options'!E350)</f>
        <v/>
      </c>
      <c r="F350" s="139" t="str">
        <f>IF(ISBLANK('Aqueous Species Options'!F350), "", 'Aqueous Species Options'!F350)</f>
        <v/>
      </c>
      <c r="G350" s="29" t="str">
        <f>IF(ISBLANK('Aqueous Species Options'!B350), "", IF('Aqueous Species Options'!L350 = 1, IF(ISBLANK('Aqueous Species Options'!G350), "", 'Aqueous Species Options'!G350), ('Aqueous Species Table'!I350/10 + ('Aqueous Species Table'!J350*100)/(Calculations!$C$12+Calculations!$C$9) + ('Aqueous Species Table'!K350 + ('Aqueous Species Table'!L350*10000)/(Calculations!$C$12+Calculations!$C$9))*(1/(Calculations!$C$8-Calculations!$C$13)) - 'Aqueous Species Table'!O350*100000*0.0000005903)*41.8393))</f>
        <v/>
      </c>
      <c r="H350" s="29" t="str">
        <f>IF(ISBLANK('Aqueous Species Options'!B350), "", IF('Aqueous Species Options'!L350 = 1, IF(ISBLANK('Aqueous Species Options'!H350), "", 'Aqueous Species Options'!H350), 'Aqueous Species Table'!M350 + 'Aqueous Species Table'!N350*10000*(1/(Calculations!$C$8-Calculations!$C$13))^2 + 'Aqueous Species Table'!O350*100000*Calculations!$C$8*Calculations!$C$7))</f>
        <v/>
      </c>
      <c r="I350" s="42" t="str">
        <f>IF(ISBLANK('Aqueous Species Options'!B350), "", IF('Aqueous Species Options'!L350=0, 'Aqueous Species Options'!N350, IF(OR(ISBLANK('Aqueous Species Options'!G350),'Aqueous Species Table'!O350="", 'Aqueous Species Table'!P350=""), "", IF('Aqueous Species Options'!B350="H+", 0, (CHOOSE('Aqueous Species Options'!M350+1,'Aqueous Species Options'!$V$4*ABS('Aqueous Species Table'!P350)+'Aqueous Species Options'!$W$4,'Aqueous Species Options'!$Z$4)*('Aqueous Species Options'!G350 + 'Aqueous Species Table'!O350*100000*0.0000005903*41.8393) + CHOOSE('Aqueous Species Options'!M350+1,'Aqueous Species Options'!$X$4*ABS('Aqueous Species Table'!P350)+'Aqueous Species Options'!$Y$4,'Aqueous Species Options'!$AA$4))*10 ) ) ) )</f>
        <v/>
      </c>
      <c r="J350" s="42" t="str">
        <f>IF(ISBLANK('Aqueous Species Options'!B350), "", IF('Aqueous Species Options'!L350 = 0, 'Aqueous Species Options'!O350, IF('Aqueous Species Table'!I350="", "", IF('Aqueous Species Options'!B350="H+", 0, ((1.11*('Aqueous Species Options'!G350 + 'Aqueous Species Table'!O350*100000*0.0000005903*41.8393)+1.8)/41.8393 - 'Aqueous Species Table'!I350/10)*26.01 ) ) ) )</f>
        <v/>
      </c>
      <c r="K350" s="42" t="str">
        <f>IF(ISBLANK('Aqueous Species Options'!B350), "", IF('Aqueous Species Options'!L350 = 0, 'Aqueous Species Options'!P350, IF('Aqueous Species Table'!I350="", "", IF('Aqueous Species Options'!B350="H+", 0, ('Aqueous Species Options'!G350/41.8393 + 'Aqueous Species Table'!O350*100000*0.0000005903 - 'Aqueous Species Table'!I350/10 - 'Aqueous Species Table'!J350*100/2601)*(298.15-228) - ('Aqueous Species Table'!L350*10000/2601) ) ) ) )</f>
        <v/>
      </c>
      <c r="L350" s="42" t="str">
        <f>IF(ISBLANK('Aqueous Species Options'!B350), "", IF('Aqueous Species Options'!L350 = 0, 'Aqueous Species Options'!Q350, IF('Aqueous Species Table'!J350="", "", IF('Aqueous Species Options'!B350="H+", 0, (-4.134*'Aqueous Species Table'!J350*100 - 27790)*0.0001) ) ) )</f>
        <v/>
      </c>
      <c r="M350" s="42" t="str">
        <f>IF(ISBLANK('Aqueous Species Options'!B350), "", IF('Aqueous Species Options'!L350=0, 'Aqueous Species Options'!R350, IF('Aqueous Species Table'!N350="", "", IF('Aqueous Species Options'!B350="H+", 0, 'Aqueous Species Options'!H350 - 'Aqueous Species Table'!O350*100000*(-0.000000309)*298.15 - 'Aqueous Species Table'!N350*10000/(298.15-228)^2 ) ) ) )</f>
        <v/>
      </c>
      <c r="N350" s="42" t="str">
        <f>IF(ISBLANK('Aqueous Species Options'!B350), "", IF('Aqueous Species Options'!L350=0, 'Aqueous Species Options'!S350, IF(OR(ISBLANK('Aqueous Species Options'!H350), 'Aqueous Species Table'!O350=""), "", IF('Aqueous Species Options'!B350="H+", 0, 0.2037*'Aqueous Species Options'!H350 - 3.0346) ) ) )</f>
        <v/>
      </c>
      <c r="O350" s="42" t="str">
        <f>IF(ISBLANK('Aqueous Species Options'!B350), "", IF('Aqueous Species Options'!K350=0, 'Aqueous Species Options'!I350, IF(OR('Aqueous Species Options'!J350&gt;4,'Aqueous Species Options'!J350&lt;-4), "", IF('Aqueous Species Options'!B350="H+", 0, IF('Aqueous Species Options'!J350=0, -0.038, IF(ISBLANK('Aqueous Species Options'!F350), "", -1514.4*'Aqueous Species Options'!F350*0.00001 + SUM(({4,3,2,1,-1,-2,-3,-4}='Aqueous Species Options'!J350)*{2.1764,1.5793,1.0579,0.5517,1.6291,3.2127,4.8115,6.486}) ) ) ) ) ) )</f>
        <v/>
      </c>
      <c r="P350" s="1" t="str">
        <f>IF(ISBLANK('Aqueous Species Options'!J350), "", 'Aqueous Species Options'!J350)</f>
        <v/>
      </c>
      <c r="Q350" s="184" t="str">
        <f>IF(ISBLANK('Aqueous Species Options'!T350), "", 'Aqueous Species Options'!T350)</f>
        <v/>
      </c>
    </row>
    <row r="351" spans="2:17" ht="15" customHeight="1" x14ac:dyDescent="0.2">
      <c r="B351" s="9" t="str">
        <f>IF(ISBLANK('Aqueous Species Options'!B351), "", 'Aqueous Species Options'!B351)</f>
        <v/>
      </c>
      <c r="C351" s="55" t="str">
        <f>IF(ISBLANK('Aqueous Species Options'!C351), "", 'Aqueous Species Options'!C351)</f>
        <v/>
      </c>
      <c r="D351" s="1" t="str">
        <f>IF(ISBLANK('Aqueous Species Options'!D351), "", 'Aqueous Species Options'!D351)</f>
        <v/>
      </c>
      <c r="E351" s="1" t="str">
        <f>IF(ISBLANK('Aqueous Species Options'!E351), "", 'Aqueous Species Options'!E351)</f>
        <v/>
      </c>
      <c r="F351" s="139" t="str">
        <f>IF(ISBLANK('Aqueous Species Options'!F351), "", 'Aqueous Species Options'!F351)</f>
        <v/>
      </c>
      <c r="G351" s="29" t="str">
        <f>IF(ISBLANK('Aqueous Species Options'!B351), "", IF('Aqueous Species Options'!L351 = 1, IF(ISBLANK('Aqueous Species Options'!G351), "", 'Aqueous Species Options'!G351), ('Aqueous Species Table'!I351/10 + ('Aqueous Species Table'!J351*100)/(Calculations!$C$12+Calculations!$C$9) + ('Aqueous Species Table'!K351 + ('Aqueous Species Table'!L351*10000)/(Calculations!$C$12+Calculations!$C$9))*(1/(Calculations!$C$8-Calculations!$C$13)) - 'Aqueous Species Table'!O351*100000*0.0000005903)*41.8393))</f>
        <v/>
      </c>
      <c r="H351" s="29" t="str">
        <f>IF(ISBLANK('Aqueous Species Options'!B351), "", IF('Aqueous Species Options'!L351 = 1, IF(ISBLANK('Aqueous Species Options'!H351), "", 'Aqueous Species Options'!H351), 'Aqueous Species Table'!M351 + 'Aqueous Species Table'!N351*10000*(1/(Calculations!$C$8-Calculations!$C$13))^2 + 'Aqueous Species Table'!O351*100000*Calculations!$C$8*Calculations!$C$7))</f>
        <v/>
      </c>
      <c r="I351" s="42" t="str">
        <f>IF(ISBLANK('Aqueous Species Options'!B351), "", IF('Aqueous Species Options'!L351=0, 'Aqueous Species Options'!N351, IF(OR(ISBLANK('Aqueous Species Options'!G351),'Aqueous Species Table'!O351="", 'Aqueous Species Table'!P351=""), "", IF('Aqueous Species Options'!B351="H+", 0, (CHOOSE('Aqueous Species Options'!M351+1,'Aqueous Species Options'!$V$4*ABS('Aqueous Species Table'!P351)+'Aqueous Species Options'!$W$4,'Aqueous Species Options'!$Z$4)*('Aqueous Species Options'!G351 + 'Aqueous Species Table'!O351*100000*0.0000005903*41.8393) + CHOOSE('Aqueous Species Options'!M351+1,'Aqueous Species Options'!$X$4*ABS('Aqueous Species Table'!P351)+'Aqueous Species Options'!$Y$4,'Aqueous Species Options'!$AA$4))*10 ) ) ) )</f>
        <v/>
      </c>
      <c r="J351" s="42" t="str">
        <f>IF(ISBLANK('Aqueous Species Options'!B351), "", IF('Aqueous Species Options'!L351 = 0, 'Aqueous Species Options'!O351, IF('Aqueous Species Table'!I351="", "", IF('Aqueous Species Options'!B351="H+", 0, ((1.11*('Aqueous Species Options'!G351 + 'Aqueous Species Table'!O351*100000*0.0000005903*41.8393)+1.8)/41.8393 - 'Aqueous Species Table'!I351/10)*26.01 ) ) ) )</f>
        <v/>
      </c>
      <c r="K351" s="42" t="str">
        <f>IF(ISBLANK('Aqueous Species Options'!B351), "", IF('Aqueous Species Options'!L351 = 0, 'Aqueous Species Options'!P351, IF('Aqueous Species Table'!I351="", "", IF('Aqueous Species Options'!B351="H+", 0, ('Aqueous Species Options'!G351/41.8393 + 'Aqueous Species Table'!O351*100000*0.0000005903 - 'Aqueous Species Table'!I351/10 - 'Aqueous Species Table'!J351*100/2601)*(298.15-228) - ('Aqueous Species Table'!L351*10000/2601) ) ) ) )</f>
        <v/>
      </c>
      <c r="L351" s="42" t="str">
        <f>IF(ISBLANK('Aqueous Species Options'!B351), "", IF('Aqueous Species Options'!L351 = 0, 'Aqueous Species Options'!Q351, IF('Aqueous Species Table'!J351="", "", IF('Aqueous Species Options'!B351="H+", 0, (-4.134*'Aqueous Species Table'!J351*100 - 27790)*0.0001) ) ) )</f>
        <v/>
      </c>
      <c r="M351" s="42" t="str">
        <f>IF(ISBLANK('Aqueous Species Options'!B351), "", IF('Aqueous Species Options'!L351=0, 'Aqueous Species Options'!R351, IF('Aqueous Species Table'!N351="", "", IF('Aqueous Species Options'!B351="H+", 0, 'Aqueous Species Options'!H351 - 'Aqueous Species Table'!O351*100000*(-0.000000309)*298.15 - 'Aqueous Species Table'!N351*10000/(298.15-228)^2 ) ) ) )</f>
        <v/>
      </c>
      <c r="N351" s="42" t="str">
        <f>IF(ISBLANK('Aqueous Species Options'!B351), "", IF('Aqueous Species Options'!L351=0, 'Aqueous Species Options'!S351, IF(OR(ISBLANK('Aqueous Species Options'!H351), 'Aqueous Species Table'!O351=""), "", IF('Aqueous Species Options'!B351="H+", 0, 0.2037*'Aqueous Species Options'!H351 - 3.0346) ) ) )</f>
        <v/>
      </c>
      <c r="O351" s="42" t="str">
        <f>IF(ISBLANK('Aqueous Species Options'!B351), "", IF('Aqueous Species Options'!K351=0, 'Aqueous Species Options'!I351, IF(OR('Aqueous Species Options'!J351&gt;4,'Aqueous Species Options'!J351&lt;-4), "", IF('Aqueous Species Options'!B351="H+", 0, IF('Aqueous Species Options'!J351=0, -0.038, IF(ISBLANK('Aqueous Species Options'!F351), "", -1514.4*'Aqueous Species Options'!F351*0.00001 + SUM(({4,3,2,1,-1,-2,-3,-4}='Aqueous Species Options'!J351)*{2.1764,1.5793,1.0579,0.5517,1.6291,3.2127,4.8115,6.486}) ) ) ) ) ) )</f>
        <v/>
      </c>
      <c r="P351" s="1" t="str">
        <f>IF(ISBLANK('Aqueous Species Options'!J351), "", 'Aqueous Species Options'!J351)</f>
        <v/>
      </c>
      <c r="Q351" s="184" t="str">
        <f>IF(ISBLANK('Aqueous Species Options'!T351), "", 'Aqueous Species Options'!T351)</f>
        <v/>
      </c>
    </row>
    <row r="352" spans="2:17" ht="15" customHeight="1" x14ac:dyDescent="0.2">
      <c r="B352" s="9" t="str">
        <f>IF(ISBLANK('Aqueous Species Options'!B352), "", 'Aqueous Species Options'!B352)</f>
        <v/>
      </c>
      <c r="C352" s="55" t="str">
        <f>IF(ISBLANK('Aqueous Species Options'!C352), "", 'Aqueous Species Options'!C352)</f>
        <v/>
      </c>
      <c r="D352" s="1" t="str">
        <f>IF(ISBLANK('Aqueous Species Options'!D352), "", 'Aqueous Species Options'!D352)</f>
        <v/>
      </c>
      <c r="E352" s="1" t="str">
        <f>IF(ISBLANK('Aqueous Species Options'!E352), "", 'Aqueous Species Options'!E352)</f>
        <v/>
      </c>
      <c r="F352" s="139" t="str">
        <f>IF(ISBLANK('Aqueous Species Options'!F352), "", 'Aqueous Species Options'!F352)</f>
        <v/>
      </c>
      <c r="G352" s="29" t="str">
        <f>IF(ISBLANK('Aqueous Species Options'!B352), "", IF('Aqueous Species Options'!L352 = 1, IF(ISBLANK('Aqueous Species Options'!G352), "", 'Aqueous Species Options'!G352), ('Aqueous Species Table'!I352/10 + ('Aqueous Species Table'!J352*100)/(Calculations!$C$12+Calculations!$C$9) + ('Aqueous Species Table'!K352 + ('Aqueous Species Table'!L352*10000)/(Calculations!$C$12+Calculations!$C$9))*(1/(Calculations!$C$8-Calculations!$C$13)) - 'Aqueous Species Table'!O352*100000*0.0000005903)*41.8393))</f>
        <v/>
      </c>
      <c r="H352" s="29" t="str">
        <f>IF(ISBLANK('Aqueous Species Options'!B352), "", IF('Aqueous Species Options'!L352 = 1, IF(ISBLANK('Aqueous Species Options'!H352), "", 'Aqueous Species Options'!H352), 'Aqueous Species Table'!M352 + 'Aqueous Species Table'!N352*10000*(1/(Calculations!$C$8-Calculations!$C$13))^2 + 'Aqueous Species Table'!O352*100000*Calculations!$C$8*Calculations!$C$7))</f>
        <v/>
      </c>
      <c r="I352" s="42" t="str">
        <f>IF(ISBLANK('Aqueous Species Options'!B352), "", IF('Aqueous Species Options'!L352=0, 'Aqueous Species Options'!N352, IF(OR(ISBLANK('Aqueous Species Options'!G352),'Aqueous Species Table'!O352="", 'Aqueous Species Table'!P352=""), "", IF('Aqueous Species Options'!B352="H+", 0, (CHOOSE('Aqueous Species Options'!M352+1,'Aqueous Species Options'!$V$4*ABS('Aqueous Species Table'!P352)+'Aqueous Species Options'!$W$4,'Aqueous Species Options'!$Z$4)*('Aqueous Species Options'!G352 + 'Aqueous Species Table'!O352*100000*0.0000005903*41.8393) + CHOOSE('Aqueous Species Options'!M352+1,'Aqueous Species Options'!$X$4*ABS('Aqueous Species Table'!P352)+'Aqueous Species Options'!$Y$4,'Aqueous Species Options'!$AA$4))*10 ) ) ) )</f>
        <v/>
      </c>
      <c r="J352" s="42" t="str">
        <f>IF(ISBLANK('Aqueous Species Options'!B352), "", IF('Aqueous Species Options'!L352 = 0, 'Aqueous Species Options'!O352, IF('Aqueous Species Table'!I352="", "", IF('Aqueous Species Options'!B352="H+", 0, ((1.11*('Aqueous Species Options'!G352 + 'Aqueous Species Table'!O352*100000*0.0000005903*41.8393)+1.8)/41.8393 - 'Aqueous Species Table'!I352/10)*26.01 ) ) ) )</f>
        <v/>
      </c>
      <c r="K352" s="42" t="str">
        <f>IF(ISBLANK('Aqueous Species Options'!B352), "", IF('Aqueous Species Options'!L352 = 0, 'Aqueous Species Options'!P352, IF('Aqueous Species Table'!I352="", "", IF('Aqueous Species Options'!B352="H+", 0, ('Aqueous Species Options'!G352/41.8393 + 'Aqueous Species Table'!O352*100000*0.0000005903 - 'Aqueous Species Table'!I352/10 - 'Aqueous Species Table'!J352*100/2601)*(298.15-228) - ('Aqueous Species Table'!L352*10000/2601) ) ) ) )</f>
        <v/>
      </c>
      <c r="L352" s="42" t="str">
        <f>IF(ISBLANK('Aqueous Species Options'!B352), "", IF('Aqueous Species Options'!L352 = 0, 'Aqueous Species Options'!Q352, IF('Aqueous Species Table'!J352="", "", IF('Aqueous Species Options'!B352="H+", 0, (-4.134*'Aqueous Species Table'!J352*100 - 27790)*0.0001) ) ) )</f>
        <v/>
      </c>
      <c r="M352" s="42" t="str">
        <f>IF(ISBLANK('Aqueous Species Options'!B352), "", IF('Aqueous Species Options'!L352=0, 'Aqueous Species Options'!R352, IF('Aqueous Species Table'!N352="", "", IF('Aqueous Species Options'!B352="H+", 0, 'Aqueous Species Options'!H352 - 'Aqueous Species Table'!O352*100000*(-0.000000309)*298.15 - 'Aqueous Species Table'!N352*10000/(298.15-228)^2 ) ) ) )</f>
        <v/>
      </c>
      <c r="N352" s="42" t="str">
        <f>IF(ISBLANK('Aqueous Species Options'!B352), "", IF('Aqueous Species Options'!L352=0, 'Aqueous Species Options'!S352, IF(OR(ISBLANK('Aqueous Species Options'!H352), 'Aqueous Species Table'!O352=""), "", IF('Aqueous Species Options'!B352="H+", 0, 0.2037*'Aqueous Species Options'!H352 - 3.0346) ) ) )</f>
        <v/>
      </c>
      <c r="O352" s="42" t="str">
        <f>IF(ISBLANK('Aqueous Species Options'!B352), "", IF('Aqueous Species Options'!K352=0, 'Aqueous Species Options'!I352, IF(OR('Aqueous Species Options'!J352&gt;4,'Aqueous Species Options'!J352&lt;-4), "", IF('Aqueous Species Options'!B352="H+", 0, IF('Aqueous Species Options'!J352=0, -0.038, IF(ISBLANK('Aqueous Species Options'!F352), "", -1514.4*'Aqueous Species Options'!F352*0.00001 + SUM(({4,3,2,1,-1,-2,-3,-4}='Aqueous Species Options'!J352)*{2.1764,1.5793,1.0579,0.5517,1.6291,3.2127,4.8115,6.486}) ) ) ) ) ) )</f>
        <v/>
      </c>
      <c r="P352" s="1" t="str">
        <f>IF(ISBLANK('Aqueous Species Options'!J352), "", 'Aqueous Species Options'!J352)</f>
        <v/>
      </c>
      <c r="Q352" s="184" t="str">
        <f>IF(ISBLANK('Aqueous Species Options'!T352), "", 'Aqueous Species Options'!T352)</f>
        <v/>
      </c>
    </row>
    <row r="353" spans="2:17" ht="15" customHeight="1" x14ac:dyDescent="0.2">
      <c r="B353" s="9" t="str">
        <f>IF(ISBLANK('Aqueous Species Options'!B353), "", 'Aqueous Species Options'!B353)</f>
        <v/>
      </c>
      <c r="C353" s="55" t="str">
        <f>IF(ISBLANK('Aqueous Species Options'!C353), "", 'Aqueous Species Options'!C353)</f>
        <v/>
      </c>
      <c r="D353" s="1" t="str">
        <f>IF(ISBLANK('Aqueous Species Options'!D353), "", 'Aqueous Species Options'!D353)</f>
        <v/>
      </c>
      <c r="E353" s="1" t="str">
        <f>IF(ISBLANK('Aqueous Species Options'!E353), "", 'Aqueous Species Options'!E353)</f>
        <v/>
      </c>
      <c r="F353" s="139" t="str">
        <f>IF(ISBLANK('Aqueous Species Options'!F353), "", 'Aqueous Species Options'!F353)</f>
        <v/>
      </c>
      <c r="G353" s="29" t="str">
        <f>IF(ISBLANK('Aqueous Species Options'!B353), "", IF('Aqueous Species Options'!L353 = 1, IF(ISBLANK('Aqueous Species Options'!G353), "", 'Aqueous Species Options'!G353), ('Aqueous Species Table'!I353/10 + ('Aqueous Species Table'!J353*100)/(Calculations!$C$12+Calculations!$C$9) + ('Aqueous Species Table'!K353 + ('Aqueous Species Table'!L353*10000)/(Calculations!$C$12+Calculations!$C$9))*(1/(Calculations!$C$8-Calculations!$C$13)) - 'Aqueous Species Table'!O353*100000*0.0000005903)*41.8393))</f>
        <v/>
      </c>
      <c r="H353" s="29" t="str">
        <f>IF(ISBLANK('Aqueous Species Options'!B353), "", IF('Aqueous Species Options'!L353 = 1, IF(ISBLANK('Aqueous Species Options'!H353), "", 'Aqueous Species Options'!H353), 'Aqueous Species Table'!M353 + 'Aqueous Species Table'!N353*10000*(1/(Calculations!$C$8-Calculations!$C$13))^2 + 'Aqueous Species Table'!O353*100000*Calculations!$C$8*Calculations!$C$7))</f>
        <v/>
      </c>
      <c r="I353" s="42" t="str">
        <f>IF(ISBLANK('Aqueous Species Options'!B353), "", IF('Aqueous Species Options'!L353=0, 'Aqueous Species Options'!N353, IF(OR(ISBLANK('Aqueous Species Options'!G353),'Aqueous Species Table'!O353="", 'Aqueous Species Table'!P353=""), "", IF('Aqueous Species Options'!B353="H+", 0, (CHOOSE('Aqueous Species Options'!M353+1,'Aqueous Species Options'!$V$4*ABS('Aqueous Species Table'!P353)+'Aqueous Species Options'!$W$4,'Aqueous Species Options'!$Z$4)*('Aqueous Species Options'!G353 + 'Aqueous Species Table'!O353*100000*0.0000005903*41.8393) + CHOOSE('Aqueous Species Options'!M353+1,'Aqueous Species Options'!$X$4*ABS('Aqueous Species Table'!P353)+'Aqueous Species Options'!$Y$4,'Aqueous Species Options'!$AA$4))*10 ) ) ) )</f>
        <v/>
      </c>
      <c r="J353" s="42" t="str">
        <f>IF(ISBLANK('Aqueous Species Options'!B353), "", IF('Aqueous Species Options'!L353 = 0, 'Aqueous Species Options'!O353, IF('Aqueous Species Table'!I353="", "", IF('Aqueous Species Options'!B353="H+", 0, ((1.11*('Aqueous Species Options'!G353 + 'Aqueous Species Table'!O353*100000*0.0000005903*41.8393)+1.8)/41.8393 - 'Aqueous Species Table'!I353/10)*26.01 ) ) ) )</f>
        <v/>
      </c>
      <c r="K353" s="42" t="str">
        <f>IF(ISBLANK('Aqueous Species Options'!B353), "", IF('Aqueous Species Options'!L353 = 0, 'Aqueous Species Options'!P353, IF('Aqueous Species Table'!I353="", "", IF('Aqueous Species Options'!B353="H+", 0, ('Aqueous Species Options'!G353/41.8393 + 'Aqueous Species Table'!O353*100000*0.0000005903 - 'Aqueous Species Table'!I353/10 - 'Aqueous Species Table'!J353*100/2601)*(298.15-228) - ('Aqueous Species Table'!L353*10000/2601) ) ) ) )</f>
        <v/>
      </c>
      <c r="L353" s="42" t="str">
        <f>IF(ISBLANK('Aqueous Species Options'!B353), "", IF('Aqueous Species Options'!L353 = 0, 'Aqueous Species Options'!Q353, IF('Aqueous Species Table'!J353="", "", IF('Aqueous Species Options'!B353="H+", 0, (-4.134*'Aqueous Species Table'!J353*100 - 27790)*0.0001) ) ) )</f>
        <v/>
      </c>
      <c r="M353" s="42" t="str">
        <f>IF(ISBLANK('Aqueous Species Options'!B353), "", IF('Aqueous Species Options'!L353=0, 'Aqueous Species Options'!R353, IF('Aqueous Species Table'!N353="", "", IF('Aqueous Species Options'!B353="H+", 0, 'Aqueous Species Options'!H353 - 'Aqueous Species Table'!O353*100000*(-0.000000309)*298.15 - 'Aqueous Species Table'!N353*10000/(298.15-228)^2 ) ) ) )</f>
        <v/>
      </c>
      <c r="N353" s="42" t="str">
        <f>IF(ISBLANK('Aqueous Species Options'!B353), "", IF('Aqueous Species Options'!L353=0, 'Aqueous Species Options'!S353, IF(OR(ISBLANK('Aqueous Species Options'!H353), 'Aqueous Species Table'!O353=""), "", IF('Aqueous Species Options'!B353="H+", 0, 0.2037*'Aqueous Species Options'!H353 - 3.0346) ) ) )</f>
        <v/>
      </c>
      <c r="O353" s="42" t="str">
        <f>IF(ISBLANK('Aqueous Species Options'!B353), "", IF('Aqueous Species Options'!K353=0, 'Aqueous Species Options'!I353, IF(OR('Aqueous Species Options'!J353&gt;4,'Aqueous Species Options'!J353&lt;-4), "", IF('Aqueous Species Options'!B353="H+", 0, IF('Aqueous Species Options'!J353=0, -0.038, IF(ISBLANK('Aqueous Species Options'!F353), "", -1514.4*'Aqueous Species Options'!F353*0.00001 + SUM(({4,3,2,1,-1,-2,-3,-4}='Aqueous Species Options'!J353)*{2.1764,1.5793,1.0579,0.5517,1.6291,3.2127,4.8115,6.486}) ) ) ) ) ) )</f>
        <v/>
      </c>
      <c r="P353" s="1" t="str">
        <f>IF(ISBLANK('Aqueous Species Options'!J353), "", 'Aqueous Species Options'!J353)</f>
        <v/>
      </c>
      <c r="Q353" s="184" t="str">
        <f>IF(ISBLANK('Aqueous Species Options'!T353), "", 'Aqueous Species Options'!T353)</f>
        <v/>
      </c>
    </row>
    <row r="354" spans="2:17" ht="16" x14ac:dyDescent="0.2">
      <c r="B354" s="9" t="str">
        <f>IF(ISBLANK('Aqueous Species Options'!B354), "", 'Aqueous Species Options'!B354)</f>
        <v/>
      </c>
      <c r="C354" s="55" t="str">
        <f>IF(ISBLANK('Aqueous Species Options'!C354), "", 'Aqueous Species Options'!C354)</f>
        <v/>
      </c>
      <c r="D354" s="1" t="str">
        <f>IF(ISBLANK('Aqueous Species Options'!D354), "", 'Aqueous Species Options'!D354)</f>
        <v/>
      </c>
      <c r="E354" s="1" t="str">
        <f>IF(ISBLANK('Aqueous Species Options'!E354), "", 'Aqueous Species Options'!E354)</f>
        <v/>
      </c>
      <c r="F354" s="139" t="str">
        <f>IF(ISBLANK('Aqueous Species Options'!F354), "", 'Aqueous Species Options'!F354)</f>
        <v/>
      </c>
      <c r="G354" s="29" t="str">
        <f>IF(ISBLANK('Aqueous Species Options'!B354), "", IF('Aqueous Species Options'!L354 = 1, IF(ISBLANK('Aqueous Species Options'!G354), "", 'Aqueous Species Options'!G354), ('Aqueous Species Table'!I354/10 + ('Aqueous Species Table'!J354*100)/(Calculations!$C$12+Calculations!$C$9) + ('Aqueous Species Table'!K354 + ('Aqueous Species Table'!L354*10000)/(Calculations!$C$12+Calculations!$C$9))*(1/(Calculations!$C$8-Calculations!$C$13)) - 'Aqueous Species Table'!O354*100000*0.0000005903)*41.8393))</f>
        <v/>
      </c>
      <c r="H354" s="29" t="str">
        <f>IF(ISBLANK('Aqueous Species Options'!B354), "", IF('Aqueous Species Options'!L354 = 1, IF(ISBLANK('Aqueous Species Options'!H354), "", 'Aqueous Species Options'!H354), 'Aqueous Species Table'!M354 + 'Aqueous Species Table'!N354*10000*(1/(Calculations!$C$8-Calculations!$C$13))^2 + 'Aqueous Species Table'!O354*100000*Calculations!$C$8*Calculations!$C$7))</f>
        <v/>
      </c>
      <c r="I354" s="42" t="str">
        <f>IF(ISBLANK('Aqueous Species Options'!B354), "", IF('Aqueous Species Options'!L354=0, 'Aqueous Species Options'!N354, IF(OR(ISBLANK('Aqueous Species Options'!G354),'Aqueous Species Table'!O354="", 'Aqueous Species Table'!P354=""), "", IF('Aqueous Species Options'!B354="H+", 0, (CHOOSE('Aqueous Species Options'!M354+1,'Aqueous Species Options'!$V$4*ABS('Aqueous Species Table'!P354)+'Aqueous Species Options'!$W$4,'Aqueous Species Options'!$Z$4)*('Aqueous Species Options'!G354 + 'Aqueous Species Table'!O354*100000*0.0000005903*41.8393) + CHOOSE('Aqueous Species Options'!M354+1,'Aqueous Species Options'!$X$4*ABS('Aqueous Species Table'!P354)+'Aqueous Species Options'!$Y$4,'Aqueous Species Options'!$AA$4))*10 ) ) ) )</f>
        <v/>
      </c>
      <c r="J354" s="42" t="str">
        <f>IF(ISBLANK('Aqueous Species Options'!B354), "", IF('Aqueous Species Options'!L354 = 0, 'Aqueous Species Options'!O354, IF('Aqueous Species Table'!I354="", "", IF('Aqueous Species Options'!B354="H+", 0, ((1.11*('Aqueous Species Options'!G354 + 'Aqueous Species Table'!O354*100000*0.0000005903*41.8393)+1.8)/41.8393 - 'Aqueous Species Table'!I354/10)*26.01 ) ) ) )</f>
        <v/>
      </c>
      <c r="K354" s="42" t="str">
        <f>IF(ISBLANK('Aqueous Species Options'!B354), "", IF('Aqueous Species Options'!L354 = 0, 'Aqueous Species Options'!P354, IF('Aqueous Species Table'!I354="", "", IF('Aqueous Species Options'!B354="H+", 0, ('Aqueous Species Options'!G354/41.8393 + 'Aqueous Species Table'!O354*100000*0.0000005903 - 'Aqueous Species Table'!I354/10 - 'Aqueous Species Table'!J354*100/2601)*(298.15-228) - ('Aqueous Species Table'!L354*10000/2601) ) ) ) )</f>
        <v/>
      </c>
      <c r="L354" s="42" t="str">
        <f>IF(ISBLANK('Aqueous Species Options'!B354), "", IF('Aqueous Species Options'!L354 = 0, 'Aqueous Species Options'!Q354, IF('Aqueous Species Table'!J354="", "", IF('Aqueous Species Options'!B354="H+", 0, (-4.134*'Aqueous Species Table'!J354*100 - 27790)*0.0001) ) ) )</f>
        <v/>
      </c>
      <c r="M354" s="42" t="str">
        <f>IF(ISBLANK('Aqueous Species Options'!B354), "", IF('Aqueous Species Options'!L354=0, 'Aqueous Species Options'!R354, IF('Aqueous Species Table'!N354="", "", IF('Aqueous Species Options'!B354="H+", 0, 'Aqueous Species Options'!H354 - 'Aqueous Species Table'!O354*100000*(-0.000000309)*298.15 - 'Aqueous Species Table'!N354*10000/(298.15-228)^2 ) ) ) )</f>
        <v/>
      </c>
      <c r="N354" s="42" t="str">
        <f>IF(ISBLANK('Aqueous Species Options'!B354), "", IF('Aqueous Species Options'!L354=0, 'Aqueous Species Options'!S354, IF(OR(ISBLANK('Aqueous Species Options'!H354), 'Aqueous Species Table'!O354=""), "", IF('Aqueous Species Options'!B354="H+", 0, 0.2037*'Aqueous Species Options'!H354 - 3.0346) ) ) )</f>
        <v/>
      </c>
      <c r="O354" s="42" t="str">
        <f>IF(ISBLANK('Aqueous Species Options'!B354), "", IF('Aqueous Species Options'!K354=0, 'Aqueous Species Options'!I354, IF(OR('Aqueous Species Options'!J354&gt;4,'Aqueous Species Options'!J354&lt;-4), "", IF('Aqueous Species Options'!B354="H+", 0, IF('Aqueous Species Options'!J354=0, -0.038, IF(ISBLANK('Aqueous Species Options'!F354), "", -1514.4*'Aqueous Species Options'!F354*0.00001 + SUM(({4,3,2,1,-1,-2,-3,-4}='Aqueous Species Options'!J354)*{2.1764,1.5793,1.0579,0.5517,1.6291,3.2127,4.8115,6.486}) ) ) ) ) ) )</f>
        <v/>
      </c>
      <c r="P354" s="1" t="str">
        <f>IF(ISBLANK('Aqueous Species Options'!J354), "", 'Aqueous Species Options'!J354)</f>
        <v/>
      </c>
      <c r="Q354" s="184" t="str">
        <f>IF(ISBLANK('Aqueous Species Options'!T354), "", 'Aqueous Species Options'!T354)</f>
        <v/>
      </c>
    </row>
    <row r="355" spans="2:17" ht="16" x14ac:dyDescent="0.2">
      <c r="B355" s="9" t="str">
        <f>IF(ISBLANK('Aqueous Species Options'!B355), "", 'Aqueous Species Options'!B355)</f>
        <v/>
      </c>
      <c r="C355" s="55" t="str">
        <f>IF(ISBLANK('Aqueous Species Options'!C355), "", 'Aqueous Species Options'!C355)</f>
        <v/>
      </c>
      <c r="D355" s="1" t="str">
        <f>IF(ISBLANK('Aqueous Species Options'!D355), "", 'Aqueous Species Options'!D355)</f>
        <v/>
      </c>
      <c r="E355" s="1" t="str">
        <f>IF(ISBLANK('Aqueous Species Options'!E355), "", 'Aqueous Species Options'!E355)</f>
        <v/>
      </c>
      <c r="F355" s="139" t="str">
        <f>IF(ISBLANK('Aqueous Species Options'!F355), "", 'Aqueous Species Options'!F355)</f>
        <v/>
      </c>
      <c r="G355" s="29" t="str">
        <f>IF(ISBLANK('Aqueous Species Options'!B355), "", IF('Aqueous Species Options'!L355 = 1, IF(ISBLANK('Aqueous Species Options'!G355), "", 'Aqueous Species Options'!G355), ('Aqueous Species Table'!I355/10 + ('Aqueous Species Table'!J355*100)/(Calculations!$C$12+Calculations!$C$9) + ('Aqueous Species Table'!K355 + ('Aqueous Species Table'!L355*10000)/(Calculations!$C$12+Calculations!$C$9))*(1/(Calculations!$C$8-Calculations!$C$13)) - 'Aqueous Species Table'!O355*100000*0.0000005903)*41.8393))</f>
        <v/>
      </c>
      <c r="H355" s="29" t="str">
        <f>IF(ISBLANK('Aqueous Species Options'!B355), "", IF('Aqueous Species Options'!L355 = 1, IF(ISBLANK('Aqueous Species Options'!H355), "", 'Aqueous Species Options'!H355), 'Aqueous Species Table'!M355 + 'Aqueous Species Table'!N355*10000*(1/(Calculations!$C$8-Calculations!$C$13))^2 + 'Aqueous Species Table'!O355*100000*Calculations!$C$8*Calculations!$C$7))</f>
        <v/>
      </c>
      <c r="I355" s="42" t="str">
        <f>IF(ISBLANK('Aqueous Species Options'!B355), "", IF('Aqueous Species Options'!L355=0, 'Aqueous Species Options'!N355, IF(OR(ISBLANK('Aqueous Species Options'!G355),'Aqueous Species Table'!O355="", 'Aqueous Species Table'!P355=""), "", IF('Aqueous Species Options'!B355="H+", 0, (CHOOSE('Aqueous Species Options'!M355+1,'Aqueous Species Options'!$V$4*ABS('Aqueous Species Table'!P355)+'Aqueous Species Options'!$W$4,'Aqueous Species Options'!$Z$4)*('Aqueous Species Options'!G355 + 'Aqueous Species Table'!O355*100000*0.0000005903*41.8393) + CHOOSE('Aqueous Species Options'!M355+1,'Aqueous Species Options'!$X$4*ABS('Aqueous Species Table'!P355)+'Aqueous Species Options'!$Y$4,'Aqueous Species Options'!$AA$4))*10 ) ) ) )</f>
        <v/>
      </c>
      <c r="J355" s="42" t="str">
        <f>IF(ISBLANK('Aqueous Species Options'!B355), "", IF('Aqueous Species Options'!L355 = 0, 'Aqueous Species Options'!O355, IF('Aqueous Species Table'!I355="", "", IF('Aqueous Species Options'!B355="H+", 0, ((1.11*('Aqueous Species Options'!G355 + 'Aqueous Species Table'!O355*100000*0.0000005903*41.8393)+1.8)/41.8393 - 'Aqueous Species Table'!I355/10)*26.01 ) ) ) )</f>
        <v/>
      </c>
      <c r="K355" s="42" t="str">
        <f>IF(ISBLANK('Aqueous Species Options'!B355), "", IF('Aqueous Species Options'!L355 = 0, 'Aqueous Species Options'!P355, IF('Aqueous Species Table'!I355="", "", IF('Aqueous Species Options'!B355="H+", 0, ('Aqueous Species Options'!G355/41.8393 + 'Aqueous Species Table'!O355*100000*0.0000005903 - 'Aqueous Species Table'!I355/10 - 'Aqueous Species Table'!J355*100/2601)*(298.15-228) - ('Aqueous Species Table'!L355*10000/2601) ) ) ) )</f>
        <v/>
      </c>
      <c r="L355" s="42" t="str">
        <f>IF(ISBLANK('Aqueous Species Options'!B355), "", IF('Aqueous Species Options'!L355 = 0, 'Aqueous Species Options'!Q355, IF('Aqueous Species Table'!J355="", "", IF('Aqueous Species Options'!B355="H+", 0, (-4.134*'Aqueous Species Table'!J355*100 - 27790)*0.0001) ) ) )</f>
        <v/>
      </c>
      <c r="M355" s="42" t="str">
        <f>IF(ISBLANK('Aqueous Species Options'!B355), "", IF('Aqueous Species Options'!L355=0, 'Aqueous Species Options'!R355, IF('Aqueous Species Table'!N355="", "", IF('Aqueous Species Options'!B355="H+", 0, 'Aqueous Species Options'!H355 - 'Aqueous Species Table'!O355*100000*(-0.000000309)*298.15 - 'Aqueous Species Table'!N355*10000/(298.15-228)^2 ) ) ) )</f>
        <v/>
      </c>
      <c r="N355" s="42" t="str">
        <f>IF(ISBLANK('Aqueous Species Options'!B355), "", IF('Aqueous Species Options'!L355=0, 'Aqueous Species Options'!S355, IF(OR(ISBLANK('Aqueous Species Options'!H355), 'Aqueous Species Table'!O355=""), "", IF('Aqueous Species Options'!B355="H+", 0, 0.2037*'Aqueous Species Options'!H355 - 3.0346) ) ) )</f>
        <v/>
      </c>
      <c r="O355" s="42" t="str">
        <f>IF(ISBLANK('Aqueous Species Options'!B355), "", IF('Aqueous Species Options'!K355=0, 'Aqueous Species Options'!I355, IF(OR('Aqueous Species Options'!J355&gt;4,'Aqueous Species Options'!J355&lt;-4), "", IF('Aqueous Species Options'!B355="H+", 0, IF('Aqueous Species Options'!J355=0, -0.038, IF(ISBLANK('Aqueous Species Options'!F355), "", -1514.4*'Aqueous Species Options'!F355*0.00001 + SUM(({4,3,2,1,-1,-2,-3,-4}='Aqueous Species Options'!J355)*{2.1764,1.5793,1.0579,0.5517,1.6291,3.2127,4.8115,6.486}) ) ) ) ) ) )</f>
        <v/>
      </c>
      <c r="P355" s="1" t="str">
        <f>IF(ISBLANK('Aqueous Species Options'!J355), "", 'Aqueous Species Options'!J355)</f>
        <v/>
      </c>
      <c r="Q355" s="184" t="str">
        <f>IF(ISBLANK('Aqueous Species Options'!T355), "", 'Aqueous Species Options'!T355)</f>
        <v/>
      </c>
    </row>
    <row r="356" spans="2:17" ht="16" x14ac:dyDescent="0.2">
      <c r="B356" s="9" t="str">
        <f>IF(ISBLANK('Aqueous Species Options'!B356), "", 'Aqueous Species Options'!B356)</f>
        <v/>
      </c>
      <c r="C356" s="55" t="str">
        <f>IF(ISBLANK('Aqueous Species Options'!C356), "", 'Aqueous Species Options'!C356)</f>
        <v/>
      </c>
      <c r="D356" s="1" t="str">
        <f>IF(ISBLANK('Aqueous Species Options'!D356), "", 'Aqueous Species Options'!D356)</f>
        <v/>
      </c>
      <c r="E356" s="1" t="str">
        <f>IF(ISBLANK('Aqueous Species Options'!E356), "", 'Aqueous Species Options'!E356)</f>
        <v/>
      </c>
      <c r="F356" s="139" t="str">
        <f>IF(ISBLANK('Aqueous Species Options'!F356), "", 'Aqueous Species Options'!F356)</f>
        <v/>
      </c>
      <c r="G356" s="29" t="str">
        <f>IF(ISBLANK('Aqueous Species Options'!B356), "", IF('Aqueous Species Options'!L356 = 1, IF(ISBLANK('Aqueous Species Options'!G356), "", 'Aqueous Species Options'!G356), ('Aqueous Species Table'!I356/10 + ('Aqueous Species Table'!J356*100)/(Calculations!$C$12+Calculations!$C$9) + ('Aqueous Species Table'!K356 + ('Aqueous Species Table'!L356*10000)/(Calculations!$C$12+Calculations!$C$9))*(1/(Calculations!$C$8-Calculations!$C$13)) - 'Aqueous Species Table'!O356*100000*0.0000005903)*41.8393))</f>
        <v/>
      </c>
      <c r="H356" s="29" t="str">
        <f>IF(ISBLANK('Aqueous Species Options'!B356), "", IF('Aqueous Species Options'!L356 = 1, IF(ISBLANK('Aqueous Species Options'!H356), "", 'Aqueous Species Options'!H356), 'Aqueous Species Table'!M356 + 'Aqueous Species Table'!N356*10000*(1/(Calculations!$C$8-Calculations!$C$13))^2 + 'Aqueous Species Table'!O356*100000*Calculations!$C$8*Calculations!$C$7))</f>
        <v/>
      </c>
      <c r="I356" s="42" t="str">
        <f>IF(ISBLANK('Aqueous Species Options'!B356), "", IF('Aqueous Species Options'!L356=0, 'Aqueous Species Options'!N356, IF(OR(ISBLANK('Aqueous Species Options'!G356),'Aqueous Species Table'!O356="", 'Aqueous Species Table'!P356=""), "", IF('Aqueous Species Options'!B356="H+", 0, (CHOOSE('Aqueous Species Options'!M356+1,'Aqueous Species Options'!$V$4*ABS('Aqueous Species Table'!P356)+'Aqueous Species Options'!$W$4,'Aqueous Species Options'!$Z$4)*('Aqueous Species Options'!G356 + 'Aqueous Species Table'!O356*100000*0.0000005903*41.8393) + CHOOSE('Aqueous Species Options'!M356+1,'Aqueous Species Options'!$X$4*ABS('Aqueous Species Table'!P356)+'Aqueous Species Options'!$Y$4,'Aqueous Species Options'!$AA$4))*10 ) ) ) )</f>
        <v/>
      </c>
      <c r="J356" s="42" t="str">
        <f>IF(ISBLANK('Aqueous Species Options'!B356), "", IF('Aqueous Species Options'!L356 = 0, 'Aqueous Species Options'!O356, IF('Aqueous Species Table'!I356="", "", IF('Aqueous Species Options'!B356="H+", 0, ((1.11*('Aqueous Species Options'!G356 + 'Aqueous Species Table'!O356*100000*0.0000005903*41.8393)+1.8)/41.8393 - 'Aqueous Species Table'!I356/10)*26.01 ) ) ) )</f>
        <v/>
      </c>
      <c r="K356" s="42" t="str">
        <f>IF(ISBLANK('Aqueous Species Options'!B356), "", IF('Aqueous Species Options'!L356 = 0, 'Aqueous Species Options'!P356, IF('Aqueous Species Table'!I356="", "", IF('Aqueous Species Options'!B356="H+", 0, ('Aqueous Species Options'!G356/41.8393 + 'Aqueous Species Table'!O356*100000*0.0000005903 - 'Aqueous Species Table'!I356/10 - 'Aqueous Species Table'!J356*100/2601)*(298.15-228) - ('Aqueous Species Table'!L356*10000/2601) ) ) ) )</f>
        <v/>
      </c>
      <c r="L356" s="42" t="str">
        <f>IF(ISBLANK('Aqueous Species Options'!B356), "", IF('Aqueous Species Options'!L356 = 0, 'Aqueous Species Options'!Q356, IF('Aqueous Species Table'!J356="", "", IF('Aqueous Species Options'!B356="H+", 0, (-4.134*'Aqueous Species Table'!J356*100 - 27790)*0.0001) ) ) )</f>
        <v/>
      </c>
      <c r="M356" s="42" t="str">
        <f>IF(ISBLANK('Aqueous Species Options'!B356), "", IF('Aqueous Species Options'!L356=0, 'Aqueous Species Options'!R356, IF('Aqueous Species Table'!N356="", "", IF('Aqueous Species Options'!B356="H+", 0, 'Aqueous Species Options'!H356 - 'Aqueous Species Table'!O356*100000*(-0.000000309)*298.15 - 'Aqueous Species Table'!N356*10000/(298.15-228)^2 ) ) ) )</f>
        <v/>
      </c>
      <c r="N356" s="42" t="str">
        <f>IF(ISBLANK('Aqueous Species Options'!B356), "", IF('Aqueous Species Options'!L356=0, 'Aqueous Species Options'!S356, IF(OR(ISBLANK('Aqueous Species Options'!H356), 'Aqueous Species Table'!O356=""), "", IF('Aqueous Species Options'!B356="H+", 0, 0.2037*'Aqueous Species Options'!H356 - 3.0346) ) ) )</f>
        <v/>
      </c>
      <c r="O356" s="42" t="str">
        <f>IF(ISBLANK('Aqueous Species Options'!B356), "", IF('Aqueous Species Options'!K356=0, 'Aqueous Species Options'!I356, IF(OR('Aqueous Species Options'!J356&gt;4,'Aqueous Species Options'!J356&lt;-4), "", IF('Aqueous Species Options'!B356="H+", 0, IF('Aqueous Species Options'!J356=0, -0.038, IF(ISBLANK('Aqueous Species Options'!F356), "", -1514.4*'Aqueous Species Options'!F356*0.00001 + SUM(({4,3,2,1,-1,-2,-3,-4}='Aqueous Species Options'!J356)*{2.1764,1.5793,1.0579,0.5517,1.6291,3.2127,4.8115,6.486}) ) ) ) ) ) )</f>
        <v/>
      </c>
      <c r="P356" s="1" t="str">
        <f>IF(ISBLANK('Aqueous Species Options'!J356), "", 'Aqueous Species Options'!J356)</f>
        <v/>
      </c>
      <c r="Q356" s="184" t="str">
        <f>IF(ISBLANK('Aqueous Species Options'!T356), "", 'Aqueous Species Options'!T356)</f>
        <v/>
      </c>
    </row>
    <row r="357" spans="2:17" ht="16" x14ac:dyDescent="0.2">
      <c r="B357" s="9" t="str">
        <f>IF(ISBLANK('Aqueous Species Options'!B357), "", 'Aqueous Species Options'!B357)</f>
        <v/>
      </c>
      <c r="C357" s="55" t="str">
        <f>IF(ISBLANK('Aqueous Species Options'!C357), "", 'Aqueous Species Options'!C357)</f>
        <v/>
      </c>
      <c r="D357" s="1" t="str">
        <f>IF(ISBLANK('Aqueous Species Options'!D357), "", 'Aqueous Species Options'!D357)</f>
        <v/>
      </c>
      <c r="E357" s="1" t="str">
        <f>IF(ISBLANK('Aqueous Species Options'!E357), "", 'Aqueous Species Options'!E357)</f>
        <v/>
      </c>
      <c r="F357" s="139" t="str">
        <f>IF(ISBLANK('Aqueous Species Options'!F357), "", 'Aqueous Species Options'!F357)</f>
        <v/>
      </c>
      <c r="G357" s="29" t="str">
        <f>IF(ISBLANK('Aqueous Species Options'!B357), "", IF('Aqueous Species Options'!L357 = 1, IF(ISBLANK('Aqueous Species Options'!G357), "", 'Aqueous Species Options'!G357), ('Aqueous Species Table'!I357/10 + ('Aqueous Species Table'!J357*100)/(Calculations!$C$12+Calculations!$C$9) + ('Aqueous Species Table'!K357 + ('Aqueous Species Table'!L357*10000)/(Calculations!$C$12+Calculations!$C$9))*(1/(Calculations!$C$8-Calculations!$C$13)) - 'Aqueous Species Table'!O357*100000*0.0000005903)*41.8393))</f>
        <v/>
      </c>
      <c r="H357" s="29" t="str">
        <f>IF(ISBLANK('Aqueous Species Options'!B357), "", IF('Aqueous Species Options'!L357 = 1, IF(ISBLANK('Aqueous Species Options'!H357), "", 'Aqueous Species Options'!H357), 'Aqueous Species Table'!M357 + 'Aqueous Species Table'!N357*10000*(1/(Calculations!$C$8-Calculations!$C$13))^2 + 'Aqueous Species Table'!O357*100000*Calculations!$C$8*Calculations!$C$7))</f>
        <v/>
      </c>
      <c r="I357" s="42" t="str">
        <f>IF(ISBLANK('Aqueous Species Options'!B357), "", IF('Aqueous Species Options'!L357=0, 'Aqueous Species Options'!N357, IF(OR(ISBLANK('Aqueous Species Options'!G357),'Aqueous Species Table'!O357="", 'Aqueous Species Table'!P357=""), "", IF('Aqueous Species Options'!B357="H+", 0, (CHOOSE('Aqueous Species Options'!M357+1,'Aqueous Species Options'!$V$4*ABS('Aqueous Species Table'!P357)+'Aqueous Species Options'!$W$4,'Aqueous Species Options'!$Z$4)*('Aqueous Species Options'!G357 + 'Aqueous Species Table'!O357*100000*0.0000005903*41.8393) + CHOOSE('Aqueous Species Options'!M357+1,'Aqueous Species Options'!$X$4*ABS('Aqueous Species Table'!P357)+'Aqueous Species Options'!$Y$4,'Aqueous Species Options'!$AA$4))*10 ) ) ) )</f>
        <v/>
      </c>
      <c r="J357" s="42" t="str">
        <f>IF(ISBLANK('Aqueous Species Options'!B357), "", IF('Aqueous Species Options'!L357 = 0, 'Aqueous Species Options'!O357, IF('Aqueous Species Table'!I357="", "", IF('Aqueous Species Options'!B357="H+", 0, ((1.11*('Aqueous Species Options'!G357 + 'Aqueous Species Table'!O357*100000*0.0000005903*41.8393)+1.8)/41.8393 - 'Aqueous Species Table'!I357/10)*26.01 ) ) ) )</f>
        <v/>
      </c>
      <c r="K357" s="42" t="str">
        <f>IF(ISBLANK('Aqueous Species Options'!B357), "", IF('Aqueous Species Options'!L357 = 0, 'Aqueous Species Options'!P357, IF('Aqueous Species Table'!I357="", "", IF('Aqueous Species Options'!B357="H+", 0, ('Aqueous Species Options'!G357/41.8393 + 'Aqueous Species Table'!O357*100000*0.0000005903 - 'Aqueous Species Table'!I357/10 - 'Aqueous Species Table'!J357*100/2601)*(298.15-228) - ('Aqueous Species Table'!L357*10000/2601) ) ) ) )</f>
        <v/>
      </c>
      <c r="L357" s="42" t="str">
        <f>IF(ISBLANK('Aqueous Species Options'!B357), "", IF('Aqueous Species Options'!L357 = 0, 'Aqueous Species Options'!Q357, IF('Aqueous Species Table'!J357="", "", IF('Aqueous Species Options'!B357="H+", 0, (-4.134*'Aqueous Species Table'!J357*100 - 27790)*0.0001) ) ) )</f>
        <v/>
      </c>
      <c r="M357" s="42" t="str">
        <f>IF(ISBLANK('Aqueous Species Options'!B357), "", IF('Aqueous Species Options'!L357=0, 'Aqueous Species Options'!R357, IF('Aqueous Species Table'!N357="", "", IF('Aqueous Species Options'!B357="H+", 0, 'Aqueous Species Options'!H357 - 'Aqueous Species Table'!O357*100000*(-0.000000309)*298.15 - 'Aqueous Species Table'!N357*10000/(298.15-228)^2 ) ) ) )</f>
        <v/>
      </c>
      <c r="N357" s="42" t="str">
        <f>IF(ISBLANK('Aqueous Species Options'!B357), "", IF('Aqueous Species Options'!L357=0, 'Aqueous Species Options'!S357, IF(OR(ISBLANK('Aqueous Species Options'!H357), 'Aqueous Species Table'!O357=""), "", IF('Aqueous Species Options'!B357="H+", 0, 0.2037*'Aqueous Species Options'!H357 - 3.0346) ) ) )</f>
        <v/>
      </c>
      <c r="O357" s="42" t="str">
        <f>IF(ISBLANK('Aqueous Species Options'!B357), "", IF('Aqueous Species Options'!K357=0, 'Aqueous Species Options'!I357, IF(OR('Aqueous Species Options'!J357&gt;4,'Aqueous Species Options'!J357&lt;-4), "", IF('Aqueous Species Options'!B357="H+", 0, IF('Aqueous Species Options'!J357=0, -0.038, IF(ISBLANK('Aqueous Species Options'!F357), "", -1514.4*'Aqueous Species Options'!F357*0.00001 + SUM(({4,3,2,1,-1,-2,-3,-4}='Aqueous Species Options'!J357)*{2.1764,1.5793,1.0579,0.5517,1.6291,3.2127,4.8115,6.486}) ) ) ) ) ) )</f>
        <v/>
      </c>
      <c r="P357" s="1" t="str">
        <f>IF(ISBLANK('Aqueous Species Options'!J357), "", 'Aqueous Species Options'!J357)</f>
        <v/>
      </c>
      <c r="Q357" s="184" t="str">
        <f>IF(ISBLANK('Aqueous Species Options'!T357), "", 'Aqueous Species Options'!T357)</f>
        <v/>
      </c>
    </row>
    <row r="358" spans="2:17" ht="16" x14ac:dyDescent="0.2">
      <c r="B358" s="9" t="str">
        <f>IF(ISBLANK('Aqueous Species Options'!B358), "", 'Aqueous Species Options'!B358)</f>
        <v/>
      </c>
      <c r="C358" s="55" t="str">
        <f>IF(ISBLANK('Aqueous Species Options'!C358), "", 'Aqueous Species Options'!C358)</f>
        <v/>
      </c>
      <c r="D358" s="1" t="str">
        <f>IF(ISBLANK('Aqueous Species Options'!D358), "", 'Aqueous Species Options'!D358)</f>
        <v/>
      </c>
      <c r="E358" s="1" t="str">
        <f>IF(ISBLANK('Aqueous Species Options'!E358), "", 'Aqueous Species Options'!E358)</f>
        <v/>
      </c>
      <c r="F358" s="139" t="str">
        <f>IF(ISBLANK('Aqueous Species Options'!F358), "", 'Aqueous Species Options'!F358)</f>
        <v/>
      </c>
      <c r="G358" s="29" t="str">
        <f>IF(ISBLANK('Aqueous Species Options'!B358), "", IF('Aqueous Species Options'!L358 = 1, IF(ISBLANK('Aqueous Species Options'!G358), "", 'Aqueous Species Options'!G358), ('Aqueous Species Table'!I358/10 + ('Aqueous Species Table'!J358*100)/(Calculations!$C$12+Calculations!$C$9) + ('Aqueous Species Table'!K358 + ('Aqueous Species Table'!L358*10000)/(Calculations!$C$12+Calculations!$C$9))*(1/(Calculations!$C$8-Calculations!$C$13)) - 'Aqueous Species Table'!O358*100000*0.0000005903)*41.8393))</f>
        <v/>
      </c>
      <c r="H358" s="29" t="str">
        <f>IF(ISBLANK('Aqueous Species Options'!B358), "", IF('Aqueous Species Options'!L358 = 1, IF(ISBLANK('Aqueous Species Options'!H358), "", 'Aqueous Species Options'!H358), 'Aqueous Species Table'!M358 + 'Aqueous Species Table'!N358*10000*(1/(Calculations!$C$8-Calculations!$C$13))^2 + 'Aqueous Species Table'!O358*100000*Calculations!$C$8*Calculations!$C$7))</f>
        <v/>
      </c>
      <c r="I358" s="42" t="str">
        <f>IF(ISBLANK('Aqueous Species Options'!B358), "", IF('Aqueous Species Options'!L358=0, 'Aqueous Species Options'!N358, IF(OR(ISBLANK('Aqueous Species Options'!G358),'Aqueous Species Table'!O358="", 'Aqueous Species Table'!P358=""), "", IF('Aqueous Species Options'!B358="H+", 0, (CHOOSE('Aqueous Species Options'!M358+1,'Aqueous Species Options'!$V$4*ABS('Aqueous Species Table'!P358)+'Aqueous Species Options'!$W$4,'Aqueous Species Options'!$Z$4)*('Aqueous Species Options'!G358 + 'Aqueous Species Table'!O358*100000*0.0000005903*41.8393) + CHOOSE('Aqueous Species Options'!M358+1,'Aqueous Species Options'!$X$4*ABS('Aqueous Species Table'!P358)+'Aqueous Species Options'!$Y$4,'Aqueous Species Options'!$AA$4))*10 ) ) ) )</f>
        <v/>
      </c>
      <c r="J358" s="42" t="str">
        <f>IF(ISBLANK('Aqueous Species Options'!B358), "", IF('Aqueous Species Options'!L358 = 0, 'Aqueous Species Options'!O358, IF('Aqueous Species Table'!I358="", "", IF('Aqueous Species Options'!B358="H+", 0, ((1.11*('Aqueous Species Options'!G358 + 'Aqueous Species Table'!O358*100000*0.0000005903*41.8393)+1.8)/41.8393 - 'Aqueous Species Table'!I358/10)*26.01 ) ) ) )</f>
        <v/>
      </c>
      <c r="K358" s="42" t="str">
        <f>IF(ISBLANK('Aqueous Species Options'!B358), "", IF('Aqueous Species Options'!L358 = 0, 'Aqueous Species Options'!P358, IF('Aqueous Species Table'!I358="", "", IF('Aqueous Species Options'!B358="H+", 0, ('Aqueous Species Options'!G358/41.8393 + 'Aqueous Species Table'!O358*100000*0.0000005903 - 'Aqueous Species Table'!I358/10 - 'Aqueous Species Table'!J358*100/2601)*(298.15-228) - ('Aqueous Species Table'!L358*10000/2601) ) ) ) )</f>
        <v/>
      </c>
      <c r="L358" s="42" t="str">
        <f>IF(ISBLANK('Aqueous Species Options'!B358), "", IF('Aqueous Species Options'!L358 = 0, 'Aqueous Species Options'!Q358, IF('Aqueous Species Table'!J358="", "", IF('Aqueous Species Options'!B358="H+", 0, (-4.134*'Aqueous Species Table'!J358*100 - 27790)*0.0001) ) ) )</f>
        <v/>
      </c>
      <c r="M358" s="42" t="str">
        <f>IF(ISBLANK('Aqueous Species Options'!B358), "", IF('Aqueous Species Options'!L358=0, 'Aqueous Species Options'!R358, IF('Aqueous Species Table'!N358="", "", IF('Aqueous Species Options'!B358="H+", 0, 'Aqueous Species Options'!H358 - 'Aqueous Species Table'!O358*100000*(-0.000000309)*298.15 - 'Aqueous Species Table'!N358*10000/(298.15-228)^2 ) ) ) )</f>
        <v/>
      </c>
      <c r="N358" s="42" t="str">
        <f>IF(ISBLANK('Aqueous Species Options'!B358), "", IF('Aqueous Species Options'!L358=0, 'Aqueous Species Options'!S358, IF(OR(ISBLANK('Aqueous Species Options'!H358), 'Aqueous Species Table'!O358=""), "", IF('Aqueous Species Options'!B358="H+", 0, 0.2037*'Aqueous Species Options'!H358 - 3.0346) ) ) )</f>
        <v/>
      </c>
      <c r="O358" s="42" t="str">
        <f>IF(ISBLANK('Aqueous Species Options'!B358), "", IF('Aqueous Species Options'!K358=0, 'Aqueous Species Options'!I358, IF(OR('Aqueous Species Options'!J358&gt;4,'Aqueous Species Options'!J358&lt;-4), "", IF('Aqueous Species Options'!B358="H+", 0, IF('Aqueous Species Options'!J358=0, -0.038, IF(ISBLANK('Aqueous Species Options'!F358), "", -1514.4*'Aqueous Species Options'!F358*0.00001 + SUM(({4,3,2,1,-1,-2,-3,-4}='Aqueous Species Options'!J358)*{2.1764,1.5793,1.0579,0.5517,1.6291,3.2127,4.8115,6.486}) ) ) ) ) ) )</f>
        <v/>
      </c>
      <c r="P358" s="1" t="str">
        <f>IF(ISBLANK('Aqueous Species Options'!J358), "", 'Aqueous Species Options'!J358)</f>
        <v/>
      </c>
      <c r="Q358" s="184" t="str">
        <f>IF(ISBLANK('Aqueous Species Options'!T358), "", 'Aqueous Species Options'!T358)</f>
        <v/>
      </c>
    </row>
    <row r="359" spans="2:17" ht="16" x14ac:dyDescent="0.2">
      <c r="B359" s="9" t="str">
        <f>IF(ISBLANK('Aqueous Species Options'!B359), "", 'Aqueous Species Options'!B359)</f>
        <v/>
      </c>
      <c r="C359" s="55" t="str">
        <f>IF(ISBLANK('Aqueous Species Options'!C359), "", 'Aqueous Species Options'!C359)</f>
        <v/>
      </c>
      <c r="D359" s="1" t="str">
        <f>IF(ISBLANK('Aqueous Species Options'!D359), "", 'Aqueous Species Options'!D359)</f>
        <v/>
      </c>
      <c r="E359" s="1" t="str">
        <f>IF(ISBLANK('Aqueous Species Options'!E359), "", 'Aqueous Species Options'!E359)</f>
        <v/>
      </c>
      <c r="F359" s="139" t="str">
        <f>IF(ISBLANK('Aqueous Species Options'!F359), "", 'Aqueous Species Options'!F359)</f>
        <v/>
      </c>
      <c r="G359" s="29" t="str">
        <f>IF(ISBLANK('Aqueous Species Options'!B359), "", IF('Aqueous Species Options'!L359 = 1, IF(ISBLANK('Aqueous Species Options'!G359), "", 'Aqueous Species Options'!G359), ('Aqueous Species Table'!I359/10 + ('Aqueous Species Table'!J359*100)/(Calculations!$C$12+Calculations!$C$9) + ('Aqueous Species Table'!K359 + ('Aqueous Species Table'!L359*10000)/(Calculations!$C$12+Calculations!$C$9))*(1/(Calculations!$C$8-Calculations!$C$13)) - 'Aqueous Species Table'!O359*100000*0.0000005903)*41.8393))</f>
        <v/>
      </c>
      <c r="H359" s="29" t="str">
        <f>IF(ISBLANK('Aqueous Species Options'!B359), "", IF('Aqueous Species Options'!L359 = 1, IF(ISBLANK('Aqueous Species Options'!H359), "", 'Aqueous Species Options'!H359), 'Aqueous Species Table'!M359 + 'Aqueous Species Table'!N359*10000*(1/(Calculations!$C$8-Calculations!$C$13))^2 + 'Aqueous Species Table'!O359*100000*Calculations!$C$8*Calculations!$C$7))</f>
        <v/>
      </c>
      <c r="I359" s="42" t="str">
        <f>IF(ISBLANK('Aqueous Species Options'!B359), "", IF('Aqueous Species Options'!L359=0, 'Aqueous Species Options'!N359, IF(OR(ISBLANK('Aqueous Species Options'!G359),'Aqueous Species Table'!O359="", 'Aqueous Species Table'!P359=""), "", IF('Aqueous Species Options'!B359="H+", 0, (CHOOSE('Aqueous Species Options'!M359+1,'Aqueous Species Options'!$V$4*ABS('Aqueous Species Table'!P359)+'Aqueous Species Options'!$W$4,'Aqueous Species Options'!$Z$4)*('Aqueous Species Options'!G359 + 'Aqueous Species Table'!O359*100000*0.0000005903*41.8393) + CHOOSE('Aqueous Species Options'!M359+1,'Aqueous Species Options'!$X$4*ABS('Aqueous Species Table'!P359)+'Aqueous Species Options'!$Y$4,'Aqueous Species Options'!$AA$4))*10 ) ) ) )</f>
        <v/>
      </c>
      <c r="J359" s="42" t="str">
        <f>IF(ISBLANK('Aqueous Species Options'!B359), "", IF('Aqueous Species Options'!L359 = 0, 'Aqueous Species Options'!O359, IF('Aqueous Species Table'!I359="", "", IF('Aqueous Species Options'!B359="H+", 0, ((1.11*('Aqueous Species Options'!G359 + 'Aqueous Species Table'!O359*100000*0.0000005903*41.8393)+1.8)/41.8393 - 'Aqueous Species Table'!I359/10)*26.01 ) ) ) )</f>
        <v/>
      </c>
      <c r="K359" s="42" t="str">
        <f>IF(ISBLANK('Aqueous Species Options'!B359), "", IF('Aqueous Species Options'!L359 = 0, 'Aqueous Species Options'!P359, IF('Aqueous Species Table'!I359="", "", IF('Aqueous Species Options'!B359="H+", 0, ('Aqueous Species Options'!G359/41.8393 + 'Aqueous Species Table'!O359*100000*0.0000005903 - 'Aqueous Species Table'!I359/10 - 'Aqueous Species Table'!J359*100/2601)*(298.15-228) - ('Aqueous Species Table'!L359*10000/2601) ) ) ) )</f>
        <v/>
      </c>
      <c r="L359" s="42" t="str">
        <f>IF(ISBLANK('Aqueous Species Options'!B359), "", IF('Aqueous Species Options'!L359 = 0, 'Aqueous Species Options'!Q359, IF('Aqueous Species Table'!J359="", "", IF('Aqueous Species Options'!B359="H+", 0, (-4.134*'Aqueous Species Table'!J359*100 - 27790)*0.0001) ) ) )</f>
        <v/>
      </c>
      <c r="M359" s="42" t="str">
        <f>IF(ISBLANK('Aqueous Species Options'!B359), "", IF('Aqueous Species Options'!L359=0, 'Aqueous Species Options'!R359, IF('Aqueous Species Table'!N359="", "", IF('Aqueous Species Options'!B359="H+", 0, 'Aqueous Species Options'!H359 - 'Aqueous Species Table'!O359*100000*(-0.000000309)*298.15 - 'Aqueous Species Table'!N359*10000/(298.15-228)^2 ) ) ) )</f>
        <v/>
      </c>
      <c r="N359" s="42" t="str">
        <f>IF(ISBLANK('Aqueous Species Options'!B359), "", IF('Aqueous Species Options'!L359=0, 'Aqueous Species Options'!S359, IF(OR(ISBLANK('Aqueous Species Options'!H359), 'Aqueous Species Table'!O359=""), "", IF('Aqueous Species Options'!B359="H+", 0, 0.2037*'Aqueous Species Options'!H359 - 3.0346) ) ) )</f>
        <v/>
      </c>
      <c r="O359" s="42" t="str">
        <f>IF(ISBLANK('Aqueous Species Options'!B359), "", IF('Aqueous Species Options'!K359=0, 'Aqueous Species Options'!I359, IF(OR('Aqueous Species Options'!J359&gt;4,'Aqueous Species Options'!J359&lt;-4), "", IF('Aqueous Species Options'!B359="H+", 0, IF('Aqueous Species Options'!J359=0, -0.038, IF(ISBLANK('Aqueous Species Options'!F359), "", -1514.4*'Aqueous Species Options'!F359*0.00001 + SUM(({4,3,2,1,-1,-2,-3,-4}='Aqueous Species Options'!J359)*{2.1764,1.5793,1.0579,0.5517,1.6291,3.2127,4.8115,6.486}) ) ) ) ) ) )</f>
        <v/>
      </c>
      <c r="P359" s="1" t="str">
        <f>IF(ISBLANK('Aqueous Species Options'!J359), "", 'Aqueous Species Options'!J359)</f>
        <v/>
      </c>
      <c r="Q359" s="184" t="str">
        <f>IF(ISBLANK('Aqueous Species Options'!T359), "", 'Aqueous Species Options'!T359)</f>
        <v/>
      </c>
    </row>
    <row r="360" spans="2:17" ht="16" x14ac:dyDescent="0.2">
      <c r="B360" s="9" t="str">
        <f>IF(ISBLANK('Aqueous Species Options'!B360), "", 'Aqueous Species Options'!B360)</f>
        <v/>
      </c>
      <c r="C360" s="55" t="str">
        <f>IF(ISBLANK('Aqueous Species Options'!C360), "", 'Aqueous Species Options'!C360)</f>
        <v/>
      </c>
      <c r="D360" s="1" t="str">
        <f>IF(ISBLANK('Aqueous Species Options'!D360), "", 'Aqueous Species Options'!D360)</f>
        <v/>
      </c>
      <c r="E360" s="1" t="str">
        <f>IF(ISBLANK('Aqueous Species Options'!E360), "", 'Aqueous Species Options'!E360)</f>
        <v/>
      </c>
      <c r="F360" s="139" t="str">
        <f>IF(ISBLANK('Aqueous Species Options'!F360), "", 'Aqueous Species Options'!F360)</f>
        <v/>
      </c>
      <c r="G360" s="29" t="str">
        <f>IF(ISBLANK('Aqueous Species Options'!B360), "", IF('Aqueous Species Options'!L360 = 1, IF(ISBLANK('Aqueous Species Options'!G360), "", 'Aqueous Species Options'!G360), ('Aqueous Species Table'!I360/10 + ('Aqueous Species Table'!J360*100)/(Calculations!$C$12+Calculations!$C$9) + ('Aqueous Species Table'!K360 + ('Aqueous Species Table'!L360*10000)/(Calculations!$C$12+Calculations!$C$9))*(1/(Calculations!$C$8-Calculations!$C$13)) - 'Aqueous Species Table'!O360*100000*0.0000005903)*41.8393))</f>
        <v/>
      </c>
      <c r="H360" s="29" t="str">
        <f>IF(ISBLANK('Aqueous Species Options'!B360), "", IF('Aqueous Species Options'!L360 = 1, IF(ISBLANK('Aqueous Species Options'!H360), "", 'Aqueous Species Options'!H360), 'Aqueous Species Table'!M360 + 'Aqueous Species Table'!N360*10000*(1/(Calculations!$C$8-Calculations!$C$13))^2 + 'Aqueous Species Table'!O360*100000*Calculations!$C$8*Calculations!$C$7))</f>
        <v/>
      </c>
      <c r="I360" s="42" t="str">
        <f>IF(ISBLANK('Aqueous Species Options'!B360), "", IF('Aqueous Species Options'!L360=0, 'Aqueous Species Options'!N360, IF(OR(ISBLANK('Aqueous Species Options'!G360),'Aqueous Species Table'!O360="", 'Aqueous Species Table'!P360=""), "", IF('Aqueous Species Options'!B360="H+", 0, (CHOOSE('Aqueous Species Options'!M360+1,'Aqueous Species Options'!$V$4*ABS('Aqueous Species Table'!P360)+'Aqueous Species Options'!$W$4,'Aqueous Species Options'!$Z$4)*('Aqueous Species Options'!G360 + 'Aqueous Species Table'!O360*100000*0.0000005903*41.8393) + CHOOSE('Aqueous Species Options'!M360+1,'Aqueous Species Options'!$X$4*ABS('Aqueous Species Table'!P360)+'Aqueous Species Options'!$Y$4,'Aqueous Species Options'!$AA$4))*10 ) ) ) )</f>
        <v/>
      </c>
      <c r="J360" s="42" t="str">
        <f>IF(ISBLANK('Aqueous Species Options'!B360), "", IF('Aqueous Species Options'!L360 = 0, 'Aqueous Species Options'!O360, IF('Aqueous Species Table'!I360="", "", IF('Aqueous Species Options'!B360="H+", 0, ((1.11*('Aqueous Species Options'!G360 + 'Aqueous Species Table'!O360*100000*0.0000005903*41.8393)+1.8)/41.8393 - 'Aqueous Species Table'!I360/10)*26.01 ) ) ) )</f>
        <v/>
      </c>
      <c r="K360" s="42" t="str">
        <f>IF(ISBLANK('Aqueous Species Options'!B360), "", IF('Aqueous Species Options'!L360 = 0, 'Aqueous Species Options'!P360, IF('Aqueous Species Table'!I360="", "", IF('Aqueous Species Options'!B360="H+", 0, ('Aqueous Species Options'!G360/41.8393 + 'Aqueous Species Table'!O360*100000*0.0000005903 - 'Aqueous Species Table'!I360/10 - 'Aqueous Species Table'!J360*100/2601)*(298.15-228) - ('Aqueous Species Table'!L360*10000/2601) ) ) ) )</f>
        <v/>
      </c>
      <c r="L360" s="42" t="str">
        <f>IF(ISBLANK('Aqueous Species Options'!B360), "", IF('Aqueous Species Options'!L360 = 0, 'Aqueous Species Options'!Q360, IF('Aqueous Species Table'!J360="", "", IF('Aqueous Species Options'!B360="H+", 0, (-4.134*'Aqueous Species Table'!J360*100 - 27790)*0.0001) ) ) )</f>
        <v/>
      </c>
      <c r="M360" s="42" t="str">
        <f>IF(ISBLANK('Aqueous Species Options'!B360), "", IF('Aqueous Species Options'!L360=0, 'Aqueous Species Options'!R360, IF('Aqueous Species Table'!N360="", "", IF('Aqueous Species Options'!B360="H+", 0, 'Aqueous Species Options'!H360 - 'Aqueous Species Table'!O360*100000*(-0.000000309)*298.15 - 'Aqueous Species Table'!N360*10000/(298.15-228)^2 ) ) ) )</f>
        <v/>
      </c>
      <c r="N360" s="42" t="str">
        <f>IF(ISBLANK('Aqueous Species Options'!B360), "", IF('Aqueous Species Options'!L360=0, 'Aqueous Species Options'!S360, IF(OR(ISBLANK('Aqueous Species Options'!H360), 'Aqueous Species Table'!O360=""), "", IF('Aqueous Species Options'!B360="H+", 0, 0.2037*'Aqueous Species Options'!H360 - 3.0346) ) ) )</f>
        <v/>
      </c>
      <c r="O360" s="42" t="str">
        <f>IF(ISBLANK('Aqueous Species Options'!B360), "", IF('Aqueous Species Options'!K360=0, 'Aqueous Species Options'!I360, IF(OR('Aqueous Species Options'!J360&gt;4,'Aqueous Species Options'!J360&lt;-4), "", IF('Aqueous Species Options'!B360="H+", 0, IF('Aqueous Species Options'!J360=0, -0.038, IF(ISBLANK('Aqueous Species Options'!F360), "", -1514.4*'Aqueous Species Options'!F360*0.00001 + SUM(({4,3,2,1,-1,-2,-3,-4}='Aqueous Species Options'!J360)*{2.1764,1.5793,1.0579,0.5517,1.6291,3.2127,4.8115,6.486}) ) ) ) ) ) )</f>
        <v/>
      </c>
      <c r="P360" s="1" t="str">
        <f>IF(ISBLANK('Aqueous Species Options'!J360), "", 'Aqueous Species Options'!J360)</f>
        <v/>
      </c>
      <c r="Q360" s="184" t="str">
        <f>IF(ISBLANK('Aqueous Species Options'!T360), "", 'Aqueous Species Options'!T360)</f>
        <v/>
      </c>
    </row>
    <row r="361" spans="2:17" ht="16" x14ac:dyDescent="0.2">
      <c r="B361" s="9" t="str">
        <f>IF(ISBLANK('Aqueous Species Options'!B361), "", 'Aqueous Species Options'!B361)</f>
        <v/>
      </c>
      <c r="C361" s="55" t="str">
        <f>IF(ISBLANK('Aqueous Species Options'!C361), "", 'Aqueous Species Options'!C361)</f>
        <v/>
      </c>
      <c r="D361" s="1" t="str">
        <f>IF(ISBLANK('Aqueous Species Options'!D361), "", 'Aqueous Species Options'!D361)</f>
        <v/>
      </c>
      <c r="E361" s="1" t="str">
        <f>IF(ISBLANK('Aqueous Species Options'!E361), "", 'Aqueous Species Options'!E361)</f>
        <v/>
      </c>
      <c r="F361" s="139" t="str">
        <f>IF(ISBLANK('Aqueous Species Options'!F361), "", 'Aqueous Species Options'!F361)</f>
        <v/>
      </c>
      <c r="G361" s="29" t="str">
        <f>IF(ISBLANK('Aqueous Species Options'!B361), "", IF('Aqueous Species Options'!L361 = 1, IF(ISBLANK('Aqueous Species Options'!G361), "", 'Aqueous Species Options'!G361), ('Aqueous Species Table'!I361/10 + ('Aqueous Species Table'!J361*100)/(Calculations!$C$12+Calculations!$C$9) + ('Aqueous Species Table'!K361 + ('Aqueous Species Table'!L361*10000)/(Calculations!$C$12+Calculations!$C$9))*(1/(Calculations!$C$8-Calculations!$C$13)) - 'Aqueous Species Table'!O361*100000*0.0000005903)*41.8393))</f>
        <v/>
      </c>
      <c r="H361" s="29" t="str">
        <f>IF(ISBLANK('Aqueous Species Options'!B361), "", IF('Aqueous Species Options'!L361 = 1, IF(ISBLANK('Aqueous Species Options'!H361), "", 'Aqueous Species Options'!H361), 'Aqueous Species Table'!M361 + 'Aqueous Species Table'!N361*10000*(1/(Calculations!$C$8-Calculations!$C$13))^2 + 'Aqueous Species Table'!O361*100000*Calculations!$C$8*Calculations!$C$7))</f>
        <v/>
      </c>
      <c r="I361" s="42" t="str">
        <f>IF(ISBLANK('Aqueous Species Options'!B361), "", IF('Aqueous Species Options'!L361=0, 'Aqueous Species Options'!N361, IF(OR(ISBLANK('Aqueous Species Options'!G361),'Aqueous Species Table'!O361="", 'Aqueous Species Table'!P361=""), "", IF('Aqueous Species Options'!B361="H+", 0, (CHOOSE('Aqueous Species Options'!M361+1,'Aqueous Species Options'!$V$4*ABS('Aqueous Species Table'!P361)+'Aqueous Species Options'!$W$4,'Aqueous Species Options'!$Z$4)*('Aqueous Species Options'!G361 + 'Aqueous Species Table'!O361*100000*0.0000005903*41.8393) + CHOOSE('Aqueous Species Options'!M361+1,'Aqueous Species Options'!$X$4*ABS('Aqueous Species Table'!P361)+'Aqueous Species Options'!$Y$4,'Aqueous Species Options'!$AA$4))*10 ) ) ) )</f>
        <v/>
      </c>
      <c r="J361" s="42" t="str">
        <f>IF(ISBLANK('Aqueous Species Options'!B361), "", IF('Aqueous Species Options'!L361 = 0, 'Aqueous Species Options'!O361, IF('Aqueous Species Table'!I361="", "", IF('Aqueous Species Options'!B361="H+", 0, ((1.11*('Aqueous Species Options'!G361 + 'Aqueous Species Table'!O361*100000*0.0000005903*41.8393)+1.8)/41.8393 - 'Aqueous Species Table'!I361/10)*26.01 ) ) ) )</f>
        <v/>
      </c>
      <c r="K361" s="42" t="str">
        <f>IF(ISBLANK('Aqueous Species Options'!B361), "", IF('Aqueous Species Options'!L361 = 0, 'Aqueous Species Options'!P361, IF('Aqueous Species Table'!I361="", "", IF('Aqueous Species Options'!B361="H+", 0, ('Aqueous Species Options'!G361/41.8393 + 'Aqueous Species Table'!O361*100000*0.0000005903 - 'Aqueous Species Table'!I361/10 - 'Aqueous Species Table'!J361*100/2601)*(298.15-228) - ('Aqueous Species Table'!L361*10000/2601) ) ) ) )</f>
        <v/>
      </c>
      <c r="L361" s="42" t="str">
        <f>IF(ISBLANK('Aqueous Species Options'!B361), "", IF('Aqueous Species Options'!L361 = 0, 'Aqueous Species Options'!Q361, IF('Aqueous Species Table'!J361="", "", IF('Aqueous Species Options'!B361="H+", 0, (-4.134*'Aqueous Species Table'!J361*100 - 27790)*0.0001) ) ) )</f>
        <v/>
      </c>
      <c r="M361" s="42" t="str">
        <f>IF(ISBLANK('Aqueous Species Options'!B361), "", IF('Aqueous Species Options'!L361=0, 'Aqueous Species Options'!R361, IF('Aqueous Species Table'!N361="", "", IF('Aqueous Species Options'!B361="H+", 0, 'Aqueous Species Options'!H361 - 'Aqueous Species Table'!O361*100000*(-0.000000309)*298.15 - 'Aqueous Species Table'!N361*10000/(298.15-228)^2 ) ) ) )</f>
        <v/>
      </c>
      <c r="N361" s="42" t="str">
        <f>IF(ISBLANK('Aqueous Species Options'!B361), "", IF('Aqueous Species Options'!L361=0, 'Aqueous Species Options'!S361, IF(OR(ISBLANK('Aqueous Species Options'!H361), 'Aqueous Species Table'!O361=""), "", IF('Aqueous Species Options'!B361="H+", 0, 0.2037*'Aqueous Species Options'!H361 - 3.0346) ) ) )</f>
        <v/>
      </c>
      <c r="O361" s="42" t="str">
        <f>IF(ISBLANK('Aqueous Species Options'!B361), "", IF('Aqueous Species Options'!K361=0, 'Aqueous Species Options'!I361, IF(OR('Aqueous Species Options'!J361&gt;4,'Aqueous Species Options'!J361&lt;-4), "", IF('Aqueous Species Options'!B361="H+", 0, IF('Aqueous Species Options'!J361=0, -0.038, IF(ISBLANK('Aqueous Species Options'!F361), "", -1514.4*'Aqueous Species Options'!F361*0.00001 + SUM(({4,3,2,1,-1,-2,-3,-4}='Aqueous Species Options'!J361)*{2.1764,1.5793,1.0579,0.5517,1.6291,3.2127,4.8115,6.486}) ) ) ) ) ) )</f>
        <v/>
      </c>
      <c r="P361" s="1" t="str">
        <f>IF(ISBLANK('Aqueous Species Options'!J361), "", 'Aqueous Species Options'!J361)</f>
        <v/>
      </c>
      <c r="Q361" s="184" t="str">
        <f>IF(ISBLANK('Aqueous Species Options'!T361), "", 'Aqueous Species Options'!T361)</f>
        <v/>
      </c>
    </row>
    <row r="362" spans="2:17" ht="16" x14ac:dyDescent="0.2">
      <c r="B362" s="9" t="str">
        <f>IF(ISBLANK('Aqueous Species Options'!B362), "", 'Aqueous Species Options'!B362)</f>
        <v/>
      </c>
      <c r="C362" s="55" t="str">
        <f>IF(ISBLANK('Aqueous Species Options'!C362), "", 'Aqueous Species Options'!C362)</f>
        <v/>
      </c>
      <c r="D362" s="1" t="str">
        <f>IF(ISBLANK('Aqueous Species Options'!D362), "", 'Aqueous Species Options'!D362)</f>
        <v/>
      </c>
      <c r="E362" s="1" t="str">
        <f>IF(ISBLANK('Aqueous Species Options'!E362), "", 'Aqueous Species Options'!E362)</f>
        <v/>
      </c>
      <c r="F362" s="139" t="str">
        <f>IF(ISBLANK('Aqueous Species Options'!F362), "", 'Aqueous Species Options'!F362)</f>
        <v/>
      </c>
      <c r="G362" s="29" t="str">
        <f>IF(ISBLANK('Aqueous Species Options'!B362), "", IF('Aqueous Species Options'!L362 = 1, IF(ISBLANK('Aqueous Species Options'!G362), "", 'Aqueous Species Options'!G362), ('Aqueous Species Table'!I362/10 + ('Aqueous Species Table'!J362*100)/(Calculations!$C$12+Calculations!$C$9) + ('Aqueous Species Table'!K362 + ('Aqueous Species Table'!L362*10000)/(Calculations!$C$12+Calculations!$C$9))*(1/(Calculations!$C$8-Calculations!$C$13)) - 'Aqueous Species Table'!O362*100000*0.0000005903)*41.8393))</f>
        <v/>
      </c>
      <c r="H362" s="29" t="str">
        <f>IF(ISBLANK('Aqueous Species Options'!B362), "", IF('Aqueous Species Options'!L362 = 1, IF(ISBLANK('Aqueous Species Options'!H362), "", 'Aqueous Species Options'!H362), 'Aqueous Species Table'!M362 + 'Aqueous Species Table'!N362*10000*(1/(Calculations!$C$8-Calculations!$C$13))^2 + 'Aqueous Species Table'!O362*100000*Calculations!$C$8*Calculations!$C$7))</f>
        <v/>
      </c>
      <c r="I362" s="42" t="str">
        <f>IF(ISBLANK('Aqueous Species Options'!B362), "", IF('Aqueous Species Options'!L362=0, 'Aqueous Species Options'!N362, IF(OR(ISBLANK('Aqueous Species Options'!G362),'Aqueous Species Table'!O362="", 'Aqueous Species Table'!P362=""), "", IF('Aqueous Species Options'!B362="H+", 0, (CHOOSE('Aqueous Species Options'!M362+1,'Aqueous Species Options'!$V$4*ABS('Aqueous Species Table'!P362)+'Aqueous Species Options'!$W$4,'Aqueous Species Options'!$Z$4)*('Aqueous Species Options'!G362 + 'Aqueous Species Table'!O362*100000*0.0000005903*41.8393) + CHOOSE('Aqueous Species Options'!M362+1,'Aqueous Species Options'!$X$4*ABS('Aqueous Species Table'!P362)+'Aqueous Species Options'!$Y$4,'Aqueous Species Options'!$AA$4))*10 ) ) ) )</f>
        <v/>
      </c>
      <c r="J362" s="42" t="str">
        <f>IF(ISBLANK('Aqueous Species Options'!B362), "", IF('Aqueous Species Options'!L362 = 0, 'Aqueous Species Options'!O362, IF('Aqueous Species Table'!I362="", "", IF('Aqueous Species Options'!B362="H+", 0, ((1.11*('Aqueous Species Options'!G362 + 'Aqueous Species Table'!O362*100000*0.0000005903*41.8393)+1.8)/41.8393 - 'Aqueous Species Table'!I362/10)*26.01 ) ) ) )</f>
        <v/>
      </c>
      <c r="K362" s="42" t="str">
        <f>IF(ISBLANK('Aqueous Species Options'!B362), "", IF('Aqueous Species Options'!L362 = 0, 'Aqueous Species Options'!P362, IF('Aqueous Species Table'!I362="", "", IF('Aqueous Species Options'!B362="H+", 0, ('Aqueous Species Options'!G362/41.8393 + 'Aqueous Species Table'!O362*100000*0.0000005903 - 'Aqueous Species Table'!I362/10 - 'Aqueous Species Table'!J362*100/2601)*(298.15-228) - ('Aqueous Species Table'!L362*10000/2601) ) ) ) )</f>
        <v/>
      </c>
      <c r="L362" s="42" t="str">
        <f>IF(ISBLANK('Aqueous Species Options'!B362), "", IF('Aqueous Species Options'!L362 = 0, 'Aqueous Species Options'!Q362, IF('Aqueous Species Table'!J362="", "", IF('Aqueous Species Options'!B362="H+", 0, (-4.134*'Aqueous Species Table'!J362*100 - 27790)*0.0001) ) ) )</f>
        <v/>
      </c>
      <c r="M362" s="42" t="str">
        <f>IF(ISBLANK('Aqueous Species Options'!B362), "", IF('Aqueous Species Options'!L362=0, 'Aqueous Species Options'!R362, IF('Aqueous Species Table'!N362="", "", IF('Aqueous Species Options'!B362="H+", 0, 'Aqueous Species Options'!H362 - 'Aqueous Species Table'!O362*100000*(-0.000000309)*298.15 - 'Aqueous Species Table'!N362*10000/(298.15-228)^2 ) ) ) )</f>
        <v/>
      </c>
      <c r="N362" s="42" t="str">
        <f>IF(ISBLANK('Aqueous Species Options'!B362), "", IF('Aqueous Species Options'!L362=0, 'Aqueous Species Options'!S362, IF(OR(ISBLANK('Aqueous Species Options'!H362), 'Aqueous Species Table'!O362=""), "", IF('Aqueous Species Options'!B362="H+", 0, 0.2037*'Aqueous Species Options'!H362 - 3.0346) ) ) )</f>
        <v/>
      </c>
      <c r="O362" s="42" t="str">
        <f>IF(ISBLANK('Aqueous Species Options'!B362), "", IF('Aqueous Species Options'!K362=0, 'Aqueous Species Options'!I362, IF(OR('Aqueous Species Options'!J362&gt;4,'Aqueous Species Options'!J362&lt;-4), "", IF('Aqueous Species Options'!B362="H+", 0, IF('Aqueous Species Options'!J362=0, -0.038, IF(ISBLANK('Aqueous Species Options'!F362), "", -1514.4*'Aqueous Species Options'!F362*0.00001 + SUM(({4,3,2,1,-1,-2,-3,-4}='Aqueous Species Options'!J362)*{2.1764,1.5793,1.0579,0.5517,1.6291,3.2127,4.8115,6.486}) ) ) ) ) ) )</f>
        <v/>
      </c>
      <c r="P362" s="1" t="str">
        <f>IF(ISBLANK('Aqueous Species Options'!J362), "", 'Aqueous Species Options'!J362)</f>
        <v/>
      </c>
      <c r="Q362" s="184" t="str">
        <f>IF(ISBLANK('Aqueous Species Options'!T362), "", 'Aqueous Species Options'!T362)</f>
        <v/>
      </c>
    </row>
    <row r="363" spans="2:17" ht="16" x14ac:dyDescent="0.2">
      <c r="B363" s="9" t="str">
        <f>IF(ISBLANK('Aqueous Species Options'!B363), "", 'Aqueous Species Options'!B363)</f>
        <v/>
      </c>
      <c r="C363" s="55" t="str">
        <f>IF(ISBLANK('Aqueous Species Options'!C363), "", 'Aqueous Species Options'!C363)</f>
        <v/>
      </c>
      <c r="D363" s="1" t="str">
        <f>IF(ISBLANK('Aqueous Species Options'!D363), "", 'Aqueous Species Options'!D363)</f>
        <v/>
      </c>
      <c r="E363" s="1" t="str">
        <f>IF(ISBLANK('Aqueous Species Options'!E363), "", 'Aqueous Species Options'!E363)</f>
        <v/>
      </c>
      <c r="F363" s="139" t="str">
        <f>IF(ISBLANK('Aqueous Species Options'!F363), "", 'Aqueous Species Options'!F363)</f>
        <v/>
      </c>
      <c r="G363" s="29" t="str">
        <f>IF(ISBLANK('Aqueous Species Options'!B363), "", IF('Aqueous Species Options'!L363 = 1, IF(ISBLANK('Aqueous Species Options'!G363), "", 'Aqueous Species Options'!G363), ('Aqueous Species Table'!I363/10 + ('Aqueous Species Table'!J363*100)/(Calculations!$C$12+Calculations!$C$9) + ('Aqueous Species Table'!K363 + ('Aqueous Species Table'!L363*10000)/(Calculations!$C$12+Calculations!$C$9))*(1/(Calculations!$C$8-Calculations!$C$13)) - 'Aqueous Species Table'!O363*100000*0.0000005903)*41.8393))</f>
        <v/>
      </c>
      <c r="H363" s="29" t="str">
        <f>IF(ISBLANK('Aqueous Species Options'!B363), "", IF('Aqueous Species Options'!L363 = 1, IF(ISBLANK('Aqueous Species Options'!H363), "", 'Aqueous Species Options'!H363), 'Aqueous Species Table'!M363 + 'Aqueous Species Table'!N363*10000*(1/(Calculations!$C$8-Calculations!$C$13))^2 + 'Aqueous Species Table'!O363*100000*Calculations!$C$8*Calculations!$C$7))</f>
        <v/>
      </c>
      <c r="I363" s="42" t="str">
        <f>IF(ISBLANK('Aqueous Species Options'!B363), "", IF('Aqueous Species Options'!L363=0, 'Aqueous Species Options'!N363, IF(OR(ISBLANK('Aqueous Species Options'!G363),'Aqueous Species Table'!O363="", 'Aqueous Species Table'!P363=""), "", IF('Aqueous Species Options'!B363="H+", 0, (CHOOSE('Aqueous Species Options'!M363+1,'Aqueous Species Options'!$V$4*ABS('Aqueous Species Table'!P363)+'Aqueous Species Options'!$W$4,'Aqueous Species Options'!$Z$4)*('Aqueous Species Options'!G363 + 'Aqueous Species Table'!O363*100000*0.0000005903*41.8393) + CHOOSE('Aqueous Species Options'!M363+1,'Aqueous Species Options'!$X$4*ABS('Aqueous Species Table'!P363)+'Aqueous Species Options'!$Y$4,'Aqueous Species Options'!$AA$4))*10 ) ) ) )</f>
        <v/>
      </c>
      <c r="J363" s="42" t="str">
        <f>IF(ISBLANK('Aqueous Species Options'!B363), "", IF('Aqueous Species Options'!L363 = 0, 'Aqueous Species Options'!O363, IF('Aqueous Species Table'!I363="", "", IF('Aqueous Species Options'!B363="H+", 0, ((1.11*('Aqueous Species Options'!G363 + 'Aqueous Species Table'!O363*100000*0.0000005903*41.8393)+1.8)/41.8393 - 'Aqueous Species Table'!I363/10)*26.01 ) ) ) )</f>
        <v/>
      </c>
      <c r="K363" s="42" t="str">
        <f>IF(ISBLANK('Aqueous Species Options'!B363), "", IF('Aqueous Species Options'!L363 = 0, 'Aqueous Species Options'!P363, IF('Aqueous Species Table'!I363="", "", IF('Aqueous Species Options'!B363="H+", 0, ('Aqueous Species Options'!G363/41.8393 + 'Aqueous Species Table'!O363*100000*0.0000005903 - 'Aqueous Species Table'!I363/10 - 'Aqueous Species Table'!J363*100/2601)*(298.15-228) - ('Aqueous Species Table'!L363*10000/2601) ) ) ) )</f>
        <v/>
      </c>
      <c r="L363" s="42" t="str">
        <f>IF(ISBLANK('Aqueous Species Options'!B363), "", IF('Aqueous Species Options'!L363 = 0, 'Aqueous Species Options'!Q363, IF('Aqueous Species Table'!J363="", "", IF('Aqueous Species Options'!B363="H+", 0, (-4.134*'Aqueous Species Table'!J363*100 - 27790)*0.0001) ) ) )</f>
        <v/>
      </c>
      <c r="M363" s="42" t="str">
        <f>IF(ISBLANK('Aqueous Species Options'!B363), "", IF('Aqueous Species Options'!L363=0, 'Aqueous Species Options'!R363, IF('Aqueous Species Table'!N363="", "", IF('Aqueous Species Options'!B363="H+", 0, 'Aqueous Species Options'!H363 - 'Aqueous Species Table'!O363*100000*(-0.000000309)*298.15 - 'Aqueous Species Table'!N363*10000/(298.15-228)^2 ) ) ) )</f>
        <v/>
      </c>
      <c r="N363" s="42" t="str">
        <f>IF(ISBLANK('Aqueous Species Options'!B363), "", IF('Aqueous Species Options'!L363=0, 'Aqueous Species Options'!S363, IF(OR(ISBLANK('Aqueous Species Options'!H363), 'Aqueous Species Table'!O363=""), "", IF('Aqueous Species Options'!B363="H+", 0, 0.2037*'Aqueous Species Options'!H363 - 3.0346) ) ) )</f>
        <v/>
      </c>
      <c r="O363" s="42" t="str">
        <f>IF(ISBLANK('Aqueous Species Options'!B363), "", IF('Aqueous Species Options'!K363=0, 'Aqueous Species Options'!I363, IF(OR('Aqueous Species Options'!J363&gt;4,'Aqueous Species Options'!J363&lt;-4), "", IF('Aqueous Species Options'!B363="H+", 0, IF('Aqueous Species Options'!J363=0, -0.038, IF(ISBLANK('Aqueous Species Options'!F363), "", -1514.4*'Aqueous Species Options'!F363*0.00001 + SUM(({4,3,2,1,-1,-2,-3,-4}='Aqueous Species Options'!J363)*{2.1764,1.5793,1.0579,0.5517,1.6291,3.2127,4.8115,6.486}) ) ) ) ) ) )</f>
        <v/>
      </c>
      <c r="P363" s="1" t="str">
        <f>IF(ISBLANK('Aqueous Species Options'!J363), "", 'Aqueous Species Options'!J363)</f>
        <v/>
      </c>
      <c r="Q363" s="184" t="str">
        <f>IF(ISBLANK('Aqueous Species Options'!T363), "", 'Aqueous Species Options'!T363)</f>
        <v/>
      </c>
    </row>
    <row r="364" spans="2:17" ht="16" x14ac:dyDescent="0.2">
      <c r="B364" s="9" t="str">
        <f>IF(ISBLANK('Aqueous Species Options'!B364), "", 'Aqueous Species Options'!B364)</f>
        <v/>
      </c>
      <c r="C364" s="55" t="str">
        <f>IF(ISBLANK('Aqueous Species Options'!C364), "", 'Aqueous Species Options'!C364)</f>
        <v/>
      </c>
      <c r="D364" s="1" t="str">
        <f>IF(ISBLANK('Aqueous Species Options'!D364), "", 'Aqueous Species Options'!D364)</f>
        <v/>
      </c>
      <c r="E364" s="1" t="str">
        <f>IF(ISBLANK('Aqueous Species Options'!E364), "", 'Aqueous Species Options'!E364)</f>
        <v/>
      </c>
      <c r="F364" s="139" t="str">
        <f>IF(ISBLANK('Aqueous Species Options'!F364), "", 'Aqueous Species Options'!F364)</f>
        <v/>
      </c>
      <c r="G364" s="29" t="str">
        <f>IF(ISBLANK('Aqueous Species Options'!B364), "", IF('Aqueous Species Options'!L364 = 1, IF(ISBLANK('Aqueous Species Options'!G364), "", 'Aqueous Species Options'!G364), ('Aqueous Species Table'!I364/10 + ('Aqueous Species Table'!J364*100)/(Calculations!$C$12+Calculations!$C$9) + ('Aqueous Species Table'!K364 + ('Aqueous Species Table'!L364*10000)/(Calculations!$C$12+Calculations!$C$9))*(1/(Calculations!$C$8-Calculations!$C$13)) - 'Aqueous Species Table'!O364*100000*0.0000005903)*41.8393))</f>
        <v/>
      </c>
      <c r="H364" s="29" t="str">
        <f>IF(ISBLANK('Aqueous Species Options'!B364), "", IF('Aqueous Species Options'!L364 = 1, IF(ISBLANK('Aqueous Species Options'!H364), "", 'Aqueous Species Options'!H364), 'Aqueous Species Table'!M364 + 'Aqueous Species Table'!N364*10000*(1/(Calculations!$C$8-Calculations!$C$13))^2 + 'Aqueous Species Table'!O364*100000*Calculations!$C$8*Calculations!$C$7))</f>
        <v/>
      </c>
      <c r="I364" s="42" t="str">
        <f>IF(ISBLANK('Aqueous Species Options'!B364), "", IF('Aqueous Species Options'!L364=0, 'Aqueous Species Options'!N364, IF(OR(ISBLANK('Aqueous Species Options'!G364),'Aqueous Species Table'!O364="", 'Aqueous Species Table'!P364=""), "", IF('Aqueous Species Options'!B364="H+", 0, (CHOOSE('Aqueous Species Options'!M364+1,'Aqueous Species Options'!$V$4*ABS('Aqueous Species Table'!P364)+'Aqueous Species Options'!$W$4,'Aqueous Species Options'!$Z$4)*('Aqueous Species Options'!G364 + 'Aqueous Species Table'!O364*100000*0.0000005903*41.8393) + CHOOSE('Aqueous Species Options'!M364+1,'Aqueous Species Options'!$X$4*ABS('Aqueous Species Table'!P364)+'Aqueous Species Options'!$Y$4,'Aqueous Species Options'!$AA$4))*10 ) ) ) )</f>
        <v/>
      </c>
      <c r="J364" s="42" t="str">
        <f>IF(ISBLANK('Aqueous Species Options'!B364), "", IF('Aqueous Species Options'!L364 = 0, 'Aqueous Species Options'!O364, IF('Aqueous Species Table'!I364="", "", IF('Aqueous Species Options'!B364="H+", 0, ((1.11*('Aqueous Species Options'!G364 + 'Aqueous Species Table'!O364*100000*0.0000005903*41.8393)+1.8)/41.8393 - 'Aqueous Species Table'!I364/10)*26.01 ) ) ) )</f>
        <v/>
      </c>
      <c r="K364" s="42" t="str">
        <f>IF(ISBLANK('Aqueous Species Options'!B364), "", IF('Aqueous Species Options'!L364 = 0, 'Aqueous Species Options'!P364, IF('Aqueous Species Table'!I364="", "", IF('Aqueous Species Options'!B364="H+", 0, ('Aqueous Species Options'!G364/41.8393 + 'Aqueous Species Table'!O364*100000*0.0000005903 - 'Aqueous Species Table'!I364/10 - 'Aqueous Species Table'!J364*100/2601)*(298.15-228) - ('Aqueous Species Table'!L364*10000/2601) ) ) ) )</f>
        <v/>
      </c>
      <c r="L364" s="42" t="str">
        <f>IF(ISBLANK('Aqueous Species Options'!B364), "", IF('Aqueous Species Options'!L364 = 0, 'Aqueous Species Options'!Q364, IF('Aqueous Species Table'!J364="", "", IF('Aqueous Species Options'!B364="H+", 0, (-4.134*'Aqueous Species Table'!J364*100 - 27790)*0.0001) ) ) )</f>
        <v/>
      </c>
      <c r="M364" s="42" t="str">
        <f>IF(ISBLANK('Aqueous Species Options'!B364), "", IF('Aqueous Species Options'!L364=0, 'Aqueous Species Options'!R364, IF('Aqueous Species Table'!N364="", "", IF('Aqueous Species Options'!B364="H+", 0, 'Aqueous Species Options'!H364 - 'Aqueous Species Table'!O364*100000*(-0.000000309)*298.15 - 'Aqueous Species Table'!N364*10000/(298.15-228)^2 ) ) ) )</f>
        <v/>
      </c>
      <c r="N364" s="42" t="str">
        <f>IF(ISBLANK('Aqueous Species Options'!B364), "", IF('Aqueous Species Options'!L364=0, 'Aqueous Species Options'!S364, IF(OR(ISBLANK('Aqueous Species Options'!H364), 'Aqueous Species Table'!O364=""), "", IF('Aqueous Species Options'!B364="H+", 0, 0.2037*'Aqueous Species Options'!H364 - 3.0346) ) ) )</f>
        <v/>
      </c>
      <c r="O364" s="42" t="str">
        <f>IF(ISBLANK('Aqueous Species Options'!B364), "", IF('Aqueous Species Options'!K364=0, 'Aqueous Species Options'!I364, IF(OR('Aqueous Species Options'!J364&gt;4,'Aqueous Species Options'!J364&lt;-4), "", IF('Aqueous Species Options'!B364="H+", 0, IF('Aqueous Species Options'!J364=0, -0.038, IF(ISBLANK('Aqueous Species Options'!F364), "", -1514.4*'Aqueous Species Options'!F364*0.00001 + SUM(({4,3,2,1,-1,-2,-3,-4}='Aqueous Species Options'!J364)*{2.1764,1.5793,1.0579,0.5517,1.6291,3.2127,4.8115,6.486}) ) ) ) ) ) )</f>
        <v/>
      </c>
      <c r="P364" s="1" t="str">
        <f>IF(ISBLANK('Aqueous Species Options'!J364), "", 'Aqueous Species Options'!J364)</f>
        <v/>
      </c>
      <c r="Q364" s="184" t="str">
        <f>IF(ISBLANK('Aqueous Species Options'!T364), "", 'Aqueous Species Options'!T364)</f>
        <v/>
      </c>
    </row>
    <row r="365" spans="2:17" ht="16" x14ac:dyDescent="0.2">
      <c r="B365" s="9" t="str">
        <f>IF(ISBLANK('Aqueous Species Options'!B365), "", 'Aqueous Species Options'!B365)</f>
        <v/>
      </c>
      <c r="C365" s="55" t="str">
        <f>IF(ISBLANK('Aqueous Species Options'!C365), "", 'Aqueous Species Options'!C365)</f>
        <v/>
      </c>
      <c r="D365" s="1" t="str">
        <f>IF(ISBLANK('Aqueous Species Options'!D365), "", 'Aqueous Species Options'!D365)</f>
        <v/>
      </c>
      <c r="E365" s="1" t="str">
        <f>IF(ISBLANK('Aqueous Species Options'!E365), "", 'Aqueous Species Options'!E365)</f>
        <v/>
      </c>
      <c r="F365" s="139" t="str">
        <f>IF(ISBLANK('Aqueous Species Options'!F365), "", 'Aqueous Species Options'!F365)</f>
        <v/>
      </c>
      <c r="G365" s="29" t="str">
        <f>IF(ISBLANK('Aqueous Species Options'!B365), "", IF('Aqueous Species Options'!L365 = 1, IF(ISBLANK('Aqueous Species Options'!G365), "", 'Aqueous Species Options'!G365), ('Aqueous Species Table'!I365/10 + ('Aqueous Species Table'!J365*100)/(Calculations!$C$12+Calculations!$C$9) + ('Aqueous Species Table'!K365 + ('Aqueous Species Table'!L365*10000)/(Calculations!$C$12+Calculations!$C$9))*(1/(Calculations!$C$8-Calculations!$C$13)) - 'Aqueous Species Table'!O365*100000*0.0000005903)*41.8393))</f>
        <v/>
      </c>
      <c r="H365" s="29" t="str">
        <f>IF(ISBLANK('Aqueous Species Options'!B365), "", IF('Aqueous Species Options'!L365 = 1, IF(ISBLANK('Aqueous Species Options'!H365), "", 'Aqueous Species Options'!H365), 'Aqueous Species Table'!M365 + 'Aqueous Species Table'!N365*10000*(1/(Calculations!$C$8-Calculations!$C$13))^2 + 'Aqueous Species Table'!O365*100000*Calculations!$C$8*Calculations!$C$7))</f>
        <v/>
      </c>
      <c r="I365" s="42" t="str">
        <f>IF(ISBLANK('Aqueous Species Options'!B365), "", IF('Aqueous Species Options'!L365=0, 'Aqueous Species Options'!N365, IF(OR(ISBLANK('Aqueous Species Options'!G365),'Aqueous Species Table'!O365="", 'Aqueous Species Table'!P365=""), "", IF('Aqueous Species Options'!B365="H+", 0, (CHOOSE('Aqueous Species Options'!M365+1,'Aqueous Species Options'!$V$4*ABS('Aqueous Species Table'!P365)+'Aqueous Species Options'!$W$4,'Aqueous Species Options'!$Z$4)*('Aqueous Species Options'!G365 + 'Aqueous Species Table'!O365*100000*0.0000005903*41.8393) + CHOOSE('Aqueous Species Options'!M365+1,'Aqueous Species Options'!$X$4*ABS('Aqueous Species Table'!P365)+'Aqueous Species Options'!$Y$4,'Aqueous Species Options'!$AA$4))*10 ) ) ) )</f>
        <v/>
      </c>
      <c r="J365" s="42" t="str">
        <f>IF(ISBLANK('Aqueous Species Options'!B365), "", IF('Aqueous Species Options'!L365 = 0, 'Aqueous Species Options'!O365, IF('Aqueous Species Table'!I365="", "", IF('Aqueous Species Options'!B365="H+", 0, ((1.11*('Aqueous Species Options'!G365 + 'Aqueous Species Table'!O365*100000*0.0000005903*41.8393)+1.8)/41.8393 - 'Aqueous Species Table'!I365/10)*26.01 ) ) ) )</f>
        <v/>
      </c>
      <c r="K365" s="42" t="str">
        <f>IF(ISBLANK('Aqueous Species Options'!B365), "", IF('Aqueous Species Options'!L365 = 0, 'Aqueous Species Options'!P365, IF('Aqueous Species Table'!I365="", "", IF('Aqueous Species Options'!B365="H+", 0, ('Aqueous Species Options'!G365/41.8393 + 'Aqueous Species Table'!O365*100000*0.0000005903 - 'Aqueous Species Table'!I365/10 - 'Aqueous Species Table'!J365*100/2601)*(298.15-228) - ('Aqueous Species Table'!L365*10000/2601) ) ) ) )</f>
        <v/>
      </c>
      <c r="L365" s="42" t="str">
        <f>IF(ISBLANK('Aqueous Species Options'!B365), "", IF('Aqueous Species Options'!L365 = 0, 'Aqueous Species Options'!Q365, IF('Aqueous Species Table'!J365="", "", IF('Aqueous Species Options'!B365="H+", 0, (-4.134*'Aqueous Species Table'!J365*100 - 27790)*0.0001) ) ) )</f>
        <v/>
      </c>
      <c r="M365" s="42" t="str">
        <f>IF(ISBLANK('Aqueous Species Options'!B365), "", IF('Aqueous Species Options'!L365=0, 'Aqueous Species Options'!R365, IF('Aqueous Species Table'!N365="", "", IF('Aqueous Species Options'!B365="H+", 0, 'Aqueous Species Options'!H365 - 'Aqueous Species Table'!O365*100000*(-0.000000309)*298.15 - 'Aqueous Species Table'!N365*10000/(298.15-228)^2 ) ) ) )</f>
        <v/>
      </c>
      <c r="N365" s="42" t="str">
        <f>IF(ISBLANK('Aqueous Species Options'!B365), "", IF('Aqueous Species Options'!L365=0, 'Aqueous Species Options'!S365, IF(OR(ISBLANK('Aqueous Species Options'!H365), 'Aqueous Species Table'!O365=""), "", IF('Aqueous Species Options'!B365="H+", 0, 0.2037*'Aqueous Species Options'!H365 - 3.0346) ) ) )</f>
        <v/>
      </c>
      <c r="O365" s="42" t="str">
        <f>IF(ISBLANK('Aqueous Species Options'!B365), "", IF('Aqueous Species Options'!K365=0, 'Aqueous Species Options'!I365, IF(OR('Aqueous Species Options'!J365&gt;4,'Aqueous Species Options'!J365&lt;-4), "", IF('Aqueous Species Options'!B365="H+", 0, IF('Aqueous Species Options'!J365=0, -0.038, IF(ISBLANK('Aqueous Species Options'!F365), "", -1514.4*'Aqueous Species Options'!F365*0.00001 + SUM(({4,3,2,1,-1,-2,-3,-4}='Aqueous Species Options'!J365)*{2.1764,1.5793,1.0579,0.5517,1.6291,3.2127,4.8115,6.486}) ) ) ) ) ) )</f>
        <v/>
      </c>
      <c r="P365" s="1" t="str">
        <f>IF(ISBLANK('Aqueous Species Options'!J365), "", 'Aqueous Species Options'!J365)</f>
        <v/>
      </c>
      <c r="Q365" s="184" t="str">
        <f>IF(ISBLANK('Aqueous Species Options'!T365), "", 'Aqueous Species Options'!T365)</f>
        <v/>
      </c>
    </row>
    <row r="366" spans="2:17" ht="16" x14ac:dyDescent="0.2">
      <c r="B366" s="9" t="str">
        <f>IF(ISBLANK('Aqueous Species Options'!B366), "", 'Aqueous Species Options'!B366)</f>
        <v/>
      </c>
      <c r="C366" s="55" t="str">
        <f>IF(ISBLANK('Aqueous Species Options'!C366), "", 'Aqueous Species Options'!C366)</f>
        <v/>
      </c>
      <c r="D366" s="1" t="str">
        <f>IF(ISBLANK('Aqueous Species Options'!D366), "", 'Aqueous Species Options'!D366)</f>
        <v/>
      </c>
      <c r="E366" s="1" t="str">
        <f>IF(ISBLANK('Aqueous Species Options'!E366), "", 'Aqueous Species Options'!E366)</f>
        <v/>
      </c>
      <c r="F366" s="139" t="str">
        <f>IF(ISBLANK('Aqueous Species Options'!F366), "", 'Aqueous Species Options'!F366)</f>
        <v/>
      </c>
      <c r="G366" s="29" t="str">
        <f>IF(ISBLANK('Aqueous Species Options'!B366), "", IF('Aqueous Species Options'!L366 = 1, IF(ISBLANK('Aqueous Species Options'!G366), "", 'Aqueous Species Options'!G366), ('Aqueous Species Table'!I366/10 + ('Aqueous Species Table'!J366*100)/(Calculations!$C$12+Calculations!$C$9) + ('Aqueous Species Table'!K366 + ('Aqueous Species Table'!L366*10000)/(Calculations!$C$12+Calculations!$C$9))*(1/(Calculations!$C$8-Calculations!$C$13)) - 'Aqueous Species Table'!O366*100000*0.0000005903)*41.8393))</f>
        <v/>
      </c>
      <c r="H366" s="29" t="str">
        <f>IF(ISBLANK('Aqueous Species Options'!B366), "", IF('Aqueous Species Options'!L366 = 1, IF(ISBLANK('Aqueous Species Options'!H366), "", 'Aqueous Species Options'!H366), 'Aqueous Species Table'!M366 + 'Aqueous Species Table'!N366*10000*(1/(Calculations!$C$8-Calculations!$C$13))^2 + 'Aqueous Species Table'!O366*100000*Calculations!$C$8*Calculations!$C$7))</f>
        <v/>
      </c>
      <c r="I366" s="42" t="str">
        <f>IF(ISBLANK('Aqueous Species Options'!B366), "", IF('Aqueous Species Options'!L366=0, 'Aqueous Species Options'!N366, IF(OR(ISBLANK('Aqueous Species Options'!G366),'Aqueous Species Table'!O366="", 'Aqueous Species Table'!P366=""), "", IF('Aqueous Species Options'!B366="H+", 0, (CHOOSE('Aqueous Species Options'!M366+1,'Aqueous Species Options'!$V$4*ABS('Aqueous Species Table'!P366)+'Aqueous Species Options'!$W$4,'Aqueous Species Options'!$Z$4)*('Aqueous Species Options'!G366 + 'Aqueous Species Table'!O366*100000*0.0000005903*41.8393) + CHOOSE('Aqueous Species Options'!M366+1,'Aqueous Species Options'!$X$4*ABS('Aqueous Species Table'!P366)+'Aqueous Species Options'!$Y$4,'Aqueous Species Options'!$AA$4))*10 ) ) ) )</f>
        <v/>
      </c>
      <c r="J366" s="42" t="str">
        <f>IF(ISBLANK('Aqueous Species Options'!B366), "", IF('Aqueous Species Options'!L366 = 0, 'Aqueous Species Options'!O366, IF('Aqueous Species Table'!I366="", "", IF('Aqueous Species Options'!B366="H+", 0, ((1.11*('Aqueous Species Options'!G366 + 'Aqueous Species Table'!O366*100000*0.0000005903*41.8393)+1.8)/41.8393 - 'Aqueous Species Table'!I366/10)*26.01 ) ) ) )</f>
        <v/>
      </c>
      <c r="K366" s="42" t="str">
        <f>IF(ISBLANK('Aqueous Species Options'!B366), "", IF('Aqueous Species Options'!L366 = 0, 'Aqueous Species Options'!P366, IF('Aqueous Species Table'!I366="", "", IF('Aqueous Species Options'!B366="H+", 0, ('Aqueous Species Options'!G366/41.8393 + 'Aqueous Species Table'!O366*100000*0.0000005903 - 'Aqueous Species Table'!I366/10 - 'Aqueous Species Table'!J366*100/2601)*(298.15-228) - ('Aqueous Species Table'!L366*10000/2601) ) ) ) )</f>
        <v/>
      </c>
      <c r="L366" s="42" t="str">
        <f>IF(ISBLANK('Aqueous Species Options'!B366), "", IF('Aqueous Species Options'!L366 = 0, 'Aqueous Species Options'!Q366, IF('Aqueous Species Table'!J366="", "", IF('Aqueous Species Options'!B366="H+", 0, (-4.134*'Aqueous Species Table'!J366*100 - 27790)*0.0001) ) ) )</f>
        <v/>
      </c>
      <c r="M366" s="42" t="str">
        <f>IF(ISBLANK('Aqueous Species Options'!B366), "", IF('Aqueous Species Options'!L366=0, 'Aqueous Species Options'!R366, IF('Aqueous Species Table'!N366="", "", IF('Aqueous Species Options'!B366="H+", 0, 'Aqueous Species Options'!H366 - 'Aqueous Species Table'!O366*100000*(-0.000000309)*298.15 - 'Aqueous Species Table'!N366*10000/(298.15-228)^2 ) ) ) )</f>
        <v/>
      </c>
      <c r="N366" s="42" t="str">
        <f>IF(ISBLANK('Aqueous Species Options'!B366), "", IF('Aqueous Species Options'!L366=0, 'Aqueous Species Options'!S366, IF(OR(ISBLANK('Aqueous Species Options'!H366), 'Aqueous Species Table'!O366=""), "", IF('Aqueous Species Options'!B366="H+", 0, 0.2037*'Aqueous Species Options'!H366 - 3.0346) ) ) )</f>
        <v/>
      </c>
      <c r="O366" s="42" t="str">
        <f>IF(ISBLANK('Aqueous Species Options'!B366), "", IF('Aqueous Species Options'!K366=0, 'Aqueous Species Options'!I366, IF(OR('Aqueous Species Options'!J366&gt;4,'Aqueous Species Options'!J366&lt;-4), "", IF('Aqueous Species Options'!B366="H+", 0, IF('Aqueous Species Options'!J366=0, -0.038, IF(ISBLANK('Aqueous Species Options'!F366), "", -1514.4*'Aqueous Species Options'!F366*0.00001 + SUM(({4,3,2,1,-1,-2,-3,-4}='Aqueous Species Options'!J366)*{2.1764,1.5793,1.0579,0.5517,1.6291,3.2127,4.8115,6.486}) ) ) ) ) ) )</f>
        <v/>
      </c>
      <c r="P366" s="1" t="str">
        <f>IF(ISBLANK('Aqueous Species Options'!J366), "", 'Aqueous Species Options'!J366)</f>
        <v/>
      </c>
      <c r="Q366" s="184" t="str">
        <f>IF(ISBLANK('Aqueous Species Options'!T366), "", 'Aqueous Species Options'!T366)</f>
        <v/>
      </c>
    </row>
    <row r="367" spans="2:17" ht="16" x14ac:dyDescent="0.2">
      <c r="B367" s="9" t="str">
        <f>IF(ISBLANK('Aqueous Species Options'!B367), "", 'Aqueous Species Options'!B367)</f>
        <v/>
      </c>
      <c r="C367" s="55" t="str">
        <f>IF(ISBLANK('Aqueous Species Options'!C367), "", 'Aqueous Species Options'!C367)</f>
        <v/>
      </c>
      <c r="D367" s="1" t="str">
        <f>IF(ISBLANK('Aqueous Species Options'!D367), "", 'Aqueous Species Options'!D367)</f>
        <v/>
      </c>
      <c r="E367" s="1" t="str">
        <f>IF(ISBLANK('Aqueous Species Options'!E367), "", 'Aqueous Species Options'!E367)</f>
        <v/>
      </c>
      <c r="F367" s="139" t="str">
        <f>IF(ISBLANK('Aqueous Species Options'!F367), "", 'Aqueous Species Options'!F367)</f>
        <v/>
      </c>
      <c r="G367" s="29" t="str">
        <f>IF(ISBLANK('Aqueous Species Options'!B367), "", IF('Aqueous Species Options'!L367 = 1, IF(ISBLANK('Aqueous Species Options'!G367), "", 'Aqueous Species Options'!G367), ('Aqueous Species Table'!I367/10 + ('Aqueous Species Table'!J367*100)/(Calculations!$C$12+Calculations!$C$9) + ('Aqueous Species Table'!K367 + ('Aqueous Species Table'!L367*10000)/(Calculations!$C$12+Calculations!$C$9))*(1/(Calculations!$C$8-Calculations!$C$13)) - 'Aqueous Species Table'!O367*100000*0.0000005903)*41.8393))</f>
        <v/>
      </c>
      <c r="H367" s="29" t="str">
        <f>IF(ISBLANK('Aqueous Species Options'!B367), "", IF('Aqueous Species Options'!L367 = 1, IF(ISBLANK('Aqueous Species Options'!H367), "", 'Aqueous Species Options'!H367), 'Aqueous Species Table'!M367 + 'Aqueous Species Table'!N367*10000*(1/(Calculations!$C$8-Calculations!$C$13))^2 + 'Aqueous Species Table'!O367*100000*Calculations!$C$8*Calculations!$C$7))</f>
        <v/>
      </c>
      <c r="I367" s="42" t="str">
        <f>IF(ISBLANK('Aqueous Species Options'!B367), "", IF('Aqueous Species Options'!L367=0, 'Aqueous Species Options'!N367, IF(OR(ISBLANK('Aqueous Species Options'!G367),'Aqueous Species Table'!O367="", 'Aqueous Species Table'!P367=""), "", IF('Aqueous Species Options'!B367="H+", 0, (CHOOSE('Aqueous Species Options'!M367+1,'Aqueous Species Options'!$V$4*ABS('Aqueous Species Table'!P367)+'Aqueous Species Options'!$W$4,'Aqueous Species Options'!$Z$4)*('Aqueous Species Options'!G367 + 'Aqueous Species Table'!O367*100000*0.0000005903*41.8393) + CHOOSE('Aqueous Species Options'!M367+1,'Aqueous Species Options'!$X$4*ABS('Aqueous Species Table'!P367)+'Aqueous Species Options'!$Y$4,'Aqueous Species Options'!$AA$4))*10 ) ) ) )</f>
        <v/>
      </c>
      <c r="J367" s="42" t="str">
        <f>IF(ISBLANK('Aqueous Species Options'!B367), "", IF('Aqueous Species Options'!L367 = 0, 'Aqueous Species Options'!O367, IF('Aqueous Species Table'!I367="", "", IF('Aqueous Species Options'!B367="H+", 0, ((1.11*('Aqueous Species Options'!G367 + 'Aqueous Species Table'!O367*100000*0.0000005903*41.8393)+1.8)/41.8393 - 'Aqueous Species Table'!I367/10)*26.01 ) ) ) )</f>
        <v/>
      </c>
      <c r="K367" s="42" t="str">
        <f>IF(ISBLANK('Aqueous Species Options'!B367), "", IF('Aqueous Species Options'!L367 = 0, 'Aqueous Species Options'!P367, IF('Aqueous Species Table'!I367="", "", IF('Aqueous Species Options'!B367="H+", 0, ('Aqueous Species Options'!G367/41.8393 + 'Aqueous Species Table'!O367*100000*0.0000005903 - 'Aqueous Species Table'!I367/10 - 'Aqueous Species Table'!J367*100/2601)*(298.15-228) - ('Aqueous Species Table'!L367*10000/2601) ) ) ) )</f>
        <v/>
      </c>
      <c r="L367" s="42" t="str">
        <f>IF(ISBLANK('Aqueous Species Options'!B367), "", IF('Aqueous Species Options'!L367 = 0, 'Aqueous Species Options'!Q367, IF('Aqueous Species Table'!J367="", "", IF('Aqueous Species Options'!B367="H+", 0, (-4.134*'Aqueous Species Table'!J367*100 - 27790)*0.0001) ) ) )</f>
        <v/>
      </c>
      <c r="M367" s="42" t="str">
        <f>IF(ISBLANK('Aqueous Species Options'!B367), "", IF('Aqueous Species Options'!L367=0, 'Aqueous Species Options'!R367, IF('Aqueous Species Table'!N367="", "", IF('Aqueous Species Options'!B367="H+", 0, 'Aqueous Species Options'!H367 - 'Aqueous Species Table'!O367*100000*(-0.000000309)*298.15 - 'Aqueous Species Table'!N367*10000/(298.15-228)^2 ) ) ) )</f>
        <v/>
      </c>
      <c r="N367" s="42" t="str">
        <f>IF(ISBLANK('Aqueous Species Options'!B367), "", IF('Aqueous Species Options'!L367=0, 'Aqueous Species Options'!S367, IF(OR(ISBLANK('Aqueous Species Options'!H367), 'Aqueous Species Table'!O367=""), "", IF('Aqueous Species Options'!B367="H+", 0, 0.2037*'Aqueous Species Options'!H367 - 3.0346) ) ) )</f>
        <v/>
      </c>
      <c r="O367" s="42" t="str">
        <f>IF(ISBLANK('Aqueous Species Options'!B367), "", IF('Aqueous Species Options'!K367=0, 'Aqueous Species Options'!I367, IF(OR('Aqueous Species Options'!J367&gt;4,'Aqueous Species Options'!J367&lt;-4), "", IF('Aqueous Species Options'!B367="H+", 0, IF('Aqueous Species Options'!J367=0, -0.038, IF(ISBLANK('Aqueous Species Options'!F367), "", -1514.4*'Aqueous Species Options'!F367*0.00001 + SUM(({4,3,2,1,-1,-2,-3,-4}='Aqueous Species Options'!J367)*{2.1764,1.5793,1.0579,0.5517,1.6291,3.2127,4.8115,6.486}) ) ) ) ) ) )</f>
        <v/>
      </c>
      <c r="P367" s="1" t="str">
        <f>IF(ISBLANK('Aqueous Species Options'!J367), "", 'Aqueous Species Options'!J367)</f>
        <v/>
      </c>
      <c r="Q367" s="184" t="str">
        <f>IF(ISBLANK('Aqueous Species Options'!T367), "", 'Aqueous Species Options'!T367)</f>
        <v/>
      </c>
    </row>
    <row r="368" spans="2:17" ht="16" x14ac:dyDescent="0.2">
      <c r="B368" s="9" t="str">
        <f>IF(ISBLANK('Aqueous Species Options'!B368), "", 'Aqueous Species Options'!B368)</f>
        <v/>
      </c>
      <c r="C368" s="55" t="str">
        <f>IF(ISBLANK('Aqueous Species Options'!C368), "", 'Aqueous Species Options'!C368)</f>
        <v/>
      </c>
      <c r="D368" s="1" t="str">
        <f>IF(ISBLANK('Aqueous Species Options'!D368), "", 'Aqueous Species Options'!D368)</f>
        <v/>
      </c>
      <c r="E368" s="1" t="str">
        <f>IF(ISBLANK('Aqueous Species Options'!E368), "", 'Aqueous Species Options'!E368)</f>
        <v/>
      </c>
      <c r="F368" s="139" t="str">
        <f>IF(ISBLANK('Aqueous Species Options'!F368), "", 'Aqueous Species Options'!F368)</f>
        <v/>
      </c>
      <c r="G368" s="29" t="str">
        <f>IF(ISBLANK('Aqueous Species Options'!B368), "", IF('Aqueous Species Options'!L368 = 1, IF(ISBLANK('Aqueous Species Options'!G368), "", 'Aqueous Species Options'!G368), ('Aqueous Species Table'!I368/10 + ('Aqueous Species Table'!J368*100)/(Calculations!$C$12+Calculations!$C$9) + ('Aqueous Species Table'!K368 + ('Aqueous Species Table'!L368*10000)/(Calculations!$C$12+Calculations!$C$9))*(1/(Calculations!$C$8-Calculations!$C$13)) - 'Aqueous Species Table'!O368*100000*0.0000005903)*41.8393))</f>
        <v/>
      </c>
      <c r="H368" s="29" t="str">
        <f>IF(ISBLANK('Aqueous Species Options'!B368), "", IF('Aqueous Species Options'!L368 = 1, IF(ISBLANK('Aqueous Species Options'!H368), "", 'Aqueous Species Options'!H368), 'Aqueous Species Table'!M368 + 'Aqueous Species Table'!N368*10000*(1/(Calculations!$C$8-Calculations!$C$13))^2 + 'Aqueous Species Table'!O368*100000*Calculations!$C$8*Calculations!$C$7))</f>
        <v/>
      </c>
      <c r="I368" s="42" t="str">
        <f>IF(ISBLANK('Aqueous Species Options'!B368), "", IF('Aqueous Species Options'!L368=0, 'Aqueous Species Options'!N368, IF(OR(ISBLANK('Aqueous Species Options'!G368),'Aqueous Species Table'!O368="", 'Aqueous Species Table'!P368=""), "", IF('Aqueous Species Options'!B368="H+", 0, (CHOOSE('Aqueous Species Options'!M368+1,'Aqueous Species Options'!$V$4*ABS('Aqueous Species Table'!P368)+'Aqueous Species Options'!$W$4,'Aqueous Species Options'!$Z$4)*('Aqueous Species Options'!G368 + 'Aqueous Species Table'!O368*100000*0.0000005903*41.8393) + CHOOSE('Aqueous Species Options'!M368+1,'Aqueous Species Options'!$X$4*ABS('Aqueous Species Table'!P368)+'Aqueous Species Options'!$Y$4,'Aqueous Species Options'!$AA$4))*10 ) ) ) )</f>
        <v/>
      </c>
      <c r="J368" s="42" t="str">
        <f>IF(ISBLANK('Aqueous Species Options'!B368), "", IF('Aqueous Species Options'!L368 = 0, 'Aqueous Species Options'!O368, IF('Aqueous Species Table'!I368="", "", IF('Aqueous Species Options'!B368="H+", 0, ((1.11*('Aqueous Species Options'!G368 + 'Aqueous Species Table'!O368*100000*0.0000005903*41.8393)+1.8)/41.8393 - 'Aqueous Species Table'!I368/10)*26.01 ) ) ) )</f>
        <v/>
      </c>
      <c r="K368" s="42" t="str">
        <f>IF(ISBLANK('Aqueous Species Options'!B368), "", IF('Aqueous Species Options'!L368 = 0, 'Aqueous Species Options'!P368, IF('Aqueous Species Table'!I368="", "", IF('Aqueous Species Options'!B368="H+", 0, ('Aqueous Species Options'!G368/41.8393 + 'Aqueous Species Table'!O368*100000*0.0000005903 - 'Aqueous Species Table'!I368/10 - 'Aqueous Species Table'!J368*100/2601)*(298.15-228) - ('Aqueous Species Table'!L368*10000/2601) ) ) ) )</f>
        <v/>
      </c>
      <c r="L368" s="42" t="str">
        <f>IF(ISBLANK('Aqueous Species Options'!B368), "", IF('Aqueous Species Options'!L368 = 0, 'Aqueous Species Options'!Q368, IF('Aqueous Species Table'!J368="", "", IF('Aqueous Species Options'!B368="H+", 0, (-4.134*'Aqueous Species Table'!J368*100 - 27790)*0.0001) ) ) )</f>
        <v/>
      </c>
      <c r="M368" s="42" t="str">
        <f>IF(ISBLANK('Aqueous Species Options'!B368), "", IF('Aqueous Species Options'!L368=0, 'Aqueous Species Options'!R368, IF('Aqueous Species Table'!N368="", "", IF('Aqueous Species Options'!B368="H+", 0, 'Aqueous Species Options'!H368 - 'Aqueous Species Table'!O368*100000*(-0.000000309)*298.15 - 'Aqueous Species Table'!N368*10000/(298.15-228)^2 ) ) ) )</f>
        <v/>
      </c>
      <c r="N368" s="42" t="str">
        <f>IF(ISBLANK('Aqueous Species Options'!B368), "", IF('Aqueous Species Options'!L368=0, 'Aqueous Species Options'!S368, IF(OR(ISBLANK('Aqueous Species Options'!H368), 'Aqueous Species Table'!O368=""), "", IF('Aqueous Species Options'!B368="H+", 0, 0.2037*'Aqueous Species Options'!H368 - 3.0346) ) ) )</f>
        <v/>
      </c>
      <c r="O368" s="42" t="str">
        <f>IF(ISBLANK('Aqueous Species Options'!B368), "", IF('Aqueous Species Options'!K368=0, 'Aqueous Species Options'!I368, IF(OR('Aqueous Species Options'!J368&gt;4,'Aqueous Species Options'!J368&lt;-4), "", IF('Aqueous Species Options'!B368="H+", 0, IF('Aqueous Species Options'!J368=0, -0.038, IF(ISBLANK('Aqueous Species Options'!F368), "", -1514.4*'Aqueous Species Options'!F368*0.00001 + SUM(({4,3,2,1,-1,-2,-3,-4}='Aqueous Species Options'!J368)*{2.1764,1.5793,1.0579,0.5517,1.6291,3.2127,4.8115,6.486}) ) ) ) ) ) )</f>
        <v/>
      </c>
      <c r="P368" s="1" t="str">
        <f>IF(ISBLANK('Aqueous Species Options'!J368), "", 'Aqueous Species Options'!J368)</f>
        <v/>
      </c>
      <c r="Q368" s="184" t="str">
        <f>IF(ISBLANK('Aqueous Species Options'!T368), "", 'Aqueous Species Options'!T368)</f>
        <v/>
      </c>
    </row>
    <row r="369" spans="2:17" ht="16" x14ac:dyDescent="0.2">
      <c r="B369" s="9" t="str">
        <f>IF(ISBLANK('Aqueous Species Options'!B369), "", 'Aqueous Species Options'!B369)</f>
        <v/>
      </c>
      <c r="C369" s="55" t="str">
        <f>IF(ISBLANK('Aqueous Species Options'!C369), "", 'Aqueous Species Options'!C369)</f>
        <v/>
      </c>
      <c r="D369" s="1" t="str">
        <f>IF(ISBLANK('Aqueous Species Options'!D369), "", 'Aqueous Species Options'!D369)</f>
        <v/>
      </c>
      <c r="E369" s="1" t="str">
        <f>IF(ISBLANK('Aqueous Species Options'!E369), "", 'Aqueous Species Options'!E369)</f>
        <v/>
      </c>
      <c r="F369" s="139" t="str">
        <f>IF(ISBLANK('Aqueous Species Options'!F369), "", 'Aqueous Species Options'!F369)</f>
        <v/>
      </c>
      <c r="G369" s="29" t="str">
        <f>IF(ISBLANK('Aqueous Species Options'!B369), "", IF('Aqueous Species Options'!L369 = 1, IF(ISBLANK('Aqueous Species Options'!G369), "", 'Aqueous Species Options'!G369), ('Aqueous Species Table'!I369/10 + ('Aqueous Species Table'!J369*100)/(Calculations!$C$12+Calculations!$C$9) + ('Aqueous Species Table'!K369 + ('Aqueous Species Table'!L369*10000)/(Calculations!$C$12+Calculations!$C$9))*(1/(Calculations!$C$8-Calculations!$C$13)) - 'Aqueous Species Table'!O369*100000*0.0000005903)*41.8393))</f>
        <v/>
      </c>
      <c r="H369" s="29" t="str">
        <f>IF(ISBLANK('Aqueous Species Options'!B369), "", IF('Aqueous Species Options'!L369 = 1, IF(ISBLANK('Aqueous Species Options'!H369), "", 'Aqueous Species Options'!H369), 'Aqueous Species Table'!M369 + 'Aqueous Species Table'!N369*10000*(1/(Calculations!$C$8-Calculations!$C$13))^2 + 'Aqueous Species Table'!O369*100000*Calculations!$C$8*Calculations!$C$7))</f>
        <v/>
      </c>
      <c r="I369" s="42" t="str">
        <f>IF(ISBLANK('Aqueous Species Options'!B369), "", IF('Aqueous Species Options'!L369=0, 'Aqueous Species Options'!N369, IF(OR(ISBLANK('Aqueous Species Options'!G369),'Aqueous Species Table'!O369="", 'Aqueous Species Table'!P369=""), "", IF('Aqueous Species Options'!B369="H+", 0, (CHOOSE('Aqueous Species Options'!M369+1,'Aqueous Species Options'!$V$4*ABS('Aqueous Species Table'!P369)+'Aqueous Species Options'!$W$4,'Aqueous Species Options'!$Z$4)*('Aqueous Species Options'!G369 + 'Aqueous Species Table'!O369*100000*0.0000005903*41.8393) + CHOOSE('Aqueous Species Options'!M369+1,'Aqueous Species Options'!$X$4*ABS('Aqueous Species Table'!P369)+'Aqueous Species Options'!$Y$4,'Aqueous Species Options'!$AA$4))*10 ) ) ) )</f>
        <v/>
      </c>
      <c r="J369" s="42" t="str">
        <f>IF(ISBLANK('Aqueous Species Options'!B369), "", IF('Aqueous Species Options'!L369 = 0, 'Aqueous Species Options'!O369, IF('Aqueous Species Table'!I369="", "", IF('Aqueous Species Options'!B369="H+", 0, ((1.11*('Aqueous Species Options'!G369 + 'Aqueous Species Table'!O369*100000*0.0000005903*41.8393)+1.8)/41.8393 - 'Aqueous Species Table'!I369/10)*26.01 ) ) ) )</f>
        <v/>
      </c>
      <c r="K369" s="42" t="str">
        <f>IF(ISBLANK('Aqueous Species Options'!B369), "", IF('Aqueous Species Options'!L369 = 0, 'Aqueous Species Options'!P369, IF('Aqueous Species Table'!I369="", "", IF('Aqueous Species Options'!B369="H+", 0, ('Aqueous Species Options'!G369/41.8393 + 'Aqueous Species Table'!O369*100000*0.0000005903 - 'Aqueous Species Table'!I369/10 - 'Aqueous Species Table'!J369*100/2601)*(298.15-228) - ('Aqueous Species Table'!L369*10000/2601) ) ) ) )</f>
        <v/>
      </c>
      <c r="L369" s="42" t="str">
        <f>IF(ISBLANK('Aqueous Species Options'!B369), "", IF('Aqueous Species Options'!L369 = 0, 'Aqueous Species Options'!Q369, IF('Aqueous Species Table'!J369="", "", IF('Aqueous Species Options'!B369="H+", 0, (-4.134*'Aqueous Species Table'!J369*100 - 27790)*0.0001) ) ) )</f>
        <v/>
      </c>
      <c r="M369" s="42" t="str">
        <f>IF(ISBLANK('Aqueous Species Options'!B369), "", IF('Aqueous Species Options'!L369=0, 'Aqueous Species Options'!R369, IF('Aqueous Species Table'!N369="", "", IF('Aqueous Species Options'!B369="H+", 0, 'Aqueous Species Options'!H369 - 'Aqueous Species Table'!O369*100000*(-0.000000309)*298.15 - 'Aqueous Species Table'!N369*10000/(298.15-228)^2 ) ) ) )</f>
        <v/>
      </c>
      <c r="N369" s="42" t="str">
        <f>IF(ISBLANK('Aqueous Species Options'!B369), "", IF('Aqueous Species Options'!L369=0, 'Aqueous Species Options'!S369, IF(OR(ISBLANK('Aqueous Species Options'!H369), 'Aqueous Species Table'!O369=""), "", IF('Aqueous Species Options'!B369="H+", 0, 0.2037*'Aqueous Species Options'!H369 - 3.0346) ) ) )</f>
        <v/>
      </c>
      <c r="O369" s="42" t="str">
        <f>IF(ISBLANK('Aqueous Species Options'!B369), "", IF('Aqueous Species Options'!K369=0, 'Aqueous Species Options'!I369, IF(OR('Aqueous Species Options'!J369&gt;4,'Aqueous Species Options'!J369&lt;-4), "", IF('Aqueous Species Options'!B369="H+", 0, IF('Aqueous Species Options'!J369=0, -0.038, IF(ISBLANK('Aqueous Species Options'!F369), "", -1514.4*'Aqueous Species Options'!F369*0.00001 + SUM(({4,3,2,1,-1,-2,-3,-4}='Aqueous Species Options'!J369)*{2.1764,1.5793,1.0579,0.5517,1.6291,3.2127,4.8115,6.486}) ) ) ) ) ) )</f>
        <v/>
      </c>
      <c r="P369" s="1" t="str">
        <f>IF(ISBLANK('Aqueous Species Options'!J369), "", 'Aqueous Species Options'!J369)</f>
        <v/>
      </c>
      <c r="Q369" s="184" t="str">
        <f>IF(ISBLANK('Aqueous Species Options'!T369), "", 'Aqueous Species Options'!T369)</f>
        <v/>
      </c>
    </row>
    <row r="370" spans="2:17" ht="16" x14ac:dyDescent="0.2">
      <c r="B370" s="9" t="str">
        <f>IF(ISBLANK('Aqueous Species Options'!B370), "", 'Aqueous Species Options'!B370)</f>
        <v/>
      </c>
      <c r="C370" s="55" t="str">
        <f>IF(ISBLANK('Aqueous Species Options'!C370), "", 'Aqueous Species Options'!C370)</f>
        <v/>
      </c>
      <c r="D370" s="1" t="str">
        <f>IF(ISBLANK('Aqueous Species Options'!D370), "", 'Aqueous Species Options'!D370)</f>
        <v/>
      </c>
      <c r="E370" s="1" t="str">
        <f>IF(ISBLANK('Aqueous Species Options'!E370), "", 'Aqueous Species Options'!E370)</f>
        <v/>
      </c>
      <c r="F370" s="139" t="str">
        <f>IF(ISBLANK('Aqueous Species Options'!F370), "", 'Aqueous Species Options'!F370)</f>
        <v/>
      </c>
      <c r="G370" s="29" t="str">
        <f>IF(ISBLANK('Aqueous Species Options'!B370), "", IF('Aqueous Species Options'!L370 = 1, IF(ISBLANK('Aqueous Species Options'!G370), "", 'Aqueous Species Options'!G370), ('Aqueous Species Table'!I370/10 + ('Aqueous Species Table'!J370*100)/(Calculations!$C$12+Calculations!$C$9) + ('Aqueous Species Table'!K370 + ('Aqueous Species Table'!L370*10000)/(Calculations!$C$12+Calculations!$C$9))*(1/(Calculations!$C$8-Calculations!$C$13)) - 'Aqueous Species Table'!O370*100000*0.0000005903)*41.8393))</f>
        <v/>
      </c>
      <c r="H370" s="29" t="str">
        <f>IF(ISBLANK('Aqueous Species Options'!B370), "", IF('Aqueous Species Options'!L370 = 1, IF(ISBLANK('Aqueous Species Options'!H370), "", 'Aqueous Species Options'!H370), 'Aqueous Species Table'!M370 + 'Aqueous Species Table'!N370*10000*(1/(Calculations!$C$8-Calculations!$C$13))^2 + 'Aqueous Species Table'!O370*100000*Calculations!$C$8*Calculations!$C$7))</f>
        <v/>
      </c>
      <c r="I370" s="42" t="str">
        <f>IF(ISBLANK('Aqueous Species Options'!B370), "", IF('Aqueous Species Options'!L370=0, 'Aqueous Species Options'!N370, IF(OR(ISBLANK('Aqueous Species Options'!G370),'Aqueous Species Table'!O370="", 'Aqueous Species Table'!P370=""), "", IF('Aqueous Species Options'!B370="H+", 0, (CHOOSE('Aqueous Species Options'!M370+1,'Aqueous Species Options'!$V$4*ABS('Aqueous Species Table'!P370)+'Aqueous Species Options'!$W$4,'Aqueous Species Options'!$Z$4)*('Aqueous Species Options'!G370 + 'Aqueous Species Table'!O370*100000*0.0000005903*41.8393) + CHOOSE('Aqueous Species Options'!M370+1,'Aqueous Species Options'!$X$4*ABS('Aqueous Species Table'!P370)+'Aqueous Species Options'!$Y$4,'Aqueous Species Options'!$AA$4))*10 ) ) ) )</f>
        <v/>
      </c>
      <c r="J370" s="42" t="str">
        <f>IF(ISBLANK('Aqueous Species Options'!B370), "", IF('Aqueous Species Options'!L370 = 0, 'Aqueous Species Options'!O370, IF('Aqueous Species Table'!I370="", "", IF('Aqueous Species Options'!B370="H+", 0, ((1.11*('Aqueous Species Options'!G370 + 'Aqueous Species Table'!O370*100000*0.0000005903*41.8393)+1.8)/41.8393 - 'Aqueous Species Table'!I370/10)*26.01 ) ) ) )</f>
        <v/>
      </c>
      <c r="K370" s="42" t="str">
        <f>IF(ISBLANK('Aqueous Species Options'!B370), "", IF('Aqueous Species Options'!L370 = 0, 'Aqueous Species Options'!P370, IF('Aqueous Species Table'!I370="", "", IF('Aqueous Species Options'!B370="H+", 0, ('Aqueous Species Options'!G370/41.8393 + 'Aqueous Species Table'!O370*100000*0.0000005903 - 'Aqueous Species Table'!I370/10 - 'Aqueous Species Table'!J370*100/2601)*(298.15-228) - ('Aqueous Species Table'!L370*10000/2601) ) ) ) )</f>
        <v/>
      </c>
      <c r="L370" s="42" t="str">
        <f>IF(ISBLANK('Aqueous Species Options'!B370), "", IF('Aqueous Species Options'!L370 = 0, 'Aqueous Species Options'!Q370, IF('Aqueous Species Table'!J370="", "", IF('Aqueous Species Options'!B370="H+", 0, (-4.134*'Aqueous Species Table'!J370*100 - 27790)*0.0001) ) ) )</f>
        <v/>
      </c>
      <c r="M370" s="42" t="str">
        <f>IF(ISBLANK('Aqueous Species Options'!B370), "", IF('Aqueous Species Options'!L370=0, 'Aqueous Species Options'!R370, IF('Aqueous Species Table'!N370="", "", IF('Aqueous Species Options'!B370="H+", 0, 'Aqueous Species Options'!H370 - 'Aqueous Species Table'!O370*100000*(-0.000000309)*298.15 - 'Aqueous Species Table'!N370*10000/(298.15-228)^2 ) ) ) )</f>
        <v/>
      </c>
      <c r="N370" s="42" t="str">
        <f>IF(ISBLANK('Aqueous Species Options'!B370), "", IF('Aqueous Species Options'!L370=0, 'Aqueous Species Options'!S370, IF(OR(ISBLANK('Aqueous Species Options'!H370), 'Aqueous Species Table'!O370=""), "", IF('Aqueous Species Options'!B370="H+", 0, 0.2037*'Aqueous Species Options'!H370 - 3.0346) ) ) )</f>
        <v/>
      </c>
      <c r="O370" s="42" t="str">
        <f>IF(ISBLANK('Aqueous Species Options'!B370), "", IF('Aqueous Species Options'!K370=0, 'Aqueous Species Options'!I370, IF(OR('Aqueous Species Options'!J370&gt;4,'Aqueous Species Options'!J370&lt;-4), "", IF('Aqueous Species Options'!B370="H+", 0, IF('Aqueous Species Options'!J370=0, -0.038, IF(ISBLANK('Aqueous Species Options'!F370), "", -1514.4*'Aqueous Species Options'!F370*0.00001 + SUM(({4,3,2,1,-1,-2,-3,-4}='Aqueous Species Options'!J370)*{2.1764,1.5793,1.0579,0.5517,1.6291,3.2127,4.8115,6.486}) ) ) ) ) ) )</f>
        <v/>
      </c>
      <c r="P370" s="1" t="str">
        <f>IF(ISBLANK('Aqueous Species Options'!J370), "", 'Aqueous Species Options'!J370)</f>
        <v/>
      </c>
      <c r="Q370" s="184" t="str">
        <f>IF(ISBLANK('Aqueous Species Options'!T370), "", 'Aqueous Species Options'!T370)</f>
        <v/>
      </c>
    </row>
    <row r="371" spans="2:17" ht="16" x14ac:dyDescent="0.2">
      <c r="B371" s="9" t="str">
        <f>IF(ISBLANK('Aqueous Species Options'!B371), "", 'Aqueous Species Options'!B371)</f>
        <v/>
      </c>
      <c r="C371" s="55" t="str">
        <f>IF(ISBLANK('Aqueous Species Options'!C371), "", 'Aqueous Species Options'!C371)</f>
        <v/>
      </c>
      <c r="D371" s="1" t="str">
        <f>IF(ISBLANK('Aqueous Species Options'!D371), "", 'Aqueous Species Options'!D371)</f>
        <v/>
      </c>
      <c r="E371" s="1" t="str">
        <f>IF(ISBLANK('Aqueous Species Options'!E371), "", 'Aqueous Species Options'!E371)</f>
        <v/>
      </c>
      <c r="F371" s="139" t="str">
        <f>IF(ISBLANK('Aqueous Species Options'!F371), "", 'Aqueous Species Options'!F371)</f>
        <v/>
      </c>
      <c r="G371" s="29" t="str">
        <f>IF(ISBLANK('Aqueous Species Options'!B371), "", IF('Aqueous Species Options'!L371 = 1, IF(ISBLANK('Aqueous Species Options'!G371), "", 'Aqueous Species Options'!G371), ('Aqueous Species Table'!I371/10 + ('Aqueous Species Table'!J371*100)/(Calculations!$C$12+Calculations!$C$9) + ('Aqueous Species Table'!K371 + ('Aqueous Species Table'!L371*10000)/(Calculations!$C$12+Calculations!$C$9))*(1/(Calculations!$C$8-Calculations!$C$13)) - 'Aqueous Species Table'!O371*100000*0.0000005903)*41.8393))</f>
        <v/>
      </c>
      <c r="H371" s="29" t="str">
        <f>IF(ISBLANK('Aqueous Species Options'!B371), "", IF('Aqueous Species Options'!L371 = 1, IF(ISBLANK('Aqueous Species Options'!H371), "", 'Aqueous Species Options'!H371), 'Aqueous Species Table'!M371 + 'Aqueous Species Table'!N371*10000*(1/(Calculations!$C$8-Calculations!$C$13))^2 + 'Aqueous Species Table'!O371*100000*Calculations!$C$8*Calculations!$C$7))</f>
        <v/>
      </c>
      <c r="I371" s="42" t="str">
        <f>IF(ISBLANK('Aqueous Species Options'!B371), "", IF('Aqueous Species Options'!L371=0, 'Aqueous Species Options'!N371, IF(OR(ISBLANK('Aqueous Species Options'!G371),'Aqueous Species Table'!O371="", 'Aqueous Species Table'!P371=""), "", IF('Aqueous Species Options'!B371="H+", 0, (CHOOSE('Aqueous Species Options'!M371+1,'Aqueous Species Options'!$V$4*ABS('Aqueous Species Table'!P371)+'Aqueous Species Options'!$W$4,'Aqueous Species Options'!$Z$4)*('Aqueous Species Options'!G371 + 'Aqueous Species Table'!O371*100000*0.0000005903*41.8393) + CHOOSE('Aqueous Species Options'!M371+1,'Aqueous Species Options'!$X$4*ABS('Aqueous Species Table'!P371)+'Aqueous Species Options'!$Y$4,'Aqueous Species Options'!$AA$4))*10 ) ) ) )</f>
        <v/>
      </c>
      <c r="J371" s="42" t="str">
        <f>IF(ISBLANK('Aqueous Species Options'!B371), "", IF('Aqueous Species Options'!L371 = 0, 'Aqueous Species Options'!O371, IF('Aqueous Species Table'!I371="", "", IF('Aqueous Species Options'!B371="H+", 0, ((1.11*('Aqueous Species Options'!G371 + 'Aqueous Species Table'!O371*100000*0.0000005903*41.8393)+1.8)/41.8393 - 'Aqueous Species Table'!I371/10)*26.01 ) ) ) )</f>
        <v/>
      </c>
      <c r="K371" s="42" t="str">
        <f>IF(ISBLANK('Aqueous Species Options'!B371), "", IF('Aqueous Species Options'!L371 = 0, 'Aqueous Species Options'!P371, IF('Aqueous Species Table'!I371="", "", IF('Aqueous Species Options'!B371="H+", 0, ('Aqueous Species Options'!G371/41.8393 + 'Aqueous Species Table'!O371*100000*0.0000005903 - 'Aqueous Species Table'!I371/10 - 'Aqueous Species Table'!J371*100/2601)*(298.15-228) - ('Aqueous Species Table'!L371*10000/2601) ) ) ) )</f>
        <v/>
      </c>
      <c r="L371" s="42" t="str">
        <f>IF(ISBLANK('Aqueous Species Options'!B371), "", IF('Aqueous Species Options'!L371 = 0, 'Aqueous Species Options'!Q371, IF('Aqueous Species Table'!J371="", "", IF('Aqueous Species Options'!B371="H+", 0, (-4.134*'Aqueous Species Table'!J371*100 - 27790)*0.0001) ) ) )</f>
        <v/>
      </c>
      <c r="M371" s="42" t="str">
        <f>IF(ISBLANK('Aqueous Species Options'!B371), "", IF('Aqueous Species Options'!L371=0, 'Aqueous Species Options'!R371, IF('Aqueous Species Table'!N371="", "", IF('Aqueous Species Options'!B371="H+", 0, 'Aqueous Species Options'!H371 - 'Aqueous Species Table'!O371*100000*(-0.000000309)*298.15 - 'Aqueous Species Table'!N371*10000/(298.15-228)^2 ) ) ) )</f>
        <v/>
      </c>
      <c r="N371" s="42" t="str">
        <f>IF(ISBLANK('Aqueous Species Options'!B371), "", IF('Aqueous Species Options'!L371=0, 'Aqueous Species Options'!S371, IF(OR(ISBLANK('Aqueous Species Options'!H371), 'Aqueous Species Table'!O371=""), "", IF('Aqueous Species Options'!B371="H+", 0, 0.2037*'Aqueous Species Options'!H371 - 3.0346) ) ) )</f>
        <v/>
      </c>
      <c r="O371" s="42" t="str">
        <f>IF(ISBLANK('Aqueous Species Options'!B371), "", IF('Aqueous Species Options'!K371=0, 'Aqueous Species Options'!I371, IF(OR('Aqueous Species Options'!J371&gt;4,'Aqueous Species Options'!J371&lt;-4), "", IF('Aqueous Species Options'!B371="H+", 0, IF('Aqueous Species Options'!J371=0, -0.038, IF(ISBLANK('Aqueous Species Options'!F371), "", -1514.4*'Aqueous Species Options'!F371*0.00001 + SUM(({4,3,2,1,-1,-2,-3,-4}='Aqueous Species Options'!J371)*{2.1764,1.5793,1.0579,0.5517,1.6291,3.2127,4.8115,6.486}) ) ) ) ) ) )</f>
        <v/>
      </c>
      <c r="P371" s="1" t="str">
        <f>IF(ISBLANK('Aqueous Species Options'!J371), "", 'Aqueous Species Options'!J371)</f>
        <v/>
      </c>
      <c r="Q371" s="184" t="str">
        <f>IF(ISBLANK('Aqueous Species Options'!T371), "", 'Aqueous Species Options'!T371)</f>
        <v/>
      </c>
    </row>
    <row r="372" spans="2:17" ht="15" customHeight="1" x14ac:dyDescent="0.2">
      <c r="B372" s="9" t="str">
        <f>IF(ISBLANK('Aqueous Species Options'!B372), "", 'Aqueous Species Options'!B372)</f>
        <v/>
      </c>
      <c r="C372" s="55" t="str">
        <f>IF(ISBLANK('Aqueous Species Options'!C372), "", 'Aqueous Species Options'!C372)</f>
        <v/>
      </c>
      <c r="D372" s="1" t="str">
        <f>IF(ISBLANK('Aqueous Species Options'!D372), "", 'Aqueous Species Options'!D372)</f>
        <v/>
      </c>
      <c r="E372" s="1" t="str">
        <f>IF(ISBLANK('Aqueous Species Options'!E372), "", 'Aqueous Species Options'!E372)</f>
        <v/>
      </c>
      <c r="F372" s="139" t="str">
        <f>IF(ISBLANK('Aqueous Species Options'!F372), "", 'Aqueous Species Options'!F372)</f>
        <v/>
      </c>
      <c r="G372" s="29" t="str">
        <f>IF(ISBLANK('Aqueous Species Options'!B372), "", IF('Aqueous Species Options'!L372 = 1, IF(ISBLANK('Aqueous Species Options'!G372), "", 'Aqueous Species Options'!G372), ('Aqueous Species Table'!I372/10 + ('Aqueous Species Table'!J372*100)/(Calculations!$C$12+Calculations!$C$9) + ('Aqueous Species Table'!K372 + ('Aqueous Species Table'!L372*10000)/(Calculations!$C$12+Calculations!$C$9))*(1/(Calculations!$C$8-Calculations!$C$13)) - 'Aqueous Species Table'!O372*100000*0.0000005903)*41.8393))</f>
        <v/>
      </c>
      <c r="H372" s="29" t="str">
        <f>IF(ISBLANK('Aqueous Species Options'!B372), "", IF('Aqueous Species Options'!L372 = 1, IF(ISBLANK('Aqueous Species Options'!H372), "", 'Aqueous Species Options'!H372), 'Aqueous Species Table'!M372 + 'Aqueous Species Table'!N372*10000*(1/(Calculations!$C$8-Calculations!$C$13))^2 + 'Aqueous Species Table'!O372*100000*Calculations!$C$8*Calculations!$C$7))</f>
        <v/>
      </c>
      <c r="I372" s="42" t="str">
        <f>IF(ISBLANK('Aqueous Species Options'!B372), "", IF('Aqueous Species Options'!L372=0, 'Aqueous Species Options'!N372, IF(OR(ISBLANK('Aqueous Species Options'!G372),'Aqueous Species Table'!O372="", 'Aqueous Species Table'!P372=""), "", IF('Aqueous Species Options'!B372="H+", 0, (CHOOSE('Aqueous Species Options'!M372+1,'Aqueous Species Options'!$V$4*ABS('Aqueous Species Table'!P372)+'Aqueous Species Options'!$W$4,'Aqueous Species Options'!$Z$4)*('Aqueous Species Options'!G372 + 'Aqueous Species Table'!O372*100000*0.0000005903*41.8393) + CHOOSE('Aqueous Species Options'!M372+1,'Aqueous Species Options'!$X$4*ABS('Aqueous Species Table'!P372)+'Aqueous Species Options'!$Y$4,'Aqueous Species Options'!$AA$4))*10 ) ) ) )</f>
        <v/>
      </c>
      <c r="J372" s="42" t="str">
        <f>IF(ISBLANK('Aqueous Species Options'!B372), "", IF('Aqueous Species Options'!L372 = 0, 'Aqueous Species Options'!O372, IF('Aqueous Species Table'!I372="", "", IF('Aqueous Species Options'!B372="H+", 0, ((1.11*('Aqueous Species Options'!G372 + 'Aqueous Species Table'!O372*100000*0.0000005903*41.8393)+1.8)/41.8393 - 'Aqueous Species Table'!I372/10)*26.01 ) ) ) )</f>
        <v/>
      </c>
      <c r="K372" s="42" t="str">
        <f>IF(ISBLANK('Aqueous Species Options'!B372), "", IF('Aqueous Species Options'!L372 = 0, 'Aqueous Species Options'!P372, IF('Aqueous Species Table'!I372="", "", IF('Aqueous Species Options'!B372="H+", 0, ('Aqueous Species Options'!G372/41.8393 + 'Aqueous Species Table'!O372*100000*0.0000005903 - 'Aqueous Species Table'!I372/10 - 'Aqueous Species Table'!J372*100/2601)*(298.15-228) - ('Aqueous Species Table'!L372*10000/2601) ) ) ) )</f>
        <v/>
      </c>
      <c r="L372" s="42" t="str">
        <f>IF(ISBLANK('Aqueous Species Options'!B372), "", IF('Aqueous Species Options'!L372 = 0, 'Aqueous Species Options'!Q372, IF('Aqueous Species Table'!J372="", "", IF('Aqueous Species Options'!B372="H+", 0, (-4.134*'Aqueous Species Table'!J372*100 - 27790)*0.0001) ) ) )</f>
        <v/>
      </c>
      <c r="M372" s="42" t="str">
        <f>IF(ISBLANK('Aqueous Species Options'!B372), "", IF('Aqueous Species Options'!L372=0, 'Aqueous Species Options'!R372, IF('Aqueous Species Table'!N372="", "", IF('Aqueous Species Options'!B372="H+", 0, 'Aqueous Species Options'!H372 - 'Aqueous Species Table'!O372*100000*(-0.000000309)*298.15 - 'Aqueous Species Table'!N372*10000/(298.15-228)^2 ) ) ) )</f>
        <v/>
      </c>
      <c r="N372" s="42" t="str">
        <f>IF(ISBLANK('Aqueous Species Options'!B372), "", IF('Aqueous Species Options'!L372=0, 'Aqueous Species Options'!S372, IF(OR(ISBLANK('Aqueous Species Options'!H372), 'Aqueous Species Table'!O372=""), "", IF('Aqueous Species Options'!B372="H+", 0, 0.2037*'Aqueous Species Options'!H372 - 3.0346) ) ) )</f>
        <v/>
      </c>
      <c r="O372" s="42" t="str">
        <f>IF(ISBLANK('Aqueous Species Options'!B372), "", IF('Aqueous Species Options'!K372=0, 'Aqueous Species Options'!I372, IF(OR('Aqueous Species Options'!J372&gt;4,'Aqueous Species Options'!J372&lt;-4), "", IF('Aqueous Species Options'!B372="H+", 0, IF('Aqueous Species Options'!J372=0, -0.038, IF(ISBLANK('Aqueous Species Options'!F372), "", -1514.4*'Aqueous Species Options'!F372*0.00001 + SUM(({4,3,2,1,-1,-2,-3,-4}='Aqueous Species Options'!J372)*{2.1764,1.5793,1.0579,0.5517,1.6291,3.2127,4.8115,6.486}) ) ) ) ) ) )</f>
        <v/>
      </c>
      <c r="P372" s="1" t="str">
        <f>IF(ISBLANK('Aqueous Species Options'!J372), "", 'Aqueous Species Options'!J372)</f>
        <v/>
      </c>
      <c r="Q372" s="184" t="str">
        <f>IF(ISBLANK('Aqueous Species Options'!T372), "", 'Aqueous Species Options'!T372)</f>
        <v/>
      </c>
    </row>
    <row r="373" spans="2:17" ht="16" x14ac:dyDescent="0.2">
      <c r="B373" s="9" t="str">
        <f>IF(ISBLANK('Aqueous Species Options'!B373), "", 'Aqueous Species Options'!B373)</f>
        <v/>
      </c>
      <c r="C373" s="55" t="str">
        <f>IF(ISBLANK('Aqueous Species Options'!C373), "", 'Aqueous Species Options'!C373)</f>
        <v/>
      </c>
      <c r="D373" s="1" t="str">
        <f>IF(ISBLANK('Aqueous Species Options'!D373), "", 'Aqueous Species Options'!D373)</f>
        <v/>
      </c>
      <c r="E373" s="1" t="str">
        <f>IF(ISBLANK('Aqueous Species Options'!E373), "", 'Aqueous Species Options'!E373)</f>
        <v/>
      </c>
      <c r="F373" s="139" t="str">
        <f>IF(ISBLANK('Aqueous Species Options'!F373), "", 'Aqueous Species Options'!F373)</f>
        <v/>
      </c>
      <c r="G373" s="29" t="str">
        <f>IF(ISBLANK('Aqueous Species Options'!B373), "", IF('Aqueous Species Options'!L373 = 1, IF(ISBLANK('Aqueous Species Options'!G373), "", 'Aqueous Species Options'!G373), ('Aqueous Species Table'!I373/10 + ('Aqueous Species Table'!J373*100)/(Calculations!$C$12+Calculations!$C$9) + ('Aqueous Species Table'!K373 + ('Aqueous Species Table'!L373*10000)/(Calculations!$C$12+Calculations!$C$9))*(1/(Calculations!$C$8-Calculations!$C$13)) - 'Aqueous Species Table'!O373*100000*0.0000005903)*41.8393))</f>
        <v/>
      </c>
      <c r="H373" s="29" t="str">
        <f>IF(ISBLANK('Aqueous Species Options'!B373), "", IF('Aqueous Species Options'!L373 = 1, IF(ISBLANK('Aqueous Species Options'!H373), "", 'Aqueous Species Options'!H373), 'Aqueous Species Table'!M373 + 'Aqueous Species Table'!N373*10000*(1/(Calculations!$C$8-Calculations!$C$13))^2 + 'Aqueous Species Table'!O373*100000*Calculations!$C$8*Calculations!$C$7))</f>
        <v/>
      </c>
      <c r="I373" s="42" t="str">
        <f>IF(ISBLANK('Aqueous Species Options'!B373), "", IF('Aqueous Species Options'!L373=0, 'Aqueous Species Options'!N373, IF(OR(ISBLANK('Aqueous Species Options'!G373),'Aqueous Species Table'!O373="", 'Aqueous Species Table'!P373=""), "", IF('Aqueous Species Options'!B373="H+", 0, (CHOOSE('Aqueous Species Options'!M373+1,'Aqueous Species Options'!$V$4*ABS('Aqueous Species Table'!P373)+'Aqueous Species Options'!$W$4,'Aqueous Species Options'!$Z$4)*('Aqueous Species Options'!G373 + 'Aqueous Species Table'!O373*100000*0.0000005903*41.8393) + CHOOSE('Aqueous Species Options'!M373+1,'Aqueous Species Options'!$X$4*ABS('Aqueous Species Table'!P373)+'Aqueous Species Options'!$Y$4,'Aqueous Species Options'!$AA$4))*10 ) ) ) )</f>
        <v/>
      </c>
      <c r="J373" s="42" t="str">
        <f>IF(ISBLANK('Aqueous Species Options'!B373), "", IF('Aqueous Species Options'!L373 = 0, 'Aqueous Species Options'!O373, IF('Aqueous Species Table'!I373="", "", IF('Aqueous Species Options'!B373="H+", 0, ((1.11*('Aqueous Species Options'!G373 + 'Aqueous Species Table'!O373*100000*0.0000005903*41.8393)+1.8)/41.8393 - 'Aqueous Species Table'!I373/10)*26.01 ) ) ) )</f>
        <v/>
      </c>
      <c r="K373" s="42" t="str">
        <f>IF(ISBLANK('Aqueous Species Options'!B373), "", IF('Aqueous Species Options'!L373 = 0, 'Aqueous Species Options'!P373, IF('Aqueous Species Table'!I373="", "", IF('Aqueous Species Options'!B373="H+", 0, ('Aqueous Species Options'!G373/41.8393 + 'Aqueous Species Table'!O373*100000*0.0000005903 - 'Aqueous Species Table'!I373/10 - 'Aqueous Species Table'!J373*100/2601)*(298.15-228) - ('Aqueous Species Table'!L373*10000/2601) ) ) ) )</f>
        <v/>
      </c>
      <c r="L373" s="42" t="str">
        <f>IF(ISBLANK('Aqueous Species Options'!B373), "", IF('Aqueous Species Options'!L373 = 0, 'Aqueous Species Options'!Q373, IF('Aqueous Species Table'!J373="", "", IF('Aqueous Species Options'!B373="H+", 0, (-4.134*'Aqueous Species Table'!J373*100 - 27790)*0.0001) ) ) )</f>
        <v/>
      </c>
      <c r="M373" s="42" t="str">
        <f>IF(ISBLANK('Aqueous Species Options'!B373), "", IF('Aqueous Species Options'!L373=0, 'Aqueous Species Options'!R373, IF('Aqueous Species Table'!N373="", "", IF('Aqueous Species Options'!B373="H+", 0, 'Aqueous Species Options'!H373 - 'Aqueous Species Table'!O373*100000*(-0.000000309)*298.15 - 'Aqueous Species Table'!N373*10000/(298.15-228)^2 ) ) ) )</f>
        <v/>
      </c>
      <c r="N373" s="42" t="str">
        <f>IF(ISBLANK('Aqueous Species Options'!B373), "", IF('Aqueous Species Options'!L373=0, 'Aqueous Species Options'!S373, IF(OR(ISBLANK('Aqueous Species Options'!H373), 'Aqueous Species Table'!O373=""), "", IF('Aqueous Species Options'!B373="H+", 0, 0.2037*'Aqueous Species Options'!H373 - 3.0346) ) ) )</f>
        <v/>
      </c>
      <c r="O373" s="42" t="str">
        <f>IF(ISBLANK('Aqueous Species Options'!B373), "", IF('Aqueous Species Options'!K373=0, 'Aqueous Species Options'!I373, IF(OR('Aqueous Species Options'!J373&gt;4,'Aqueous Species Options'!J373&lt;-4), "", IF('Aqueous Species Options'!B373="H+", 0, IF('Aqueous Species Options'!J373=0, -0.038, IF(ISBLANK('Aqueous Species Options'!F373), "", -1514.4*'Aqueous Species Options'!F373*0.00001 + SUM(({4,3,2,1,-1,-2,-3,-4}='Aqueous Species Options'!J373)*{2.1764,1.5793,1.0579,0.5517,1.6291,3.2127,4.8115,6.486}) ) ) ) ) ) )</f>
        <v/>
      </c>
      <c r="P373" s="1" t="str">
        <f>IF(ISBLANK('Aqueous Species Options'!J373), "", 'Aqueous Species Options'!J373)</f>
        <v/>
      </c>
      <c r="Q373" s="184" t="str">
        <f>IF(ISBLANK('Aqueous Species Options'!T373), "", 'Aqueous Species Options'!T373)</f>
        <v/>
      </c>
    </row>
    <row r="374" spans="2:17" ht="16" x14ac:dyDescent="0.2">
      <c r="B374" s="9" t="str">
        <f>IF(ISBLANK('Aqueous Species Options'!B374), "", 'Aqueous Species Options'!B374)</f>
        <v/>
      </c>
      <c r="C374" s="55" t="str">
        <f>IF(ISBLANK('Aqueous Species Options'!C374), "", 'Aqueous Species Options'!C374)</f>
        <v/>
      </c>
      <c r="D374" s="1" t="str">
        <f>IF(ISBLANK('Aqueous Species Options'!D374), "", 'Aqueous Species Options'!D374)</f>
        <v/>
      </c>
      <c r="E374" s="1" t="str">
        <f>IF(ISBLANK('Aqueous Species Options'!E374), "", 'Aqueous Species Options'!E374)</f>
        <v/>
      </c>
      <c r="F374" s="139" t="str">
        <f>IF(ISBLANK('Aqueous Species Options'!F374), "", 'Aqueous Species Options'!F374)</f>
        <v/>
      </c>
      <c r="G374" s="29" t="str">
        <f>IF(ISBLANK('Aqueous Species Options'!B374), "", IF('Aqueous Species Options'!L374 = 1, IF(ISBLANK('Aqueous Species Options'!G374), "", 'Aqueous Species Options'!G374), ('Aqueous Species Table'!I374/10 + ('Aqueous Species Table'!J374*100)/(Calculations!$C$12+Calculations!$C$9) + ('Aqueous Species Table'!K374 + ('Aqueous Species Table'!L374*10000)/(Calculations!$C$12+Calculations!$C$9))*(1/(Calculations!$C$8-Calculations!$C$13)) - 'Aqueous Species Table'!O374*100000*0.0000005903)*41.8393))</f>
        <v/>
      </c>
      <c r="H374" s="29" t="str">
        <f>IF(ISBLANK('Aqueous Species Options'!B374), "", IF('Aqueous Species Options'!L374 = 1, IF(ISBLANK('Aqueous Species Options'!H374), "", 'Aqueous Species Options'!H374), 'Aqueous Species Table'!M374 + 'Aqueous Species Table'!N374*10000*(1/(Calculations!$C$8-Calculations!$C$13))^2 + 'Aqueous Species Table'!O374*100000*Calculations!$C$8*Calculations!$C$7))</f>
        <v/>
      </c>
      <c r="I374" s="42" t="str">
        <f>IF(ISBLANK('Aqueous Species Options'!B374), "", IF('Aqueous Species Options'!L374=0, 'Aqueous Species Options'!N374, IF(OR(ISBLANK('Aqueous Species Options'!G374),'Aqueous Species Table'!O374="", 'Aqueous Species Table'!P374=""), "", IF('Aqueous Species Options'!B374="H+", 0, (CHOOSE('Aqueous Species Options'!M374+1,'Aqueous Species Options'!$V$4*ABS('Aqueous Species Table'!P374)+'Aqueous Species Options'!$W$4,'Aqueous Species Options'!$Z$4)*('Aqueous Species Options'!G374 + 'Aqueous Species Table'!O374*100000*0.0000005903*41.8393) + CHOOSE('Aqueous Species Options'!M374+1,'Aqueous Species Options'!$X$4*ABS('Aqueous Species Table'!P374)+'Aqueous Species Options'!$Y$4,'Aqueous Species Options'!$AA$4))*10 ) ) ) )</f>
        <v/>
      </c>
      <c r="J374" s="42" t="str">
        <f>IF(ISBLANK('Aqueous Species Options'!B374), "", IF('Aqueous Species Options'!L374 = 0, 'Aqueous Species Options'!O374, IF('Aqueous Species Table'!I374="", "", IF('Aqueous Species Options'!B374="H+", 0, ((1.11*('Aqueous Species Options'!G374 + 'Aqueous Species Table'!O374*100000*0.0000005903*41.8393)+1.8)/41.8393 - 'Aqueous Species Table'!I374/10)*26.01 ) ) ) )</f>
        <v/>
      </c>
      <c r="K374" s="42" t="str">
        <f>IF(ISBLANK('Aqueous Species Options'!B374), "", IF('Aqueous Species Options'!L374 = 0, 'Aqueous Species Options'!P374, IF('Aqueous Species Table'!I374="", "", IF('Aqueous Species Options'!B374="H+", 0, ('Aqueous Species Options'!G374/41.8393 + 'Aqueous Species Table'!O374*100000*0.0000005903 - 'Aqueous Species Table'!I374/10 - 'Aqueous Species Table'!J374*100/2601)*(298.15-228) - ('Aqueous Species Table'!L374*10000/2601) ) ) ) )</f>
        <v/>
      </c>
      <c r="L374" s="42" t="str">
        <f>IF(ISBLANK('Aqueous Species Options'!B374), "", IF('Aqueous Species Options'!L374 = 0, 'Aqueous Species Options'!Q374, IF('Aqueous Species Table'!J374="", "", IF('Aqueous Species Options'!B374="H+", 0, (-4.134*'Aqueous Species Table'!J374*100 - 27790)*0.0001) ) ) )</f>
        <v/>
      </c>
      <c r="M374" s="42" t="str">
        <f>IF(ISBLANK('Aqueous Species Options'!B374), "", IF('Aqueous Species Options'!L374=0, 'Aqueous Species Options'!R374, IF('Aqueous Species Table'!N374="", "", IF('Aqueous Species Options'!B374="H+", 0, 'Aqueous Species Options'!H374 - 'Aqueous Species Table'!O374*100000*(-0.000000309)*298.15 - 'Aqueous Species Table'!N374*10000/(298.15-228)^2 ) ) ) )</f>
        <v/>
      </c>
      <c r="N374" s="42" t="str">
        <f>IF(ISBLANK('Aqueous Species Options'!B374), "", IF('Aqueous Species Options'!L374=0, 'Aqueous Species Options'!S374, IF(OR(ISBLANK('Aqueous Species Options'!H374), 'Aqueous Species Table'!O374=""), "", IF('Aqueous Species Options'!B374="H+", 0, 0.2037*'Aqueous Species Options'!H374 - 3.0346) ) ) )</f>
        <v/>
      </c>
      <c r="O374" s="42" t="str">
        <f>IF(ISBLANK('Aqueous Species Options'!B374), "", IF('Aqueous Species Options'!K374=0, 'Aqueous Species Options'!I374, IF(OR('Aqueous Species Options'!J374&gt;4,'Aqueous Species Options'!J374&lt;-4), "", IF('Aqueous Species Options'!B374="H+", 0, IF('Aqueous Species Options'!J374=0, -0.038, IF(ISBLANK('Aqueous Species Options'!F374), "", -1514.4*'Aqueous Species Options'!F374*0.00001 + SUM(({4,3,2,1,-1,-2,-3,-4}='Aqueous Species Options'!J374)*{2.1764,1.5793,1.0579,0.5517,1.6291,3.2127,4.8115,6.486}) ) ) ) ) ) )</f>
        <v/>
      </c>
      <c r="P374" s="1" t="str">
        <f>IF(ISBLANK('Aqueous Species Options'!J374), "", 'Aqueous Species Options'!J374)</f>
        <v/>
      </c>
      <c r="Q374" s="184" t="str">
        <f>IF(ISBLANK('Aqueous Species Options'!T374), "", 'Aqueous Species Options'!T374)</f>
        <v/>
      </c>
    </row>
    <row r="375" spans="2:17" ht="16" x14ac:dyDescent="0.2">
      <c r="B375" s="9" t="str">
        <f>IF(ISBLANK('Aqueous Species Options'!B375), "", 'Aqueous Species Options'!B375)</f>
        <v/>
      </c>
      <c r="C375" s="55" t="str">
        <f>IF(ISBLANK('Aqueous Species Options'!C375), "", 'Aqueous Species Options'!C375)</f>
        <v/>
      </c>
      <c r="D375" s="1" t="str">
        <f>IF(ISBLANK('Aqueous Species Options'!D375), "", 'Aqueous Species Options'!D375)</f>
        <v/>
      </c>
      <c r="E375" s="1" t="str">
        <f>IF(ISBLANK('Aqueous Species Options'!E375), "", 'Aqueous Species Options'!E375)</f>
        <v/>
      </c>
      <c r="F375" s="139" t="str">
        <f>IF(ISBLANK('Aqueous Species Options'!F375), "", 'Aqueous Species Options'!F375)</f>
        <v/>
      </c>
      <c r="G375" s="29" t="str">
        <f>IF(ISBLANK('Aqueous Species Options'!B375), "", IF('Aqueous Species Options'!L375 = 1, IF(ISBLANK('Aqueous Species Options'!G375), "", 'Aqueous Species Options'!G375), ('Aqueous Species Table'!I375/10 + ('Aqueous Species Table'!J375*100)/(Calculations!$C$12+Calculations!$C$9) + ('Aqueous Species Table'!K375 + ('Aqueous Species Table'!L375*10000)/(Calculations!$C$12+Calculations!$C$9))*(1/(Calculations!$C$8-Calculations!$C$13)) - 'Aqueous Species Table'!O375*100000*0.0000005903)*41.8393))</f>
        <v/>
      </c>
      <c r="H375" s="29" t="str">
        <f>IF(ISBLANK('Aqueous Species Options'!B375), "", IF('Aqueous Species Options'!L375 = 1, IF(ISBLANK('Aqueous Species Options'!H375), "", 'Aqueous Species Options'!H375), 'Aqueous Species Table'!M375 + 'Aqueous Species Table'!N375*10000*(1/(Calculations!$C$8-Calculations!$C$13))^2 + 'Aqueous Species Table'!O375*100000*Calculations!$C$8*Calculations!$C$7))</f>
        <v/>
      </c>
      <c r="I375" s="42" t="str">
        <f>IF(ISBLANK('Aqueous Species Options'!B375), "", IF('Aqueous Species Options'!L375=0, 'Aqueous Species Options'!N375, IF(OR(ISBLANK('Aqueous Species Options'!G375),'Aqueous Species Table'!O375="", 'Aqueous Species Table'!P375=""), "", IF('Aqueous Species Options'!B375="H+", 0, (CHOOSE('Aqueous Species Options'!M375+1,'Aqueous Species Options'!$V$4*ABS('Aqueous Species Table'!P375)+'Aqueous Species Options'!$W$4,'Aqueous Species Options'!$Z$4)*('Aqueous Species Options'!G375 + 'Aqueous Species Table'!O375*100000*0.0000005903*41.8393) + CHOOSE('Aqueous Species Options'!M375+1,'Aqueous Species Options'!$X$4*ABS('Aqueous Species Table'!P375)+'Aqueous Species Options'!$Y$4,'Aqueous Species Options'!$AA$4))*10 ) ) ) )</f>
        <v/>
      </c>
      <c r="J375" s="42" t="str">
        <f>IF(ISBLANK('Aqueous Species Options'!B375), "", IF('Aqueous Species Options'!L375 = 0, 'Aqueous Species Options'!O375, IF('Aqueous Species Table'!I375="", "", IF('Aqueous Species Options'!B375="H+", 0, ((1.11*('Aqueous Species Options'!G375 + 'Aqueous Species Table'!O375*100000*0.0000005903*41.8393)+1.8)/41.8393 - 'Aqueous Species Table'!I375/10)*26.01 ) ) ) )</f>
        <v/>
      </c>
      <c r="K375" s="42" t="str">
        <f>IF(ISBLANK('Aqueous Species Options'!B375), "", IF('Aqueous Species Options'!L375 = 0, 'Aqueous Species Options'!P375, IF('Aqueous Species Table'!I375="", "", IF('Aqueous Species Options'!B375="H+", 0, ('Aqueous Species Options'!G375/41.8393 + 'Aqueous Species Table'!O375*100000*0.0000005903 - 'Aqueous Species Table'!I375/10 - 'Aqueous Species Table'!J375*100/2601)*(298.15-228) - ('Aqueous Species Table'!L375*10000/2601) ) ) ) )</f>
        <v/>
      </c>
      <c r="L375" s="42" t="str">
        <f>IF(ISBLANK('Aqueous Species Options'!B375), "", IF('Aqueous Species Options'!L375 = 0, 'Aqueous Species Options'!Q375, IF('Aqueous Species Table'!J375="", "", IF('Aqueous Species Options'!B375="H+", 0, (-4.134*'Aqueous Species Table'!J375*100 - 27790)*0.0001) ) ) )</f>
        <v/>
      </c>
      <c r="M375" s="42" t="str">
        <f>IF(ISBLANK('Aqueous Species Options'!B375), "", IF('Aqueous Species Options'!L375=0, 'Aqueous Species Options'!R375, IF('Aqueous Species Table'!N375="", "", IF('Aqueous Species Options'!B375="H+", 0, 'Aqueous Species Options'!H375 - 'Aqueous Species Table'!O375*100000*(-0.000000309)*298.15 - 'Aqueous Species Table'!N375*10000/(298.15-228)^2 ) ) ) )</f>
        <v/>
      </c>
      <c r="N375" s="42" t="str">
        <f>IF(ISBLANK('Aqueous Species Options'!B375), "", IF('Aqueous Species Options'!L375=0, 'Aqueous Species Options'!S375, IF(OR(ISBLANK('Aqueous Species Options'!H375), 'Aqueous Species Table'!O375=""), "", IF('Aqueous Species Options'!B375="H+", 0, 0.2037*'Aqueous Species Options'!H375 - 3.0346) ) ) )</f>
        <v/>
      </c>
      <c r="O375" s="42" t="str">
        <f>IF(ISBLANK('Aqueous Species Options'!B375), "", IF('Aqueous Species Options'!K375=0, 'Aqueous Species Options'!I375, IF(OR('Aqueous Species Options'!J375&gt;4,'Aqueous Species Options'!J375&lt;-4), "", IF('Aqueous Species Options'!B375="H+", 0, IF('Aqueous Species Options'!J375=0, -0.038, IF(ISBLANK('Aqueous Species Options'!F375), "", -1514.4*'Aqueous Species Options'!F375*0.00001 + SUM(({4,3,2,1,-1,-2,-3,-4}='Aqueous Species Options'!J375)*{2.1764,1.5793,1.0579,0.5517,1.6291,3.2127,4.8115,6.486}) ) ) ) ) ) )</f>
        <v/>
      </c>
      <c r="P375" s="1" t="str">
        <f>IF(ISBLANK('Aqueous Species Options'!J375), "", 'Aqueous Species Options'!J375)</f>
        <v/>
      </c>
      <c r="Q375" s="184" t="str">
        <f>IF(ISBLANK('Aqueous Species Options'!T375), "", 'Aqueous Species Options'!T375)</f>
        <v/>
      </c>
    </row>
    <row r="376" spans="2:17" ht="16" x14ac:dyDescent="0.2">
      <c r="B376" s="9" t="str">
        <f>IF(ISBLANK('Aqueous Species Options'!B376), "", 'Aqueous Species Options'!B376)</f>
        <v/>
      </c>
      <c r="C376" s="55" t="str">
        <f>IF(ISBLANK('Aqueous Species Options'!C376), "", 'Aqueous Species Options'!C376)</f>
        <v/>
      </c>
      <c r="D376" s="1" t="str">
        <f>IF(ISBLANK('Aqueous Species Options'!D376), "", 'Aqueous Species Options'!D376)</f>
        <v/>
      </c>
      <c r="E376" s="1" t="str">
        <f>IF(ISBLANK('Aqueous Species Options'!E376), "", 'Aqueous Species Options'!E376)</f>
        <v/>
      </c>
      <c r="F376" s="139" t="str">
        <f>IF(ISBLANK('Aqueous Species Options'!F376), "", 'Aqueous Species Options'!F376)</f>
        <v/>
      </c>
      <c r="G376" s="29" t="str">
        <f>IF(ISBLANK('Aqueous Species Options'!B376), "", IF('Aqueous Species Options'!L376 = 1, IF(ISBLANK('Aqueous Species Options'!G376), "", 'Aqueous Species Options'!G376), ('Aqueous Species Table'!I376/10 + ('Aqueous Species Table'!J376*100)/(Calculations!$C$12+Calculations!$C$9) + ('Aqueous Species Table'!K376 + ('Aqueous Species Table'!L376*10000)/(Calculations!$C$12+Calculations!$C$9))*(1/(Calculations!$C$8-Calculations!$C$13)) - 'Aqueous Species Table'!O376*100000*0.0000005903)*41.8393))</f>
        <v/>
      </c>
      <c r="H376" s="29" t="str">
        <f>IF(ISBLANK('Aqueous Species Options'!B376), "", IF('Aqueous Species Options'!L376 = 1, IF(ISBLANK('Aqueous Species Options'!H376), "", 'Aqueous Species Options'!H376), 'Aqueous Species Table'!M376 + 'Aqueous Species Table'!N376*10000*(1/(Calculations!$C$8-Calculations!$C$13))^2 + 'Aqueous Species Table'!O376*100000*Calculations!$C$8*Calculations!$C$7))</f>
        <v/>
      </c>
      <c r="I376" s="42" t="str">
        <f>IF(ISBLANK('Aqueous Species Options'!B376), "", IF('Aqueous Species Options'!L376=0, 'Aqueous Species Options'!N376, IF(OR(ISBLANK('Aqueous Species Options'!G376),'Aqueous Species Table'!O376="", 'Aqueous Species Table'!P376=""), "", IF('Aqueous Species Options'!B376="H+", 0, (CHOOSE('Aqueous Species Options'!M376+1,'Aqueous Species Options'!$V$4*ABS('Aqueous Species Table'!P376)+'Aqueous Species Options'!$W$4,'Aqueous Species Options'!$Z$4)*('Aqueous Species Options'!G376 + 'Aqueous Species Table'!O376*100000*0.0000005903*41.8393) + CHOOSE('Aqueous Species Options'!M376+1,'Aqueous Species Options'!$X$4*ABS('Aqueous Species Table'!P376)+'Aqueous Species Options'!$Y$4,'Aqueous Species Options'!$AA$4))*10 ) ) ) )</f>
        <v/>
      </c>
      <c r="J376" s="42" t="str">
        <f>IF(ISBLANK('Aqueous Species Options'!B376), "", IF('Aqueous Species Options'!L376 = 0, 'Aqueous Species Options'!O376, IF('Aqueous Species Table'!I376="", "", IF('Aqueous Species Options'!B376="H+", 0, ((1.11*('Aqueous Species Options'!G376 + 'Aqueous Species Table'!O376*100000*0.0000005903*41.8393)+1.8)/41.8393 - 'Aqueous Species Table'!I376/10)*26.01 ) ) ) )</f>
        <v/>
      </c>
      <c r="K376" s="42" t="str">
        <f>IF(ISBLANK('Aqueous Species Options'!B376), "", IF('Aqueous Species Options'!L376 = 0, 'Aqueous Species Options'!P376, IF('Aqueous Species Table'!I376="", "", IF('Aqueous Species Options'!B376="H+", 0, ('Aqueous Species Options'!G376/41.8393 + 'Aqueous Species Table'!O376*100000*0.0000005903 - 'Aqueous Species Table'!I376/10 - 'Aqueous Species Table'!J376*100/2601)*(298.15-228) - ('Aqueous Species Table'!L376*10000/2601) ) ) ) )</f>
        <v/>
      </c>
      <c r="L376" s="42" t="str">
        <f>IF(ISBLANK('Aqueous Species Options'!B376), "", IF('Aqueous Species Options'!L376 = 0, 'Aqueous Species Options'!Q376, IF('Aqueous Species Table'!J376="", "", IF('Aqueous Species Options'!B376="H+", 0, (-4.134*'Aqueous Species Table'!J376*100 - 27790)*0.0001) ) ) )</f>
        <v/>
      </c>
      <c r="M376" s="42" t="str">
        <f>IF(ISBLANK('Aqueous Species Options'!B376), "", IF('Aqueous Species Options'!L376=0, 'Aqueous Species Options'!R376, IF('Aqueous Species Table'!N376="", "", IF('Aqueous Species Options'!B376="H+", 0, 'Aqueous Species Options'!H376 - 'Aqueous Species Table'!O376*100000*(-0.000000309)*298.15 - 'Aqueous Species Table'!N376*10000/(298.15-228)^2 ) ) ) )</f>
        <v/>
      </c>
      <c r="N376" s="42" t="str">
        <f>IF(ISBLANK('Aqueous Species Options'!B376), "", IF('Aqueous Species Options'!L376=0, 'Aqueous Species Options'!S376, IF(OR(ISBLANK('Aqueous Species Options'!H376), 'Aqueous Species Table'!O376=""), "", IF('Aqueous Species Options'!B376="H+", 0, 0.2037*'Aqueous Species Options'!H376 - 3.0346) ) ) )</f>
        <v/>
      </c>
      <c r="O376" s="42" t="str">
        <f>IF(ISBLANK('Aqueous Species Options'!B376), "", IF('Aqueous Species Options'!K376=0, 'Aqueous Species Options'!I376, IF(OR('Aqueous Species Options'!J376&gt;4,'Aqueous Species Options'!J376&lt;-4), "", IF('Aqueous Species Options'!B376="H+", 0, IF('Aqueous Species Options'!J376=0, -0.038, IF(ISBLANK('Aqueous Species Options'!F376), "", -1514.4*'Aqueous Species Options'!F376*0.00001 + SUM(({4,3,2,1,-1,-2,-3,-4}='Aqueous Species Options'!J376)*{2.1764,1.5793,1.0579,0.5517,1.6291,3.2127,4.8115,6.486}) ) ) ) ) ) )</f>
        <v/>
      </c>
      <c r="P376" s="1" t="str">
        <f>IF(ISBLANK('Aqueous Species Options'!J376), "", 'Aqueous Species Options'!J376)</f>
        <v/>
      </c>
      <c r="Q376" s="184" t="str">
        <f>IF(ISBLANK('Aqueous Species Options'!T376), "", 'Aqueous Species Options'!T376)</f>
        <v/>
      </c>
    </row>
    <row r="377" spans="2:17" ht="16" x14ac:dyDescent="0.2">
      <c r="B377" s="9" t="str">
        <f>IF(ISBLANK('Aqueous Species Options'!B377), "", 'Aqueous Species Options'!B377)</f>
        <v/>
      </c>
      <c r="C377" s="55" t="str">
        <f>IF(ISBLANK('Aqueous Species Options'!C377), "", 'Aqueous Species Options'!C377)</f>
        <v/>
      </c>
      <c r="D377" s="1" t="str">
        <f>IF(ISBLANK('Aqueous Species Options'!D377), "", 'Aqueous Species Options'!D377)</f>
        <v/>
      </c>
      <c r="E377" s="1" t="str">
        <f>IF(ISBLANK('Aqueous Species Options'!E377), "", 'Aqueous Species Options'!E377)</f>
        <v/>
      </c>
      <c r="F377" s="139" t="str">
        <f>IF(ISBLANK('Aqueous Species Options'!F377), "", 'Aqueous Species Options'!F377)</f>
        <v/>
      </c>
      <c r="G377" s="29" t="str">
        <f>IF(ISBLANK('Aqueous Species Options'!B377), "", IF('Aqueous Species Options'!L377 = 1, IF(ISBLANK('Aqueous Species Options'!G377), "", 'Aqueous Species Options'!G377), ('Aqueous Species Table'!I377/10 + ('Aqueous Species Table'!J377*100)/(Calculations!$C$12+Calculations!$C$9) + ('Aqueous Species Table'!K377 + ('Aqueous Species Table'!L377*10000)/(Calculations!$C$12+Calculations!$C$9))*(1/(Calculations!$C$8-Calculations!$C$13)) - 'Aqueous Species Table'!O377*100000*0.0000005903)*41.8393))</f>
        <v/>
      </c>
      <c r="H377" s="29" t="str">
        <f>IF(ISBLANK('Aqueous Species Options'!B377), "", IF('Aqueous Species Options'!L377 = 1, IF(ISBLANK('Aqueous Species Options'!H377), "", 'Aqueous Species Options'!H377), 'Aqueous Species Table'!M377 + 'Aqueous Species Table'!N377*10000*(1/(Calculations!$C$8-Calculations!$C$13))^2 + 'Aqueous Species Table'!O377*100000*Calculations!$C$8*Calculations!$C$7))</f>
        <v/>
      </c>
      <c r="I377" s="42" t="str">
        <f>IF(ISBLANK('Aqueous Species Options'!B377), "", IF('Aqueous Species Options'!L377=0, 'Aqueous Species Options'!N377, IF(OR(ISBLANK('Aqueous Species Options'!G377),'Aqueous Species Table'!O377="", 'Aqueous Species Table'!P377=""), "", IF('Aqueous Species Options'!B377="H+", 0, (CHOOSE('Aqueous Species Options'!M377+1,'Aqueous Species Options'!$V$4*ABS('Aqueous Species Table'!P377)+'Aqueous Species Options'!$W$4,'Aqueous Species Options'!$Z$4)*('Aqueous Species Options'!G377 + 'Aqueous Species Table'!O377*100000*0.0000005903*41.8393) + CHOOSE('Aqueous Species Options'!M377+1,'Aqueous Species Options'!$X$4*ABS('Aqueous Species Table'!P377)+'Aqueous Species Options'!$Y$4,'Aqueous Species Options'!$AA$4))*10 ) ) ) )</f>
        <v/>
      </c>
      <c r="J377" s="42" t="str">
        <f>IF(ISBLANK('Aqueous Species Options'!B377), "", IF('Aqueous Species Options'!L377 = 0, 'Aqueous Species Options'!O377, IF('Aqueous Species Table'!I377="", "", IF('Aqueous Species Options'!B377="H+", 0, ((1.11*('Aqueous Species Options'!G377 + 'Aqueous Species Table'!O377*100000*0.0000005903*41.8393)+1.8)/41.8393 - 'Aqueous Species Table'!I377/10)*26.01 ) ) ) )</f>
        <v/>
      </c>
      <c r="K377" s="42" t="str">
        <f>IF(ISBLANK('Aqueous Species Options'!B377), "", IF('Aqueous Species Options'!L377 = 0, 'Aqueous Species Options'!P377, IF('Aqueous Species Table'!I377="", "", IF('Aqueous Species Options'!B377="H+", 0, ('Aqueous Species Options'!G377/41.8393 + 'Aqueous Species Table'!O377*100000*0.0000005903 - 'Aqueous Species Table'!I377/10 - 'Aqueous Species Table'!J377*100/2601)*(298.15-228) - ('Aqueous Species Table'!L377*10000/2601) ) ) ) )</f>
        <v/>
      </c>
      <c r="L377" s="42" t="str">
        <f>IF(ISBLANK('Aqueous Species Options'!B377), "", IF('Aqueous Species Options'!L377 = 0, 'Aqueous Species Options'!Q377, IF('Aqueous Species Table'!J377="", "", IF('Aqueous Species Options'!B377="H+", 0, (-4.134*'Aqueous Species Table'!J377*100 - 27790)*0.0001) ) ) )</f>
        <v/>
      </c>
      <c r="M377" s="42" t="str">
        <f>IF(ISBLANK('Aqueous Species Options'!B377), "", IF('Aqueous Species Options'!L377=0, 'Aqueous Species Options'!R377, IF('Aqueous Species Table'!N377="", "", IF('Aqueous Species Options'!B377="H+", 0, 'Aqueous Species Options'!H377 - 'Aqueous Species Table'!O377*100000*(-0.000000309)*298.15 - 'Aqueous Species Table'!N377*10000/(298.15-228)^2 ) ) ) )</f>
        <v/>
      </c>
      <c r="N377" s="42" t="str">
        <f>IF(ISBLANK('Aqueous Species Options'!B377), "", IF('Aqueous Species Options'!L377=0, 'Aqueous Species Options'!S377, IF(OR(ISBLANK('Aqueous Species Options'!H377), 'Aqueous Species Table'!O377=""), "", IF('Aqueous Species Options'!B377="H+", 0, 0.2037*'Aqueous Species Options'!H377 - 3.0346) ) ) )</f>
        <v/>
      </c>
      <c r="O377" s="42" t="str">
        <f>IF(ISBLANK('Aqueous Species Options'!B377), "", IF('Aqueous Species Options'!K377=0, 'Aqueous Species Options'!I377, IF(OR('Aqueous Species Options'!J377&gt;4,'Aqueous Species Options'!J377&lt;-4), "", IF('Aqueous Species Options'!B377="H+", 0, IF('Aqueous Species Options'!J377=0, -0.038, IF(ISBLANK('Aqueous Species Options'!F377), "", -1514.4*'Aqueous Species Options'!F377*0.00001 + SUM(({4,3,2,1,-1,-2,-3,-4}='Aqueous Species Options'!J377)*{2.1764,1.5793,1.0579,0.5517,1.6291,3.2127,4.8115,6.486}) ) ) ) ) ) )</f>
        <v/>
      </c>
      <c r="P377" s="1" t="str">
        <f>IF(ISBLANK('Aqueous Species Options'!J377), "", 'Aqueous Species Options'!J377)</f>
        <v/>
      </c>
      <c r="Q377" s="184" t="str">
        <f>IF(ISBLANK('Aqueous Species Options'!T377), "", 'Aqueous Species Options'!T377)</f>
        <v/>
      </c>
    </row>
    <row r="378" spans="2:17" ht="16" x14ac:dyDescent="0.2">
      <c r="B378" s="9" t="str">
        <f>IF(ISBLANK('Aqueous Species Options'!B378), "", 'Aqueous Species Options'!B378)</f>
        <v/>
      </c>
      <c r="C378" s="55" t="str">
        <f>IF(ISBLANK('Aqueous Species Options'!C378), "", 'Aqueous Species Options'!C378)</f>
        <v/>
      </c>
      <c r="D378" s="1" t="str">
        <f>IF(ISBLANK('Aqueous Species Options'!D378), "", 'Aqueous Species Options'!D378)</f>
        <v/>
      </c>
      <c r="E378" s="1" t="str">
        <f>IF(ISBLANK('Aqueous Species Options'!E378), "", 'Aqueous Species Options'!E378)</f>
        <v/>
      </c>
      <c r="F378" s="139" t="str">
        <f>IF(ISBLANK('Aqueous Species Options'!F378), "", 'Aqueous Species Options'!F378)</f>
        <v/>
      </c>
      <c r="G378" s="29" t="str">
        <f>IF(ISBLANK('Aqueous Species Options'!B378), "", IF('Aqueous Species Options'!L378 = 1, IF(ISBLANK('Aqueous Species Options'!G378), "", 'Aqueous Species Options'!G378), ('Aqueous Species Table'!I378/10 + ('Aqueous Species Table'!J378*100)/(Calculations!$C$12+Calculations!$C$9) + ('Aqueous Species Table'!K378 + ('Aqueous Species Table'!L378*10000)/(Calculations!$C$12+Calculations!$C$9))*(1/(Calculations!$C$8-Calculations!$C$13)) - 'Aqueous Species Table'!O378*100000*0.0000005903)*41.8393))</f>
        <v/>
      </c>
      <c r="H378" s="29" t="str">
        <f>IF(ISBLANK('Aqueous Species Options'!B378), "", IF('Aqueous Species Options'!L378 = 1, IF(ISBLANK('Aqueous Species Options'!H378), "", 'Aqueous Species Options'!H378), 'Aqueous Species Table'!M378 + 'Aqueous Species Table'!N378*10000*(1/(Calculations!$C$8-Calculations!$C$13))^2 + 'Aqueous Species Table'!O378*100000*Calculations!$C$8*Calculations!$C$7))</f>
        <v/>
      </c>
      <c r="I378" s="42" t="str">
        <f>IF(ISBLANK('Aqueous Species Options'!B378), "", IF('Aqueous Species Options'!L378=0, 'Aqueous Species Options'!N378, IF(OR(ISBLANK('Aqueous Species Options'!G378),'Aqueous Species Table'!O378="", 'Aqueous Species Table'!P378=""), "", IF('Aqueous Species Options'!B378="H+", 0, (CHOOSE('Aqueous Species Options'!M378+1,'Aqueous Species Options'!$V$4*ABS('Aqueous Species Table'!P378)+'Aqueous Species Options'!$W$4,'Aqueous Species Options'!$Z$4)*('Aqueous Species Options'!G378 + 'Aqueous Species Table'!O378*100000*0.0000005903*41.8393) + CHOOSE('Aqueous Species Options'!M378+1,'Aqueous Species Options'!$X$4*ABS('Aqueous Species Table'!P378)+'Aqueous Species Options'!$Y$4,'Aqueous Species Options'!$AA$4))*10 ) ) ) )</f>
        <v/>
      </c>
      <c r="J378" s="42" t="str">
        <f>IF(ISBLANK('Aqueous Species Options'!B378), "", IF('Aqueous Species Options'!L378 = 0, 'Aqueous Species Options'!O378, IF('Aqueous Species Table'!I378="", "", IF('Aqueous Species Options'!B378="H+", 0, ((1.11*('Aqueous Species Options'!G378 + 'Aqueous Species Table'!O378*100000*0.0000005903*41.8393)+1.8)/41.8393 - 'Aqueous Species Table'!I378/10)*26.01 ) ) ) )</f>
        <v/>
      </c>
      <c r="K378" s="42" t="str">
        <f>IF(ISBLANK('Aqueous Species Options'!B378), "", IF('Aqueous Species Options'!L378 = 0, 'Aqueous Species Options'!P378, IF('Aqueous Species Table'!I378="", "", IF('Aqueous Species Options'!B378="H+", 0, ('Aqueous Species Options'!G378/41.8393 + 'Aqueous Species Table'!O378*100000*0.0000005903 - 'Aqueous Species Table'!I378/10 - 'Aqueous Species Table'!J378*100/2601)*(298.15-228) - ('Aqueous Species Table'!L378*10000/2601) ) ) ) )</f>
        <v/>
      </c>
      <c r="L378" s="42" t="str">
        <f>IF(ISBLANK('Aqueous Species Options'!B378), "", IF('Aqueous Species Options'!L378 = 0, 'Aqueous Species Options'!Q378, IF('Aqueous Species Table'!J378="", "", IF('Aqueous Species Options'!B378="H+", 0, (-4.134*'Aqueous Species Table'!J378*100 - 27790)*0.0001) ) ) )</f>
        <v/>
      </c>
      <c r="M378" s="42" t="str">
        <f>IF(ISBLANK('Aqueous Species Options'!B378), "", IF('Aqueous Species Options'!L378=0, 'Aqueous Species Options'!R378, IF('Aqueous Species Table'!N378="", "", IF('Aqueous Species Options'!B378="H+", 0, 'Aqueous Species Options'!H378 - 'Aqueous Species Table'!O378*100000*(-0.000000309)*298.15 - 'Aqueous Species Table'!N378*10000/(298.15-228)^2 ) ) ) )</f>
        <v/>
      </c>
      <c r="N378" s="42" t="str">
        <f>IF(ISBLANK('Aqueous Species Options'!B378), "", IF('Aqueous Species Options'!L378=0, 'Aqueous Species Options'!S378, IF(OR(ISBLANK('Aqueous Species Options'!H378), 'Aqueous Species Table'!O378=""), "", IF('Aqueous Species Options'!B378="H+", 0, 0.2037*'Aqueous Species Options'!H378 - 3.0346) ) ) )</f>
        <v/>
      </c>
      <c r="O378" s="42" t="str">
        <f>IF(ISBLANK('Aqueous Species Options'!B378), "", IF('Aqueous Species Options'!K378=0, 'Aqueous Species Options'!I378, IF(OR('Aqueous Species Options'!J378&gt;4,'Aqueous Species Options'!J378&lt;-4), "", IF('Aqueous Species Options'!B378="H+", 0, IF('Aqueous Species Options'!J378=0, -0.038, IF(ISBLANK('Aqueous Species Options'!F378), "", -1514.4*'Aqueous Species Options'!F378*0.00001 + SUM(({4,3,2,1,-1,-2,-3,-4}='Aqueous Species Options'!J378)*{2.1764,1.5793,1.0579,0.5517,1.6291,3.2127,4.8115,6.486}) ) ) ) ) ) )</f>
        <v/>
      </c>
      <c r="P378" s="1" t="str">
        <f>IF(ISBLANK('Aqueous Species Options'!J378), "", 'Aqueous Species Options'!J378)</f>
        <v/>
      </c>
      <c r="Q378" s="184" t="str">
        <f>IF(ISBLANK('Aqueous Species Options'!T378), "", 'Aqueous Species Options'!T378)</f>
        <v/>
      </c>
    </row>
    <row r="379" spans="2:17" ht="16" x14ac:dyDescent="0.2">
      <c r="B379" s="9" t="str">
        <f>IF(ISBLANK('Aqueous Species Options'!B379), "", 'Aqueous Species Options'!B379)</f>
        <v/>
      </c>
      <c r="C379" s="55" t="str">
        <f>IF(ISBLANK('Aqueous Species Options'!C379), "", 'Aqueous Species Options'!C379)</f>
        <v/>
      </c>
      <c r="D379" s="1" t="str">
        <f>IF(ISBLANK('Aqueous Species Options'!D379), "", 'Aqueous Species Options'!D379)</f>
        <v/>
      </c>
      <c r="E379" s="1" t="str">
        <f>IF(ISBLANK('Aqueous Species Options'!E379), "", 'Aqueous Species Options'!E379)</f>
        <v/>
      </c>
      <c r="F379" s="139" t="str">
        <f>IF(ISBLANK('Aqueous Species Options'!F379), "", 'Aqueous Species Options'!F379)</f>
        <v/>
      </c>
      <c r="G379" s="29" t="str">
        <f>IF(ISBLANK('Aqueous Species Options'!B379), "", IF('Aqueous Species Options'!L379 = 1, IF(ISBLANK('Aqueous Species Options'!G379), "", 'Aqueous Species Options'!G379), ('Aqueous Species Table'!I379/10 + ('Aqueous Species Table'!J379*100)/(Calculations!$C$12+Calculations!$C$9) + ('Aqueous Species Table'!K379 + ('Aqueous Species Table'!L379*10000)/(Calculations!$C$12+Calculations!$C$9))*(1/(Calculations!$C$8-Calculations!$C$13)) - 'Aqueous Species Table'!O379*100000*0.0000005903)*41.8393))</f>
        <v/>
      </c>
      <c r="H379" s="29" t="str">
        <f>IF(ISBLANK('Aqueous Species Options'!B379), "", IF('Aqueous Species Options'!L379 = 1, IF(ISBLANK('Aqueous Species Options'!H379), "", 'Aqueous Species Options'!H379), 'Aqueous Species Table'!M379 + 'Aqueous Species Table'!N379*10000*(1/(Calculations!$C$8-Calculations!$C$13))^2 + 'Aqueous Species Table'!O379*100000*Calculations!$C$8*Calculations!$C$7))</f>
        <v/>
      </c>
      <c r="I379" s="42" t="str">
        <f>IF(ISBLANK('Aqueous Species Options'!B379), "", IF('Aqueous Species Options'!L379=0, 'Aqueous Species Options'!N379, IF(OR(ISBLANK('Aqueous Species Options'!G379),'Aqueous Species Table'!O379="", 'Aqueous Species Table'!P379=""), "", IF('Aqueous Species Options'!B379="H+", 0, (CHOOSE('Aqueous Species Options'!M379+1,'Aqueous Species Options'!$V$4*ABS('Aqueous Species Table'!P379)+'Aqueous Species Options'!$W$4,'Aqueous Species Options'!$Z$4)*('Aqueous Species Options'!G379 + 'Aqueous Species Table'!O379*100000*0.0000005903*41.8393) + CHOOSE('Aqueous Species Options'!M379+1,'Aqueous Species Options'!$X$4*ABS('Aqueous Species Table'!P379)+'Aqueous Species Options'!$Y$4,'Aqueous Species Options'!$AA$4))*10 ) ) ) )</f>
        <v/>
      </c>
      <c r="J379" s="42" t="str">
        <f>IF(ISBLANK('Aqueous Species Options'!B379), "", IF('Aqueous Species Options'!L379 = 0, 'Aqueous Species Options'!O379, IF('Aqueous Species Table'!I379="", "", IF('Aqueous Species Options'!B379="H+", 0, ((1.11*('Aqueous Species Options'!G379 + 'Aqueous Species Table'!O379*100000*0.0000005903*41.8393)+1.8)/41.8393 - 'Aqueous Species Table'!I379/10)*26.01 ) ) ) )</f>
        <v/>
      </c>
      <c r="K379" s="42" t="str">
        <f>IF(ISBLANK('Aqueous Species Options'!B379), "", IF('Aqueous Species Options'!L379 = 0, 'Aqueous Species Options'!P379, IF('Aqueous Species Table'!I379="", "", IF('Aqueous Species Options'!B379="H+", 0, ('Aqueous Species Options'!G379/41.8393 + 'Aqueous Species Table'!O379*100000*0.0000005903 - 'Aqueous Species Table'!I379/10 - 'Aqueous Species Table'!J379*100/2601)*(298.15-228) - ('Aqueous Species Table'!L379*10000/2601) ) ) ) )</f>
        <v/>
      </c>
      <c r="L379" s="42" t="str">
        <f>IF(ISBLANK('Aqueous Species Options'!B379), "", IF('Aqueous Species Options'!L379 = 0, 'Aqueous Species Options'!Q379, IF('Aqueous Species Table'!J379="", "", IF('Aqueous Species Options'!B379="H+", 0, (-4.134*'Aqueous Species Table'!J379*100 - 27790)*0.0001) ) ) )</f>
        <v/>
      </c>
      <c r="M379" s="42" t="str">
        <f>IF(ISBLANK('Aqueous Species Options'!B379), "", IF('Aqueous Species Options'!L379=0, 'Aqueous Species Options'!R379, IF('Aqueous Species Table'!N379="", "", IF('Aqueous Species Options'!B379="H+", 0, 'Aqueous Species Options'!H379 - 'Aqueous Species Table'!O379*100000*(-0.000000309)*298.15 - 'Aqueous Species Table'!N379*10000/(298.15-228)^2 ) ) ) )</f>
        <v/>
      </c>
      <c r="N379" s="42" t="str">
        <f>IF(ISBLANK('Aqueous Species Options'!B379), "", IF('Aqueous Species Options'!L379=0, 'Aqueous Species Options'!S379, IF(OR(ISBLANK('Aqueous Species Options'!H379), 'Aqueous Species Table'!O379=""), "", IF('Aqueous Species Options'!B379="H+", 0, 0.2037*'Aqueous Species Options'!H379 - 3.0346) ) ) )</f>
        <v/>
      </c>
      <c r="O379" s="42" t="str">
        <f>IF(ISBLANK('Aqueous Species Options'!B379), "", IF('Aqueous Species Options'!K379=0, 'Aqueous Species Options'!I379, IF(OR('Aqueous Species Options'!J379&gt;4,'Aqueous Species Options'!J379&lt;-4), "", IF('Aqueous Species Options'!B379="H+", 0, IF('Aqueous Species Options'!J379=0, -0.038, IF(ISBLANK('Aqueous Species Options'!F379), "", -1514.4*'Aqueous Species Options'!F379*0.00001 + SUM(({4,3,2,1,-1,-2,-3,-4}='Aqueous Species Options'!J379)*{2.1764,1.5793,1.0579,0.5517,1.6291,3.2127,4.8115,6.486}) ) ) ) ) ) )</f>
        <v/>
      </c>
      <c r="P379" s="1" t="str">
        <f>IF(ISBLANK('Aqueous Species Options'!J379), "", 'Aqueous Species Options'!J379)</f>
        <v/>
      </c>
      <c r="Q379" s="184" t="str">
        <f>IF(ISBLANK('Aqueous Species Options'!T379), "", 'Aqueous Species Options'!T379)</f>
        <v/>
      </c>
    </row>
    <row r="380" spans="2:17" ht="16" x14ac:dyDescent="0.2">
      <c r="B380" s="9" t="str">
        <f>IF(ISBLANK('Aqueous Species Options'!B380), "", 'Aqueous Species Options'!B380)</f>
        <v/>
      </c>
      <c r="C380" s="55" t="str">
        <f>IF(ISBLANK('Aqueous Species Options'!C380), "", 'Aqueous Species Options'!C380)</f>
        <v/>
      </c>
      <c r="D380" s="1" t="str">
        <f>IF(ISBLANK('Aqueous Species Options'!D380), "", 'Aqueous Species Options'!D380)</f>
        <v/>
      </c>
      <c r="E380" s="1" t="str">
        <f>IF(ISBLANK('Aqueous Species Options'!E380), "", 'Aqueous Species Options'!E380)</f>
        <v/>
      </c>
      <c r="F380" s="139" t="str">
        <f>IF(ISBLANK('Aqueous Species Options'!F380), "", 'Aqueous Species Options'!F380)</f>
        <v/>
      </c>
      <c r="G380" s="29" t="str">
        <f>IF(ISBLANK('Aqueous Species Options'!B380), "", IF('Aqueous Species Options'!L380 = 1, IF(ISBLANK('Aqueous Species Options'!G380), "", 'Aqueous Species Options'!G380), ('Aqueous Species Table'!I380/10 + ('Aqueous Species Table'!J380*100)/(Calculations!$C$12+Calculations!$C$9) + ('Aqueous Species Table'!K380 + ('Aqueous Species Table'!L380*10000)/(Calculations!$C$12+Calculations!$C$9))*(1/(Calculations!$C$8-Calculations!$C$13)) - 'Aqueous Species Table'!O380*100000*0.0000005903)*41.8393))</f>
        <v/>
      </c>
      <c r="H380" s="29" t="str">
        <f>IF(ISBLANK('Aqueous Species Options'!B380), "", IF('Aqueous Species Options'!L380 = 1, IF(ISBLANK('Aqueous Species Options'!H380), "", 'Aqueous Species Options'!H380), 'Aqueous Species Table'!M380 + 'Aqueous Species Table'!N380*10000*(1/(Calculations!$C$8-Calculations!$C$13))^2 + 'Aqueous Species Table'!O380*100000*Calculations!$C$8*Calculations!$C$7))</f>
        <v/>
      </c>
      <c r="I380" s="42" t="str">
        <f>IF(ISBLANK('Aqueous Species Options'!B380), "", IF('Aqueous Species Options'!L380=0, 'Aqueous Species Options'!N380, IF(OR(ISBLANK('Aqueous Species Options'!G380),'Aqueous Species Table'!O380="", 'Aqueous Species Table'!P380=""), "", IF('Aqueous Species Options'!B380="H+", 0, (CHOOSE('Aqueous Species Options'!M380+1,'Aqueous Species Options'!$V$4*ABS('Aqueous Species Table'!P380)+'Aqueous Species Options'!$W$4,'Aqueous Species Options'!$Z$4)*('Aqueous Species Options'!G380 + 'Aqueous Species Table'!O380*100000*0.0000005903*41.8393) + CHOOSE('Aqueous Species Options'!M380+1,'Aqueous Species Options'!$X$4*ABS('Aqueous Species Table'!P380)+'Aqueous Species Options'!$Y$4,'Aqueous Species Options'!$AA$4))*10 ) ) ) )</f>
        <v/>
      </c>
      <c r="J380" s="42" t="str">
        <f>IF(ISBLANK('Aqueous Species Options'!B380), "", IF('Aqueous Species Options'!L380 = 0, 'Aqueous Species Options'!O380, IF('Aqueous Species Table'!I380="", "", IF('Aqueous Species Options'!B380="H+", 0, ((1.11*('Aqueous Species Options'!G380 + 'Aqueous Species Table'!O380*100000*0.0000005903*41.8393)+1.8)/41.8393 - 'Aqueous Species Table'!I380/10)*26.01 ) ) ) )</f>
        <v/>
      </c>
      <c r="K380" s="42" t="str">
        <f>IF(ISBLANK('Aqueous Species Options'!B380), "", IF('Aqueous Species Options'!L380 = 0, 'Aqueous Species Options'!P380, IF('Aqueous Species Table'!I380="", "", IF('Aqueous Species Options'!B380="H+", 0, ('Aqueous Species Options'!G380/41.8393 + 'Aqueous Species Table'!O380*100000*0.0000005903 - 'Aqueous Species Table'!I380/10 - 'Aqueous Species Table'!J380*100/2601)*(298.15-228) - ('Aqueous Species Table'!L380*10000/2601) ) ) ) )</f>
        <v/>
      </c>
      <c r="L380" s="42" t="str">
        <f>IF(ISBLANK('Aqueous Species Options'!B380), "", IF('Aqueous Species Options'!L380 = 0, 'Aqueous Species Options'!Q380, IF('Aqueous Species Table'!J380="", "", IF('Aqueous Species Options'!B380="H+", 0, (-4.134*'Aqueous Species Table'!J380*100 - 27790)*0.0001) ) ) )</f>
        <v/>
      </c>
      <c r="M380" s="42" t="str">
        <f>IF(ISBLANK('Aqueous Species Options'!B380), "", IF('Aqueous Species Options'!L380=0, 'Aqueous Species Options'!R380, IF('Aqueous Species Table'!N380="", "", IF('Aqueous Species Options'!B380="H+", 0, 'Aqueous Species Options'!H380 - 'Aqueous Species Table'!O380*100000*(-0.000000309)*298.15 - 'Aqueous Species Table'!N380*10000/(298.15-228)^2 ) ) ) )</f>
        <v/>
      </c>
      <c r="N380" s="42" t="str">
        <f>IF(ISBLANK('Aqueous Species Options'!B380), "", IF('Aqueous Species Options'!L380=0, 'Aqueous Species Options'!S380, IF(OR(ISBLANK('Aqueous Species Options'!H380), 'Aqueous Species Table'!O380=""), "", IF('Aqueous Species Options'!B380="H+", 0, 0.2037*'Aqueous Species Options'!H380 - 3.0346) ) ) )</f>
        <v/>
      </c>
      <c r="O380" s="42" t="str">
        <f>IF(ISBLANK('Aqueous Species Options'!B380), "", IF('Aqueous Species Options'!K380=0, 'Aqueous Species Options'!I380, IF(OR('Aqueous Species Options'!J380&gt;4,'Aqueous Species Options'!J380&lt;-4), "", IF('Aqueous Species Options'!B380="H+", 0, IF('Aqueous Species Options'!J380=0, -0.038, IF(ISBLANK('Aqueous Species Options'!F380), "", -1514.4*'Aqueous Species Options'!F380*0.00001 + SUM(({4,3,2,1,-1,-2,-3,-4}='Aqueous Species Options'!J380)*{2.1764,1.5793,1.0579,0.5517,1.6291,3.2127,4.8115,6.486}) ) ) ) ) ) )</f>
        <v/>
      </c>
      <c r="P380" s="1" t="str">
        <f>IF(ISBLANK('Aqueous Species Options'!J380), "", 'Aqueous Species Options'!J380)</f>
        <v/>
      </c>
      <c r="Q380" s="184" t="str">
        <f>IF(ISBLANK('Aqueous Species Options'!T380), "", 'Aqueous Species Options'!T380)</f>
        <v/>
      </c>
    </row>
    <row r="381" spans="2:17" ht="16" x14ac:dyDescent="0.2">
      <c r="B381" s="9" t="str">
        <f>IF(ISBLANK('Aqueous Species Options'!B381), "", 'Aqueous Species Options'!B381)</f>
        <v/>
      </c>
      <c r="C381" s="55" t="str">
        <f>IF(ISBLANK('Aqueous Species Options'!C381), "", 'Aqueous Species Options'!C381)</f>
        <v/>
      </c>
      <c r="D381" s="1" t="str">
        <f>IF(ISBLANK('Aqueous Species Options'!D381), "", 'Aqueous Species Options'!D381)</f>
        <v/>
      </c>
      <c r="E381" s="1" t="str">
        <f>IF(ISBLANK('Aqueous Species Options'!E381), "", 'Aqueous Species Options'!E381)</f>
        <v/>
      </c>
      <c r="F381" s="139" t="str">
        <f>IF(ISBLANK('Aqueous Species Options'!F381), "", 'Aqueous Species Options'!F381)</f>
        <v/>
      </c>
      <c r="G381" s="29" t="str">
        <f>IF(ISBLANK('Aqueous Species Options'!B381), "", IF('Aqueous Species Options'!L381 = 1, IF(ISBLANK('Aqueous Species Options'!G381), "", 'Aqueous Species Options'!G381), ('Aqueous Species Table'!I381/10 + ('Aqueous Species Table'!J381*100)/(Calculations!$C$12+Calculations!$C$9) + ('Aqueous Species Table'!K381 + ('Aqueous Species Table'!L381*10000)/(Calculations!$C$12+Calculations!$C$9))*(1/(Calculations!$C$8-Calculations!$C$13)) - 'Aqueous Species Table'!O381*100000*0.0000005903)*41.8393))</f>
        <v/>
      </c>
      <c r="H381" s="29" t="str">
        <f>IF(ISBLANK('Aqueous Species Options'!B381), "", IF('Aqueous Species Options'!L381 = 1, IF(ISBLANK('Aqueous Species Options'!H381), "", 'Aqueous Species Options'!H381), 'Aqueous Species Table'!M381 + 'Aqueous Species Table'!N381*10000*(1/(Calculations!$C$8-Calculations!$C$13))^2 + 'Aqueous Species Table'!O381*100000*Calculations!$C$8*Calculations!$C$7))</f>
        <v/>
      </c>
      <c r="I381" s="42" t="str">
        <f>IF(ISBLANK('Aqueous Species Options'!B381), "", IF('Aqueous Species Options'!L381=0, 'Aqueous Species Options'!N381, IF(OR(ISBLANK('Aqueous Species Options'!G381),'Aqueous Species Table'!O381="", 'Aqueous Species Table'!P381=""), "", IF('Aqueous Species Options'!B381="H+", 0, (CHOOSE('Aqueous Species Options'!M381+1,'Aqueous Species Options'!$V$4*ABS('Aqueous Species Table'!P381)+'Aqueous Species Options'!$W$4,'Aqueous Species Options'!$Z$4)*('Aqueous Species Options'!G381 + 'Aqueous Species Table'!O381*100000*0.0000005903*41.8393) + CHOOSE('Aqueous Species Options'!M381+1,'Aqueous Species Options'!$X$4*ABS('Aqueous Species Table'!P381)+'Aqueous Species Options'!$Y$4,'Aqueous Species Options'!$AA$4))*10 ) ) ) )</f>
        <v/>
      </c>
      <c r="J381" s="42" t="str">
        <f>IF(ISBLANK('Aqueous Species Options'!B381), "", IF('Aqueous Species Options'!L381 = 0, 'Aqueous Species Options'!O381, IF('Aqueous Species Table'!I381="", "", IF('Aqueous Species Options'!B381="H+", 0, ((1.11*('Aqueous Species Options'!G381 + 'Aqueous Species Table'!O381*100000*0.0000005903*41.8393)+1.8)/41.8393 - 'Aqueous Species Table'!I381/10)*26.01 ) ) ) )</f>
        <v/>
      </c>
      <c r="K381" s="42" t="str">
        <f>IF(ISBLANK('Aqueous Species Options'!B381), "", IF('Aqueous Species Options'!L381 = 0, 'Aqueous Species Options'!P381, IF('Aqueous Species Table'!I381="", "", IF('Aqueous Species Options'!B381="H+", 0, ('Aqueous Species Options'!G381/41.8393 + 'Aqueous Species Table'!O381*100000*0.0000005903 - 'Aqueous Species Table'!I381/10 - 'Aqueous Species Table'!J381*100/2601)*(298.15-228) - ('Aqueous Species Table'!L381*10000/2601) ) ) ) )</f>
        <v/>
      </c>
      <c r="L381" s="42" t="str">
        <f>IF(ISBLANK('Aqueous Species Options'!B381), "", IF('Aqueous Species Options'!L381 = 0, 'Aqueous Species Options'!Q381, IF('Aqueous Species Table'!J381="", "", IF('Aqueous Species Options'!B381="H+", 0, (-4.134*'Aqueous Species Table'!J381*100 - 27790)*0.0001) ) ) )</f>
        <v/>
      </c>
      <c r="M381" s="42" t="str">
        <f>IF(ISBLANK('Aqueous Species Options'!B381), "", IF('Aqueous Species Options'!L381=0, 'Aqueous Species Options'!R381, IF('Aqueous Species Table'!N381="", "", IF('Aqueous Species Options'!B381="H+", 0, 'Aqueous Species Options'!H381 - 'Aqueous Species Table'!O381*100000*(-0.000000309)*298.15 - 'Aqueous Species Table'!N381*10000/(298.15-228)^2 ) ) ) )</f>
        <v/>
      </c>
      <c r="N381" s="42" t="str">
        <f>IF(ISBLANK('Aqueous Species Options'!B381), "", IF('Aqueous Species Options'!L381=0, 'Aqueous Species Options'!S381, IF(OR(ISBLANK('Aqueous Species Options'!H381), 'Aqueous Species Table'!O381=""), "", IF('Aqueous Species Options'!B381="H+", 0, 0.2037*'Aqueous Species Options'!H381 - 3.0346) ) ) )</f>
        <v/>
      </c>
      <c r="O381" s="42" t="str">
        <f>IF(ISBLANK('Aqueous Species Options'!B381), "", IF('Aqueous Species Options'!K381=0, 'Aqueous Species Options'!I381, IF(OR('Aqueous Species Options'!J381&gt;4,'Aqueous Species Options'!J381&lt;-4), "", IF('Aqueous Species Options'!B381="H+", 0, IF('Aqueous Species Options'!J381=0, -0.038, IF(ISBLANK('Aqueous Species Options'!F381), "", -1514.4*'Aqueous Species Options'!F381*0.00001 + SUM(({4,3,2,1,-1,-2,-3,-4}='Aqueous Species Options'!J381)*{2.1764,1.5793,1.0579,0.5517,1.6291,3.2127,4.8115,6.486}) ) ) ) ) ) )</f>
        <v/>
      </c>
      <c r="P381" s="1" t="str">
        <f>IF(ISBLANK('Aqueous Species Options'!J381), "", 'Aqueous Species Options'!J381)</f>
        <v/>
      </c>
      <c r="Q381" s="184" t="str">
        <f>IF(ISBLANK('Aqueous Species Options'!T381), "", 'Aqueous Species Options'!T381)</f>
        <v/>
      </c>
    </row>
    <row r="382" spans="2:17" ht="16" x14ac:dyDescent="0.2">
      <c r="B382" s="9" t="str">
        <f>IF(ISBLANK('Aqueous Species Options'!B382), "", 'Aqueous Species Options'!B382)</f>
        <v/>
      </c>
      <c r="C382" s="55" t="str">
        <f>IF(ISBLANK('Aqueous Species Options'!C382), "", 'Aqueous Species Options'!C382)</f>
        <v/>
      </c>
      <c r="D382" s="1" t="str">
        <f>IF(ISBLANK('Aqueous Species Options'!D382), "", 'Aqueous Species Options'!D382)</f>
        <v/>
      </c>
      <c r="E382" s="1" t="str">
        <f>IF(ISBLANK('Aqueous Species Options'!E382), "", 'Aqueous Species Options'!E382)</f>
        <v/>
      </c>
      <c r="F382" s="139" t="str">
        <f>IF(ISBLANK('Aqueous Species Options'!F382), "", 'Aqueous Species Options'!F382)</f>
        <v/>
      </c>
      <c r="G382" s="29" t="str">
        <f>IF(ISBLANK('Aqueous Species Options'!B382), "", IF('Aqueous Species Options'!L382 = 1, IF(ISBLANK('Aqueous Species Options'!G382), "", 'Aqueous Species Options'!G382), ('Aqueous Species Table'!I382/10 + ('Aqueous Species Table'!J382*100)/(Calculations!$C$12+Calculations!$C$9) + ('Aqueous Species Table'!K382 + ('Aqueous Species Table'!L382*10000)/(Calculations!$C$12+Calculations!$C$9))*(1/(Calculations!$C$8-Calculations!$C$13)) - 'Aqueous Species Table'!O382*100000*0.0000005903)*41.8393))</f>
        <v/>
      </c>
      <c r="H382" s="29" t="str">
        <f>IF(ISBLANK('Aqueous Species Options'!B382), "", IF('Aqueous Species Options'!L382 = 1, IF(ISBLANK('Aqueous Species Options'!H382), "", 'Aqueous Species Options'!H382), 'Aqueous Species Table'!M382 + 'Aqueous Species Table'!N382*10000*(1/(Calculations!$C$8-Calculations!$C$13))^2 + 'Aqueous Species Table'!O382*100000*Calculations!$C$8*Calculations!$C$7))</f>
        <v/>
      </c>
      <c r="I382" s="42" t="str">
        <f>IF(ISBLANK('Aqueous Species Options'!B382), "", IF('Aqueous Species Options'!L382=0, 'Aqueous Species Options'!N382, IF(OR(ISBLANK('Aqueous Species Options'!G382),'Aqueous Species Table'!O382="", 'Aqueous Species Table'!P382=""), "", IF('Aqueous Species Options'!B382="H+", 0, (CHOOSE('Aqueous Species Options'!M382+1,'Aqueous Species Options'!$V$4*ABS('Aqueous Species Table'!P382)+'Aqueous Species Options'!$W$4,'Aqueous Species Options'!$Z$4)*('Aqueous Species Options'!G382 + 'Aqueous Species Table'!O382*100000*0.0000005903*41.8393) + CHOOSE('Aqueous Species Options'!M382+1,'Aqueous Species Options'!$X$4*ABS('Aqueous Species Table'!P382)+'Aqueous Species Options'!$Y$4,'Aqueous Species Options'!$AA$4))*10 ) ) ) )</f>
        <v/>
      </c>
      <c r="J382" s="42" t="str">
        <f>IF(ISBLANK('Aqueous Species Options'!B382), "", IF('Aqueous Species Options'!L382 = 0, 'Aqueous Species Options'!O382, IF('Aqueous Species Table'!I382="", "", IF('Aqueous Species Options'!B382="H+", 0, ((1.11*('Aqueous Species Options'!G382 + 'Aqueous Species Table'!O382*100000*0.0000005903*41.8393)+1.8)/41.8393 - 'Aqueous Species Table'!I382/10)*26.01 ) ) ) )</f>
        <v/>
      </c>
      <c r="K382" s="42" t="str">
        <f>IF(ISBLANK('Aqueous Species Options'!B382), "", IF('Aqueous Species Options'!L382 = 0, 'Aqueous Species Options'!P382, IF('Aqueous Species Table'!I382="", "", IF('Aqueous Species Options'!B382="H+", 0, ('Aqueous Species Options'!G382/41.8393 + 'Aqueous Species Table'!O382*100000*0.0000005903 - 'Aqueous Species Table'!I382/10 - 'Aqueous Species Table'!J382*100/2601)*(298.15-228) - ('Aqueous Species Table'!L382*10000/2601) ) ) ) )</f>
        <v/>
      </c>
      <c r="L382" s="42" t="str">
        <f>IF(ISBLANK('Aqueous Species Options'!B382), "", IF('Aqueous Species Options'!L382 = 0, 'Aqueous Species Options'!Q382, IF('Aqueous Species Table'!J382="", "", IF('Aqueous Species Options'!B382="H+", 0, (-4.134*'Aqueous Species Table'!J382*100 - 27790)*0.0001) ) ) )</f>
        <v/>
      </c>
      <c r="M382" s="42" t="str">
        <f>IF(ISBLANK('Aqueous Species Options'!B382), "", IF('Aqueous Species Options'!L382=0, 'Aqueous Species Options'!R382, IF('Aqueous Species Table'!N382="", "", IF('Aqueous Species Options'!B382="H+", 0, 'Aqueous Species Options'!H382 - 'Aqueous Species Table'!O382*100000*(-0.000000309)*298.15 - 'Aqueous Species Table'!N382*10000/(298.15-228)^2 ) ) ) )</f>
        <v/>
      </c>
      <c r="N382" s="42" t="str">
        <f>IF(ISBLANK('Aqueous Species Options'!B382), "", IF('Aqueous Species Options'!L382=0, 'Aqueous Species Options'!S382, IF(OR(ISBLANK('Aqueous Species Options'!H382), 'Aqueous Species Table'!O382=""), "", IF('Aqueous Species Options'!B382="H+", 0, 0.2037*'Aqueous Species Options'!H382 - 3.0346) ) ) )</f>
        <v/>
      </c>
      <c r="O382" s="42" t="str">
        <f>IF(ISBLANK('Aqueous Species Options'!B382), "", IF('Aqueous Species Options'!K382=0, 'Aqueous Species Options'!I382, IF(OR('Aqueous Species Options'!J382&gt;4,'Aqueous Species Options'!J382&lt;-4), "", IF('Aqueous Species Options'!B382="H+", 0, IF('Aqueous Species Options'!J382=0, -0.038, IF(ISBLANK('Aqueous Species Options'!F382), "", -1514.4*'Aqueous Species Options'!F382*0.00001 + SUM(({4,3,2,1,-1,-2,-3,-4}='Aqueous Species Options'!J382)*{2.1764,1.5793,1.0579,0.5517,1.6291,3.2127,4.8115,6.486}) ) ) ) ) ) )</f>
        <v/>
      </c>
      <c r="P382" s="1" t="str">
        <f>IF(ISBLANK('Aqueous Species Options'!J382), "", 'Aqueous Species Options'!J382)</f>
        <v/>
      </c>
      <c r="Q382" s="184" t="str">
        <f>IF(ISBLANK('Aqueous Species Options'!T382), "", 'Aqueous Species Options'!T382)</f>
        <v/>
      </c>
    </row>
    <row r="383" spans="2:17" ht="16" x14ac:dyDescent="0.2">
      <c r="B383" s="9" t="str">
        <f>IF(ISBLANK('Aqueous Species Options'!B383), "", 'Aqueous Species Options'!B383)</f>
        <v/>
      </c>
      <c r="C383" s="55" t="str">
        <f>IF(ISBLANK('Aqueous Species Options'!C383), "", 'Aqueous Species Options'!C383)</f>
        <v/>
      </c>
      <c r="D383" s="1" t="str">
        <f>IF(ISBLANK('Aqueous Species Options'!D383), "", 'Aqueous Species Options'!D383)</f>
        <v/>
      </c>
      <c r="E383" s="1" t="str">
        <f>IF(ISBLANK('Aqueous Species Options'!E383), "", 'Aqueous Species Options'!E383)</f>
        <v/>
      </c>
      <c r="F383" s="139" t="str">
        <f>IF(ISBLANK('Aqueous Species Options'!F383), "", 'Aqueous Species Options'!F383)</f>
        <v/>
      </c>
      <c r="G383" s="29" t="str">
        <f>IF(ISBLANK('Aqueous Species Options'!B383), "", IF('Aqueous Species Options'!L383 = 1, IF(ISBLANK('Aqueous Species Options'!G383), "", 'Aqueous Species Options'!G383), ('Aqueous Species Table'!I383/10 + ('Aqueous Species Table'!J383*100)/(Calculations!$C$12+Calculations!$C$9) + ('Aqueous Species Table'!K383 + ('Aqueous Species Table'!L383*10000)/(Calculations!$C$12+Calculations!$C$9))*(1/(Calculations!$C$8-Calculations!$C$13)) - 'Aqueous Species Table'!O383*100000*0.0000005903)*41.8393))</f>
        <v/>
      </c>
      <c r="H383" s="29" t="str">
        <f>IF(ISBLANK('Aqueous Species Options'!B383), "", IF('Aqueous Species Options'!L383 = 1, IF(ISBLANK('Aqueous Species Options'!H383), "", 'Aqueous Species Options'!H383), 'Aqueous Species Table'!M383 + 'Aqueous Species Table'!N383*10000*(1/(Calculations!$C$8-Calculations!$C$13))^2 + 'Aqueous Species Table'!O383*100000*Calculations!$C$8*Calculations!$C$7))</f>
        <v/>
      </c>
      <c r="I383" s="42" t="str">
        <f>IF(ISBLANK('Aqueous Species Options'!B383), "", IF('Aqueous Species Options'!L383=0, 'Aqueous Species Options'!N383, IF(OR(ISBLANK('Aqueous Species Options'!G383),'Aqueous Species Table'!O383="", 'Aqueous Species Table'!P383=""), "", IF('Aqueous Species Options'!B383="H+", 0, (CHOOSE('Aqueous Species Options'!M383+1,'Aqueous Species Options'!$V$4*ABS('Aqueous Species Table'!P383)+'Aqueous Species Options'!$W$4,'Aqueous Species Options'!$Z$4)*('Aqueous Species Options'!G383 + 'Aqueous Species Table'!O383*100000*0.0000005903*41.8393) + CHOOSE('Aqueous Species Options'!M383+1,'Aqueous Species Options'!$X$4*ABS('Aqueous Species Table'!P383)+'Aqueous Species Options'!$Y$4,'Aqueous Species Options'!$AA$4))*10 ) ) ) )</f>
        <v/>
      </c>
      <c r="J383" s="42" t="str">
        <f>IF(ISBLANK('Aqueous Species Options'!B383), "", IF('Aqueous Species Options'!L383 = 0, 'Aqueous Species Options'!O383, IF('Aqueous Species Table'!I383="", "", IF('Aqueous Species Options'!B383="H+", 0, ((1.11*('Aqueous Species Options'!G383 + 'Aqueous Species Table'!O383*100000*0.0000005903*41.8393)+1.8)/41.8393 - 'Aqueous Species Table'!I383/10)*26.01 ) ) ) )</f>
        <v/>
      </c>
      <c r="K383" s="42" t="str">
        <f>IF(ISBLANK('Aqueous Species Options'!B383), "", IF('Aqueous Species Options'!L383 = 0, 'Aqueous Species Options'!P383, IF('Aqueous Species Table'!I383="", "", IF('Aqueous Species Options'!B383="H+", 0, ('Aqueous Species Options'!G383/41.8393 + 'Aqueous Species Table'!O383*100000*0.0000005903 - 'Aqueous Species Table'!I383/10 - 'Aqueous Species Table'!J383*100/2601)*(298.15-228) - ('Aqueous Species Table'!L383*10000/2601) ) ) ) )</f>
        <v/>
      </c>
      <c r="L383" s="42" t="str">
        <f>IF(ISBLANK('Aqueous Species Options'!B383), "", IF('Aqueous Species Options'!L383 = 0, 'Aqueous Species Options'!Q383, IF('Aqueous Species Table'!J383="", "", IF('Aqueous Species Options'!B383="H+", 0, (-4.134*'Aqueous Species Table'!J383*100 - 27790)*0.0001) ) ) )</f>
        <v/>
      </c>
      <c r="M383" s="42" t="str">
        <f>IF(ISBLANK('Aqueous Species Options'!B383), "", IF('Aqueous Species Options'!L383=0, 'Aqueous Species Options'!R383, IF('Aqueous Species Table'!N383="", "", IF('Aqueous Species Options'!B383="H+", 0, 'Aqueous Species Options'!H383 - 'Aqueous Species Table'!O383*100000*(-0.000000309)*298.15 - 'Aqueous Species Table'!N383*10000/(298.15-228)^2 ) ) ) )</f>
        <v/>
      </c>
      <c r="N383" s="42" t="str">
        <f>IF(ISBLANK('Aqueous Species Options'!B383), "", IF('Aqueous Species Options'!L383=0, 'Aqueous Species Options'!S383, IF(OR(ISBLANK('Aqueous Species Options'!H383), 'Aqueous Species Table'!O383=""), "", IF('Aqueous Species Options'!B383="H+", 0, 0.2037*'Aqueous Species Options'!H383 - 3.0346) ) ) )</f>
        <v/>
      </c>
      <c r="O383" s="42" t="str">
        <f>IF(ISBLANK('Aqueous Species Options'!B383), "", IF('Aqueous Species Options'!K383=0, 'Aqueous Species Options'!I383, IF(OR('Aqueous Species Options'!J383&gt;4,'Aqueous Species Options'!J383&lt;-4), "", IF('Aqueous Species Options'!B383="H+", 0, IF('Aqueous Species Options'!J383=0, -0.038, IF(ISBLANK('Aqueous Species Options'!F383), "", -1514.4*'Aqueous Species Options'!F383*0.00001 + SUM(({4,3,2,1,-1,-2,-3,-4}='Aqueous Species Options'!J383)*{2.1764,1.5793,1.0579,0.5517,1.6291,3.2127,4.8115,6.486}) ) ) ) ) ) )</f>
        <v/>
      </c>
      <c r="P383" s="1" t="str">
        <f>IF(ISBLANK('Aqueous Species Options'!J383), "", 'Aqueous Species Options'!J383)</f>
        <v/>
      </c>
      <c r="Q383" s="184" t="str">
        <f>IF(ISBLANK('Aqueous Species Options'!T383), "", 'Aqueous Species Options'!T383)</f>
        <v/>
      </c>
    </row>
    <row r="384" spans="2:17" ht="16" x14ac:dyDescent="0.2">
      <c r="B384" s="9" t="str">
        <f>IF(ISBLANK('Aqueous Species Options'!B384), "", 'Aqueous Species Options'!B384)</f>
        <v/>
      </c>
      <c r="C384" s="55" t="str">
        <f>IF(ISBLANK('Aqueous Species Options'!C384), "", 'Aqueous Species Options'!C384)</f>
        <v/>
      </c>
      <c r="D384" s="1" t="str">
        <f>IF(ISBLANK('Aqueous Species Options'!D384), "", 'Aqueous Species Options'!D384)</f>
        <v/>
      </c>
      <c r="E384" s="1" t="str">
        <f>IF(ISBLANK('Aqueous Species Options'!E384), "", 'Aqueous Species Options'!E384)</f>
        <v/>
      </c>
      <c r="F384" s="139" t="str">
        <f>IF(ISBLANK('Aqueous Species Options'!F384), "", 'Aqueous Species Options'!F384)</f>
        <v/>
      </c>
      <c r="G384" s="29" t="str">
        <f>IF(ISBLANK('Aqueous Species Options'!B384), "", IF('Aqueous Species Options'!L384 = 1, IF(ISBLANK('Aqueous Species Options'!G384), "", 'Aqueous Species Options'!G384), ('Aqueous Species Table'!I384/10 + ('Aqueous Species Table'!J384*100)/(Calculations!$C$12+Calculations!$C$9) + ('Aqueous Species Table'!K384 + ('Aqueous Species Table'!L384*10000)/(Calculations!$C$12+Calculations!$C$9))*(1/(Calculations!$C$8-Calculations!$C$13)) - 'Aqueous Species Table'!O384*100000*0.0000005903)*41.8393))</f>
        <v/>
      </c>
      <c r="H384" s="29" t="str">
        <f>IF(ISBLANK('Aqueous Species Options'!B384), "", IF('Aqueous Species Options'!L384 = 1, IF(ISBLANK('Aqueous Species Options'!H384), "", 'Aqueous Species Options'!H384), 'Aqueous Species Table'!M384 + 'Aqueous Species Table'!N384*10000*(1/(Calculations!$C$8-Calculations!$C$13))^2 + 'Aqueous Species Table'!O384*100000*Calculations!$C$8*Calculations!$C$7))</f>
        <v/>
      </c>
      <c r="I384" s="42" t="str">
        <f>IF(ISBLANK('Aqueous Species Options'!B384), "", IF('Aqueous Species Options'!L384=0, 'Aqueous Species Options'!N384, IF(OR(ISBLANK('Aqueous Species Options'!G384),'Aqueous Species Table'!O384="", 'Aqueous Species Table'!P384=""), "", IF('Aqueous Species Options'!B384="H+", 0, (CHOOSE('Aqueous Species Options'!M384+1,'Aqueous Species Options'!$V$4*ABS('Aqueous Species Table'!P384)+'Aqueous Species Options'!$W$4,'Aqueous Species Options'!$Z$4)*('Aqueous Species Options'!G384 + 'Aqueous Species Table'!O384*100000*0.0000005903*41.8393) + CHOOSE('Aqueous Species Options'!M384+1,'Aqueous Species Options'!$X$4*ABS('Aqueous Species Table'!P384)+'Aqueous Species Options'!$Y$4,'Aqueous Species Options'!$AA$4))*10 ) ) ) )</f>
        <v/>
      </c>
      <c r="J384" s="42" t="str">
        <f>IF(ISBLANK('Aqueous Species Options'!B384), "", IF('Aqueous Species Options'!L384 = 0, 'Aqueous Species Options'!O384, IF('Aqueous Species Table'!I384="", "", IF('Aqueous Species Options'!B384="H+", 0, ((1.11*('Aqueous Species Options'!G384 + 'Aqueous Species Table'!O384*100000*0.0000005903*41.8393)+1.8)/41.8393 - 'Aqueous Species Table'!I384/10)*26.01 ) ) ) )</f>
        <v/>
      </c>
      <c r="K384" s="42" t="str">
        <f>IF(ISBLANK('Aqueous Species Options'!B384), "", IF('Aqueous Species Options'!L384 = 0, 'Aqueous Species Options'!P384, IF('Aqueous Species Table'!I384="", "", IF('Aqueous Species Options'!B384="H+", 0, ('Aqueous Species Options'!G384/41.8393 + 'Aqueous Species Table'!O384*100000*0.0000005903 - 'Aqueous Species Table'!I384/10 - 'Aqueous Species Table'!J384*100/2601)*(298.15-228) - ('Aqueous Species Table'!L384*10000/2601) ) ) ) )</f>
        <v/>
      </c>
      <c r="L384" s="42" t="str">
        <f>IF(ISBLANK('Aqueous Species Options'!B384), "", IF('Aqueous Species Options'!L384 = 0, 'Aqueous Species Options'!Q384, IF('Aqueous Species Table'!J384="", "", IF('Aqueous Species Options'!B384="H+", 0, (-4.134*'Aqueous Species Table'!J384*100 - 27790)*0.0001) ) ) )</f>
        <v/>
      </c>
      <c r="M384" s="42" t="str">
        <f>IF(ISBLANK('Aqueous Species Options'!B384), "", IF('Aqueous Species Options'!L384=0, 'Aqueous Species Options'!R384, IF('Aqueous Species Table'!N384="", "", IF('Aqueous Species Options'!B384="H+", 0, 'Aqueous Species Options'!H384 - 'Aqueous Species Table'!O384*100000*(-0.000000309)*298.15 - 'Aqueous Species Table'!N384*10000/(298.15-228)^2 ) ) ) )</f>
        <v/>
      </c>
      <c r="N384" s="42" t="str">
        <f>IF(ISBLANK('Aqueous Species Options'!B384), "", IF('Aqueous Species Options'!L384=0, 'Aqueous Species Options'!S384, IF(OR(ISBLANK('Aqueous Species Options'!H384), 'Aqueous Species Table'!O384=""), "", IF('Aqueous Species Options'!B384="H+", 0, 0.2037*'Aqueous Species Options'!H384 - 3.0346) ) ) )</f>
        <v/>
      </c>
      <c r="O384" s="42" t="str">
        <f>IF(ISBLANK('Aqueous Species Options'!B384), "", IF('Aqueous Species Options'!K384=0, 'Aqueous Species Options'!I384, IF(OR('Aqueous Species Options'!J384&gt;4,'Aqueous Species Options'!J384&lt;-4), "", IF('Aqueous Species Options'!B384="H+", 0, IF('Aqueous Species Options'!J384=0, -0.038, IF(ISBLANK('Aqueous Species Options'!F384), "", -1514.4*'Aqueous Species Options'!F384*0.00001 + SUM(({4,3,2,1,-1,-2,-3,-4}='Aqueous Species Options'!J384)*{2.1764,1.5793,1.0579,0.5517,1.6291,3.2127,4.8115,6.486}) ) ) ) ) ) )</f>
        <v/>
      </c>
      <c r="P384" s="1" t="str">
        <f>IF(ISBLANK('Aqueous Species Options'!J384), "", 'Aqueous Species Options'!J384)</f>
        <v/>
      </c>
      <c r="Q384" s="184" t="str">
        <f>IF(ISBLANK('Aqueous Species Options'!T384), "", 'Aqueous Species Options'!T384)</f>
        <v/>
      </c>
    </row>
    <row r="385" spans="2:17" ht="16" x14ac:dyDescent="0.2">
      <c r="B385" s="9" t="str">
        <f>IF(ISBLANK('Aqueous Species Options'!B385), "", 'Aqueous Species Options'!B385)</f>
        <v/>
      </c>
      <c r="C385" s="55" t="str">
        <f>IF(ISBLANK('Aqueous Species Options'!C385), "", 'Aqueous Species Options'!C385)</f>
        <v/>
      </c>
      <c r="D385" s="1" t="str">
        <f>IF(ISBLANK('Aqueous Species Options'!D385), "", 'Aqueous Species Options'!D385)</f>
        <v/>
      </c>
      <c r="E385" s="1" t="str">
        <f>IF(ISBLANK('Aqueous Species Options'!E385), "", 'Aqueous Species Options'!E385)</f>
        <v/>
      </c>
      <c r="F385" s="139" t="str">
        <f>IF(ISBLANK('Aqueous Species Options'!F385), "", 'Aqueous Species Options'!F385)</f>
        <v/>
      </c>
      <c r="G385" s="29" t="str">
        <f>IF(ISBLANK('Aqueous Species Options'!B385), "", IF('Aqueous Species Options'!L385 = 1, IF(ISBLANK('Aqueous Species Options'!G385), "", 'Aqueous Species Options'!G385), ('Aqueous Species Table'!I385/10 + ('Aqueous Species Table'!J385*100)/(Calculations!$C$12+Calculations!$C$9) + ('Aqueous Species Table'!K385 + ('Aqueous Species Table'!L385*10000)/(Calculations!$C$12+Calculations!$C$9))*(1/(Calculations!$C$8-Calculations!$C$13)) - 'Aqueous Species Table'!O385*100000*0.0000005903)*41.8393))</f>
        <v/>
      </c>
      <c r="H385" s="29" t="str">
        <f>IF(ISBLANK('Aqueous Species Options'!B385), "", IF('Aqueous Species Options'!L385 = 1, IF(ISBLANK('Aqueous Species Options'!H385), "", 'Aqueous Species Options'!H385), 'Aqueous Species Table'!M385 + 'Aqueous Species Table'!N385*10000*(1/(Calculations!$C$8-Calculations!$C$13))^2 + 'Aqueous Species Table'!O385*100000*Calculations!$C$8*Calculations!$C$7))</f>
        <v/>
      </c>
      <c r="I385" s="42" t="str">
        <f>IF(ISBLANK('Aqueous Species Options'!B385), "", IF('Aqueous Species Options'!L385=0, 'Aqueous Species Options'!N385, IF(OR(ISBLANK('Aqueous Species Options'!G385),'Aqueous Species Table'!O385="", 'Aqueous Species Table'!P385=""), "", IF('Aqueous Species Options'!B385="H+", 0, (CHOOSE('Aqueous Species Options'!M385+1,'Aqueous Species Options'!$V$4*ABS('Aqueous Species Table'!P385)+'Aqueous Species Options'!$W$4,'Aqueous Species Options'!$Z$4)*('Aqueous Species Options'!G385 + 'Aqueous Species Table'!O385*100000*0.0000005903*41.8393) + CHOOSE('Aqueous Species Options'!M385+1,'Aqueous Species Options'!$X$4*ABS('Aqueous Species Table'!P385)+'Aqueous Species Options'!$Y$4,'Aqueous Species Options'!$AA$4))*10 ) ) ) )</f>
        <v/>
      </c>
      <c r="J385" s="42" t="str">
        <f>IF(ISBLANK('Aqueous Species Options'!B385), "", IF('Aqueous Species Options'!L385 = 0, 'Aqueous Species Options'!O385, IF('Aqueous Species Table'!I385="", "", IF('Aqueous Species Options'!B385="H+", 0, ((1.11*('Aqueous Species Options'!G385 + 'Aqueous Species Table'!O385*100000*0.0000005903*41.8393)+1.8)/41.8393 - 'Aqueous Species Table'!I385/10)*26.01 ) ) ) )</f>
        <v/>
      </c>
      <c r="K385" s="42" t="str">
        <f>IF(ISBLANK('Aqueous Species Options'!B385), "", IF('Aqueous Species Options'!L385 = 0, 'Aqueous Species Options'!P385, IF('Aqueous Species Table'!I385="", "", IF('Aqueous Species Options'!B385="H+", 0, ('Aqueous Species Options'!G385/41.8393 + 'Aqueous Species Table'!O385*100000*0.0000005903 - 'Aqueous Species Table'!I385/10 - 'Aqueous Species Table'!J385*100/2601)*(298.15-228) - ('Aqueous Species Table'!L385*10000/2601) ) ) ) )</f>
        <v/>
      </c>
      <c r="L385" s="42" t="str">
        <f>IF(ISBLANK('Aqueous Species Options'!B385), "", IF('Aqueous Species Options'!L385 = 0, 'Aqueous Species Options'!Q385, IF('Aqueous Species Table'!J385="", "", IF('Aqueous Species Options'!B385="H+", 0, (-4.134*'Aqueous Species Table'!J385*100 - 27790)*0.0001) ) ) )</f>
        <v/>
      </c>
      <c r="M385" s="42" t="str">
        <f>IF(ISBLANK('Aqueous Species Options'!B385), "", IF('Aqueous Species Options'!L385=0, 'Aqueous Species Options'!R385, IF('Aqueous Species Table'!N385="", "", IF('Aqueous Species Options'!B385="H+", 0, 'Aqueous Species Options'!H385 - 'Aqueous Species Table'!O385*100000*(-0.000000309)*298.15 - 'Aqueous Species Table'!N385*10000/(298.15-228)^2 ) ) ) )</f>
        <v/>
      </c>
      <c r="N385" s="42" t="str">
        <f>IF(ISBLANK('Aqueous Species Options'!B385), "", IF('Aqueous Species Options'!L385=0, 'Aqueous Species Options'!S385, IF(OR(ISBLANK('Aqueous Species Options'!H385), 'Aqueous Species Table'!O385=""), "", IF('Aqueous Species Options'!B385="H+", 0, 0.2037*'Aqueous Species Options'!H385 - 3.0346) ) ) )</f>
        <v/>
      </c>
      <c r="O385" s="42" t="str">
        <f>IF(ISBLANK('Aqueous Species Options'!B385), "", IF('Aqueous Species Options'!K385=0, 'Aqueous Species Options'!I385, IF(OR('Aqueous Species Options'!J385&gt;4,'Aqueous Species Options'!J385&lt;-4), "", IF('Aqueous Species Options'!B385="H+", 0, IF('Aqueous Species Options'!J385=0, -0.038, IF(ISBLANK('Aqueous Species Options'!F385), "", -1514.4*'Aqueous Species Options'!F385*0.00001 + SUM(({4,3,2,1,-1,-2,-3,-4}='Aqueous Species Options'!J385)*{2.1764,1.5793,1.0579,0.5517,1.6291,3.2127,4.8115,6.486}) ) ) ) ) ) )</f>
        <v/>
      </c>
      <c r="P385" s="1" t="str">
        <f>IF(ISBLANK('Aqueous Species Options'!J385), "", 'Aqueous Species Options'!J385)</f>
        <v/>
      </c>
      <c r="Q385" s="184" t="str">
        <f>IF(ISBLANK('Aqueous Species Options'!T385), "", 'Aqueous Species Options'!T385)</f>
        <v/>
      </c>
    </row>
    <row r="386" spans="2:17" ht="16" x14ac:dyDescent="0.2">
      <c r="B386" s="9" t="str">
        <f>IF(ISBLANK('Aqueous Species Options'!B386), "", 'Aqueous Species Options'!B386)</f>
        <v/>
      </c>
      <c r="C386" s="55" t="str">
        <f>IF(ISBLANK('Aqueous Species Options'!C386), "", 'Aqueous Species Options'!C386)</f>
        <v/>
      </c>
      <c r="D386" s="1" t="str">
        <f>IF(ISBLANK('Aqueous Species Options'!D386), "", 'Aqueous Species Options'!D386)</f>
        <v/>
      </c>
      <c r="E386" s="1" t="str">
        <f>IF(ISBLANK('Aqueous Species Options'!E386), "", 'Aqueous Species Options'!E386)</f>
        <v/>
      </c>
      <c r="F386" s="139" t="str">
        <f>IF(ISBLANK('Aqueous Species Options'!F386), "", 'Aqueous Species Options'!F386)</f>
        <v/>
      </c>
      <c r="G386" s="29" t="str">
        <f>IF(ISBLANK('Aqueous Species Options'!B386), "", IF('Aqueous Species Options'!L386 = 1, IF(ISBLANK('Aqueous Species Options'!G386), "", 'Aqueous Species Options'!G386), ('Aqueous Species Table'!I386/10 + ('Aqueous Species Table'!J386*100)/(Calculations!$C$12+Calculations!$C$9) + ('Aqueous Species Table'!K386 + ('Aqueous Species Table'!L386*10000)/(Calculations!$C$12+Calculations!$C$9))*(1/(Calculations!$C$8-Calculations!$C$13)) - 'Aqueous Species Table'!O386*100000*0.0000005903)*41.8393))</f>
        <v/>
      </c>
      <c r="H386" s="29" t="str">
        <f>IF(ISBLANK('Aqueous Species Options'!B386), "", IF('Aqueous Species Options'!L386 = 1, IF(ISBLANK('Aqueous Species Options'!H386), "", 'Aqueous Species Options'!H386), 'Aqueous Species Table'!M386 + 'Aqueous Species Table'!N386*10000*(1/(Calculations!$C$8-Calculations!$C$13))^2 + 'Aqueous Species Table'!O386*100000*Calculations!$C$8*Calculations!$C$7))</f>
        <v/>
      </c>
      <c r="I386" s="42" t="str">
        <f>IF(ISBLANK('Aqueous Species Options'!B386), "", IF('Aqueous Species Options'!L386=0, 'Aqueous Species Options'!N386, IF(OR(ISBLANK('Aqueous Species Options'!G386),'Aqueous Species Table'!O386="", 'Aqueous Species Table'!P386=""), "", IF('Aqueous Species Options'!B386="H+", 0, (CHOOSE('Aqueous Species Options'!M386+1,'Aqueous Species Options'!$V$4*ABS('Aqueous Species Table'!P386)+'Aqueous Species Options'!$W$4,'Aqueous Species Options'!$Z$4)*('Aqueous Species Options'!G386 + 'Aqueous Species Table'!O386*100000*0.0000005903*41.8393) + CHOOSE('Aqueous Species Options'!M386+1,'Aqueous Species Options'!$X$4*ABS('Aqueous Species Table'!P386)+'Aqueous Species Options'!$Y$4,'Aqueous Species Options'!$AA$4))*10 ) ) ) )</f>
        <v/>
      </c>
      <c r="J386" s="42" t="str">
        <f>IF(ISBLANK('Aqueous Species Options'!B386), "", IF('Aqueous Species Options'!L386 = 0, 'Aqueous Species Options'!O386, IF('Aqueous Species Table'!I386="", "", IF('Aqueous Species Options'!B386="H+", 0, ((1.11*('Aqueous Species Options'!G386 + 'Aqueous Species Table'!O386*100000*0.0000005903*41.8393)+1.8)/41.8393 - 'Aqueous Species Table'!I386/10)*26.01 ) ) ) )</f>
        <v/>
      </c>
      <c r="K386" s="42" t="str">
        <f>IF(ISBLANK('Aqueous Species Options'!B386), "", IF('Aqueous Species Options'!L386 = 0, 'Aqueous Species Options'!P386, IF('Aqueous Species Table'!I386="", "", IF('Aqueous Species Options'!B386="H+", 0, ('Aqueous Species Options'!G386/41.8393 + 'Aqueous Species Table'!O386*100000*0.0000005903 - 'Aqueous Species Table'!I386/10 - 'Aqueous Species Table'!J386*100/2601)*(298.15-228) - ('Aqueous Species Table'!L386*10000/2601) ) ) ) )</f>
        <v/>
      </c>
      <c r="L386" s="42" t="str">
        <f>IF(ISBLANK('Aqueous Species Options'!B386), "", IF('Aqueous Species Options'!L386 = 0, 'Aqueous Species Options'!Q386, IF('Aqueous Species Table'!J386="", "", IF('Aqueous Species Options'!B386="H+", 0, (-4.134*'Aqueous Species Table'!J386*100 - 27790)*0.0001) ) ) )</f>
        <v/>
      </c>
      <c r="M386" s="42" t="str">
        <f>IF(ISBLANK('Aqueous Species Options'!B386), "", IF('Aqueous Species Options'!L386=0, 'Aqueous Species Options'!R386, IF('Aqueous Species Table'!N386="", "", IF('Aqueous Species Options'!B386="H+", 0, 'Aqueous Species Options'!H386 - 'Aqueous Species Table'!O386*100000*(-0.000000309)*298.15 - 'Aqueous Species Table'!N386*10000/(298.15-228)^2 ) ) ) )</f>
        <v/>
      </c>
      <c r="N386" s="42" t="str">
        <f>IF(ISBLANK('Aqueous Species Options'!B386), "", IF('Aqueous Species Options'!L386=0, 'Aqueous Species Options'!S386, IF(OR(ISBLANK('Aqueous Species Options'!H386), 'Aqueous Species Table'!O386=""), "", IF('Aqueous Species Options'!B386="H+", 0, 0.2037*'Aqueous Species Options'!H386 - 3.0346) ) ) )</f>
        <v/>
      </c>
      <c r="O386" s="42" t="str">
        <f>IF(ISBLANK('Aqueous Species Options'!B386), "", IF('Aqueous Species Options'!K386=0, 'Aqueous Species Options'!I386, IF(OR('Aqueous Species Options'!J386&gt;4,'Aqueous Species Options'!J386&lt;-4), "", IF('Aqueous Species Options'!B386="H+", 0, IF('Aqueous Species Options'!J386=0, -0.038, IF(ISBLANK('Aqueous Species Options'!F386), "", -1514.4*'Aqueous Species Options'!F386*0.00001 + SUM(({4,3,2,1,-1,-2,-3,-4}='Aqueous Species Options'!J386)*{2.1764,1.5793,1.0579,0.5517,1.6291,3.2127,4.8115,6.486}) ) ) ) ) ) )</f>
        <v/>
      </c>
      <c r="P386" s="1" t="str">
        <f>IF(ISBLANK('Aqueous Species Options'!J386), "", 'Aqueous Species Options'!J386)</f>
        <v/>
      </c>
      <c r="Q386" s="184" t="str">
        <f>IF(ISBLANK('Aqueous Species Options'!T386), "", 'Aqueous Species Options'!T386)</f>
        <v/>
      </c>
    </row>
    <row r="387" spans="2:17" ht="16" x14ac:dyDescent="0.2">
      <c r="B387" s="9" t="str">
        <f>IF(ISBLANK('Aqueous Species Options'!B387), "", 'Aqueous Species Options'!B387)</f>
        <v/>
      </c>
      <c r="C387" s="55" t="str">
        <f>IF(ISBLANK('Aqueous Species Options'!C387), "", 'Aqueous Species Options'!C387)</f>
        <v/>
      </c>
      <c r="D387" s="1" t="str">
        <f>IF(ISBLANK('Aqueous Species Options'!D387), "", 'Aqueous Species Options'!D387)</f>
        <v/>
      </c>
      <c r="E387" s="1" t="str">
        <f>IF(ISBLANK('Aqueous Species Options'!E387), "", 'Aqueous Species Options'!E387)</f>
        <v/>
      </c>
      <c r="F387" s="139" t="str">
        <f>IF(ISBLANK('Aqueous Species Options'!F387), "", 'Aqueous Species Options'!F387)</f>
        <v/>
      </c>
      <c r="G387" s="29" t="str">
        <f>IF(ISBLANK('Aqueous Species Options'!B387), "", IF('Aqueous Species Options'!L387 = 1, IF(ISBLANK('Aqueous Species Options'!G387), "", 'Aqueous Species Options'!G387), ('Aqueous Species Table'!I387/10 + ('Aqueous Species Table'!J387*100)/(Calculations!$C$12+Calculations!$C$9) + ('Aqueous Species Table'!K387 + ('Aqueous Species Table'!L387*10000)/(Calculations!$C$12+Calculations!$C$9))*(1/(Calculations!$C$8-Calculations!$C$13)) - 'Aqueous Species Table'!O387*100000*0.0000005903)*41.8393))</f>
        <v/>
      </c>
      <c r="H387" s="29" t="str">
        <f>IF(ISBLANK('Aqueous Species Options'!B387), "", IF('Aqueous Species Options'!L387 = 1, IF(ISBLANK('Aqueous Species Options'!H387), "", 'Aqueous Species Options'!H387), 'Aqueous Species Table'!M387 + 'Aqueous Species Table'!N387*10000*(1/(Calculations!$C$8-Calculations!$C$13))^2 + 'Aqueous Species Table'!O387*100000*Calculations!$C$8*Calculations!$C$7))</f>
        <v/>
      </c>
      <c r="I387" s="42" t="str">
        <f>IF(ISBLANK('Aqueous Species Options'!B387), "", IF('Aqueous Species Options'!L387=0, 'Aqueous Species Options'!N387, IF(OR(ISBLANK('Aqueous Species Options'!G387),'Aqueous Species Table'!O387="", 'Aqueous Species Table'!P387=""), "", IF('Aqueous Species Options'!B387="H+", 0, (CHOOSE('Aqueous Species Options'!M387+1,'Aqueous Species Options'!$V$4*ABS('Aqueous Species Table'!P387)+'Aqueous Species Options'!$W$4,'Aqueous Species Options'!$Z$4)*('Aqueous Species Options'!G387 + 'Aqueous Species Table'!O387*100000*0.0000005903*41.8393) + CHOOSE('Aqueous Species Options'!M387+1,'Aqueous Species Options'!$X$4*ABS('Aqueous Species Table'!P387)+'Aqueous Species Options'!$Y$4,'Aqueous Species Options'!$AA$4))*10 ) ) ) )</f>
        <v/>
      </c>
      <c r="J387" s="42" t="str">
        <f>IF(ISBLANK('Aqueous Species Options'!B387), "", IF('Aqueous Species Options'!L387 = 0, 'Aqueous Species Options'!O387, IF('Aqueous Species Table'!I387="", "", IF('Aqueous Species Options'!B387="H+", 0, ((1.11*('Aqueous Species Options'!G387 + 'Aqueous Species Table'!O387*100000*0.0000005903*41.8393)+1.8)/41.8393 - 'Aqueous Species Table'!I387/10)*26.01 ) ) ) )</f>
        <v/>
      </c>
      <c r="K387" s="42" t="str">
        <f>IF(ISBLANK('Aqueous Species Options'!B387), "", IF('Aqueous Species Options'!L387 = 0, 'Aqueous Species Options'!P387, IF('Aqueous Species Table'!I387="", "", IF('Aqueous Species Options'!B387="H+", 0, ('Aqueous Species Options'!G387/41.8393 + 'Aqueous Species Table'!O387*100000*0.0000005903 - 'Aqueous Species Table'!I387/10 - 'Aqueous Species Table'!J387*100/2601)*(298.15-228) - ('Aqueous Species Table'!L387*10000/2601) ) ) ) )</f>
        <v/>
      </c>
      <c r="L387" s="42" t="str">
        <f>IF(ISBLANK('Aqueous Species Options'!B387), "", IF('Aqueous Species Options'!L387 = 0, 'Aqueous Species Options'!Q387, IF('Aqueous Species Table'!J387="", "", IF('Aqueous Species Options'!B387="H+", 0, (-4.134*'Aqueous Species Table'!J387*100 - 27790)*0.0001) ) ) )</f>
        <v/>
      </c>
      <c r="M387" s="42" t="str">
        <f>IF(ISBLANK('Aqueous Species Options'!B387), "", IF('Aqueous Species Options'!L387=0, 'Aqueous Species Options'!R387, IF('Aqueous Species Table'!N387="", "", IF('Aqueous Species Options'!B387="H+", 0, 'Aqueous Species Options'!H387 - 'Aqueous Species Table'!O387*100000*(-0.000000309)*298.15 - 'Aqueous Species Table'!N387*10000/(298.15-228)^2 ) ) ) )</f>
        <v/>
      </c>
      <c r="N387" s="42" t="str">
        <f>IF(ISBLANK('Aqueous Species Options'!B387), "", IF('Aqueous Species Options'!L387=0, 'Aqueous Species Options'!S387, IF(OR(ISBLANK('Aqueous Species Options'!H387), 'Aqueous Species Table'!O387=""), "", IF('Aqueous Species Options'!B387="H+", 0, 0.2037*'Aqueous Species Options'!H387 - 3.0346) ) ) )</f>
        <v/>
      </c>
      <c r="O387" s="42" t="str">
        <f>IF(ISBLANK('Aqueous Species Options'!B387), "", IF('Aqueous Species Options'!K387=0, 'Aqueous Species Options'!I387, IF(OR('Aqueous Species Options'!J387&gt;4,'Aqueous Species Options'!J387&lt;-4), "", IF('Aqueous Species Options'!B387="H+", 0, IF('Aqueous Species Options'!J387=0, -0.038, IF(ISBLANK('Aqueous Species Options'!F387), "", -1514.4*'Aqueous Species Options'!F387*0.00001 + SUM(({4,3,2,1,-1,-2,-3,-4}='Aqueous Species Options'!J387)*{2.1764,1.5793,1.0579,0.5517,1.6291,3.2127,4.8115,6.486}) ) ) ) ) ) )</f>
        <v/>
      </c>
      <c r="P387" s="1" t="str">
        <f>IF(ISBLANK('Aqueous Species Options'!J387), "", 'Aqueous Species Options'!J387)</f>
        <v/>
      </c>
      <c r="Q387" s="184" t="str">
        <f>IF(ISBLANK('Aqueous Species Options'!T387), "", 'Aqueous Species Options'!T387)</f>
        <v/>
      </c>
    </row>
    <row r="388" spans="2:17" ht="16" x14ac:dyDescent="0.2">
      <c r="B388" s="9" t="str">
        <f>IF(ISBLANK('Aqueous Species Options'!B388), "", 'Aqueous Species Options'!B388)</f>
        <v/>
      </c>
      <c r="C388" s="55" t="str">
        <f>IF(ISBLANK('Aqueous Species Options'!C388), "", 'Aqueous Species Options'!C388)</f>
        <v/>
      </c>
      <c r="D388" s="1" t="str">
        <f>IF(ISBLANK('Aqueous Species Options'!D388), "", 'Aqueous Species Options'!D388)</f>
        <v/>
      </c>
      <c r="E388" s="1" t="str">
        <f>IF(ISBLANK('Aqueous Species Options'!E388), "", 'Aqueous Species Options'!E388)</f>
        <v/>
      </c>
      <c r="F388" s="139" t="str">
        <f>IF(ISBLANK('Aqueous Species Options'!F388), "", 'Aqueous Species Options'!F388)</f>
        <v/>
      </c>
      <c r="G388" s="29" t="str">
        <f>IF(ISBLANK('Aqueous Species Options'!B388), "", IF('Aqueous Species Options'!L388 = 1, IF(ISBLANK('Aqueous Species Options'!G388), "", 'Aqueous Species Options'!G388), ('Aqueous Species Table'!I388/10 + ('Aqueous Species Table'!J388*100)/(Calculations!$C$12+Calculations!$C$9) + ('Aqueous Species Table'!K388 + ('Aqueous Species Table'!L388*10000)/(Calculations!$C$12+Calculations!$C$9))*(1/(Calculations!$C$8-Calculations!$C$13)) - 'Aqueous Species Table'!O388*100000*0.0000005903)*41.8393))</f>
        <v/>
      </c>
      <c r="H388" s="29" t="str">
        <f>IF(ISBLANK('Aqueous Species Options'!B388), "", IF('Aqueous Species Options'!L388 = 1, IF(ISBLANK('Aqueous Species Options'!H388), "", 'Aqueous Species Options'!H388), 'Aqueous Species Table'!M388 + 'Aqueous Species Table'!N388*10000*(1/(Calculations!$C$8-Calculations!$C$13))^2 + 'Aqueous Species Table'!O388*100000*Calculations!$C$8*Calculations!$C$7))</f>
        <v/>
      </c>
      <c r="I388" s="42" t="str">
        <f>IF(ISBLANK('Aqueous Species Options'!B388), "", IF('Aqueous Species Options'!L388=0, 'Aqueous Species Options'!N388, IF(OR(ISBLANK('Aqueous Species Options'!G388),'Aqueous Species Table'!O388="", 'Aqueous Species Table'!P388=""), "", IF('Aqueous Species Options'!B388="H+", 0, (CHOOSE('Aqueous Species Options'!M388+1,'Aqueous Species Options'!$V$4*ABS('Aqueous Species Table'!P388)+'Aqueous Species Options'!$W$4,'Aqueous Species Options'!$Z$4)*('Aqueous Species Options'!G388 + 'Aqueous Species Table'!O388*100000*0.0000005903*41.8393) + CHOOSE('Aqueous Species Options'!M388+1,'Aqueous Species Options'!$X$4*ABS('Aqueous Species Table'!P388)+'Aqueous Species Options'!$Y$4,'Aqueous Species Options'!$AA$4))*10 ) ) ) )</f>
        <v/>
      </c>
      <c r="J388" s="42" t="str">
        <f>IF(ISBLANK('Aqueous Species Options'!B388), "", IF('Aqueous Species Options'!L388 = 0, 'Aqueous Species Options'!O388, IF('Aqueous Species Table'!I388="", "", IF('Aqueous Species Options'!B388="H+", 0, ((1.11*('Aqueous Species Options'!G388 + 'Aqueous Species Table'!O388*100000*0.0000005903*41.8393)+1.8)/41.8393 - 'Aqueous Species Table'!I388/10)*26.01 ) ) ) )</f>
        <v/>
      </c>
      <c r="K388" s="42" t="str">
        <f>IF(ISBLANK('Aqueous Species Options'!B388), "", IF('Aqueous Species Options'!L388 = 0, 'Aqueous Species Options'!P388, IF('Aqueous Species Table'!I388="", "", IF('Aqueous Species Options'!B388="H+", 0, ('Aqueous Species Options'!G388/41.8393 + 'Aqueous Species Table'!O388*100000*0.0000005903 - 'Aqueous Species Table'!I388/10 - 'Aqueous Species Table'!J388*100/2601)*(298.15-228) - ('Aqueous Species Table'!L388*10000/2601) ) ) ) )</f>
        <v/>
      </c>
      <c r="L388" s="42" t="str">
        <f>IF(ISBLANK('Aqueous Species Options'!B388), "", IF('Aqueous Species Options'!L388 = 0, 'Aqueous Species Options'!Q388, IF('Aqueous Species Table'!J388="", "", IF('Aqueous Species Options'!B388="H+", 0, (-4.134*'Aqueous Species Table'!J388*100 - 27790)*0.0001) ) ) )</f>
        <v/>
      </c>
      <c r="M388" s="42" t="str">
        <f>IF(ISBLANK('Aqueous Species Options'!B388), "", IF('Aqueous Species Options'!L388=0, 'Aqueous Species Options'!R388, IF('Aqueous Species Table'!N388="", "", IF('Aqueous Species Options'!B388="H+", 0, 'Aqueous Species Options'!H388 - 'Aqueous Species Table'!O388*100000*(-0.000000309)*298.15 - 'Aqueous Species Table'!N388*10000/(298.15-228)^2 ) ) ) )</f>
        <v/>
      </c>
      <c r="N388" s="42" t="str">
        <f>IF(ISBLANK('Aqueous Species Options'!B388), "", IF('Aqueous Species Options'!L388=0, 'Aqueous Species Options'!S388, IF(OR(ISBLANK('Aqueous Species Options'!H388), 'Aqueous Species Table'!O388=""), "", IF('Aqueous Species Options'!B388="H+", 0, 0.2037*'Aqueous Species Options'!H388 - 3.0346) ) ) )</f>
        <v/>
      </c>
      <c r="O388" s="42" t="str">
        <f>IF(ISBLANK('Aqueous Species Options'!B388), "", IF('Aqueous Species Options'!K388=0, 'Aqueous Species Options'!I388, IF(OR('Aqueous Species Options'!J388&gt;4,'Aqueous Species Options'!J388&lt;-4), "", IF('Aqueous Species Options'!B388="H+", 0, IF('Aqueous Species Options'!J388=0, -0.038, IF(ISBLANK('Aqueous Species Options'!F388), "", -1514.4*'Aqueous Species Options'!F388*0.00001 + SUM(({4,3,2,1,-1,-2,-3,-4}='Aqueous Species Options'!J388)*{2.1764,1.5793,1.0579,0.5517,1.6291,3.2127,4.8115,6.486}) ) ) ) ) ) )</f>
        <v/>
      </c>
      <c r="P388" s="1" t="str">
        <f>IF(ISBLANK('Aqueous Species Options'!J388), "", 'Aqueous Species Options'!J388)</f>
        <v/>
      </c>
      <c r="Q388" s="184" t="str">
        <f>IF(ISBLANK('Aqueous Species Options'!T388), "", 'Aqueous Species Options'!T388)</f>
        <v/>
      </c>
    </row>
    <row r="389" spans="2:17" ht="16" x14ac:dyDescent="0.2">
      <c r="B389" s="9" t="str">
        <f>IF(ISBLANK('Aqueous Species Options'!B389), "", 'Aqueous Species Options'!B389)</f>
        <v/>
      </c>
      <c r="C389" s="55" t="str">
        <f>IF(ISBLANK('Aqueous Species Options'!C389), "", 'Aqueous Species Options'!C389)</f>
        <v/>
      </c>
      <c r="D389" s="1" t="str">
        <f>IF(ISBLANK('Aqueous Species Options'!D389), "", 'Aqueous Species Options'!D389)</f>
        <v/>
      </c>
      <c r="E389" s="1" t="str">
        <f>IF(ISBLANK('Aqueous Species Options'!E389), "", 'Aqueous Species Options'!E389)</f>
        <v/>
      </c>
      <c r="F389" s="139" t="str">
        <f>IF(ISBLANK('Aqueous Species Options'!F389), "", 'Aqueous Species Options'!F389)</f>
        <v/>
      </c>
      <c r="G389" s="29" t="str">
        <f>IF(ISBLANK('Aqueous Species Options'!B389), "", IF('Aqueous Species Options'!L389 = 1, IF(ISBLANK('Aqueous Species Options'!G389), "", 'Aqueous Species Options'!G389), ('Aqueous Species Table'!I389/10 + ('Aqueous Species Table'!J389*100)/(Calculations!$C$12+Calculations!$C$9) + ('Aqueous Species Table'!K389 + ('Aqueous Species Table'!L389*10000)/(Calculations!$C$12+Calculations!$C$9))*(1/(Calculations!$C$8-Calculations!$C$13)) - 'Aqueous Species Table'!O389*100000*0.0000005903)*41.8393))</f>
        <v/>
      </c>
      <c r="H389" s="29" t="str">
        <f>IF(ISBLANK('Aqueous Species Options'!B389), "", IF('Aqueous Species Options'!L389 = 1, IF(ISBLANK('Aqueous Species Options'!H389), "", 'Aqueous Species Options'!H389), 'Aqueous Species Table'!M389 + 'Aqueous Species Table'!N389*10000*(1/(Calculations!$C$8-Calculations!$C$13))^2 + 'Aqueous Species Table'!O389*100000*Calculations!$C$8*Calculations!$C$7))</f>
        <v/>
      </c>
      <c r="I389" s="42" t="str">
        <f>IF(ISBLANK('Aqueous Species Options'!B389), "", IF('Aqueous Species Options'!L389=0, 'Aqueous Species Options'!N389, IF(OR(ISBLANK('Aqueous Species Options'!G389),'Aqueous Species Table'!O389="", 'Aqueous Species Table'!P389=""), "", IF('Aqueous Species Options'!B389="H+", 0, (CHOOSE('Aqueous Species Options'!M389+1,'Aqueous Species Options'!$V$4*ABS('Aqueous Species Table'!P389)+'Aqueous Species Options'!$W$4,'Aqueous Species Options'!$Z$4)*('Aqueous Species Options'!G389 + 'Aqueous Species Table'!O389*100000*0.0000005903*41.8393) + CHOOSE('Aqueous Species Options'!M389+1,'Aqueous Species Options'!$X$4*ABS('Aqueous Species Table'!P389)+'Aqueous Species Options'!$Y$4,'Aqueous Species Options'!$AA$4))*10 ) ) ) )</f>
        <v/>
      </c>
      <c r="J389" s="42" t="str">
        <f>IF(ISBLANK('Aqueous Species Options'!B389), "", IF('Aqueous Species Options'!L389 = 0, 'Aqueous Species Options'!O389, IF('Aqueous Species Table'!I389="", "", IF('Aqueous Species Options'!B389="H+", 0, ((1.11*('Aqueous Species Options'!G389 + 'Aqueous Species Table'!O389*100000*0.0000005903*41.8393)+1.8)/41.8393 - 'Aqueous Species Table'!I389/10)*26.01 ) ) ) )</f>
        <v/>
      </c>
      <c r="K389" s="42" t="str">
        <f>IF(ISBLANK('Aqueous Species Options'!B389), "", IF('Aqueous Species Options'!L389 = 0, 'Aqueous Species Options'!P389, IF('Aqueous Species Table'!I389="", "", IF('Aqueous Species Options'!B389="H+", 0, ('Aqueous Species Options'!G389/41.8393 + 'Aqueous Species Table'!O389*100000*0.0000005903 - 'Aqueous Species Table'!I389/10 - 'Aqueous Species Table'!J389*100/2601)*(298.15-228) - ('Aqueous Species Table'!L389*10000/2601) ) ) ) )</f>
        <v/>
      </c>
      <c r="L389" s="42" t="str">
        <f>IF(ISBLANK('Aqueous Species Options'!B389), "", IF('Aqueous Species Options'!L389 = 0, 'Aqueous Species Options'!Q389, IF('Aqueous Species Table'!J389="", "", IF('Aqueous Species Options'!B389="H+", 0, (-4.134*'Aqueous Species Table'!J389*100 - 27790)*0.0001) ) ) )</f>
        <v/>
      </c>
      <c r="M389" s="42" t="str">
        <f>IF(ISBLANK('Aqueous Species Options'!B389), "", IF('Aqueous Species Options'!L389=0, 'Aqueous Species Options'!R389, IF('Aqueous Species Table'!N389="", "", IF('Aqueous Species Options'!B389="H+", 0, 'Aqueous Species Options'!H389 - 'Aqueous Species Table'!O389*100000*(-0.000000309)*298.15 - 'Aqueous Species Table'!N389*10000/(298.15-228)^2 ) ) ) )</f>
        <v/>
      </c>
      <c r="N389" s="42" t="str">
        <f>IF(ISBLANK('Aqueous Species Options'!B389), "", IF('Aqueous Species Options'!L389=0, 'Aqueous Species Options'!S389, IF(OR(ISBLANK('Aqueous Species Options'!H389), 'Aqueous Species Table'!O389=""), "", IF('Aqueous Species Options'!B389="H+", 0, 0.2037*'Aqueous Species Options'!H389 - 3.0346) ) ) )</f>
        <v/>
      </c>
      <c r="O389" s="42" t="str">
        <f>IF(ISBLANK('Aqueous Species Options'!B389), "", IF('Aqueous Species Options'!K389=0, 'Aqueous Species Options'!I389, IF(OR('Aqueous Species Options'!J389&gt;4,'Aqueous Species Options'!J389&lt;-4), "", IF('Aqueous Species Options'!B389="H+", 0, IF('Aqueous Species Options'!J389=0, -0.038, IF(ISBLANK('Aqueous Species Options'!F389), "", -1514.4*'Aqueous Species Options'!F389*0.00001 + SUM(({4,3,2,1,-1,-2,-3,-4}='Aqueous Species Options'!J389)*{2.1764,1.5793,1.0579,0.5517,1.6291,3.2127,4.8115,6.486}) ) ) ) ) ) )</f>
        <v/>
      </c>
      <c r="P389" s="1" t="str">
        <f>IF(ISBLANK('Aqueous Species Options'!J389), "", 'Aqueous Species Options'!J389)</f>
        <v/>
      </c>
      <c r="Q389" s="184" t="str">
        <f>IF(ISBLANK('Aqueous Species Options'!T389), "", 'Aqueous Species Options'!T389)</f>
        <v/>
      </c>
    </row>
    <row r="390" spans="2:17" ht="16" x14ac:dyDescent="0.2">
      <c r="B390" s="9" t="str">
        <f>IF(ISBLANK('Aqueous Species Options'!B390), "", 'Aqueous Species Options'!B390)</f>
        <v/>
      </c>
      <c r="C390" s="55" t="str">
        <f>IF(ISBLANK('Aqueous Species Options'!C390), "", 'Aqueous Species Options'!C390)</f>
        <v/>
      </c>
      <c r="D390" s="1" t="str">
        <f>IF(ISBLANK('Aqueous Species Options'!D390), "", 'Aqueous Species Options'!D390)</f>
        <v/>
      </c>
      <c r="E390" s="1" t="str">
        <f>IF(ISBLANK('Aqueous Species Options'!E390), "", 'Aqueous Species Options'!E390)</f>
        <v/>
      </c>
      <c r="F390" s="139" t="str">
        <f>IF(ISBLANK('Aqueous Species Options'!F390), "", 'Aqueous Species Options'!F390)</f>
        <v/>
      </c>
      <c r="G390" s="29" t="str">
        <f>IF(ISBLANK('Aqueous Species Options'!B390), "", IF('Aqueous Species Options'!L390 = 1, IF(ISBLANK('Aqueous Species Options'!G390), "", 'Aqueous Species Options'!G390), ('Aqueous Species Table'!I390/10 + ('Aqueous Species Table'!J390*100)/(Calculations!$C$12+Calculations!$C$9) + ('Aqueous Species Table'!K390 + ('Aqueous Species Table'!L390*10000)/(Calculations!$C$12+Calculations!$C$9))*(1/(Calculations!$C$8-Calculations!$C$13)) - 'Aqueous Species Table'!O390*100000*0.0000005903)*41.8393))</f>
        <v/>
      </c>
      <c r="H390" s="29" t="str">
        <f>IF(ISBLANK('Aqueous Species Options'!B390), "", IF('Aqueous Species Options'!L390 = 1, IF(ISBLANK('Aqueous Species Options'!H390), "", 'Aqueous Species Options'!H390), 'Aqueous Species Table'!M390 + 'Aqueous Species Table'!N390*10000*(1/(Calculations!$C$8-Calculations!$C$13))^2 + 'Aqueous Species Table'!O390*100000*Calculations!$C$8*Calculations!$C$7))</f>
        <v/>
      </c>
      <c r="I390" s="42" t="str">
        <f>IF(ISBLANK('Aqueous Species Options'!B390), "", IF('Aqueous Species Options'!L390=0, 'Aqueous Species Options'!N390, IF(OR(ISBLANK('Aqueous Species Options'!G390),'Aqueous Species Table'!O390="", 'Aqueous Species Table'!P390=""), "", IF('Aqueous Species Options'!B390="H+", 0, (CHOOSE('Aqueous Species Options'!M390+1,'Aqueous Species Options'!$V$4*ABS('Aqueous Species Table'!P390)+'Aqueous Species Options'!$W$4,'Aqueous Species Options'!$Z$4)*('Aqueous Species Options'!G390 + 'Aqueous Species Table'!O390*100000*0.0000005903*41.8393) + CHOOSE('Aqueous Species Options'!M390+1,'Aqueous Species Options'!$X$4*ABS('Aqueous Species Table'!P390)+'Aqueous Species Options'!$Y$4,'Aqueous Species Options'!$AA$4))*10 ) ) ) )</f>
        <v/>
      </c>
      <c r="J390" s="42" t="str">
        <f>IF(ISBLANK('Aqueous Species Options'!B390), "", IF('Aqueous Species Options'!L390 = 0, 'Aqueous Species Options'!O390, IF('Aqueous Species Table'!I390="", "", IF('Aqueous Species Options'!B390="H+", 0, ((1.11*('Aqueous Species Options'!G390 + 'Aqueous Species Table'!O390*100000*0.0000005903*41.8393)+1.8)/41.8393 - 'Aqueous Species Table'!I390/10)*26.01 ) ) ) )</f>
        <v/>
      </c>
      <c r="K390" s="42" t="str">
        <f>IF(ISBLANK('Aqueous Species Options'!B390), "", IF('Aqueous Species Options'!L390 = 0, 'Aqueous Species Options'!P390, IF('Aqueous Species Table'!I390="", "", IF('Aqueous Species Options'!B390="H+", 0, ('Aqueous Species Options'!G390/41.8393 + 'Aqueous Species Table'!O390*100000*0.0000005903 - 'Aqueous Species Table'!I390/10 - 'Aqueous Species Table'!J390*100/2601)*(298.15-228) - ('Aqueous Species Table'!L390*10000/2601) ) ) ) )</f>
        <v/>
      </c>
      <c r="L390" s="42" t="str">
        <f>IF(ISBLANK('Aqueous Species Options'!B390), "", IF('Aqueous Species Options'!L390 = 0, 'Aqueous Species Options'!Q390, IF('Aqueous Species Table'!J390="", "", IF('Aqueous Species Options'!B390="H+", 0, (-4.134*'Aqueous Species Table'!J390*100 - 27790)*0.0001) ) ) )</f>
        <v/>
      </c>
      <c r="M390" s="42" t="str">
        <f>IF(ISBLANK('Aqueous Species Options'!B390), "", IF('Aqueous Species Options'!L390=0, 'Aqueous Species Options'!R390, IF('Aqueous Species Table'!N390="", "", IF('Aqueous Species Options'!B390="H+", 0, 'Aqueous Species Options'!H390 - 'Aqueous Species Table'!O390*100000*(-0.000000309)*298.15 - 'Aqueous Species Table'!N390*10000/(298.15-228)^2 ) ) ) )</f>
        <v/>
      </c>
      <c r="N390" s="42" t="str">
        <f>IF(ISBLANK('Aqueous Species Options'!B390), "", IF('Aqueous Species Options'!L390=0, 'Aqueous Species Options'!S390, IF(OR(ISBLANK('Aqueous Species Options'!H390), 'Aqueous Species Table'!O390=""), "", IF('Aqueous Species Options'!B390="H+", 0, 0.2037*'Aqueous Species Options'!H390 - 3.0346) ) ) )</f>
        <v/>
      </c>
      <c r="O390" s="42" t="str">
        <f>IF(ISBLANK('Aqueous Species Options'!B390), "", IF('Aqueous Species Options'!K390=0, 'Aqueous Species Options'!I390, IF(OR('Aqueous Species Options'!J390&gt;4,'Aqueous Species Options'!J390&lt;-4), "", IF('Aqueous Species Options'!B390="H+", 0, IF('Aqueous Species Options'!J390=0, -0.038, IF(ISBLANK('Aqueous Species Options'!F390), "", -1514.4*'Aqueous Species Options'!F390*0.00001 + SUM(({4,3,2,1,-1,-2,-3,-4}='Aqueous Species Options'!J390)*{2.1764,1.5793,1.0579,0.5517,1.6291,3.2127,4.8115,6.486}) ) ) ) ) ) )</f>
        <v/>
      </c>
      <c r="P390" s="1" t="str">
        <f>IF(ISBLANK('Aqueous Species Options'!J390), "", 'Aqueous Species Options'!J390)</f>
        <v/>
      </c>
      <c r="Q390" s="184" t="str">
        <f>IF(ISBLANK('Aqueous Species Options'!T390), "", 'Aqueous Species Options'!T390)</f>
        <v/>
      </c>
    </row>
    <row r="391" spans="2:17" ht="16" x14ac:dyDescent="0.2">
      <c r="B391" s="9" t="str">
        <f>IF(ISBLANK('Aqueous Species Options'!B391), "", 'Aqueous Species Options'!B391)</f>
        <v/>
      </c>
      <c r="C391" s="55" t="str">
        <f>IF(ISBLANK('Aqueous Species Options'!C391), "", 'Aqueous Species Options'!C391)</f>
        <v/>
      </c>
      <c r="D391" s="1" t="str">
        <f>IF(ISBLANK('Aqueous Species Options'!D391), "", 'Aqueous Species Options'!D391)</f>
        <v/>
      </c>
      <c r="E391" s="1" t="str">
        <f>IF(ISBLANK('Aqueous Species Options'!E391), "", 'Aqueous Species Options'!E391)</f>
        <v/>
      </c>
      <c r="F391" s="139" t="str">
        <f>IF(ISBLANK('Aqueous Species Options'!F391), "", 'Aqueous Species Options'!F391)</f>
        <v/>
      </c>
      <c r="G391" s="29" t="str">
        <f>IF(ISBLANK('Aqueous Species Options'!B391), "", IF('Aqueous Species Options'!L391 = 1, IF(ISBLANK('Aqueous Species Options'!G391), "", 'Aqueous Species Options'!G391), ('Aqueous Species Table'!I391/10 + ('Aqueous Species Table'!J391*100)/(Calculations!$C$12+Calculations!$C$9) + ('Aqueous Species Table'!K391 + ('Aqueous Species Table'!L391*10000)/(Calculations!$C$12+Calculations!$C$9))*(1/(Calculations!$C$8-Calculations!$C$13)) - 'Aqueous Species Table'!O391*100000*0.0000005903)*41.8393))</f>
        <v/>
      </c>
      <c r="H391" s="29" t="str">
        <f>IF(ISBLANK('Aqueous Species Options'!B391), "", IF('Aqueous Species Options'!L391 = 1, IF(ISBLANK('Aqueous Species Options'!H391), "", 'Aqueous Species Options'!H391), 'Aqueous Species Table'!M391 + 'Aqueous Species Table'!N391*10000*(1/(Calculations!$C$8-Calculations!$C$13))^2 + 'Aqueous Species Table'!O391*100000*Calculations!$C$8*Calculations!$C$7))</f>
        <v/>
      </c>
      <c r="I391" s="42" t="str">
        <f>IF(ISBLANK('Aqueous Species Options'!B391), "", IF('Aqueous Species Options'!L391=0, 'Aqueous Species Options'!N391, IF(OR(ISBLANK('Aqueous Species Options'!G391),'Aqueous Species Table'!O391="", 'Aqueous Species Table'!P391=""), "", IF('Aqueous Species Options'!B391="H+", 0, (CHOOSE('Aqueous Species Options'!M391+1,'Aqueous Species Options'!$V$4*ABS('Aqueous Species Table'!P391)+'Aqueous Species Options'!$W$4,'Aqueous Species Options'!$Z$4)*('Aqueous Species Options'!G391 + 'Aqueous Species Table'!O391*100000*0.0000005903*41.8393) + CHOOSE('Aqueous Species Options'!M391+1,'Aqueous Species Options'!$X$4*ABS('Aqueous Species Table'!P391)+'Aqueous Species Options'!$Y$4,'Aqueous Species Options'!$AA$4))*10 ) ) ) )</f>
        <v/>
      </c>
      <c r="J391" s="42" t="str">
        <f>IF(ISBLANK('Aqueous Species Options'!B391), "", IF('Aqueous Species Options'!L391 = 0, 'Aqueous Species Options'!O391, IF('Aqueous Species Table'!I391="", "", IF('Aqueous Species Options'!B391="H+", 0, ((1.11*('Aqueous Species Options'!G391 + 'Aqueous Species Table'!O391*100000*0.0000005903*41.8393)+1.8)/41.8393 - 'Aqueous Species Table'!I391/10)*26.01 ) ) ) )</f>
        <v/>
      </c>
      <c r="K391" s="42" t="str">
        <f>IF(ISBLANK('Aqueous Species Options'!B391), "", IF('Aqueous Species Options'!L391 = 0, 'Aqueous Species Options'!P391, IF('Aqueous Species Table'!I391="", "", IF('Aqueous Species Options'!B391="H+", 0, ('Aqueous Species Options'!G391/41.8393 + 'Aqueous Species Table'!O391*100000*0.0000005903 - 'Aqueous Species Table'!I391/10 - 'Aqueous Species Table'!J391*100/2601)*(298.15-228) - ('Aqueous Species Table'!L391*10000/2601) ) ) ) )</f>
        <v/>
      </c>
      <c r="L391" s="42" t="str">
        <f>IF(ISBLANK('Aqueous Species Options'!B391), "", IF('Aqueous Species Options'!L391 = 0, 'Aqueous Species Options'!Q391, IF('Aqueous Species Table'!J391="", "", IF('Aqueous Species Options'!B391="H+", 0, (-4.134*'Aqueous Species Table'!J391*100 - 27790)*0.0001) ) ) )</f>
        <v/>
      </c>
      <c r="M391" s="42" t="str">
        <f>IF(ISBLANK('Aqueous Species Options'!B391), "", IF('Aqueous Species Options'!L391=0, 'Aqueous Species Options'!R391, IF('Aqueous Species Table'!N391="", "", IF('Aqueous Species Options'!B391="H+", 0, 'Aqueous Species Options'!H391 - 'Aqueous Species Table'!O391*100000*(-0.000000309)*298.15 - 'Aqueous Species Table'!N391*10000/(298.15-228)^2 ) ) ) )</f>
        <v/>
      </c>
      <c r="N391" s="42" t="str">
        <f>IF(ISBLANK('Aqueous Species Options'!B391), "", IF('Aqueous Species Options'!L391=0, 'Aqueous Species Options'!S391, IF(OR(ISBLANK('Aqueous Species Options'!H391), 'Aqueous Species Table'!O391=""), "", IF('Aqueous Species Options'!B391="H+", 0, 0.2037*'Aqueous Species Options'!H391 - 3.0346) ) ) )</f>
        <v/>
      </c>
      <c r="O391" s="42" t="str">
        <f>IF(ISBLANK('Aqueous Species Options'!B391), "", IF('Aqueous Species Options'!K391=0, 'Aqueous Species Options'!I391, IF(OR('Aqueous Species Options'!J391&gt;4,'Aqueous Species Options'!J391&lt;-4), "", IF('Aqueous Species Options'!B391="H+", 0, IF('Aqueous Species Options'!J391=0, -0.038, IF(ISBLANK('Aqueous Species Options'!F391), "", -1514.4*'Aqueous Species Options'!F391*0.00001 + SUM(({4,3,2,1,-1,-2,-3,-4}='Aqueous Species Options'!J391)*{2.1764,1.5793,1.0579,0.5517,1.6291,3.2127,4.8115,6.486}) ) ) ) ) ) )</f>
        <v/>
      </c>
      <c r="P391" s="1" t="str">
        <f>IF(ISBLANK('Aqueous Species Options'!J391), "", 'Aqueous Species Options'!J391)</f>
        <v/>
      </c>
      <c r="Q391" s="184" t="str">
        <f>IF(ISBLANK('Aqueous Species Options'!T391), "", 'Aqueous Species Options'!T391)</f>
        <v/>
      </c>
    </row>
    <row r="392" spans="2:17" ht="16" x14ac:dyDescent="0.2">
      <c r="B392" s="9" t="str">
        <f>IF(ISBLANK('Aqueous Species Options'!B392), "", 'Aqueous Species Options'!B392)</f>
        <v/>
      </c>
      <c r="C392" s="55" t="str">
        <f>IF(ISBLANK('Aqueous Species Options'!C392), "", 'Aqueous Species Options'!C392)</f>
        <v/>
      </c>
      <c r="D392" s="1" t="str">
        <f>IF(ISBLANK('Aqueous Species Options'!D392), "", 'Aqueous Species Options'!D392)</f>
        <v/>
      </c>
      <c r="E392" s="1" t="str">
        <f>IF(ISBLANK('Aqueous Species Options'!E392), "", 'Aqueous Species Options'!E392)</f>
        <v/>
      </c>
      <c r="F392" s="139" t="str">
        <f>IF(ISBLANK('Aqueous Species Options'!F392), "", 'Aqueous Species Options'!F392)</f>
        <v/>
      </c>
      <c r="G392" s="29" t="str">
        <f>IF(ISBLANK('Aqueous Species Options'!B392), "", IF('Aqueous Species Options'!L392 = 1, IF(ISBLANK('Aqueous Species Options'!G392), "", 'Aqueous Species Options'!G392), ('Aqueous Species Table'!I392/10 + ('Aqueous Species Table'!J392*100)/(Calculations!$C$12+Calculations!$C$9) + ('Aqueous Species Table'!K392 + ('Aqueous Species Table'!L392*10000)/(Calculations!$C$12+Calculations!$C$9))*(1/(Calculations!$C$8-Calculations!$C$13)) - 'Aqueous Species Table'!O392*100000*0.0000005903)*41.8393))</f>
        <v/>
      </c>
      <c r="H392" s="29" t="str">
        <f>IF(ISBLANK('Aqueous Species Options'!B392), "", IF('Aqueous Species Options'!L392 = 1, IF(ISBLANK('Aqueous Species Options'!H392), "", 'Aqueous Species Options'!H392), 'Aqueous Species Table'!M392 + 'Aqueous Species Table'!N392*10000*(1/(Calculations!$C$8-Calculations!$C$13))^2 + 'Aqueous Species Table'!O392*100000*Calculations!$C$8*Calculations!$C$7))</f>
        <v/>
      </c>
      <c r="I392" s="42" t="str">
        <f>IF(ISBLANK('Aqueous Species Options'!B392), "", IF('Aqueous Species Options'!L392=0, 'Aqueous Species Options'!N392, IF(OR(ISBLANK('Aqueous Species Options'!G392),'Aqueous Species Table'!O392="", 'Aqueous Species Table'!P392=""), "", IF('Aqueous Species Options'!B392="H+", 0, (CHOOSE('Aqueous Species Options'!M392+1,'Aqueous Species Options'!$V$4*ABS('Aqueous Species Table'!P392)+'Aqueous Species Options'!$W$4,'Aqueous Species Options'!$Z$4)*('Aqueous Species Options'!G392 + 'Aqueous Species Table'!O392*100000*0.0000005903*41.8393) + CHOOSE('Aqueous Species Options'!M392+1,'Aqueous Species Options'!$X$4*ABS('Aqueous Species Table'!P392)+'Aqueous Species Options'!$Y$4,'Aqueous Species Options'!$AA$4))*10 ) ) ) )</f>
        <v/>
      </c>
      <c r="J392" s="42" t="str">
        <f>IF(ISBLANK('Aqueous Species Options'!B392), "", IF('Aqueous Species Options'!L392 = 0, 'Aqueous Species Options'!O392, IF('Aqueous Species Table'!I392="", "", IF('Aqueous Species Options'!B392="H+", 0, ((1.11*('Aqueous Species Options'!G392 + 'Aqueous Species Table'!O392*100000*0.0000005903*41.8393)+1.8)/41.8393 - 'Aqueous Species Table'!I392/10)*26.01 ) ) ) )</f>
        <v/>
      </c>
      <c r="K392" s="42" t="str">
        <f>IF(ISBLANK('Aqueous Species Options'!B392), "", IF('Aqueous Species Options'!L392 = 0, 'Aqueous Species Options'!P392, IF('Aqueous Species Table'!I392="", "", IF('Aqueous Species Options'!B392="H+", 0, ('Aqueous Species Options'!G392/41.8393 + 'Aqueous Species Table'!O392*100000*0.0000005903 - 'Aqueous Species Table'!I392/10 - 'Aqueous Species Table'!J392*100/2601)*(298.15-228) - ('Aqueous Species Table'!L392*10000/2601) ) ) ) )</f>
        <v/>
      </c>
      <c r="L392" s="42" t="str">
        <f>IF(ISBLANK('Aqueous Species Options'!B392), "", IF('Aqueous Species Options'!L392 = 0, 'Aqueous Species Options'!Q392, IF('Aqueous Species Table'!J392="", "", IF('Aqueous Species Options'!B392="H+", 0, (-4.134*'Aqueous Species Table'!J392*100 - 27790)*0.0001) ) ) )</f>
        <v/>
      </c>
      <c r="M392" s="42" t="str">
        <f>IF(ISBLANK('Aqueous Species Options'!B392), "", IF('Aqueous Species Options'!L392=0, 'Aqueous Species Options'!R392, IF('Aqueous Species Table'!N392="", "", IF('Aqueous Species Options'!B392="H+", 0, 'Aqueous Species Options'!H392 - 'Aqueous Species Table'!O392*100000*(-0.000000309)*298.15 - 'Aqueous Species Table'!N392*10000/(298.15-228)^2 ) ) ) )</f>
        <v/>
      </c>
      <c r="N392" s="42" t="str">
        <f>IF(ISBLANK('Aqueous Species Options'!B392), "", IF('Aqueous Species Options'!L392=0, 'Aqueous Species Options'!S392, IF(OR(ISBLANK('Aqueous Species Options'!H392), 'Aqueous Species Table'!O392=""), "", IF('Aqueous Species Options'!B392="H+", 0, 0.2037*'Aqueous Species Options'!H392 - 3.0346) ) ) )</f>
        <v/>
      </c>
      <c r="O392" s="42" t="str">
        <f>IF(ISBLANK('Aqueous Species Options'!B392), "", IF('Aqueous Species Options'!K392=0, 'Aqueous Species Options'!I392, IF(OR('Aqueous Species Options'!J392&gt;4,'Aqueous Species Options'!J392&lt;-4), "", IF('Aqueous Species Options'!B392="H+", 0, IF('Aqueous Species Options'!J392=0, -0.038, IF(ISBLANK('Aqueous Species Options'!F392), "", -1514.4*'Aqueous Species Options'!F392*0.00001 + SUM(({4,3,2,1,-1,-2,-3,-4}='Aqueous Species Options'!J392)*{2.1764,1.5793,1.0579,0.5517,1.6291,3.2127,4.8115,6.486}) ) ) ) ) ) )</f>
        <v/>
      </c>
      <c r="P392" s="1" t="str">
        <f>IF(ISBLANK('Aqueous Species Options'!J392), "", 'Aqueous Species Options'!J392)</f>
        <v/>
      </c>
      <c r="Q392" s="184" t="str">
        <f>IF(ISBLANK('Aqueous Species Options'!T392), "", 'Aqueous Species Options'!T392)</f>
        <v/>
      </c>
    </row>
    <row r="393" spans="2:17" ht="15" customHeight="1" x14ac:dyDescent="0.2">
      <c r="B393" s="9" t="str">
        <f>IF(ISBLANK('Aqueous Species Options'!B393), "", 'Aqueous Species Options'!B393)</f>
        <v/>
      </c>
      <c r="C393" s="55" t="str">
        <f>IF(ISBLANK('Aqueous Species Options'!C393), "", 'Aqueous Species Options'!C393)</f>
        <v/>
      </c>
      <c r="D393" s="1" t="str">
        <f>IF(ISBLANK('Aqueous Species Options'!D393), "", 'Aqueous Species Options'!D393)</f>
        <v/>
      </c>
      <c r="E393" s="1" t="str">
        <f>IF(ISBLANK('Aqueous Species Options'!E393), "", 'Aqueous Species Options'!E393)</f>
        <v/>
      </c>
      <c r="F393" s="139" t="str">
        <f>IF(ISBLANK('Aqueous Species Options'!F393), "", 'Aqueous Species Options'!F393)</f>
        <v/>
      </c>
      <c r="G393" s="29" t="str">
        <f>IF(ISBLANK('Aqueous Species Options'!B393), "", IF('Aqueous Species Options'!L393 = 1, IF(ISBLANK('Aqueous Species Options'!G393), "", 'Aqueous Species Options'!G393), ('Aqueous Species Table'!I393/10 + ('Aqueous Species Table'!J393*100)/(Calculations!$C$12+Calculations!$C$9) + ('Aqueous Species Table'!K393 + ('Aqueous Species Table'!L393*10000)/(Calculations!$C$12+Calculations!$C$9))*(1/(Calculations!$C$8-Calculations!$C$13)) - 'Aqueous Species Table'!O393*100000*0.0000005903)*41.8393))</f>
        <v/>
      </c>
      <c r="H393" s="29" t="str">
        <f>IF(ISBLANK('Aqueous Species Options'!B393), "", IF('Aqueous Species Options'!L393 = 1, IF(ISBLANK('Aqueous Species Options'!H393), "", 'Aqueous Species Options'!H393), 'Aqueous Species Table'!M393 + 'Aqueous Species Table'!N393*10000*(1/(Calculations!$C$8-Calculations!$C$13))^2 + 'Aqueous Species Table'!O393*100000*Calculations!$C$8*Calculations!$C$7))</f>
        <v/>
      </c>
      <c r="I393" s="42" t="str">
        <f>IF(ISBLANK('Aqueous Species Options'!B393), "", IF('Aqueous Species Options'!L393=0, 'Aqueous Species Options'!N393, IF(OR(ISBLANK('Aqueous Species Options'!G393),'Aqueous Species Table'!O393="", 'Aqueous Species Table'!P393=""), "", IF('Aqueous Species Options'!B393="H+", 0, (CHOOSE('Aqueous Species Options'!M393+1,'Aqueous Species Options'!$V$4*ABS('Aqueous Species Table'!P393)+'Aqueous Species Options'!$W$4,'Aqueous Species Options'!$Z$4)*('Aqueous Species Options'!G393 + 'Aqueous Species Table'!O393*100000*0.0000005903*41.8393) + CHOOSE('Aqueous Species Options'!M393+1,'Aqueous Species Options'!$X$4*ABS('Aqueous Species Table'!P393)+'Aqueous Species Options'!$Y$4,'Aqueous Species Options'!$AA$4))*10 ) ) ) )</f>
        <v/>
      </c>
      <c r="J393" s="42" t="str">
        <f>IF(ISBLANK('Aqueous Species Options'!B393), "", IF('Aqueous Species Options'!L393 = 0, 'Aqueous Species Options'!O393, IF('Aqueous Species Table'!I393="", "", IF('Aqueous Species Options'!B393="H+", 0, ((1.11*('Aqueous Species Options'!G393 + 'Aqueous Species Table'!O393*100000*0.0000005903*41.8393)+1.8)/41.8393 - 'Aqueous Species Table'!I393/10)*26.01 ) ) ) )</f>
        <v/>
      </c>
      <c r="K393" s="42" t="str">
        <f>IF(ISBLANK('Aqueous Species Options'!B393), "", IF('Aqueous Species Options'!L393 = 0, 'Aqueous Species Options'!P393, IF('Aqueous Species Table'!I393="", "", IF('Aqueous Species Options'!B393="H+", 0, ('Aqueous Species Options'!G393/41.8393 + 'Aqueous Species Table'!O393*100000*0.0000005903 - 'Aqueous Species Table'!I393/10 - 'Aqueous Species Table'!J393*100/2601)*(298.15-228) - ('Aqueous Species Table'!L393*10000/2601) ) ) ) )</f>
        <v/>
      </c>
      <c r="L393" s="42" t="str">
        <f>IF(ISBLANK('Aqueous Species Options'!B393), "", IF('Aqueous Species Options'!L393 = 0, 'Aqueous Species Options'!Q393, IF('Aqueous Species Table'!J393="", "", IF('Aqueous Species Options'!B393="H+", 0, (-4.134*'Aqueous Species Table'!J393*100 - 27790)*0.0001) ) ) )</f>
        <v/>
      </c>
      <c r="M393" s="42" t="str">
        <f>IF(ISBLANK('Aqueous Species Options'!B393), "", IF('Aqueous Species Options'!L393=0, 'Aqueous Species Options'!R393, IF('Aqueous Species Table'!N393="", "", IF('Aqueous Species Options'!B393="H+", 0, 'Aqueous Species Options'!H393 - 'Aqueous Species Table'!O393*100000*(-0.000000309)*298.15 - 'Aqueous Species Table'!N393*10000/(298.15-228)^2 ) ) ) )</f>
        <v/>
      </c>
      <c r="N393" s="42" t="str">
        <f>IF(ISBLANK('Aqueous Species Options'!B393), "", IF('Aqueous Species Options'!L393=0, 'Aqueous Species Options'!S393, IF(OR(ISBLANK('Aqueous Species Options'!H393), 'Aqueous Species Table'!O393=""), "", IF('Aqueous Species Options'!B393="H+", 0, 0.2037*'Aqueous Species Options'!H393 - 3.0346) ) ) )</f>
        <v/>
      </c>
      <c r="O393" s="42" t="str">
        <f>IF(ISBLANK('Aqueous Species Options'!B393), "", IF('Aqueous Species Options'!K393=0, 'Aqueous Species Options'!I393, IF(OR('Aqueous Species Options'!J393&gt;4,'Aqueous Species Options'!J393&lt;-4), "", IF('Aqueous Species Options'!B393="H+", 0, IF('Aqueous Species Options'!J393=0, -0.038, IF(ISBLANK('Aqueous Species Options'!F393), "", -1514.4*'Aqueous Species Options'!F393*0.00001 + SUM(({4,3,2,1,-1,-2,-3,-4}='Aqueous Species Options'!J393)*{2.1764,1.5793,1.0579,0.5517,1.6291,3.2127,4.8115,6.486}) ) ) ) ) ) )</f>
        <v/>
      </c>
      <c r="P393" s="1" t="str">
        <f>IF(ISBLANK('Aqueous Species Options'!J393), "", 'Aqueous Species Options'!J393)</f>
        <v/>
      </c>
      <c r="Q393" s="184" t="str">
        <f>IF(ISBLANK('Aqueous Species Options'!T393), "", 'Aqueous Species Options'!T393)</f>
        <v/>
      </c>
    </row>
    <row r="394" spans="2:17" ht="15" customHeight="1" x14ac:dyDescent="0.2">
      <c r="B394" s="9" t="str">
        <f>IF(ISBLANK('Aqueous Species Options'!B394), "", 'Aqueous Species Options'!B394)</f>
        <v/>
      </c>
      <c r="C394" s="55" t="str">
        <f>IF(ISBLANK('Aqueous Species Options'!C394), "", 'Aqueous Species Options'!C394)</f>
        <v/>
      </c>
      <c r="D394" s="1" t="str">
        <f>IF(ISBLANK('Aqueous Species Options'!D394), "", 'Aqueous Species Options'!D394)</f>
        <v/>
      </c>
      <c r="E394" s="1" t="str">
        <f>IF(ISBLANK('Aqueous Species Options'!E394), "", 'Aqueous Species Options'!E394)</f>
        <v/>
      </c>
      <c r="F394" s="139" t="str">
        <f>IF(ISBLANK('Aqueous Species Options'!F394), "", 'Aqueous Species Options'!F394)</f>
        <v/>
      </c>
      <c r="G394" s="29" t="str">
        <f>IF(ISBLANK('Aqueous Species Options'!B394), "", IF('Aqueous Species Options'!L394 = 1, IF(ISBLANK('Aqueous Species Options'!G394), "", 'Aqueous Species Options'!G394), ('Aqueous Species Table'!I394/10 + ('Aqueous Species Table'!J394*100)/(Calculations!$C$12+Calculations!$C$9) + ('Aqueous Species Table'!K394 + ('Aqueous Species Table'!L394*10000)/(Calculations!$C$12+Calculations!$C$9))*(1/(Calculations!$C$8-Calculations!$C$13)) - 'Aqueous Species Table'!O394*100000*0.0000005903)*41.8393))</f>
        <v/>
      </c>
      <c r="H394" s="29" t="str">
        <f>IF(ISBLANK('Aqueous Species Options'!B394), "", IF('Aqueous Species Options'!L394 = 1, IF(ISBLANK('Aqueous Species Options'!H394), "", 'Aqueous Species Options'!H394), 'Aqueous Species Table'!M394 + 'Aqueous Species Table'!N394*10000*(1/(Calculations!$C$8-Calculations!$C$13))^2 + 'Aqueous Species Table'!O394*100000*Calculations!$C$8*Calculations!$C$7))</f>
        <v/>
      </c>
      <c r="I394" s="42" t="str">
        <f>IF(ISBLANK('Aqueous Species Options'!B394), "", IF('Aqueous Species Options'!L394=0, 'Aqueous Species Options'!N394, IF(OR(ISBLANK('Aqueous Species Options'!G394),'Aqueous Species Table'!O394="", 'Aqueous Species Table'!P394=""), "", IF('Aqueous Species Options'!B394="H+", 0, (CHOOSE('Aqueous Species Options'!M394+1,'Aqueous Species Options'!$V$4*ABS('Aqueous Species Table'!P394)+'Aqueous Species Options'!$W$4,'Aqueous Species Options'!$Z$4)*('Aqueous Species Options'!G394 + 'Aqueous Species Table'!O394*100000*0.0000005903*41.8393) + CHOOSE('Aqueous Species Options'!M394+1,'Aqueous Species Options'!$X$4*ABS('Aqueous Species Table'!P394)+'Aqueous Species Options'!$Y$4,'Aqueous Species Options'!$AA$4))*10 ) ) ) )</f>
        <v/>
      </c>
      <c r="J394" s="42" t="str">
        <f>IF(ISBLANK('Aqueous Species Options'!B394), "", IF('Aqueous Species Options'!L394 = 0, 'Aqueous Species Options'!O394, IF('Aqueous Species Table'!I394="", "", IF('Aqueous Species Options'!B394="H+", 0, ((1.11*('Aqueous Species Options'!G394 + 'Aqueous Species Table'!O394*100000*0.0000005903*41.8393)+1.8)/41.8393 - 'Aqueous Species Table'!I394/10)*26.01 ) ) ) )</f>
        <v/>
      </c>
      <c r="K394" s="42" t="str">
        <f>IF(ISBLANK('Aqueous Species Options'!B394), "", IF('Aqueous Species Options'!L394 = 0, 'Aqueous Species Options'!P394, IF('Aqueous Species Table'!I394="", "", IF('Aqueous Species Options'!B394="H+", 0, ('Aqueous Species Options'!G394/41.8393 + 'Aqueous Species Table'!O394*100000*0.0000005903 - 'Aqueous Species Table'!I394/10 - 'Aqueous Species Table'!J394*100/2601)*(298.15-228) - ('Aqueous Species Table'!L394*10000/2601) ) ) ) )</f>
        <v/>
      </c>
      <c r="L394" s="42" t="str">
        <f>IF(ISBLANK('Aqueous Species Options'!B394), "", IF('Aqueous Species Options'!L394 = 0, 'Aqueous Species Options'!Q394, IF('Aqueous Species Table'!J394="", "", IF('Aqueous Species Options'!B394="H+", 0, (-4.134*'Aqueous Species Table'!J394*100 - 27790)*0.0001) ) ) )</f>
        <v/>
      </c>
      <c r="M394" s="42" t="str">
        <f>IF(ISBLANK('Aqueous Species Options'!B394), "", IF('Aqueous Species Options'!L394=0, 'Aqueous Species Options'!R394, IF('Aqueous Species Table'!N394="", "", IF('Aqueous Species Options'!B394="H+", 0, 'Aqueous Species Options'!H394 - 'Aqueous Species Table'!O394*100000*(-0.000000309)*298.15 - 'Aqueous Species Table'!N394*10000/(298.15-228)^2 ) ) ) )</f>
        <v/>
      </c>
      <c r="N394" s="42" t="str">
        <f>IF(ISBLANK('Aqueous Species Options'!B394), "", IF('Aqueous Species Options'!L394=0, 'Aqueous Species Options'!S394, IF(OR(ISBLANK('Aqueous Species Options'!H394), 'Aqueous Species Table'!O394=""), "", IF('Aqueous Species Options'!B394="H+", 0, 0.2037*'Aqueous Species Options'!H394 - 3.0346) ) ) )</f>
        <v/>
      </c>
      <c r="O394" s="42" t="str">
        <f>IF(ISBLANK('Aqueous Species Options'!B394), "", IF('Aqueous Species Options'!K394=0, 'Aqueous Species Options'!I394, IF(OR('Aqueous Species Options'!J394&gt;4,'Aqueous Species Options'!J394&lt;-4), "", IF('Aqueous Species Options'!B394="H+", 0, IF('Aqueous Species Options'!J394=0, -0.038, IF(ISBLANK('Aqueous Species Options'!F394), "", -1514.4*'Aqueous Species Options'!F394*0.00001 + SUM(({4,3,2,1,-1,-2,-3,-4}='Aqueous Species Options'!J394)*{2.1764,1.5793,1.0579,0.5517,1.6291,3.2127,4.8115,6.486}) ) ) ) ) ) )</f>
        <v/>
      </c>
      <c r="P394" s="1" t="str">
        <f>IF(ISBLANK('Aqueous Species Options'!J394), "", 'Aqueous Species Options'!J394)</f>
        <v/>
      </c>
      <c r="Q394" s="184" t="str">
        <f>IF(ISBLANK('Aqueous Species Options'!T394), "", 'Aqueous Species Options'!T394)</f>
        <v/>
      </c>
    </row>
    <row r="395" spans="2:17" ht="16" x14ac:dyDescent="0.2">
      <c r="B395" s="9" t="str">
        <f>IF(ISBLANK('Aqueous Species Options'!B395), "", 'Aqueous Species Options'!B395)</f>
        <v/>
      </c>
      <c r="C395" s="55" t="str">
        <f>IF(ISBLANK('Aqueous Species Options'!C395), "", 'Aqueous Species Options'!C395)</f>
        <v/>
      </c>
      <c r="D395" s="1" t="str">
        <f>IF(ISBLANK('Aqueous Species Options'!D395), "", 'Aqueous Species Options'!D395)</f>
        <v/>
      </c>
      <c r="E395" s="1" t="str">
        <f>IF(ISBLANK('Aqueous Species Options'!E395), "", 'Aqueous Species Options'!E395)</f>
        <v/>
      </c>
      <c r="F395" s="139" t="str">
        <f>IF(ISBLANK('Aqueous Species Options'!F395), "", 'Aqueous Species Options'!F395)</f>
        <v/>
      </c>
      <c r="G395" s="29" t="str">
        <f>IF(ISBLANK('Aqueous Species Options'!B395), "", IF('Aqueous Species Options'!L395 = 1, IF(ISBLANK('Aqueous Species Options'!G395), "", 'Aqueous Species Options'!G395), ('Aqueous Species Table'!I395/10 + ('Aqueous Species Table'!J395*100)/(Calculations!$C$12+Calculations!$C$9) + ('Aqueous Species Table'!K395 + ('Aqueous Species Table'!L395*10000)/(Calculations!$C$12+Calculations!$C$9))*(1/(Calculations!$C$8-Calculations!$C$13)) - 'Aqueous Species Table'!O395*100000*0.0000005903)*41.8393))</f>
        <v/>
      </c>
      <c r="H395" s="29" t="str">
        <f>IF(ISBLANK('Aqueous Species Options'!B395), "", IF('Aqueous Species Options'!L395 = 1, IF(ISBLANK('Aqueous Species Options'!H395), "", 'Aqueous Species Options'!H395), 'Aqueous Species Table'!M395 + 'Aqueous Species Table'!N395*10000*(1/(Calculations!$C$8-Calculations!$C$13))^2 + 'Aqueous Species Table'!O395*100000*Calculations!$C$8*Calculations!$C$7))</f>
        <v/>
      </c>
      <c r="I395" s="42" t="str">
        <f>IF(ISBLANK('Aqueous Species Options'!B395), "", IF('Aqueous Species Options'!L395=0, 'Aqueous Species Options'!N395, IF(OR(ISBLANK('Aqueous Species Options'!G395),'Aqueous Species Table'!O395="", 'Aqueous Species Table'!P395=""), "", IF('Aqueous Species Options'!B395="H+", 0, (CHOOSE('Aqueous Species Options'!M395+1,'Aqueous Species Options'!$V$4*ABS('Aqueous Species Table'!P395)+'Aqueous Species Options'!$W$4,'Aqueous Species Options'!$Z$4)*('Aqueous Species Options'!G395 + 'Aqueous Species Table'!O395*100000*0.0000005903*41.8393) + CHOOSE('Aqueous Species Options'!M395+1,'Aqueous Species Options'!$X$4*ABS('Aqueous Species Table'!P395)+'Aqueous Species Options'!$Y$4,'Aqueous Species Options'!$AA$4))*10 ) ) ) )</f>
        <v/>
      </c>
      <c r="J395" s="42" t="str">
        <f>IF(ISBLANK('Aqueous Species Options'!B395), "", IF('Aqueous Species Options'!L395 = 0, 'Aqueous Species Options'!O395, IF('Aqueous Species Table'!I395="", "", IF('Aqueous Species Options'!B395="H+", 0, ((1.11*('Aqueous Species Options'!G395 + 'Aqueous Species Table'!O395*100000*0.0000005903*41.8393)+1.8)/41.8393 - 'Aqueous Species Table'!I395/10)*26.01 ) ) ) )</f>
        <v/>
      </c>
      <c r="K395" s="42" t="str">
        <f>IF(ISBLANK('Aqueous Species Options'!B395), "", IF('Aqueous Species Options'!L395 = 0, 'Aqueous Species Options'!P395, IF('Aqueous Species Table'!I395="", "", IF('Aqueous Species Options'!B395="H+", 0, ('Aqueous Species Options'!G395/41.8393 + 'Aqueous Species Table'!O395*100000*0.0000005903 - 'Aqueous Species Table'!I395/10 - 'Aqueous Species Table'!J395*100/2601)*(298.15-228) - ('Aqueous Species Table'!L395*10000/2601) ) ) ) )</f>
        <v/>
      </c>
      <c r="L395" s="42" t="str">
        <f>IF(ISBLANK('Aqueous Species Options'!B395), "", IF('Aqueous Species Options'!L395 = 0, 'Aqueous Species Options'!Q395, IF('Aqueous Species Table'!J395="", "", IF('Aqueous Species Options'!B395="H+", 0, (-4.134*'Aqueous Species Table'!J395*100 - 27790)*0.0001) ) ) )</f>
        <v/>
      </c>
      <c r="M395" s="42" t="str">
        <f>IF(ISBLANK('Aqueous Species Options'!B395), "", IF('Aqueous Species Options'!L395=0, 'Aqueous Species Options'!R395, IF('Aqueous Species Table'!N395="", "", IF('Aqueous Species Options'!B395="H+", 0, 'Aqueous Species Options'!H395 - 'Aqueous Species Table'!O395*100000*(-0.000000309)*298.15 - 'Aqueous Species Table'!N395*10000/(298.15-228)^2 ) ) ) )</f>
        <v/>
      </c>
      <c r="N395" s="42" t="str">
        <f>IF(ISBLANK('Aqueous Species Options'!B395), "", IF('Aqueous Species Options'!L395=0, 'Aqueous Species Options'!S395, IF(OR(ISBLANK('Aqueous Species Options'!H395), 'Aqueous Species Table'!O395=""), "", IF('Aqueous Species Options'!B395="H+", 0, 0.2037*'Aqueous Species Options'!H395 - 3.0346) ) ) )</f>
        <v/>
      </c>
      <c r="O395" s="42" t="str">
        <f>IF(ISBLANK('Aqueous Species Options'!B395), "", IF('Aqueous Species Options'!K395=0, 'Aqueous Species Options'!I395, IF(OR('Aqueous Species Options'!J395&gt;4,'Aqueous Species Options'!J395&lt;-4), "", IF('Aqueous Species Options'!B395="H+", 0, IF('Aqueous Species Options'!J395=0, -0.038, IF(ISBLANK('Aqueous Species Options'!F395), "", -1514.4*'Aqueous Species Options'!F395*0.00001 + SUM(({4,3,2,1,-1,-2,-3,-4}='Aqueous Species Options'!J395)*{2.1764,1.5793,1.0579,0.5517,1.6291,3.2127,4.8115,6.486}) ) ) ) ) ) )</f>
        <v/>
      </c>
      <c r="P395" s="1" t="str">
        <f>IF(ISBLANK('Aqueous Species Options'!J395), "", 'Aqueous Species Options'!J395)</f>
        <v/>
      </c>
      <c r="Q395" s="184" t="str">
        <f>IF(ISBLANK('Aqueous Species Options'!T395), "", 'Aqueous Species Options'!T395)</f>
        <v/>
      </c>
    </row>
    <row r="396" spans="2:17" ht="16" x14ac:dyDescent="0.2">
      <c r="B396" s="9" t="str">
        <f>IF(ISBLANK('Aqueous Species Options'!B396), "", 'Aqueous Species Options'!B396)</f>
        <v/>
      </c>
      <c r="C396" s="55" t="str">
        <f>IF(ISBLANK('Aqueous Species Options'!C396), "", 'Aqueous Species Options'!C396)</f>
        <v/>
      </c>
      <c r="D396" s="1" t="str">
        <f>IF(ISBLANK('Aqueous Species Options'!D396), "", 'Aqueous Species Options'!D396)</f>
        <v/>
      </c>
      <c r="E396" s="1" t="str">
        <f>IF(ISBLANK('Aqueous Species Options'!E396), "", 'Aqueous Species Options'!E396)</f>
        <v/>
      </c>
      <c r="F396" s="139" t="str">
        <f>IF(ISBLANK('Aqueous Species Options'!F396), "", 'Aqueous Species Options'!F396)</f>
        <v/>
      </c>
      <c r="G396" s="29" t="str">
        <f>IF(ISBLANK('Aqueous Species Options'!B396), "", IF('Aqueous Species Options'!L396 = 1, IF(ISBLANK('Aqueous Species Options'!G396), "", 'Aqueous Species Options'!G396), ('Aqueous Species Table'!I396/10 + ('Aqueous Species Table'!J396*100)/(Calculations!$C$12+Calculations!$C$9) + ('Aqueous Species Table'!K396 + ('Aqueous Species Table'!L396*10000)/(Calculations!$C$12+Calculations!$C$9))*(1/(Calculations!$C$8-Calculations!$C$13)) - 'Aqueous Species Table'!O396*100000*0.0000005903)*41.8393))</f>
        <v/>
      </c>
      <c r="H396" s="29" t="str">
        <f>IF(ISBLANK('Aqueous Species Options'!B396), "", IF('Aqueous Species Options'!L396 = 1, IF(ISBLANK('Aqueous Species Options'!H396), "", 'Aqueous Species Options'!H396), 'Aqueous Species Table'!M396 + 'Aqueous Species Table'!N396*10000*(1/(Calculations!$C$8-Calculations!$C$13))^2 + 'Aqueous Species Table'!O396*100000*Calculations!$C$8*Calculations!$C$7))</f>
        <v/>
      </c>
      <c r="I396" s="42" t="str">
        <f>IF(ISBLANK('Aqueous Species Options'!B396), "", IF('Aqueous Species Options'!L396=0, 'Aqueous Species Options'!N396, IF(OR(ISBLANK('Aqueous Species Options'!G396),'Aqueous Species Table'!O396="", 'Aqueous Species Table'!P396=""), "", IF('Aqueous Species Options'!B396="H+", 0, (CHOOSE('Aqueous Species Options'!M396+1,'Aqueous Species Options'!$V$4*ABS('Aqueous Species Table'!P396)+'Aqueous Species Options'!$W$4,'Aqueous Species Options'!$Z$4)*('Aqueous Species Options'!G396 + 'Aqueous Species Table'!O396*100000*0.0000005903*41.8393) + CHOOSE('Aqueous Species Options'!M396+1,'Aqueous Species Options'!$X$4*ABS('Aqueous Species Table'!P396)+'Aqueous Species Options'!$Y$4,'Aqueous Species Options'!$AA$4))*10 ) ) ) )</f>
        <v/>
      </c>
      <c r="J396" s="42" t="str">
        <f>IF(ISBLANK('Aqueous Species Options'!B396), "", IF('Aqueous Species Options'!L396 = 0, 'Aqueous Species Options'!O396, IF('Aqueous Species Table'!I396="", "", IF('Aqueous Species Options'!B396="H+", 0, ((1.11*('Aqueous Species Options'!G396 + 'Aqueous Species Table'!O396*100000*0.0000005903*41.8393)+1.8)/41.8393 - 'Aqueous Species Table'!I396/10)*26.01 ) ) ) )</f>
        <v/>
      </c>
      <c r="K396" s="42" t="str">
        <f>IF(ISBLANK('Aqueous Species Options'!B396), "", IF('Aqueous Species Options'!L396 = 0, 'Aqueous Species Options'!P396, IF('Aqueous Species Table'!I396="", "", IF('Aqueous Species Options'!B396="H+", 0, ('Aqueous Species Options'!G396/41.8393 + 'Aqueous Species Table'!O396*100000*0.0000005903 - 'Aqueous Species Table'!I396/10 - 'Aqueous Species Table'!J396*100/2601)*(298.15-228) - ('Aqueous Species Table'!L396*10000/2601) ) ) ) )</f>
        <v/>
      </c>
      <c r="L396" s="42" t="str">
        <f>IF(ISBLANK('Aqueous Species Options'!B396), "", IF('Aqueous Species Options'!L396 = 0, 'Aqueous Species Options'!Q396, IF('Aqueous Species Table'!J396="", "", IF('Aqueous Species Options'!B396="H+", 0, (-4.134*'Aqueous Species Table'!J396*100 - 27790)*0.0001) ) ) )</f>
        <v/>
      </c>
      <c r="M396" s="42" t="str">
        <f>IF(ISBLANK('Aqueous Species Options'!B396), "", IF('Aqueous Species Options'!L396=0, 'Aqueous Species Options'!R396, IF('Aqueous Species Table'!N396="", "", IF('Aqueous Species Options'!B396="H+", 0, 'Aqueous Species Options'!H396 - 'Aqueous Species Table'!O396*100000*(-0.000000309)*298.15 - 'Aqueous Species Table'!N396*10000/(298.15-228)^2 ) ) ) )</f>
        <v/>
      </c>
      <c r="N396" s="42" t="str">
        <f>IF(ISBLANK('Aqueous Species Options'!B396), "", IF('Aqueous Species Options'!L396=0, 'Aqueous Species Options'!S396, IF(OR(ISBLANK('Aqueous Species Options'!H396), 'Aqueous Species Table'!O396=""), "", IF('Aqueous Species Options'!B396="H+", 0, 0.2037*'Aqueous Species Options'!H396 - 3.0346) ) ) )</f>
        <v/>
      </c>
      <c r="O396" s="42" t="str">
        <f>IF(ISBLANK('Aqueous Species Options'!B396), "", IF('Aqueous Species Options'!K396=0, 'Aqueous Species Options'!I396, IF(OR('Aqueous Species Options'!J396&gt;4,'Aqueous Species Options'!J396&lt;-4), "", IF('Aqueous Species Options'!B396="H+", 0, IF('Aqueous Species Options'!J396=0, -0.038, IF(ISBLANK('Aqueous Species Options'!F396), "", -1514.4*'Aqueous Species Options'!F396*0.00001 + SUM(({4,3,2,1,-1,-2,-3,-4}='Aqueous Species Options'!J396)*{2.1764,1.5793,1.0579,0.5517,1.6291,3.2127,4.8115,6.486}) ) ) ) ) ) )</f>
        <v/>
      </c>
      <c r="P396" s="1" t="str">
        <f>IF(ISBLANK('Aqueous Species Options'!J396), "", 'Aqueous Species Options'!J396)</f>
        <v/>
      </c>
      <c r="Q396" s="184" t="str">
        <f>IF(ISBLANK('Aqueous Species Options'!T396), "", 'Aqueous Species Options'!T396)</f>
        <v/>
      </c>
    </row>
    <row r="397" spans="2:17" ht="16" x14ac:dyDescent="0.2">
      <c r="B397" s="9" t="str">
        <f>IF(ISBLANK('Aqueous Species Options'!B397), "", 'Aqueous Species Options'!B397)</f>
        <v/>
      </c>
      <c r="C397" s="55" t="str">
        <f>IF(ISBLANK('Aqueous Species Options'!C397), "", 'Aqueous Species Options'!C397)</f>
        <v/>
      </c>
      <c r="D397" s="1" t="str">
        <f>IF(ISBLANK('Aqueous Species Options'!D397), "", 'Aqueous Species Options'!D397)</f>
        <v/>
      </c>
      <c r="E397" s="1" t="str">
        <f>IF(ISBLANK('Aqueous Species Options'!E397), "", 'Aqueous Species Options'!E397)</f>
        <v/>
      </c>
      <c r="F397" s="139" t="str">
        <f>IF(ISBLANK('Aqueous Species Options'!F397), "", 'Aqueous Species Options'!F397)</f>
        <v/>
      </c>
      <c r="G397" s="29" t="str">
        <f>IF(ISBLANK('Aqueous Species Options'!B397), "", IF('Aqueous Species Options'!L397 = 1, IF(ISBLANK('Aqueous Species Options'!G397), "", 'Aqueous Species Options'!G397), ('Aqueous Species Table'!I397/10 + ('Aqueous Species Table'!J397*100)/(Calculations!$C$12+Calculations!$C$9) + ('Aqueous Species Table'!K397 + ('Aqueous Species Table'!L397*10000)/(Calculations!$C$12+Calculations!$C$9))*(1/(Calculations!$C$8-Calculations!$C$13)) - 'Aqueous Species Table'!O397*100000*0.0000005903)*41.8393))</f>
        <v/>
      </c>
      <c r="H397" s="29" t="str">
        <f>IF(ISBLANK('Aqueous Species Options'!B397), "", IF('Aqueous Species Options'!L397 = 1, IF(ISBLANK('Aqueous Species Options'!H397), "", 'Aqueous Species Options'!H397), 'Aqueous Species Table'!M397 + 'Aqueous Species Table'!N397*10000*(1/(Calculations!$C$8-Calculations!$C$13))^2 + 'Aqueous Species Table'!O397*100000*Calculations!$C$8*Calculations!$C$7))</f>
        <v/>
      </c>
      <c r="I397" s="42" t="str">
        <f>IF(ISBLANK('Aqueous Species Options'!B397), "", IF('Aqueous Species Options'!L397=0, 'Aqueous Species Options'!N397, IF(OR(ISBLANK('Aqueous Species Options'!G397),'Aqueous Species Table'!O397="", 'Aqueous Species Table'!P397=""), "", IF('Aqueous Species Options'!B397="H+", 0, (CHOOSE('Aqueous Species Options'!M397+1,'Aqueous Species Options'!$V$4*ABS('Aqueous Species Table'!P397)+'Aqueous Species Options'!$W$4,'Aqueous Species Options'!$Z$4)*('Aqueous Species Options'!G397 + 'Aqueous Species Table'!O397*100000*0.0000005903*41.8393) + CHOOSE('Aqueous Species Options'!M397+1,'Aqueous Species Options'!$X$4*ABS('Aqueous Species Table'!P397)+'Aqueous Species Options'!$Y$4,'Aqueous Species Options'!$AA$4))*10 ) ) ) )</f>
        <v/>
      </c>
      <c r="J397" s="42" t="str">
        <f>IF(ISBLANK('Aqueous Species Options'!B397), "", IF('Aqueous Species Options'!L397 = 0, 'Aqueous Species Options'!O397, IF('Aqueous Species Table'!I397="", "", IF('Aqueous Species Options'!B397="H+", 0, ((1.11*('Aqueous Species Options'!G397 + 'Aqueous Species Table'!O397*100000*0.0000005903*41.8393)+1.8)/41.8393 - 'Aqueous Species Table'!I397/10)*26.01 ) ) ) )</f>
        <v/>
      </c>
      <c r="K397" s="42" t="str">
        <f>IF(ISBLANK('Aqueous Species Options'!B397), "", IF('Aqueous Species Options'!L397 = 0, 'Aqueous Species Options'!P397, IF('Aqueous Species Table'!I397="", "", IF('Aqueous Species Options'!B397="H+", 0, ('Aqueous Species Options'!G397/41.8393 + 'Aqueous Species Table'!O397*100000*0.0000005903 - 'Aqueous Species Table'!I397/10 - 'Aqueous Species Table'!J397*100/2601)*(298.15-228) - ('Aqueous Species Table'!L397*10000/2601) ) ) ) )</f>
        <v/>
      </c>
      <c r="L397" s="42" t="str">
        <f>IF(ISBLANK('Aqueous Species Options'!B397), "", IF('Aqueous Species Options'!L397 = 0, 'Aqueous Species Options'!Q397, IF('Aqueous Species Table'!J397="", "", IF('Aqueous Species Options'!B397="H+", 0, (-4.134*'Aqueous Species Table'!J397*100 - 27790)*0.0001) ) ) )</f>
        <v/>
      </c>
      <c r="M397" s="42" t="str">
        <f>IF(ISBLANK('Aqueous Species Options'!B397), "", IF('Aqueous Species Options'!L397=0, 'Aqueous Species Options'!R397, IF('Aqueous Species Table'!N397="", "", IF('Aqueous Species Options'!B397="H+", 0, 'Aqueous Species Options'!H397 - 'Aqueous Species Table'!O397*100000*(-0.000000309)*298.15 - 'Aqueous Species Table'!N397*10000/(298.15-228)^2 ) ) ) )</f>
        <v/>
      </c>
      <c r="N397" s="42" t="str">
        <f>IF(ISBLANK('Aqueous Species Options'!B397), "", IF('Aqueous Species Options'!L397=0, 'Aqueous Species Options'!S397, IF(OR(ISBLANK('Aqueous Species Options'!H397), 'Aqueous Species Table'!O397=""), "", IF('Aqueous Species Options'!B397="H+", 0, 0.2037*'Aqueous Species Options'!H397 - 3.0346) ) ) )</f>
        <v/>
      </c>
      <c r="O397" s="42" t="str">
        <f>IF(ISBLANK('Aqueous Species Options'!B397), "", IF('Aqueous Species Options'!K397=0, 'Aqueous Species Options'!I397, IF(OR('Aqueous Species Options'!J397&gt;4,'Aqueous Species Options'!J397&lt;-4), "", IF('Aqueous Species Options'!B397="H+", 0, IF('Aqueous Species Options'!J397=0, -0.038, IF(ISBLANK('Aqueous Species Options'!F397), "", -1514.4*'Aqueous Species Options'!F397*0.00001 + SUM(({4,3,2,1,-1,-2,-3,-4}='Aqueous Species Options'!J397)*{2.1764,1.5793,1.0579,0.5517,1.6291,3.2127,4.8115,6.486}) ) ) ) ) ) )</f>
        <v/>
      </c>
      <c r="P397" s="1" t="str">
        <f>IF(ISBLANK('Aqueous Species Options'!J397), "", 'Aqueous Species Options'!J397)</f>
        <v/>
      </c>
      <c r="Q397" s="184" t="str">
        <f>IF(ISBLANK('Aqueous Species Options'!T397), "", 'Aqueous Species Options'!T397)</f>
        <v/>
      </c>
    </row>
    <row r="398" spans="2:17" ht="16" x14ac:dyDescent="0.2">
      <c r="B398" s="9" t="str">
        <f>IF(ISBLANK('Aqueous Species Options'!B398), "", 'Aqueous Species Options'!B398)</f>
        <v/>
      </c>
      <c r="C398" s="55" t="str">
        <f>IF(ISBLANK('Aqueous Species Options'!C398), "", 'Aqueous Species Options'!C398)</f>
        <v/>
      </c>
      <c r="D398" s="1" t="str">
        <f>IF(ISBLANK('Aqueous Species Options'!D398), "", 'Aqueous Species Options'!D398)</f>
        <v/>
      </c>
      <c r="E398" s="1" t="str">
        <f>IF(ISBLANK('Aqueous Species Options'!E398), "", 'Aqueous Species Options'!E398)</f>
        <v/>
      </c>
      <c r="F398" s="139" t="str">
        <f>IF(ISBLANK('Aqueous Species Options'!F398), "", 'Aqueous Species Options'!F398)</f>
        <v/>
      </c>
      <c r="G398" s="29" t="str">
        <f>IF(ISBLANK('Aqueous Species Options'!B398), "", IF('Aqueous Species Options'!L398 = 1, IF(ISBLANK('Aqueous Species Options'!G398), "", 'Aqueous Species Options'!G398), ('Aqueous Species Table'!I398/10 + ('Aqueous Species Table'!J398*100)/(Calculations!$C$12+Calculations!$C$9) + ('Aqueous Species Table'!K398 + ('Aqueous Species Table'!L398*10000)/(Calculations!$C$12+Calculations!$C$9))*(1/(Calculations!$C$8-Calculations!$C$13)) - 'Aqueous Species Table'!O398*100000*0.0000005903)*41.8393))</f>
        <v/>
      </c>
      <c r="H398" s="29" t="str">
        <f>IF(ISBLANK('Aqueous Species Options'!B398), "", IF('Aqueous Species Options'!L398 = 1, IF(ISBLANK('Aqueous Species Options'!H398), "", 'Aqueous Species Options'!H398), 'Aqueous Species Table'!M398 + 'Aqueous Species Table'!N398*10000*(1/(Calculations!$C$8-Calculations!$C$13))^2 + 'Aqueous Species Table'!O398*100000*Calculations!$C$8*Calculations!$C$7))</f>
        <v/>
      </c>
      <c r="I398" s="42" t="str">
        <f>IF(ISBLANK('Aqueous Species Options'!B398), "", IF('Aqueous Species Options'!L398=0, 'Aqueous Species Options'!N398, IF(OR(ISBLANK('Aqueous Species Options'!G398),'Aqueous Species Table'!O398="", 'Aqueous Species Table'!P398=""), "", IF('Aqueous Species Options'!B398="H+", 0, (CHOOSE('Aqueous Species Options'!M398+1,'Aqueous Species Options'!$V$4*ABS('Aqueous Species Table'!P398)+'Aqueous Species Options'!$W$4,'Aqueous Species Options'!$Z$4)*('Aqueous Species Options'!G398 + 'Aqueous Species Table'!O398*100000*0.0000005903*41.8393) + CHOOSE('Aqueous Species Options'!M398+1,'Aqueous Species Options'!$X$4*ABS('Aqueous Species Table'!P398)+'Aqueous Species Options'!$Y$4,'Aqueous Species Options'!$AA$4))*10 ) ) ) )</f>
        <v/>
      </c>
      <c r="J398" s="42" t="str">
        <f>IF(ISBLANK('Aqueous Species Options'!B398), "", IF('Aqueous Species Options'!L398 = 0, 'Aqueous Species Options'!O398, IF('Aqueous Species Table'!I398="", "", IF('Aqueous Species Options'!B398="H+", 0, ((1.11*('Aqueous Species Options'!G398 + 'Aqueous Species Table'!O398*100000*0.0000005903*41.8393)+1.8)/41.8393 - 'Aqueous Species Table'!I398/10)*26.01 ) ) ) )</f>
        <v/>
      </c>
      <c r="K398" s="42" t="str">
        <f>IF(ISBLANK('Aqueous Species Options'!B398), "", IF('Aqueous Species Options'!L398 = 0, 'Aqueous Species Options'!P398, IF('Aqueous Species Table'!I398="", "", IF('Aqueous Species Options'!B398="H+", 0, ('Aqueous Species Options'!G398/41.8393 + 'Aqueous Species Table'!O398*100000*0.0000005903 - 'Aqueous Species Table'!I398/10 - 'Aqueous Species Table'!J398*100/2601)*(298.15-228) - ('Aqueous Species Table'!L398*10000/2601) ) ) ) )</f>
        <v/>
      </c>
      <c r="L398" s="42" t="str">
        <f>IF(ISBLANK('Aqueous Species Options'!B398), "", IF('Aqueous Species Options'!L398 = 0, 'Aqueous Species Options'!Q398, IF('Aqueous Species Table'!J398="", "", IF('Aqueous Species Options'!B398="H+", 0, (-4.134*'Aqueous Species Table'!J398*100 - 27790)*0.0001) ) ) )</f>
        <v/>
      </c>
      <c r="M398" s="42" t="str">
        <f>IF(ISBLANK('Aqueous Species Options'!B398), "", IF('Aqueous Species Options'!L398=0, 'Aqueous Species Options'!R398, IF('Aqueous Species Table'!N398="", "", IF('Aqueous Species Options'!B398="H+", 0, 'Aqueous Species Options'!H398 - 'Aqueous Species Table'!O398*100000*(-0.000000309)*298.15 - 'Aqueous Species Table'!N398*10000/(298.15-228)^2 ) ) ) )</f>
        <v/>
      </c>
      <c r="N398" s="42" t="str">
        <f>IF(ISBLANK('Aqueous Species Options'!B398), "", IF('Aqueous Species Options'!L398=0, 'Aqueous Species Options'!S398, IF(OR(ISBLANK('Aqueous Species Options'!H398), 'Aqueous Species Table'!O398=""), "", IF('Aqueous Species Options'!B398="H+", 0, 0.2037*'Aqueous Species Options'!H398 - 3.0346) ) ) )</f>
        <v/>
      </c>
      <c r="O398" s="42" t="str">
        <f>IF(ISBLANK('Aqueous Species Options'!B398), "", IF('Aqueous Species Options'!K398=0, 'Aqueous Species Options'!I398, IF(OR('Aqueous Species Options'!J398&gt;4,'Aqueous Species Options'!J398&lt;-4), "", IF('Aqueous Species Options'!B398="H+", 0, IF('Aqueous Species Options'!J398=0, -0.038, IF(ISBLANK('Aqueous Species Options'!F398), "", -1514.4*'Aqueous Species Options'!F398*0.00001 + SUM(({4,3,2,1,-1,-2,-3,-4}='Aqueous Species Options'!J398)*{2.1764,1.5793,1.0579,0.5517,1.6291,3.2127,4.8115,6.486}) ) ) ) ) ) )</f>
        <v/>
      </c>
      <c r="P398" s="1" t="str">
        <f>IF(ISBLANK('Aqueous Species Options'!J398), "", 'Aqueous Species Options'!J398)</f>
        <v/>
      </c>
      <c r="Q398" s="184" t="str">
        <f>IF(ISBLANK('Aqueous Species Options'!T398), "", 'Aqueous Species Options'!T398)</f>
        <v/>
      </c>
    </row>
    <row r="399" spans="2:17" ht="16" x14ac:dyDescent="0.2">
      <c r="B399" s="9" t="str">
        <f>IF(ISBLANK('Aqueous Species Options'!B399), "", 'Aqueous Species Options'!B399)</f>
        <v/>
      </c>
      <c r="C399" s="55" t="str">
        <f>IF(ISBLANK('Aqueous Species Options'!C399), "", 'Aqueous Species Options'!C399)</f>
        <v/>
      </c>
      <c r="D399" s="1" t="str">
        <f>IF(ISBLANK('Aqueous Species Options'!D399), "", 'Aqueous Species Options'!D399)</f>
        <v/>
      </c>
      <c r="E399" s="1" t="str">
        <f>IF(ISBLANK('Aqueous Species Options'!E399), "", 'Aqueous Species Options'!E399)</f>
        <v/>
      </c>
      <c r="F399" s="139" t="str">
        <f>IF(ISBLANK('Aqueous Species Options'!F399), "", 'Aqueous Species Options'!F399)</f>
        <v/>
      </c>
      <c r="G399" s="29" t="str">
        <f>IF(ISBLANK('Aqueous Species Options'!B399), "", IF('Aqueous Species Options'!L399 = 1, IF(ISBLANK('Aqueous Species Options'!G399), "", 'Aqueous Species Options'!G399), ('Aqueous Species Table'!I399/10 + ('Aqueous Species Table'!J399*100)/(Calculations!$C$12+Calculations!$C$9) + ('Aqueous Species Table'!K399 + ('Aqueous Species Table'!L399*10000)/(Calculations!$C$12+Calculations!$C$9))*(1/(Calculations!$C$8-Calculations!$C$13)) - 'Aqueous Species Table'!O399*100000*0.0000005903)*41.8393))</f>
        <v/>
      </c>
      <c r="H399" s="29" t="str">
        <f>IF(ISBLANK('Aqueous Species Options'!B399), "", IF('Aqueous Species Options'!L399 = 1, IF(ISBLANK('Aqueous Species Options'!H399), "", 'Aqueous Species Options'!H399), 'Aqueous Species Table'!M399 + 'Aqueous Species Table'!N399*10000*(1/(Calculations!$C$8-Calculations!$C$13))^2 + 'Aqueous Species Table'!O399*100000*Calculations!$C$8*Calculations!$C$7))</f>
        <v/>
      </c>
      <c r="I399" s="42" t="str">
        <f>IF(ISBLANK('Aqueous Species Options'!B399), "", IF('Aqueous Species Options'!L399=0, 'Aqueous Species Options'!N399, IF(OR(ISBLANK('Aqueous Species Options'!G399),'Aqueous Species Table'!O399="", 'Aqueous Species Table'!P399=""), "", IF('Aqueous Species Options'!B399="H+", 0, (CHOOSE('Aqueous Species Options'!M399+1,'Aqueous Species Options'!$V$4*ABS('Aqueous Species Table'!P399)+'Aqueous Species Options'!$W$4,'Aqueous Species Options'!$Z$4)*('Aqueous Species Options'!G399 + 'Aqueous Species Table'!O399*100000*0.0000005903*41.8393) + CHOOSE('Aqueous Species Options'!M399+1,'Aqueous Species Options'!$X$4*ABS('Aqueous Species Table'!P399)+'Aqueous Species Options'!$Y$4,'Aqueous Species Options'!$AA$4))*10 ) ) ) )</f>
        <v/>
      </c>
      <c r="J399" s="42" t="str">
        <f>IF(ISBLANK('Aqueous Species Options'!B399), "", IF('Aqueous Species Options'!L399 = 0, 'Aqueous Species Options'!O399, IF('Aqueous Species Table'!I399="", "", IF('Aqueous Species Options'!B399="H+", 0, ((1.11*('Aqueous Species Options'!G399 + 'Aqueous Species Table'!O399*100000*0.0000005903*41.8393)+1.8)/41.8393 - 'Aqueous Species Table'!I399/10)*26.01 ) ) ) )</f>
        <v/>
      </c>
      <c r="K399" s="42" t="str">
        <f>IF(ISBLANK('Aqueous Species Options'!B399), "", IF('Aqueous Species Options'!L399 = 0, 'Aqueous Species Options'!P399, IF('Aqueous Species Table'!I399="", "", IF('Aqueous Species Options'!B399="H+", 0, ('Aqueous Species Options'!G399/41.8393 + 'Aqueous Species Table'!O399*100000*0.0000005903 - 'Aqueous Species Table'!I399/10 - 'Aqueous Species Table'!J399*100/2601)*(298.15-228) - ('Aqueous Species Table'!L399*10000/2601) ) ) ) )</f>
        <v/>
      </c>
      <c r="L399" s="42" t="str">
        <f>IF(ISBLANK('Aqueous Species Options'!B399), "", IF('Aqueous Species Options'!L399 = 0, 'Aqueous Species Options'!Q399, IF('Aqueous Species Table'!J399="", "", IF('Aqueous Species Options'!B399="H+", 0, (-4.134*'Aqueous Species Table'!J399*100 - 27790)*0.0001) ) ) )</f>
        <v/>
      </c>
      <c r="M399" s="42" t="str">
        <f>IF(ISBLANK('Aqueous Species Options'!B399), "", IF('Aqueous Species Options'!L399=0, 'Aqueous Species Options'!R399, IF('Aqueous Species Table'!N399="", "", IF('Aqueous Species Options'!B399="H+", 0, 'Aqueous Species Options'!H399 - 'Aqueous Species Table'!O399*100000*(-0.000000309)*298.15 - 'Aqueous Species Table'!N399*10000/(298.15-228)^2 ) ) ) )</f>
        <v/>
      </c>
      <c r="N399" s="42" t="str">
        <f>IF(ISBLANK('Aqueous Species Options'!B399), "", IF('Aqueous Species Options'!L399=0, 'Aqueous Species Options'!S399, IF(OR(ISBLANK('Aqueous Species Options'!H399), 'Aqueous Species Table'!O399=""), "", IF('Aqueous Species Options'!B399="H+", 0, 0.2037*'Aqueous Species Options'!H399 - 3.0346) ) ) )</f>
        <v/>
      </c>
      <c r="O399" s="42" t="str">
        <f>IF(ISBLANK('Aqueous Species Options'!B399), "", IF('Aqueous Species Options'!K399=0, 'Aqueous Species Options'!I399, IF(OR('Aqueous Species Options'!J399&gt;4,'Aqueous Species Options'!J399&lt;-4), "", IF('Aqueous Species Options'!B399="H+", 0, IF('Aqueous Species Options'!J399=0, -0.038, IF(ISBLANK('Aqueous Species Options'!F399), "", -1514.4*'Aqueous Species Options'!F399*0.00001 + SUM(({4,3,2,1,-1,-2,-3,-4}='Aqueous Species Options'!J399)*{2.1764,1.5793,1.0579,0.5517,1.6291,3.2127,4.8115,6.486}) ) ) ) ) ) )</f>
        <v/>
      </c>
      <c r="P399" s="1" t="str">
        <f>IF(ISBLANK('Aqueous Species Options'!J399), "", 'Aqueous Species Options'!J399)</f>
        <v/>
      </c>
      <c r="Q399" s="184" t="str">
        <f>IF(ISBLANK('Aqueous Species Options'!T399), "", 'Aqueous Species Options'!T399)</f>
        <v/>
      </c>
    </row>
    <row r="400" spans="2:17" ht="16" x14ac:dyDescent="0.2">
      <c r="B400" s="9" t="str">
        <f>IF(ISBLANK('Aqueous Species Options'!B400), "", 'Aqueous Species Options'!B400)</f>
        <v/>
      </c>
      <c r="C400" s="55" t="str">
        <f>IF(ISBLANK('Aqueous Species Options'!C400), "", 'Aqueous Species Options'!C400)</f>
        <v/>
      </c>
      <c r="D400" s="1" t="str">
        <f>IF(ISBLANK('Aqueous Species Options'!D400), "", 'Aqueous Species Options'!D400)</f>
        <v/>
      </c>
      <c r="E400" s="1" t="str">
        <f>IF(ISBLANK('Aqueous Species Options'!E400), "", 'Aqueous Species Options'!E400)</f>
        <v/>
      </c>
      <c r="F400" s="139" t="str">
        <f>IF(ISBLANK('Aqueous Species Options'!F400), "", 'Aqueous Species Options'!F400)</f>
        <v/>
      </c>
      <c r="G400" s="29" t="str">
        <f>IF(ISBLANK('Aqueous Species Options'!B400), "", IF('Aqueous Species Options'!L400 = 1, IF(ISBLANK('Aqueous Species Options'!G400), "", 'Aqueous Species Options'!G400), ('Aqueous Species Table'!I400/10 + ('Aqueous Species Table'!J400*100)/(Calculations!$C$12+Calculations!$C$9) + ('Aqueous Species Table'!K400 + ('Aqueous Species Table'!L400*10000)/(Calculations!$C$12+Calculations!$C$9))*(1/(Calculations!$C$8-Calculations!$C$13)) - 'Aqueous Species Table'!O400*100000*0.0000005903)*41.8393))</f>
        <v/>
      </c>
      <c r="H400" s="29" t="str">
        <f>IF(ISBLANK('Aqueous Species Options'!B400), "", IF('Aqueous Species Options'!L400 = 1, IF(ISBLANK('Aqueous Species Options'!H400), "", 'Aqueous Species Options'!H400), 'Aqueous Species Table'!M400 + 'Aqueous Species Table'!N400*10000*(1/(Calculations!$C$8-Calculations!$C$13))^2 + 'Aqueous Species Table'!O400*100000*Calculations!$C$8*Calculations!$C$7))</f>
        <v/>
      </c>
      <c r="I400" s="42" t="str">
        <f>IF(ISBLANK('Aqueous Species Options'!B400), "", IF('Aqueous Species Options'!L400=0, 'Aqueous Species Options'!N400, IF(OR(ISBLANK('Aqueous Species Options'!G400),'Aqueous Species Table'!O400="", 'Aqueous Species Table'!P400=""), "", IF('Aqueous Species Options'!B400="H+", 0, (CHOOSE('Aqueous Species Options'!M400+1,'Aqueous Species Options'!$V$4*ABS('Aqueous Species Table'!P400)+'Aqueous Species Options'!$W$4,'Aqueous Species Options'!$Z$4)*('Aqueous Species Options'!G400 + 'Aqueous Species Table'!O400*100000*0.0000005903*41.8393) + CHOOSE('Aqueous Species Options'!M400+1,'Aqueous Species Options'!$X$4*ABS('Aqueous Species Table'!P400)+'Aqueous Species Options'!$Y$4,'Aqueous Species Options'!$AA$4))*10 ) ) ) )</f>
        <v/>
      </c>
      <c r="J400" s="42" t="str">
        <f>IF(ISBLANK('Aqueous Species Options'!B400), "", IF('Aqueous Species Options'!L400 = 0, 'Aqueous Species Options'!O400, IF('Aqueous Species Table'!I400="", "", IF('Aqueous Species Options'!B400="H+", 0, ((1.11*('Aqueous Species Options'!G400 + 'Aqueous Species Table'!O400*100000*0.0000005903*41.8393)+1.8)/41.8393 - 'Aqueous Species Table'!I400/10)*26.01 ) ) ) )</f>
        <v/>
      </c>
      <c r="K400" s="42" t="str">
        <f>IF(ISBLANK('Aqueous Species Options'!B400), "", IF('Aqueous Species Options'!L400 = 0, 'Aqueous Species Options'!P400, IF('Aqueous Species Table'!I400="", "", IF('Aqueous Species Options'!B400="H+", 0, ('Aqueous Species Options'!G400/41.8393 + 'Aqueous Species Table'!O400*100000*0.0000005903 - 'Aqueous Species Table'!I400/10 - 'Aqueous Species Table'!J400*100/2601)*(298.15-228) - ('Aqueous Species Table'!L400*10000/2601) ) ) ) )</f>
        <v/>
      </c>
      <c r="L400" s="42" t="str">
        <f>IF(ISBLANK('Aqueous Species Options'!B400), "", IF('Aqueous Species Options'!L400 = 0, 'Aqueous Species Options'!Q400, IF('Aqueous Species Table'!J400="", "", IF('Aqueous Species Options'!B400="H+", 0, (-4.134*'Aqueous Species Table'!J400*100 - 27790)*0.0001) ) ) )</f>
        <v/>
      </c>
      <c r="M400" s="42" t="str">
        <f>IF(ISBLANK('Aqueous Species Options'!B400), "", IF('Aqueous Species Options'!L400=0, 'Aqueous Species Options'!R400, IF('Aqueous Species Table'!N400="", "", IF('Aqueous Species Options'!B400="H+", 0, 'Aqueous Species Options'!H400 - 'Aqueous Species Table'!O400*100000*(-0.000000309)*298.15 - 'Aqueous Species Table'!N400*10000/(298.15-228)^2 ) ) ) )</f>
        <v/>
      </c>
      <c r="N400" s="42" t="str">
        <f>IF(ISBLANK('Aqueous Species Options'!B400), "", IF('Aqueous Species Options'!L400=0, 'Aqueous Species Options'!S400, IF(OR(ISBLANK('Aqueous Species Options'!H400), 'Aqueous Species Table'!O400=""), "", IF('Aqueous Species Options'!B400="H+", 0, 0.2037*'Aqueous Species Options'!H400 - 3.0346) ) ) )</f>
        <v/>
      </c>
      <c r="O400" s="42" t="str">
        <f>IF(ISBLANK('Aqueous Species Options'!B400), "", IF('Aqueous Species Options'!K400=0, 'Aqueous Species Options'!I400, IF(OR('Aqueous Species Options'!J400&gt;4,'Aqueous Species Options'!J400&lt;-4), "", IF('Aqueous Species Options'!B400="H+", 0, IF('Aqueous Species Options'!J400=0, -0.038, IF(ISBLANK('Aqueous Species Options'!F400), "", -1514.4*'Aqueous Species Options'!F400*0.00001 + SUM(({4,3,2,1,-1,-2,-3,-4}='Aqueous Species Options'!J400)*{2.1764,1.5793,1.0579,0.5517,1.6291,3.2127,4.8115,6.486}) ) ) ) ) ) )</f>
        <v/>
      </c>
      <c r="P400" s="1" t="str">
        <f>IF(ISBLANK('Aqueous Species Options'!J400), "", 'Aqueous Species Options'!J400)</f>
        <v/>
      </c>
      <c r="Q400" s="184" t="str">
        <f>IF(ISBLANK('Aqueous Species Options'!T400), "", 'Aqueous Species Options'!T400)</f>
        <v/>
      </c>
    </row>
    <row r="401" spans="2:17" ht="16" x14ac:dyDescent="0.2">
      <c r="B401" s="9" t="str">
        <f>IF(ISBLANK('Aqueous Species Options'!B401), "", 'Aqueous Species Options'!B401)</f>
        <v/>
      </c>
      <c r="C401" s="55" t="str">
        <f>IF(ISBLANK('Aqueous Species Options'!C401), "", 'Aqueous Species Options'!C401)</f>
        <v/>
      </c>
      <c r="D401" s="1" t="str">
        <f>IF(ISBLANK('Aqueous Species Options'!D401), "", 'Aqueous Species Options'!D401)</f>
        <v/>
      </c>
      <c r="E401" s="1" t="str">
        <f>IF(ISBLANK('Aqueous Species Options'!E401), "", 'Aqueous Species Options'!E401)</f>
        <v/>
      </c>
      <c r="F401" s="139" t="str">
        <f>IF(ISBLANK('Aqueous Species Options'!F401), "", 'Aqueous Species Options'!F401)</f>
        <v/>
      </c>
      <c r="G401" s="29" t="str">
        <f>IF(ISBLANK('Aqueous Species Options'!B401), "", IF('Aqueous Species Options'!L401 = 1, IF(ISBLANK('Aqueous Species Options'!G401), "", 'Aqueous Species Options'!G401), ('Aqueous Species Table'!I401/10 + ('Aqueous Species Table'!J401*100)/(Calculations!$C$12+Calculations!$C$9) + ('Aqueous Species Table'!K401 + ('Aqueous Species Table'!L401*10000)/(Calculations!$C$12+Calculations!$C$9))*(1/(Calculations!$C$8-Calculations!$C$13)) - 'Aqueous Species Table'!O401*100000*0.0000005903)*41.8393))</f>
        <v/>
      </c>
      <c r="H401" s="29" t="str">
        <f>IF(ISBLANK('Aqueous Species Options'!B401), "", IF('Aqueous Species Options'!L401 = 1, IF(ISBLANK('Aqueous Species Options'!H401), "", 'Aqueous Species Options'!H401), 'Aqueous Species Table'!M401 + 'Aqueous Species Table'!N401*10000*(1/(Calculations!$C$8-Calculations!$C$13))^2 + 'Aqueous Species Table'!O401*100000*Calculations!$C$8*Calculations!$C$7))</f>
        <v/>
      </c>
      <c r="I401" s="42" t="str">
        <f>IF(ISBLANK('Aqueous Species Options'!B401), "", IF('Aqueous Species Options'!L401=0, 'Aqueous Species Options'!N401, IF(OR(ISBLANK('Aqueous Species Options'!G401),'Aqueous Species Table'!O401="", 'Aqueous Species Table'!P401=""), "", IF('Aqueous Species Options'!B401="H+", 0, (CHOOSE('Aqueous Species Options'!M401+1,'Aqueous Species Options'!$V$4*ABS('Aqueous Species Table'!P401)+'Aqueous Species Options'!$W$4,'Aqueous Species Options'!$Z$4)*('Aqueous Species Options'!G401 + 'Aqueous Species Table'!O401*100000*0.0000005903*41.8393) + CHOOSE('Aqueous Species Options'!M401+1,'Aqueous Species Options'!$X$4*ABS('Aqueous Species Table'!P401)+'Aqueous Species Options'!$Y$4,'Aqueous Species Options'!$AA$4))*10 ) ) ) )</f>
        <v/>
      </c>
      <c r="J401" s="42" t="str">
        <f>IF(ISBLANK('Aqueous Species Options'!B401), "", IF('Aqueous Species Options'!L401 = 0, 'Aqueous Species Options'!O401, IF('Aqueous Species Table'!I401="", "", IF('Aqueous Species Options'!B401="H+", 0, ((1.11*('Aqueous Species Options'!G401 + 'Aqueous Species Table'!O401*100000*0.0000005903*41.8393)+1.8)/41.8393 - 'Aqueous Species Table'!I401/10)*26.01 ) ) ) )</f>
        <v/>
      </c>
      <c r="K401" s="42" t="str">
        <f>IF(ISBLANK('Aqueous Species Options'!B401), "", IF('Aqueous Species Options'!L401 = 0, 'Aqueous Species Options'!P401, IF('Aqueous Species Table'!I401="", "", IF('Aqueous Species Options'!B401="H+", 0, ('Aqueous Species Options'!G401/41.8393 + 'Aqueous Species Table'!O401*100000*0.0000005903 - 'Aqueous Species Table'!I401/10 - 'Aqueous Species Table'!J401*100/2601)*(298.15-228) - ('Aqueous Species Table'!L401*10000/2601) ) ) ) )</f>
        <v/>
      </c>
      <c r="L401" s="42" t="str">
        <f>IF(ISBLANK('Aqueous Species Options'!B401), "", IF('Aqueous Species Options'!L401 = 0, 'Aqueous Species Options'!Q401, IF('Aqueous Species Table'!J401="", "", IF('Aqueous Species Options'!B401="H+", 0, (-4.134*'Aqueous Species Table'!J401*100 - 27790)*0.0001) ) ) )</f>
        <v/>
      </c>
      <c r="M401" s="42" t="str">
        <f>IF(ISBLANK('Aqueous Species Options'!B401), "", IF('Aqueous Species Options'!L401=0, 'Aqueous Species Options'!R401, IF('Aqueous Species Table'!N401="", "", IF('Aqueous Species Options'!B401="H+", 0, 'Aqueous Species Options'!H401 - 'Aqueous Species Table'!O401*100000*(-0.000000309)*298.15 - 'Aqueous Species Table'!N401*10000/(298.15-228)^2 ) ) ) )</f>
        <v/>
      </c>
      <c r="N401" s="42" t="str">
        <f>IF(ISBLANK('Aqueous Species Options'!B401), "", IF('Aqueous Species Options'!L401=0, 'Aqueous Species Options'!S401, IF(OR(ISBLANK('Aqueous Species Options'!H401), 'Aqueous Species Table'!O401=""), "", IF('Aqueous Species Options'!B401="H+", 0, 0.2037*'Aqueous Species Options'!H401 - 3.0346) ) ) )</f>
        <v/>
      </c>
      <c r="O401" s="42" t="str">
        <f>IF(ISBLANK('Aqueous Species Options'!B401), "", IF('Aqueous Species Options'!K401=0, 'Aqueous Species Options'!I401, IF(OR('Aqueous Species Options'!J401&gt;4,'Aqueous Species Options'!J401&lt;-4), "", IF('Aqueous Species Options'!B401="H+", 0, IF('Aqueous Species Options'!J401=0, -0.038, IF(ISBLANK('Aqueous Species Options'!F401), "", -1514.4*'Aqueous Species Options'!F401*0.00001 + SUM(({4,3,2,1,-1,-2,-3,-4}='Aqueous Species Options'!J401)*{2.1764,1.5793,1.0579,0.5517,1.6291,3.2127,4.8115,6.486}) ) ) ) ) ) )</f>
        <v/>
      </c>
      <c r="P401" s="1" t="str">
        <f>IF(ISBLANK('Aqueous Species Options'!J401), "", 'Aqueous Species Options'!J401)</f>
        <v/>
      </c>
      <c r="Q401" s="184" t="str">
        <f>IF(ISBLANK('Aqueous Species Options'!T401), "", 'Aqueous Species Options'!T401)</f>
        <v/>
      </c>
    </row>
    <row r="402" spans="2:17" ht="16" x14ac:dyDescent="0.2">
      <c r="B402" t="str">
        <f>IF(ISBLANK('Aqueous Species Options'!B402), "", 'Aqueous Species Options'!B402)</f>
        <v/>
      </c>
      <c r="C402" s="1" t="str">
        <f>IF(ISBLANK('Aqueous Species Options'!C402), "", 'Aqueous Species Options'!C402)</f>
        <v/>
      </c>
      <c r="D402" s="1" t="str">
        <f>IF(ISBLANK('Aqueous Species Options'!D402), "", 'Aqueous Species Options'!D402)</f>
        <v/>
      </c>
      <c r="E402" s="1" t="str">
        <f>IF(ISBLANK('Aqueous Species Options'!E402), "", 'Aqueous Species Options'!E402)</f>
        <v/>
      </c>
      <c r="F402" s="139" t="str">
        <f>IF(ISBLANK('Aqueous Species Options'!F402), "", 'Aqueous Species Options'!F402)</f>
        <v/>
      </c>
      <c r="G402" s="29" t="str">
        <f>IF(ISBLANK('Aqueous Species Options'!B402), "", IF('Aqueous Species Options'!L402 = 1, IF(ISBLANK('Aqueous Species Options'!G402), "", 'Aqueous Species Options'!G402), ('Aqueous Species Table'!I402/10 + ('Aqueous Species Table'!J402*100)/(Calculations!$C$12+Calculations!$C$9) + ('Aqueous Species Table'!K402 + ('Aqueous Species Table'!L402*10000)/(Calculations!$C$12+Calculations!$C$9))*(1/(Calculations!$C$8-Calculations!$C$13)) - 'Aqueous Species Table'!O402*100000*0.0000005903)*41.8393))</f>
        <v/>
      </c>
      <c r="H402" s="29" t="str">
        <f>IF(ISBLANK('Aqueous Species Options'!B402), "", IF('Aqueous Species Options'!L402 = 1, IF(ISBLANK('Aqueous Species Options'!H402), "", 'Aqueous Species Options'!H402), 'Aqueous Species Table'!M402 + 'Aqueous Species Table'!N402*10000*(1/(Calculations!$C$8-Calculations!$C$13))^2 + 'Aqueous Species Table'!O402*100000*Calculations!$C$8*Calculations!$C$7))</f>
        <v/>
      </c>
      <c r="I402" s="1" t="str">
        <f>IF(ISBLANK('Aqueous Species Options'!B402), "", IF('Aqueous Species Options'!L402=0, 'Aqueous Species Options'!N402, IF(OR(ISBLANK('Aqueous Species Options'!G402),'Aqueous Species Table'!O402="", 'Aqueous Species Table'!P402=""), "", IF('Aqueous Species Options'!B402="H+", 0, (CHOOSE('Aqueous Species Options'!M402+1,'Aqueous Species Options'!$V$4*ABS('Aqueous Species Table'!P402)+'Aqueous Species Options'!$W$4,'Aqueous Species Options'!$Z$4)*('Aqueous Species Options'!G402 + 'Aqueous Species Table'!O402*100000*0.0000005903*41.8393) + CHOOSE('Aqueous Species Options'!M402+1,'Aqueous Species Options'!$X$4*ABS('Aqueous Species Table'!P402)+'Aqueous Species Options'!$Y$4,'Aqueous Species Options'!$AA$4))*10 ) ) ) )</f>
        <v/>
      </c>
      <c r="J402" s="1" t="str">
        <f>IF(ISBLANK('Aqueous Species Options'!B402), "", IF('Aqueous Species Options'!L402 = 0, 'Aqueous Species Options'!O402, IF('Aqueous Species Table'!I402="", "", IF('Aqueous Species Options'!B402="H+", 0, ((1.11*('Aqueous Species Options'!G402 + 'Aqueous Species Table'!O402*100000*0.0000005903*41.8393)+1.8)/41.8393 - 'Aqueous Species Table'!I402/10)*26.01 ) ) ) )</f>
        <v/>
      </c>
      <c r="K402" s="1" t="str">
        <f>IF(ISBLANK('Aqueous Species Options'!B402), "", IF('Aqueous Species Options'!L402 = 0, 'Aqueous Species Options'!P402, IF('Aqueous Species Table'!I402="", "", IF('Aqueous Species Options'!B402="H+", 0, ('Aqueous Species Options'!G402/41.8393 + 'Aqueous Species Table'!O402*100000*0.0000005903 - 'Aqueous Species Table'!I402/10 - 'Aqueous Species Table'!J402*100/2601)*(298.15-228) - ('Aqueous Species Table'!L402*10000/2601) ) ) ) )</f>
        <v/>
      </c>
      <c r="L402" s="1" t="str">
        <f>IF(ISBLANK('Aqueous Species Options'!B402), "", IF('Aqueous Species Options'!L402 = 0, 'Aqueous Species Options'!Q402, IF('Aqueous Species Table'!J402="", "", IF('Aqueous Species Options'!B402="H+", 0, (-4.134*'Aqueous Species Table'!J402*100 - 27790)*0.0001) ) ) )</f>
        <v/>
      </c>
      <c r="M402" s="1" t="str">
        <f>IF(ISBLANK('Aqueous Species Options'!B402), "", IF('Aqueous Species Options'!L402=0, 'Aqueous Species Options'!R402, IF('Aqueous Species Table'!N402="", "", IF('Aqueous Species Options'!B402="H+", 0, 'Aqueous Species Options'!H402 - 'Aqueous Species Table'!O402*100000*(-0.000000309)*298.15 - 'Aqueous Species Table'!N402*10000/(298.15-228)^2 ) ) ) )</f>
        <v/>
      </c>
      <c r="N402" s="1" t="str">
        <f>IF(ISBLANK('Aqueous Species Options'!B402), "", IF('Aqueous Species Options'!L402=0, 'Aqueous Species Options'!S402, IF(OR(ISBLANK('Aqueous Species Options'!H402), 'Aqueous Species Table'!O402=""), "", IF('Aqueous Species Options'!B402="H+", 0, 0.2037*'Aqueous Species Options'!H402 - 3.0346) ) ) )</f>
        <v/>
      </c>
      <c r="O402" s="1" t="str">
        <f>IF(ISBLANK('Aqueous Species Options'!B402), "", IF('Aqueous Species Options'!K402=0, 'Aqueous Species Options'!I402, IF(OR('Aqueous Species Options'!J402&gt;4,'Aqueous Species Options'!J402&lt;-4), "", IF('Aqueous Species Options'!B402="H+", 0, IF('Aqueous Species Options'!J402=0, -0.038, IF(ISBLANK('Aqueous Species Options'!F402), "", -1514.4*'Aqueous Species Options'!F402*0.00001 + SUM(({4,3,2,1,-1,-2,-3,-4}='Aqueous Species Options'!J402)*{2.1764,1.5793,1.0579,0.5517,1.6291,3.2127,4.8115,6.486}) ) ) ) ) ) )</f>
        <v/>
      </c>
      <c r="P402" s="1" t="str">
        <f>IF(ISBLANK('Aqueous Species Options'!J402), "", 'Aqueous Species Options'!J402)</f>
        <v/>
      </c>
      <c r="Q402" s="184" t="str">
        <f>IF(ISBLANK('Aqueous Species Options'!T402), "", 'Aqueous Species Options'!T402)</f>
        <v/>
      </c>
    </row>
    <row r="403" spans="2:17" ht="16" x14ac:dyDescent="0.2">
      <c r="B403" t="str">
        <f>IF(ISBLANK('Aqueous Species Options'!B403), "", 'Aqueous Species Options'!B403)</f>
        <v/>
      </c>
      <c r="C403" s="1" t="str">
        <f>IF(ISBLANK('Aqueous Species Options'!C403), "", 'Aqueous Species Options'!C403)</f>
        <v/>
      </c>
      <c r="D403" s="1" t="str">
        <f>IF(ISBLANK('Aqueous Species Options'!D403), "", 'Aqueous Species Options'!D403)</f>
        <v/>
      </c>
      <c r="E403" s="1" t="str">
        <f>IF(ISBLANK('Aqueous Species Options'!E403), "", 'Aqueous Species Options'!E403)</f>
        <v/>
      </c>
      <c r="F403" s="139" t="str">
        <f>IF(ISBLANK('Aqueous Species Options'!F403), "", 'Aqueous Species Options'!F403)</f>
        <v/>
      </c>
      <c r="G403" s="29" t="str">
        <f>IF(ISBLANK('Aqueous Species Options'!B403), "", IF('Aqueous Species Options'!L403 = 1, IF(ISBLANK('Aqueous Species Options'!G403), "", 'Aqueous Species Options'!G403), ('Aqueous Species Table'!I403/10 + ('Aqueous Species Table'!J403*100)/(Calculations!$C$12+Calculations!$C$9) + ('Aqueous Species Table'!K403 + ('Aqueous Species Table'!L403*10000)/(Calculations!$C$12+Calculations!$C$9))*(1/(Calculations!$C$8-Calculations!$C$13)) - 'Aqueous Species Table'!O403*100000*0.0000005903)*41.8393))</f>
        <v/>
      </c>
      <c r="H403" s="29" t="str">
        <f>IF(ISBLANK('Aqueous Species Options'!B403), "", IF('Aqueous Species Options'!L403 = 1, IF(ISBLANK('Aqueous Species Options'!H403), "", 'Aqueous Species Options'!H403), 'Aqueous Species Table'!M403 + 'Aqueous Species Table'!N403*10000*(1/(Calculations!$C$8-Calculations!$C$13))^2 + 'Aqueous Species Table'!O403*100000*Calculations!$C$8*Calculations!$C$7))</f>
        <v/>
      </c>
      <c r="I403" s="1" t="str">
        <f>IF(ISBLANK('Aqueous Species Options'!B403), "", IF('Aqueous Species Options'!L403=0, 'Aqueous Species Options'!N403, IF(OR(ISBLANK('Aqueous Species Options'!G403),'Aqueous Species Table'!O403="", 'Aqueous Species Table'!P403=""), "", IF('Aqueous Species Options'!B403="H+", 0, (CHOOSE('Aqueous Species Options'!M403+1,'Aqueous Species Options'!$V$4*ABS('Aqueous Species Table'!P403)+'Aqueous Species Options'!$W$4,'Aqueous Species Options'!$Z$4)*('Aqueous Species Options'!G403 + 'Aqueous Species Table'!O403*100000*0.0000005903*41.8393) + CHOOSE('Aqueous Species Options'!M403+1,'Aqueous Species Options'!$X$4*ABS('Aqueous Species Table'!P403)+'Aqueous Species Options'!$Y$4,'Aqueous Species Options'!$AA$4))*10 ) ) ) )</f>
        <v/>
      </c>
      <c r="J403" s="1" t="str">
        <f>IF(ISBLANK('Aqueous Species Options'!B403), "", IF('Aqueous Species Options'!L403 = 0, 'Aqueous Species Options'!O403, IF('Aqueous Species Table'!I403="", "", IF('Aqueous Species Options'!B403="H+", 0, ((1.11*('Aqueous Species Options'!G403 + 'Aqueous Species Table'!O403*100000*0.0000005903*41.8393)+1.8)/41.8393 - 'Aqueous Species Table'!I403/10)*26.01 ) ) ) )</f>
        <v/>
      </c>
      <c r="K403" s="1" t="str">
        <f>IF(ISBLANK('Aqueous Species Options'!B403), "", IF('Aqueous Species Options'!L403 = 0, 'Aqueous Species Options'!P403, IF('Aqueous Species Table'!I403="", "", IF('Aqueous Species Options'!B403="H+", 0, ('Aqueous Species Options'!G403/41.8393 + 'Aqueous Species Table'!O403*100000*0.0000005903 - 'Aqueous Species Table'!I403/10 - 'Aqueous Species Table'!J403*100/2601)*(298.15-228) - ('Aqueous Species Table'!L403*10000/2601) ) ) ) )</f>
        <v/>
      </c>
      <c r="L403" s="1" t="str">
        <f>IF(ISBLANK('Aqueous Species Options'!B403), "", IF('Aqueous Species Options'!L403 = 0, 'Aqueous Species Options'!Q403, IF('Aqueous Species Table'!J403="", "", IF('Aqueous Species Options'!B403="H+", 0, (-4.134*'Aqueous Species Table'!J403*100 - 27790)*0.0001) ) ) )</f>
        <v/>
      </c>
      <c r="M403" s="1" t="str">
        <f>IF(ISBLANK('Aqueous Species Options'!B403), "", IF('Aqueous Species Options'!L403=0, 'Aqueous Species Options'!R403, IF('Aqueous Species Table'!N403="", "", IF('Aqueous Species Options'!B403="H+", 0, 'Aqueous Species Options'!H403 - 'Aqueous Species Table'!O403*100000*(-0.000000309)*298.15 - 'Aqueous Species Table'!N403*10000/(298.15-228)^2 ) ) ) )</f>
        <v/>
      </c>
      <c r="N403" s="1" t="str">
        <f>IF(ISBLANK('Aqueous Species Options'!B403), "", IF('Aqueous Species Options'!L403=0, 'Aqueous Species Options'!S403, IF(OR(ISBLANK('Aqueous Species Options'!H403), 'Aqueous Species Table'!O403=""), "", IF('Aqueous Species Options'!B403="H+", 0, 0.2037*'Aqueous Species Options'!H403 - 3.0346) ) ) )</f>
        <v/>
      </c>
      <c r="O403" s="1" t="str">
        <f>IF(ISBLANK('Aqueous Species Options'!B403), "", IF('Aqueous Species Options'!K403=0, 'Aqueous Species Options'!I403, IF(OR('Aqueous Species Options'!J403&gt;4,'Aqueous Species Options'!J403&lt;-4), "", IF('Aqueous Species Options'!B403="H+", 0, IF('Aqueous Species Options'!J403=0, -0.038, IF(ISBLANK('Aqueous Species Options'!F403), "", -1514.4*'Aqueous Species Options'!F403*0.00001 + SUM(({4,3,2,1,-1,-2,-3,-4}='Aqueous Species Options'!J403)*{2.1764,1.5793,1.0579,0.5517,1.6291,3.2127,4.8115,6.486}) ) ) ) ) ) )</f>
        <v/>
      </c>
      <c r="P403" s="1" t="str">
        <f>IF(ISBLANK('Aqueous Species Options'!J403), "", 'Aqueous Species Options'!J403)</f>
        <v/>
      </c>
      <c r="Q403" s="184" t="str">
        <f>IF(ISBLANK('Aqueous Species Options'!T403), "", 'Aqueous Species Options'!T403)</f>
        <v/>
      </c>
    </row>
    <row r="404" spans="2:17" ht="16" x14ac:dyDescent="0.2">
      <c r="B404" t="str">
        <f>IF(ISBLANK('Aqueous Species Options'!B404), "", 'Aqueous Species Options'!B404)</f>
        <v/>
      </c>
      <c r="C404" s="1" t="str">
        <f>IF(ISBLANK('Aqueous Species Options'!C404), "", 'Aqueous Species Options'!C404)</f>
        <v/>
      </c>
      <c r="D404" s="1" t="str">
        <f>IF(ISBLANK('Aqueous Species Options'!D404), "", 'Aqueous Species Options'!D404)</f>
        <v/>
      </c>
      <c r="E404" s="1" t="str">
        <f>IF(ISBLANK('Aqueous Species Options'!E404), "", 'Aqueous Species Options'!E404)</f>
        <v/>
      </c>
      <c r="F404" s="139" t="str">
        <f>IF(ISBLANK('Aqueous Species Options'!F404), "", 'Aqueous Species Options'!F404)</f>
        <v/>
      </c>
      <c r="G404" s="29" t="str">
        <f>IF(ISBLANK('Aqueous Species Options'!B404), "", IF('Aqueous Species Options'!L404 = 1, IF(ISBLANK('Aqueous Species Options'!G404), "", 'Aqueous Species Options'!G404), ('Aqueous Species Table'!I404/10 + ('Aqueous Species Table'!J404*100)/(Calculations!$C$12+Calculations!$C$9) + ('Aqueous Species Table'!K404 + ('Aqueous Species Table'!L404*10000)/(Calculations!$C$12+Calculations!$C$9))*(1/(Calculations!$C$8-Calculations!$C$13)) - 'Aqueous Species Table'!O404*100000*0.0000005903)*41.8393))</f>
        <v/>
      </c>
      <c r="H404" s="29" t="str">
        <f>IF(ISBLANK('Aqueous Species Options'!B404), "", IF('Aqueous Species Options'!L404 = 1, IF(ISBLANK('Aqueous Species Options'!H404), "", 'Aqueous Species Options'!H404), 'Aqueous Species Table'!M404 + 'Aqueous Species Table'!N404*10000*(1/(Calculations!$C$8-Calculations!$C$13))^2 + 'Aqueous Species Table'!O404*100000*Calculations!$C$8*Calculations!$C$7))</f>
        <v/>
      </c>
      <c r="I404" s="1" t="str">
        <f>IF(ISBLANK('Aqueous Species Options'!B404), "", IF('Aqueous Species Options'!L404=0, 'Aqueous Species Options'!N404, IF(OR(ISBLANK('Aqueous Species Options'!G404),'Aqueous Species Table'!O404="", 'Aqueous Species Table'!P404=""), "", IF('Aqueous Species Options'!B404="H+", 0, (CHOOSE('Aqueous Species Options'!M404+1,'Aqueous Species Options'!$V$4*ABS('Aqueous Species Table'!P404)+'Aqueous Species Options'!$W$4,'Aqueous Species Options'!$Z$4)*('Aqueous Species Options'!G404 + 'Aqueous Species Table'!O404*100000*0.0000005903*41.8393) + CHOOSE('Aqueous Species Options'!M404+1,'Aqueous Species Options'!$X$4*ABS('Aqueous Species Table'!P404)+'Aqueous Species Options'!$Y$4,'Aqueous Species Options'!$AA$4))*10 ) ) ) )</f>
        <v/>
      </c>
      <c r="J404" s="1" t="str">
        <f>IF(ISBLANK('Aqueous Species Options'!B404), "", IF('Aqueous Species Options'!L404 = 0, 'Aqueous Species Options'!O404, IF('Aqueous Species Table'!I404="", "", IF('Aqueous Species Options'!B404="H+", 0, ((1.11*('Aqueous Species Options'!G404 + 'Aqueous Species Table'!O404*100000*0.0000005903*41.8393)+1.8)/41.8393 - 'Aqueous Species Table'!I404/10)*26.01 ) ) ) )</f>
        <v/>
      </c>
      <c r="K404" s="1" t="str">
        <f>IF(ISBLANK('Aqueous Species Options'!B404), "", IF('Aqueous Species Options'!L404 = 0, 'Aqueous Species Options'!P404, IF('Aqueous Species Table'!I404="", "", IF('Aqueous Species Options'!B404="H+", 0, ('Aqueous Species Options'!G404/41.8393 + 'Aqueous Species Table'!O404*100000*0.0000005903 - 'Aqueous Species Table'!I404/10 - 'Aqueous Species Table'!J404*100/2601)*(298.15-228) - ('Aqueous Species Table'!L404*10000/2601) ) ) ) )</f>
        <v/>
      </c>
      <c r="L404" s="1" t="str">
        <f>IF(ISBLANK('Aqueous Species Options'!B404), "", IF('Aqueous Species Options'!L404 = 0, 'Aqueous Species Options'!Q404, IF('Aqueous Species Table'!J404="", "", IF('Aqueous Species Options'!B404="H+", 0, (-4.134*'Aqueous Species Table'!J404*100 - 27790)*0.0001) ) ) )</f>
        <v/>
      </c>
      <c r="M404" s="1" t="str">
        <f>IF(ISBLANK('Aqueous Species Options'!B404), "", IF('Aqueous Species Options'!L404=0, 'Aqueous Species Options'!R404, IF('Aqueous Species Table'!N404="", "", IF('Aqueous Species Options'!B404="H+", 0, 'Aqueous Species Options'!H404 - 'Aqueous Species Table'!O404*100000*(-0.000000309)*298.15 - 'Aqueous Species Table'!N404*10000/(298.15-228)^2 ) ) ) )</f>
        <v/>
      </c>
      <c r="N404" s="1" t="str">
        <f>IF(ISBLANK('Aqueous Species Options'!B404), "", IF('Aqueous Species Options'!L404=0, 'Aqueous Species Options'!S404, IF(OR(ISBLANK('Aqueous Species Options'!H404), 'Aqueous Species Table'!O404=""), "", IF('Aqueous Species Options'!B404="H+", 0, 0.2037*'Aqueous Species Options'!H404 - 3.0346) ) ) )</f>
        <v/>
      </c>
      <c r="O404" s="1" t="str">
        <f>IF(ISBLANK('Aqueous Species Options'!B404), "", IF('Aqueous Species Options'!K404=0, 'Aqueous Species Options'!I404, IF(OR('Aqueous Species Options'!J404&gt;4,'Aqueous Species Options'!J404&lt;-4), "", IF('Aqueous Species Options'!B404="H+", 0, IF('Aqueous Species Options'!J404=0, -0.038, IF(ISBLANK('Aqueous Species Options'!F404), "", -1514.4*'Aqueous Species Options'!F404*0.00001 + SUM(({4,3,2,1,-1,-2,-3,-4}='Aqueous Species Options'!J404)*{2.1764,1.5793,1.0579,0.5517,1.6291,3.2127,4.8115,6.486}) ) ) ) ) ) )</f>
        <v/>
      </c>
      <c r="P404" s="1" t="str">
        <f>IF(ISBLANK('Aqueous Species Options'!J404), "", 'Aqueous Species Options'!J404)</f>
        <v/>
      </c>
      <c r="Q404" s="184" t="str">
        <f>IF(ISBLANK('Aqueous Species Options'!T404), "", 'Aqueous Species Options'!T404)</f>
        <v/>
      </c>
    </row>
    <row r="405" spans="2:17" ht="16" x14ac:dyDescent="0.2">
      <c r="B405" t="str">
        <f>IF(ISBLANK('Aqueous Species Options'!B405), "", 'Aqueous Species Options'!B405)</f>
        <v/>
      </c>
      <c r="C405" s="1" t="str">
        <f>IF(ISBLANK('Aqueous Species Options'!C405), "", 'Aqueous Species Options'!C405)</f>
        <v/>
      </c>
      <c r="D405" s="1" t="str">
        <f>IF(ISBLANK('Aqueous Species Options'!D405), "", 'Aqueous Species Options'!D405)</f>
        <v/>
      </c>
      <c r="E405" s="1" t="str">
        <f>IF(ISBLANK('Aqueous Species Options'!E405), "", 'Aqueous Species Options'!E405)</f>
        <v/>
      </c>
      <c r="F405" s="139" t="str">
        <f>IF(ISBLANK('Aqueous Species Options'!F405), "", 'Aqueous Species Options'!F405)</f>
        <v/>
      </c>
      <c r="G405" s="29" t="str">
        <f>IF(ISBLANK('Aqueous Species Options'!B405), "", IF('Aqueous Species Options'!L405 = 1, IF(ISBLANK('Aqueous Species Options'!G405), "", 'Aqueous Species Options'!G405), ('Aqueous Species Table'!I405/10 + ('Aqueous Species Table'!J405*100)/(Calculations!$C$12+Calculations!$C$9) + ('Aqueous Species Table'!K405 + ('Aqueous Species Table'!L405*10000)/(Calculations!$C$12+Calculations!$C$9))*(1/(Calculations!$C$8-Calculations!$C$13)) - 'Aqueous Species Table'!O405*100000*0.0000005903)*41.8393))</f>
        <v/>
      </c>
      <c r="H405" s="29" t="str">
        <f>IF(ISBLANK('Aqueous Species Options'!B405), "", IF('Aqueous Species Options'!L405 = 1, IF(ISBLANK('Aqueous Species Options'!H405), "", 'Aqueous Species Options'!H405), 'Aqueous Species Table'!M405 + 'Aqueous Species Table'!N405*10000*(1/(Calculations!$C$8-Calculations!$C$13))^2 + 'Aqueous Species Table'!O405*100000*Calculations!$C$8*Calculations!$C$7))</f>
        <v/>
      </c>
      <c r="I405" s="1" t="str">
        <f>IF(ISBLANK('Aqueous Species Options'!B405), "", IF('Aqueous Species Options'!L405=0, 'Aqueous Species Options'!N405, IF(OR(ISBLANK('Aqueous Species Options'!G405),'Aqueous Species Table'!O405="", 'Aqueous Species Table'!P405=""), "", IF('Aqueous Species Options'!B405="H+", 0, (CHOOSE('Aqueous Species Options'!M405+1,'Aqueous Species Options'!$V$4*ABS('Aqueous Species Table'!P405)+'Aqueous Species Options'!$W$4,'Aqueous Species Options'!$Z$4)*('Aqueous Species Options'!G405 + 'Aqueous Species Table'!O405*100000*0.0000005903*41.8393) + CHOOSE('Aqueous Species Options'!M405+1,'Aqueous Species Options'!$X$4*ABS('Aqueous Species Table'!P405)+'Aqueous Species Options'!$Y$4,'Aqueous Species Options'!$AA$4))*10 ) ) ) )</f>
        <v/>
      </c>
      <c r="J405" s="1" t="str">
        <f>IF(ISBLANK('Aqueous Species Options'!B405), "", IF('Aqueous Species Options'!L405 = 0, 'Aqueous Species Options'!O405, IF('Aqueous Species Table'!I405="", "", IF('Aqueous Species Options'!B405="H+", 0, ((1.11*('Aqueous Species Options'!G405 + 'Aqueous Species Table'!O405*100000*0.0000005903*41.8393)+1.8)/41.8393 - 'Aqueous Species Table'!I405/10)*26.01 ) ) ) )</f>
        <v/>
      </c>
      <c r="K405" s="1" t="str">
        <f>IF(ISBLANK('Aqueous Species Options'!B405), "", IF('Aqueous Species Options'!L405 = 0, 'Aqueous Species Options'!P405, IF('Aqueous Species Table'!I405="", "", IF('Aqueous Species Options'!B405="H+", 0, ('Aqueous Species Options'!G405/41.8393 + 'Aqueous Species Table'!O405*100000*0.0000005903 - 'Aqueous Species Table'!I405/10 - 'Aqueous Species Table'!J405*100/2601)*(298.15-228) - ('Aqueous Species Table'!L405*10000/2601) ) ) ) )</f>
        <v/>
      </c>
      <c r="L405" s="1" t="str">
        <f>IF(ISBLANK('Aqueous Species Options'!B405), "", IF('Aqueous Species Options'!L405 = 0, 'Aqueous Species Options'!Q405, IF('Aqueous Species Table'!J405="", "", IF('Aqueous Species Options'!B405="H+", 0, (-4.134*'Aqueous Species Table'!J405*100 - 27790)*0.0001) ) ) )</f>
        <v/>
      </c>
      <c r="M405" s="1" t="str">
        <f>IF(ISBLANK('Aqueous Species Options'!B405), "", IF('Aqueous Species Options'!L405=0, 'Aqueous Species Options'!R405, IF('Aqueous Species Table'!N405="", "", IF('Aqueous Species Options'!B405="H+", 0, 'Aqueous Species Options'!H405 - 'Aqueous Species Table'!O405*100000*(-0.000000309)*298.15 - 'Aqueous Species Table'!N405*10000/(298.15-228)^2 ) ) ) )</f>
        <v/>
      </c>
      <c r="N405" s="1" t="str">
        <f>IF(ISBLANK('Aqueous Species Options'!B405), "", IF('Aqueous Species Options'!L405=0, 'Aqueous Species Options'!S405, IF(OR(ISBLANK('Aqueous Species Options'!H405), 'Aqueous Species Table'!O405=""), "", IF('Aqueous Species Options'!B405="H+", 0, 0.2037*'Aqueous Species Options'!H405 - 3.0346) ) ) )</f>
        <v/>
      </c>
      <c r="O405" s="1" t="str">
        <f>IF(ISBLANK('Aqueous Species Options'!B405), "", IF('Aqueous Species Options'!K405=0, 'Aqueous Species Options'!I405, IF(OR('Aqueous Species Options'!J405&gt;4,'Aqueous Species Options'!J405&lt;-4), "", IF('Aqueous Species Options'!B405="H+", 0, IF('Aqueous Species Options'!J405=0, -0.038, IF(ISBLANK('Aqueous Species Options'!F405), "", -1514.4*'Aqueous Species Options'!F405*0.00001 + SUM(({4,3,2,1,-1,-2,-3,-4}='Aqueous Species Options'!J405)*{2.1764,1.5793,1.0579,0.5517,1.6291,3.2127,4.8115,6.486}) ) ) ) ) ) )</f>
        <v/>
      </c>
      <c r="P405" s="1" t="str">
        <f>IF(ISBLANK('Aqueous Species Options'!J405), "", 'Aqueous Species Options'!J405)</f>
        <v/>
      </c>
      <c r="Q405" s="184" t="str">
        <f>IF(ISBLANK('Aqueous Species Options'!T405), "", 'Aqueous Species Options'!T405)</f>
        <v/>
      </c>
    </row>
    <row r="406" spans="2:17" ht="16" x14ac:dyDescent="0.2">
      <c r="B406" t="str">
        <f>IF(ISBLANK('Aqueous Species Options'!B406), "", 'Aqueous Species Options'!B406)</f>
        <v/>
      </c>
      <c r="C406" s="1" t="str">
        <f>IF(ISBLANK('Aqueous Species Options'!C406), "", 'Aqueous Species Options'!C406)</f>
        <v/>
      </c>
      <c r="D406" s="1" t="str">
        <f>IF(ISBLANK('Aqueous Species Options'!D406), "", 'Aqueous Species Options'!D406)</f>
        <v/>
      </c>
      <c r="E406" s="1" t="str">
        <f>IF(ISBLANK('Aqueous Species Options'!E406), "", 'Aqueous Species Options'!E406)</f>
        <v/>
      </c>
      <c r="F406" s="139" t="str">
        <f>IF(ISBLANK('Aqueous Species Options'!F406), "", 'Aqueous Species Options'!F406)</f>
        <v/>
      </c>
      <c r="G406" s="29" t="str">
        <f>IF(ISBLANK('Aqueous Species Options'!B406), "", IF('Aqueous Species Options'!L406 = 1, IF(ISBLANK('Aqueous Species Options'!G406), "", 'Aqueous Species Options'!G406), ('Aqueous Species Table'!I406/10 + ('Aqueous Species Table'!J406*100)/(Calculations!$C$12+Calculations!$C$9) + ('Aqueous Species Table'!K406 + ('Aqueous Species Table'!L406*10000)/(Calculations!$C$12+Calculations!$C$9))*(1/(Calculations!$C$8-Calculations!$C$13)) - 'Aqueous Species Table'!O406*100000*0.0000005903)*41.8393))</f>
        <v/>
      </c>
      <c r="H406" s="29" t="str">
        <f>IF(ISBLANK('Aqueous Species Options'!B406), "", IF('Aqueous Species Options'!L406 = 1, IF(ISBLANK('Aqueous Species Options'!H406), "", 'Aqueous Species Options'!H406), 'Aqueous Species Table'!M406 + 'Aqueous Species Table'!N406*10000*(1/(Calculations!$C$8-Calculations!$C$13))^2 + 'Aqueous Species Table'!O406*100000*Calculations!$C$8*Calculations!$C$7))</f>
        <v/>
      </c>
      <c r="I406" s="1" t="str">
        <f>IF(ISBLANK('Aqueous Species Options'!B406), "", IF('Aqueous Species Options'!L406=0, 'Aqueous Species Options'!N406, IF(OR(ISBLANK('Aqueous Species Options'!G406),'Aqueous Species Table'!O406="", 'Aqueous Species Table'!P406=""), "", IF('Aqueous Species Options'!B406="H+", 0, (CHOOSE('Aqueous Species Options'!M406+1,'Aqueous Species Options'!$V$4*ABS('Aqueous Species Table'!P406)+'Aqueous Species Options'!$W$4,'Aqueous Species Options'!$Z$4)*('Aqueous Species Options'!G406 + 'Aqueous Species Table'!O406*100000*0.0000005903*41.8393) + CHOOSE('Aqueous Species Options'!M406+1,'Aqueous Species Options'!$X$4*ABS('Aqueous Species Table'!P406)+'Aqueous Species Options'!$Y$4,'Aqueous Species Options'!$AA$4))*10 ) ) ) )</f>
        <v/>
      </c>
      <c r="J406" s="1" t="str">
        <f>IF(ISBLANK('Aqueous Species Options'!B406), "", IF('Aqueous Species Options'!L406 = 0, 'Aqueous Species Options'!O406, IF('Aqueous Species Table'!I406="", "", IF('Aqueous Species Options'!B406="H+", 0, ((1.11*('Aqueous Species Options'!G406 + 'Aqueous Species Table'!O406*100000*0.0000005903*41.8393)+1.8)/41.8393 - 'Aqueous Species Table'!I406/10)*26.01 ) ) ) )</f>
        <v/>
      </c>
      <c r="K406" s="1" t="str">
        <f>IF(ISBLANK('Aqueous Species Options'!B406), "", IF('Aqueous Species Options'!L406 = 0, 'Aqueous Species Options'!P406, IF('Aqueous Species Table'!I406="", "", IF('Aqueous Species Options'!B406="H+", 0, ('Aqueous Species Options'!G406/41.8393 + 'Aqueous Species Table'!O406*100000*0.0000005903 - 'Aqueous Species Table'!I406/10 - 'Aqueous Species Table'!J406*100/2601)*(298.15-228) - ('Aqueous Species Table'!L406*10000/2601) ) ) ) )</f>
        <v/>
      </c>
      <c r="L406" s="1" t="str">
        <f>IF(ISBLANK('Aqueous Species Options'!B406), "", IF('Aqueous Species Options'!L406 = 0, 'Aqueous Species Options'!Q406, IF('Aqueous Species Table'!J406="", "", IF('Aqueous Species Options'!B406="H+", 0, (-4.134*'Aqueous Species Table'!J406*100 - 27790)*0.0001) ) ) )</f>
        <v/>
      </c>
      <c r="M406" s="1" t="str">
        <f>IF(ISBLANK('Aqueous Species Options'!B406), "", IF('Aqueous Species Options'!L406=0, 'Aqueous Species Options'!R406, IF('Aqueous Species Table'!N406="", "", IF('Aqueous Species Options'!B406="H+", 0, 'Aqueous Species Options'!H406 - 'Aqueous Species Table'!O406*100000*(-0.000000309)*298.15 - 'Aqueous Species Table'!N406*10000/(298.15-228)^2 ) ) ) )</f>
        <v/>
      </c>
      <c r="N406" s="1" t="str">
        <f>IF(ISBLANK('Aqueous Species Options'!B406), "", IF('Aqueous Species Options'!L406=0, 'Aqueous Species Options'!S406, IF(OR(ISBLANK('Aqueous Species Options'!H406), 'Aqueous Species Table'!O406=""), "", IF('Aqueous Species Options'!B406="H+", 0, 0.2037*'Aqueous Species Options'!H406 - 3.0346) ) ) )</f>
        <v/>
      </c>
      <c r="O406" s="1" t="str">
        <f>IF(ISBLANK('Aqueous Species Options'!B406), "", IF('Aqueous Species Options'!K406=0, 'Aqueous Species Options'!I406, IF(OR('Aqueous Species Options'!J406&gt;4,'Aqueous Species Options'!J406&lt;-4), "", IF('Aqueous Species Options'!B406="H+", 0, IF('Aqueous Species Options'!J406=0, -0.038, IF(ISBLANK('Aqueous Species Options'!F406), "", -1514.4*'Aqueous Species Options'!F406*0.00001 + SUM(({4,3,2,1,-1,-2,-3,-4}='Aqueous Species Options'!J406)*{2.1764,1.5793,1.0579,0.5517,1.6291,3.2127,4.8115,6.486}) ) ) ) ) ) )</f>
        <v/>
      </c>
      <c r="P406" s="1" t="str">
        <f>IF(ISBLANK('Aqueous Species Options'!J406), "", 'Aqueous Species Options'!J406)</f>
        <v/>
      </c>
      <c r="Q406" s="184" t="str">
        <f>IF(ISBLANK('Aqueous Species Options'!T406), "", 'Aqueous Species Options'!T406)</f>
        <v/>
      </c>
    </row>
    <row r="407" spans="2:17" ht="16" x14ac:dyDescent="0.2">
      <c r="B407" t="str">
        <f>IF(ISBLANK('Aqueous Species Options'!B407), "", 'Aqueous Species Options'!B407)</f>
        <v/>
      </c>
      <c r="C407" s="1" t="str">
        <f>IF(ISBLANK('Aqueous Species Options'!C407), "", 'Aqueous Species Options'!C407)</f>
        <v/>
      </c>
      <c r="D407" s="1" t="str">
        <f>IF(ISBLANK('Aqueous Species Options'!D407), "", 'Aqueous Species Options'!D407)</f>
        <v/>
      </c>
      <c r="E407" s="1" t="str">
        <f>IF(ISBLANK('Aqueous Species Options'!E407), "", 'Aqueous Species Options'!E407)</f>
        <v/>
      </c>
      <c r="F407" s="139" t="str">
        <f>IF(ISBLANK('Aqueous Species Options'!F407), "", 'Aqueous Species Options'!F407)</f>
        <v/>
      </c>
      <c r="G407" s="29" t="str">
        <f>IF(ISBLANK('Aqueous Species Options'!B407), "", IF('Aqueous Species Options'!L407 = 1, IF(ISBLANK('Aqueous Species Options'!G407), "", 'Aqueous Species Options'!G407), ('Aqueous Species Table'!I407/10 + ('Aqueous Species Table'!J407*100)/(Calculations!$C$12+Calculations!$C$9) + ('Aqueous Species Table'!K407 + ('Aqueous Species Table'!L407*10000)/(Calculations!$C$12+Calculations!$C$9))*(1/(Calculations!$C$8-Calculations!$C$13)) - 'Aqueous Species Table'!O407*100000*0.0000005903)*41.8393))</f>
        <v/>
      </c>
      <c r="H407" s="29" t="str">
        <f>IF(ISBLANK('Aqueous Species Options'!B407), "", IF('Aqueous Species Options'!L407 = 1, IF(ISBLANK('Aqueous Species Options'!H407), "", 'Aqueous Species Options'!H407), 'Aqueous Species Table'!M407 + 'Aqueous Species Table'!N407*10000*(1/(Calculations!$C$8-Calculations!$C$13))^2 + 'Aqueous Species Table'!O407*100000*Calculations!$C$8*Calculations!$C$7))</f>
        <v/>
      </c>
      <c r="I407" s="1" t="str">
        <f>IF(ISBLANK('Aqueous Species Options'!B407), "", IF('Aqueous Species Options'!L407=0, 'Aqueous Species Options'!N407, IF(OR(ISBLANK('Aqueous Species Options'!G407),'Aqueous Species Table'!O407="", 'Aqueous Species Table'!P407=""), "", IF('Aqueous Species Options'!B407="H+", 0, (CHOOSE('Aqueous Species Options'!M407+1,'Aqueous Species Options'!$V$4*ABS('Aqueous Species Table'!P407)+'Aqueous Species Options'!$W$4,'Aqueous Species Options'!$Z$4)*('Aqueous Species Options'!G407 + 'Aqueous Species Table'!O407*100000*0.0000005903*41.8393) + CHOOSE('Aqueous Species Options'!M407+1,'Aqueous Species Options'!$X$4*ABS('Aqueous Species Table'!P407)+'Aqueous Species Options'!$Y$4,'Aqueous Species Options'!$AA$4))*10 ) ) ) )</f>
        <v/>
      </c>
      <c r="J407" s="1" t="str">
        <f>IF(ISBLANK('Aqueous Species Options'!B407), "", IF('Aqueous Species Options'!L407 = 0, 'Aqueous Species Options'!O407, IF('Aqueous Species Table'!I407="", "", IF('Aqueous Species Options'!B407="H+", 0, ((1.11*('Aqueous Species Options'!G407 + 'Aqueous Species Table'!O407*100000*0.0000005903*41.8393)+1.8)/41.8393 - 'Aqueous Species Table'!I407/10)*26.01 ) ) ) )</f>
        <v/>
      </c>
      <c r="K407" s="1" t="str">
        <f>IF(ISBLANK('Aqueous Species Options'!B407), "", IF('Aqueous Species Options'!L407 = 0, 'Aqueous Species Options'!P407, IF('Aqueous Species Table'!I407="", "", IF('Aqueous Species Options'!B407="H+", 0, ('Aqueous Species Options'!G407/41.8393 + 'Aqueous Species Table'!O407*100000*0.0000005903 - 'Aqueous Species Table'!I407/10 - 'Aqueous Species Table'!J407*100/2601)*(298.15-228) - ('Aqueous Species Table'!L407*10000/2601) ) ) ) )</f>
        <v/>
      </c>
      <c r="L407" s="1" t="str">
        <f>IF(ISBLANK('Aqueous Species Options'!B407), "", IF('Aqueous Species Options'!L407 = 0, 'Aqueous Species Options'!Q407, IF('Aqueous Species Table'!J407="", "", IF('Aqueous Species Options'!B407="H+", 0, (-4.134*'Aqueous Species Table'!J407*100 - 27790)*0.0001) ) ) )</f>
        <v/>
      </c>
      <c r="M407" s="1" t="str">
        <f>IF(ISBLANK('Aqueous Species Options'!B407), "", IF('Aqueous Species Options'!L407=0, 'Aqueous Species Options'!R407, IF('Aqueous Species Table'!N407="", "", IF('Aqueous Species Options'!B407="H+", 0, 'Aqueous Species Options'!H407 - 'Aqueous Species Table'!O407*100000*(-0.000000309)*298.15 - 'Aqueous Species Table'!N407*10000/(298.15-228)^2 ) ) ) )</f>
        <v/>
      </c>
      <c r="N407" s="1" t="str">
        <f>IF(ISBLANK('Aqueous Species Options'!B407), "", IF('Aqueous Species Options'!L407=0, 'Aqueous Species Options'!S407, IF(OR(ISBLANK('Aqueous Species Options'!H407), 'Aqueous Species Table'!O407=""), "", IF('Aqueous Species Options'!B407="H+", 0, 0.2037*'Aqueous Species Options'!H407 - 3.0346) ) ) )</f>
        <v/>
      </c>
      <c r="O407" s="1" t="str">
        <f>IF(ISBLANK('Aqueous Species Options'!B407), "", IF('Aqueous Species Options'!K407=0, 'Aqueous Species Options'!I407, IF(OR('Aqueous Species Options'!J407&gt;4,'Aqueous Species Options'!J407&lt;-4), "", IF('Aqueous Species Options'!B407="H+", 0, IF('Aqueous Species Options'!J407=0, -0.038, IF(ISBLANK('Aqueous Species Options'!F407), "", -1514.4*'Aqueous Species Options'!F407*0.00001 + SUM(({4,3,2,1,-1,-2,-3,-4}='Aqueous Species Options'!J407)*{2.1764,1.5793,1.0579,0.5517,1.6291,3.2127,4.8115,6.486}) ) ) ) ) ) )</f>
        <v/>
      </c>
      <c r="P407" s="1" t="str">
        <f>IF(ISBLANK('Aqueous Species Options'!J407), "", 'Aqueous Species Options'!J407)</f>
        <v/>
      </c>
      <c r="Q407" s="184" t="str">
        <f>IF(ISBLANK('Aqueous Species Options'!T407), "", 'Aqueous Species Options'!T407)</f>
        <v/>
      </c>
    </row>
    <row r="408" spans="2:17" ht="16" x14ac:dyDescent="0.2">
      <c r="B408" t="str">
        <f>IF(ISBLANK('Aqueous Species Options'!B408), "", 'Aqueous Species Options'!B408)</f>
        <v/>
      </c>
      <c r="C408" s="1" t="str">
        <f>IF(ISBLANK('Aqueous Species Options'!C408), "", 'Aqueous Species Options'!C408)</f>
        <v/>
      </c>
      <c r="D408" s="1" t="str">
        <f>IF(ISBLANK('Aqueous Species Options'!D408), "", 'Aqueous Species Options'!D408)</f>
        <v/>
      </c>
      <c r="E408" s="1" t="str">
        <f>IF(ISBLANK('Aqueous Species Options'!E408), "", 'Aqueous Species Options'!E408)</f>
        <v/>
      </c>
      <c r="F408" s="139" t="str">
        <f>IF(ISBLANK('Aqueous Species Options'!F408), "", 'Aqueous Species Options'!F408)</f>
        <v/>
      </c>
      <c r="G408" s="29" t="str">
        <f>IF(ISBLANK('Aqueous Species Options'!B408), "", IF('Aqueous Species Options'!L408 = 1, IF(ISBLANK('Aqueous Species Options'!G408), "", 'Aqueous Species Options'!G408), ('Aqueous Species Table'!I408/10 + ('Aqueous Species Table'!J408*100)/(Calculations!$C$12+Calculations!$C$9) + ('Aqueous Species Table'!K408 + ('Aqueous Species Table'!L408*10000)/(Calculations!$C$12+Calculations!$C$9))*(1/(Calculations!$C$8-Calculations!$C$13)) - 'Aqueous Species Table'!O408*100000*0.0000005903)*41.8393))</f>
        <v/>
      </c>
      <c r="H408" s="29" t="str">
        <f>IF(ISBLANK('Aqueous Species Options'!B408), "", IF('Aqueous Species Options'!L408 = 1, IF(ISBLANK('Aqueous Species Options'!H408), "", 'Aqueous Species Options'!H408), 'Aqueous Species Table'!M408 + 'Aqueous Species Table'!N408*10000*(1/(Calculations!$C$8-Calculations!$C$13))^2 + 'Aqueous Species Table'!O408*100000*Calculations!$C$8*Calculations!$C$7))</f>
        <v/>
      </c>
      <c r="I408" s="1" t="str">
        <f>IF(ISBLANK('Aqueous Species Options'!B408), "", IF('Aqueous Species Options'!L408=0, 'Aqueous Species Options'!N408, IF(OR(ISBLANK('Aqueous Species Options'!G408),'Aqueous Species Table'!O408="", 'Aqueous Species Table'!P408=""), "", IF('Aqueous Species Options'!B408="H+", 0, (CHOOSE('Aqueous Species Options'!M408+1,'Aqueous Species Options'!$V$4*ABS('Aqueous Species Table'!P408)+'Aqueous Species Options'!$W$4,'Aqueous Species Options'!$Z$4)*('Aqueous Species Options'!G408 + 'Aqueous Species Table'!O408*100000*0.0000005903*41.8393) + CHOOSE('Aqueous Species Options'!M408+1,'Aqueous Species Options'!$X$4*ABS('Aqueous Species Table'!P408)+'Aqueous Species Options'!$Y$4,'Aqueous Species Options'!$AA$4))*10 ) ) ) )</f>
        <v/>
      </c>
      <c r="J408" s="1" t="str">
        <f>IF(ISBLANK('Aqueous Species Options'!B408), "", IF('Aqueous Species Options'!L408 = 0, 'Aqueous Species Options'!O408, IF('Aqueous Species Table'!I408="", "", IF('Aqueous Species Options'!B408="H+", 0, ((1.11*('Aqueous Species Options'!G408 + 'Aqueous Species Table'!O408*100000*0.0000005903*41.8393)+1.8)/41.8393 - 'Aqueous Species Table'!I408/10)*26.01 ) ) ) )</f>
        <v/>
      </c>
      <c r="K408" s="1" t="str">
        <f>IF(ISBLANK('Aqueous Species Options'!B408), "", IF('Aqueous Species Options'!L408 = 0, 'Aqueous Species Options'!P408, IF('Aqueous Species Table'!I408="", "", IF('Aqueous Species Options'!B408="H+", 0, ('Aqueous Species Options'!G408/41.8393 + 'Aqueous Species Table'!O408*100000*0.0000005903 - 'Aqueous Species Table'!I408/10 - 'Aqueous Species Table'!J408*100/2601)*(298.15-228) - ('Aqueous Species Table'!L408*10000/2601) ) ) ) )</f>
        <v/>
      </c>
      <c r="L408" s="1" t="str">
        <f>IF(ISBLANK('Aqueous Species Options'!B408), "", IF('Aqueous Species Options'!L408 = 0, 'Aqueous Species Options'!Q408, IF('Aqueous Species Table'!J408="", "", IF('Aqueous Species Options'!B408="H+", 0, (-4.134*'Aqueous Species Table'!J408*100 - 27790)*0.0001) ) ) )</f>
        <v/>
      </c>
      <c r="M408" s="1" t="str">
        <f>IF(ISBLANK('Aqueous Species Options'!B408), "", IF('Aqueous Species Options'!L408=0, 'Aqueous Species Options'!R408, IF('Aqueous Species Table'!N408="", "", IF('Aqueous Species Options'!B408="H+", 0, 'Aqueous Species Options'!H408 - 'Aqueous Species Table'!O408*100000*(-0.000000309)*298.15 - 'Aqueous Species Table'!N408*10000/(298.15-228)^2 ) ) ) )</f>
        <v/>
      </c>
      <c r="N408" s="1" t="str">
        <f>IF(ISBLANK('Aqueous Species Options'!B408), "", IF('Aqueous Species Options'!L408=0, 'Aqueous Species Options'!S408, IF(OR(ISBLANK('Aqueous Species Options'!H408), 'Aqueous Species Table'!O408=""), "", IF('Aqueous Species Options'!B408="H+", 0, 0.2037*'Aqueous Species Options'!H408 - 3.0346) ) ) )</f>
        <v/>
      </c>
      <c r="O408" s="1" t="str">
        <f>IF(ISBLANK('Aqueous Species Options'!B408), "", IF('Aqueous Species Options'!K408=0, 'Aqueous Species Options'!I408, IF(OR('Aqueous Species Options'!J408&gt;4,'Aqueous Species Options'!J408&lt;-4), "", IF('Aqueous Species Options'!B408="H+", 0, IF('Aqueous Species Options'!J408=0, -0.038, IF(ISBLANK('Aqueous Species Options'!F408), "", -1514.4*'Aqueous Species Options'!F408*0.00001 + SUM(({4,3,2,1,-1,-2,-3,-4}='Aqueous Species Options'!J408)*{2.1764,1.5793,1.0579,0.5517,1.6291,3.2127,4.8115,6.486}) ) ) ) ) ) )</f>
        <v/>
      </c>
      <c r="P408" s="1" t="str">
        <f>IF(ISBLANK('Aqueous Species Options'!J408), "", 'Aqueous Species Options'!J408)</f>
        <v/>
      </c>
      <c r="Q408" s="184" t="str">
        <f>IF(ISBLANK('Aqueous Species Options'!T408), "", 'Aqueous Species Options'!T408)</f>
        <v/>
      </c>
    </row>
    <row r="409" spans="2:17" ht="16" x14ac:dyDescent="0.2">
      <c r="B409" t="str">
        <f>IF(ISBLANK('Aqueous Species Options'!B409), "", 'Aqueous Species Options'!B409)</f>
        <v/>
      </c>
      <c r="C409" s="1" t="str">
        <f>IF(ISBLANK('Aqueous Species Options'!C409), "", 'Aqueous Species Options'!C409)</f>
        <v/>
      </c>
      <c r="D409" s="1" t="str">
        <f>IF(ISBLANK('Aqueous Species Options'!D409), "", 'Aqueous Species Options'!D409)</f>
        <v/>
      </c>
      <c r="E409" s="1" t="str">
        <f>IF(ISBLANK('Aqueous Species Options'!E409), "", 'Aqueous Species Options'!E409)</f>
        <v/>
      </c>
      <c r="F409" s="139" t="str">
        <f>IF(ISBLANK('Aqueous Species Options'!F409), "", 'Aqueous Species Options'!F409)</f>
        <v/>
      </c>
      <c r="G409" s="29" t="str">
        <f>IF(ISBLANK('Aqueous Species Options'!B409), "", IF('Aqueous Species Options'!L409 = 1, IF(ISBLANK('Aqueous Species Options'!G409), "", 'Aqueous Species Options'!G409), ('Aqueous Species Table'!I409/10 + ('Aqueous Species Table'!J409*100)/(Calculations!$C$12+Calculations!$C$9) + ('Aqueous Species Table'!K409 + ('Aqueous Species Table'!L409*10000)/(Calculations!$C$12+Calculations!$C$9))*(1/(Calculations!$C$8-Calculations!$C$13)) - 'Aqueous Species Table'!O409*100000*0.0000005903)*41.8393))</f>
        <v/>
      </c>
      <c r="H409" s="29" t="str">
        <f>IF(ISBLANK('Aqueous Species Options'!B409), "", IF('Aqueous Species Options'!L409 = 1, IF(ISBLANK('Aqueous Species Options'!H409), "", 'Aqueous Species Options'!H409), 'Aqueous Species Table'!M409 + 'Aqueous Species Table'!N409*10000*(1/(Calculations!$C$8-Calculations!$C$13))^2 + 'Aqueous Species Table'!O409*100000*Calculations!$C$8*Calculations!$C$7))</f>
        <v/>
      </c>
      <c r="I409" s="1" t="str">
        <f>IF(ISBLANK('Aqueous Species Options'!B409), "", IF('Aqueous Species Options'!L409=0, 'Aqueous Species Options'!N409, IF(OR(ISBLANK('Aqueous Species Options'!G409),'Aqueous Species Table'!O409="", 'Aqueous Species Table'!P409=""), "", IF('Aqueous Species Options'!B409="H+", 0, (CHOOSE('Aqueous Species Options'!M409+1,'Aqueous Species Options'!$V$4*ABS('Aqueous Species Table'!P409)+'Aqueous Species Options'!$W$4,'Aqueous Species Options'!$Z$4)*('Aqueous Species Options'!G409 + 'Aqueous Species Table'!O409*100000*0.0000005903*41.8393) + CHOOSE('Aqueous Species Options'!M409+1,'Aqueous Species Options'!$X$4*ABS('Aqueous Species Table'!P409)+'Aqueous Species Options'!$Y$4,'Aqueous Species Options'!$AA$4))*10 ) ) ) )</f>
        <v/>
      </c>
      <c r="J409" s="1" t="str">
        <f>IF(ISBLANK('Aqueous Species Options'!B409), "", IF('Aqueous Species Options'!L409 = 0, 'Aqueous Species Options'!O409, IF('Aqueous Species Table'!I409="", "", IF('Aqueous Species Options'!B409="H+", 0, ((1.11*('Aqueous Species Options'!G409 + 'Aqueous Species Table'!O409*100000*0.0000005903*41.8393)+1.8)/41.8393 - 'Aqueous Species Table'!I409/10)*26.01 ) ) ) )</f>
        <v/>
      </c>
      <c r="K409" s="1" t="str">
        <f>IF(ISBLANK('Aqueous Species Options'!B409), "", IF('Aqueous Species Options'!L409 = 0, 'Aqueous Species Options'!P409, IF('Aqueous Species Table'!I409="", "", IF('Aqueous Species Options'!B409="H+", 0, ('Aqueous Species Options'!G409/41.8393 + 'Aqueous Species Table'!O409*100000*0.0000005903 - 'Aqueous Species Table'!I409/10 - 'Aqueous Species Table'!J409*100/2601)*(298.15-228) - ('Aqueous Species Table'!L409*10000/2601) ) ) ) )</f>
        <v/>
      </c>
      <c r="L409" s="1" t="str">
        <f>IF(ISBLANK('Aqueous Species Options'!B409), "", IF('Aqueous Species Options'!L409 = 0, 'Aqueous Species Options'!Q409, IF('Aqueous Species Table'!J409="", "", IF('Aqueous Species Options'!B409="H+", 0, (-4.134*'Aqueous Species Table'!J409*100 - 27790)*0.0001) ) ) )</f>
        <v/>
      </c>
      <c r="M409" s="1" t="str">
        <f>IF(ISBLANK('Aqueous Species Options'!B409), "", IF('Aqueous Species Options'!L409=0, 'Aqueous Species Options'!R409, IF('Aqueous Species Table'!N409="", "", IF('Aqueous Species Options'!B409="H+", 0, 'Aqueous Species Options'!H409 - 'Aqueous Species Table'!O409*100000*(-0.000000309)*298.15 - 'Aqueous Species Table'!N409*10000/(298.15-228)^2 ) ) ) )</f>
        <v/>
      </c>
      <c r="N409" s="1" t="str">
        <f>IF(ISBLANK('Aqueous Species Options'!B409), "", IF('Aqueous Species Options'!L409=0, 'Aqueous Species Options'!S409, IF(OR(ISBLANK('Aqueous Species Options'!H409), 'Aqueous Species Table'!O409=""), "", IF('Aqueous Species Options'!B409="H+", 0, 0.2037*'Aqueous Species Options'!H409 - 3.0346) ) ) )</f>
        <v/>
      </c>
      <c r="O409" s="1" t="str">
        <f>IF(ISBLANK('Aqueous Species Options'!B409), "", IF('Aqueous Species Options'!K409=0, 'Aqueous Species Options'!I409, IF(OR('Aqueous Species Options'!J409&gt;4,'Aqueous Species Options'!J409&lt;-4), "", IF('Aqueous Species Options'!B409="H+", 0, IF('Aqueous Species Options'!J409=0, -0.038, IF(ISBLANK('Aqueous Species Options'!F409), "", -1514.4*'Aqueous Species Options'!F409*0.00001 + SUM(({4,3,2,1,-1,-2,-3,-4}='Aqueous Species Options'!J409)*{2.1764,1.5793,1.0579,0.5517,1.6291,3.2127,4.8115,6.486}) ) ) ) ) ) )</f>
        <v/>
      </c>
      <c r="P409" s="1" t="str">
        <f>IF(ISBLANK('Aqueous Species Options'!J409), "", 'Aqueous Species Options'!J409)</f>
        <v/>
      </c>
      <c r="Q409" s="184" t="str">
        <f>IF(ISBLANK('Aqueous Species Options'!T409), "", 'Aqueous Species Options'!T409)</f>
        <v/>
      </c>
    </row>
    <row r="410" spans="2:17" ht="16" x14ac:dyDescent="0.2">
      <c r="B410" t="str">
        <f>IF(ISBLANK('Aqueous Species Options'!B410), "", 'Aqueous Species Options'!B410)</f>
        <v/>
      </c>
      <c r="C410" s="1" t="str">
        <f>IF(ISBLANK('Aqueous Species Options'!C410), "", 'Aqueous Species Options'!C410)</f>
        <v/>
      </c>
      <c r="D410" s="1" t="str">
        <f>IF(ISBLANK('Aqueous Species Options'!D410), "", 'Aqueous Species Options'!D410)</f>
        <v/>
      </c>
      <c r="E410" s="1" t="str">
        <f>IF(ISBLANK('Aqueous Species Options'!E410), "", 'Aqueous Species Options'!E410)</f>
        <v/>
      </c>
      <c r="F410" s="139" t="str">
        <f>IF(ISBLANK('Aqueous Species Options'!F410), "", 'Aqueous Species Options'!F410)</f>
        <v/>
      </c>
      <c r="G410" s="29" t="str">
        <f>IF(ISBLANK('Aqueous Species Options'!B410), "", IF('Aqueous Species Options'!L410 = 1, IF(ISBLANK('Aqueous Species Options'!G410), "", 'Aqueous Species Options'!G410), ('Aqueous Species Table'!I410/10 + ('Aqueous Species Table'!J410*100)/(Calculations!$C$12+Calculations!$C$9) + ('Aqueous Species Table'!K410 + ('Aqueous Species Table'!L410*10000)/(Calculations!$C$12+Calculations!$C$9))*(1/(Calculations!$C$8-Calculations!$C$13)) - 'Aqueous Species Table'!O410*100000*0.0000005903)*41.8393))</f>
        <v/>
      </c>
      <c r="H410" s="29" t="str">
        <f>IF(ISBLANK('Aqueous Species Options'!B410), "", IF('Aqueous Species Options'!L410 = 1, IF(ISBLANK('Aqueous Species Options'!H410), "", 'Aqueous Species Options'!H410), 'Aqueous Species Table'!M410 + 'Aqueous Species Table'!N410*10000*(1/(Calculations!$C$8-Calculations!$C$13))^2 + 'Aqueous Species Table'!O410*100000*Calculations!$C$8*Calculations!$C$7))</f>
        <v/>
      </c>
      <c r="I410" s="1" t="str">
        <f>IF(ISBLANK('Aqueous Species Options'!B410), "", IF('Aqueous Species Options'!L410=0, 'Aqueous Species Options'!N410, IF(OR(ISBLANK('Aqueous Species Options'!G410),'Aqueous Species Table'!O410="", 'Aqueous Species Table'!P410=""), "", IF('Aqueous Species Options'!B410="H+", 0, (CHOOSE('Aqueous Species Options'!M410+1,'Aqueous Species Options'!$V$4*ABS('Aqueous Species Table'!P410)+'Aqueous Species Options'!$W$4,'Aqueous Species Options'!$Z$4)*('Aqueous Species Options'!G410 + 'Aqueous Species Table'!O410*100000*0.0000005903*41.8393) + CHOOSE('Aqueous Species Options'!M410+1,'Aqueous Species Options'!$X$4*ABS('Aqueous Species Table'!P410)+'Aqueous Species Options'!$Y$4,'Aqueous Species Options'!$AA$4))*10 ) ) ) )</f>
        <v/>
      </c>
      <c r="J410" s="1" t="str">
        <f>IF(ISBLANK('Aqueous Species Options'!B410), "", IF('Aqueous Species Options'!L410 = 0, 'Aqueous Species Options'!O410, IF('Aqueous Species Table'!I410="", "", IF('Aqueous Species Options'!B410="H+", 0, ((1.11*('Aqueous Species Options'!G410 + 'Aqueous Species Table'!O410*100000*0.0000005903*41.8393)+1.8)/41.8393 - 'Aqueous Species Table'!I410/10)*26.01 ) ) ) )</f>
        <v/>
      </c>
      <c r="K410" s="1" t="str">
        <f>IF(ISBLANK('Aqueous Species Options'!B410), "", IF('Aqueous Species Options'!L410 = 0, 'Aqueous Species Options'!P410, IF('Aqueous Species Table'!I410="", "", IF('Aqueous Species Options'!B410="H+", 0, ('Aqueous Species Options'!G410/41.8393 + 'Aqueous Species Table'!O410*100000*0.0000005903 - 'Aqueous Species Table'!I410/10 - 'Aqueous Species Table'!J410*100/2601)*(298.15-228) - ('Aqueous Species Table'!L410*10000/2601) ) ) ) )</f>
        <v/>
      </c>
      <c r="L410" s="1" t="str">
        <f>IF(ISBLANK('Aqueous Species Options'!B410), "", IF('Aqueous Species Options'!L410 = 0, 'Aqueous Species Options'!Q410, IF('Aqueous Species Table'!J410="", "", IF('Aqueous Species Options'!B410="H+", 0, (-4.134*'Aqueous Species Table'!J410*100 - 27790)*0.0001) ) ) )</f>
        <v/>
      </c>
      <c r="M410" s="1" t="str">
        <f>IF(ISBLANK('Aqueous Species Options'!B410), "", IF('Aqueous Species Options'!L410=0, 'Aqueous Species Options'!R410, IF('Aqueous Species Table'!N410="", "", IF('Aqueous Species Options'!B410="H+", 0, 'Aqueous Species Options'!H410 - 'Aqueous Species Table'!O410*100000*(-0.000000309)*298.15 - 'Aqueous Species Table'!N410*10000/(298.15-228)^2 ) ) ) )</f>
        <v/>
      </c>
      <c r="N410" s="1" t="str">
        <f>IF(ISBLANK('Aqueous Species Options'!B410), "", IF('Aqueous Species Options'!L410=0, 'Aqueous Species Options'!S410, IF(OR(ISBLANK('Aqueous Species Options'!H410), 'Aqueous Species Table'!O410=""), "", IF('Aqueous Species Options'!B410="H+", 0, 0.2037*'Aqueous Species Options'!H410 - 3.0346) ) ) )</f>
        <v/>
      </c>
      <c r="O410" s="1" t="str">
        <f>IF(ISBLANK('Aqueous Species Options'!B410), "", IF('Aqueous Species Options'!K410=0, 'Aqueous Species Options'!I410, IF(OR('Aqueous Species Options'!J410&gt;4,'Aqueous Species Options'!J410&lt;-4), "", IF('Aqueous Species Options'!B410="H+", 0, IF('Aqueous Species Options'!J410=0, -0.038, IF(ISBLANK('Aqueous Species Options'!F410), "", -1514.4*'Aqueous Species Options'!F410*0.00001 + SUM(({4,3,2,1,-1,-2,-3,-4}='Aqueous Species Options'!J410)*{2.1764,1.5793,1.0579,0.5517,1.6291,3.2127,4.8115,6.486}) ) ) ) ) ) )</f>
        <v/>
      </c>
      <c r="P410" s="1" t="str">
        <f>IF(ISBLANK('Aqueous Species Options'!J410), "", 'Aqueous Species Options'!J410)</f>
        <v/>
      </c>
      <c r="Q410" s="184" t="str">
        <f>IF(ISBLANK('Aqueous Species Options'!T410), "", 'Aqueous Species Options'!T410)</f>
        <v/>
      </c>
    </row>
    <row r="411" spans="2:17" ht="16" x14ac:dyDescent="0.2">
      <c r="B411" t="str">
        <f>IF(ISBLANK('Aqueous Species Options'!B411), "", 'Aqueous Species Options'!B411)</f>
        <v/>
      </c>
      <c r="C411" s="1" t="str">
        <f>IF(ISBLANK('Aqueous Species Options'!C411), "", 'Aqueous Species Options'!C411)</f>
        <v/>
      </c>
      <c r="D411" s="1" t="str">
        <f>IF(ISBLANK('Aqueous Species Options'!D411), "", 'Aqueous Species Options'!D411)</f>
        <v/>
      </c>
      <c r="E411" s="1" t="str">
        <f>IF(ISBLANK('Aqueous Species Options'!E411), "", 'Aqueous Species Options'!E411)</f>
        <v/>
      </c>
      <c r="F411" s="139" t="str">
        <f>IF(ISBLANK('Aqueous Species Options'!F411), "", 'Aqueous Species Options'!F411)</f>
        <v/>
      </c>
      <c r="G411" s="29" t="str">
        <f>IF(ISBLANK('Aqueous Species Options'!B411), "", IF('Aqueous Species Options'!L411 = 1, IF(ISBLANK('Aqueous Species Options'!G411), "", 'Aqueous Species Options'!G411), ('Aqueous Species Table'!I411/10 + ('Aqueous Species Table'!J411*100)/(Calculations!$C$12+Calculations!$C$9) + ('Aqueous Species Table'!K411 + ('Aqueous Species Table'!L411*10000)/(Calculations!$C$12+Calculations!$C$9))*(1/(Calculations!$C$8-Calculations!$C$13)) - 'Aqueous Species Table'!O411*100000*0.0000005903)*41.8393))</f>
        <v/>
      </c>
      <c r="H411" s="29" t="str">
        <f>IF(ISBLANK('Aqueous Species Options'!B411), "", IF('Aqueous Species Options'!L411 = 1, IF(ISBLANK('Aqueous Species Options'!H411), "", 'Aqueous Species Options'!H411), 'Aqueous Species Table'!M411 + 'Aqueous Species Table'!N411*10000*(1/(Calculations!$C$8-Calculations!$C$13))^2 + 'Aqueous Species Table'!O411*100000*Calculations!$C$8*Calculations!$C$7))</f>
        <v/>
      </c>
      <c r="I411" s="1" t="str">
        <f>IF(ISBLANK('Aqueous Species Options'!B411), "", IF('Aqueous Species Options'!L411=0, 'Aqueous Species Options'!N411, IF(OR(ISBLANK('Aqueous Species Options'!G411),'Aqueous Species Table'!O411="", 'Aqueous Species Table'!P411=""), "", IF('Aqueous Species Options'!B411="H+", 0, (CHOOSE('Aqueous Species Options'!M411+1,'Aqueous Species Options'!$V$4*ABS('Aqueous Species Table'!P411)+'Aqueous Species Options'!$W$4,'Aqueous Species Options'!$Z$4)*('Aqueous Species Options'!G411 + 'Aqueous Species Table'!O411*100000*0.0000005903*41.8393) + CHOOSE('Aqueous Species Options'!M411+1,'Aqueous Species Options'!$X$4*ABS('Aqueous Species Table'!P411)+'Aqueous Species Options'!$Y$4,'Aqueous Species Options'!$AA$4))*10 ) ) ) )</f>
        <v/>
      </c>
      <c r="J411" s="1" t="str">
        <f>IF(ISBLANK('Aqueous Species Options'!B411), "", IF('Aqueous Species Options'!L411 = 0, 'Aqueous Species Options'!O411, IF('Aqueous Species Table'!I411="", "", IF('Aqueous Species Options'!B411="H+", 0, ((1.11*('Aqueous Species Options'!G411 + 'Aqueous Species Table'!O411*100000*0.0000005903*41.8393)+1.8)/41.8393 - 'Aqueous Species Table'!I411/10)*26.01 ) ) ) )</f>
        <v/>
      </c>
      <c r="K411" s="1" t="str">
        <f>IF(ISBLANK('Aqueous Species Options'!B411), "", IF('Aqueous Species Options'!L411 = 0, 'Aqueous Species Options'!P411, IF('Aqueous Species Table'!I411="", "", IF('Aqueous Species Options'!B411="H+", 0, ('Aqueous Species Options'!G411/41.8393 + 'Aqueous Species Table'!O411*100000*0.0000005903 - 'Aqueous Species Table'!I411/10 - 'Aqueous Species Table'!J411*100/2601)*(298.15-228) - ('Aqueous Species Table'!L411*10000/2601) ) ) ) )</f>
        <v/>
      </c>
      <c r="L411" s="1" t="str">
        <f>IF(ISBLANK('Aqueous Species Options'!B411), "", IF('Aqueous Species Options'!L411 = 0, 'Aqueous Species Options'!Q411, IF('Aqueous Species Table'!J411="", "", IF('Aqueous Species Options'!B411="H+", 0, (-4.134*'Aqueous Species Table'!J411*100 - 27790)*0.0001) ) ) )</f>
        <v/>
      </c>
      <c r="M411" s="1" t="str">
        <f>IF(ISBLANK('Aqueous Species Options'!B411), "", IF('Aqueous Species Options'!L411=0, 'Aqueous Species Options'!R411, IF('Aqueous Species Table'!N411="", "", IF('Aqueous Species Options'!B411="H+", 0, 'Aqueous Species Options'!H411 - 'Aqueous Species Table'!O411*100000*(-0.000000309)*298.15 - 'Aqueous Species Table'!N411*10000/(298.15-228)^2 ) ) ) )</f>
        <v/>
      </c>
      <c r="N411" s="1" t="str">
        <f>IF(ISBLANK('Aqueous Species Options'!B411), "", IF('Aqueous Species Options'!L411=0, 'Aqueous Species Options'!S411, IF(OR(ISBLANK('Aqueous Species Options'!H411), 'Aqueous Species Table'!O411=""), "", IF('Aqueous Species Options'!B411="H+", 0, 0.2037*'Aqueous Species Options'!H411 - 3.0346) ) ) )</f>
        <v/>
      </c>
      <c r="O411" s="1" t="str">
        <f>IF(ISBLANK('Aqueous Species Options'!B411), "", IF('Aqueous Species Options'!K411=0, 'Aqueous Species Options'!I411, IF(OR('Aqueous Species Options'!J411&gt;4,'Aqueous Species Options'!J411&lt;-4), "", IF('Aqueous Species Options'!B411="H+", 0, IF('Aqueous Species Options'!J411=0, -0.038, IF(ISBLANK('Aqueous Species Options'!F411), "", -1514.4*'Aqueous Species Options'!F411*0.00001 + SUM(({4,3,2,1,-1,-2,-3,-4}='Aqueous Species Options'!J411)*{2.1764,1.5793,1.0579,0.5517,1.6291,3.2127,4.8115,6.486}) ) ) ) ) ) )</f>
        <v/>
      </c>
      <c r="P411" s="1" t="str">
        <f>IF(ISBLANK('Aqueous Species Options'!J411), "", 'Aqueous Species Options'!J411)</f>
        <v/>
      </c>
      <c r="Q411" s="184" t="str">
        <f>IF(ISBLANK('Aqueous Species Options'!T411), "", 'Aqueous Species Options'!T411)</f>
        <v/>
      </c>
    </row>
    <row r="412" spans="2:17" ht="16" x14ac:dyDescent="0.2">
      <c r="B412" t="str">
        <f>IF(ISBLANK('Aqueous Species Options'!B412), "", 'Aqueous Species Options'!B412)</f>
        <v/>
      </c>
      <c r="C412" s="1" t="str">
        <f>IF(ISBLANK('Aqueous Species Options'!C412), "", 'Aqueous Species Options'!C412)</f>
        <v/>
      </c>
      <c r="D412" s="1" t="str">
        <f>IF(ISBLANK('Aqueous Species Options'!D412), "", 'Aqueous Species Options'!D412)</f>
        <v/>
      </c>
      <c r="E412" s="1" t="str">
        <f>IF(ISBLANK('Aqueous Species Options'!E412), "", 'Aqueous Species Options'!E412)</f>
        <v/>
      </c>
      <c r="F412" s="139" t="str">
        <f>IF(ISBLANK('Aqueous Species Options'!F412), "", 'Aqueous Species Options'!F412)</f>
        <v/>
      </c>
      <c r="G412" s="29" t="str">
        <f>IF(ISBLANK('Aqueous Species Options'!B412), "", IF('Aqueous Species Options'!L412 = 1, IF(ISBLANK('Aqueous Species Options'!G412), "", 'Aqueous Species Options'!G412), ('Aqueous Species Table'!I412/10 + ('Aqueous Species Table'!J412*100)/(Calculations!$C$12+Calculations!$C$9) + ('Aqueous Species Table'!K412 + ('Aqueous Species Table'!L412*10000)/(Calculations!$C$12+Calculations!$C$9))*(1/(Calculations!$C$8-Calculations!$C$13)) - 'Aqueous Species Table'!O412*100000*0.0000005903)*41.8393))</f>
        <v/>
      </c>
      <c r="H412" s="29" t="str">
        <f>IF(ISBLANK('Aqueous Species Options'!B412), "", IF('Aqueous Species Options'!L412 = 1, IF(ISBLANK('Aqueous Species Options'!H412), "", 'Aqueous Species Options'!H412), 'Aqueous Species Table'!M412 + 'Aqueous Species Table'!N412*10000*(1/(Calculations!$C$8-Calculations!$C$13))^2 + 'Aqueous Species Table'!O412*100000*Calculations!$C$8*Calculations!$C$7))</f>
        <v/>
      </c>
      <c r="I412" s="1" t="str">
        <f>IF(ISBLANK('Aqueous Species Options'!B412), "", IF('Aqueous Species Options'!L412=0, 'Aqueous Species Options'!N412, IF(OR(ISBLANK('Aqueous Species Options'!G412),'Aqueous Species Table'!O412="", 'Aqueous Species Table'!P412=""), "", IF('Aqueous Species Options'!B412="H+", 0, (CHOOSE('Aqueous Species Options'!M412+1,'Aqueous Species Options'!$V$4*ABS('Aqueous Species Table'!P412)+'Aqueous Species Options'!$W$4,'Aqueous Species Options'!$Z$4)*('Aqueous Species Options'!G412 + 'Aqueous Species Table'!O412*100000*0.0000005903*41.8393) + CHOOSE('Aqueous Species Options'!M412+1,'Aqueous Species Options'!$X$4*ABS('Aqueous Species Table'!P412)+'Aqueous Species Options'!$Y$4,'Aqueous Species Options'!$AA$4))*10 ) ) ) )</f>
        <v/>
      </c>
      <c r="J412" s="1" t="str">
        <f>IF(ISBLANK('Aqueous Species Options'!B412), "", IF('Aqueous Species Options'!L412 = 0, 'Aqueous Species Options'!O412, IF('Aqueous Species Table'!I412="", "", IF('Aqueous Species Options'!B412="H+", 0, ((1.11*('Aqueous Species Options'!G412 + 'Aqueous Species Table'!O412*100000*0.0000005903*41.8393)+1.8)/41.8393 - 'Aqueous Species Table'!I412/10)*26.01 ) ) ) )</f>
        <v/>
      </c>
      <c r="K412" s="1" t="str">
        <f>IF(ISBLANK('Aqueous Species Options'!B412), "", IF('Aqueous Species Options'!L412 = 0, 'Aqueous Species Options'!P412, IF('Aqueous Species Table'!I412="", "", IF('Aqueous Species Options'!B412="H+", 0, ('Aqueous Species Options'!G412/41.8393 + 'Aqueous Species Table'!O412*100000*0.0000005903 - 'Aqueous Species Table'!I412/10 - 'Aqueous Species Table'!J412*100/2601)*(298.15-228) - ('Aqueous Species Table'!L412*10000/2601) ) ) ) )</f>
        <v/>
      </c>
      <c r="L412" s="1" t="str">
        <f>IF(ISBLANK('Aqueous Species Options'!B412), "", IF('Aqueous Species Options'!L412 = 0, 'Aqueous Species Options'!Q412, IF('Aqueous Species Table'!J412="", "", IF('Aqueous Species Options'!B412="H+", 0, (-4.134*'Aqueous Species Table'!J412*100 - 27790)*0.0001) ) ) )</f>
        <v/>
      </c>
      <c r="M412" s="1" t="str">
        <f>IF(ISBLANK('Aqueous Species Options'!B412), "", IF('Aqueous Species Options'!L412=0, 'Aqueous Species Options'!R412, IF('Aqueous Species Table'!N412="", "", IF('Aqueous Species Options'!B412="H+", 0, 'Aqueous Species Options'!H412 - 'Aqueous Species Table'!O412*100000*(-0.000000309)*298.15 - 'Aqueous Species Table'!N412*10000/(298.15-228)^2 ) ) ) )</f>
        <v/>
      </c>
      <c r="N412" s="1" t="str">
        <f>IF(ISBLANK('Aqueous Species Options'!B412), "", IF('Aqueous Species Options'!L412=0, 'Aqueous Species Options'!S412, IF(OR(ISBLANK('Aqueous Species Options'!H412), 'Aqueous Species Table'!O412=""), "", IF('Aqueous Species Options'!B412="H+", 0, 0.2037*'Aqueous Species Options'!H412 - 3.0346) ) ) )</f>
        <v/>
      </c>
      <c r="O412" s="1" t="str">
        <f>IF(ISBLANK('Aqueous Species Options'!B412), "", IF('Aqueous Species Options'!K412=0, 'Aqueous Species Options'!I412, IF(OR('Aqueous Species Options'!J412&gt;4,'Aqueous Species Options'!J412&lt;-4), "", IF('Aqueous Species Options'!B412="H+", 0, IF('Aqueous Species Options'!J412=0, -0.038, IF(ISBLANK('Aqueous Species Options'!F412), "", -1514.4*'Aqueous Species Options'!F412*0.00001 + SUM(({4,3,2,1,-1,-2,-3,-4}='Aqueous Species Options'!J412)*{2.1764,1.5793,1.0579,0.5517,1.6291,3.2127,4.8115,6.486}) ) ) ) ) ) )</f>
        <v/>
      </c>
      <c r="P412" s="1" t="str">
        <f>IF(ISBLANK('Aqueous Species Options'!J412), "", 'Aqueous Species Options'!J412)</f>
        <v/>
      </c>
      <c r="Q412" s="184" t="str">
        <f>IF(ISBLANK('Aqueous Species Options'!T412), "", 'Aqueous Species Options'!T412)</f>
        <v/>
      </c>
    </row>
    <row r="413" spans="2:17" ht="16" x14ac:dyDescent="0.2">
      <c r="B413" t="str">
        <f>IF(ISBLANK('Aqueous Species Options'!B413), "", 'Aqueous Species Options'!B413)</f>
        <v/>
      </c>
      <c r="C413" s="1" t="str">
        <f>IF(ISBLANK('Aqueous Species Options'!C413), "", 'Aqueous Species Options'!C413)</f>
        <v/>
      </c>
      <c r="D413" s="1" t="str">
        <f>IF(ISBLANK('Aqueous Species Options'!D413), "", 'Aqueous Species Options'!D413)</f>
        <v/>
      </c>
      <c r="E413" s="1" t="str">
        <f>IF(ISBLANK('Aqueous Species Options'!E413), "", 'Aqueous Species Options'!E413)</f>
        <v/>
      </c>
      <c r="F413" s="139" t="str">
        <f>IF(ISBLANK('Aqueous Species Options'!F413), "", 'Aqueous Species Options'!F413)</f>
        <v/>
      </c>
      <c r="G413" s="29" t="str">
        <f>IF(ISBLANK('Aqueous Species Options'!B413), "", IF('Aqueous Species Options'!L413 = 1, IF(ISBLANK('Aqueous Species Options'!G413), "", 'Aqueous Species Options'!G413), ('Aqueous Species Table'!I413/10 + ('Aqueous Species Table'!J413*100)/(Calculations!$C$12+Calculations!$C$9) + ('Aqueous Species Table'!K413 + ('Aqueous Species Table'!L413*10000)/(Calculations!$C$12+Calculations!$C$9))*(1/(Calculations!$C$8-Calculations!$C$13)) - 'Aqueous Species Table'!O413*100000*0.0000005903)*41.8393))</f>
        <v/>
      </c>
      <c r="H413" s="29" t="str">
        <f>IF(ISBLANK('Aqueous Species Options'!B413), "", IF('Aqueous Species Options'!L413 = 1, IF(ISBLANK('Aqueous Species Options'!H413), "", 'Aqueous Species Options'!H413), 'Aqueous Species Table'!M413 + 'Aqueous Species Table'!N413*10000*(1/(Calculations!$C$8-Calculations!$C$13))^2 + 'Aqueous Species Table'!O413*100000*Calculations!$C$8*Calculations!$C$7))</f>
        <v/>
      </c>
      <c r="I413" s="1" t="str">
        <f>IF(ISBLANK('Aqueous Species Options'!B413), "", IF('Aqueous Species Options'!L413=0, 'Aqueous Species Options'!N413, IF(OR(ISBLANK('Aqueous Species Options'!G413),'Aqueous Species Table'!O413="", 'Aqueous Species Table'!P413=""), "", IF('Aqueous Species Options'!B413="H+", 0, (CHOOSE('Aqueous Species Options'!M413+1,'Aqueous Species Options'!$V$4*ABS('Aqueous Species Table'!P413)+'Aqueous Species Options'!$W$4,'Aqueous Species Options'!$Z$4)*('Aqueous Species Options'!G413 + 'Aqueous Species Table'!O413*100000*0.0000005903*41.8393) + CHOOSE('Aqueous Species Options'!M413+1,'Aqueous Species Options'!$X$4*ABS('Aqueous Species Table'!P413)+'Aqueous Species Options'!$Y$4,'Aqueous Species Options'!$AA$4))*10 ) ) ) )</f>
        <v/>
      </c>
      <c r="J413" s="1" t="str">
        <f>IF(ISBLANK('Aqueous Species Options'!B413), "", IF('Aqueous Species Options'!L413 = 0, 'Aqueous Species Options'!O413, IF('Aqueous Species Table'!I413="", "", IF('Aqueous Species Options'!B413="H+", 0, ((1.11*('Aqueous Species Options'!G413 + 'Aqueous Species Table'!O413*100000*0.0000005903*41.8393)+1.8)/41.8393 - 'Aqueous Species Table'!I413/10)*26.01 ) ) ) )</f>
        <v/>
      </c>
      <c r="K413" s="1" t="str">
        <f>IF(ISBLANK('Aqueous Species Options'!B413), "", IF('Aqueous Species Options'!L413 = 0, 'Aqueous Species Options'!P413, IF('Aqueous Species Table'!I413="", "", IF('Aqueous Species Options'!B413="H+", 0, ('Aqueous Species Options'!G413/41.8393 + 'Aqueous Species Table'!O413*100000*0.0000005903 - 'Aqueous Species Table'!I413/10 - 'Aqueous Species Table'!J413*100/2601)*(298.15-228) - ('Aqueous Species Table'!L413*10000/2601) ) ) ) )</f>
        <v/>
      </c>
      <c r="L413" s="1" t="str">
        <f>IF(ISBLANK('Aqueous Species Options'!B413), "", IF('Aqueous Species Options'!L413 = 0, 'Aqueous Species Options'!Q413, IF('Aqueous Species Table'!J413="", "", IF('Aqueous Species Options'!B413="H+", 0, (-4.134*'Aqueous Species Table'!J413*100 - 27790)*0.0001) ) ) )</f>
        <v/>
      </c>
      <c r="M413" s="1" t="str">
        <f>IF(ISBLANK('Aqueous Species Options'!B413), "", IF('Aqueous Species Options'!L413=0, 'Aqueous Species Options'!R413, IF('Aqueous Species Table'!N413="", "", IF('Aqueous Species Options'!B413="H+", 0, 'Aqueous Species Options'!H413 - 'Aqueous Species Table'!O413*100000*(-0.000000309)*298.15 - 'Aqueous Species Table'!N413*10000/(298.15-228)^2 ) ) ) )</f>
        <v/>
      </c>
      <c r="N413" s="1" t="str">
        <f>IF(ISBLANK('Aqueous Species Options'!B413), "", IF('Aqueous Species Options'!L413=0, 'Aqueous Species Options'!S413, IF(OR(ISBLANK('Aqueous Species Options'!H413), 'Aqueous Species Table'!O413=""), "", IF('Aqueous Species Options'!B413="H+", 0, 0.2037*'Aqueous Species Options'!H413 - 3.0346) ) ) )</f>
        <v/>
      </c>
      <c r="O413" s="1" t="str">
        <f>IF(ISBLANK('Aqueous Species Options'!B413), "", IF('Aqueous Species Options'!K413=0, 'Aqueous Species Options'!I413, IF(OR('Aqueous Species Options'!J413&gt;4,'Aqueous Species Options'!J413&lt;-4), "", IF('Aqueous Species Options'!B413="H+", 0, IF('Aqueous Species Options'!J413=0, -0.038, IF(ISBLANK('Aqueous Species Options'!F413), "", -1514.4*'Aqueous Species Options'!F413*0.00001 + SUM(({4,3,2,1,-1,-2,-3,-4}='Aqueous Species Options'!J413)*{2.1764,1.5793,1.0579,0.5517,1.6291,3.2127,4.8115,6.486}) ) ) ) ) ) )</f>
        <v/>
      </c>
      <c r="P413" s="1" t="str">
        <f>IF(ISBLANK('Aqueous Species Options'!J413), "", 'Aqueous Species Options'!J413)</f>
        <v/>
      </c>
      <c r="Q413" s="184" t="str">
        <f>IF(ISBLANK('Aqueous Species Options'!T413), "", 'Aqueous Species Options'!T413)</f>
        <v/>
      </c>
    </row>
    <row r="414" spans="2:17" ht="16" x14ac:dyDescent="0.2">
      <c r="B414" t="str">
        <f>IF(ISBLANK('Aqueous Species Options'!B414), "", 'Aqueous Species Options'!B414)</f>
        <v/>
      </c>
      <c r="C414" s="1" t="str">
        <f>IF(ISBLANK('Aqueous Species Options'!C414), "", 'Aqueous Species Options'!C414)</f>
        <v/>
      </c>
      <c r="D414" s="1" t="str">
        <f>IF(ISBLANK('Aqueous Species Options'!D414), "", 'Aqueous Species Options'!D414)</f>
        <v/>
      </c>
      <c r="E414" s="1" t="str">
        <f>IF(ISBLANK('Aqueous Species Options'!E414), "", 'Aqueous Species Options'!E414)</f>
        <v/>
      </c>
      <c r="F414" s="139" t="str">
        <f>IF(ISBLANK('Aqueous Species Options'!F414), "", 'Aqueous Species Options'!F414)</f>
        <v/>
      </c>
      <c r="G414" s="29" t="str">
        <f>IF(ISBLANK('Aqueous Species Options'!B414), "", IF('Aqueous Species Options'!L414 = 1, IF(ISBLANK('Aqueous Species Options'!G414), "", 'Aqueous Species Options'!G414), ('Aqueous Species Table'!I414/10 + ('Aqueous Species Table'!J414*100)/(Calculations!$C$12+Calculations!$C$9) + ('Aqueous Species Table'!K414 + ('Aqueous Species Table'!L414*10000)/(Calculations!$C$12+Calculations!$C$9))*(1/(Calculations!$C$8-Calculations!$C$13)) - 'Aqueous Species Table'!O414*100000*0.0000005903)*41.8393))</f>
        <v/>
      </c>
      <c r="H414" s="29" t="str">
        <f>IF(ISBLANK('Aqueous Species Options'!B414), "", IF('Aqueous Species Options'!L414 = 1, IF(ISBLANK('Aqueous Species Options'!H414), "", 'Aqueous Species Options'!H414), 'Aqueous Species Table'!M414 + 'Aqueous Species Table'!N414*10000*(1/(Calculations!$C$8-Calculations!$C$13))^2 + 'Aqueous Species Table'!O414*100000*Calculations!$C$8*Calculations!$C$7))</f>
        <v/>
      </c>
      <c r="I414" s="1" t="str">
        <f>IF(ISBLANK('Aqueous Species Options'!B414), "", IF('Aqueous Species Options'!L414=0, 'Aqueous Species Options'!N414, IF(OR(ISBLANK('Aqueous Species Options'!G414),'Aqueous Species Table'!O414="", 'Aqueous Species Table'!P414=""), "", IF('Aqueous Species Options'!B414="H+", 0, (CHOOSE('Aqueous Species Options'!M414+1,'Aqueous Species Options'!$V$4*ABS('Aqueous Species Table'!P414)+'Aqueous Species Options'!$W$4,'Aqueous Species Options'!$Z$4)*('Aqueous Species Options'!G414 + 'Aqueous Species Table'!O414*100000*0.0000005903*41.8393) + CHOOSE('Aqueous Species Options'!M414+1,'Aqueous Species Options'!$X$4*ABS('Aqueous Species Table'!P414)+'Aqueous Species Options'!$Y$4,'Aqueous Species Options'!$AA$4))*10 ) ) ) )</f>
        <v/>
      </c>
      <c r="J414" s="1" t="str">
        <f>IF(ISBLANK('Aqueous Species Options'!B414), "", IF('Aqueous Species Options'!L414 = 0, 'Aqueous Species Options'!O414, IF('Aqueous Species Table'!I414="", "", IF('Aqueous Species Options'!B414="H+", 0, ((1.11*('Aqueous Species Options'!G414 + 'Aqueous Species Table'!O414*100000*0.0000005903*41.8393)+1.8)/41.8393 - 'Aqueous Species Table'!I414/10)*26.01 ) ) ) )</f>
        <v/>
      </c>
      <c r="K414" s="1" t="str">
        <f>IF(ISBLANK('Aqueous Species Options'!B414), "", IF('Aqueous Species Options'!L414 = 0, 'Aqueous Species Options'!P414, IF('Aqueous Species Table'!I414="", "", IF('Aqueous Species Options'!B414="H+", 0, ('Aqueous Species Options'!G414/41.8393 + 'Aqueous Species Table'!O414*100000*0.0000005903 - 'Aqueous Species Table'!I414/10 - 'Aqueous Species Table'!J414*100/2601)*(298.15-228) - ('Aqueous Species Table'!L414*10000/2601) ) ) ) )</f>
        <v/>
      </c>
      <c r="L414" s="1" t="str">
        <f>IF(ISBLANK('Aqueous Species Options'!B414), "", IF('Aqueous Species Options'!L414 = 0, 'Aqueous Species Options'!Q414, IF('Aqueous Species Table'!J414="", "", IF('Aqueous Species Options'!B414="H+", 0, (-4.134*'Aqueous Species Table'!J414*100 - 27790)*0.0001) ) ) )</f>
        <v/>
      </c>
      <c r="M414" s="1" t="str">
        <f>IF(ISBLANK('Aqueous Species Options'!B414), "", IF('Aqueous Species Options'!L414=0, 'Aqueous Species Options'!R414, IF('Aqueous Species Table'!N414="", "", IF('Aqueous Species Options'!B414="H+", 0, 'Aqueous Species Options'!H414 - 'Aqueous Species Table'!O414*100000*(-0.000000309)*298.15 - 'Aqueous Species Table'!N414*10000/(298.15-228)^2 ) ) ) )</f>
        <v/>
      </c>
      <c r="N414" s="1" t="str">
        <f>IF(ISBLANK('Aqueous Species Options'!B414), "", IF('Aqueous Species Options'!L414=0, 'Aqueous Species Options'!S414, IF(OR(ISBLANK('Aqueous Species Options'!H414), 'Aqueous Species Table'!O414=""), "", IF('Aqueous Species Options'!B414="H+", 0, 0.2037*'Aqueous Species Options'!H414 - 3.0346) ) ) )</f>
        <v/>
      </c>
      <c r="O414" s="1" t="str">
        <f>IF(ISBLANK('Aqueous Species Options'!B414), "", IF('Aqueous Species Options'!K414=0, 'Aqueous Species Options'!I414, IF(OR('Aqueous Species Options'!J414&gt;4,'Aqueous Species Options'!J414&lt;-4), "", IF('Aqueous Species Options'!B414="H+", 0, IF('Aqueous Species Options'!J414=0, -0.038, IF(ISBLANK('Aqueous Species Options'!F414), "", -1514.4*'Aqueous Species Options'!F414*0.00001 + SUM(({4,3,2,1,-1,-2,-3,-4}='Aqueous Species Options'!J414)*{2.1764,1.5793,1.0579,0.5517,1.6291,3.2127,4.8115,6.486}) ) ) ) ) ) )</f>
        <v/>
      </c>
      <c r="P414" s="1" t="str">
        <f>IF(ISBLANK('Aqueous Species Options'!J414), "", 'Aqueous Species Options'!J414)</f>
        <v/>
      </c>
      <c r="Q414" s="184" t="str">
        <f>IF(ISBLANK('Aqueous Species Options'!T414), "", 'Aqueous Species Options'!T414)</f>
        <v/>
      </c>
    </row>
    <row r="415" spans="2:17" ht="16" x14ac:dyDescent="0.2">
      <c r="B415" t="str">
        <f>IF(ISBLANK('Aqueous Species Options'!B415), "", 'Aqueous Species Options'!B415)</f>
        <v/>
      </c>
      <c r="C415" s="1" t="str">
        <f>IF(ISBLANK('Aqueous Species Options'!C415), "", 'Aqueous Species Options'!C415)</f>
        <v/>
      </c>
      <c r="D415" s="1" t="str">
        <f>IF(ISBLANK('Aqueous Species Options'!D415), "", 'Aqueous Species Options'!D415)</f>
        <v/>
      </c>
      <c r="E415" s="1" t="str">
        <f>IF(ISBLANK('Aqueous Species Options'!E415), "", 'Aqueous Species Options'!E415)</f>
        <v/>
      </c>
      <c r="F415" s="139" t="str">
        <f>IF(ISBLANK('Aqueous Species Options'!F415), "", 'Aqueous Species Options'!F415)</f>
        <v/>
      </c>
      <c r="G415" s="29" t="str">
        <f>IF(ISBLANK('Aqueous Species Options'!B415), "", IF('Aqueous Species Options'!L415 = 1, IF(ISBLANK('Aqueous Species Options'!G415), "", 'Aqueous Species Options'!G415), ('Aqueous Species Table'!I415/10 + ('Aqueous Species Table'!J415*100)/(Calculations!$C$12+Calculations!$C$9) + ('Aqueous Species Table'!K415 + ('Aqueous Species Table'!L415*10000)/(Calculations!$C$12+Calculations!$C$9))*(1/(Calculations!$C$8-Calculations!$C$13)) - 'Aqueous Species Table'!O415*100000*0.0000005903)*41.8393))</f>
        <v/>
      </c>
      <c r="H415" s="29" t="str">
        <f>IF(ISBLANK('Aqueous Species Options'!B415), "", IF('Aqueous Species Options'!L415 = 1, IF(ISBLANK('Aqueous Species Options'!H415), "", 'Aqueous Species Options'!H415), 'Aqueous Species Table'!M415 + 'Aqueous Species Table'!N415*10000*(1/(Calculations!$C$8-Calculations!$C$13))^2 + 'Aqueous Species Table'!O415*100000*Calculations!$C$8*Calculations!$C$7))</f>
        <v/>
      </c>
      <c r="I415" s="1" t="str">
        <f>IF(ISBLANK('Aqueous Species Options'!B415), "", IF('Aqueous Species Options'!L415=0, 'Aqueous Species Options'!N415, IF(OR(ISBLANK('Aqueous Species Options'!G415),'Aqueous Species Table'!O415="", 'Aqueous Species Table'!P415=""), "", IF('Aqueous Species Options'!B415="H+", 0, (CHOOSE('Aqueous Species Options'!M415+1,'Aqueous Species Options'!$V$4*ABS('Aqueous Species Table'!P415)+'Aqueous Species Options'!$W$4,'Aqueous Species Options'!$Z$4)*('Aqueous Species Options'!G415 + 'Aqueous Species Table'!O415*100000*0.0000005903*41.8393) + CHOOSE('Aqueous Species Options'!M415+1,'Aqueous Species Options'!$X$4*ABS('Aqueous Species Table'!P415)+'Aqueous Species Options'!$Y$4,'Aqueous Species Options'!$AA$4))*10 ) ) ) )</f>
        <v/>
      </c>
      <c r="J415" s="1" t="str">
        <f>IF(ISBLANK('Aqueous Species Options'!B415), "", IF('Aqueous Species Options'!L415 = 0, 'Aqueous Species Options'!O415, IF('Aqueous Species Table'!I415="", "", IF('Aqueous Species Options'!B415="H+", 0, ((1.11*('Aqueous Species Options'!G415 + 'Aqueous Species Table'!O415*100000*0.0000005903*41.8393)+1.8)/41.8393 - 'Aqueous Species Table'!I415/10)*26.01 ) ) ) )</f>
        <v/>
      </c>
      <c r="K415" s="1" t="str">
        <f>IF(ISBLANK('Aqueous Species Options'!B415), "", IF('Aqueous Species Options'!L415 = 0, 'Aqueous Species Options'!P415, IF('Aqueous Species Table'!I415="", "", IF('Aqueous Species Options'!B415="H+", 0, ('Aqueous Species Options'!G415/41.8393 + 'Aqueous Species Table'!O415*100000*0.0000005903 - 'Aqueous Species Table'!I415/10 - 'Aqueous Species Table'!J415*100/2601)*(298.15-228) - ('Aqueous Species Table'!L415*10000/2601) ) ) ) )</f>
        <v/>
      </c>
      <c r="L415" s="1" t="str">
        <f>IF(ISBLANK('Aqueous Species Options'!B415), "", IF('Aqueous Species Options'!L415 = 0, 'Aqueous Species Options'!Q415, IF('Aqueous Species Table'!J415="", "", IF('Aqueous Species Options'!B415="H+", 0, (-4.134*'Aqueous Species Table'!J415*100 - 27790)*0.0001) ) ) )</f>
        <v/>
      </c>
      <c r="M415" s="1" t="str">
        <f>IF(ISBLANK('Aqueous Species Options'!B415), "", IF('Aqueous Species Options'!L415=0, 'Aqueous Species Options'!R415, IF('Aqueous Species Table'!N415="", "", IF('Aqueous Species Options'!B415="H+", 0, 'Aqueous Species Options'!H415 - 'Aqueous Species Table'!O415*100000*(-0.000000309)*298.15 - 'Aqueous Species Table'!N415*10000/(298.15-228)^2 ) ) ) )</f>
        <v/>
      </c>
      <c r="N415" s="1" t="str">
        <f>IF(ISBLANK('Aqueous Species Options'!B415), "", IF('Aqueous Species Options'!L415=0, 'Aqueous Species Options'!S415, IF(OR(ISBLANK('Aqueous Species Options'!H415), 'Aqueous Species Table'!O415=""), "", IF('Aqueous Species Options'!B415="H+", 0, 0.2037*'Aqueous Species Options'!H415 - 3.0346) ) ) )</f>
        <v/>
      </c>
      <c r="O415" s="1" t="str">
        <f>IF(ISBLANK('Aqueous Species Options'!B415), "", IF('Aqueous Species Options'!K415=0, 'Aqueous Species Options'!I415, IF(OR('Aqueous Species Options'!J415&gt;4,'Aqueous Species Options'!J415&lt;-4), "", IF('Aqueous Species Options'!B415="H+", 0, IF('Aqueous Species Options'!J415=0, -0.038, IF(ISBLANK('Aqueous Species Options'!F415), "", -1514.4*'Aqueous Species Options'!F415*0.00001 + SUM(({4,3,2,1,-1,-2,-3,-4}='Aqueous Species Options'!J415)*{2.1764,1.5793,1.0579,0.5517,1.6291,3.2127,4.8115,6.486}) ) ) ) ) ) )</f>
        <v/>
      </c>
      <c r="P415" s="1" t="str">
        <f>IF(ISBLANK('Aqueous Species Options'!J415), "", 'Aqueous Species Options'!J415)</f>
        <v/>
      </c>
      <c r="Q415" s="184" t="str">
        <f>IF(ISBLANK('Aqueous Species Options'!T415), "", 'Aqueous Species Options'!T415)</f>
        <v/>
      </c>
    </row>
    <row r="416" spans="2:17" ht="16" x14ac:dyDescent="0.2">
      <c r="B416" t="str">
        <f>IF(ISBLANK('Aqueous Species Options'!B416), "", 'Aqueous Species Options'!B416)</f>
        <v/>
      </c>
      <c r="C416" s="1" t="str">
        <f>IF(ISBLANK('Aqueous Species Options'!C416), "", 'Aqueous Species Options'!C416)</f>
        <v/>
      </c>
      <c r="D416" s="1" t="str">
        <f>IF(ISBLANK('Aqueous Species Options'!D416), "", 'Aqueous Species Options'!D416)</f>
        <v/>
      </c>
      <c r="E416" s="1" t="str">
        <f>IF(ISBLANK('Aqueous Species Options'!E416), "", 'Aqueous Species Options'!E416)</f>
        <v/>
      </c>
      <c r="F416" s="139" t="str">
        <f>IF(ISBLANK('Aqueous Species Options'!F416), "", 'Aqueous Species Options'!F416)</f>
        <v/>
      </c>
      <c r="G416" s="29" t="str">
        <f>IF(ISBLANK('Aqueous Species Options'!B416), "", IF('Aqueous Species Options'!L416 = 1, IF(ISBLANK('Aqueous Species Options'!G416), "", 'Aqueous Species Options'!G416), ('Aqueous Species Table'!I416/10 + ('Aqueous Species Table'!J416*100)/(Calculations!$C$12+Calculations!$C$9) + ('Aqueous Species Table'!K416 + ('Aqueous Species Table'!L416*10000)/(Calculations!$C$12+Calculations!$C$9))*(1/(Calculations!$C$8-Calculations!$C$13)) - 'Aqueous Species Table'!O416*100000*0.0000005903)*41.8393))</f>
        <v/>
      </c>
      <c r="H416" s="29" t="str">
        <f>IF(ISBLANK('Aqueous Species Options'!B416), "", IF('Aqueous Species Options'!L416 = 1, IF(ISBLANK('Aqueous Species Options'!H416), "", 'Aqueous Species Options'!H416), 'Aqueous Species Table'!M416 + 'Aqueous Species Table'!N416*10000*(1/(Calculations!$C$8-Calculations!$C$13))^2 + 'Aqueous Species Table'!O416*100000*Calculations!$C$8*Calculations!$C$7))</f>
        <v/>
      </c>
      <c r="I416" s="1" t="str">
        <f>IF(ISBLANK('Aqueous Species Options'!B416), "", IF('Aqueous Species Options'!L416=0, 'Aqueous Species Options'!N416, IF(OR(ISBLANK('Aqueous Species Options'!G416),'Aqueous Species Table'!O416="", 'Aqueous Species Table'!P416=""), "", IF('Aqueous Species Options'!B416="H+", 0, (CHOOSE('Aqueous Species Options'!M416+1,'Aqueous Species Options'!$V$4*ABS('Aqueous Species Table'!P416)+'Aqueous Species Options'!$W$4,'Aqueous Species Options'!$Z$4)*('Aqueous Species Options'!G416 + 'Aqueous Species Table'!O416*100000*0.0000005903*41.8393) + CHOOSE('Aqueous Species Options'!M416+1,'Aqueous Species Options'!$X$4*ABS('Aqueous Species Table'!P416)+'Aqueous Species Options'!$Y$4,'Aqueous Species Options'!$AA$4))*10 ) ) ) )</f>
        <v/>
      </c>
      <c r="J416" s="1" t="str">
        <f>IF(ISBLANK('Aqueous Species Options'!B416), "", IF('Aqueous Species Options'!L416 = 0, 'Aqueous Species Options'!O416, IF('Aqueous Species Table'!I416="", "", IF('Aqueous Species Options'!B416="H+", 0, ((1.11*('Aqueous Species Options'!G416 + 'Aqueous Species Table'!O416*100000*0.0000005903*41.8393)+1.8)/41.8393 - 'Aqueous Species Table'!I416/10)*26.01 ) ) ) )</f>
        <v/>
      </c>
      <c r="K416" s="1" t="str">
        <f>IF(ISBLANK('Aqueous Species Options'!B416), "", IF('Aqueous Species Options'!L416 = 0, 'Aqueous Species Options'!P416, IF('Aqueous Species Table'!I416="", "", IF('Aqueous Species Options'!B416="H+", 0, ('Aqueous Species Options'!G416/41.8393 + 'Aqueous Species Table'!O416*100000*0.0000005903 - 'Aqueous Species Table'!I416/10 - 'Aqueous Species Table'!J416*100/2601)*(298.15-228) - ('Aqueous Species Table'!L416*10000/2601) ) ) ) )</f>
        <v/>
      </c>
      <c r="L416" s="1" t="str">
        <f>IF(ISBLANK('Aqueous Species Options'!B416), "", IF('Aqueous Species Options'!L416 = 0, 'Aqueous Species Options'!Q416, IF('Aqueous Species Table'!J416="", "", IF('Aqueous Species Options'!B416="H+", 0, (-4.134*'Aqueous Species Table'!J416*100 - 27790)*0.0001) ) ) )</f>
        <v/>
      </c>
      <c r="M416" s="1" t="str">
        <f>IF(ISBLANK('Aqueous Species Options'!B416), "", IF('Aqueous Species Options'!L416=0, 'Aqueous Species Options'!R416, IF('Aqueous Species Table'!N416="", "", IF('Aqueous Species Options'!B416="H+", 0, 'Aqueous Species Options'!H416 - 'Aqueous Species Table'!O416*100000*(-0.000000309)*298.15 - 'Aqueous Species Table'!N416*10000/(298.15-228)^2 ) ) ) )</f>
        <v/>
      </c>
      <c r="N416" s="1" t="str">
        <f>IF(ISBLANK('Aqueous Species Options'!B416), "", IF('Aqueous Species Options'!L416=0, 'Aqueous Species Options'!S416, IF(OR(ISBLANK('Aqueous Species Options'!H416), 'Aqueous Species Table'!O416=""), "", IF('Aqueous Species Options'!B416="H+", 0, 0.2037*'Aqueous Species Options'!H416 - 3.0346) ) ) )</f>
        <v/>
      </c>
      <c r="O416" s="1" t="str">
        <f>IF(ISBLANK('Aqueous Species Options'!B416), "", IF('Aqueous Species Options'!K416=0, 'Aqueous Species Options'!I416, IF(OR('Aqueous Species Options'!J416&gt;4,'Aqueous Species Options'!J416&lt;-4), "", IF('Aqueous Species Options'!B416="H+", 0, IF('Aqueous Species Options'!J416=0, -0.038, IF(ISBLANK('Aqueous Species Options'!F416), "", -1514.4*'Aqueous Species Options'!F416*0.00001 + SUM(({4,3,2,1,-1,-2,-3,-4}='Aqueous Species Options'!J416)*{2.1764,1.5793,1.0579,0.5517,1.6291,3.2127,4.8115,6.486}) ) ) ) ) ) )</f>
        <v/>
      </c>
      <c r="P416" s="1" t="str">
        <f>IF(ISBLANK('Aqueous Species Options'!J416), "", 'Aqueous Species Options'!J416)</f>
        <v/>
      </c>
      <c r="Q416" s="184" t="str">
        <f>IF(ISBLANK('Aqueous Species Options'!T416), "", 'Aqueous Species Options'!T416)</f>
        <v/>
      </c>
    </row>
    <row r="417" spans="2:17" ht="16" x14ac:dyDescent="0.2">
      <c r="B417" t="str">
        <f>IF(ISBLANK('Aqueous Species Options'!B417), "", 'Aqueous Species Options'!B417)</f>
        <v/>
      </c>
      <c r="C417" s="1" t="str">
        <f>IF(ISBLANK('Aqueous Species Options'!C417), "", 'Aqueous Species Options'!C417)</f>
        <v/>
      </c>
      <c r="D417" s="1" t="str">
        <f>IF(ISBLANK('Aqueous Species Options'!D417), "", 'Aqueous Species Options'!D417)</f>
        <v/>
      </c>
      <c r="E417" s="1" t="str">
        <f>IF(ISBLANK('Aqueous Species Options'!E417), "", 'Aqueous Species Options'!E417)</f>
        <v/>
      </c>
      <c r="F417" s="139" t="str">
        <f>IF(ISBLANK('Aqueous Species Options'!F417), "", 'Aqueous Species Options'!F417)</f>
        <v/>
      </c>
      <c r="G417" s="29" t="str">
        <f>IF(ISBLANK('Aqueous Species Options'!B417), "", IF('Aqueous Species Options'!L417 = 1, IF(ISBLANK('Aqueous Species Options'!G417), "", 'Aqueous Species Options'!G417), ('Aqueous Species Table'!I417/10 + ('Aqueous Species Table'!J417*100)/(Calculations!$C$12+Calculations!$C$9) + ('Aqueous Species Table'!K417 + ('Aqueous Species Table'!L417*10000)/(Calculations!$C$12+Calculations!$C$9))*(1/(Calculations!$C$8-Calculations!$C$13)) - 'Aqueous Species Table'!O417*100000*0.0000005903)*41.8393))</f>
        <v/>
      </c>
      <c r="H417" s="29" t="str">
        <f>IF(ISBLANK('Aqueous Species Options'!B417), "", IF('Aqueous Species Options'!L417 = 1, IF(ISBLANK('Aqueous Species Options'!H417), "", 'Aqueous Species Options'!H417), 'Aqueous Species Table'!M417 + 'Aqueous Species Table'!N417*10000*(1/(Calculations!$C$8-Calculations!$C$13))^2 + 'Aqueous Species Table'!O417*100000*Calculations!$C$8*Calculations!$C$7))</f>
        <v/>
      </c>
      <c r="I417" s="1" t="str">
        <f>IF(ISBLANK('Aqueous Species Options'!B417), "", IF('Aqueous Species Options'!L417=0, 'Aqueous Species Options'!N417, IF(OR(ISBLANK('Aqueous Species Options'!G417),'Aqueous Species Table'!O417="", 'Aqueous Species Table'!P417=""), "", IF('Aqueous Species Options'!B417="H+", 0, (CHOOSE('Aqueous Species Options'!M417+1,'Aqueous Species Options'!$V$4*ABS('Aqueous Species Table'!P417)+'Aqueous Species Options'!$W$4,'Aqueous Species Options'!$Z$4)*('Aqueous Species Options'!G417 + 'Aqueous Species Table'!O417*100000*0.0000005903*41.8393) + CHOOSE('Aqueous Species Options'!M417+1,'Aqueous Species Options'!$X$4*ABS('Aqueous Species Table'!P417)+'Aqueous Species Options'!$Y$4,'Aqueous Species Options'!$AA$4))*10 ) ) ) )</f>
        <v/>
      </c>
      <c r="J417" s="1" t="str">
        <f>IF(ISBLANK('Aqueous Species Options'!B417), "", IF('Aqueous Species Options'!L417 = 0, 'Aqueous Species Options'!O417, IF('Aqueous Species Table'!I417="", "", IF('Aqueous Species Options'!B417="H+", 0, ((1.11*('Aqueous Species Options'!G417 + 'Aqueous Species Table'!O417*100000*0.0000005903*41.8393)+1.8)/41.8393 - 'Aqueous Species Table'!I417/10)*26.01 ) ) ) )</f>
        <v/>
      </c>
      <c r="K417" s="1" t="str">
        <f>IF(ISBLANK('Aqueous Species Options'!B417), "", IF('Aqueous Species Options'!L417 = 0, 'Aqueous Species Options'!P417, IF('Aqueous Species Table'!I417="", "", IF('Aqueous Species Options'!B417="H+", 0, ('Aqueous Species Options'!G417/41.8393 + 'Aqueous Species Table'!O417*100000*0.0000005903 - 'Aqueous Species Table'!I417/10 - 'Aqueous Species Table'!J417*100/2601)*(298.15-228) - ('Aqueous Species Table'!L417*10000/2601) ) ) ) )</f>
        <v/>
      </c>
      <c r="L417" s="1" t="str">
        <f>IF(ISBLANK('Aqueous Species Options'!B417), "", IF('Aqueous Species Options'!L417 = 0, 'Aqueous Species Options'!Q417, IF('Aqueous Species Table'!J417="", "", IF('Aqueous Species Options'!B417="H+", 0, (-4.134*'Aqueous Species Table'!J417*100 - 27790)*0.0001) ) ) )</f>
        <v/>
      </c>
      <c r="M417" s="1" t="str">
        <f>IF(ISBLANK('Aqueous Species Options'!B417), "", IF('Aqueous Species Options'!L417=0, 'Aqueous Species Options'!R417, IF('Aqueous Species Table'!N417="", "", IF('Aqueous Species Options'!B417="H+", 0, 'Aqueous Species Options'!H417 - 'Aqueous Species Table'!O417*100000*(-0.000000309)*298.15 - 'Aqueous Species Table'!N417*10000/(298.15-228)^2 ) ) ) )</f>
        <v/>
      </c>
      <c r="N417" s="1" t="str">
        <f>IF(ISBLANK('Aqueous Species Options'!B417), "", IF('Aqueous Species Options'!L417=0, 'Aqueous Species Options'!S417, IF(OR(ISBLANK('Aqueous Species Options'!H417), 'Aqueous Species Table'!O417=""), "", IF('Aqueous Species Options'!B417="H+", 0, 0.2037*'Aqueous Species Options'!H417 - 3.0346) ) ) )</f>
        <v/>
      </c>
      <c r="O417" s="1" t="str">
        <f>IF(ISBLANK('Aqueous Species Options'!B417), "", IF('Aqueous Species Options'!K417=0, 'Aqueous Species Options'!I417, IF(OR('Aqueous Species Options'!J417&gt;4,'Aqueous Species Options'!J417&lt;-4), "", IF('Aqueous Species Options'!B417="H+", 0, IF('Aqueous Species Options'!J417=0, -0.038, IF(ISBLANK('Aqueous Species Options'!F417), "", -1514.4*'Aqueous Species Options'!F417*0.00001 + SUM(({4,3,2,1,-1,-2,-3,-4}='Aqueous Species Options'!J417)*{2.1764,1.5793,1.0579,0.5517,1.6291,3.2127,4.8115,6.486}) ) ) ) ) ) )</f>
        <v/>
      </c>
      <c r="P417" s="1" t="str">
        <f>IF(ISBLANK('Aqueous Species Options'!J417), "", 'Aqueous Species Options'!J417)</f>
        <v/>
      </c>
      <c r="Q417" s="184" t="str">
        <f>IF(ISBLANK('Aqueous Species Options'!T417), "", 'Aqueous Species Options'!T417)</f>
        <v/>
      </c>
    </row>
    <row r="418" spans="2:17" ht="16" x14ac:dyDescent="0.2">
      <c r="B418" t="str">
        <f>IF(ISBLANK('Aqueous Species Options'!B418), "", 'Aqueous Species Options'!B418)</f>
        <v/>
      </c>
      <c r="C418" s="1" t="str">
        <f>IF(ISBLANK('Aqueous Species Options'!C418), "", 'Aqueous Species Options'!C418)</f>
        <v/>
      </c>
      <c r="D418" s="1" t="str">
        <f>IF(ISBLANK('Aqueous Species Options'!D418), "", 'Aqueous Species Options'!D418)</f>
        <v/>
      </c>
      <c r="E418" s="1" t="str">
        <f>IF(ISBLANK('Aqueous Species Options'!E418), "", 'Aqueous Species Options'!E418)</f>
        <v/>
      </c>
      <c r="F418" s="139" t="str">
        <f>IF(ISBLANK('Aqueous Species Options'!F418), "", 'Aqueous Species Options'!F418)</f>
        <v/>
      </c>
      <c r="G418" s="29" t="str">
        <f>IF(ISBLANK('Aqueous Species Options'!B418), "", IF('Aqueous Species Options'!L418 = 1, IF(ISBLANK('Aqueous Species Options'!G418), "", 'Aqueous Species Options'!G418), ('Aqueous Species Table'!I418/10 + ('Aqueous Species Table'!J418*100)/(Calculations!$C$12+Calculations!$C$9) + ('Aqueous Species Table'!K418 + ('Aqueous Species Table'!L418*10000)/(Calculations!$C$12+Calculations!$C$9))*(1/(Calculations!$C$8-Calculations!$C$13)) - 'Aqueous Species Table'!O418*100000*0.0000005903)*41.8393))</f>
        <v/>
      </c>
      <c r="H418" s="29" t="str">
        <f>IF(ISBLANK('Aqueous Species Options'!B418), "", IF('Aqueous Species Options'!L418 = 1, IF(ISBLANK('Aqueous Species Options'!H418), "", 'Aqueous Species Options'!H418), 'Aqueous Species Table'!M418 + 'Aqueous Species Table'!N418*10000*(1/(Calculations!$C$8-Calculations!$C$13))^2 + 'Aqueous Species Table'!O418*100000*Calculations!$C$8*Calculations!$C$7))</f>
        <v/>
      </c>
      <c r="I418" s="1" t="str">
        <f>IF(ISBLANK('Aqueous Species Options'!B418), "", IF('Aqueous Species Options'!L418=0, 'Aqueous Species Options'!N418, IF(OR(ISBLANK('Aqueous Species Options'!G418),'Aqueous Species Table'!O418="", 'Aqueous Species Table'!P418=""), "", IF('Aqueous Species Options'!B418="H+", 0, (CHOOSE('Aqueous Species Options'!M418+1,'Aqueous Species Options'!$V$4*ABS('Aqueous Species Table'!P418)+'Aqueous Species Options'!$W$4,'Aqueous Species Options'!$Z$4)*('Aqueous Species Options'!G418 + 'Aqueous Species Table'!O418*100000*0.0000005903*41.8393) + CHOOSE('Aqueous Species Options'!M418+1,'Aqueous Species Options'!$X$4*ABS('Aqueous Species Table'!P418)+'Aqueous Species Options'!$Y$4,'Aqueous Species Options'!$AA$4))*10 ) ) ) )</f>
        <v/>
      </c>
      <c r="J418" s="1" t="str">
        <f>IF(ISBLANK('Aqueous Species Options'!B418), "", IF('Aqueous Species Options'!L418 = 0, 'Aqueous Species Options'!O418, IF('Aqueous Species Table'!I418="", "", IF('Aqueous Species Options'!B418="H+", 0, ((1.11*('Aqueous Species Options'!G418 + 'Aqueous Species Table'!O418*100000*0.0000005903*41.8393)+1.8)/41.8393 - 'Aqueous Species Table'!I418/10)*26.01 ) ) ) )</f>
        <v/>
      </c>
      <c r="K418" s="1" t="str">
        <f>IF(ISBLANK('Aqueous Species Options'!B418), "", IF('Aqueous Species Options'!L418 = 0, 'Aqueous Species Options'!P418, IF('Aqueous Species Table'!I418="", "", IF('Aqueous Species Options'!B418="H+", 0, ('Aqueous Species Options'!G418/41.8393 + 'Aqueous Species Table'!O418*100000*0.0000005903 - 'Aqueous Species Table'!I418/10 - 'Aqueous Species Table'!J418*100/2601)*(298.15-228) - ('Aqueous Species Table'!L418*10000/2601) ) ) ) )</f>
        <v/>
      </c>
      <c r="L418" s="1" t="str">
        <f>IF(ISBLANK('Aqueous Species Options'!B418), "", IF('Aqueous Species Options'!L418 = 0, 'Aqueous Species Options'!Q418, IF('Aqueous Species Table'!J418="", "", IF('Aqueous Species Options'!B418="H+", 0, (-4.134*'Aqueous Species Table'!J418*100 - 27790)*0.0001) ) ) )</f>
        <v/>
      </c>
      <c r="M418" s="1" t="str">
        <f>IF(ISBLANK('Aqueous Species Options'!B418), "", IF('Aqueous Species Options'!L418=0, 'Aqueous Species Options'!R418, IF('Aqueous Species Table'!N418="", "", IF('Aqueous Species Options'!B418="H+", 0, 'Aqueous Species Options'!H418 - 'Aqueous Species Table'!O418*100000*(-0.000000309)*298.15 - 'Aqueous Species Table'!N418*10000/(298.15-228)^2 ) ) ) )</f>
        <v/>
      </c>
      <c r="N418" s="1" t="str">
        <f>IF(ISBLANK('Aqueous Species Options'!B418), "", IF('Aqueous Species Options'!L418=0, 'Aqueous Species Options'!S418, IF(OR(ISBLANK('Aqueous Species Options'!H418), 'Aqueous Species Table'!O418=""), "", IF('Aqueous Species Options'!B418="H+", 0, 0.2037*'Aqueous Species Options'!H418 - 3.0346) ) ) )</f>
        <v/>
      </c>
      <c r="O418" s="1" t="str">
        <f>IF(ISBLANK('Aqueous Species Options'!B418), "", IF('Aqueous Species Options'!K418=0, 'Aqueous Species Options'!I418, IF(OR('Aqueous Species Options'!J418&gt;4,'Aqueous Species Options'!J418&lt;-4), "", IF('Aqueous Species Options'!B418="H+", 0, IF('Aqueous Species Options'!J418=0, -0.038, IF(ISBLANK('Aqueous Species Options'!F418), "", -1514.4*'Aqueous Species Options'!F418*0.00001 + SUM(({4,3,2,1,-1,-2,-3,-4}='Aqueous Species Options'!J418)*{2.1764,1.5793,1.0579,0.5517,1.6291,3.2127,4.8115,6.486}) ) ) ) ) ) )</f>
        <v/>
      </c>
      <c r="P418" s="1" t="str">
        <f>IF(ISBLANK('Aqueous Species Options'!J418), "", 'Aqueous Species Options'!J418)</f>
        <v/>
      </c>
      <c r="Q418" s="184" t="str">
        <f>IF(ISBLANK('Aqueous Species Options'!T418), "", 'Aqueous Species Options'!T418)</f>
        <v/>
      </c>
    </row>
    <row r="419" spans="2:17" ht="16" x14ac:dyDescent="0.2">
      <c r="B419" t="str">
        <f>IF(ISBLANK('Aqueous Species Options'!B419), "", 'Aqueous Species Options'!B419)</f>
        <v/>
      </c>
      <c r="C419" s="1" t="str">
        <f>IF(ISBLANK('Aqueous Species Options'!C419), "", 'Aqueous Species Options'!C419)</f>
        <v/>
      </c>
      <c r="D419" s="1" t="str">
        <f>IF(ISBLANK('Aqueous Species Options'!D419), "", 'Aqueous Species Options'!D419)</f>
        <v/>
      </c>
      <c r="E419" s="1" t="str">
        <f>IF(ISBLANK('Aqueous Species Options'!E419), "", 'Aqueous Species Options'!E419)</f>
        <v/>
      </c>
      <c r="F419" s="139" t="str">
        <f>IF(ISBLANK('Aqueous Species Options'!F419), "", 'Aqueous Species Options'!F419)</f>
        <v/>
      </c>
      <c r="G419" s="29" t="str">
        <f>IF(ISBLANK('Aqueous Species Options'!B419), "", IF('Aqueous Species Options'!L419 = 1, IF(ISBLANK('Aqueous Species Options'!G419), "", 'Aqueous Species Options'!G419), ('Aqueous Species Table'!I419/10 + ('Aqueous Species Table'!J419*100)/(Calculations!$C$12+Calculations!$C$9) + ('Aqueous Species Table'!K419 + ('Aqueous Species Table'!L419*10000)/(Calculations!$C$12+Calculations!$C$9))*(1/(Calculations!$C$8-Calculations!$C$13)) - 'Aqueous Species Table'!O419*100000*0.0000005903)*41.8393))</f>
        <v/>
      </c>
      <c r="H419" s="29" t="str">
        <f>IF(ISBLANK('Aqueous Species Options'!B419), "", IF('Aqueous Species Options'!L419 = 1, IF(ISBLANK('Aqueous Species Options'!H419), "", 'Aqueous Species Options'!H419), 'Aqueous Species Table'!M419 + 'Aqueous Species Table'!N419*10000*(1/(Calculations!$C$8-Calculations!$C$13))^2 + 'Aqueous Species Table'!O419*100000*Calculations!$C$8*Calculations!$C$7))</f>
        <v/>
      </c>
      <c r="I419" s="1" t="str">
        <f>IF(ISBLANK('Aqueous Species Options'!B419), "", IF('Aqueous Species Options'!L419=0, 'Aqueous Species Options'!N419, IF(OR(ISBLANK('Aqueous Species Options'!G419),'Aqueous Species Table'!O419="", 'Aqueous Species Table'!P419=""), "", IF('Aqueous Species Options'!B419="H+", 0, (CHOOSE('Aqueous Species Options'!M419+1,'Aqueous Species Options'!$V$4*ABS('Aqueous Species Table'!P419)+'Aqueous Species Options'!$W$4,'Aqueous Species Options'!$Z$4)*('Aqueous Species Options'!G419 + 'Aqueous Species Table'!O419*100000*0.0000005903*41.8393) + CHOOSE('Aqueous Species Options'!M419+1,'Aqueous Species Options'!$X$4*ABS('Aqueous Species Table'!P419)+'Aqueous Species Options'!$Y$4,'Aqueous Species Options'!$AA$4))*10 ) ) ) )</f>
        <v/>
      </c>
      <c r="J419" s="1" t="str">
        <f>IF(ISBLANK('Aqueous Species Options'!B419), "", IF('Aqueous Species Options'!L419 = 0, 'Aqueous Species Options'!O419, IF('Aqueous Species Table'!I419="", "", IF('Aqueous Species Options'!B419="H+", 0, ((1.11*('Aqueous Species Options'!G419 + 'Aqueous Species Table'!O419*100000*0.0000005903*41.8393)+1.8)/41.8393 - 'Aqueous Species Table'!I419/10)*26.01 ) ) ) )</f>
        <v/>
      </c>
      <c r="K419" s="1" t="str">
        <f>IF(ISBLANK('Aqueous Species Options'!B419), "", IF('Aqueous Species Options'!L419 = 0, 'Aqueous Species Options'!P419, IF('Aqueous Species Table'!I419="", "", IF('Aqueous Species Options'!B419="H+", 0, ('Aqueous Species Options'!G419/41.8393 + 'Aqueous Species Table'!O419*100000*0.0000005903 - 'Aqueous Species Table'!I419/10 - 'Aqueous Species Table'!J419*100/2601)*(298.15-228) - ('Aqueous Species Table'!L419*10000/2601) ) ) ) )</f>
        <v/>
      </c>
      <c r="L419" s="1" t="str">
        <f>IF(ISBLANK('Aqueous Species Options'!B419), "", IF('Aqueous Species Options'!L419 = 0, 'Aqueous Species Options'!Q419, IF('Aqueous Species Table'!J419="", "", IF('Aqueous Species Options'!B419="H+", 0, (-4.134*'Aqueous Species Table'!J419*100 - 27790)*0.0001) ) ) )</f>
        <v/>
      </c>
      <c r="M419" s="1" t="str">
        <f>IF(ISBLANK('Aqueous Species Options'!B419), "", IF('Aqueous Species Options'!L419=0, 'Aqueous Species Options'!R419, IF('Aqueous Species Table'!N419="", "", IF('Aqueous Species Options'!B419="H+", 0, 'Aqueous Species Options'!H419 - 'Aqueous Species Table'!O419*100000*(-0.000000309)*298.15 - 'Aqueous Species Table'!N419*10000/(298.15-228)^2 ) ) ) )</f>
        <v/>
      </c>
      <c r="N419" s="1" t="str">
        <f>IF(ISBLANK('Aqueous Species Options'!B419), "", IF('Aqueous Species Options'!L419=0, 'Aqueous Species Options'!S419, IF(OR(ISBLANK('Aqueous Species Options'!H419), 'Aqueous Species Table'!O419=""), "", IF('Aqueous Species Options'!B419="H+", 0, 0.2037*'Aqueous Species Options'!H419 - 3.0346) ) ) )</f>
        <v/>
      </c>
      <c r="O419" s="1" t="str">
        <f>IF(ISBLANK('Aqueous Species Options'!B419), "", IF('Aqueous Species Options'!K419=0, 'Aqueous Species Options'!I419, IF(OR('Aqueous Species Options'!J419&gt;4,'Aqueous Species Options'!J419&lt;-4), "", IF('Aqueous Species Options'!B419="H+", 0, IF('Aqueous Species Options'!J419=0, -0.038, IF(ISBLANK('Aqueous Species Options'!F419), "", -1514.4*'Aqueous Species Options'!F419*0.00001 + SUM(({4,3,2,1,-1,-2,-3,-4}='Aqueous Species Options'!J419)*{2.1764,1.5793,1.0579,0.5517,1.6291,3.2127,4.8115,6.486}) ) ) ) ) ) )</f>
        <v/>
      </c>
      <c r="P419" s="1" t="str">
        <f>IF(ISBLANK('Aqueous Species Options'!J419), "", 'Aqueous Species Options'!J419)</f>
        <v/>
      </c>
      <c r="Q419" s="184" t="str">
        <f>IF(ISBLANK('Aqueous Species Options'!T419), "", 'Aqueous Species Options'!T419)</f>
        <v/>
      </c>
    </row>
    <row r="420" spans="2:17" ht="16" x14ac:dyDescent="0.2">
      <c r="B420" t="str">
        <f>IF(ISBLANK('Aqueous Species Options'!B420), "", 'Aqueous Species Options'!B420)</f>
        <v/>
      </c>
      <c r="C420" s="1" t="str">
        <f>IF(ISBLANK('Aqueous Species Options'!C420), "", 'Aqueous Species Options'!C420)</f>
        <v/>
      </c>
      <c r="D420" s="1" t="str">
        <f>IF(ISBLANK('Aqueous Species Options'!D420), "", 'Aqueous Species Options'!D420)</f>
        <v/>
      </c>
      <c r="E420" s="1" t="str">
        <f>IF(ISBLANK('Aqueous Species Options'!E420), "", 'Aqueous Species Options'!E420)</f>
        <v/>
      </c>
      <c r="F420" s="139" t="str">
        <f>IF(ISBLANK('Aqueous Species Options'!F420), "", 'Aqueous Species Options'!F420)</f>
        <v/>
      </c>
      <c r="G420" s="29" t="str">
        <f>IF(ISBLANK('Aqueous Species Options'!B420), "", IF('Aqueous Species Options'!L420 = 1, IF(ISBLANK('Aqueous Species Options'!G420), "", 'Aqueous Species Options'!G420), ('Aqueous Species Table'!I420/10 + ('Aqueous Species Table'!J420*100)/(Calculations!$C$12+Calculations!$C$9) + ('Aqueous Species Table'!K420 + ('Aqueous Species Table'!L420*10000)/(Calculations!$C$12+Calculations!$C$9))*(1/(Calculations!$C$8-Calculations!$C$13)) - 'Aqueous Species Table'!O420*100000*0.0000005903)*41.8393))</f>
        <v/>
      </c>
      <c r="H420" s="29" t="str">
        <f>IF(ISBLANK('Aqueous Species Options'!B420), "", IF('Aqueous Species Options'!L420 = 1, IF(ISBLANK('Aqueous Species Options'!H420), "", 'Aqueous Species Options'!H420), 'Aqueous Species Table'!M420 + 'Aqueous Species Table'!N420*10000*(1/(Calculations!$C$8-Calculations!$C$13))^2 + 'Aqueous Species Table'!O420*100000*Calculations!$C$8*Calculations!$C$7))</f>
        <v/>
      </c>
      <c r="I420" s="1" t="str">
        <f>IF(ISBLANK('Aqueous Species Options'!B420), "", IF('Aqueous Species Options'!L420=0, 'Aqueous Species Options'!N420, IF(OR(ISBLANK('Aqueous Species Options'!G420),'Aqueous Species Table'!O420="", 'Aqueous Species Table'!P420=""), "", IF('Aqueous Species Options'!B420="H+", 0, (CHOOSE('Aqueous Species Options'!M420+1,'Aqueous Species Options'!$V$4*ABS('Aqueous Species Table'!P420)+'Aqueous Species Options'!$W$4,'Aqueous Species Options'!$Z$4)*('Aqueous Species Options'!G420 + 'Aqueous Species Table'!O420*100000*0.0000005903*41.8393) + CHOOSE('Aqueous Species Options'!M420+1,'Aqueous Species Options'!$X$4*ABS('Aqueous Species Table'!P420)+'Aqueous Species Options'!$Y$4,'Aqueous Species Options'!$AA$4))*10 ) ) ) )</f>
        <v/>
      </c>
      <c r="J420" s="1" t="str">
        <f>IF(ISBLANK('Aqueous Species Options'!B420), "", IF('Aqueous Species Options'!L420 = 0, 'Aqueous Species Options'!O420, IF('Aqueous Species Table'!I420="", "", IF('Aqueous Species Options'!B420="H+", 0, ((1.11*('Aqueous Species Options'!G420 + 'Aqueous Species Table'!O420*100000*0.0000005903*41.8393)+1.8)/41.8393 - 'Aqueous Species Table'!I420/10)*26.01 ) ) ) )</f>
        <v/>
      </c>
      <c r="K420" s="1" t="str">
        <f>IF(ISBLANK('Aqueous Species Options'!B420), "", IF('Aqueous Species Options'!L420 = 0, 'Aqueous Species Options'!P420, IF('Aqueous Species Table'!I420="", "", IF('Aqueous Species Options'!B420="H+", 0, ('Aqueous Species Options'!G420/41.8393 + 'Aqueous Species Table'!O420*100000*0.0000005903 - 'Aqueous Species Table'!I420/10 - 'Aqueous Species Table'!J420*100/2601)*(298.15-228) - ('Aqueous Species Table'!L420*10000/2601) ) ) ) )</f>
        <v/>
      </c>
      <c r="L420" s="1" t="str">
        <f>IF(ISBLANK('Aqueous Species Options'!B420), "", IF('Aqueous Species Options'!L420 = 0, 'Aqueous Species Options'!Q420, IF('Aqueous Species Table'!J420="", "", IF('Aqueous Species Options'!B420="H+", 0, (-4.134*'Aqueous Species Table'!J420*100 - 27790)*0.0001) ) ) )</f>
        <v/>
      </c>
      <c r="M420" s="1" t="str">
        <f>IF(ISBLANK('Aqueous Species Options'!B420), "", IF('Aqueous Species Options'!L420=0, 'Aqueous Species Options'!R420, IF('Aqueous Species Table'!N420="", "", IF('Aqueous Species Options'!B420="H+", 0, 'Aqueous Species Options'!H420 - 'Aqueous Species Table'!O420*100000*(-0.000000309)*298.15 - 'Aqueous Species Table'!N420*10000/(298.15-228)^2 ) ) ) )</f>
        <v/>
      </c>
      <c r="N420" s="1" t="str">
        <f>IF(ISBLANK('Aqueous Species Options'!B420), "", IF('Aqueous Species Options'!L420=0, 'Aqueous Species Options'!S420, IF(OR(ISBLANK('Aqueous Species Options'!H420), 'Aqueous Species Table'!O420=""), "", IF('Aqueous Species Options'!B420="H+", 0, 0.2037*'Aqueous Species Options'!H420 - 3.0346) ) ) )</f>
        <v/>
      </c>
      <c r="O420" s="1" t="str">
        <f>IF(ISBLANK('Aqueous Species Options'!B420), "", IF('Aqueous Species Options'!K420=0, 'Aqueous Species Options'!I420, IF(OR('Aqueous Species Options'!J420&gt;4,'Aqueous Species Options'!J420&lt;-4), "", IF('Aqueous Species Options'!B420="H+", 0, IF('Aqueous Species Options'!J420=0, -0.038, IF(ISBLANK('Aqueous Species Options'!F420), "", -1514.4*'Aqueous Species Options'!F420*0.00001 + SUM(({4,3,2,1,-1,-2,-3,-4}='Aqueous Species Options'!J420)*{2.1764,1.5793,1.0579,0.5517,1.6291,3.2127,4.8115,6.486}) ) ) ) ) ) )</f>
        <v/>
      </c>
      <c r="P420" s="1" t="str">
        <f>IF(ISBLANK('Aqueous Species Options'!J420), "", 'Aqueous Species Options'!J420)</f>
        <v/>
      </c>
      <c r="Q420" s="184" t="str">
        <f>IF(ISBLANK('Aqueous Species Options'!T420), "", 'Aqueous Species Options'!T420)</f>
        <v/>
      </c>
    </row>
    <row r="421" spans="2:17" ht="16" x14ac:dyDescent="0.2">
      <c r="B421" t="str">
        <f>IF(ISBLANK('Aqueous Species Options'!B421), "", 'Aqueous Species Options'!B421)</f>
        <v/>
      </c>
      <c r="C421" s="1" t="str">
        <f>IF(ISBLANK('Aqueous Species Options'!C421), "", 'Aqueous Species Options'!C421)</f>
        <v/>
      </c>
      <c r="D421" s="1" t="str">
        <f>IF(ISBLANK('Aqueous Species Options'!D421), "", 'Aqueous Species Options'!D421)</f>
        <v/>
      </c>
      <c r="E421" s="1" t="str">
        <f>IF(ISBLANK('Aqueous Species Options'!E421), "", 'Aqueous Species Options'!E421)</f>
        <v/>
      </c>
      <c r="F421" s="139" t="str">
        <f>IF(ISBLANK('Aqueous Species Options'!F421), "", 'Aqueous Species Options'!F421)</f>
        <v/>
      </c>
      <c r="G421" s="29" t="str">
        <f>IF(ISBLANK('Aqueous Species Options'!B421), "", IF('Aqueous Species Options'!L421 = 1, IF(ISBLANK('Aqueous Species Options'!G421), "", 'Aqueous Species Options'!G421), ('Aqueous Species Table'!I421/10 + ('Aqueous Species Table'!J421*100)/(Calculations!$C$12+Calculations!$C$9) + ('Aqueous Species Table'!K421 + ('Aqueous Species Table'!L421*10000)/(Calculations!$C$12+Calculations!$C$9))*(1/(Calculations!$C$8-Calculations!$C$13)) - 'Aqueous Species Table'!O421*100000*0.0000005903)*41.8393))</f>
        <v/>
      </c>
      <c r="H421" s="29" t="str">
        <f>IF(ISBLANK('Aqueous Species Options'!B421), "", IF('Aqueous Species Options'!L421 = 1, IF(ISBLANK('Aqueous Species Options'!H421), "", 'Aqueous Species Options'!H421), 'Aqueous Species Table'!M421 + 'Aqueous Species Table'!N421*10000*(1/(Calculations!$C$8-Calculations!$C$13))^2 + 'Aqueous Species Table'!O421*100000*Calculations!$C$8*Calculations!$C$7))</f>
        <v/>
      </c>
      <c r="I421" s="1" t="str">
        <f>IF(ISBLANK('Aqueous Species Options'!B421), "", IF('Aqueous Species Options'!L421=0, 'Aqueous Species Options'!N421, IF(OR(ISBLANK('Aqueous Species Options'!G421),'Aqueous Species Table'!O421="", 'Aqueous Species Table'!P421=""), "", IF('Aqueous Species Options'!B421="H+", 0, (CHOOSE('Aqueous Species Options'!M421+1,'Aqueous Species Options'!$V$4*ABS('Aqueous Species Table'!P421)+'Aqueous Species Options'!$W$4,'Aqueous Species Options'!$Z$4)*('Aqueous Species Options'!G421 + 'Aqueous Species Table'!O421*100000*0.0000005903*41.8393) + CHOOSE('Aqueous Species Options'!M421+1,'Aqueous Species Options'!$X$4*ABS('Aqueous Species Table'!P421)+'Aqueous Species Options'!$Y$4,'Aqueous Species Options'!$AA$4))*10 ) ) ) )</f>
        <v/>
      </c>
      <c r="J421" s="1" t="str">
        <f>IF(ISBLANK('Aqueous Species Options'!B421), "", IF('Aqueous Species Options'!L421 = 0, 'Aqueous Species Options'!O421, IF('Aqueous Species Table'!I421="", "", IF('Aqueous Species Options'!B421="H+", 0, ((1.11*('Aqueous Species Options'!G421 + 'Aqueous Species Table'!O421*100000*0.0000005903*41.8393)+1.8)/41.8393 - 'Aqueous Species Table'!I421/10)*26.01 ) ) ) )</f>
        <v/>
      </c>
      <c r="K421" s="1" t="str">
        <f>IF(ISBLANK('Aqueous Species Options'!B421), "", IF('Aqueous Species Options'!L421 = 0, 'Aqueous Species Options'!P421, IF('Aqueous Species Table'!I421="", "", IF('Aqueous Species Options'!B421="H+", 0, ('Aqueous Species Options'!G421/41.8393 + 'Aqueous Species Table'!O421*100000*0.0000005903 - 'Aqueous Species Table'!I421/10 - 'Aqueous Species Table'!J421*100/2601)*(298.15-228) - ('Aqueous Species Table'!L421*10000/2601) ) ) ) )</f>
        <v/>
      </c>
      <c r="L421" s="1" t="str">
        <f>IF(ISBLANK('Aqueous Species Options'!B421), "", IF('Aqueous Species Options'!L421 = 0, 'Aqueous Species Options'!Q421, IF('Aqueous Species Table'!J421="", "", IF('Aqueous Species Options'!B421="H+", 0, (-4.134*'Aqueous Species Table'!J421*100 - 27790)*0.0001) ) ) )</f>
        <v/>
      </c>
      <c r="M421" s="1" t="str">
        <f>IF(ISBLANK('Aqueous Species Options'!B421), "", IF('Aqueous Species Options'!L421=0, 'Aqueous Species Options'!R421, IF('Aqueous Species Table'!N421="", "", IF('Aqueous Species Options'!B421="H+", 0, 'Aqueous Species Options'!H421 - 'Aqueous Species Table'!O421*100000*(-0.000000309)*298.15 - 'Aqueous Species Table'!N421*10000/(298.15-228)^2 ) ) ) )</f>
        <v/>
      </c>
      <c r="N421" s="1" t="str">
        <f>IF(ISBLANK('Aqueous Species Options'!B421), "", IF('Aqueous Species Options'!L421=0, 'Aqueous Species Options'!S421, IF(OR(ISBLANK('Aqueous Species Options'!H421), 'Aqueous Species Table'!O421=""), "", IF('Aqueous Species Options'!B421="H+", 0, 0.2037*'Aqueous Species Options'!H421 - 3.0346) ) ) )</f>
        <v/>
      </c>
      <c r="O421" s="1" t="str">
        <f>IF(ISBLANK('Aqueous Species Options'!B421), "", IF('Aqueous Species Options'!K421=0, 'Aqueous Species Options'!I421, IF(OR('Aqueous Species Options'!J421&gt;4,'Aqueous Species Options'!J421&lt;-4), "", IF('Aqueous Species Options'!B421="H+", 0, IF('Aqueous Species Options'!J421=0, -0.038, IF(ISBLANK('Aqueous Species Options'!F421), "", -1514.4*'Aqueous Species Options'!F421*0.00001 + SUM(({4,3,2,1,-1,-2,-3,-4}='Aqueous Species Options'!J421)*{2.1764,1.5793,1.0579,0.5517,1.6291,3.2127,4.8115,6.486}) ) ) ) ) ) )</f>
        <v/>
      </c>
      <c r="P421" s="1" t="str">
        <f>IF(ISBLANK('Aqueous Species Options'!J421), "", 'Aqueous Species Options'!J421)</f>
        <v/>
      </c>
      <c r="Q421" s="184" t="str">
        <f>IF(ISBLANK('Aqueous Species Options'!T421), "", 'Aqueous Species Options'!T421)</f>
        <v/>
      </c>
    </row>
    <row r="422" spans="2:17" ht="16" x14ac:dyDescent="0.2">
      <c r="B422" t="str">
        <f>IF(ISBLANK('Aqueous Species Options'!B422), "", 'Aqueous Species Options'!B422)</f>
        <v/>
      </c>
      <c r="C422" s="1" t="str">
        <f>IF(ISBLANK('Aqueous Species Options'!C422), "", 'Aqueous Species Options'!C422)</f>
        <v/>
      </c>
      <c r="D422" s="1" t="str">
        <f>IF(ISBLANK('Aqueous Species Options'!D422), "", 'Aqueous Species Options'!D422)</f>
        <v/>
      </c>
      <c r="E422" s="1" t="str">
        <f>IF(ISBLANK('Aqueous Species Options'!E422), "", 'Aqueous Species Options'!E422)</f>
        <v/>
      </c>
      <c r="F422" s="139" t="str">
        <f>IF(ISBLANK('Aqueous Species Options'!F422), "", 'Aqueous Species Options'!F422)</f>
        <v/>
      </c>
      <c r="G422" s="29" t="str">
        <f>IF(ISBLANK('Aqueous Species Options'!B422), "", IF('Aqueous Species Options'!L422 = 1, IF(ISBLANK('Aqueous Species Options'!G422), "", 'Aqueous Species Options'!G422), ('Aqueous Species Table'!I422/10 + ('Aqueous Species Table'!J422*100)/(Calculations!$C$12+Calculations!$C$9) + ('Aqueous Species Table'!K422 + ('Aqueous Species Table'!L422*10000)/(Calculations!$C$12+Calculations!$C$9))*(1/(Calculations!$C$8-Calculations!$C$13)) - 'Aqueous Species Table'!O422*100000*0.0000005903)*41.8393))</f>
        <v/>
      </c>
      <c r="H422" s="29" t="str">
        <f>IF(ISBLANK('Aqueous Species Options'!B422), "", IF('Aqueous Species Options'!L422 = 1, IF(ISBLANK('Aqueous Species Options'!H422), "", 'Aqueous Species Options'!H422), 'Aqueous Species Table'!M422 + 'Aqueous Species Table'!N422*10000*(1/(Calculations!$C$8-Calculations!$C$13))^2 + 'Aqueous Species Table'!O422*100000*Calculations!$C$8*Calculations!$C$7))</f>
        <v/>
      </c>
      <c r="I422" s="1" t="str">
        <f>IF(ISBLANK('Aqueous Species Options'!B422), "", IF('Aqueous Species Options'!L422=0, 'Aqueous Species Options'!N422, IF(OR(ISBLANK('Aqueous Species Options'!G422),'Aqueous Species Table'!O422="", 'Aqueous Species Table'!P422=""), "", IF('Aqueous Species Options'!B422="H+", 0, (CHOOSE('Aqueous Species Options'!M422+1,'Aqueous Species Options'!$V$4*ABS('Aqueous Species Table'!P422)+'Aqueous Species Options'!$W$4,'Aqueous Species Options'!$Z$4)*('Aqueous Species Options'!G422 + 'Aqueous Species Table'!O422*100000*0.0000005903*41.8393) + CHOOSE('Aqueous Species Options'!M422+1,'Aqueous Species Options'!$X$4*ABS('Aqueous Species Table'!P422)+'Aqueous Species Options'!$Y$4,'Aqueous Species Options'!$AA$4))*10 ) ) ) )</f>
        <v/>
      </c>
      <c r="J422" s="1" t="str">
        <f>IF(ISBLANK('Aqueous Species Options'!B422), "", IF('Aqueous Species Options'!L422 = 0, 'Aqueous Species Options'!O422, IF('Aqueous Species Table'!I422="", "", IF('Aqueous Species Options'!B422="H+", 0, ((1.11*('Aqueous Species Options'!G422 + 'Aqueous Species Table'!O422*100000*0.0000005903*41.8393)+1.8)/41.8393 - 'Aqueous Species Table'!I422/10)*26.01 ) ) ) )</f>
        <v/>
      </c>
      <c r="K422" s="1" t="str">
        <f>IF(ISBLANK('Aqueous Species Options'!B422), "", IF('Aqueous Species Options'!L422 = 0, 'Aqueous Species Options'!P422, IF('Aqueous Species Table'!I422="", "", IF('Aqueous Species Options'!B422="H+", 0, ('Aqueous Species Options'!G422/41.8393 + 'Aqueous Species Table'!O422*100000*0.0000005903 - 'Aqueous Species Table'!I422/10 - 'Aqueous Species Table'!J422*100/2601)*(298.15-228) - ('Aqueous Species Table'!L422*10000/2601) ) ) ) )</f>
        <v/>
      </c>
      <c r="L422" s="1" t="str">
        <f>IF(ISBLANK('Aqueous Species Options'!B422), "", IF('Aqueous Species Options'!L422 = 0, 'Aqueous Species Options'!Q422, IF('Aqueous Species Table'!J422="", "", IF('Aqueous Species Options'!B422="H+", 0, (-4.134*'Aqueous Species Table'!J422*100 - 27790)*0.0001) ) ) )</f>
        <v/>
      </c>
      <c r="M422" s="1" t="str">
        <f>IF(ISBLANK('Aqueous Species Options'!B422), "", IF('Aqueous Species Options'!L422=0, 'Aqueous Species Options'!R422, IF('Aqueous Species Table'!N422="", "", IF('Aqueous Species Options'!B422="H+", 0, 'Aqueous Species Options'!H422 - 'Aqueous Species Table'!O422*100000*(-0.000000309)*298.15 - 'Aqueous Species Table'!N422*10000/(298.15-228)^2 ) ) ) )</f>
        <v/>
      </c>
      <c r="N422" s="1" t="str">
        <f>IF(ISBLANK('Aqueous Species Options'!B422), "", IF('Aqueous Species Options'!L422=0, 'Aqueous Species Options'!S422, IF(OR(ISBLANK('Aqueous Species Options'!H422), 'Aqueous Species Table'!O422=""), "", IF('Aqueous Species Options'!B422="H+", 0, 0.2037*'Aqueous Species Options'!H422 - 3.0346) ) ) )</f>
        <v/>
      </c>
      <c r="O422" s="1" t="str">
        <f>IF(ISBLANK('Aqueous Species Options'!B422), "", IF('Aqueous Species Options'!K422=0, 'Aqueous Species Options'!I422, IF(OR('Aqueous Species Options'!J422&gt;4,'Aqueous Species Options'!J422&lt;-4), "", IF('Aqueous Species Options'!B422="H+", 0, IF('Aqueous Species Options'!J422=0, -0.038, IF(ISBLANK('Aqueous Species Options'!F422), "", -1514.4*'Aqueous Species Options'!F422*0.00001 + SUM(({4,3,2,1,-1,-2,-3,-4}='Aqueous Species Options'!J422)*{2.1764,1.5793,1.0579,0.5517,1.6291,3.2127,4.8115,6.486}) ) ) ) ) ) )</f>
        <v/>
      </c>
      <c r="P422" s="1" t="str">
        <f>IF(ISBLANK('Aqueous Species Options'!J422), "", 'Aqueous Species Options'!J422)</f>
        <v/>
      </c>
      <c r="Q422" s="184" t="str">
        <f>IF(ISBLANK('Aqueous Species Options'!T422), "", 'Aqueous Species Options'!T422)</f>
        <v/>
      </c>
    </row>
    <row r="423" spans="2:17" ht="16" x14ac:dyDescent="0.2">
      <c r="B423" t="str">
        <f>IF(ISBLANK('Aqueous Species Options'!B423), "", 'Aqueous Species Options'!B423)</f>
        <v/>
      </c>
      <c r="C423" s="1" t="str">
        <f>IF(ISBLANK('Aqueous Species Options'!C423), "", 'Aqueous Species Options'!C423)</f>
        <v/>
      </c>
      <c r="D423" s="1" t="str">
        <f>IF(ISBLANK('Aqueous Species Options'!D423), "", 'Aqueous Species Options'!D423)</f>
        <v/>
      </c>
      <c r="E423" s="1" t="str">
        <f>IF(ISBLANK('Aqueous Species Options'!E423), "", 'Aqueous Species Options'!E423)</f>
        <v/>
      </c>
      <c r="F423" s="139" t="str">
        <f>IF(ISBLANK('Aqueous Species Options'!F423), "", 'Aqueous Species Options'!F423)</f>
        <v/>
      </c>
      <c r="G423" s="29" t="str">
        <f>IF(ISBLANK('Aqueous Species Options'!B423), "", IF('Aqueous Species Options'!L423 = 1, IF(ISBLANK('Aqueous Species Options'!G423), "", 'Aqueous Species Options'!G423), ('Aqueous Species Table'!I423/10 + ('Aqueous Species Table'!J423*100)/(Calculations!$C$12+Calculations!$C$9) + ('Aqueous Species Table'!K423 + ('Aqueous Species Table'!L423*10000)/(Calculations!$C$12+Calculations!$C$9))*(1/(Calculations!$C$8-Calculations!$C$13)) - 'Aqueous Species Table'!O423*100000*0.0000005903)*41.8393))</f>
        <v/>
      </c>
      <c r="H423" s="29" t="str">
        <f>IF(ISBLANK('Aqueous Species Options'!B423), "", IF('Aqueous Species Options'!L423 = 1, IF(ISBLANK('Aqueous Species Options'!H423), "", 'Aqueous Species Options'!H423), 'Aqueous Species Table'!M423 + 'Aqueous Species Table'!N423*10000*(1/(Calculations!$C$8-Calculations!$C$13))^2 + 'Aqueous Species Table'!O423*100000*Calculations!$C$8*Calculations!$C$7))</f>
        <v/>
      </c>
      <c r="I423" s="1" t="str">
        <f>IF(ISBLANK('Aqueous Species Options'!B423), "", IF('Aqueous Species Options'!L423=0, 'Aqueous Species Options'!N423, IF(OR(ISBLANK('Aqueous Species Options'!G423),'Aqueous Species Table'!O423="", 'Aqueous Species Table'!P423=""), "", IF('Aqueous Species Options'!B423="H+", 0, (CHOOSE('Aqueous Species Options'!M423+1,'Aqueous Species Options'!$V$4*ABS('Aqueous Species Table'!P423)+'Aqueous Species Options'!$W$4,'Aqueous Species Options'!$Z$4)*('Aqueous Species Options'!G423 + 'Aqueous Species Table'!O423*100000*0.0000005903*41.8393) + CHOOSE('Aqueous Species Options'!M423+1,'Aqueous Species Options'!$X$4*ABS('Aqueous Species Table'!P423)+'Aqueous Species Options'!$Y$4,'Aqueous Species Options'!$AA$4))*10 ) ) ) )</f>
        <v/>
      </c>
      <c r="J423" s="1" t="str">
        <f>IF(ISBLANK('Aqueous Species Options'!B423), "", IF('Aqueous Species Options'!L423 = 0, 'Aqueous Species Options'!O423, IF('Aqueous Species Table'!I423="", "", IF('Aqueous Species Options'!B423="H+", 0, ((1.11*('Aqueous Species Options'!G423 + 'Aqueous Species Table'!O423*100000*0.0000005903*41.8393)+1.8)/41.8393 - 'Aqueous Species Table'!I423/10)*26.01 ) ) ) )</f>
        <v/>
      </c>
      <c r="K423" s="1" t="str">
        <f>IF(ISBLANK('Aqueous Species Options'!B423), "", IF('Aqueous Species Options'!L423 = 0, 'Aqueous Species Options'!P423, IF('Aqueous Species Table'!I423="", "", IF('Aqueous Species Options'!B423="H+", 0, ('Aqueous Species Options'!G423/41.8393 + 'Aqueous Species Table'!O423*100000*0.0000005903 - 'Aqueous Species Table'!I423/10 - 'Aqueous Species Table'!J423*100/2601)*(298.15-228) - ('Aqueous Species Table'!L423*10000/2601) ) ) ) )</f>
        <v/>
      </c>
      <c r="L423" s="1" t="str">
        <f>IF(ISBLANK('Aqueous Species Options'!B423), "", IF('Aqueous Species Options'!L423 = 0, 'Aqueous Species Options'!Q423, IF('Aqueous Species Table'!J423="", "", IF('Aqueous Species Options'!B423="H+", 0, (-4.134*'Aqueous Species Table'!J423*100 - 27790)*0.0001) ) ) )</f>
        <v/>
      </c>
      <c r="M423" s="1" t="str">
        <f>IF(ISBLANK('Aqueous Species Options'!B423), "", IF('Aqueous Species Options'!L423=0, 'Aqueous Species Options'!R423, IF('Aqueous Species Table'!N423="", "", IF('Aqueous Species Options'!B423="H+", 0, 'Aqueous Species Options'!H423 - 'Aqueous Species Table'!O423*100000*(-0.000000309)*298.15 - 'Aqueous Species Table'!N423*10000/(298.15-228)^2 ) ) ) )</f>
        <v/>
      </c>
      <c r="N423" s="1" t="str">
        <f>IF(ISBLANK('Aqueous Species Options'!B423), "", IF('Aqueous Species Options'!L423=0, 'Aqueous Species Options'!S423, IF(OR(ISBLANK('Aqueous Species Options'!H423), 'Aqueous Species Table'!O423=""), "", IF('Aqueous Species Options'!B423="H+", 0, 0.2037*'Aqueous Species Options'!H423 - 3.0346) ) ) )</f>
        <v/>
      </c>
      <c r="O423" s="1" t="str">
        <f>IF(ISBLANK('Aqueous Species Options'!B423), "", IF('Aqueous Species Options'!K423=0, 'Aqueous Species Options'!I423, IF(OR('Aqueous Species Options'!J423&gt;4,'Aqueous Species Options'!J423&lt;-4), "", IF('Aqueous Species Options'!B423="H+", 0, IF('Aqueous Species Options'!J423=0, -0.038, IF(ISBLANK('Aqueous Species Options'!F423), "", -1514.4*'Aqueous Species Options'!F423*0.00001 + SUM(({4,3,2,1,-1,-2,-3,-4}='Aqueous Species Options'!J423)*{2.1764,1.5793,1.0579,0.5517,1.6291,3.2127,4.8115,6.486}) ) ) ) ) ) )</f>
        <v/>
      </c>
      <c r="P423" s="1" t="str">
        <f>IF(ISBLANK('Aqueous Species Options'!J423), "", 'Aqueous Species Options'!J423)</f>
        <v/>
      </c>
      <c r="Q423" s="184" t="str">
        <f>IF(ISBLANK('Aqueous Species Options'!T423), "", 'Aqueous Species Options'!T423)</f>
        <v/>
      </c>
    </row>
    <row r="424" spans="2:17" ht="16" x14ac:dyDescent="0.2">
      <c r="B424" t="str">
        <f>IF(ISBLANK('Aqueous Species Options'!B424), "", 'Aqueous Species Options'!B424)</f>
        <v/>
      </c>
      <c r="C424" s="1" t="str">
        <f>IF(ISBLANK('Aqueous Species Options'!C424), "", 'Aqueous Species Options'!C424)</f>
        <v/>
      </c>
      <c r="D424" s="1" t="str">
        <f>IF(ISBLANK('Aqueous Species Options'!D424), "", 'Aqueous Species Options'!D424)</f>
        <v/>
      </c>
      <c r="E424" s="1" t="str">
        <f>IF(ISBLANK('Aqueous Species Options'!E424), "", 'Aqueous Species Options'!E424)</f>
        <v/>
      </c>
      <c r="F424" s="139" t="str">
        <f>IF(ISBLANK('Aqueous Species Options'!F424), "", 'Aqueous Species Options'!F424)</f>
        <v/>
      </c>
      <c r="G424" s="29" t="str">
        <f>IF(ISBLANK('Aqueous Species Options'!B424), "", IF('Aqueous Species Options'!L424 = 1, IF(ISBLANK('Aqueous Species Options'!G424), "", 'Aqueous Species Options'!G424), ('Aqueous Species Table'!I424/10 + ('Aqueous Species Table'!J424*100)/(Calculations!$C$12+Calculations!$C$9) + ('Aqueous Species Table'!K424 + ('Aqueous Species Table'!L424*10000)/(Calculations!$C$12+Calculations!$C$9))*(1/(Calculations!$C$8-Calculations!$C$13)) - 'Aqueous Species Table'!O424*100000*0.0000005903)*41.8393))</f>
        <v/>
      </c>
      <c r="H424" s="29" t="str">
        <f>IF(ISBLANK('Aqueous Species Options'!B424), "", IF('Aqueous Species Options'!L424 = 1, IF(ISBLANK('Aqueous Species Options'!H424), "", 'Aqueous Species Options'!H424), 'Aqueous Species Table'!M424 + 'Aqueous Species Table'!N424*10000*(1/(Calculations!$C$8-Calculations!$C$13))^2 + 'Aqueous Species Table'!O424*100000*Calculations!$C$8*Calculations!$C$7))</f>
        <v/>
      </c>
      <c r="I424" s="1" t="str">
        <f>IF(ISBLANK('Aqueous Species Options'!B424), "", IF('Aqueous Species Options'!L424=0, 'Aqueous Species Options'!N424, IF(OR(ISBLANK('Aqueous Species Options'!G424),'Aqueous Species Table'!O424="", 'Aqueous Species Table'!P424=""), "", IF('Aqueous Species Options'!B424="H+", 0, (CHOOSE('Aqueous Species Options'!M424+1,'Aqueous Species Options'!$V$4*ABS('Aqueous Species Table'!P424)+'Aqueous Species Options'!$W$4,'Aqueous Species Options'!$Z$4)*('Aqueous Species Options'!G424 + 'Aqueous Species Table'!O424*100000*0.0000005903*41.8393) + CHOOSE('Aqueous Species Options'!M424+1,'Aqueous Species Options'!$X$4*ABS('Aqueous Species Table'!P424)+'Aqueous Species Options'!$Y$4,'Aqueous Species Options'!$AA$4))*10 ) ) ) )</f>
        <v/>
      </c>
      <c r="J424" s="1" t="str">
        <f>IF(ISBLANK('Aqueous Species Options'!B424), "", IF('Aqueous Species Options'!L424 = 0, 'Aqueous Species Options'!O424, IF('Aqueous Species Table'!I424="", "", IF('Aqueous Species Options'!B424="H+", 0, ((1.11*('Aqueous Species Options'!G424 + 'Aqueous Species Table'!O424*100000*0.0000005903*41.8393)+1.8)/41.8393 - 'Aqueous Species Table'!I424/10)*26.01 ) ) ) )</f>
        <v/>
      </c>
      <c r="K424" s="1" t="str">
        <f>IF(ISBLANK('Aqueous Species Options'!B424), "", IF('Aqueous Species Options'!L424 = 0, 'Aqueous Species Options'!P424, IF('Aqueous Species Table'!I424="", "", IF('Aqueous Species Options'!B424="H+", 0, ('Aqueous Species Options'!G424/41.8393 + 'Aqueous Species Table'!O424*100000*0.0000005903 - 'Aqueous Species Table'!I424/10 - 'Aqueous Species Table'!J424*100/2601)*(298.15-228) - ('Aqueous Species Table'!L424*10000/2601) ) ) ) )</f>
        <v/>
      </c>
      <c r="L424" s="1" t="str">
        <f>IF(ISBLANK('Aqueous Species Options'!B424), "", IF('Aqueous Species Options'!L424 = 0, 'Aqueous Species Options'!Q424, IF('Aqueous Species Table'!J424="", "", IF('Aqueous Species Options'!B424="H+", 0, (-4.134*'Aqueous Species Table'!J424*100 - 27790)*0.0001) ) ) )</f>
        <v/>
      </c>
      <c r="M424" s="1" t="str">
        <f>IF(ISBLANK('Aqueous Species Options'!B424), "", IF('Aqueous Species Options'!L424=0, 'Aqueous Species Options'!R424, IF('Aqueous Species Table'!N424="", "", IF('Aqueous Species Options'!B424="H+", 0, 'Aqueous Species Options'!H424 - 'Aqueous Species Table'!O424*100000*(-0.000000309)*298.15 - 'Aqueous Species Table'!N424*10000/(298.15-228)^2 ) ) ) )</f>
        <v/>
      </c>
      <c r="N424" s="1" t="str">
        <f>IF(ISBLANK('Aqueous Species Options'!B424), "", IF('Aqueous Species Options'!L424=0, 'Aqueous Species Options'!S424, IF(OR(ISBLANK('Aqueous Species Options'!H424), 'Aqueous Species Table'!O424=""), "", IF('Aqueous Species Options'!B424="H+", 0, 0.2037*'Aqueous Species Options'!H424 - 3.0346) ) ) )</f>
        <v/>
      </c>
      <c r="O424" s="1" t="str">
        <f>IF(ISBLANK('Aqueous Species Options'!B424), "", IF('Aqueous Species Options'!K424=0, 'Aqueous Species Options'!I424, IF(OR('Aqueous Species Options'!J424&gt;4,'Aqueous Species Options'!J424&lt;-4), "", IF('Aqueous Species Options'!B424="H+", 0, IF('Aqueous Species Options'!J424=0, -0.038, IF(ISBLANK('Aqueous Species Options'!F424), "", -1514.4*'Aqueous Species Options'!F424*0.00001 + SUM(({4,3,2,1,-1,-2,-3,-4}='Aqueous Species Options'!J424)*{2.1764,1.5793,1.0579,0.5517,1.6291,3.2127,4.8115,6.486}) ) ) ) ) ) )</f>
        <v/>
      </c>
      <c r="P424" s="1" t="str">
        <f>IF(ISBLANK('Aqueous Species Options'!J424), "", 'Aqueous Species Options'!J424)</f>
        <v/>
      </c>
      <c r="Q424" s="184" t="str">
        <f>IF(ISBLANK('Aqueous Species Options'!T424), "", 'Aqueous Species Options'!T424)</f>
        <v/>
      </c>
    </row>
    <row r="425" spans="2:17" ht="16" x14ac:dyDescent="0.2">
      <c r="B425" t="str">
        <f>IF(ISBLANK('Aqueous Species Options'!B425), "", 'Aqueous Species Options'!B425)</f>
        <v/>
      </c>
      <c r="C425" s="1" t="str">
        <f>IF(ISBLANK('Aqueous Species Options'!C425), "", 'Aqueous Species Options'!C425)</f>
        <v/>
      </c>
      <c r="D425" s="1" t="str">
        <f>IF(ISBLANK('Aqueous Species Options'!D425), "", 'Aqueous Species Options'!D425)</f>
        <v/>
      </c>
      <c r="E425" s="1" t="str">
        <f>IF(ISBLANK('Aqueous Species Options'!E425), "", 'Aqueous Species Options'!E425)</f>
        <v/>
      </c>
      <c r="F425" s="139" t="str">
        <f>IF(ISBLANK('Aqueous Species Options'!F425), "", 'Aqueous Species Options'!F425)</f>
        <v/>
      </c>
      <c r="G425" s="29" t="str">
        <f>IF(ISBLANK('Aqueous Species Options'!B425), "", IF('Aqueous Species Options'!L425 = 1, IF(ISBLANK('Aqueous Species Options'!G425), "", 'Aqueous Species Options'!G425), ('Aqueous Species Table'!I425/10 + ('Aqueous Species Table'!J425*100)/(Calculations!$C$12+Calculations!$C$9) + ('Aqueous Species Table'!K425 + ('Aqueous Species Table'!L425*10000)/(Calculations!$C$12+Calculations!$C$9))*(1/(Calculations!$C$8-Calculations!$C$13)) - 'Aqueous Species Table'!O425*100000*0.0000005903)*41.8393))</f>
        <v/>
      </c>
      <c r="H425" s="29" t="str">
        <f>IF(ISBLANK('Aqueous Species Options'!B425), "", IF('Aqueous Species Options'!L425 = 1, IF(ISBLANK('Aqueous Species Options'!H425), "", 'Aqueous Species Options'!H425), 'Aqueous Species Table'!M425 + 'Aqueous Species Table'!N425*10000*(1/(Calculations!$C$8-Calculations!$C$13))^2 + 'Aqueous Species Table'!O425*100000*Calculations!$C$8*Calculations!$C$7))</f>
        <v/>
      </c>
      <c r="I425" s="1" t="str">
        <f>IF(ISBLANK('Aqueous Species Options'!B425), "", IF('Aqueous Species Options'!L425=0, 'Aqueous Species Options'!N425, IF(OR(ISBLANK('Aqueous Species Options'!G425),'Aqueous Species Table'!O425="", 'Aqueous Species Table'!P425=""), "", IF('Aqueous Species Options'!B425="H+", 0, (CHOOSE('Aqueous Species Options'!M425+1,'Aqueous Species Options'!$V$4*ABS('Aqueous Species Table'!P425)+'Aqueous Species Options'!$W$4,'Aqueous Species Options'!$Z$4)*('Aqueous Species Options'!G425 + 'Aqueous Species Table'!O425*100000*0.0000005903*41.8393) + CHOOSE('Aqueous Species Options'!M425+1,'Aqueous Species Options'!$X$4*ABS('Aqueous Species Table'!P425)+'Aqueous Species Options'!$Y$4,'Aqueous Species Options'!$AA$4))*10 ) ) ) )</f>
        <v/>
      </c>
      <c r="J425" s="1" t="str">
        <f>IF(ISBLANK('Aqueous Species Options'!B425), "", IF('Aqueous Species Options'!L425 = 0, 'Aqueous Species Options'!O425, IF('Aqueous Species Table'!I425="", "", IF('Aqueous Species Options'!B425="H+", 0, ((1.11*('Aqueous Species Options'!G425 + 'Aqueous Species Table'!O425*100000*0.0000005903*41.8393)+1.8)/41.8393 - 'Aqueous Species Table'!I425/10)*26.01 ) ) ) )</f>
        <v/>
      </c>
      <c r="K425" s="1" t="str">
        <f>IF(ISBLANK('Aqueous Species Options'!B425), "", IF('Aqueous Species Options'!L425 = 0, 'Aqueous Species Options'!P425, IF('Aqueous Species Table'!I425="", "", IF('Aqueous Species Options'!B425="H+", 0, ('Aqueous Species Options'!G425/41.8393 + 'Aqueous Species Table'!O425*100000*0.0000005903 - 'Aqueous Species Table'!I425/10 - 'Aqueous Species Table'!J425*100/2601)*(298.15-228) - ('Aqueous Species Table'!L425*10000/2601) ) ) ) )</f>
        <v/>
      </c>
      <c r="L425" s="1" t="str">
        <f>IF(ISBLANK('Aqueous Species Options'!B425), "", IF('Aqueous Species Options'!L425 = 0, 'Aqueous Species Options'!Q425, IF('Aqueous Species Table'!J425="", "", IF('Aqueous Species Options'!B425="H+", 0, (-4.134*'Aqueous Species Table'!J425*100 - 27790)*0.0001) ) ) )</f>
        <v/>
      </c>
      <c r="M425" s="1" t="str">
        <f>IF(ISBLANK('Aqueous Species Options'!B425), "", IF('Aqueous Species Options'!L425=0, 'Aqueous Species Options'!R425, IF('Aqueous Species Table'!N425="", "", IF('Aqueous Species Options'!B425="H+", 0, 'Aqueous Species Options'!H425 - 'Aqueous Species Table'!O425*100000*(-0.000000309)*298.15 - 'Aqueous Species Table'!N425*10000/(298.15-228)^2 ) ) ) )</f>
        <v/>
      </c>
      <c r="N425" s="1" t="str">
        <f>IF(ISBLANK('Aqueous Species Options'!B425), "", IF('Aqueous Species Options'!L425=0, 'Aqueous Species Options'!S425, IF(OR(ISBLANK('Aqueous Species Options'!H425), 'Aqueous Species Table'!O425=""), "", IF('Aqueous Species Options'!B425="H+", 0, 0.2037*'Aqueous Species Options'!H425 - 3.0346) ) ) )</f>
        <v/>
      </c>
      <c r="O425" s="1" t="str">
        <f>IF(ISBLANK('Aqueous Species Options'!B425), "", IF('Aqueous Species Options'!K425=0, 'Aqueous Species Options'!I425, IF(OR('Aqueous Species Options'!J425&gt;4,'Aqueous Species Options'!J425&lt;-4), "", IF('Aqueous Species Options'!B425="H+", 0, IF('Aqueous Species Options'!J425=0, -0.038, IF(ISBLANK('Aqueous Species Options'!F425), "", -1514.4*'Aqueous Species Options'!F425*0.00001 + SUM(({4,3,2,1,-1,-2,-3,-4}='Aqueous Species Options'!J425)*{2.1764,1.5793,1.0579,0.5517,1.6291,3.2127,4.8115,6.486}) ) ) ) ) ) )</f>
        <v/>
      </c>
      <c r="P425" s="1" t="str">
        <f>IF(ISBLANK('Aqueous Species Options'!J425), "", 'Aqueous Species Options'!J425)</f>
        <v/>
      </c>
      <c r="Q425" s="184" t="str">
        <f>IF(ISBLANK('Aqueous Species Options'!T425), "", 'Aqueous Species Options'!T425)</f>
        <v/>
      </c>
    </row>
    <row r="426" spans="2:17" ht="16" x14ac:dyDescent="0.2">
      <c r="B426" t="str">
        <f>IF(ISBLANK('Aqueous Species Options'!B426), "", 'Aqueous Species Options'!B426)</f>
        <v/>
      </c>
      <c r="C426" s="1" t="str">
        <f>IF(ISBLANK('Aqueous Species Options'!C426), "", 'Aqueous Species Options'!C426)</f>
        <v/>
      </c>
      <c r="D426" s="1" t="str">
        <f>IF(ISBLANK('Aqueous Species Options'!D426), "", 'Aqueous Species Options'!D426)</f>
        <v/>
      </c>
      <c r="E426" s="1" t="str">
        <f>IF(ISBLANK('Aqueous Species Options'!E426), "", 'Aqueous Species Options'!E426)</f>
        <v/>
      </c>
      <c r="F426" s="139" t="str">
        <f>IF(ISBLANK('Aqueous Species Options'!F426), "", 'Aqueous Species Options'!F426)</f>
        <v/>
      </c>
      <c r="G426" s="29" t="str">
        <f>IF(ISBLANK('Aqueous Species Options'!B426), "", IF('Aqueous Species Options'!L426 = 1, IF(ISBLANK('Aqueous Species Options'!G426), "", 'Aqueous Species Options'!G426), ('Aqueous Species Table'!I426/10 + ('Aqueous Species Table'!J426*100)/(Calculations!$C$12+Calculations!$C$9) + ('Aqueous Species Table'!K426 + ('Aqueous Species Table'!L426*10000)/(Calculations!$C$12+Calculations!$C$9))*(1/(Calculations!$C$8-Calculations!$C$13)) - 'Aqueous Species Table'!O426*100000*0.0000005903)*41.8393))</f>
        <v/>
      </c>
      <c r="H426" s="29" t="str">
        <f>IF(ISBLANK('Aqueous Species Options'!B426), "", IF('Aqueous Species Options'!L426 = 1, IF(ISBLANK('Aqueous Species Options'!H426), "", 'Aqueous Species Options'!H426), 'Aqueous Species Table'!M426 + 'Aqueous Species Table'!N426*10000*(1/(Calculations!$C$8-Calculations!$C$13))^2 + 'Aqueous Species Table'!O426*100000*Calculations!$C$8*Calculations!$C$7))</f>
        <v/>
      </c>
      <c r="I426" s="1" t="str">
        <f>IF(ISBLANK('Aqueous Species Options'!B426), "", IF('Aqueous Species Options'!L426=0, 'Aqueous Species Options'!N426, IF(OR(ISBLANK('Aqueous Species Options'!G426),'Aqueous Species Table'!O426="", 'Aqueous Species Table'!P426=""), "", IF('Aqueous Species Options'!B426="H+", 0, (CHOOSE('Aqueous Species Options'!M426+1,'Aqueous Species Options'!$V$4*ABS('Aqueous Species Table'!P426)+'Aqueous Species Options'!$W$4,'Aqueous Species Options'!$Z$4)*('Aqueous Species Options'!G426 + 'Aqueous Species Table'!O426*100000*0.0000005903*41.8393) + CHOOSE('Aqueous Species Options'!M426+1,'Aqueous Species Options'!$X$4*ABS('Aqueous Species Table'!P426)+'Aqueous Species Options'!$Y$4,'Aqueous Species Options'!$AA$4))*10 ) ) ) )</f>
        <v/>
      </c>
      <c r="J426" s="1" t="str">
        <f>IF(ISBLANK('Aqueous Species Options'!B426), "", IF('Aqueous Species Options'!L426 = 0, 'Aqueous Species Options'!O426, IF('Aqueous Species Table'!I426="", "", IF('Aqueous Species Options'!B426="H+", 0, ((1.11*('Aqueous Species Options'!G426 + 'Aqueous Species Table'!O426*100000*0.0000005903*41.8393)+1.8)/41.8393 - 'Aqueous Species Table'!I426/10)*26.01 ) ) ) )</f>
        <v/>
      </c>
      <c r="K426" s="1" t="str">
        <f>IF(ISBLANK('Aqueous Species Options'!B426), "", IF('Aqueous Species Options'!L426 = 0, 'Aqueous Species Options'!P426, IF('Aqueous Species Table'!I426="", "", IF('Aqueous Species Options'!B426="H+", 0, ('Aqueous Species Options'!G426/41.8393 + 'Aqueous Species Table'!O426*100000*0.0000005903 - 'Aqueous Species Table'!I426/10 - 'Aqueous Species Table'!J426*100/2601)*(298.15-228) - ('Aqueous Species Table'!L426*10000/2601) ) ) ) )</f>
        <v/>
      </c>
      <c r="L426" s="1" t="str">
        <f>IF(ISBLANK('Aqueous Species Options'!B426), "", IF('Aqueous Species Options'!L426 = 0, 'Aqueous Species Options'!Q426, IF('Aqueous Species Table'!J426="", "", IF('Aqueous Species Options'!B426="H+", 0, (-4.134*'Aqueous Species Table'!J426*100 - 27790)*0.0001) ) ) )</f>
        <v/>
      </c>
      <c r="M426" s="1" t="str">
        <f>IF(ISBLANK('Aqueous Species Options'!B426), "", IF('Aqueous Species Options'!L426=0, 'Aqueous Species Options'!R426, IF('Aqueous Species Table'!N426="", "", IF('Aqueous Species Options'!B426="H+", 0, 'Aqueous Species Options'!H426 - 'Aqueous Species Table'!O426*100000*(-0.000000309)*298.15 - 'Aqueous Species Table'!N426*10000/(298.15-228)^2 ) ) ) )</f>
        <v/>
      </c>
      <c r="N426" s="1" t="str">
        <f>IF(ISBLANK('Aqueous Species Options'!B426), "", IF('Aqueous Species Options'!L426=0, 'Aqueous Species Options'!S426, IF(OR(ISBLANK('Aqueous Species Options'!H426), 'Aqueous Species Table'!O426=""), "", IF('Aqueous Species Options'!B426="H+", 0, 0.2037*'Aqueous Species Options'!H426 - 3.0346) ) ) )</f>
        <v/>
      </c>
      <c r="O426" s="1" t="str">
        <f>IF(ISBLANK('Aqueous Species Options'!B426), "", IF('Aqueous Species Options'!K426=0, 'Aqueous Species Options'!I426, IF(OR('Aqueous Species Options'!J426&gt;4,'Aqueous Species Options'!J426&lt;-4), "", IF('Aqueous Species Options'!B426="H+", 0, IF('Aqueous Species Options'!J426=0, -0.038, IF(ISBLANK('Aqueous Species Options'!F426), "", -1514.4*'Aqueous Species Options'!F426*0.00001 + SUM(({4,3,2,1,-1,-2,-3,-4}='Aqueous Species Options'!J426)*{2.1764,1.5793,1.0579,0.5517,1.6291,3.2127,4.8115,6.486}) ) ) ) ) ) )</f>
        <v/>
      </c>
      <c r="P426" s="1" t="str">
        <f>IF(ISBLANK('Aqueous Species Options'!J426), "", 'Aqueous Species Options'!J426)</f>
        <v/>
      </c>
      <c r="Q426" s="184" t="str">
        <f>IF(ISBLANK('Aqueous Species Options'!T426), "", 'Aqueous Species Options'!T426)</f>
        <v/>
      </c>
    </row>
    <row r="427" spans="2:17" ht="16" x14ac:dyDescent="0.2">
      <c r="B427" t="str">
        <f>IF(ISBLANK('Aqueous Species Options'!B427), "", 'Aqueous Species Options'!B427)</f>
        <v/>
      </c>
      <c r="C427" s="1" t="str">
        <f>IF(ISBLANK('Aqueous Species Options'!C427), "", 'Aqueous Species Options'!C427)</f>
        <v/>
      </c>
      <c r="D427" s="1" t="str">
        <f>IF(ISBLANK('Aqueous Species Options'!D427), "", 'Aqueous Species Options'!D427)</f>
        <v/>
      </c>
      <c r="E427" s="1" t="str">
        <f>IF(ISBLANK('Aqueous Species Options'!E427), "", 'Aqueous Species Options'!E427)</f>
        <v/>
      </c>
      <c r="F427" s="139" t="str">
        <f>IF(ISBLANK('Aqueous Species Options'!F427), "", 'Aqueous Species Options'!F427)</f>
        <v/>
      </c>
      <c r="G427" s="29" t="str">
        <f>IF(ISBLANK('Aqueous Species Options'!B427), "", IF('Aqueous Species Options'!L427 = 1, IF(ISBLANK('Aqueous Species Options'!G427), "", 'Aqueous Species Options'!G427), ('Aqueous Species Table'!I427/10 + ('Aqueous Species Table'!J427*100)/(Calculations!$C$12+Calculations!$C$9) + ('Aqueous Species Table'!K427 + ('Aqueous Species Table'!L427*10000)/(Calculations!$C$12+Calculations!$C$9))*(1/(Calculations!$C$8-Calculations!$C$13)) - 'Aqueous Species Table'!O427*100000*0.0000005903)*41.8393))</f>
        <v/>
      </c>
      <c r="H427" s="29" t="str">
        <f>IF(ISBLANK('Aqueous Species Options'!B427), "", IF('Aqueous Species Options'!L427 = 1, IF(ISBLANK('Aqueous Species Options'!H427), "", 'Aqueous Species Options'!H427), 'Aqueous Species Table'!M427 + 'Aqueous Species Table'!N427*10000*(1/(Calculations!$C$8-Calculations!$C$13))^2 + 'Aqueous Species Table'!O427*100000*Calculations!$C$8*Calculations!$C$7))</f>
        <v/>
      </c>
      <c r="I427" s="1" t="str">
        <f>IF(ISBLANK('Aqueous Species Options'!B427), "", IF('Aqueous Species Options'!L427=0, 'Aqueous Species Options'!N427, IF(OR(ISBLANK('Aqueous Species Options'!G427),'Aqueous Species Table'!O427="", 'Aqueous Species Table'!P427=""), "", IF('Aqueous Species Options'!B427="H+", 0, (CHOOSE('Aqueous Species Options'!M427+1,'Aqueous Species Options'!$V$4*ABS('Aqueous Species Table'!P427)+'Aqueous Species Options'!$W$4,'Aqueous Species Options'!$Z$4)*('Aqueous Species Options'!G427 + 'Aqueous Species Table'!O427*100000*0.0000005903*41.8393) + CHOOSE('Aqueous Species Options'!M427+1,'Aqueous Species Options'!$X$4*ABS('Aqueous Species Table'!P427)+'Aqueous Species Options'!$Y$4,'Aqueous Species Options'!$AA$4))*10 ) ) ) )</f>
        <v/>
      </c>
      <c r="J427" s="1" t="str">
        <f>IF(ISBLANK('Aqueous Species Options'!B427), "", IF('Aqueous Species Options'!L427 = 0, 'Aqueous Species Options'!O427, IF('Aqueous Species Table'!I427="", "", IF('Aqueous Species Options'!B427="H+", 0, ((1.11*('Aqueous Species Options'!G427 + 'Aqueous Species Table'!O427*100000*0.0000005903*41.8393)+1.8)/41.8393 - 'Aqueous Species Table'!I427/10)*26.01 ) ) ) )</f>
        <v/>
      </c>
      <c r="K427" s="1" t="str">
        <f>IF(ISBLANK('Aqueous Species Options'!B427), "", IF('Aqueous Species Options'!L427 = 0, 'Aqueous Species Options'!P427, IF('Aqueous Species Table'!I427="", "", IF('Aqueous Species Options'!B427="H+", 0, ('Aqueous Species Options'!G427/41.8393 + 'Aqueous Species Table'!O427*100000*0.0000005903 - 'Aqueous Species Table'!I427/10 - 'Aqueous Species Table'!J427*100/2601)*(298.15-228) - ('Aqueous Species Table'!L427*10000/2601) ) ) ) )</f>
        <v/>
      </c>
      <c r="L427" s="1" t="str">
        <f>IF(ISBLANK('Aqueous Species Options'!B427), "", IF('Aqueous Species Options'!L427 = 0, 'Aqueous Species Options'!Q427, IF('Aqueous Species Table'!J427="", "", IF('Aqueous Species Options'!B427="H+", 0, (-4.134*'Aqueous Species Table'!J427*100 - 27790)*0.0001) ) ) )</f>
        <v/>
      </c>
      <c r="M427" s="1" t="str">
        <f>IF(ISBLANK('Aqueous Species Options'!B427), "", IF('Aqueous Species Options'!L427=0, 'Aqueous Species Options'!R427, IF('Aqueous Species Table'!N427="", "", IF('Aqueous Species Options'!B427="H+", 0, 'Aqueous Species Options'!H427 - 'Aqueous Species Table'!O427*100000*(-0.000000309)*298.15 - 'Aqueous Species Table'!N427*10000/(298.15-228)^2 ) ) ) )</f>
        <v/>
      </c>
      <c r="N427" s="1" t="str">
        <f>IF(ISBLANK('Aqueous Species Options'!B427), "", IF('Aqueous Species Options'!L427=0, 'Aqueous Species Options'!S427, IF(OR(ISBLANK('Aqueous Species Options'!H427), 'Aqueous Species Table'!O427=""), "", IF('Aqueous Species Options'!B427="H+", 0, 0.2037*'Aqueous Species Options'!H427 - 3.0346) ) ) )</f>
        <v/>
      </c>
      <c r="O427" s="1" t="str">
        <f>IF(ISBLANK('Aqueous Species Options'!B427), "", IF('Aqueous Species Options'!K427=0, 'Aqueous Species Options'!I427, IF(OR('Aqueous Species Options'!J427&gt;4,'Aqueous Species Options'!J427&lt;-4), "", IF('Aqueous Species Options'!B427="H+", 0, IF('Aqueous Species Options'!J427=0, -0.038, IF(ISBLANK('Aqueous Species Options'!F427), "", -1514.4*'Aqueous Species Options'!F427*0.00001 + SUM(({4,3,2,1,-1,-2,-3,-4}='Aqueous Species Options'!J427)*{2.1764,1.5793,1.0579,0.5517,1.6291,3.2127,4.8115,6.486}) ) ) ) ) ) )</f>
        <v/>
      </c>
      <c r="P427" s="1" t="str">
        <f>IF(ISBLANK('Aqueous Species Options'!J427), "", 'Aqueous Species Options'!J427)</f>
        <v/>
      </c>
      <c r="Q427" s="184" t="str">
        <f>IF(ISBLANK('Aqueous Species Options'!T427), "", 'Aqueous Species Options'!T427)</f>
        <v/>
      </c>
    </row>
    <row r="428" spans="2:17" ht="16" x14ac:dyDescent="0.2">
      <c r="B428" t="str">
        <f>IF(ISBLANK('Aqueous Species Options'!B428), "", 'Aqueous Species Options'!B428)</f>
        <v/>
      </c>
      <c r="C428" s="1" t="str">
        <f>IF(ISBLANK('Aqueous Species Options'!C428), "", 'Aqueous Species Options'!C428)</f>
        <v/>
      </c>
      <c r="D428" s="1" t="str">
        <f>IF(ISBLANK('Aqueous Species Options'!D428), "", 'Aqueous Species Options'!D428)</f>
        <v/>
      </c>
      <c r="E428" s="1" t="str">
        <f>IF(ISBLANK('Aqueous Species Options'!E428), "", 'Aqueous Species Options'!E428)</f>
        <v/>
      </c>
      <c r="F428" s="139" t="str">
        <f>IF(ISBLANK('Aqueous Species Options'!F428), "", 'Aqueous Species Options'!F428)</f>
        <v/>
      </c>
      <c r="G428" s="29" t="str">
        <f>IF(ISBLANK('Aqueous Species Options'!B428), "", IF('Aqueous Species Options'!L428 = 1, IF(ISBLANK('Aqueous Species Options'!G428), "", 'Aqueous Species Options'!G428), ('Aqueous Species Table'!I428/10 + ('Aqueous Species Table'!J428*100)/(Calculations!$C$12+Calculations!$C$9) + ('Aqueous Species Table'!K428 + ('Aqueous Species Table'!L428*10000)/(Calculations!$C$12+Calculations!$C$9))*(1/(Calculations!$C$8-Calculations!$C$13)) - 'Aqueous Species Table'!O428*100000*0.0000005903)*41.8393))</f>
        <v/>
      </c>
      <c r="H428" s="29" t="str">
        <f>IF(ISBLANK('Aqueous Species Options'!B428), "", IF('Aqueous Species Options'!L428 = 1, IF(ISBLANK('Aqueous Species Options'!H428), "", 'Aqueous Species Options'!H428), 'Aqueous Species Table'!M428 + 'Aqueous Species Table'!N428*10000*(1/(Calculations!$C$8-Calculations!$C$13))^2 + 'Aqueous Species Table'!O428*100000*Calculations!$C$8*Calculations!$C$7))</f>
        <v/>
      </c>
      <c r="I428" s="1" t="str">
        <f>IF(ISBLANK('Aqueous Species Options'!B428), "", IF('Aqueous Species Options'!L428=0, 'Aqueous Species Options'!N428, IF(OR(ISBLANK('Aqueous Species Options'!G428),'Aqueous Species Table'!O428="", 'Aqueous Species Table'!P428=""), "", IF('Aqueous Species Options'!B428="H+", 0, (CHOOSE('Aqueous Species Options'!M428+1,'Aqueous Species Options'!$V$4*ABS('Aqueous Species Table'!P428)+'Aqueous Species Options'!$W$4,'Aqueous Species Options'!$Z$4)*('Aqueous Species Options'!G428 + 'Aqueous Species Table'!O428*100000*0.0000005903*41.8393) + CHOOSE('Aqueous Species Options'!M428+1,'Aqueous Species Options'!$X$4*ABS('Aqueous Species Table'!P428)+'Aqueous Species Options'!$Y$4,'Aqueous Species Options'!$AA$4))*10 ) ) ) )</f>
        <v/>
      </c>
      <c r="J428" s="1" t="str">
        <f>IF(ISBLANK('Aqueous Species Options'!B428), "", IF('Aqueous Species Options'!L428 = 0, 'Aqueous Species Options'!O428, IF('Aqueous Species Table'!I428="", "", IF('Aqueous Species Options'!B428="H+", 0, ((1.11*('Aqueous Species Options'!G428 + 'Aqueous Species Table'!O428*100000*0.0000005903*41.8393)+1.8)/41.8393 - 'Aqueous Species Table'!I428/10)*26.01 ) ) ) )</f>
        <v/>
      </c>
      <c r="K428" s="1" t="str">
        <f>IF(ISBLANK('Aqueous Species Options'!B428), "", IF('Aqueous Species Options'!L428 = 0, 'Aqueous Species Options'!P428, IF('Aqueous Species Table'!I428="", "", IF('Aqueous Species Options'!B428="H+", 0, ('Aqueous Species Options'!G428/41.8393 + 'Aqueous Species Table'!O428*100000*0.0000005903 - 'Aqueous Species Table'!I428/10 - 'Aqueous Species Table'!J428*100/2601)*(298.15-228) - ('Aqueous Species Table'!L428*10000/2601) ) ) ) )</f>
        <v/>
      </c>
      <c r="L428" s="1" t="str">
        <f>IF(ISBLANK('Aqueous Species Options'!B428), "", IF('Aqueous Species Options'!L428 = 0, 'Aqueous Species Options'!Q428, IF('Aqueous Species Table'!J428="", "", IF('Aqueous Species Options'!B428="H+", 0, (-4.134*'Aqueous Species Table'!J428*100 - 27790)*0.0001) ) ) )</f>
        <v/>
      </c>
      <c r="M428" s="1" t="str">
        <f>IF(ISBLANK('Aqueous Species Options'!B428), "", IF('Aqueous Species Options'!L428=0, 'Aqueous Species Options'!R428, IF('Aqueous Species Table'!N428="", "", IF('Aqueous Species Options'!B428="H+", 0, 'Aqueous Species Options'!H428 - 'Aqueous Species Table'!O428*100000*(-0.000000309)*298.15 - 'Aqueous Species Table'!N428*10000/(298.15-228)^2 ) ) ) )</f>
        <v/>
      </c>
      <c r="N428" s="1" t="str">
        <f>IF(ISBLANK('Aqueous Species Options'!B428), "", IF('Aqueous Species Options'!L428=0, 'Aqueous Species Options'!S428, IF(OR(ISBLANK('Aqueous Species Options'!H428), 'Aqueous Species Table'!O428=""), "", IF('Aqueous Species Options'!B428="H+", 0, 0.2037*'Aqueous Species Options'!H428 - 3.0346) ) ) )</f>
        <v/>
      </c>
      <c r="O428" s="1" t="str">
        <f>IF(ISBLANK('Aqueous Species Options'!B428), "", IF('Aqueous Species Options'!K428=0, 'Aqueous Species Options'!I428, IF(OR('Aqueous Species Options'!J428&gt;4,'Aqueous Species Options'!J428&lt;-4), "", IF('Aqueous Species Options'!B428="H+", 0, IF('Aqueous Species Options'!J428=0, -0.038, IF(ISBLANK('Aqueous Species Options'!F428), "", -1514.4*'Aqueous Species Options'!F428*0.00001 + SUM(({4,3,2,1,-1,-2,-3,-4}='Aqueous Species Options'!J428)*{2.1764,1.5793,1.0579,0.5517,1.6291,3.2127,4.8115,6.486}) ) ) ) ) ) )</f>
        <v/>
      </c>
      <c r="P428" s="1" t="str">
        <f>IF(ISBLANK('Aqueous Species Options'!J428), "", 'Aqueous Species Options'!J428)</f>
        <v/>
      </c>
      <c r="Q428" s="184" t="str">
        <f>IF(ISBLANK('Aqueous Species Options'!T428), "", 'Aqueous Species Options'!T428)</f>
        <v/>
      </c>
    </row>
    <row r="429" spans="2:17" ht="16" x14ac:dyDescent="0.2">
      <c r="B429" t="str">
        <f>IF(ISBLANK('Aqueous Species Options'!B429), "", 'Aqueous Species Options'!B429)</f>
        <v/>
      </c>
      <c r="C429" s="1" t="str">
        <f>IF(ISBLANK('Aqueous Species Options'!C429), "", 'Aqueous Species Options'!C429)</f>
        <v/>
      </c>
      <c r="D429" s="1" t="str">
        <f>IF(ISBLANK('Aqueous Species Options'!D429), "", 'Aqueous Species Options'!D429)</f>
        <v/>
      </c>
      <c r="E429" s="1" t="str">
        <f>IF(ISBLANK('Aqueous Species Options'!E429), "", 'Aqueous Species Options'!E429)</f>
        <v/>
      </c>
      <c r="F429" s="139" t="str">
        <f>IF(ISBLANK('Aqueous Species Options'!F429), "", 'Aqueous Species Options'!F429)</f>
        <v/>
      </c>
      <c r="G429" s="29" t="str">
        <f>IF(ISBLANK('Aqueous Species Options'!B429), "", IF('Aqueous Species Options'!L429 = 1, IF(ISBLANK('Aqueous Species Options'!G429), "", 'Aqueous Species Options'!G429), ('Aqueous Species Table'!I429/10 + ('Aqueous Species Table'!J429*100)/(Calculations!$C$12+Calculations!$C$9) + ('Aqueous Species Table'!K429 + ('Aqueous Species Table'!L429*10000)/(Calculations!$C$12+Calculations!$C$9))*(1/(Calculations!$C$8-Calculations!$C$13)) - 'Aqueous Species Table'!O429*100000*0.0000005903)*41.8393))</f>
        <v/>
      </c>
      <c r="H429" s="29" t="str">
        <f>IF(ISBLANK('Aqueous Species Options'!B429), "", IF('Aqueous Species Options'!L429 = 1, IF(ISBLANK('Aqueous Species Options'!H429), "", 'Aqueous Species Options'!H429), 'Aqueous Species Table'!M429 + 'Aqueous Species Table'!N429*10000*(1/(Calculations!$C$8-Calculations!$C$13))^2 + 'Aqueous Species Table'!O429*100000*Calculations!$C$8*Calculations!$C$7))</f>
        <v/>
      </c>
      <c r="I429" s="1" t="str">
        <f>IF(ISBLANK('Aqueous Species Options'!B429), "", IF('Aqueous Species Options'!L429=0, 'Aqueous Species Options'!N429, IF(OR(ISBLANK('Aqueous Species Options'!G429),'Aqueous Species Table'!O429="", 'Aqueous Species Table'!P429=""), "", IF('Aqueous Species Options'!B429="H+", 0, (CHOOSE('Aqueous Species Options'!M429+1,'Aqueous Species Options'!$V$4*ABS('Aqueous Species Table'!P429)+'Aqueous Species Options'!$W$4,'Aqueous Species Options'!$Z$4)*('Aqueous Species Options'!G429 + 'Aqueous Species Table'!O429*100000*0.0000005903*41.8393) + CHOOSE('Aqueous Species Options'!M429+1,'Aqueous Species Options'!$X$4*ABS('Aqueous Species Table'!P429)+'Aqueous Species Options'!$Y$4,'Aqueous Species Options'!$AA$4))*10 ) ) ) )</f>
        <v/>
      </c>
      <c r="J429" s="1" t="str">
        <f>IF(ISBLANK('Aqueous Species Options'!B429), "", IF('Aqueous Species Options'!L429 = 0, 'Aqueous Species Options'!O429, IF('Aqueous Species Table'!I429="", "", IF('Aqueous Species Options'!B429="H+", 0, ((1.11*('Aqueous Species Options'!G429 + 'Aqueous Species Table'!O429*100000*0.0000005903*41.8393)+1.8)/41.8393 - 'Aqueous Species Table'!I429/10)*26.01 ) ) ) )</f>
        <v/>
      </c>
      <c r="K429" s="1" t="str">
        <f>IF(ISBLANK('Aqueous Species Options'!B429), "", IF('Aqueous Species Options'!L429 = 0, 'Aqueous Species Options'!P429, IF('Aqueous Species Table'!I429="", "", IF('Aqueous Species Options'!B429="H+", 0, ('Aqueous Species Options'!G429/41.8393 + 'Aqueous Species Table'!O429*100000*0.0000005903 - 'Aqueous Species Table'!I429/10 - 'Aqueous Species Table'!J429*100/2601)*(298.15-228) - ('Aqueous Species Table'!L429*10000/2601) ) ) ) )</f>
        <v/>
      </c>
      <c r="L429" s="1" t="str">
        <f>IF(ISBLANK('Aqueous Species Options'!B429), "", IF('Aqueous Species Options'!L429 = 0, 'Aqueous Species Options'!Q429, IF('Aqueous Species Table'!J429="", "", IF('Aqueous Species Options'!B429="H+", 0, (-4.134*'Aqueous Species Table'!J429*100 - 27790)*0.0001) ) ) )</f>
        <v/>
      </c>
      <c r="M429" s="1" t="str">
        <f>IF(ISBLANK('Aqueous Species Options'!B429), "", IF('Aqueous Species Options'!L429=0, 'Aqueous Species Options'!R429, IF('Aqueous Species Table'!N429="", "", IF('Aqueous Species Options'!B429="H+", 0, 'Aqueous Species Options'!H429 - 'Aqueous Species Table'!O429*100000*(-0.000000309)*298.15 - 'Aqueous Species Table'!N429*10000/(298.15-228)^2 ) ) ) )</f>
        <v/>
      </c>
      <c r="N429" s="1" t="str">
        <f>IF(ISBLANK('Aqueous Species Options'!B429), "", IF('Aqueous Species Options'!L429=0, 'Aqueous Species Options'!S429, IF(OR(ISBLANK('Aqueous Species Options'!H429), 'Aqueous Species Table'!O429=""), "", IF('Aqueous Species Options'!B429="H+", 0, 0.2037*'Aqueous Species Options'!H429 - 3.0346) ) ) )</f>
        <v/>
      </c>
      <c r="O429" s="1" t="str">
        <f>IF(ISBLANK('Aqueous Species Options'!B429), "", IF('Aqueous Species Options'!K429=0, 'Aqueous Species Options'!I429, IF(OR('Aqueous Species Options'!J429&gt;4,'Aqueous Species Options'!J429&lt;-4), "", IF('Aqueous Species Options'!B429="H+", 0, IF('Aqueous Species Options'!J429=0, -0.038, IF(ISBLANK('Aqueous Species Options'!F429), "", -1514.4*'Aqueous Species Options'!F429*0.00001 + SUM(({4,3,2,1,-1,-2,-3,-4}='Aqueous Species Options'!J429)*{2.1764,1.5793,1.0579,0.5517,1.6291,3.2127,4.8115,6.486}) ) ) ) ) ) )</f>
        <v/>
      </c>
      <c r="P429" s="1" t="str">
        <f>IF(ISBLANK('Aqueous Species Options'!J429), "", 'Aqueous Species Options'!J429)</f>
        <v/>
      </c>
      <c r="Q429" s="184" t="str">
        <f>IF(ISBLANK('Aqueous Species Options'!T429), "", 'Aqueous Species Options'!T429)</f>
        <v/>
      </c>
    </row>
    <row r="430" spans="2:17" ht="16" x14ac:dyDescent="0.2">
      <c r="B430" t="str">
        <f>IF(ISBLANK('Aqueous Species Options'!B430), "", 'Aqueous Species Options'!B430)</f>
        <v/>
      </c>
      <c r="C430" s="1" t="str">
        <f>IF(ISBLANK('Aqueous Species Options'!C430), "", 'Aqueous Species Options'!C430)</f>
        <v/>
      </c>
      <c r="D430" s="1" t="str">
        <f>IF(ISBLANK('Aqueous Species Options'!D430), "", 'Aqueous Species Options'!D430)</f>
        <v/>
      </c>
      <c r="E430" s="1" t="str">
        <f>IF(ISBLANK('Aqueous Species Options'!E430), "", 'Aqueous Species Options'!E430)</f>
        <v/>
      </c>
      <c r="F430" s="139" t="str">
        <f>IF(ISBLANK('Aqueous Species Options'!F430), "", 'Aqueous Species Options'!F430)</f>
        <v/>
      </c>
      <c r="G430" s="29" t="str">
        <f>IF(ISBLANK('Aqueous Species Options'!B430), "", IF('Aqueous Species Options'!L430 = 1, IF(ISBLANK('Aqueous Species Options'!G430), "", 'Aqueous Species Options'!G430), ('Aqueous Species Table'!I430/10 + ('Aqueous Species Table'!J430*100)/(Calculations!$C$12+Calculations!$C$9) + ('Aqueous Species Table'!K430 + ('Aqueous Species Table'!L430*10000)/(Calculations!$C$12+Calculations!$C$9))*(1/(Calculations!$C$8-Calculations!$C$13)) - 'Aqueous Species Table'!O430*100000*0.0000005903)*41.8393))</f>
        <v/>
      </c>
      <c r="H430" s="29" t="str">
        <f>IF(ISBLANK('Aqueous Species Options'!B430), "", IF('Aqueous Species Options'!L430 = 1, IF(ISBLANK('Aqueous Species Options'!H430), "", 'Aqueous Species Options'!H430), 'Aqueous Species Table'!M430 + 'Aqueous Species Table'!N430*10000*(1/(Calculations!$C$8-Calculations!$C$13))^2 + 'Aqueous Species Table'!O430*100000*Calculations!$C$8*Calculations!$C$7))</f>
        <v/>
      </c>
      <c r="I430" s="1" t="str">
        <f>IF(ISBLANK('Aqueous Species Options'!B430), "", IF('Aqueous Species Options'!L430=0, 'Aqueous Species Options'!N430, IF(OR(ISBLANK('Aqueous Species Options'!G430),'Aqueous Species Table'!O430="", 'Aqueous Species Table'!P430=""), "", IF('Aqueous Species Options'!B430="H+", 0, (CHOOSE('Aqueous Species Options'!M430+1,'Aqueous Species Options'!$V$4*ABS('Aqueous Species Table'!P430)+'Aqueous Species Options'!$W$4,'Aqueous Species Options'!$Z$4)*('Aqueous Species Options'!G430 + 'Aqueous Species Table'!O430*100000*0.0000005903*41.8393) + CHOOSE('Aqueous Species Options'!M430+1,'Aqueous Species Options'!$X$4*ABS('Aqueous Species Table'!P430)+'Aqueous Species Options'!$Y$4,'Aqueous Species Options'!$AA$4))*10 ) ) ) )</f>
        <v/>
      </c>
      <c r="J430" s="1" t="str">
        <f>IF(ISBLANK('Aqueous Species Options'!B430), "", IF('Aqueous Species Options'!L430 = 0, 'Aqueous Species Options'!O430, IF('Aqueous Species Table'!I430="", "", IF('Aqueous Species Options'!B430="H+", 0, ((1.11*('Aqueous Species Options'!G430 + 'Aqueous Species Table'!O430*100000*0.0000005903*41.8393)+1.8)/41.8393 - 'Aqueous Species Table'!I430/10)*26.01 ) ) ) )</f>
        <v/>
      </c>
      <c r="K430" s="1" t="str">
        <f>IF(ISBLANK('Aqueous Species Options'!B430), "", IF('Aqueous Species Options'!L430 = 0, 'Aqueous Species Options'!P430, IF('Aqueous Species Table'!I430="", "", IF('Aqueous Species Options'!B430="H+", 0, ('Aqueous Species Options'!G430/41.8393 + 'Aqueous Species Table'!O430*100000*0.0000005903 - 'Aqueous Species Table'!I430/10 - 'Aqueous Species Table'!J430*100/2601)*(298.15-228) - ('Aqueous Species Table'!L430*10000/2601) ) ) ) )</f>
        <v/>
      </c>
      <c r="L430" s="1" t="str">
        <f>IF(ISBLANK('Aqueous Species Options'!B430), "", IF('Aqueous Species Options'!L430 = 0, 'Aqueous Species Options'!Q430, IF('Aqueous Species Table'!J430="", "", IF('Aqueous Species Options'!B430="H+", 0, (-4.134*'Aqueous Species Table'!J430*100 - 27790)*0.0001) ) ) )</f>
        <v/>
      </c>
      <c r="M430" s="1" t="str">
        <f>IF(ISBLANK('Aqueous Species Options'!B430), "", IF('Aqueous Species Options'!L430=0, 'Aqueous Species Options'!R430, IF('Aqueous Species Table'!N430="", "", IF('Aqueous Species Options'!B430="H+", 0, 'Aqueous Species Options'!H430 - 'Aqueous Species Table'!O430*100000*(-0.000000309)*298.15 - 'Aqueous Species Table'!N430*10000/(298.15-228)^2 ) ) ) )</f>
        <v/>
      </c>
      <c r="N430" s="1" t="str">
        <f>IF(ISBLANK('Aqueous Species Options'!B430), "", IF('Aqueous Species Options'!L430=0, 'Aqueous Species Options'!S430, IF(OR(ISBLANK('Aqueous Species Options'!H430), 'Aqueous Species Table'!O430=""), "", IF('Aqueous Species Options'!B430="H+", 0, 0.2037*'Aqueous Species Options'!H430 - 3.0346) ) ) )</f>
        <v/>
      </c>
      <c r="O430" s="1" t="str">
        <f>IF(ISBLANK('Aqueous Species Options'!B430), "", IF('Aqueous Species Options'!K430=0, 'Aqueous Species Options'!I430, IF(OR('Aqueous Species Options'!J430&gt;4,'Aqueous Species Options'!J430&lt;-4), "", IF('Aqueous Species Options'!B430="H+", 0, IF('Aqueous Species Options'!J430=0, -0.038, IF(ISBLANK('Aqueous Species Options'!F430), "", -1514.4*'Aqueous Species Options'!F430*0.00001 + SUM(({4,3,2,1,-1,-2,-3,-4}='Aqueous Species Options'!J430)*{2.1764,1.5793,1.0579,0.5517,1.6291,3.2127,4.8115,6.486}) ) ) ) ) ) )</f>
        <v/>
      </c>
      <c r="P430" s="1" t="str">
        <f>IF(ISBLANK('Aqueous Species Options'!J430), "", 'Aqueous Species Options'!J430)</f>
        <v/>
      </c>
      <c r="Q430" s="184" t="str">
        <f>IF(ISBLANK('Aqueous Species Options'!T430), "", 'Aqueous Species Options'!T430)</f>
        <v/>
      </c>
    </row>
    <row r="431" spans="2:17" ht="16" x14ac:dyDescent="0.2">
      <c r="B431" t="str">
        <f>IF(ISBLANK('Aqueous Species Options'!B431), "", 'Aqueous Species Options'!B431)</f>
        <v/>
      </c>
      <c r="C431" s="1" t="str">
        <f>IF(ISBLANK('Aqueous Species Options'!C431), "", 'Aqueous Species Options'!C431)</f>
        <v/>
      </c>
      <c r="D431" s="1" t="str">
        <f>IF(ISBLANK('Aqueous Species Options'!D431), "", 'Aqueous Species Options'!D431)</f>
        <v/>
      </c>
      <c r="E431" s="1" t="str">
        <f>IF(ISBLANK('Aqueous Species Options'!E431), "", 'Aqueous Species Options'!E431)</f>
        <v/>
      </c>
      <c r="F431" s="139" t="str">
        <f>IF(ISBLANK('Aqueous Species Options'!F431), "", 'Aqueous Species Options'!F431)</f>
        <v/>
      </c>
      <c r="G431" s="29" t="str">
        <f>IF(ISBLANK('Aqueous Species Options'!B431), "", IF('Aqueous Species Options'!L431 = 1, IF(ISBLANK('Aqueous Species Options'!G431), "", 'Aqueous Species Options'!G431), ('Aqueous Species Table'!I431/10 + ('Aqueous Species Table'!J431*100)/(Calculations!$C$12+Calculations!$C$9) + ('Aqueous Species Table'!K431 + ('Aqueous Species Table'!L431*10000)/(Calculations!$C$12+Calculations!$C$9))*(1/(Calculations!$C$8-Calculations!$C$13)) - 'Aqueous Species Table'!O431*100000*0.0000005903)*41.8393))</f>
        <v/>
      </c>
      <c r="H431" s="29" t="str">
        <f>IF(ISBLANK('Aqueous Species Options'!B431), "", IF('Aqueous Species Options'!L431 = 1, IF(ISBLANK('Aqueous Species Options'!H431), "", 'Aqueous Species Options'!H431), 'Aqueous Species Table'!M431 + 'Aqueous Species Table'!N431*10000*(1/(Calculations!$C$8-Calculations!$C$13))^2 + 'Aqueous Species Table'!O431*100000*Calculations!$C$8*Calculations!$C$7))</f>
        <v/>
      </c>
      <c r="I431" s="1" t="str">
        <f>IF(ISBLANK('Aqueous Species Options'!B431), "", IF('Aqueous Species Options'!L431=0, 'Aqueous Species Options'!N431, IF(OR(ISBLANK('Aqueous Species Options'!G431),'Aqueous Species Table'!O431="", 'Aqueous Species Table'!P431=""), "", IF('Aqueous Species Options'!B431="H+", 0, (CHOOSE('Aqueous Species Options'!M431+1,'Aqueous Species Options'!$V$4*ABS('Aqueous Species Table'!P431)+'Aqueous Species Options'!$W$4,'Aqueous Species Options'!$Z$4)*('Aqueous Species Options'!G431 + 'Aqueous Species Table'!O431*100000*0.0000005903*41.8393) + CHOOSE('Aqueous Species Options'!M431+1,'Aqueous Species Options'!$X$4*ABS('Aqueous Species Table'!P431)+'Aqueous Species Options'!$Y$4,'Aqueous Species Options'!$AA$4))*10 ) ) ) )</f>
        <v/>
      </c>
      <c r="J431" s="1" t="str">
        <f>IF(ISBLANK('Aqueous Species Options'!B431), "", IF('Aqueous Species Options'!L431 = 0, 'Aqueous Species Options'!O431, IF('Aqueous Species Table'!I431="", "", IF('Aqueous Species Options'!B431="H+", 0, ((1.11*('Aqueous Species Options'!G431 + 'Aqueous Species Table'!O431*100000*0.0000005903*41.8393)+1.8)/41.8393 - 'Aqueous Species Table'!I431/10)*26.01 ) ) ) )</f>
        <v/>
      </c>
      <c r="K431" s="1" t="str">
        <f>IF(ISBLANK('Aqueous Species Options'!B431), "", IF('Aqueous Species Options'!L431 = 0, 'Aqueous Species Options'!P431, IF('Aqueous Species Table'!I431="", "", IF('Aqueous Species Options'!B431="H+", 0, ('Aqueous Species Options'!G431/41.8393 + 'Aqueous Species Table'!O431*100000*0.0000005903 - 'Aqueous Species Table'!I431/10 - 'Aqueous Species Table'!J431*100/2601)*(298.15-228) - ('Aqueous Species Table'!L431*10000/2601) ) ) ) )</f>
        <v/>
      </c>
      <c r="L431" s="1" t="str">
        <f>IF(ISBLANK('Aqueous Species Options'!B431), "", IF('Aqueous Species Options'!L431 = 0, 'Aqueous Species Options'!Q431, IF('Aqueous Species Table'!J431="", "", IF('Aqueous Species Options'!B431="H+", 0, (-4.134*'Aqueous Species Table'!J431*100 - 27790)*0.0001) ) ) )</f>
        <v/>
      </c>
      <c r="M431" s="1" t="str">
        <f>IF(ISBLANK('Aqueous Species Options'!B431), "", IF('Aqueous Species Options'!L431=0, 'Aqueous Species Options'!R431, IF('Aqueous Species Table'!N431="", "", IF('Aqueous Species Options'!B431="H+", 0, 'Aqueous Species Options'!H431 - 'Aqueous Species Table'!O431*100000*(-0.000000309)*298.15 - 'Aqueous Species Table'!N431*10000/(298.15-228)^2 ) ) ) )</f>
        <v/>
      </c>
      <c r="N431" s="1" t="str">
        <f>IF(ISBLANK('Aqueous Species Options'!B431), "", IF('Aqueous Species Options'!L431=0, 'Aqueous Species Options'!S431, IF(OR(ISBLANK('Aqueous Species Options'!H431), 'Aqueous Species Table'!O431=""), "", IF('Aqueous Species Options'!B431="H+", 0, 0.2037*'Aqueous Species Options'!H431 - 3.0346) ) ) )</f>
        <v/>
      </c>
      <c r="O431" s="1" t="str">
        <f>IF(ISBLANK('Aqueous Species Options'!B431), "", IF('Aqueous Species Options'!K431=0, 'Aqueous Species Options'!I431, IF(OR('Aqueous Species Options'!J431&gt;4,'Aqueous Species Options'!J431&lt;-4), "", IF('Aqueous Species Options'!B431="H+", 0, IF('Aqueous Species Options'!J431=0, -0.038, IF(ISBLANK('Aqueous Species Options'!F431), "", -1514.4*'Aqueous Species Options'!F431*0.00001 + SUM(({4,3,2,1,-1,-2,-3,-4}='Aqueous Species Options'!J431)*{2.1764,1.5793,1.0579,0.5517,1.6291,3.2127,4.8115,6.486}) ) ) ) ) ) )</f>
        <v/>
      </c>
      <c r="P431" s="1" t="str">
        <f>IF(ISBLANK('Aqueous Species Options'!J431), "", 'Aqueous Species Options'!J431)</f>
        <v/>
      </c>
      <c r="Q431" s="184" t="str">
        <f>IF(ISBLANK('Aqueous Species Options'!T431), "", 'Aqueous Species Options'!T431)</f>
        <v/>
      </c>
    </row>
    <row r="432" spans="2:17" ht="16" x14ac:dyDescent="0.2">
      <c r="B432" t="str">
        <f>IF(ISBLANK('Aqueous Species Options'!B432), "", 'Aqueous Species Options'!B432)</f>
        <v/>
      </c>
      <c r="C432" s="1" t="str">
        <f>IF(ISBLANK('Aqueous Species Options'!C432), "", 'Aqueous Species Options'!C432)</f>
        <v/>
      </c>
      <c r="D432" s="1" t="str">
        <f>IF(ISBLANK('Aqueous Species Options'!D432), "", 'Aqueous Species Options'!D432)</f>
        <v/>
      </c>
      <c r="E432" s="1" t="str">
        <f>IF(ISBLANK('Aqueous Species Options'!E432), "", 'Aqueous Species Options'!E432)</f>
        <v/>
      </c>
      <c r="F432" s="139" t="str">
        <f>IF(ISBLANK('Aqueous Species Options'!F432), "", 'Aqueous Species Options'!F432)</f>
        <v/>
      </c>
      <c r="G432" s="29" t="str">
        <f>IF(ISBLANK('Aqueous Species Options'!B432), "", IF('Aqueous Species Options'!L432 = 1, IF(ISBLANK('Aqueous Species Options'!G432), "", 'Aqueous Species Options'!G432), ('Aqueous Species Table'!I432/10 + ('Aqueous Species Table'!J432*100)/(Calculations!$C$12+Calculations!$C$9) + ('Aqueous Species Table'!K432 + ('Aqueous Species Table'!L432*10000)/(Calculations!$C$12+Calculations!$C$9))*(1/(Calculations!$C$8-Calculations!$C$13)) - 'Aqueous Species Table'!O432*100000*0.0000005903)*41.8393))</f>
        <v/>
      </c>
      <c r="H432" s="29" t="str">
        <f>IF(ISBLANK('Aqueous Species Options'!B432), "", IF('Aqueous Species Options'!L432 = 1, IF(ISBLANK('Aqueous Species Options'!H432), "", 'Aqueous Species Options'!H432), 'Aqueous Species Table'!M432 + 'Aqueous Species Table'!N432*10000*(1/(Calculations!$C$8-Calculations!$C$13))^2 + 'Aqueous Species Table'!O432*100000*Calculations!$C$8*Calculations!$C$7))</f>
        <v/>
      </c>
      <c r="I432" s="1" t="str">
        <f>IF(ISBLANK('Aqueous Species Options'!B432), "", IF('Aqueous Species Options'!L432=0, 'Aqueous Species Options'!N432, IF(OR(ISBLANK('Aqueous Species Options'!G432),'Aqueous Species Table'!O432="", 'Aqueous Species Table'!P432=""), "", IF('Aqueous Species Options'!B432="H+", 0, (CHOOSE('Aqueous Species Options'!M432+1,'Aqueous Species Options'!$V$4*ABS('Aqueous Species Table'!P432)+'Aqueous Species Options'!$W$4,'Aqueous Species Options'!$Z$4)*('Aqueous Species Options'!G432 + 'Aqueous Species Table'!O432*100000*0.0000005903*41.8393) + CHOOSE('Aqueous Species Options'!M432+1,'Aqueous Species Options'!$X$4*ABS('Aqueous Species Table'!P432)+'Aqueous Species Options'!$Y$4,'Aqueous Species Options'!$AA$4))*10 ) ) ) )</f>
        <v/>
      </c>
      <c r="J432" s="1" t="str">
        <f>IF(ISBLANK('Aqueous Species Options'!B432), "", IF('Aqueous Species Options'!L432 = 0, 'Aqueous Species Options'!O432, IF('Aqueous Species Table'!I432="", "", IF('Aqueous Species Options'!B432="H+", 0, ((1.11*('Aqueous Species Options'!G432 + 'Aqueous Species Table'!O432*100000*0.0000005903*41.8393)+1.8)/41.8393 - 'Aqueous Species Table'!I432/10)*26.01 ) ) ) )</f>
        <v/>
      </c>
      <c r="K432" s="1" t="str">
        <f>IF(ISBLANK('Aqueous Species Options'!B432), "", IF('Aqueous Species Options'!L432 = 0, 'Aqueous Species Options'!P432, IF('Aqueous Species Table'!I432="", "", IF('Aqueous Species Options'!B432="H+", 0, ('Aqueous Species Options'!G432/41.8393 + 'Aqueous Species Table'!O432*100000*0.0000005903 - 'Aqueous Species Table'!I432/10 - 'Aqueous Species Table'!J432*100/2601)*(298.15-228) - ('Aqueous Species Table'!L432*10000/2601) ) ) ) )</f>
        <v/>
      </c>
      <c r="L432" s="1" t="str">
        <f>IF(ISBLANK('Aqueous Species Options'!B432), "", IF('Aqueous Species Options'!L432 = 0, 'Aqueous Species Options'!Q432, IF('Aqueous Species Table'!J432="", "", IF('Aqueous Species Options'!B432="H+", 0, (-4.134*'Aqueous Species Table'!J432*100 - 27790)*0.0001) ) ) )</f>
        <v/>
      </c>
      <c r="M432" s="1" t="str">
        <f>IF(ISBLANK('Aqueous Species Options'!B432), "", IF('Aqueous Species Options'!L432=0, 'Aqueous Species Options'!R432, IF('Aqueous Species Table'!N432="", "", IF('Aqueous Species Options'!B432="H+", 0, 'Aqueous Species Options'!H432 - 'Aqueous Species Table'!O432*100000*(-0.000000309)*298.15 - 'Aqueous Species Table'!N432*10000/(298.15-228)^2 ) ) ) )</f>
        <v/>
      </c>
      <c r="N432" s="1" t="str">
        <f>IF(ISBLANK('Aqueous Species Options'!B432), "", IF('Aqueous Species Options'!L432=0, 'Aqueous Species Options'!S432, IF(OR(ISBLANK('Aqueous Species Options'!H432), 'Aqueous Species Table'!O432=""), "", IF('Aqueous Species Options'!B432="H+", 0, 0.2037*'Aqueous Species Options'!H432 - 3.0346) ) ) )</f>
        <v/>
      </c>
      <c r="O432" s="1" t="str">
        <f>IF(ISBLANK('Aqueous Species Options'!B432), "", IF('Aqueous Species Options'!K432=0, 'Aqueous Species Options'!I432, IF(OR('Aqueous Species Options'!J432&gt;4,'Aqueous Species Options'!J432&lt;-4), "", IF('Aqueous Species Options'!B432="H+", 0, IF('Aqueous Species Options'!J432=0, -0.038, IF(ISBLANK('Aqueous Species Options'!F432), "", -1514.4*'Aqueous Species Options'!F432*0.00001 + SUM(({4,3,2,1,-1,-2,-3,-4}='Aqueous Species Options'!J432)*{2.1764,1.5793,1.0579,0.5517,1.6291,3.2127,4.8115,6.486}) ) ) ) ) ) )</f>
        <v/>
      </c>
      <c r="P432" s="1" t="str">
        <f>IF(ISBLANK('Aqueous Species Options'!J432), "", 'Aqueous Species Options'!J432)</f>
        <v/>
      </c>
      <c r="Q432" s="184" t="str">
        <f>IF(ISBLANK('Aqueous Species Options'!T432), "", 'Aqueous Species Options'!T432)</f>
        <v/>
      </c>
    </row>
    <row r="433" spans="2:17" ht="16" x14ac:dyDescent="0.2">
      <c r="B433" t="str">
        <f>IF(ISBLANK('Aqueous Species Options'!B433), "", 'Aqueous Species Options'!B433)</f>
        <v/>
      </c>
      <c r="C433" s="1" t="str">
        <f>IF(ISBLANK('Aqueous Species Options'!C433), "", 'Aqueous Species Options'!C433)</f>
        <v/>
      </c>
      <c r="D433" s="1" t="str">
        <f>IF(ISBLANK('Aqueous Species Options'!D433), "", 'Aqueous Species Options'!D433)</f>
        <v/>
      </c>
      <c r="E433" s="1" t="str">
        <f>IF(ISBLANK('Aqueous Species Options'!E433), "", 'Aqueous Species Options'!E433)</f>
        <v/>
      </c>
      <c r="F433" s="139" t="str">
        <f>IF(ISBLANK('Aqueous Species Options'!F433), "", 'Aqueous Species Options'!F433)</f>
        <v/>
      </c>
      <c r="G433" s="29" t="str">
        <f>IF(ISBLANK('Aqueous Species Options'!B433), "", IF('Aqueous Species Options'!L433 = 1, IF(ISBLANK('Aqueous Species Options'!G433), "", 'Aqueous Species Options'!G433), ('Aqueous Species Table'!I433/10 + ('Aqueous Species Table'!J433*100)/(Calculations!$C$12+Calculations!$C$9) + ('Aqueous Species Table'!K433 + ('Aqueous Species Table'!L433*10000)/(Calculations!$C$12+Calculations!$C$9))*(1/(Calculations!$C$8-Calculations!$C$13)) - 'Aqueous Species Table'!O433*100000*0.0000005903)*41.8393))</f>
        <v/>
      </c>
      <c r="H433" s="29" t="str">
        <f>IF(ISBLANK('Aqueous Species Options'!B433), "", IF('Aqueous Species Options'!L433 = 1, IF(ISBLANK('Aqueous Species Options'!H433), "", 'Aqueous Species Options'!H433), 'Aqueous Species Table'!M433 + 'Aqueous Species Table'!N433*10000*(1/(Calculations!$C$8-Calculations!$C$13))^2 + 'Aqueous Species Table'!O433*100000*Calculations!$C$8*Calculations!$C$7))</f>
        <v/>
      </c>
      <c r="I433" s="1" t="str">
        <f>IF(ISBLANK('Aqueous Species Options'!B433), "", IF('Aqueous Species Options'!L433=0, 'Aqueous Species Options'!N433, IF(OR(ISBLANK('Aqueous Species Options'!G433),'Aqueous Species Table'!O433="", 'Aqueous Species Table'!P433=""), "", IF('Aqueous Species Options'!B433="H+", 0, (CHOOSE('Aqueous Species Options'!M433+1,'Aqueous Species Options'!$V$4*ABS('Aqueous Species Table'!P433)+'Aqueous Species Options'!$W$4,'Aqueous Species Options'!$Z$4)*('Aqueous Species Options'!G433 + 'Aqueous Species Table'!O433*100000*0.0000005903*41.8393) + CHOOSE('Aqueous Species Options'!M433+1,'Aqueous Species Options'!$X$4*ABS('Aqueous Species Table'!P433)+'Aqueous Species Options'!$Y$4,'Aqueous Species Options'!$AA$4))*10 ) ) ) )</f>
        <v/>
      </c>
      <c r="J433" s="1" t="str">
        <f>IF(ISBLANK('Aqueous Species Options'!B433), "", IF('Aqueous Species Options'!L433 = 0, 'Aqueous Species Options'!O433, IF('Aqueous Species Table'!I433="", "", IF('Aqueous Species Options'!B433="H+", 0, ((1.11*('Aqueous Species Options'!G433 + 'Aqueous Species Table'!O433*100000*0.0000005903*41.8393)+1.8)/41.8393 - 'Aqueous Species Table'!I433/10)*26.01 ) ) ) )</f>
        <v/>
      </c>
      <c r="K433" s="1" t="str">
        <f>IF(ISBLANK('Aqueous Species Options'!B433), "", IF('Aqueous Species Options'!L433 = 0, 'Aqueous Species Options'!P433, IF('Aqueous Species Table'!I433="", "", IF('Aqueous Species Options'!B433="H+", 0, ('Aqueous Species Options'!G433/41.8393 + 'Aqueous Species Table'!O433*100000*0.0000005903 - 'Aqueous Species Table'!I433/10 - 'Aqueous Species Table'!J433*100/2601)*(298.15-228) - ('Aqueous Species Table'!L433*10000/2601) ) ) ) )</f>
        <v/>
      </c>
      <c r="L433" s="1" t="str">
        <f>IF(ISBLANK('Aqueous Species Options'!B433), "", IF('Aqueous Species Options'!L433 = 0, 'Aqueous Species Options'!Q433, IF('Aqueous Species Table'!J433="", "", IF('Aqueous Species Options'!B433="H+", 0, (-4.134*'Aqueous Species Table'!J433*100 - 27790)*0.0001) ) ) )</f>
        <v/>
      </c>
      <c r="M433" s="1" t="str">
        <f>IF(ISBLANK('Aqueous Species Options'!B433), "", IF('Aqueous Species Options'!L433=0, 'Aqueous Species Options'!R433, IF('Aqueous Species Table'!N433="", "", IF('Aqueous Species Options'!B433="H+", 0, 'Aqueous Species Options'!H433 - 'Aqueous Species Table'!O433*100000*(-0.000000309)*298.15 - 'Aqueous Species Table'!N433*10000/(298.15-228)^2 ) ) ) )</f>
        <v/>
      </c>
      <c r="N433" s="1" t="str">
        <f>IF(ISBLANK('Aqueous Species Options'!B433), "", IF('Aqueous Species Options'!L433=0, 'Aqueous Species Options'!S433, IF(OR(ISBLANK('Aqueous Species Options'!H433), 'Aqueous Species Table'!O433=""), "", IF('Aqueous Species Options'!B433="H+", 0, 0.2037*'Aqueous Species Options'!H433 - 3.0346) ) ) )</f>
        <v/>
      </c>
      <c r="O433" s="1" t="str">
        <f>IF(ISBLANK('Aqueous Species Options'!B433), "", IF('Aqueous Species Options'!K433=0, 'Aqueous Species Options'!I433, IF(OR('Aqueous Species Options'!J433&gt;4,'Aqueous Species Options'!J433&lt;-4), "", IF('Aqueous Species Options'!B433="H+", 0, IF('Aqueous Species Options'!J433=0, -0.038, IF(ISBLANK('Aqueous Species Options'!F433), "", -1514.4*'Aqueous Species Options'!F433*0.00001 + SUM(({4,3,2,1,-1,-2,-3,-4}='Aqueous Species Options'!J433)*{2.1764,1.5793,1.0579,0.5517,1.6291,3.2127,4.8115,6.486}) ) ) ) ) ) )</f>
        <v/>
      </c>
      <c r="P433" s="1" t="str">
        <f>IF(ISBLANK('Aqueous Species Options'!J433), "", 'Aqueous Species Options'!J433)</f>
        <v/>
      </c>
      <c r="Q433" s="184" t="str">
        <f>IF(ISBLANK('Aqueous Species Options'!T433), "", 'Aqueous Species Options'!T433)</f>
        <v/>
      </c>
    </row>
    <row r="434" spans="2:17" ht="16" x14ac:dyDescent="0.2">
      <c r="B434" t="str">
        <f>IF(ISBLANK('Aqueous Species Options'!B434), "", 'Aqueous Species Options'!B434)</f>
        <v/>
      </c>
      <c r="C434" s="1" t="str">
        <f>IF(ISBLANK('Aqueous Species Options'!C434), "", 'Aqueous Species Options'!C434)</f>
        <v/>
      </c>
      <c r="D434" s="1" t="str">
        <f>IF(ISBLANK('Aqueous Species Options'!D434), "", 'Aqueous Species Options'!D434)</f>
        <v/>
      </c>
      <c r="E434" s="1" t="str">
        <f>IF(ISBLANK('Aqueous Species Options'!E434), "", 'Aqueous Species Options'!E434)</f>
        <v/>
      </c>
      <c r="F434" s="139" t="str">
        <f>IF(ISBLANK('Aqueous Species Options'!F434), "", 'Aqueous Species Options'!F434)</f>
        <v/>
      </c>
      <c r="G434" s="29" t="str">
        <f>IF(ISBLANK('Aqueous Species Options'!B434), "", IF('Aqueous Species Options'!L434 = 1, IF(ISBLANK('Aqueous Species Options'!G434), "", 'Aqueous Species Options'!G434), ('Aqueous Species Table'!I434/10 + ('Aqueous Species Table'!J434*100)/(Calculations!$C$12+Calculations!$C$9) + ('Aqueous Species Table'!K434 + ('Aqueous Species Table'!L434*10000)/(Calculations!$C$12+Calculations!$C$9))*(1/(Calculations!$C$8-Calculations!$C$13)) - 'Aqueous Species Table'!O434*100000*0.0000005903)*41.8393))</f>
        <v/>
      </c>
      <c r="H434" s="29" t="str">
        <f>IF(ISBLANK('Aqueous Species Options'!B434), "", IF('Aqueous Species Options'!L434 = 1, IF(ISBLANK('Aqueous Species Options'!H434), "", 'Aqueous Species Options'!H434), 'Aqueous Species Table'!M434 + 'Aqueous Species Table'!N434*10000*(1/(Calculations!$C$8-Calculations!$C$13))^2 + 'Aqueous Species Table'!O434*100000*Calculations!$C$8*Calculations!$C$7))</f>
        <v/>
      </c>
      <c r="I434" s="1" t="str">
        <f>IF(ISBLANK('Aqueous Species Options'!B434), "", IF('Aqueous Species Options'!L434=0, 'Aqueous Species Options'!N434, IF(OR(ISBLANK('Aqueous Species Options'!G434),'Aqueous Species Table'!O434="", 'Aqueous Species Table'!P434=""), "", IF('Aqueous Species Options'!B434="H+", 0, (CHOOSE('Aqueous Species Options'!M434+1,'Aqueous Species Options'!$V$4*ABS('Aqueous Species Table'!P434)+'Aqueous Species Options'!$W$4,'Aqueous Species Options'!$Z$4)*('Aqueous Species Options'!G434 + 'Aqueous Species Table'!O434*100000*0.0000005903*41.8393) + CHOOSE('Aqueous Species Options'!M434+1,'Aqueous Species Options'!$X$4*ABS('Aqueous Species Table'!P434)+'Aqueous Species Options'!$Y$4,'Aqueous Species Options'!$AA$4))*10 ) ) ) )</f>
        <v/>
      </c>
      <c r="J434" s="1" t="str">
        <f>IF(ISBLANK('Aqueous Species Options'!B434), "", IF('Aqueous Species Options'!L434 = 0, 'Aqueous Species Options'!O434, IF('Aqueous Species Table'!I434="", "", IF('Aqueous Species Options'!B434="H+", 0, ((1.11*('Aqueous Species Options'!G434 + 'Aqueous Species Table'!O434*100000*0.0000005903*41.8393)+1.8)/41.8393 - 'Aqueous Species Table'!I434/10)*26.01 ) ) ) )</f>
        <v/>
      </c>
      <c r="K434" s="1" t="str">
        <f>IF(ISBLANK('Aqueous Species Options'!B434), "", IF('Aqueous Species Options'!L434 = 0, 'Aqueous Species Options'!P434, IF('Aqueous Species Table'!I434="", "", IF('Aqueous Species Options'!B434="H+", 0, ('Aqueous Species Options'!G434/41.8393 + 'Aqueous Species Table'!O434*100000*0.0000005903 - 'Aqueous Species Table'!I434/10 - 'Aqueous Species Table'!J434*100/2601)*(298.15-228) - ('Aqueous Species Table'!L434*10000/2601) ) ) ) )</f>
        <v/>
      </c>
      <c r="L434" s="1" t="str">
        <f>IF(ISBLANK('Aqueous Species Options'!B434), "", IF('Aqueous Species Options'!L434 = 0, 'Aqueous Species Options'!Q434, IF('Aqueous Species Table'!J434="", "", IF('Aqueous Species Options'!B434="H+", 0, (-4.134*'Aqueous Species Table'!J434*100 - 27790)*0.0001) ) ) )</f>
        <v/>
      </c>
      <c r="M434" s="1" t="str">
        <f>IF(ISBLANK('Aqueous Species Options'!B434), "", IF('Aqueous Species Options'!L434=0, 'Aqueous Species Options'!R434, IF('Aqueous Species Table'!N434="", "", IF('Aqueous Species Options'!B434="H+", 0, 'Aqueous Species Options'!H434 - 'Aqueous Species Table'!O434*100000*(-0.000000309)*298.15 - 'Aqueous Species Table'!N434*10000/(298.15-228)^2 ) ) ) )</f>
        <v/>
      </c>
      <c r="N434" s="1" t="str">
        <f>IF(ISBLANK('Aqueous Species Options'!B434), "", IF('Aqueous Species Options'!L434=0, 'Aqueous Species Options'!S434, IF(OR(ISBLANK('Aqueous Species Options'!H434), 'Aqueous Species Table'!O434=""), "", IF('Aqueous Species Options'!B434="H+", 0, 0.2037*'Aqueous Species Options'!H434 - 3.0346) ) ) )</f>
        <v/>
      </c>
      <c r="O434" s="1" t="str">
        <f>IF(ISBLANK('Aqueous Species Options'!B434), "", IF('Aqueous Species Options'!K434=0, 'Aqueous Species Options'!I434, IF(OR('Aqueous Species Options'!J434&gt;4,'Aqueous Species Options'!J434&lt;-4), "", IF('Aqueous Species Options'!B434="H+", 0, IF('Aqueous Species Options'!J434=0, -0.038, IF(ISBLANK('Aqueous Species Options'!F434), "", -1514.4*'Aqueous Species Options'!F434*0.00001 + SUM(({4,3,2,1,-1,-2,-3,-4}='Aqueous Species Options'!J434)*{2.1764,1.5793,1.0579,0.5517,1.6291,3.2127,4.8115,6.486}) ) ) ) ) ) )</f>
        <v/>
      </c>
      <c r="P434" s="1" t="str">
        <f>IF(ISBLANK('Aqueous Species Options'!J434), "", 'Aqueous Species Options'!J434)</f>
        <v/>
      </c>
      <c r="Q434" s="184" t="str">
        <f>IF(ISBLANK('Aqueous Species Options'!T434), "", 'Aqueous Species Options'!T434)</f>
        <v/>
      </c>
    </row>
    <row r="435" spans="2:17" ht="16" x14ac:dyDescent="0.2">
      <c r="B435" t="str">
        <f>IF(ISBLANK('Aqueous Species Options'!B435), "", 'Aqueous Species Options'!B435)</f>
        <v/>
      </c>
      <c r="C435" s="1" t="str">
        <f>IF(ISBLANK('Aqueous Species Options'!C435), "", 'Aqueous Species Options'!C435)</f>
        <v/>
      </c>
      <c r="D435" s="1" t="str">
        <f>IF(ISBLANK('Aqueous Species Options'!D435), "", 'Aqueous Species Options'!D435)</f>
        <v/>
      </c>
      <c r="E435" s="1" t="str">
        <f>IF(ISBLANK('Aqueous Species Options'!E435), "", 'Aqueous Species Options'!E435)</f>
        <v/>
      </c>
      <c r="F435" s="139" t="str">
        <f>IF(ISBLANK('Aqueous Species Options'!F435), "", 'Aqueous Species Options'!F435)</f>
        <v/>
      </c>
      <c r="G435" s="29" t="str">
        <f>IF(ISBLANK('Aqueous Species Options'!B435), "", IF('Aqueous Species Options'!L435 = 1, IF(ISBLANK('Aqueous Species Options'!G435), "", 'Aqueous Species Options'!G435), ('Aqueous Species Table'!I435/10 + ('Aqueous Species Table'!J435*100)/(Calculations!$C$12+Calculations!$C$9) + ('Aqueous Species Table'!K435 + ('Aqueous Species Table'!L435*10000)/(Calculations!$C$12+Calculations!$C$9))*(1/(Calculations!$C$8-Calculations!$C$13)) - 'Aqueous Species Table'!O435*100000*0.0000005903)*41.8393))</f>
        <v/>
      </c>
      <c r="H435" s="29" t="str">
        <f>IF(ISBLANK('Aqueous Species Options'!B435), "", IF('Aqueous Species Options'!L435 = 1, IF(ISBLANK('Aqueous Species Options'!H435), "", 'Aqueous Species Options'!H435), 'Aqueous Species Table'!M435 + 'Aqueous Species Table'!N435*10000*(1/(Calculations!$C$8-Calculations!$C$13))^2 + 'Aqueous Species Table'!O435*100000*Calculations!$C$8*Calculations!$C$7))</f>
        <v/>
      </c>
      <c r="I435" s="1" t="str">
        <f>IF(ISBLANK('Aqueous Species Options'!B435), "", IF('Aqueous Species Options'!L435=0, 'Aqueous Species Options'!N435, IF(OR(ISBLANK('Aqueous Species Options'!G435),'Aqueous Species Table'!O435="", 'Aqueous Species Table'!P435=""), "", IF('Aqueous Species Options'!B435="H+", 0, (CHOOSE('Aqueous Species Options'!M435+1,'Aqueous Species Options'!$V$4*ABS('Aqueous Species Table'!P435)+'Aqueous Species Options'!$W$4,'Aqueous Species Options'!$Z$4)*('Aqueous Species Options'!G435 + 'Aqueous Species Table'!O435*100000*0.0000005903*41.8393) + CHOOSE('Aqueous Species Options'!M435+1,'Aqueous Species Options'!$X$4*ABS('Aqueous Species Table'!P435)+'Aqueous Species Options'!$Y$4,'Aqueous Species Options'!$AA$4))*10 ) ) ) )</f>
        <v/>
      </c>
      <c r="J435" s="1" t="str">
        <f>IF(ISBLANK('Aqueous Species Options'!B435), "", IF('Aqueous Species Options'!L435 = 0, 'Aqueous Species Options'!O435, IF('Aqueous Species Table'!I435="", "", IF('Aqueous Species Options'!B435="H+", 0, ((1.11*('Aqueous Species Options'!G435 + 'Aqueous Species Table'!O435*100000*0.0000005903*41.8393)+1.8)/41.8393 - 'Aqueous Species Table'!I435/10)*26.01 ) ) ) )</f>
        <v/>
      </c>
      <c r="K435" s="1" t="str">
        <f>IF(ISBLANK('Aqueous Species Options'!B435), "", IF('Aqueous Species Options'!L435 = 0, 'Aqueous Species Options'!P435, IF('Aqueous Species Table'!I435="", "", IF('Aqueous Species Options'!B435="H+", 0, ('Aqueous Species Options'!G435/41.8393 + 'Aqueous Species Table'!O435*100000*0.0000005903 - 'Aqueous Species Table'!I435/10 - 'Aqueous Species Table'!J435*100/2601)*(298.15-228) - ('Aqueous Species Table'!L435*10000/2601) ) ) ) )</f>
        <v/>
      </c>
      <c r="L435" s="1" t="str">
        <f>IF(ISBLANK('Aqueous Species Options'!B435), "", IF('Aqueous Species Options'!L435 = 0, 'Aqueous Species Options'!Q435, IF('Aqueous Species Table'!J435="", "", IF('Aqueous Species Options'!B435="H+", 0, (-4.134*'Aqueous Species Table'!J435*100 - 27790)*0.0001) ) ) )</f>
        <v/>
      </c>
      <c r="M435" s="1" t="str">
        <f>IF(ISBLANK('Aqueous Species Options'!B435), "", IF('Aqueous Species Options'!L435=0, 'Aqueous Species Options'!R435, IF('Aqueous Species Table'!N435="", "", IF('Aqueous Species Options'!B435="H+", 0, 'Aqueous Species Options'!H435 - 'Aqueous Species Table'!O435*100000*(-0.000000309)*298.15 - 'Aqueous Species Table'!N435*10000/(298.15-228)^2 ) ) ) )</f>
        <v/>
      </c>
      <c r="N435" s="1" t="str">
        <f>IF(ISBLANK('Aqueous Species Options'!B435), "", IF('Aqueous Species Options'!L435=0, 'Aqueous Species Options'!S435, IF(OR(ISBLANK('Aqueous Species Options'!H435), 'Aqueous Species Table'!O435=""), "", IF('Aqueous Species Options'!B435="H+", 0, 0.2037*'Aqueous Species Options'!H435 - 3.0346) ) ) )</f>
        <v/>
      </c>
      <c r="O435" s="1" t="str">
        <f>IF(ISBLANK('Aqueous Species Options'!B435), "", IF('Aqueous Species Options'!K435=0, 'Aqueous Species Options'!I435, IF(OR('Aqueous Species Options'!J435&gt;4,'Aqueous Species Options'!J435&lt;-4), "", IF('Aqueous Species Options'!B435="H+", 0, IF('Aqueous Species Options'!J435=0, -0.038, IF(ISBLANK('Aqueous Species Options'!F435), "", -1514.4*'Aqueous Species Options'!F435*0.00001 + SUM(({4,3,2,1,-1,-2,-3,-4}='Aqueous Species Options'!J435)*{2.1764,1.5793,1.0579,0.5517,1.6291,3.2127,4.8115,6.486}) ) ) ) ) ) )</f>
        <v/>
      </c>
      <c r="P435" s="1" t="str">
        <f>IF(ISBLANK('Aqueous Species Options'!J435), "", 'Aqueous Species Options'!J435)</f>
        <v/>
      </c>
      <c r="Q435" s="184" t="str">
        <f>IF(ISBLANK('Aqueous Species Options'!T435), "", 'Aqueous Species Options'!T435)</f>
        <v/>
      </c>
    </row>
    <row r="436" spans="2:17" ht="16" x14ac:dyDescent="0.2">
      <c r="B436" t="str">
        <f>IF(ISBLANK('Aqueous Species Options'!B436), "", 'Aqueous Species Options'!B436)</f>
        <v/>
      </c>
      <c r="C436" s="1" t="str">
        <f>IF(ISBLANK('Aqueous Species Options'!C436), "", 'Aqueous Species Options'!C436)</f>
        <v/>
      </c>
      <c r="D436" s="1" t="str">
        <f>IF(ISBLANK('Aqueous Species Options'!D436), "", 'Aqueous Species Options'!D436)</f>
        <v/>
      </c>
      <c r="E436" s="1" t="str">
        <f>IF(ISBLANK('Aqueous Species Options'!E436), "", 'Aqueous Species Options'!E436)</f>
        <v/>
      </c>
      <c r="F436" s="139" t="str">
        <f>IF(ISBLANK('Aqueous Species Options'!F436), "", 'Aqueous Species Options'!F436)</f>
        <v/>
      </c>
      <c r="G436" s="29" t="str">
        <f>IF(ISBLANK('Aqueous Species Options'!B436), "", IF('Aqueous Species Options'!L436 = 1, IF(ISBLANK('Aqueous Species Options'!G436), "", 'Aqueous Species Options'!G436), ('Aqueous Species Table'!I436/10 + ('Aqueous Species Table'!J436*100)/(Calculations!$C$12+Calculations!$C$9) + ('Aqueous Species Table'!K436 + ('Aqueous Species Table'!L436*10000)/(Calculations!$C$12+Calculations!$C$9))*(1/(Calculations!$C$8-Calculations!$C$13)) - 'Aqueous Species Table'!O436*100000*0.0000005903)*41.8393))</f>
        <v/>
      </c>
      <c r="H436" s="29" t="str">
        <f>IF(ISBLANK('Aqueous Species Options'!B436), "", IF('Aqueous Species Options'!L436 = 1, IF(ISBLANK('Aqueous Species Options'!H436), "", 'Aqueous Species Options'!H436), 'Aqueous Species Table'!M436 + 'Aqueous Species Table'!N436*10000*(1/(Calculations!$C$8-Calculations!$C$13))^2 + 'Aqueous Species Table'!O436*100000*Calculations!$C$8*Calculations!$C$7))</f>
        <v/>
      </c>
      <c r="I436" s="1" t="str">
        <f>IF(ISBLANK('Aqueous Species Options'!B436), "", IF('Aqueous Species Options'!L436=0, 'Aqueous Species Options'!N436, IF(OR(ISBLANK('Aqueous Species Options'!G436),'Aqueous Species Table'!O436="", 'Aqueous Species Table'!P436=""), "", IF('Aqueous Species Options'!B436="H+", 0, (CHOOSE('Aqueous Species Options'!M436+1,'Aqueous Species Options'!$V$4*ABS('Aqueous Species Table'!P436)+'Aqueous Species Options'!$W$4,'Aqueous Species Options'!$Z$4)*('Aqueous Species Options'!G436 + 'Aqueous Species Table'!O436*100000*0.0000005903*41.8393) + CHOOSE('Aqueous Species Options'!M436+1,'Aqueous Species Options'!$X$4*ABS('Aqueous Species Table'!P436)+'Aqueous Species Options'!$Y$4,'Aqueous Species Options'!$AA$4))*10 ) ) ) )</f>
        <v/>
      </c>
      <c r="J436" s="1" t="str">
        <f>IF(ISBLANK('Aqueous Species Options'!B436), "", IF('Aqueous Species Options'!L436 = 0, 'Aqueous Species Options'!O436, IF('Aqueous Species Table'!I436="", "", IF('Aqueous Species Options'!B436="H+", 0, ((1.11*('Aqueous Species Options'!G436 + 'Aqueous Species Table'!O436*100000*0.0000005903*41.8393)+1.8)/41.8393 - 'Aqueous Species Table'!I436/10)*26.01 ) ) ) )</f>
        <v/>
      </c>
      <c r="K436" s="1" t="str">
        <f>IF(ISBLANK('Aqueous Species Options'!B436), "", IF('Aqueous Species Options'!L436 = 0, 'Aqueous Species Options'!P436, IF('Aqueous Species Table'!I436="", "", IF('Aqueous Species Options'!B436="H+", 0, ('Aqueous Species Options'!G436/41.8393 + 'Aqueous Species Table'!O436*100000*0.0000005903 - 'Aqueous Species Table'!I436/10 - 'Aqueous Species Table'!J436*100/2601)*(298.15-228) - ('Aqueous Species Table'!L436*10000/2601) ) ) ) )</f>
        <v/>
      </c>
      <c r="L436" s="1" t="str">
        <f>IF(ISBLANK('Aqueous Species Options'!B436), "", IF('Aqueous Species Options'!L436 = 0, 'Aqueous Species Options'!Q436, IF('Aqueous Species Table'!J436="", "", IF('Aqueous Species Options'!B436="H+", 0, (-4.134*'Aqueous Species Table'!J436*100 - 27790)*0.0001) ) ) )</f>
        <v/>
      </c>
      <c r="M436" s="1" t="str">
        <f>IF(ISBLANK('Aqueous Species Options'!B436), "", IF('Aqueous Species Options'!L436=0, 'Aqueous Species Options'!R436, IF('Aqueous Species Table'!N436="", "", IF('Aqueous Species Options'!B436="H+", 0, 'Aqueous Species Options'!H436 - 'Aqueous Species Table'!O436*100000*(-0.000000309)*298.15 - 'Aqueous Species Table'!N436*10000/(298.15-228)^2 ) ) ) )</f>
        <v/>
      </c>
      <c r="N436" s="1" t="str">
        <f>IF(ISBLANK('Aqueous Species Options'!B436), "", IF('Aqueous Species Options'!L436=0, 'Aqueous Species Options'!S436, IF(OR(ISBLANK('Aqueous Species Options'!H436), 'Aqueous Species Table'!O436=""), "", IF('Aqueous Species Options'!B436="H+", 0, 0.2037*'Aqueous Species Options'!H436 - 3.0346) ) ) )</f>
        <v/>
      </c>
      <c r="O436" s="1" t="str">
        <f>IF(ISBLANK('Aqueous Species Options'!B436), "", IF('Aqueous Species Options'!K436=0, 'Aqueous Species Options'!I436, IF(OR('Aqueous Species Options'!J436&gt;4,'Aqueous Species Options'!J436&lt;-4), "", IF('Aqueous Species Options'!B436="H+", 0, IF('Aqueous Species Options'!J436=0, -0.038, IF(ISBLANK('Aqueous Species Options'!F436), "", -1514.4*'Aqueous Species Options'!F436*0.00001 + SUM(({4,3,2,1,-1,-2,-3,-4}='Aqueous Species Options'!J436)*{2.1764,1.5793,1.0579,0.5517,1.6291,3.2127,4.8115,6.486}) ) ) ) ) ) )</f>
        <v/>
      </c>
      <c r="P436" s="1" t="str">
        <f>IF(ISBLANK('Aqueous Species Options'!J436), "", 'Aqueous Species Options'!J436)</f>
        <v/>
      </c>
      <c r="Q436" s="184" t="str">
        <f>IF(ISBLANK('Aqueous Species Options'!T436), "", 'Aqueous Species Options'!T436)</f>
        <v/>
      </c>
    </row>
    <row r="437" spans="2:17" ht="16" x14ac:dyDescent="0.2">
      <c r="B437" t="str">
        <f>IF(ISBLANK('Aqueous Species Options'!B437), "", 'Aqueous Species Options'!B437)</f>
        <v/>
      </c>
      <c r="C437" s="1" t="str">
        <f>IF(ISBLANK('Aqueous Species Options'!C437), "", 'Aqueous Species Options'!C437)</f>
        <v/>
      </c>
      <c r="D437" s="1" t="str">
        <f>IF(ISBLANK('Aqueous Species Options'!D437), "", 'Aqueous Species Options'!D437)</f>
        <v/>
      </c>
      <c r="E437" s="1" t="str">
        <f>IF(ISBLANK('Aqueous Species Options'!E437), "", 'Aqueous Species Options'!E437)</f>
        <v/>
      </c>
      <c r="F437" s="139" t="str">
        <f>IF(ISBLANK('Aqueous Species Options'!F437), "", 'Aqueous Species Options'!F437)</f>
        <v/>
      </c>
      <c r="G437" s="29" t="str">
        <f>IF(ISBLANK('Aqueous Species Options'!B437), "", IF('Aqueous Species Options'!L437 = 1, IF(ISBLANK('Aqueous Species Options'!G437), "", 'Aqueous Species Options'!G437), ('Aqueous Species Table'!I437/10 + ('Aqueous Species Table'!J437*100)/(Calculations!$C$12+Calculations!$C$9) + ('Aqueous Species Table'!K437 + ('Aqueous Species Table'!L437*10000)/(Calculations!$C$12+Calculations!$C$9))*(1/(Calculations!$C$8-Calculations!$C$13)) - 'Aqueous Species Table'!O437*100000*0.0000005903)*41.8393))</f>
        <v/>
      </c>
      <c r="H437" s="29" t="str">
        <f>IF(ISBLANK('Aqueous Species Options'!B437), "", IF('Aqueous Species Options'!L437 = 1, IF(ISBLANK('Aqueous Species Options'!H437), "", 'Aqueous Species Options'!H437), 'Aqueous Species Table'!M437 + 'Aqueous Species Table'!N437*10000*(1/(Calculations!$C$8-Calculations!$C$13))^2 + 'Aqueous Species Table'!O437*100000*Calculations!$C$8*Calculations!$C$7))</f>
        <v/>
      </c>
      <c r="I437" s="1" t="str">
        <f>IF(ISBLANK('Aqueous Species Options'!B437), "", IF('Aqueous Species Options'!L437=0, 'Aqueous Species Options'!N437, IF(OR(ISBLANK('Aqueous Species Options'!G437),'Aqueous Species Table'!O437="", 'Aqueous Species Table'!P437=""), "", IF('Aqueous Species Options'!B437="H+", 0, (CHOOSE('Aqueous Species Options'!M437+1,'Aqueous Species Options'!$V$4*ABS('Aqueous Species Table'!P437)+'Aqueous Species Options'!$W$4,'Aqueous Species Options'!$Z$4)*('Aqueous Species Options'!G437 + 'Aqueous Species Table'!O437*100000*0.0000005903*41.8393) + CHOOSE('Aqueous Species Options'!M437+1,'Aqueous Species Options'!$X$4*ABS('Aqueous Species Table'!P437)+'Aqueous Species Options'!$Y$4,'Aqueous Species Options'!$AA$4))*10 ) ) ) )</f>
        <v/>
      </c>
      <c r="J437" s="1" t="str">
        <f>IF(ISBLANK('Aqueous Species Options'!B437), "", IF('Aqueous Species Options'!L437 = 0, 'Aqueous Species Options'!O437, IF('Aqueous Species Table'!I437="", "", IF('Aqueous Species Options'!B437="H+", 0, ((1.11*('Aqueous Species Options'!G437 + 'Aqueous Species Table'!O437*100000*0.0000005903*41.8393)+1.8)/41.8393 - 'Aqueous Species Table'!I437/10)*26.01 ) ) ) )</f>
        <v/>
      </c>
      <c r="K437" s="1" t="str">
        <f>IF(ISBLANK('Aqueous Species Options'!B437), "", IF('Aqueous Species Options'!L437 = 0, 'Aqueous Species Options'!P437, IF('Aqueous Species Table'!I437="", "", IF('Aqueous Species Options'!B437="H+", 0, ('Aqueous Species Options'!G437/41.8393 + 'Aqueous Species Table'!O437*100000*0.0000005903 - 'Aqueous Species Table'!I437/10 - 'Aqueous Species Table'!J437*100/2601)*(298.15-228) - ('Aqueous Species Table'!L437*10000/2601) ) ) ) )</f>
        <v/>
      </c>
      <c r="L437" s="1" t="str">
        <f>IF(ISBLANK('Aqueous Species Options'!B437), "", IF('Aqueous Species Options'!L437 = 0, 'Aqueous Species Options'!Q437, IF('Aqueous Species Table'!J437="", "", IF('Aqueous Species Options'!B437="H+", 0, (-4.134*'Aqueous Species Table'!J437*100 - 27790)*0.0001) ) ) )</f>
        <v/>
      </c>
      <c r="M437" s="1" t="str">
        <f>IF(ISBLANK('Aqueous Species Options'!B437), "", IF('Aqueous Species Options'!L437=0, 'Aqueous Species Options'!R437, IF('Aqueous Species Table'!N437="", "", IF('Aqueous Species Options'!B437="H+", 0, 'Aqueous Species Options'!H437 - 'Aqueous Species Table'!O437*100000*(-0.000000309)*298.15 - 'Aqueous Species Table'!N437*10000/(298.15-228)^2 ) ) ) )</f>
        <v/>
      </c>
      <c r="N437" s="1" t="str">
        <f>IF(ISBLANK('Aqueous Species Options'!B437), "", IF('Aqueous Species Options'!L437=0, 'Aqueous Species Options'!S437, IF(OR(ISBLANK('Aqueous Species Options'!H437), 'Aqueous Species Table'!O437=""), "", IF('Aqueous Species Options'!B437="H+", 0, 0.2037*'Aqueous Species Options'!H437 - 3.0346) ) ) )</f>
        <v/>
      </c>
      <c r="O437" s="1" t="str">
        <f>IF(ISBLANK('Aqueous Species Options'!B437), "", IF('Aqueous Species Options'!K437=0, 'Aqueous Species Options'!I437, IF(OR('Aqueous Species Options'!J437&gt;4,'Aqueous Species Options'!J437&lt;-4), "", IF('Aqueous Species Options'!B437="H+", 0, IF('Aqueous Species Options'!J437=0, -0.038, IF(ISBLANK('Aqueous Species Options'!F437), "", -1514.4*'Aqueous Species Options'!F437*0.00001 + SUM(({4,3,2,1,-1,-2,-3,-4}='Aqueous Species Options'!J437)*{2.1764,1.5793,1.0579,0.5517,1.6291,3.2127,4.8115,6.486}) ) ) ) ) ) )</f>
        <v/>
      </c>
      <c r="P437" s="1" t="str">
        <f>IF(ISBLANK('Aqueous Species Options'!J437), "", 'Aqueous Species Options'!J437)</f>
        <v/>
      </c>
      <c r="Q437" s="184" t="str">
        <f>IF(ISBLANK('Aqueous Species Options'!T437), "", 'Aqueous Species Options'!T437)</f>
        <v/>
      </c>
    </row>
    <row r="438" spans="2:17" ht="16" x14ac:dyDescent="0.2">
      <c r="B438" t="str">
        <f>IF(ISBLANK('Aqueous Species Options'!B438), "", 'Aqueous Species Options'!B438)</f>
        <v/>
      </c>
      <c r="C438" s="1" t="str">
        <f>IF(ISBLANK('Aqueous Species Options'!C438), "", 'Aqueous Species Options'!C438)</f>
        <v/>
      </c>
      <c r="D438" s="1" t="str">
        <f>IF(ISBLANK('Aqueous Species Options'!D438), "", 'Aqueous Species Options'!D438)</f>
        <v/>
      </c>
      <c r="E438" s="1" t="str">
        <f>IF(ISBLANK('Aqueous Species Options'!E438), "", 'Aqueous Species Options'!E438)</f>
        <v/>
      </c>
      <c r="F438" s="139" t="str">
        <f>IF(ISBLANK('Aqueous Species Options'!F438), "", 'Aqueous Species Options'!F438)</f>
        <v/>
      </c>
      <c r="G438" s="29" t="str">
        <f>IF(ISBLANK('Aqueous Species Options'!B438), "", IF('Aqueous Species Options'!L438 = 1, IF(ISBLANK('Aqueous Species Options'!G438), "", 'Aqueous Species Options'!G438), ('Aqueous Species Table'!I438/10 + ('Aqueous Species Table'!J438*100)/(Calculations!$C$12+Calculations!$C$9) + ('Aqueous Species Table'!K438 + ('Aqueous Species Table'!L438*10000)/(Calculations!$C$12+Calculations!$C$9))*(1/(Calculations!$C$8-Calculations!$C$13)) - 'Aqueous Species Table'!O438*100000*0.0000005903)*41.8393))</f>
        <v/>
      </c>
      <c r="H438" s="29" t="str">
        <f>IF(ISBLANK('Aqueous Species Options'!B438), "", IF('Aqueous Species Options'!L438 = 1, IF(ISBLANK('Aqueous Species Options'!H438), "", 'Aqueous Species Options'!H438), 'Aqueous Species Table'!M438 + 'Aqueous Species Table'!N438*10000*(1/(Calculations!$C$8-Calculations!$C$13))^2 + 'Aqueous Species Table'!O438*100000*Calculations!$C$8*Calculations!$C$7))</f>
        <v/>
      </c>
      <c r="I438" s="1" t="str">
        <f>IF(ISBLANK('Aqueous Species Options'!B438), "", IF('Aqueous Species Options'!L438=0, 'Aqueous Species Options'!N438, IF(OR(ISBLANK('Aqueous Species Options'!G438),'Aqueous Species Table'!O438="", 'Aqueous Species Table'!P438=""), "", IF('Aqueous Species Options'!B438="H+", 0, (CHOOSE('Aqueous Species Options'!M438+1,'Aqueous Species Options'!$V$4*ABS('Aqueous Species Table'!P438)+'Aqueous Species Options'!$W$4,'Aqueous Species Options'!$Z$4)*('Aqueous Species Options'!G438 + 'Aqueous Species Table'!O438*100000*0.0000005903*41.8393) + CHOOSE('Aqueous Species Options'!M438+1,'Aqueous Species Options'!$X$4*ABS('Aqueous Species Table'!P438)+'Aqueous Species Options'!$Y$4,'Aqueous Species Options'!$AA$4))*10 ) ) ) )</f>
        <v/>
      </c>
      <c r="J438" s="1" t="str">
        <f>IF(ISBLANK('Aqueous Species Options'!B438), "", IF('Aqueous Species Options'!L438 = 0, 'Aqueous Species Options'!O438, IF('Aqueous Species Table'!I438="", "", IF('Aqueous Species Options'!B438="H+", 0, ((1.11*('Aqueous Species Options'!G438 + 'Aqueous Species Table'!O438*100000*0.0000005903*41.8393)+1.8)/41.8393 - 'Aqueous Species Table'!I438/10)*26.01 ) ) ) )</f>
        <v/>
      </c>
      <c r="K438" s="1" t="str">
        <f>IF(ISBLANK('Aqueous Species Options'!B438), "", IF('Aqueous Species Options'!L438 = 0, 'Aqueous Species Options'!P438, IF('Aqueous Species Table'!I438="", "", IF('Aqueous Species Options'!B438="H+", 0, ('Aqueous Species Options'!G438/41.8393 + 'Aqueous Species Table'!O438*100000*0.0000005903 - 'Aqueous Species Table'!I438/10 - 'Aqueous Species Table'!J438*100/2601)*(298.15-228) - ('Aqueous Species Table'!L438*10000/2601) ) ) ) )</f>
        <v/>
      </c>
      <c r="L438" s="1" t="str">
        <f>IF(ISBLANK('Aqueous Species Options'!B438), "", IF('Aqueous Species Options'!L438 = 0, 'Aqueous Species Options'!Q438, IF('Aqueous Species Table'!J438="", "", IF('Aqueous Species Options'!B438="H+", 0, (-4.134*'Aqueous Species Table'!J438*100 - 27790)*0.0001) ) ) )</f>
        <v/>
      </c>
      <c r="M438" s="1" t="str">
        <f>IF(ISBLANK('Aqueous Species Options'!B438), "", IF('Aqueous Species Options'!L438=0, 'Aqueous Species Options'!R438, IF('Aqueous Species Table'!N438="", "", IF('Aqueous Species Options'!B438="H+", 0, 'Aqueous Species Options'!H438 - 'Aqueous Species Table'!O438*100000*(-0.000000309)*298.15 - 'Aqueous Species Table'!N438*10000/(298.15-228)^2 ) ) ) )</f>
        <v/>
      </c>
      <c r="N438" s="1" t="str">
        <f>IF(ISBLANK('Aqueous Species Options'!B438), "", IF('Aqueous Species Options'!L438=0, 'Aqueous Species Options'!S438, IF(OR(ISBLANK('Aqueous Species Options'!H438), 'Aqueous Species Table'!O438=""), "", IF('Aqueous Species Options'!B438="H+", 0, 0.2037*'Aqueous Species Options'!H438 - 3.0346) ) ) )</f>
        <v/>
      </c>
      <c r="O438" s="1" t="str">
        <f>IF(ISBLANK('Aqueous Species Options'!B438), "", IF('Aqueous Species Options'!K438=0, 'Aqueous Species Options'!I438, IF(OR('Aqueous Species Options'!J438&gt;4,'Aqueous Species Options'!J438&lt;-4), "", IF('Aqueous Species Options'!B438="H+", 0, IF('Aqueous Species Options'!J438=0, -0.038, IF(ISBLANK('Aqueous Species Options'!F438), "", -1514.4*'Aqueous Species Options'!F438*0.00001 + SUM(({4,3,2,1,-1,-2,-3,-4}='Aqueous Species Options'!J438)*{2.1764,1.5793,1.0579,0.5517,1.6291,3.2127,4.8115,6.486}) ) ) ) ) ) )</f>
        <v/>
      </c>
      <c r="P438" s="1" t="str">
        <f>IF(ISBLANK('Aqueous Species Options'!J438), "", 'Aqueous Species Options'!J438)</f>
        <v/>
      </c>
      <c r="Q438" s="184" t="str">
        <f>IF(ISBLANK('Aqueous Species Options'!T438), "", 'Aqueous Species Options'!T438)</f>
        <v/>
      </c>
    </row>
    <row r="439" spans="2:17" ht="16" x14ac:dyDescent="0.2">
      <c r="B439" t="str">
        <f>IF(ISBLANK('Aqueous Species Options'!B439), "", 'Aqueous Species Options'!B439)</f>
        <v/>
      </c>
      <c r="C439" s="1" t="str">
        <f>IF(ISBLANK('Aqueous Species Options'!C439), "", 'Aqueous Species Options'!C439)</f>
        <v/>
      </c>
      <c r="D439" s="1" t="str">
        <f>IF(ISBLANK('Aqueous Species Options'!D439), "", 'Aqueous Species Options'!D439)</f>
        <v/>
      </c>
      <c r="E439" s="1" t="str">
        <f>IF(ISBLANK('Aqueous Species Options'!E439), "", 'Aqueous Species Options'!E439)</f>
        <v/>
      </c>
      <c r="F439" s="139" t="str">
        <f>IF(ISBLANK('Aqueous Species Options'!F439), "", 'Aqueous Species Options'!F439)</f>
        <v/>
      </c>
      <c r="G439" s="29" t="str">
        <f>IF(ISBLANK('Aqueous Species Options'!B439), "", IF('Aqueous Species Options'!L439 = 1, IF(ISBLANK('Aqueous Species Options'!G439), "", 'Aqueous Species Options'!G439), ('Aqueous Species Table'!I439/10 + ('Aqueous Species Table'!J439*100)/(Calculations!$C$12+Calculations!$C$9) + ('Aqueous Species Table'!K439 + ('Aqueous Species Table'!L439*10000)/(Calculations!$C$12+Calculations!$C$9))*(1/(Calculations!$C$8-Calculations!$C$13)) - 'Aqueous Species Table'!O439*100000*0.0000005903)*41.8393))</f>
        <v/>
      </c>
      <c r="H439" s="29" t="str">
        <f>IF(ISBLANK('Aqueous Species Options'!B439), "", IF('Aqueous Species Options'!L439 = 1, IF(ISBLANK('Aqueous Species Options'!H439), "", 'Aqueous Species Options'!H439), 'Aqueous Species Table'!M439 + 'Aqueous Species Table'!N439*10000*(1/(Calculations!$C$8-Calculations!$C$13))^2 + 'Aqueous Species Table'!O439*100000*Calculations!$C$8*Calculations!$C$7))</f>
        <v/>
      </c>
      <c r="I439" s="1" t="str">
        <f>IF(ISBLANK('Aqueous Species Options'!B439), "", IF('Aqueous Species Options'!L439=0, 'Aqueous Species Options'!N439, IF(OR(ISBLANK('Aqueous Species Options'!G439),'Aqueous Species Table'!O439="", 'Aqueous Species Table'!P439=""), "", IF('Aqueous Species Options'!B439="H+", 0, (CHOOSE('Aqueous Species Options'!M439+1,'Aqueous Species Options'!$V$4*ABS('Aqueous Species Table'!P439)+'Aqueous Species Options'!$W$4,'Aqueous Species Options'!$Z$4)*('Aqueous Species Options'!G439 + 'Aqueous Species Table'!O439*100000*0.0000005903*41.8393) + CHOOSE('Aqueous Species Options'!M439+1,'Aqueous Species Options'!$X$4*ABS('Aqueous Species Table'!P439)+'Aqueous Species Options'!$Y$4,'Aqueous Species Options'!$AA$4))*10 ) ) ) )</f>
        <v/>
      </c>
      <c r="J439" s="1" t="str">
        <f>IF(ISBLANK('Aqueous Species Options'!B439), "", IF('Aqueous Species Options'!L439 = 0, 'Aqueous Species Options'!O439, IF('Aqueous Species Table'!I439="", "", IF('Aqueous Species Options'!B439="H+", 0, ((1.11*('Aqueous Species Options'!G439 + 'Aqueous Species Table'!O439*100000*0.0000005903*41.8393)+1.8)/41.8393 - 'Aqueous Species Table'!I439/10)*26.01 ) ) ) )</f>
        <v/>
      </c>
      <c r="K439" s="1" t="str">
        <f>IF(ISBLANK('Aqueous Species Options'!B439), "", IF('Aqueous Species Options'!L439 = 0, 'Aqueous Species Options'!P439, IF('Aqueous Species Table'!I439="", "", IF('Aqueous Species Options'!B439="H+", 0, ('Aqueous Species Options'!G439/41.8393 + 'Aqueous Species Table'!O439*100000*0.0000005903 - 'Aqueous Species Table'!I439/10 - 'Aqueous Species Table'!J439*100/2601)*(298.15-228) - ('Aqueous Species Table'!L439*10000/2601) ) ) ) )</f>
        <v/>
      </c>
      <c r="L439" s="1" t="str">
        <f>IF(ISBLANK('Aqueous Species Options'!B439), "", IF('Aqueous Species Options'!L439 = 0, 'Aqueous Species Options'!Q439, IF('Aqueous Species Table'!J439="", "", IF('Aqueous Species Options'!B439="H+", 0, (-4.134*'Aqueous Species Table'!J439*100 - 27790)*0.0001) ) ) )</f>
        <v/>
      </c>
      <c r="M439" s="1" t="str">
        <f>IF(ISBLANK('Aqueous Species Options'!B439), "", IF('Aqueous Species Options'!L439=0, 'Aqueous Species Options'!R439, IF('Aqueous Species Table'!N439="", "", IF('Aqueous Species Options'!B439="H+", 0, 'Aqueous Species Options'!H439 - 'Aqueous Species Table'!O439*100000*(-0.000000309)*298.15 - 'Aqueous Species Table'!N439*10000/(298.15-228)^2 ) ) ) )</f>
        <v/>
      </c>
      <c r="N439" s="1" t="str">
        <f>IF(ISBLANK('Aqueous Species Options'!B439), "", IF('Aqueous Species Options'!L439=0, 'Aqueous Species Options'!S439, IF(OR(ISBLANK('Aqueous Species Options'!H439), 'Aqueous Species Table'!O439=""), "", IF('Aqueous Species Options'!B439="H+", 0, 0.2037*'Aqueous Species Options'!H439 - 3.0346) ) ) )</f>
        <v/>
      </c>
      <c r="O439" s="1" t="str">
        <f>IF(ISBLANK('Aqueous Species Options'!B439), "", IF('Aqueous Species Options'!K439=0, 'Aqueous Species Options'!I439, IF(OR('Aqueous Species Options'!J439&gt;4,'Aqueous Species Options'!J439&lt;-4), "", IF('Aqueous Species Options'!B439="H+", 0, IF('Aqueous Species Options'!J439=0, -0.038, IF(ISBLANK('Aqueous Species Options'!F439), "", -1514.4*'Aqueous Species Options'!F439*0.00001 + SUM(({4,3,2,1,-1,-2,-3,-4}='Aqueous Species Options'!J439)*{2.1764,1.5793,1.0579,0.5517,1.6291,3.2127,4.8115,6.486}) ) ) ) ) ) )</f>
        <v/>
      </c>
      <c r="P439" s="1" t="str">
        <f>IF(ISBLANK('Aqueous Species Options'!J439), "", 'Aqueous Species Options'!J439)</f>
        <v/>
      </c>
      <c r="Q439" s="184" t="str">
        <f>IF(ISBLANK('Aqueous Species Options'!T439), "", 'Aqueous Species Options'!T439)</f>
        <v/>
      </c>
    </row>
    <row r="440" spans="2:17" ht="16" x14ac:dyDescent="0.2">
      <c r="B440" t="str">
        <f>IF(ISBLANK('Aqueous Species Options'!B440), "", 'Aqueous Species Options'!B440)</f>
        <v/>
      </c>
      <c r="C440" s="1" t="str">
        <f>IF(ISBLANK('Aqueous Species Options'!C440), "", 'Aqueous Species Options'!C440)</f>
        <v/>
      </c>
      <c r="D440" s="1" t="str">
        <f>IF(ISBLANK('Aqueous Species Options'!D440), "", 'Aqueous Species Options'!D440)</f>
        <v/>
      </c>
      <c r="E440" s="1" t="str">
        <f>IF(ISBLANK('Aqueous Species Options'!E440), "", 'Aqueous Species Options'!E440)</f>
        <v/>
      </c>
      <c r="F440" s="139" t="str">
        <f>IF(ISBLANK('Aqueous Species Options'!F440), "", 'Aqueous Species Options'!F440)</f>
        <v/>
      </c>
      <c r="G440" s="29" t="str">
        <f>IF(ISBLANK('Aqueous Species Options'!B440), "", IF('Aqueous Species Options'!L440 = 1, IF(ISBLANK('Aqueous Species Options'!G440), "", 'Aqueous Species Options'!G440), ('Aqueous Species Table'!I440/10 + ('Aqueous Species Table'!J440*100)/(Calculations!$C$12+Calculations!$C$9) + ('Aqueous Species Table'!K440 + ('Aqueous Species Table'!L440*10000)/(Calculations!$C$12+Calculations!$C$9))*(1/(Calculations!$C$8-Calculations!$C$13)) - 'Aqueous Species Table'!O440*100000*0.0000005903)*41.8393))</f>
        <v/>
      </c>
      <c r="H440" s="29" t="str">
        <f>IF(ISBLANK('Aqueous Species Options'!B440), "", IF('Aqueous Species Options'!L440 = 1, IF(ISBLANK('Aqueous Species Options'!H440), "", 'Aqueous Species Options'!H440), 'Aqueous Species Table'!M440 + 'Aqueous Species Table'!N440*10000*(1/(Calculations!$C$8-Calculations!$C$13))^2 + 'Aqueous Species Table'!O440*100000*Calculations!$C$8*Calculations!$C$7))</f>
        <v/>
      </c>
      <c r="I440" s="1" t="str">
        <f>IF(ISBLANK('Aqueous Species Options'!B440), "", IF('Aqueous Species Options'!L440=0, 'Aqueous Species Options'!N440, IF(OR(ISBLANK('Aqueous Species Options'!G440),'Aqueous Species Table'!O440="", 'Aqueous Species Table'!P440=""), "", IF('Aqueous Species Options'!B440="H+", 0, (CHOOSE('Aqueous Species Options'!M440+1,'Aqueous Species Options'!$V$4*ABS('Aqueous Species Table'!P440)+'Aqueous Species Options'!$W$4,'Aqueous Species Options'!$Z$4)*('Aqueous Species Options'!G440 + 'Aqueous Species Table'!O440*100000*0.0000005903*41.8393) + CHOOSE('Aqueous Species Options'!M440+1,'Aqueous Species Options'!$X$4*ABS('Aqueous Species Table'!P440)+'Aqueous Species Options'!$Y$4,'Aqueous Species Options'!$AA$4))*10 ) ) ) )</f>
        <v/>
      </c>
      <c r="J440" s="1" t="str">
        <f>IF(ISBLANK('Aqueous Species Options'!B440), "", IF('Aqueous Species Options'!L440 = 0, 'Aqueous Species Options'!O440, IF('Aqueous Species Table'!I440="", "", IF('Aqueous Species Options'!B440="H+", 0, ((1.11*('Aqueous Species Options'!G440 + 'Aqueous Species Table'!O440*100000*0.0000005903*41.8393)+1.8)/41.8393 - 'Aqueous Species Table'!I440/10)*26.01 ) ) ) )</f>
        <v/>
      </c>
      <c r="K440" s="1" t="str">
        <f>IF(ISBLANK('Aqueous Species Options'!B440), "", IF('Aqueous Species Options'!L440 = 0, 'Aqueous Species Options'!P440, IF('Aqueous Species Table'!I440="", "", IF('Aqueous Species Options'!B440="H+", 0, ('Aqueous Species Options'!G440/41.8393 + 'Aqueous Species Table'!O440*100000*0.0000005903 - 'Aqueous Species Table'!I440/10 - 'Aqueous Species Table'!J440*100/2601)*(298.15-228) - ('Aqueous Species Table'!L440*10000/2601) ) ) ) )</f>
        <v/>
      </c>
      <c r="L440" s="1" t="str">
        <f>IF(ISBLANK('Aqueous Species Options'!B440), "", IF('Aqueous Species Options'!L440 = 0, 'Aqueous Species Options'!Q440, IF('Aqueous Species Table'!J440="", "", IF('Aqueous Species Options'!B440="H+", 0, (-4.134*'Aqueous Species Table'!J440*100 - 27790)*0.0001) ) ) )</f>
        <v/>
      </c>
      <c r="M440" s="1" t="str">
        <f>IF(ISBLANK('Aqueous Species Options'!B440), "", IF('Aqueous Species Options'!L440=0, 'Aqueous Species Options'!R440, IF('Aqueous Species Table'!N440="", "", IF('Aqueous Species Options'!B440="H+", 0, 'Aqueous Species Options'!H440 - 'Aqueous Species Table'!O440*100000*(-0.000000309)*298.15 - 'Aqueous Species Table'!N440*10000/(298.15-228)^2 ) ) ) )</f>
        <v/>
      </c>
      <c r="N440" s="1" t="str">
        <f>IF(ISBLANK('Aqueous Species Options'!B440), "", IF('Aqueous Species Options'!L440=0, 'Aqueous Species Options'!S440, IF(OR(ISBLANK('Aqueous Species Options'!H440), 'Aqueous Species Table'!O440=""), "", IF('Aqueous Species Options'!B440="H+", 0, 0.2037*'Aqueous Species Options'!H440 - 3.0346) ) ) )</f>
        <v/>
      </c>
      <c r="O440" s="1" t="str">
        <f>IF(ISBLANK('Aqueous Species Options'!B440), "", IF('Aqueous Species Options'!K440=0, 'Aqueous Species Options'!I440, IF(OR('Aqueous Species Options'!J440&gt;4,'Aqueous Species Options'!J440&lt;-4), "", IF('Aqueous Species Options'!B440="H+", 0, IF('Aqueous Species Options'!J440=0, -0.038, IF(ISBLANK('Aqueous Species Options'!F440), "", -1514.4*'Aqueous Species Options'!F440*0.00001 + SUM(({4,3,2,1,-1,-2,-3,-4}='Aqueous Species Options'!J440)*{2.1764,1.5793,1.0579,0.5517,1.6291,3.2127,4.8115,6.486}) ) ) ) ) ) )</f>
        <v/>
      </c>
      <c r="P440" s="1" t="str">
        <f>IF(ISBLANK('Aqueous Species Options'!J440), "", 'Aqueous Species Options'!J440)</f>
        <v/>
      </c>
      <c r="Q440" s="184" t="str">
        <f>IF(ISBLANK('Aqueous Species Options'!T440), "", 'Aqueous Species Options'!T440)</f>
        <v/>
      </c>
    </row>
    <row r="441" spans="2:17" ht="16" x14ac:dyDescent="0.2">
      <c r="B441" t="str">
        <f>IF(ISBLANK('Aqueous Species Options'!B441), "", 'Aqueous Species Options'!B441)</f>
        <v/>
      </c>
      <c r="C441" s="1" t="str">
        <f>IF(ISBLANK('Aqueous Species Options'!C441), "", 'Aqueous Species Options'!C441)</f>
        <v/>
      </c>
      <c r="D441" s="1" t="str">
        <f>IF(ISBLANK('Aqueous Species Options'!D441), "", 'Aqueous Species Options'!D441)</f>
        <v/>
      </c>
      <c r="E441" s="1" t="str">
        <f>IF(ISBLANK('Aqueous Species Options'!E441), "", 'Aqueous Species Options'!E441)</f>
        <v/>
      </c>
      <c r="F441" s="139" t="str">
        <f>IF(ISBLANK('Aqueous Species Options'!F441), "", 'Aqueous Species Options'!F441)</f>
        <v/>
      </c>
      <c r="G441" s="29" t="str">
        <f>IF(ISBLANK('Aqueous Species Options'!B441), "", IF('Aqueous Species Options'!L441 = 1, IF(ISBLANK('Aqueous Species Options'!G441), "", 'Aqueous Species Options'!G441), ('Aqueous Species Table'!I441/10 + ('Aqueous Species Table'!J441*100)/(Calculations!$C$12+Calculations!$C$9) + ('Aqueous Species Table'!K441 + ('Aqueous Species Table'!L441*10000)/(Calculations!$C$12+Calculations!$C$9))*(1/(Calculations!$C$8-Calculations!$C$13)) - 'Aqueous Species Table'!O441*100000*0.0000005903)*41.8393))</f>
        <v/>
      </c>
      <c r="H441" s="29" t="str">
        <f>IF(ISBLANK('Aqueous Species Options'!B441), "", IF('Aqueous Species Options'!L441 = 1, IF(ISBLANK('Aqueous Species Options'!H441), "", 'Aqueous Species Options'!H441), 'Aqueous Species Table'!M441 + 'Aqueous Species Table'!N441*10000*(1/(Calculations!$C$8-Calculations!$C$13))^2 + 'Aqueous Species Table'!O441*100000*Calculations!$C$8*Calculations!$C$7))</f>
        <v/>
      </c>
      <c r="I441" s="1" t="str">
        <f>IF(ISBLANK('Aqueous Species Options'!B441), "", IF('Aqueous Species Options'!L441=0, 'Aqueous Species Options'!N441, IF(OR(ISBLANK('Aqueous Species Options'!G441),'Aqueous Species Table'!O441="", 'Aqueous Species Table'!P441=""), "", IF('Aqueous Species Options'!B441="H+", 0, (CHOOSE('Aqueous Species Options'!M441+1,'Aqueous Species Options'!$V$4*ABS('Aqueous Species Table'!P441)+'Aqueous Species Options'!$W$4,'Aqueous Species Options'!$Z$4)*('Aqueous Species Options'!G441 + 'Aqueous Species Table'!O441*100000*0.0000005903*41.8393) + CHOOSE('Aqueous Species Options'!M441+1,'Aqueous Species Options'!$X$4*ABS('Aqueous Species Table'!P441)+'Aqueous Species Options'!$Y$4,'Aqueous Species Options'!$AA$4))*10 ) ) ) )</f>
        <v/>
      </c>
      <c r="J441" s="1" t="str">
        <f>IF(ISBLANK('Aqueous Species Options'!B441), "", IF('Aqueous Species Options'!L441 = 0, 'Aqueous Species Options'!O441, IF('Aqueous Species Table'!I441="", "", IF('Aqueous Species Options'!B441="H+", 0, ((1.11*('Aqueous Species Options'!G441 + 'Aqueous Species Table'!O441*100000*0.0000005903*41.8393)+1.8)/41.8393 - 'Aqueous Species Table'!I441/10)*26.01 ) ) ) )</f>
        <v/>
      </c>
      <c r="K441" s="1" t="str">
        <f>IF(ISBLANK('Aqueous Species Options'!B441), "", IF('Aqueous Species Options'!L441 = 0, 'Aqueous Species Options'!P441, IF('Aqueous Species Table'!I441="", "", IF('Aqueous Species Options'!B441="H+", 0, ('Aqueous Species Options'!G441/41.8393 + 'Aqueous Species Table'!O441*100000*0.0000005903 - 'Aqueous Species Table'!I441/10 - 'Aqueous Species Table'!J441*100/2601)*(298.15-228) - ('Aqueous Species Table'!L441*10000/2601) ) ) ) )</f>
        <v/>
      </c>
      <c r="L441" s="1" t="str">
        <f>IF(ISBLANK('Aqueous Species Options'!B441), "", IF('Aqueous Species Options'!L441 = 0, 'Aqueous Species Options'!Q441, IF('Aqueous Species Table'!J441="", "", IF('Aqueous Species Options'!B441="H+", 0, (-4.134*'Aqueous Species Table'!J441*100 - 27790)*0.0001) ) ) )</f>
        <v/>
      </c>
      <c r="M441" s="1" t="str">
        <f>IF(ISBLANK('Aqueous Species Options'!B441), "", IF('Aqueous Species Options'!L441=0, 'Aqueous Species Options'!R441, IF('Aqueous Species Table'!N441="", "", IF('Aqueous Species Options'!B441="H+", 0, 'Aqueous Species Options'!H441 - 'Aqueous Species Table'!O441*100000*(-0.000000309)*298.15 - 'Aqueous Species Table'!N441*10000/(298.15-228)^2 ) ) ) )</f>
        <v/>
      </c>
      <c r="N441" s="1" t="str">
        <f>IF(ISBLANK('Aqueous Species Options'!B441), "", IF('Aqueous Species Options'!L441=0, 'Aqueous Species Options'!S441, IF(OR(ISBLANK('Aqueous Species Options'!H441), 'Aqueous Species Table'!O441=""), "", IF('Aqueous Species Options'!B441="H+", 0, 0.2037*'Aqueous Species Options'!H441 - 3.0346) ) ) )</f>
        <v/>
      </c>
      <c r="O441" s="1" t="str">
        <f>IF(ISBLANK('Aqueous Species Options'!B441), "", IF('Aqueous Species Options'!K441=0, 'Aqueous Species Options'!I441, IF(OR('Aqueous Species Options'!J441&gt;4,'Aqueous Species Options'!J441&lt;-4), "", IF('Aqueous Species Options'!B441="H+", 0, IF('Aqueous Species Options'!J441=0, -0.038, IF(ISBLANK('Aqueous Species Options'!F441), "", -1514.4*'Aqueous Species Options'!F441*0.00001 + SUM(({4,3,2,1,-1,-2,-3,-4}='Aqueous Species Options'!J441)*{2.1764,1.5793,1.0579,0.5517,1.6291,3.2127,4.8115,6.486}) ) ) ) ) ) )</f>
        <v/>
      </c>
      <c r="P441" s="1" t="str">
        <f>IF(ISBLANK('Aqueous Species Options'!J441), "", 'Aqueous Species Options'!J441)</f>
        <v/>
      </c>
      <c r="Q441" s="184" t="str">
        <f>IF(ISBLANK('Aqueous Species Options'!T441), "", 'Aqueous Species Options'!T441)</f>
        <v/>
      </c>
    </row>
    <row r="442" spans="2:17" ht="16" x14ac:dyDescent="0.2">
      <c r="B442" t="str">
        <f>IF(ISBLANK('Aqueous Species Options'!B442), "", 'Aqueous Species Options'!B442)</f>
        <v/>
      </c>
      <c r="C442" s="1" t="str">
        <f>IF(ISBLANK('Aqueous Species Options'!C442), "", 'Aqueous Species Options'!C442)</f>
        <v/>
      </c>
      <c r="D442" s="1" t="str">
        <f>IF(ISBLANK('Aqueous Species Options'!D442), "", 'Aqueous Species Options'!D442)</f>
        <v/>
      </c>
      <c r="E442" s="1" t="str">
        <f>IF(ISBLANK('Aqueous Species Options'!E442), "", 'Aqueous Species Options'!E442)</f>
        <v/>
      </c>
      <c r="F442" s="139" t="str">
        <f>IF(ISBLANK('Aqueous Species Options'!F442), "", 'Aqueous Species Options'!F442)</f>
        <v/>
      </c>
      <c r="G442" s="29" t="str">
        <f>IF(ISBLANK('Aqueous Species Options'!B442), "", IF('Aqueous Species Options'!L442 = 1, IF(ISBLANK('Aqueous Species Options'!G442), "", 'Aqueous Species Options'!G442), ('Aqueous Species Table'!I442/10 + ('Aqueous Species Table'!J442*100)/(Calculations!$C$12+Calculations!$C$9) + ('Aqueous Species Table'!K442 + ('Aqueous Species Table'!L442*10000)/(Calculations!$C$12+Calculations!$C$9))*(1/(Calculations!$C$8-Calculations!$C$13)) - 'Aqueous Species Table'!O442*100000*0.0000005903)*41.8393))</f>
        <v/>
      </c>
      <c r="H442" s="29" t="str">
        <f>IF(ISBLANK('Aqueous Species Options'!B442), "", IF('Aqueous Species Options'!L442 = 1, IF(ISBLANK('Aqueous Species Options'!H442), "", 'Aqueous Species Options'!H442), 'Aqueous Species Table'!M442 + 'Aqueous Species Table'!N442*10000*(1/(Calculations!$C$8-Calculations!$C$13))^2 + 'Aqueous Species Table'!O442*100000*Calculations!$C$8*Calculations!$C$7))</f>
        <v/>
      </c>
      <c r="I442" s="1" t="str">
        <f>IF(ISBLANK('Aqueous Species Options'!B442), "", IF('Aqueous Species Options'!L442=0, 'Aqueous Species Options'!N442, IF(OR(ISBLANK('Aqueous Species Options'!G442),'Aqueous Species Table'!O442="", 'Aqueous Species Table'!P442=""), "", IF('Aqueous Species Options'!B442="H+", 0, (CHOOSE('Aqueous Species Options'!M442+1,'Aqueous Species Options'!$V$4*ABS('Aqueous Species Table'!P442)+'Aqueous Species Options'!$W$4,'Aqueous Species Options'!$Z$4)*('Aqueous Species Options'!G442 + 'Aqueous Species Table'!O442*100000*0.0000005903*41.8393) + CHOOSE('Aqueous Species Options'!M442+1,'Aqueous Species Options'!$X$4*ABS('Aqueous Species Table'!P442)+'Aqueous Species Options'!$Y$4,'Aqueous Species Options'!$AA$4))*10 ) ) ) )</f>
        <v/>
      </c>
      <c r="J442" s="1" t="str">
        <f>IF(ISBLANK('Aqueous Species Options'!B442), "", IF('Aqueous Species Options'!L442 = 0, 'Aqueous Species Options'!O442, IF('Aqueous Species Table'!I442="", "", IF('Aqueous Species Options'!B442="H+", 0, ((1.11*('Aqueous Species Options'!G442 + 'Aqueous Species Table'!O442*100000*0.0000005903*41.8393)+1.8)/41.8393 - 'Aqueous Species Table'!I442/10)*26.01 ) ) ) )</f>
        <v/>
      </c>
      <c r="K442" s="1" t="str">
        <f>IF(ISBLANK('Aqueous Species Options'!B442), "", IF('Aqueous Species Options'!L442 = 0, 'Aqueous Species Options'!P442, IF('Aqueous Species Table'!I442="", "", IF('Aqueous Species Options'!B442="H+", 0, ('Aqueous Species Options'!G442/41.8393 + 'Aqueous Species Table'!O442*100000*0.0000005903 - 'Aqueous Species Table'!I442/10 - 'Aqueous Species Table'!J442*100/2601)*(298.15-228) - ('Aqueous Species Table'!L442*10000/2601) ) ) ) )</f>
        <v/>
      </c>
      <c r="L442" s="1" t="str">
        <f>IF(ISBLANK('Aqueous Species Options'!B442), "", IF('Aqueous Species Options'!L442 = 0, 'Aqueous Species Options'!Q442, IF('Aqueous Species Table'!J442="", "", IF('Aqueous Species Options'!B442="H+", 0, (-4.134*'Aqueous Species Table'!J442*100 - 27790)*0.0001) ) ) )</f>
        <v/>
      </c>
      <c r="M442" s="1" t="str">
        <f>IF(ISBLANK('Aqueous Species Options'!B442), "", IF('Aqueous Species Options'!L442=0, 'Aqueous Species Options'!R442, IF('Aqueous Species Table'!N442="", "", IF('Aqueous Species Options'!B442="H+", 0, 'Aqueous Species Options'!H442 - 'Aqueous Species Table'!O442*100000*(-0.000000309)*298.15 - 'Aqueous Species Table'!N442*10000/(298.15-228)^2 ) ) ) )</f>
        <v/>
      </c>
      <c r="N442" s="1" t="str">
        <f>IF(ISBLANK('Aqueous Species Options'!B442), "", IF('Aqueous Species Options'!L442=0, 'Aqueous Species Options'!S442, IF(OR(ISBLANK('Aqueous Species Options'!H442), 'Aqueous Species Table'!O442=""), "", IF('Aqueous Species Options'!B442="H+", 0, 0.2037*'Aqueous Species Options'!H442 - 3.0346) ) ) )</f>
        <v/>
      </c>
      <c r="O442" s="1" t="str">
        <f>IF(ISBLANK('Aqueous Species Options'!B442), "", IF('Aqueous Species Options'!K442=0, 'Aqueous Species Options'!I442, IF(OR('Aqueous Species Options'!J442&gt;4,'Aqueous Species Options'!J442&lt;-4), "", IF('Aqueous Species Options'!B442="H+", 0, IF('Aqueous Species Options'!J442=0, -0.038, IF(ISBLANK('Aqueous Species Options'!F442), "", -1514.4*'Aqueous Species Options'!F442*0.00001 + SUM(({4,3,2,1,-1,-2,-3,-4}='Aqueous Species Options'!J442)*{2.1764,1.5793,1.0579,0.5517,1.6291,3.2127,4.8115,6.486}) ) ) ) ) ) )</f>
        <v/>
      </c>
      <c r="P442" s="1" t="str">
        <f>IF(ISBLANK('Aqueous Species Options'!J442), "", 'Aqueous Species Options'!J442)</f>
        <v/>
      </c>
      <c r="Q442" s="184" t="str">
        <f>IF(ISBLANK('Aqueous Species Options'!T442), "", 'Aqueous Species Options'!T442)</f>
        <v/>
      </c>
    </row>
    <row r="443" spans="2:17" ht="16" x14ac:dyDescent="0.2">
      <c r="B443" t="str">
        <f>IF(ISBLANK('Aqueous Species Options'!B443), "", 'Aqueous Species Options'!B443)</f>
        <v/>
      </c>
      <c r="C443" s="1" t="str">
        <f>IF(ISBLANK('Aqueous Species Options'!C443), "", 'Aqueous Species Options'!C443)</f>
        <v/>
      </c>
      <c r="D443" s="1" t="str">
        <f>IF(ISBLANK('Aqueous Species Options'!D443), "", 'Aqueous Species Options'!D443)</f>
        <v/>
      </c>
      <c r="E443" s="1" t="str">
        <f>IF(ISBLANK('Aqueous Species Options'!E443), "", 'Aqueous Species Options'!E443)</f>
        <v/>
      </c>
      <c r="F443" s="139" t="str">
        <f>IF(ISBLANK('Aqueous Species Options'!F443), "", 'Aqueous Species Options'!F443)</f>
        <v/>
      </c>
      <c r="G443" s="29" t="str">
        <f>IF(ISBLANK('Aqueous Species Options'!B443), "", IF('Aqueous Species Options'!L443 = 1, IF(ISBLANK('Aqueous Species Options'!G443), "", 'Aqueous Species Options'!G443), ('Aqueous Species Table'!I443/10 + ('Aqueous Species Table'!J443*100)/(Calculations!$C$12+Calculations!$C$9) + ('Aqueous Species Table'!K443 + ('Aqueous Species Table'!L443*10000)/(Calculations!$C$12+Calculations!$C$9))*(1/(Calculations!$C$8-Calculations!$C$13)) - 'Aqueous Species Table'!O443*100000*0.0000005903)*41.8393))</f>
        <v/>
      </c>
      <c r="H443" s="29" t="str">
        <f>IF(ISBLANK('Aqueous Species Options'!B443), "", IF('Aqueous Species Options'!L443 = 1, IF(ISBLANK('Aqueous Species Options'!H443), "", 'Aqueous Species Options'!H443), 'Aqueous Species Table'!M443 + 'Aqueous Species Table'!N443*10000*(1/(Calculations!$C$8-Calculations!$C$13))^2 + 'Aqueous Species Table'!O443*100000*Calculations!$C$8*Calculations!$C$7))</f>
        <v/>
      </c>
      <c r="I443" s="1" t="str">
        <f>IF(ISBLANK('Aqueous Species Options'!B443), "", IF('Aqueous Species Options'!L443=0, 'Aqueous Species Options'!N443, IF(OR(ISBLANK('Aqueous Species Options'!G443),'Aqueous Species Table'!O443="", 'Aqueous Species Table'!P443=""), "", IF('Aqueous Species Options'!B443="H+", 0, (CHOOSE('Aqueous Species Options'!M443+1,'Aqueous Species Options'!$V$4*ABS('Aqueous Species Table'!P443)+'Aqueous Species Options'!$W$4,'Aqueous Species Options'!$Z$4)*('Aqueous Species Options'!G443 + 'Aqueous Species Table'!O443*100000*0.0000005903*41.8393) + CHOOSE('Aqueous Species Options'!M443+1,'Aqueous Species Options'!$X$4*ABS('Aqueous Species Table'!P443)+'Aqueous Species Options'!$Y$4,'Aqueous Species Options'!$AA$4))*10 ) ) ) )</f>
        <v/>
      </c>
      <c r="J443" s="1" t="str">
        <f>IF(ISBLANK('Aqueous Species Options'!B443), "", IF('Aqueous Species Options'!L443 = 0, 'Aqueous Species Options'!O443, IF('Aqueous Species Table'!I443="", "", IF('Aqueous Species Options'!B443="H+", 0, ((1.11*('Aqueous Species Options'!G443 + 'Aqueous Species Table'!O443*100000*0.0000005903*41.8393)+1.8)/41.8393 - 'Aqueous Species Table'!I443/10)*26.01 ) ) ) )</f>
        <v/>
      </c>
      <c r="K443" s="1" t="str">
        <f>IF(ISBLANK('Aqueous Species Options'!B443), "", IF('Aqueous Species Options'!L443 = 0, 'Aqueous Species Options'!P443, IF('Aqueous Species Table'!I443="", "", IF('Aqueous Species Options'!B443="H+", 0, ('Aqueous Species Options'!G443/41.8393 + 'Aqueous Species Table'!O443*100000*0.0000005903 - 'Aqueous Species Table'!I443/10 - 'Aqueous Species Table'!J443*100/2601)*(298.15-228) - ('Aqueous Species Table'!L443*10000/2601) ) ) ) )</f>
        <v/>
      </c>
      <c r="L443" s="1" t="str">
        <f>IF(ISBLANK('Aqueous Species Options'!B443), "", IF('Aqueous Species Options'!L443 = 0, 'Aqueous Species Options'!Q443, IF('Aqueous Species Table'!J443="", "", IF('Aqueous Species Options'!B443="H+", 0, (-4.134*'Aqueous Species Table'!J443*100 - 27790)*0.0001) ) ) )</f>
        <v/>
      </c>
      <c r="M443" s="1" t="str">
        <f>IF(ISBLANK('Aqueous Species Options'!B443), "", IF('Aqueous Species Options'!L443=0, 'Aqueous Species Options'!R443, IF('Aqueous Species Table'!N443="", "", IF('Aqueous Species Options'!B443="H+", 0, 'Aqueous Species Options'!H443 - 'Aqueous Species Table'!O443*100000*(-0.000000309)*298.15 - 'Aqueous Species Table'!N443*10000/(298.15-228)^2 ) ) ) )</f>
        <v/>
      </c>
      <c r="N443" s="1" t="str">
        <f>IF(ISBLANK('Aqueous Species Options'!B443), "", IF('Aqueous Species Options'!L443=0, 'Aqueous Species Options'!S443, IF(OR(ISBLANK('Aqueous Species Options'!H443), 'Aqueous Species Table'!O443=""), "", IF('Aqueous Species Options'!B443="H+", 0, 0.2037*'Aqueous Species Options'!H443 - 3.0346) ) ) )</f>
        <v/>
      </c>
      <c r="O443" s="1" t="str">
        <f>IF(ISBLANK('Aqueous Species Options'!B443), "", IF('Aqueous Species Options'!K443=0, 'Aqueous Species Options'!I443, IF(OR('Aqueous Species Options'!J443&gt;4,'Aqueous Species Options'!J443&lt;-4), "", IF('Aqueous Species Options'!B443="H+", 0, IF('Aqueous Species Options'!J443=0, -0.038, IF(ISBLANK('Aqueous Species Options'!F443), "", -1514.4*'Aqueous Species Options'!F443*0.00001 + SUM(({4,3,2,1,-1,-2,-3,-4}='Aqueous Species Options'!J443)*{2.1764,1.5793,1.0579,0.5517,1.6291,3.2127,4.8115,6.486}) ) ) ) ) ) )</f>
        <v/>
      </c>
      <c r="P443" s="1" t="str">
        <f>IF(ISBLANK('Aqueous Species Options'!J443), "", 'Aqueous Species Options'!J443)</f>
        <v/>
      </c>
      <c r="Q443" s="184" t="str">
        <f>IF(ISBLANK('Aqueous Species Options'!T443), "", 'Aqueous Species Options'!T443)</f>
        <v/>
      </c>
    </row>
    <row r="444" spans="2:17" ht="16" x14ac:dyDescent="0.2">
      <c r="B444" t="str">
        <f>IF(ISBLANK('Aqueous Species Options'!B444), "", 'Aqueous Species Options'!B444)</f>
        <v/>
      </c>
      <c r="C444" s="1" t="str">
        <f>IF(ISBLANK('Aqueous Species Options'!C444), "", 'Aqueous Species Options'!C444)</f>
        <v/>
      </c>
      <c r="D444" s="1" t="str">
        <f>IF(ISBLANK('Aqueous Species Options'!D444), "", 'Aqueous Species Options'!D444)</f>
        <v/>
      </c>
      <c r="E444" s="1" t="str">
        <f>IF(ISBLANK('Aqueous Species Options'!E444), "", 'Aqueous Species Options'!E444)</f>
        <v/>
      </c>
      <c r="F444" s="139" t="str">
        <f>IF(ISBLANK('Aqueous Species Options'!F444), "", 'Aqueous Species Options'!F444)</f>
        <v/>
      </c>
      <c r="G444" s="29" t="str">
        <f>IF(ISBLANK('Aqueous Species Options'!B444), "", IF('Aqueous Species Options'!L444 = 1, IF(ISBLANK('Aqueous Species Options'!G444), "", 'Aqueous Species Options'!G444), ('Aqueous Species Table'!I444/10 + ('Aqueous Species Table'!J444*100)/(Calculations!$C$12+Calculations!$C$9) + ('Aqueous Species Table'!K444 + ('Aqueous Species Table'!L444*10000)/(Calculations!$C$12+Calculations!$C$9))*(1/(Calculations!$C$8-Calculations!$C$13)) - 'Aqueous Species Table'!O444*100000*0.0000005903)*41.8393))</f>
        <v/>
      </c>
      <c r="H444" s="29" t="str">
        <f>IF(ISBLANK('Aqueous Species Options'!B444), "", IF('Aqueous Species Options'!L444 = 1, IF(ISBLANK('Aqueous Species Options'!H444), "", 'Aqueous Species Options'!H444), 'Aqueous Species Table'!M444 + 'Aqueous Species Table'!N444*10000*(1/(Calculations!$C$8-Calculations!$C$13))^2 + 'Aqueous Species Table'!O444*100000*Calculations!$C$8*Calculations!$C$7))</f>
        <v/>
      </c>
      <c r="I444" s="1" t="str">
        <f>IF(ISBLANK('Aqueous Species Options'!B444), "", IF('Aqueous Species Options'!L444=0, 'Aqueous Species Options'!N444, IF(OR(ISBLANK('Aqueous Species Options'!G444),'Aqueous Species Table'!O444="", 'Aqueous Species Table'!P444=""), "", IF('Aqueous Species Options'!B444="H+", 0, (CHOOSE('Aqueous Species Options'!M444+1,'Aqueous Species Options'!$V$4*ABS('Aqueous Species Table'!P444)+'Aqueous Species Options'!$W$4,'Aqueous Species Options'!$Z$4)*('Aqueous Species Options'!G444 + 'Aqueous Species Table'!O444*100000*0.0000005903*41.8393) + CHOOSE('Aqueous Species Options'!M444+1,'Aqueous Species Options'!$X$4*ABS('Aqueous Species Table'!P444)+'Aqueous Species Options'!$Y$4,'Aqueous Species Options'!$AA$4))*10 ) ) ) )</f>
        <v/>
      </c>
      <c r="J444" s="1" t="str">
        <f>IF(ISBLANK('Aqueous Species Options'!B444), "", IF('Aqueous Species Options'!L444 = 0, 'Aqueous Species Options'!O444, IF('Aqueous Species Table'!I444="", "", IF('Aqueous Species Options'!B444="H+", 0, ((1.11*('Aqueous Species Options'!G444 + 'Aqueous Species Table'!O444*100000*0.0000005903*41.8393)+1.8)/41.8393 - 'Aqueous Species Table'!I444/10)*26.01 ) ) ) )</f>
        <v/>
      </c>
      <c r="K444" s="1" t="str">
        <f>IF(ISBLANK('Aqueous Species Options'!B444), "", IF('Aqueous Species Options'!L444 = 0, 'Aqueous Species Options'!P444, IF('Aqueous Species Table'!I444="", "", IF('Aqueous Species Options'!B444="H+", 0, ('Aqueous Species Options'!G444/41.8393 + 'Aqueous Species Table'!O444*100000*0.0000005903 - 'Aqueous Species Table'!I444/10 - 'Aqueous Species Table'!J444*100/2601)*(298.15-228) - ('Aqueous Species Table'!L444*10000/2601) ) ) ) )</f>
        <v/>
      </c>
      <c r="L444" s="1" t="str">
        <f>IF(ISBLANK('Aqueous Species Options'!B444), "", IF('Aqueous Species Options'!L444 = 0, 'Aqueous Species Options'!Q444, IF('Aqueous Species Table'!J444="", "", IF('Aqueous Species Options'!B444="H+", 0, (-4.134*'Aqueous Species Table'!J444*100 - 27790)*0.0001) ) ) )</f>
        <v/>
      </c>
      <c r="M444" s="1" t="str">
        <f>IF(ISBLANK('Aqueous Species Options'!B444), "", IF('Aqueous Species Options'!L444=0, 'Aqueous Species Options'!R444, IF('Aqueous Species Table'!N444="", "", IF('Aqueous Species Options'!B444="H+", 0, 'Aqueous Species Options'!H444 - 'Aqueous Species Table'!O444*100000*(-0.000000309)*298.15 - 'Aqueous Species Table'!N444*10000/(298.15-228)^2 ) ) ) )</f>
        <v/>
      </c>
      <c r="N444" s="1" t="str">
        <f>IF(ISBLANK('Aqueous Species Options'!B444), "", IF('Aqueous Species Options'!L444=0, 'Aqueous Species Options'!S444, IF(OR(ISBLANK('Aqueous Species Options'!H444), 'Aqueous Species Table'!O444=""), "", IF('Aqueous Species Options'!B444="H+", 0, 0.2037*'Aqueous Species Options'!H444 - 3.0346) ) ) )</f>
        <v/>
      </c>
      <c r="O444" s="1" t="str">
        <f>IF(ISBLANK('Aqueous Species Options'!B444), "", IF('Aqueous Species Options'!K444=0, 'Aqueous Species Options'!I444, IF(OR('Aqueous Species Options'!J444&gt;4,'Aqueous Species Options'!J444&lt;-4), "", IF('Aqueous Species Options'!B444="H+", 0, IF('Aqueous Species Options'!J444=0, -0.038, IF(ISBLANK('Aqueous Species Options'!F444), "", -1514.4*'Aqueous Species Options'!F444*0.00001 + SUM(({4,3,2,1,-1,-2,-3,-4}='Aqueous Species Options'!J444)*{2.1764,1.5793,1.0579,0.5517,1.6291,3.2127,4.8115,6.486}) ) ) ) ) ) )</f>
        <v/>
      </c>
      <c r="P444" s="1" t="str">
        <f>IF(ISBLANK('Aqueous Species Options'!J444), "", 'Aqueous Species Options'!J444)</f>
        <v/>
      </c>
      <c r="Q444" s="184" t="str">
        <f>IF(ISBLANK('Aqueous Species Options'!T444), "", 'Aqueous Species Options'!T444)</f>
        <v/>
      </c>
    </row>
    <row r="445" spans="2:17" ht="16" x14ac:dyDescent="0.2">
      <c r="B445" t="str">
        <f>IF(ISBLANK('Aqueous Species Options'!B445), "", 'Aqueous Species Options'!B445)</f>
        <v/>
      </c>
      <c r="C445" s="1" t="str">
        <f>IF(ISBLANK('Aqueous Species Options'!C445), "", 'Aqueous Species Options'!C445)</f>
        <v/>
      </c>
      <c r="D445" s="1" t="str">
        <f>IF(ISBLANK('Aqueous Species Options'!D445), "", 'Aqueous Species Options'!D445)</f>
        <v/>
      </c>
      <c r="E445" s="1" t="str">
        <f>IF(ISBLANK('Aqueous Species Options'!E445), "", 'Aqueous Species Options'!E445)</f>
        <v/>
      </c>
      <c r="F445" s="139" t="str">
        <f>IF(ISBLANK('Aqueous Species Options'!F445), "", 'Aqueous Species Options'!F445)</f>
        <v/>
      </c>
      <c r="G445" s="29" t="str">
        <f>IF(ISBLANK('Aqueous Species Options'!B445), "", IF('Aqueous Species Options'!L445 = 1, IF(ISBLANK('Aqueous Species Options'!G445), "", 'Aqueous Species Options'!G445), ('Aqueous Species Table'!I445/10 + ('Aqueous Species Table'!J445*100)/(Calculations!$C$12+Calculations!$C$9) + ('Aqueous Species Table'!K445 + ('Aqueous Species Table'!L445*10000)/(Calculations!$C$12+Calculations!$C$9))*(1/(Calculations!$C$8-Calculations!$C$13)) - 'Aqueous Species Table'!O445*100000*0.0000005903)*41.8393))</f>
        <v/>
      </c>
      <c r="H445" s="29" t="str">
        <f>IF(ISBLANK('Aqueous Species Options'!B445), "", IF('Aqueous Species Options'!L445 = 1, IF(ISBLANK('Aqueous Species Options'!H445), "", 'Aqueous Species Options'!H445), 'Aqueous Species Table'!M445 + 'Aqueous Species Table'!N445*10000*(1/(Calculations!$C$8-Calculations!$C$13))^2 + 'Aqueous Species Table'!O445*100000*Calculations!$C$8*Calculations!$C$7))</f>
        <v/>
      </c>
      <c r="I445" s="1" t="str">
        <f>IF(ISBLANK('Aqueous Species Options'!B445), "", IF('Aqueous Species Options'!L445=0, 'Aqueous Species Options'!N445, IF(OR(ISBLANK('Aqueous Species Options'!G445),'Aqueous Species Table'!O445="", 'Aqueous Species Table'!P445=""), "", IF('Aqueous Species Options'!B445="H+", 0, (CHOOSE('Aqueous Species Options'!M445+1,'Aqueous Species Options'!$V$4*ABS('Aqueous Species Table'!P445)+'Aqueous Species Options'!$W$4,'Aqueous Species Options'!$Z$4)*('Aqueous Species Options'!G445 + 'Aqueous Species Table'!O445*100000*0.0000005903*41.8393) + CHOOSE('Aqueous Species Options'!M445+1,'Aqueous Species Options'!$X$4*ABS('Aqueous Species Table'!P445)+'Aqueous Species Options'!$Y$4,'Aqueous Species Options'!$AA$4))*10 ) ) ) )</f>
        <v/>
      </c>
      <c r="J445" s="1" t="str">
        <f>IF(ISBLANK('Aqueous Species Options'!B445), "", IF('Aqueous Species Options'!L445 = 0, 'Aqueous Species Options'!O445, IF('Aqueous Species Table'!I445="", "", IF('Aqueous Species Options'!B445="H+", 0, ((1.11*('Aqueous Species Options'!G445 + 'Aqueous Species Table'!O445*100000*0.0000005903*41.8393)+1.8)/41.8393 - 'Aqueous Species Table'!I445/10)*26.01 ) ) ) )</f>
        <v/>
      </c>
      <c r="K445" s="1" t="str">
        <f>IF(ISBLANK('Aqueous Species Options'!B445), "", IF('Aqueous Species Options'!L445 = 0, 'Aqueous Species Options'!P445, IF('Aqueous Species Table'!I445="", "", IF('Aqueous Species Options'!B445="H+", 0, ('Aqueous Species Options'!G445/41.8393 + 'Aqueous Species Table'!O445*100000*0.0000005903 - 'Aqueous Species Table'!I445/10 - 'Aqueous Species Table'!J445*100/2601)*(298.15-228) - ('Aqueous Species Table'!L445*10000/2601) ) ) ) )</f>
        <v/>
      </c>
      <c r="L445" s="1" t="str">
        <f>IF(ISBLANK('Aqueous Species Options'!B445), "", IF('Aqueous Species Options'!L445 = 0, 'Aqueous Species Options'!Q445, IF('Aqueous Species Table'!J445="", "", IF('Aqueous Species Options'!B445="H+", 0, (-4.134*'Aqueous Species Table'!J445*100 - 27790)*0.0001) ) ) )</f>
        <v/>
      </c>
      <c r="M445" s="1" t="str">
        <f>IF(ISBLANK('Aqueous Species Options'!B445), "", IF('Aqueous Species Options'!L445=0, 'Aqueous Species Options'!R445, IF('Aqueous Species Table'!N445="", "", IF('Aqueous Species Options'!B445="H+", 0, 'Aqueous Species Options'!H445 - 'Aqueous Species Table'!O445*100000*(-0.000000309)*298.15 - 'Aqueous Species Table'!N445*10000/(298.15-228)^2 ) ) ) )</f>
        <v/>
      </c>
      <c r="N445" s="1" t="str">
        <f>IF(ISBLANK('Aqueous Species Options'!B445), "", IF('Aqueous Species Options'!L445=0, 'Aqueous Species Options'!S445, IF(OR(ISBLANK('Aqueous Species Options'!H445), 'Aqueous Species Table'!O445=""), "", IF('Aqueous Species Options'!B445="H+", 0, 0.2037*'Aqueous Species Options'!H445 - 3.0346) ) ) )</f>
        <v/>
      </c>
      <c r="O445" s="1" t="str">
        <f>IF(ISBLANK('Aqueous Species Options'!B445), "", IF('Aqueous Species Options'!K445=0, 'Aqueous Species Options'!I445, IF(OR('Aqueous Species Options'!J445&gt;4,'Aqueous Species Options'!J445&lt;-4), "", IF('Aqueous Species Options'!B445="H+", 0, IF('Aqueous Species Options'!J445=0, -0.038, IF(ISBLANK('Aqueous Species Options'!F445), "", -1514.4*'Aqueous Species Options'!F445*0.00001 + SUM(({4,3,2,1,-1,-2,-3,-4}='Aqueous Species Options'!J445)*{2.1764,1.5793,1.0579,0.5517,1.6291,3.2127,4.8115,6.486}) ) ) ) ) ) )</f>
        <v/>
      </c>
      <c r="P445" s="1" t="str">
        <f>IF(ISBLANK('Aqueous Species Options'!J445), "", 'Aqueous Species Options'!J445)</f>
        <v/>
      </c>
      <c r="Q445" s="184" t="str">
        <f>IF(ISBLANK('Aqueous Species Options'!T445), "", 'Aqueous Species Options'!T445)</f>
        <v/>
      </c>
    </row>
    <row r="446" spans="2:17" ht="16" x14ac:dyDescent="0.2">
      <c r="B446" t="str">
        <f>IF(ISBLANK('Aqueous Species Options'!B446), "", 'Aqueous Species Options'!B446)</f>
        <v/>
      </c>
      <c r="C446" s="1" t="str">
        <f>IF(ISBLANK('Aqueous Species Options'!C446), "", 'Aqueous Species Options'!C446)</f>
        <v/>
      </c>
      <c r="D446" s="1" t="str">
        <f>IF(ISBLANK('Aqueous Species Options'!D446), "", 'Aqueous Species Options'!D446)</f>
        <v/>
      </c>
      <c r="E446" s="1" t="str">
        <f>IF(ISBLANK('Aqueous Species Options'!E446), "", 'Aqueous Species Options'!E446)</f>
        <v/>
      </c>
      <c r="F446" s="139" t="str">
        <f>IF(ISBLANK('Aqueous Species Options'!F446), "", 'Aqueous Species Options'!F446)</f>
        <v/>
      </c>
      <c r="G446" s="29" t="str">
        <f>IF(ISBLANK('Aqueous Species Options'!B446), "", IF('Aqueous Species Options'!L446 = 1, IF(ISBLANK('Aqueous Species Options'!G446), "", 'Aqueous Species Options'!G446), ('Aqueous Species Table'!I446/10 + ('Aqueous Species Table'!J446*100)/(Calculations!$C$12+Calculations!$C$9) + ('Aqueous Species Table'!K446 + ('Aqueous Species Table'!L446*10000)/(Calculations!$C$12+Calculations!$C$9))*(1/(Calculations!$C$8-Calculations!$C$13)) - 'Aqueous Species Table'!O446*100000*0.0000005903)*41.8393))</f>
        <v/>
      </c>
      <c r="H446" s="29" t="str">
        <f>IF(ISBLANK('Aqueous Species Options'!B446), "", IF('Aqueous Species Options'!L446 = 1, IF(ISBLANK('Aqueous Species Options'!H446), "", 'Aqueous Species Options'!H446), 'Aqueous Species Table'!M446 + 'Aqueous Species Table'!N446*10000*(1/(Calculations!$C$8-Calculations!$C$13))^2 + 'Aqueous Species Table'!O446*100000*Calculations!$C$8*Calculations!$C$7))</f>
        <v/>
      </c>
      <c r="I446" s="1" t="str">
        <f>IF(ISBLANK('Aqueous Species Options'!B446), "", IF('Aqueous Species Options'!L446=0, 'Aqueous Species Options'!N446, IF(OR(ISBLANK('Aqueous Species Options'!G446),'Aqueous Species Table'!O446="", 'Aqueous Species Table'!P446=""), "", IF('Aqueous Species Options'!B446="H+", 0, (CHOOSE('Aqueous Species Options'!M446+1,'Aqueous Species Options'!$V$4*ABS('Aqueous Species Table'!P446)+'Aqueous Species Options'!$W$4,'Aqueous Species Options'!$Z$4)*('Aqueous Species Options'!G446 + 'Aqueous Species Table'!O446*100000*0.0000005903*41.8393) + CHOOSE('Aqueous Species Options'!M446+1,'Aqueous Species Options'!$X$4*ABS('Aqueous Species Table'!P446)+'Aqueous Species Options'!$Y$4,'Aqueous Species Options'!$AA$4))*10 ) ) ) )</f>
        <v/>
      </c>
      <c r="J446" s="1" t="str">
        <f>IF(ISBLANK('Aqueous Species Options'!B446), "", IF('Aqueous Species Options'!L446 = 0, 'Aqueous Species Options'!O446, IF('Aqueous Species Table'!I446="", "", IF('Aqueous Species Options'!B446="H+", 0, ((1.11*('Aqueous Species Options'!G446 + 'Aqueous Species Table'!O446*100000*0.0000005903*41.8393)+1.8)/41.8393 - 'Aqueous Species Table'!I446/10)*26.01 ) ) ) )</f>
        <v/>
      </c>
      <c r="K446" s="1" t="str">
        <f>IF(ISBLANK('Aqueous Species Options'!B446), "", IF('Aqueous Species Options'!L446 = 0, 'Aqueous Species Options'!P446, IF('Aqueous Species Table'!I446="", "", IF('Aqueous Species Options'!B446="H+", 0, ('Aqueous Species Options'!G446/41.8393 + 'Aqueous Species Table'!O446*100000*0.0000005903 - 'Aqueous Species Table'!I446/10 - 'Aqueous Species Table'!J446*100/2601)*(298.15-228) - ('Aqueous Species Table'!L446*10000/2601) ) ) ) )</f>
        <v/>
      </c>
      <c r="L446" s="1" t="str">
        <f>IF(ISBLANK('Aqueous Species Options'!B446), "", IF('Aqueous Species Options'!L446 = 0, 'Aqueous Species Options'!Q446, IF('Aqueous Species Table'!J446="", "", IF('Aqueous Species Options'!B446="H+", 0, (-4.134*'Aqueous Species Table'!J446*100 - 27790)*0.0001) ) ) )</f>
        <v/>
      </c>
      <c r="M446" s="1" t="str">
        <f>IF(ISBLANK('Aqueous Species Options'!B446), "", IF('Aqueous Species Options'!L446=0, 'Aqueous Species Options'!R446, IF('Aqueous Species Table'!N446="", "", IF('Aqueous Species Options'!B446="H+", 0, 'Aqueous Species Options'!H446 - 'Aqueous Species Table'!O446*100000*(-0.000000309)*298.15 - 'Aqueous Species Table'!N446*10000/(298.15-228)^2 ) ) ) )</f>
        <v/>
      </c>
      <c r="N446" s="1" t="str">
        <f>IF(ISBLANK('Aqueous Species Options'!B446), "", IF('Aqueous Species Options'!L446=0, 'Aqueous Species Options'!S446, IF(OR(ISBLANK('Aqueous Species Options'!H446), 'Aqueous Species Table'!O446=""), "", IF('Aqueous Species Options'!B446="H+", 0, 0.2037*'Aqueous Species Options'!H446 - 3.0346) ) ) )</f>
        <v/>
      </c>
      <c r="O446" s="1" t="str">
        <f>IF(ISBLANK('Aqueous Species Options'!B446), "", IF('Aqueous Species Options'!K446=0, 'Aqueous Species Options'!I446, IF(OR('Aqueous Species Options'!J446&gt;4,'Aqueous Species Options'!J446&lt;-4), "", IF('Aqueous Species Options'!B446="H+", 0, IF('Aqueous Species Options'!J446=0, -0.038, IF(ISBLANK('Aqueous Species Options'!F446), "", -1514.4*'Aqueous Species Options'!F446*0.00001 + SUM(({4,3,2,1,-1,-2,-3,-4}='Aqueous Species Options'!J446)*{2.1764,1.5793,1.0579,0.5517,1.6291,3.2127,4.8115,6.486}) ) ) ) ) ) )</f>
        <v/>
      </c>
      <c r="P446" s="1" t="str">
        <f>IF(ISBLANK('Aqueous Species Options'!J446), "", 'Aqueous Species Options'!J446)</f>
        <v/>
      </c>
      <c r="Q446" s="184" t="str">
        <f>IF(ISBLANK('Aqueous Species Options'!T446), "", 'Aqueous Species Options'!T446)</f>
        <v/>
      </c>
    </row>
    <row r="447" spans="2:17" ht="16" x14ac:dyDescent="0.2">
      <c r="B447" t="str">
        <f>IF(ISBLANK('Aqueous Species Options'!B447), "", 'Aqueous Species Options'!B447)</f>
        <v/>
      </c>
      <c r="C447" s="1" t="str">
        <f>IF(ISBLANK('Aqueous Species Options'!C447), "", 'Aqueous Species Options'!C447)</f>
        <v/>
      </c>
      <c r="D447" s="1" t="str">
        <f>IF(ISBLANK('Aqueous Species Options'!D447), "", 'Aqueous Species Options'!D447)</f>
        <v/>
      </c>
      <c r="E447" s="1" t="str">
        <f>IF(ISBLANK('Aqueous Species Options'!E447), "", 'Aqueous Species Options'!E447)</f>
        <v/>
      </c>
      <c r="F447" s="139" t="str">
        <f>IF(ISBLANK('Aqueous Species Options'!F447), "", 'Aqueous Species Options'!F447)</f>
        <v/>
      </c>
      <c r="G447" s="29" t="str">
        <f>IF(ISBLANK('Aqueous Species Options'!B447), "", IF('Aqueous Species Options'!L447 = 1, IF(ISBLANK('Aqueous Species Options'!G447), "", 'Aqueous Species Options'!G447), ('Aqueous Species Table'!I447/10 + ('Aqueous Species Table'!J447*100)/(Calculations!$C$12+Calculations!$C$9) + ('Aqueous Species Table'!K447 + ('Aqueous Species Table'!L447*10000)/(Calculations!$C$12+Calculations!$C$9))*(1/(Calculations!$C$8-Calculations!$C$13)) - 'Aqueous Species Table'!O447*100000*0.0000005903)*41.8393))</f>
        <v/>
      </c>
      <c r="H447" s="29" t="str">
        <f>IF(ISBLANK('Aqueous Species Options'!B447), "", IF('Aqueous Species Options'!L447 = 1, IF(ISBLANK('Aqueous Species Options'!H447), "", 'Aqueous Species Options'!H447), 'Aqueous Species Table'!M447 + 'Aqueous Species Table'!N447*10000*(1/(Calculations!$C$8-Calculations!$C$13))^2 + 'Aqueous Species Table'!O447*100000*Calculations!$C$8*Calculations!$C$7))</f>
        <v/>
      </c>
      <c r="I447" s="1" t="str">
        <f>IF(ISBLANK('Aqueous Species Options'!B447), "", IF('Aqueous Species Options'!L447=0, 'Aqueous Species Options'!N447, IF(OR(ISBLANK('Aqueous Species Options'!G447),'Aqueous Species Table'!O447="", 'Aqueous Species Table'!P447=""), "", IF('Aqueous Species Options'!B447="H+", 0, (CHOOSE('Aqueous Species Options'!M447+1,'Aqueous Species Options'!$V$4*ABS('Aqueous Species Table'!P447)+'Aqueous Species Options'!$W$4,'Aqueous Species Options'!$Z$4)*('Aqueous Species Options'!G447 + 'Aqueous Species Table'!O447*100000*0.0000005903*41.8393) + CHOOSE('Aqueous Species Options'!M447+1,'Aqueous Species Options'!$X$4*ABS('Aqueous Species Table'!P447)+'Aqueous Species Options'!$Y$4,'Aqueous Species Options'!$AA$4))*10 ) ) ) )</f>
        <v/>
      </c>
      <c r="J447" s="1" t="str">
        <f>IF(ISBLANK('Aqueous Species Options'!B447), "", IF('Aqueous Species Options'!L447 = 0, 'Aqueous Species Options'!O447, IF('Aqueous Species Table'!I447="", "", IF('Aqueous Species Options'!B447="H+", 0, ((1.11*('Aqueous Species Options'!G447 + 'Aqueous Species Table'!O447*100000*0.0000005903*41.8393)+1.8)/41.8393 - 'Aqueous Species Table'!I447/10)*26.01 ) ) ) )</f>
        <v/>
      </c>
      <c r="K447" s="1" t="str">
        <f>IF(ISBLANK('Aqueous Species Options'!B447), "", IF('Aqueous Species Options'!L447 = 0, 'Aqueous Species Options'!P447, IF('Aqueous Species Table'!I447="", "", IF('Aqueous Species Options'!B447="H+", 0, ('Aqueous Species Options'!G447/41.8393 + 'Aqueous Species Table'!O447*100000*0.0000005903 - 'Aqueous Species Table'!I447/10 - 'Aqueous Species Table'!J447*100/2601)*(298.15-228) - ('Aqueous Species Table'!L447*10000/2601) ) ) ) )</f>
        <v/>
      </c>
      <c r="L447" s="1" t="str">
        <f>IF(ISBLANK('Aqueous Species Options'!B447), "", IF('Aqueous Species Options'!L447 = 0, 'Aqueous Species Options'!Q447, IF('Aqueous Species Table'!J447="", "", IF('Aqueous Species Options'!B447="H+", 0, (-4.134*'Aqueous Species Table'!J447*100 - 27790)*0.0001) ) ) )</f>
        <v/>
      </c>
      <c r="M447" s="1" t="str">
        <f>IF(ISBLANK('Aqueous Species Options'!B447), "", IF('Aqueous Species Options'!L447=0, 'Aqueous Species Options'!R447, IF('Aqueous Species Table'!N447="", "", IF('Aqueous Species Options'!B447="H+", 0, 'Aqueous Species Options'!H447 - 'Aqueous Species Table'!O447*100000*(-0.000000309)*298.15 - 'Aqueous Species Table'!N447*10000/(298.15-228)^2 ) ) ) )</f>
        <v/>
      </c>
      <c r="N447" s="1" t="str">
        <f>IF(ISBLANK('Aqueous Species Options'!B447), "", IF('Aqueous Species Options'!L447=0, 'Aqueous Species Options'!S447, IF(OR(ISBLANK('Aqueous Species Options'!H447), 'Aqueous Species Table'!O447=""), "", IF('Aqueous Species Options'!B447="H+", 0, 0.2037*'Aqueous Species Options'!H447 - 3.0346) ) ) )</f>
        <v/>
      </c>
      <c r="O447" s="1" t="str">
        <f>IF(ISBLANK('Aqueous Species Options'!B447), "", IF('Aqueous Species Options'!K447=0, 'Aqueous Species Options'!I447, IF(OR('Aqueous Species Options'!J447&gt;4,'Aqueous Species Options'!J447&lt;-4), "", IF('Aqueous Species Options'!B447="H+", 0, IF('Aqueous Species Options'!J447=0, -0.038, IF(ISBLANK('Aqueous Species Options'!F447), "", -1514.4*'Aqueous Species Options'!F447*0.00001 + SUM(({4,3,2,1,-1,-2,-3,-4}='Aqueous Species Options'!J447)*{2.1764,1.5793,1.0579,0.5517,1.6291,3.2127,4.8115,6.486}) ) ) ) ) ) )</f>
        <v/>
      </c>
      <c r="P447" s="1" t="str">
        <f>IF(ISBLANK('Aqueous Species Options'!J447), "", 'Aqueous Species Options'!J447)</f>
        <v/>
      </c>
      <c r="Q447" s="184" t="str">
        <f>IF(ISBLANK('Aqueous Species Options'!T447), "", 'Aqueous Species Options'!T447)</f>
        <v/>
      </c>
    </row>
    <row r="448" spans="2:17" ht="16" x14ac:dyDescent="0.2">
      <c r="B448" t="str">
        <f>IF(ISBLANK('Aqueous Species Options'!B448), "", 'Aqueous Species Options'!B448)</f>
        <v/>
      </c>
      <c r="C448" s="1" t="str">
        <f>IF(ISBLANK('Aqueous Species Options'!C448), "", 'Aqueous Species Options'!C448)</f>
        <v/>
      </c>
      <c r="D448" s="1" t="str">
        <f>IF(ISBLANK('Aqueous Species Options'!D448), "", 'Aqueous Species Options'!D448)</f>
        <v/>
      </c>
      <c r="E448" s="1" t="str">
        <f>IF(ISBLANK('Aqueous Species Options'!E448), "", 'Aqueous Species Options'!E448)</f>
        <v/>
      </c>
      <c r="F448" s="139" t="str">
        <f>IF(ISBLANK('Aqueous Species Options'!F448), "", 'Aqueous Species Options'!F448)</f>
        <v/>
      </c>
      <c r="G448" s="29" t="str">
        <f>IF(ISBLANK('Aqueous Species Options'!B448), "", IF('Aqueous Species Options'!L448 = 1, IF(ISBLANK('Aqueous Species Options'!G448), "", 'Aqueous Species Options'!G448), ('Aqueous Species Table'!I448/10 + ('Aqueous Species Table'!J448*100)/(Calculations!$C$12+Calculations!$C$9) + ('Aqueous Species Table'!K448 + ('Aqueous Species Table'!L448*10000)/(Calculations!$C$12+Calculations!$C$9))*(1/(Calculations!$C$8-Calculations!$C$13)) - 'Aqueous Species Table'!O448*100000*0.0000005903)*41.8393))</f>
        <v/>
      </c>
      <c r="H448" s="29" t="str">
        <f>IF(ISBLANK('Aqueous Species Options'!B448), "", IF('Aqueous Species Options'!L448 = 1, IF(ISBLANK('Aqueous Species Options'!H448), "", 'Aqueous Species Options'!H448), 'Aqueous Species Table'!M448 + 'Aqueous Species Table'!N448*10000*(1/(Calculations!$C$8-Calculations!$C$13))^2 + 'Aqueous Species Table'!O448*100000*Calculations!$C$8*Calculations!$C$7))</f>
        <v/>
      </c>
      <c r="I448" s="1" t="str">
        <f>IF(ISBLANK('Aqueous Species Options'!B448), "", IF('Aqueous Species Options'!L448=0, 'Aqueous Species Options'!N448, IF(OR(ISBLANK('Aqueous Species Options'!G448),'Aqueous Species Table'!O448="", 'Aqueous Species Table'!P448=""), "", IF('Aqueous Species Options'!B448="H+", 0, (CHOOSE('Aqueous Species Options'!M448+1,'Aqueous Species Options'!$V$4*ABS('Aqueous Species Table'!P448)+'Aqueous Species Options'!$W$4,'Aqueous Species Options'!$Z$4)*('Aqueous Species Options'!G448 + 'Aqueous Species Table'!O448*100000*0.0000005903*41.8393) + CHOOSE('Aqueous Species Options'!M448+1,'Aqueous Species Options'!$X$4*ABS('Aqueous Species Table'!P448)+'Aqueous Species Options'!$Y$4,'Aqueous Species Options'!$AA$4))*10 ) ) ) )</f>
        <v/>
      </c>
      <c r="J448" s="1" t="str">
        <f>IF(ISBLANK('Aqueous Species Options'!B448), "", IF('Aqueous Species Options'!L448 = 0, 'Aqueous Species Options'!O448, IF('Aqueous Species Table'!I448="", "", IF('Aqueous Species Options'!B448="H+", 0, ((1.11*('Aqueous Species Options'!G448 + 'Aqueous Species Table'!O448*100000*0.0000005903*41.8393)+1.8)/41.8393 - 'Aqueous Species Table'!I448/10)*26.01 ) ) ) )</f>
        <v/>
      </c>
      <c r="K448" s="1" t="str">
        <f>IF(ISBLANK('Aqueous Species Options'!B448), "", IF('Aqueous Species Options'!L448 = 0, 'Aqueous Species Options'!P448, IF('Aqueous Species Table'!I448="", "", IF('Aqueous Species Options'!B448="H+", 0, ('Aqueous Species Options'!G448/41.8393 + 'Aqueous Species Table'!O448*100000*0.0000005903 - 'Aqueous Species Table'!I448/10 - 'Aqueous Species Table'!J448*100/2601)*(298.15-228) - ('Aqueous Species Table'!L448*10000/2601) ) ) ) )</f>
        <v/>
      </c>
      <c r="L448" s="1" t="str">
        <f>IF(ISBLANK('Aqueous Species Options'!B448), "", IF('Aqueous Species Options'!L448 = 0, 'Aqueous Species Options'!Q448, IF('Aqueous Species Table'!J448="", "", IF('Aqueous Species Options'!B448="H+", 0, (-4.134*'Aqueous Species Table'!J448*100 - 27790)*0.0001) ) ) )</f>
        <v/>
      </c>
      <c r="M448" s="1" t="str">
        <f>IF(ISBLANK('Aqueous Species Options'!B448), "", IF('Aqueous Species Options'!L448=0, 'Aqueous Species Options'!R448, IF('Aqueous Species Table'!N448="", "", IF('Aqueous Species Options'!B448="H+", 0, 'Aqueous Species Options'!H448 - 'Aqueous Species Table'!O448*100000*(-0.000000309)*298.15 - 'Aqueous Species Table'!N448*10000/(298.15-228)^2 ) ) ) )</f>
        <v/>
      </c>
      <c r="N448" s="1" t="str">
        <f>IF(ISBLANK('Aqueous Species Options'!B448), "", IF('Aqueous Species Options'!L448=0, 'Aqueous Species Options'!S448, IF(OR(ISBLANK('Aqueous Species Options'!H448), 'Aqueous Species Table'!O448=""), "", IF('Aqueous Species Options'!B448="H+", 0, 0.2037*'Aqueous Species Options'!H448 - 3.0346) ) ) )</f>
        <v/>
      </c>
      <c r="O448" s="1" t="str">
        <f>IF(ISBLANK('Aqueous Species Options'!B448), "", IF('Aqueous Species Options'!K448=0, 'Aqueous Species Options'!I448, IF(OR('Aqueous Species Options'!J448&gt;4,'Aqueous Species Options'!J448&lt;-4), "", IF('Aqueous Species Options'!B448="H+", 0, IF('Aqueous Species Options'!J448=0, -0.038, IF(ISBLANK('Aqueous Species Options'!F448), "", -1514.4*'Aqueous Species Options'!F448*0.00001 + SUM(({4,3,2,1,-1,-2,-3,-4}='Aqueous Species Options'!J448)*{2.1764,1.5793,1.0579,0.5517,1.6291,3.2127,4.8115,6.486}) ) ) ) ) ) )</f>
        <v/>
      </c>
      <c r="P448" s="1" t="str">
        <f>IF(ISBLANK('Aqueous Species Options'!J448), "", 'Aqueous Species Options'!J448)</f>
        <v/>
      </c>
      <c r="Q448" s="184" t="str">
        <f>IF(ISBLANK('Aqueous Species Options'!T448), "", 'Aqueous Species Options'!T448)</f>
        <v/>
      </c>
    </row>
    <row r="449" spans="2:17" ht="16" x14ac:dyDescent="0.2">
      <c r="B449" t="str">
        <f>IF(ISBLANK('Aqueous Species Options'!B449), "", 'Aqueous Species Options'!B449)</f>
        <v/>
      </c>
      <c r="C449" s="1" t="str">
        <f>IF(ISBLANK('Aqueous Species Options'!C449), "", 'Aqueous Species Options'!C449)</f>
        <v/>
      </c>
      <c r="D449" s="1" t="str">
        <f>IF(ISBLANK('Aqueous Species Options'!D449), "", 'Aqueous Species Options'!D449)</f>
        <v/>
      </c>
      <c r="E449" s="1" t="str">
        <f>IF(ISBLANK('Aqueous Species Options'!E449), "", 'Aqueous Species Options'!E449)</f>
        <v/>
      </c>
      <c r="F449" s="139" t="str">
        <f>IF(ISBLANK('Aqueous Species Options'!F449), "", 'Aqueous Species Options'!F449)</f>
        <v/>
      </c>
      <c r="G449" s="29" t="str">
        <f>IF(ISBLANK('Aqueous Species Options'!B449), "", IF('Aqueous Species Options'!L449 = 1, IF(ISBLANK('Aqueous Species Options'!G449), "", 'Aqueous Species Options'!G449), ('Aqueous Species Table'!I449/10 + ('Aqueous Species Table'!J449*100)/(Calculations!$C$12+Calculations!$C$9) + ('Aqueous Species Table'!K449 + ('Aqueous Species Table'!L449*10000)/(Calculations!$C$12+Calculations!$C$9))*(1/(Calculations!$C$8-Calculations!$C$13)) - 'Aqueous Species Table'!O449*100000*0.0000005903)*41.8393))</f>
        <v/>
      </c>
      <c r="H449" s="29" t="str">
        <f>IF(ISBLANK('Aqueous Species Options'!B449), "", IF('Aqueous Species Options'!L449 = 1, IF(ISBLANK('Aqueous Species Options'!H449), "", 'Aqueous Species Options'!H449), 'Aqueous Species Table'!M449 + 'Aqueous Species Table'!N449*10000*(1/(Calculations!$C$8-Calculations!$C$13))^2 + 'Aqueous Species Table'!O449*100000*Calculations!$C$8*Calculations!$C$7))</f>
        <v/>
      </c>
      <c r="I449" s="1" t="str">
        <f>IF(ISBLANK('Aqueous Species Options'!B449), "", IF('Aqueous Species Options'!L449=0, 'Aqueous Species Options'!N449, IF(OR(ISBLANK('Aqueous Species Options'!G449),'Aqueous Species Table'!O449="", 'Aqueous Species Table'!P449=""), "", IF('Aqueous Species Options'!B449="H+", 0, (CHOOSE('Aqueous Species Options'!M449+1,'Aqueous Species Options'!$V$4*ABS('Aqueous Species Table'!P449)+'Aqueous Species Options'!$W$4,'Aqueous Species Options'!$Z$4)*('Aqueous Species Options'!G449 + 'Aqueous Species Table'!O449*100000*0.0000005903*41.8393) + CHOOSE('Aqueous Species Options'!M449+1,'Aqueous Species Options'!$X$4*ABS('Aqueous Species Table'!P449)+'Aqueous Species Options'!$Y$4,'Aqueous Species Options'!$AA$4))*10 ) ) ) )</f>
        <v/>
      </c>
      <c r="J449" s="1" t="str">
        <f>IF(ISBLANK('Aqueous Species Options'!B449), "", IF('Aqueous Species Options'!L449 = 0, 'Aqueous Species Options'!O449, IF('Aqueous Species Table'!I449="", "", IF('Aqueous Species Options'!B449="H+", 0, ((1.11*('Aqueous Species Options'!G449 + 'Aqueous Species Table'!O449*100000*0.0000005903*41.8393)+1.8)/41.8393 - 'Aqueous Species Table'!I449/10)*26.01 ) ) ) )</f>
        <v/>
      </c>
      <c r="K449" s="1" t="str">
        <f>IF(ISBLANK('Aqueous Species Options'!B449), "", IF('Aqueous Species Options'!L449 = 0, 'Aqueous Species Options'!P449, IF('Aqueous Species Table'!I449="", "", IF('Aqueous Species Options'!B449="H+", 0, ('Aqueous Species Options'!G449/41.8393 + 'Aqueous Species Table'!O449*100000*0.0000005903 - 'Aqueous Species Table'!I449/10 - 'Aqueous Species Table'!J449*100/2601)*(298.15-228) - ('Aqueous Species Table'!L449*10000/2601) ) ) ) )</f>
        <v/>
      </c>
      <c r="L449" s="1" t="str">
        <f>IF(ISBLANK('Aqueous Species Options'!B449), "", IF('Aqueous Species Options'!L449 = 0, 'Aqueous Species Options'!Q449, IF('Aqueous Species Table'!J449="", "", IF('Aqueous Species Options'!B449="H+", 0, (-4.134*'Aqueous Species Table'!J449*100 - 27790)*0.0001) ) ) )</f>
        <v/>
      </c>
      <c r="M449" s="1" t="str">
        <f>IF(ISBLANK('Aqueous Species Options'!B449), "", IF('Aqueous Species Options'!L449=0, 'Aqueous Species Options'!R449, IF('Aqueous Species Table'!N449="", "", IF('Aqueous Species Options'!B449="H+", 0, 'Aqueous Species Options'!H449 - 'Aqueous Species Table'!O449*100000*(-0.000000309)*298.15 - 'Aqueous Species Table'!N449*10000/(298.15-228)^2 ) ) ) )</f>
        <v/>
      </c>
      <c r="N449" s="1" t="str">
        <f>IF(ISBLANK('Aqueous Species Options'!B449), "", IF('Aqueous Species Options'!L449=0, 'Aqueous Species Options'!S449, IF(OR(ISBLANK('Aqueous Species Options'!H449), 'Aqueous Species Table'!O449=""), "", IF('Aqueous Species Options'!B449="H+", 0, 0.2037*'Aqueous Species Options'!H449 - 3.0346) ) ) )</f>
        <v/>
      </c>
      <c r="O449" s="1" t="str">
        <f>IF(ISBLANK('Aqueous Species Options'!B449), "", IF('Aqueous Species Options'!K449=0, 'Aqueous Species Options'!I449, IF(OR('Aqueous Species Options'!J449&gt;4,'Aqueous Species Options'!J449&lt;-4), "", IF('Aqueous Species Options'!B449="H+", 0, IF('Aqueous Species Options'!J449=0, -0.038, IF(ISBLANK('Aqueous Species Options'!F449), "", -1514.4*'Aqueous Species Options'!F449*0.00001 + SUM(({4,3,2,1,-1,-2,-3,-4}='Aqueous Species Options'!J449)*{2.1764,1.5793,1.0579,0.5517,1.6291,3.2127,4.8115,6.486}) ) ) ) ) ) )</f>
        <v/>
      </c>
      <c r="P449" s="1" t="str">
        <f>IF(ISBLANK('Aqueous Species Options'!J449), "", 'Aqueous Species Options'!J449)</f>
        <v/>
      </c>
      <c r="Q449" s="184" t="str">
        <f>IF(ISBLANK('Aqueous Species Options'!T449), "", 'Aqueous Species Options'!T449)</f>
        <v/>
      </c>
    </row>
    <row r="450" spans="2:17" ht="16" x14ac:dyDescent="0.2">
      <c r="B450" t="str">
        <f>IF(ISBLANK('Aqueous Species Options'!B450), "", 'Aqueous Species Options'!B450)</f>
        <v/>
      </c>
      <c r="C450" s="1" t="str">
        <f>IF(ISBLANK('Aqueous Species Options'!C450), "", 'Aqueous Species Options'!C450)</f>
        <v/>
      </c>
      <c r="D450" s="1" t="str">
        <f>IF(ISBLANK('Aqueous Species Options'!D450), "", 'Aqueous Species Options'!D450)</f>
        <v/>
      </c>
      <c r="E450" s="1" t="str">
        <f>IF(ISBLANK('Aqueous Species Options'!E450), "", 'Aqueous Species Options'!E450)</f>
        <v/>
      </c>
      <c r="F450" s="139" t="str">
        <f>IF(ISBLANK('Aqueous Species Options'!F450), "", 'Aqueous Species Options'!F450)</f>
        <v/>
      </c>
      <c r="G450" s="29" t="str">
        <f>IF(ISBLANK('Aqueous Species Options'!B450), "", IF('Aqueous Species Options'!L450 = 1, IF(ISBLANK('Aqueous Species Options'!G450), "", 'Aqueous Species Options'!G450), ('Aqueous Species Table'!I450/10 + ('Aqueous Species Table'!J450*100)/(Calculations!$C$12+Calculations!$C$9) + ('Aqueous Species Table'!K450 + ('Aqueous Species Table'!L450*10000)/(Calculations!$C$12+Calculations!$C$9))*(1/(Calculations!$C$8-Calculations!$C$13)) - 'Aqueous Species Table'!O450*100000*0.0000005903)*41.8393))</f>
        <v/>
      </c>
      <c r="H450" s="29" t="str">
        <f>IF(ISBLANK('Aqueous Species Options'!B450), "", IF('Aqueous Species Options'!L450 = 1, IF(ISBLANK('Aqueous Species Options'!H450), "", 'Aqueous Species Options'!H450), 'Aqueous Species Table'!M450 + 'Aqueous Species Table'!N450*10000*(1/(Calculations!$C$8-Calculations!$C$13))^2 + 'Aqueous Species Table'!O450*100000*Calculations!$C$8*Calculations!$C$7))</f>
        <v/>
      </c>
      <c r="I450" s="1" t="str">
        <f>IF(ISBLANK('Aqueous Species Options'!B450), "", IF('Aqueous Species Options'!L450=0, 'Aqueous Species Options'!N450, IF(OR(ISBLANK('Aqueous Species Options'!G450),'Aqueous Species Table'!O450="", 'Aqueous Species Table'!P450=""), "", IF('Aqueous Species Options'!B450="H+", 0, (CHOOSE('Aqueous Species Options'!M450+1,'Aqueous Species Options'!$V$4*ABS('Aqueous Species Table'!P450)+'Aqueous Species Options'!$W$4,'Aqueous Species Options'!$Z$4)*('Aqueous Species Options'!G450 + 'Aqueous Species Table'!O450*100000*0.0000005903*41.8393) + CHOOSE('Aqueous Species Options'!M450+1,'Aqueous Species Options'!$X$4*ABS('Aqueous Species Table'!P450)+'Aqueous Species Options'!$Y$4,'Aqueous Species Options'!$AA$4))*10 ) ) ) )</f>
        <v/>
      </c>
      <c r="J450" s="1" t="str">
        <f>IF(ISBLANK('Aqueous Species Options'!B450), "", IF('Aqueous Species Options'!L450 = 0, 'Aqueous Species Options'!O450, IF('Aqueous Species Table'!I450="", "", IF('Aqueous Species Options'!B450="H+", 0, ((1.11*('Aqueous Species Options'!G450 + 'Aqueous Species Table'!O450*100000*0.0000005903*41.8393)+1.8)/41.8393 - 'Aqueous Species Table'!I450/10)*26.01 ) ) ) )</f>
        <v/>
      </c>
      <c r="K450" s="1" t="str">
        <f>IF(ISBLANK('Aqueous Species Options'!B450), "", IF('Aqueous Species Options'!L450 = 0, 'Aqueous Species Options'!P450, IF('Aqueous Species Table'!I450="", "", IF('Aqueous Species Options'!B450="H+", 0, ('Aqueous Species Options'!G450/41.8393 + 'Aqueous Species Table'!O450*100000*0.0000005903 - 'Aqueous Species Table'!I450/10 - 'Aqueous Species Table'!J450*100/2601)*(298.15-228) - ('Aqueous Species Table'!L450*10000/2601) ) ) ) )</f>
        <v/>
      </c>
      <c r="L450" s="1" t="str">
        <f>IF(ISBLANK('Aqueous Species Options'!B450), "", IF('Aqueous Species Options'!L450 = 0, 'Aqueous Species Options'!Q450, IF('Aqueous Species Table'!J450="", "", IF('Aqueous Species Options'!B450="H+", 0, (-4.134*'Aqueous Species Table'!J450*100 - 27790)*0.0001) ) ) )</f>
        <v/>
      </c>
      <c r="M450" s="1" t="str">
        <f>IF(ISBLANK('Aqueous Species Options'!B450), "", IF('Aqueous Species Options'!L450=0, 'Aqueous Species Options'!R450, IF('Aqueous Species Table'!N450="", "", IF('Aqueous Species Options'!B450="H+", 0, 'Aqueous Species Options'!H450 - 'Aqueous Species Table'!O450*100000*(-0.000000309)*298.15 - 'Aqueous Species Table'!N450*10000/(298.15-228)^2 ) ) ) )</f>
        <v/>
      </c>
      <c r="N450" s="1" t="str">
        <f>IF(ISBLANK('Aqueous Species Options'!B450), "", IF('Aqueous Species Options'!L450=0, 'Aqueous Species Options'!S450, IF(OR(ISBLANK('Aqueous Species Options'!H450), 'Aqueous Species Table'!O450=""), "", IF('Aqueous Species Options'!B450="H+", 0, 0.2037*'Aqueous Species Options'!H450 - 3.0346) ) ) )</f>
        <v/>
      </c>
      <c r="O450" s="1" t="str">
        <f>IF(ISBLANK('Aqueous Species Options'!B450), "", IF('Aqueous Species Options'!K450=0, 'Aqueous Species Options'!I450, IF(OR('Aqueous Species Options'!J450&gt;4,'Aqueous Species Options'!J450&lt;-4), "", IF('Aqueous Species Options'!B450="H+", 0, IF('Aqueous Species Options'!J450=0, -0.038, IF(ISBLANK('Aqueous Species Options'!F450), "", -1514.4*'Aqueous Species Options'!F450*0.00001 + SUM(({4,3,2,1,-1,-2,-3,-4}='Aqueous Species Options'!J450)*{2.1764,1.5793,1.0579,0.5517,1.6291,3.2127,4.8115,6.486}) ) ) ) ) ) )</f>
        <v/>
      </c>
      <c r="P450" s="1" t="str">
        <f>IF(ISBLANK('Aqueous Species Options'!J450), "", 'Aqueous Species Options'!J450)</f>
        <v/>
      </c>
      <c r="Q450" s="184" t="str">
        <f>IF(ISBLANK('Aqueous Species Options'!T450), "", 'Aqueous Species Options'!T450)</f>
        <v/>
      </c>
    </row>
    <row r="451" spans="2:17" ht="16" x14ac:dyDescent="0.2">
      <c r="B451" t="str">
        <f>IF(ISBLANK('Aqueous Species Options'!B451), "", 'Aqueous Species Options'!B451)</f>
        <v/>
      </c>
      <c r="C451" s="1" t="str">
        <f>IF(ISBLANK('Aqueous Species Options'!C451), "", 'Aqueous Species Options'!C451)</f>
        <v/>
      </c>
      <c r="D451" s="1" t="str">
        <f>IF(ISBLANK('Aqueous Species Options'!D451), "", 'Aqueous Species Options'!D451)</f>
        <v/>
      </c>
      <c r="E451" s="1" t="str">
        <f>IF(ISBLANK('Aqueous Species Options'!E451), "", 'Aqueous Species Options'!E451)</f>
        <v/>
      </c>
      <c r="F451" s="139" t="str">
        <f>IF(ISBLANK('Aqueous Species Options'!F451), "", 'Aqueous Species Options'!F451)</f>
        <v/>
      </c>
      <c r="G451" s="29" t="str">
        <f>IF(ISBLANK('Aqueous Species Options'!B451), "", IF('Aqueous Species Options'!L451 = 1, IF(ISBLANK('Aqueous Species Options'!G451), "", 'Aqueous Species Options'!G451), ('Aqueous Species Table'!I451/10 + ('Aqueous Species Table'!J451*100)/(Calculations!$C$12+Calculations!$C$9) + ('Aqueous Species Table'!K451 + ('Aqueous Species Table'!L451*10000)/(Calculations!$C$12+Calculations!$C$9))*(1/(Calculations!$C$8-Calculations!$C$13)) - 'Aqueous Species Table'!O451*100000*0.0000005903)*41.8393))</f>
        <v/>
      </c>
      <c r="H451" s="29" t="str">
        <f>IF(ISBLANK('Aqueous Species Options'!B451), "", IF('Aqueous Species Options'!L451 = 1, IF(ISBLANK('Aqueous Species Options'!H451), "", 'Aqueous Species Options'!H451), 'Aqueous Species Table'!M451 + 'Aqueous Species Table'!N451*10000*(1/(Calculations!$C$8-Calculations!$C$13))^2 + 'Aqueous Species Table'!O451*100000*Calculations!$C$8*Calculations!$C$7))</f>
        <v/>
      </c>
      <c r="I451" s="1" t="str">
        <f>IF(ISBLANK('Aqueous Species Options'!B451), "", IF('Aqueous Species Options'!L451=0, 'Aqueous Species Options'!N451, IF(OR(ISBLANK('Aqueous Species Options'!G451),'Aqueous Species Table'!O451="", 'Aqueous Species Table'!P451=""), "", IF('Aqueous Species Options'!B451="H+", 0, (CHOOSE('Aqueous Species Options'!M451+1,'Aqueous Species Options'!$V$4*ABS('Aqueous Species Table'!P451)+'Aqueous Species Options'!$W$4,'Aqueous Species Options'!$Z$4)*('Aqueous Species Options'!G451 + 'Aqueous Species Table'!O451*100000*0.0000005903*41.8393) + CHOOSE('Aqueous Species Options'!M451+1,'Aqueous Species Options'!$X$4*ABS('Aqueous Species Table'!P451)+'Aqueous Species Options'!$Y$4,'Aqueous Species Options'!$AA$4))*10 ) ) ) )</f>
        <v/>
      </c>
      <c r="J451" s="1" t="str">
        <f>IF(ISBLANK('Aqueous Species Options'!B451), "", IF('Aqueous Species Options'!L451 = 0, 'Aqueous Species Options'!O451, IF('Aqueous Species Table'!I451="", "", IF('Aqueous Species Options'!B451="H+", 0, ((1.11*('Aqueous Species Options'!G451 + 'Aqueous Species Table'!O451*100000*0.0000005903*41.8393)+1.8)/41.8393 - 'Aqueous Species Table'!I451/10)*26.01 ) ) ) )</f>
        <v/>
      </c>
      <c r="K451" s="1" t="str">
        <f>IF(ISBLANK('Aqueous Species Options'!B451), "", IF('Aqueous Species Options'!L451 = 0, 'Aqueous Species Options'!P451, IF('Aqueous Species Table'!I451="", "", IF('Aqueous Species Options'!B451="H+", 0, ('Aqueous Species Options'!G451/41.8393 + 'Aqueous Species Table'!O451*100000*0.0000005903 - 'Aqueous Species Table'!I451/10 - 'Aqueous Species Table'!J451*100/2601)*(298.15-228) - ('Aqueous Species Table'!L451*10000/2601) ) ) ) )</f>
        <v/>
      </c>
      <c r="L451" s="1" t="str">
        <f>IF(ISBLANK('Aqueous Species Options'!B451), "", IF('Aqueous Species Options'!L451 = 0, 'Aqueous Species Options'!Q451, IF('Aqueous Species Table'!J451="", "", IF('Aqueous Species Options'!B451="H+", 0, (-4.134*'Aqueous Species Table'!J451*100 - 27790)*0.0001) ) ) )</f>
        <v/>
      </c>
      <c r="M451" s="1" t="str">
        <f>IF(ISBLANK('Aqueous Species Options'!B451), "", IF('Aqueous Species Options'!L451=0, 'Aqueous Species Options'!R451, IF('Aqueous Species Table'!N451="", "", IF('Aqueous Species Options'!B451="H+", 0, 'Aqueous Species Options'!H451 - 'Aqueous Species Table'!O451*100000*(-0.000000309)*298.15 - 'Aqueous Species Table'!N451*10000/(298.15-228)^2 ) ) ) )</f>
        <v/>
      </c>
      <c r="N451" s="1" t="str">
        <f>IF(ISBLANK('Aqueous Species Options'!B451), "", IF('Aqueous Species Options'!L451=0, 'Aqueous Species Options'!S451, IF(OR(ISBLANK('Aqueous Species Options'!H451), 'Aqueous Species Table'!O451=""), "", IF('Aqueous Species Options'!B451="H+", 0, 0.2037*'Aqueous Species Options'!H451 - 3.0346) ) ) )</f>
        <v/>
      </c>
      <c r="O451" s="1" t="str">
        <f>IF(ISBLANK('Aqueous Species Options'!B451), "", IF('Aqueous Species Options'!K451=0, 'Aqueous Species Options'!I451, IF(OR('Aqueous Species Options'!J451&gt;4,'Aqueous Species Options'!J451&lt;-4), "", IF('Aqueous Species Options'!B451="H+", 0, IF('Aqueous Species Options'!J451=0, -0.038, IF(ISBLANK('Aqueous Species Options'!F451), "", -1514.4*'Aqueous Species Options'!F451*0.00001 + SUM(({4,3,2,1,-1,-2,-3,-4}='Aqueous Species Options'!J451)*{2.1764,1.5793,1.0579,0.5517,1.6291,3.2127,4.8115,6.486}) ) ) ) ) ) )</f>
        <v/>
      </c>
      <c r="P451" s="1" t="str">
        <f>IF(ISBLANK('Aqueous Species Options'!J451), "", 'Aqueous Species Options'!J451)</f>
        <v/>
      </c>
      <c r="Q451" s="184" t="str">
        <f>IF(ISBLANK('Aqueous Species Options'!T451), "", 'Aqueous Species Options'!T451)</f>
        <v/>
      </c>
    </row>
    <row r="452" spans="2:17" ht="16" x14ac:dyDescent="0.2">
      <c r="B452" t="str">
        <f>IF(ISBLANK('Aqueous Species Options'!B452), "", 'Aqueous Species Options'!B452)</f>
        <v/>
      </c>
      <c r="C452" s="1" t="str">
        <f>IF(ISBLANK('Aqueous Species Options'!C452), "", 'Aqueous Species Options'!C452)</f>
        <v/>
      </c>
      <c r="D452" s="1" t="str">
        <f>IF(ISBLANK('Aqueous Species Options'!D452), "", 'Aqueous Species Options'!D452)</f>
        <v/>
      </c>
      <c r="E452" s="1" t="str">
        <f>IF(ISBLANK('Aqueous Species Options'!E452), "", 'Aqueous Species Options'!E452)</f>
        <v/>
      </c>
      <c r="F452" s="139" t="str">
        <f>IF(ISBLANK('Aqueous Species Options'!F452), "", 'Aqueous Species Options'!F452)</f>
        <v/>
      </c>
      <c r="G452" s="29" t="str">
        <f>IF(ISBLANK('Aqueous Species Options'!B452), "", IF('Aqueous Species Options'!L452 = 1, IF(ISBLANK('Aqueous Species Options'!G452), "", 'Aqueous Species Options'!G452), ('Aqueous Species Table'!I452/10 + ('Aqueous Species Table'!J452*100)/(Calculations!$C$12+Calculations!$C$9) + ('Aqueous Species Table'!K452 + ('Aqueous Species Table'!L452*10000)/(Calculations!$C$12+Calculations!$C$9))*(1/(Calculations!$C$8-Calculations!$C$13)) - 'Aqueous Species Table'!O452*100000*0.0000005903)*41.8393))</f>
        <v/>
      </c>
      <c r="H452" s="29" t="str">
        <f>IF(ISBLANK('Aqueous Species Options'!B452), "", IF('Aqueous Species Options'!L452 = 1, IF(ISBLANK('Aqueous Species Options'!H452), "", 'Aqueous Species Options'!H452), 'Aqueous Species Table'!M452 + 'Aqueous Species Table'!N452*10000*(1/(Calculations!$C$8-Calculations!$C$13))^2 + 'Aqueous Species Table'!O452*100000*Calculations!$C$8*Calculations!$C$7))</f>
        <v/>
      </c>
      <c r="I452" s="1" t="str">
        <f>IF(ISBLANK('Aqueous Species Options'!B452), "", IF('Aqueous Species Options'!L452=0, 'Aqueous Species Options'!N452, IF(OR(ISBLANK('Aqueous Species Options'!G452),'Aqueous Species Table'!O452="", 'Aqueous Species Table'!P452=""), "", IF('Aqueous Species Options'!B452="H+", 0, (CHOOSE('Aqueous Species Options'!M452+1,'Aqueous Species Options'!$V$4*ABS('Aqueous Species Table'!P452)+'Aqueous Species Options'!$W$4,'Aqueous Species Options'!$Z$4)*('Aqueous Species Options'!G452 + 'Aqueous Species Table'!O452*100000*0.0000005903*41.8393) + CHOOSE('Aqueous Species Options'!M452+1,'Aqueous Species Options'!$X$4*ABS('Aqueous Species Table'!P452)+'Aqueous Species Options'!$Y$4,'Aqueous Species Options'!$AA$4))*10 ) ) ) )</f>
        <v/>
      </c>
      <c r="J452" s="1" t="str">
        <f>IF(ISBLANK('Aqueous Species Options'!B452), "", IF('Aqueous Species Options'!L452 = 0, 'Aqueous Species Options'!O452, IF('Aqueous Species Table'!I452="", "", IF('Aqueous Species Options'!B452="H+", 0, ((1.11*('Aqueous Species Options'!G452 + 'Aqueous Species Table'!O452*100000*0.0000005903*41.8393)+1.8)/41.8393 - 'Aqueous Species Table'!I452/10)*26.01 ) ) ) )</f>
        <v/>
      </c>
      <c r="K452" s="1" t="str">
        <f>IF(ISBLANK('Aqueous Species Options'!B452), "", IF('Aqueous Species Options'!L452 = 0, 'Aqueous Species Options'!P452, IF('Aqueous Species Table'!I452="", "", IF('Aqueous Species Options'!B452="H+", 0, ('Aqueous Species Options'!G452/41.8393 + 'Aqueous Species Table'!O452*100000*0.0000005903 - 'Aqueous Species Table'!I452/10 - 'Aqueous Species Table'!J452*100/2601)*(298.15-228) - ('Aqueous Species Table'!L452*10000/2601) ) ) ) )</f>
        <v/>
      </c>
      <c r="L452" s="1" t="str">
        <f>IF(ISBLANK('Aqueous Species Options'!B452), "", IF('Aqueous Species Options'!L452 = 0, 'Aqueous Species Options'!Q452, IF('Aqueous Species Table'!J452="", "", IF('Aqueous Species Options'!B452="H+", 0, (-4.134*'Aqueous Species Table'!J452*100 - 27790)*0.0001) ) ) )</f>
        <v/>
      </c>
      <c r="M452" s="1" t="str">
        <f>IF(ISBLANK('Aqueous Species Options'!B452), "", IF('Aqueous Species Options'!L452=0, 'Aqueous Species Options'!R452, IF('Aqueous Species Table'!N452="", "", IF('Aqueous Species Options'!B452="H+", 0, 'Aqueous Species Options'!H452 - 'Aqueous Species Table'!O452*100000*(-0.000000309)*298.15 - 'Aqueous Species Table'!N452*10000/(298.15-228)^2 ) ) ) )</f>
        <v/>
      </c>
      <c r="N452" s="1" t="str">
        <f>IF(ISBLANK('Aqueous Species Options'!B452), "", IF('Aqueous Species Options'!L452=0, 'Aqueous Species Options'!S452, IF(OR(ISBLANK('Aqueous Species Options'!H452), 'Aqueous Species Table'!O452=""), "", IF('Aqueous Species Options'!B452="H+", 0, 0.2037*'Aqueous Species Options'!H452 - 3.0346) ) ) )</f>
        <v/>
      </c>
      <c r="O452" s="1" t="str">
        <f>IF(ISBLANK('Aqueous Species Options'!B452), "", IF('Aqueous Species Options'!K452=0, 'Aqueous Species Options'!I452, IF(OR('Aqueous Species Options'!J452&gt;4,'Aqueous Species Options'!J452&lt;-4), "", IF('Aqueous Species Options'!B452="H+", 0, IF('Aqueous Species Options'!J452=0, -0.038, IF(ISBLANK('Aqueous Species Options'!F452), "", -1514.4*'Aqueous Species Options'!F452*0.00001 + SUM(({4,3,2,1,-1,-2,-3,-4}='Aqueous Species Options'!J452)*{2.1764,1.5793,1.0579,0.5517,1.6291,3.2127,4.8115,6.486}) ) ) ) ) ) )</f>
        <v/>
      </c>
      <c r="P452" s="1" t="str">
        <f>IF(ISBLANK('Aqueous Species Options'!J452), "", 'Aqueous Species Options'!J452)</f>
        <v/>
      </c>
      <c r="Q452" s="184" t="str">
        <f>IF(ISBLANK('Aqueous Species Options'!T452), "", 'Aqueous Species Options'!T452)</f>
        <v/>
      </c>
    </row>
    <row r="453" spans="2:17" ht="16" x14ac:dyDescent="0.2">
      <c r="B453" t="str">
        <f>IF(ISBLANK('Aqueous Species Options'!B453), "", 'Aqueous Species Options'!B453)</f>
        <v/>
      </c>
      <c r="C453" s="1" t="str">
        <f>IF(ISBLANK('Aqueous Species Options'!C453), "", 'Aqueous Species Options'!C453)</f>
        <v/>
      </c>
      <c r="D453" s="1" t="str">
        <f>IF(ISBLANK('Aqueous Species Options'!D453), "", 'Aqueous Species Options'!D453)</f>
        <v/>
      </c>
      <c r="E453" s="1" t="str">
        <f>IF(ISBLANK('Aqueous Species Options'!E453), "", 'Aqueous Species Options'!E453)</f>
        <v/>
      </c>
      <c r="F453" s="139" t="str">
        <f>IF(ISBLANK('Aqueous Species Options'!F453), "", 'Aqueous Species Options'!F453)</f>
        <v/>
      </c>
      <c r="G453" s="29" t="str">
        <f>IF(ISBLANK('Aqueous Species Options'!B453), "", IF('Aqueous Species Options'!L453 = 1, IF(ISBLANK('Aqueous Species Options'!G453), "", 'Aqueous Species Options'!G453), ('Aqueous Species Table'!I453/10 + ('Aqueous Species Table'!J453*100)/(Calculations!$C$12+Calculations!$C$9) + ('Aqueous Species Table'!K453 + ('Aqueous Species Table'!L453*10000)/(Calculations!$C$12+Calculations!$C$9))*(1/(Calculations!$C$8-Calculations!$C$13)) - 'Aqueous Species Table'!O453*100000*0.0000005903)*41.8393))</f>
        <v/>
      </c>
      <c r="H453" s="29" t="str">
        <f>IF(ISBLANK('Aqueous Species Options'!B453), "", IF('Aqueous Species Options'!L453 = 1, IF(ISBLANK('Aqueous Species Options'!H453), "", 'Aqueous Species Options'!H453), 'Aqueous Species Table'!M453 + 'Aqueous Species Table'!N453*10000*(1/(Calculations!$C$8-Calculations!$C$13))^2 + 'Aqueous Species Table'!O453*100000*Calculations!$C$8*Calculations!$C$7))</f>
        <v/>
      </c>
      <c r="I453" s="1" t="str">
        <f>IF(ISBLANK('Aqueous Species Options'!B453), "", IF('Aqueous Species Options'!L453=0, 'Aqueous Species Options'!N453, IF(OR(ISBLANK('Aqueous Species Options'!G453),'Aqueous Species Table'!O453="", 'Aqueous Species Table'!P453=""), "", IF('Aqueous Species Options'!B453="H+", 0, (CHOOSE('Aqueous Species Options'!M453+1,'Aqueous Species Options'!$V$4*ABS('Aqueous Species Table'!P453)+'Aqueous Species Options'!$W$4,'Aqueous Species Options'!$Z$4)*('Aqueous Species Options'!G453 + 'Aqueous Species Table'!O453*100000*0.0000005903*41.8393) + CHOOSE('Aqueous Species Options'!M453+1,'Aqueous Species Options'!$X$4*ABS('Aqueous Species Table'!P453)+'Aqueous Species Options'!$Y$4,'Aqueous Species Options'!$AA$4))*10 ) ) ) )</f>
        <v/>
      </c>
      <c r="J453" s="1" t="str">
        <f>IF(ISBLANK('Aqueous Species Options'!B453), "", IF('Aqueous Species Options'!L453 = 0, 'Aqueous Species Options'!O453, IF('Aqueous Species Table'!I453="", "", IF('Aqueous Species Options'!B453="H+", 0, ((1.11*('Aqueous Species Options'!G453 + 'Aqueous Species Table'!O453*100000*0.0000005903*41.8393)+1.8)/41.8393 - 'Aqueous Species Table'!I453/10)*26.01 ) ) ) )</f>
        <v/>
      </c>
      <c r="K453" s="1" t="str">
        <f>IF(ISBLANK('Aqueous Species Options'!B453), "", IF('Aqueous Species Options'!L453 = 0, 'Aqueous Species Options'!P453, IF('Aqueous Species Table'!I453="", "", IF('Aqueous Species Options'!B453="H+", 0, ('Aqueous Species Options'!G453/41.8393 + 'Aqueous Species Table'!O453*100000*0.0000005903 - 'Aqueous Species Table'!I453/10 - 'Aqueous Species Table'!J453*100/2601)*(298.15-228) - ('Aqueous Species Table'!L453*10000/2601) ) ) ) )</f>
        <v/>
      </c>
      <c r="L453" s="1" t="str">
        <f>IF(ISBLANK('Aqueous Species Options'!B453), "", IF('Aqueous Species Options'!L453 = 0, 'Aqueous Species Options'!Q453, IF('Aqueous Species Table'!J453="", "", IF('Aqueous Species Options'!B453="H+", 0, (-4.134*'Aqueous Species Table'!J453*100 - 27790)*0.0001) ) ) )</f>
        <v/>
      </c>
      <c r="M453" s="1" t="str">
        <f>IF(ISBLANK('Aqueous Species Options'!B453), "", IF('Aqueous Species Options'!L453=0, 'Aqueous Species Options'!R453, IF('Aqueous Species Table'!N453="", "", IF('Aqueous Species Options'!B453="H+", 0, 'Aqueous Species Options'!H453 - 'Aqueous Species Table'!O453*100000*(-0.000000309)*298.15 - 'Aqueous Species Table'!N453*10000/(298.15-228)^2 ) ) ) )</f>
        <v/>
      </c>
      <c r="N453" s="1" t="str">
        <f>IF(ISBLANK('Aqueous Species Options'!B453), "", IF('Aqueous Species Options'!L453=0, 'Aqueous Species Options'!S453, IF(OR(ISBLANK('Aqueous Species Options'!H453), 'Aqueous Species Table'!O453=""), "", IF('Aqueous Species Options'!B453="H+", 0, 0.2037*'Aqueous Species Options'!H453 - 3.0346) ) ) )</f>
        <v/>
      </c>
      <c r="O453" s="1" t="str">
        <f>IF(ISBLANK('Aqueous Species Options'!B453), "", IF('Aqueous Species Options'!K453=0, 'Aqueous Species Options'!I453, IF(OR('Aqueous Species Options'!J453&gt;4,'Aqueous Species Options'!J453&lt;-4), "", IF('Aqueous Species Options'!B453="H+", 0, IF('Aqueous Species Options'!J453=0, -0.038, IF(ISBLANK('Aqueous Species Options'!F453), "", -1514.4*'Aqueous Species Options'!F453*0.00001 + SUM(({4,3,2,1,-1,-2,-3,-4}='Aqueous Species Options'!J453)*{2.1764,1.5793,1.0579,0.5517,1.6291,3.2127,4.8115,6.486}) ) ) ) ) ) )</f>
        <v/>
      </c>
      <c r="P453" s="1" t="str">
        <f>IF(ISBLANK('Aqueous Species Options'!J453), "", 'Aqueous Species Options'!J453)</f>
        <v/>
      </c>
      <c r="Q453" s="184" t="str">
        <f>IF(ISBLANK('Aqueous Species Options'!T453), "", 'Aqueous Species Options'!T453)</f>
        <v/>
      </c>
    </row>
    <row r="454" spans="2:17" ht="16" x14ac:dyDescent="0.2">
      <c r="B454" t="str">
        <f>IF(ISBLANK('Aqueous Species Options'!B454), "", 'Aqueous Species Options'!B454)</f>
        <v/>
      </c>
      <c r="C454" s="1" t="str">
        <f>IF(ISBLANK('Aqueous Species Options'!C454), "", 'Aqueous Species Options'!C454)</f>
        <v/>
      </c>
      <c r="D454" s="1" t="str">
        <f>IF(ISBLANK('Aqueous Species Options'!D454), "", 'Aqueous Species Options'!D454)</f>
        <v/>
      </c>
      <c r="E454" s="1" t="str">
        <f>IF(ISBLANK('Aqueous Species Options'!E454), "", 'Aqueous Species Options'!E454)</f>
        <v/>
      </c>
      <c r="F454" s="139" t="str">
        <f>IF(ISBLANK('Aqueous Species Options'!F454), "", 'Aqueous Species Options'!F454)</f>
        <v/>
      </c>
      <c r="G454" s="29" t="str">
        <f>IF(ISBLANK('Aqueous Species Options'!B454), "", IF('Aqueous Species Options'!L454 = 1, IF(ISBLANK('Aqueous Species Options'!G454), "", 'Aqueous Species Options'!G454), ('Aqueous Species Table'!I454/10 + ('Aqueous Species Table'!J454*100)/(Calculations!$C$12+Calculations!$C$9) + ('Aqueous Species Table'!K454 + ('Aqueous Species Table'!L454*10000)/(Calculations!$C$12+Calculations!$C$9))*(1/(Calculations!$C$8-Calculations!$C$13)) - 'Aqueous Species Table'!O454*100000*0.0000005903)*41.8393))</f>
        <v/>
      </c>
      <c r="H454" s="29" t="str">
        <f>IF(ISBLANK('Aqueous Species Options'!B454), "", IF('Aqueous Species Options'!L454 = 1, IF(ISBLANK('Aqueous Species Options'!H454), "", 'Aqueous Species Options'!H454), 'Aqueous Species Table'!M454 + 'Aqueous Species Table'!N454*10000*(1/(Calculations!$C$8-Calculations!$C$13))^2 + 'Aqueous Species Table'!O454*100000*Calculations!$C$8*Calculations!$C$7))</f>
        <v/>
      </c>
      <c r="I454" s="1" t="str">
        <f>IF(ISBLANK('Aqueous Species Options'!B454), "", IF('Aqueous Species Options'!L454=0, 'Aqueous Species Options'!N454, IF(OR(ISBLANK('Aqueous Species Options'!G454),'Aqueous Species Table'!O454="", 'Aqueous Species Table'!P454=""), "", IF('Aqueous Species Options'!B454="H+", 0, (CHOOSE('Aqueous Species Options'!M454+1,'Aqueous Species Options'!$V$4*ABS('Aqueous Species Table'!P454)+'Aqueous Species Options'!$W$4,'Aqueous Species Options'!$Z$4)*('Aqueous Species Options'!G454 + 'Aqueous Species Table'!O454*100000*0.0000005903*41.8393) + CHOOSE('Aqueous Species Options'!M454+1,'Aqueous Species Options'!$X$4*ABS('Aqueous Species Table'!P454)+'Aqueous Species Options'!$Y$4,'Aqueous Species Options'!$AA$4))*10 ) ) ) )</f>
        <v/>
      </c>
      <c r="J454" s="1" t="str">
        <f>IF(ISBLANK('Aqueous Species Options'!B454), "", IF('Aqueous Species Options'!L454 = 0, 'Aqueous Species Options'!O454, IF('Aqueous Species Table'!I454="", "", IF('Aqueous Species Options'!B454="H+", 0, ((1.11*('Aqueous Species Options'!G454 + 'Aqueous Species Table'!O454*100000*0.0000005903*41.8393)+1.8)/41.8393 - 'Aqueous Species Table'!I454/10)*26.01 ) ) ) )</f>
        <v/>
      </c>
      <c r="K454" s="1" t="str">
        <f>IF(ISBLANK('Aqueous Species Options'!B454), "", IF('Aqueous Species Options'!L454 = 0, 'Aqueous Species Options'!P454, IF('Aqueous Species Table'!I454="", "", IF('Aqueous Species Options'!B454="H+", 0, ('Aqueous Species Options'!G454/41.8393 + 'Aqueous Species Table'!O454*100000*0.0000005903 - 'Aqueous Species Table'!I454/10 - 'Aqueous Species Table'!J454*100/2601)*(298.15-228) - ('Aqueous Species Table'!L454*10000/2601) ) ) ) )</f>
        <v/>
      </c>
      <c r="L454" s="1" t="str">
        <f>IF(ISBLANK('Aqueous Species Options'!B454), "", IF('Aqueous Species Options'!L454 = 0, 'Aqueous Species Options'!Q454, IF('Aqueous Species Table'!J454="", "", IF('Aqueous Species Options'!B454="H+", 0, (-4.134*'Aqueous Species Table'!J454*100 - 27790)*0.0001) ) ) )</f>
        <v/>
      </c>
      <c r="M454" s="1" t="str">
        <f>IF(ISBLANK('Aqueous Species Options'!B454), "", IF('Aqueous Species Options'!L454=0, 'Aqueous Species Options'!R454, IF('Aqueous Species Table'!N454="", "", IF('Aqueous Species Options'!B454="H+", 0, 'Aqueous Species Options'!H454 - 'Aqueous Species Table'!O454*100000*(-0.000000309)*298.15 - 'Aqueous Species Table'!N454*10000/(298.15-228)^2 ) ) ) )</f>
        <v/>
      </c>
      <c r="N454" s="1" t="str">
        <f>IF(ISBLANK('Aqueous Species Options'!B454), "", IF('Aqueous Species Options'!L454=0, 'Aqueous Species Options'!S454, IF(OR(ISBLANK('Aqueous Species Options'!H454), 'Aqueous Species Table'!O454=""), "", IF('Aqueous Species Options'!B454="H+", 0, 0.2037*'Aqueous Species Options'!H454 - 3.0346) ) ) )</f>
        <v/>
      </c>
      <c r="O454" s="1" t="str">
        <f>IF(ISBLANK('Aqueous Species Options'!B454), "", IF('Aqueous Species Options'!K454=0, 'Aqueous Species Options'!I454, IF(OR('Aqueous Species Options'!J454&gt;4,'Aqueous Species Options'!J454&lt;-4), "", IF('Aqueous Species Options'!B454="H+", 0, IF('Aqueous Species Options'!J454=0, -0.038, IF(ISBLANK('Aqueous Species Options'!F454), "", -1514.4*'Aqueous Species Options'!F454*0.00001 + SUM(({4,3,2,1,-1,-2,-3,-4}='Aqueous Species Options'!J454)*{2.1764,1.5793,1.0579,0.5517,1.6291,3.2127,4.8115,6.486}) ) ) ) ) ) )</f>
        <v/>
      </c>
      <c r="P454" s="1" t="str">
        <f>IF(ISBLANK('Aqueous Species Options'!J454), "", 'Aqueous Species Options'!J454)</f>
        <v/>
      </c>
      <c r="Q454" s="184" t="str">
        <f>IF(ISBLANK('Aqueous Species Options'!T454), "", 'Aqueous Species Options'!T454)</f>
        <v/>
      </c>
    </row>
    <row r="455" spans="2:17" ht="16" x14ac:dyDescent="0.2">
      <c r="B455" t="str">
        <f>IF(ISBLANK('Aqueous Species Options'!B455), "", 'Aqueous Species Options'!B455)</f>
        <v/>
      </c>
      <c r="C455" s="1" t="str">
        <f>IF(ISBLANK('Aqueous Species Options'!C455), "", 'Aqueous Species Options'!C455)</f>
        <v/>
      </c>
      <c r="D455" s="1" t="str">
        <f>IF(ISBLANK('Aqueous Species Options'!D455), "", 'Aqueous Species Options'!D455)</f>
        <v/>
      </c>
      <c r="E455" s="1" t="str">
        <f>IF(ISBLANK('Aqueous Species Options'!E455), "", 'Aqueous Species Options'!E455)</f>
        <v/>
      </c>
      <c r="F455" s="139" t="str">
        <f>IF(ISBLANK('Aqueous Species Options'!F455), "", 'Aqueous Species Options'!F455)</f>
        <v/>
      </c>
      <c r="G455" s="29" t="str">
        <f>IF(ISBLANK('Aqueous Species Options'!B455), "", IF('Aqueous Species Options'!L455 = 1, IF(ISBLANK('Aqueous Species Options'!G455), "", 'Aqueous Species Options'!G455), ('Aqueous Species Table'!I455/10 + ('Aqueous Species Table'!J455*100)/(Calculations!$C$12+Calculations!$C$9) + ('Aqueous Species Table'!K455 + ('Aqueous Species Table'!L455*10000)/(Calculations!$C$12+Calculations!$C$9))*(1/(Calculations!$C$8-Calculations!$C$13)) - 'Aqueous Species Table'!O455*100000*0.0000005903)*41.8393))</f>
        <v/>
      </c>
      <c r="H455" s="29" t="str">
        <f>IF(ISBLANK('Aqueous Species Options'!B455), "", IF('Aqueous Species Options'!L455 = 1, IF(ISBLANK('Aqueous Species Options'!H455), "", 'Aqueous Species Options'!H455), 'Aqueous Species Table'!M455 + 'Aqueous Species Table'!N455*10000*(1/(Calculations!$C$8-Calculations!$C$13))^2 + 'Aqueous Species Table'!O455*100000*Calculations!$C$8*Calculations!$C$7))</f>
        <v/>
      </c>
      <c r="I455" s="1" t="str">
        <f>IF(ISBLANK('Aqueous Species Options'!B455), "", IF('Aqueous Species Options'!L455=0, 'Aqueous Species Options'!N455, IF(OR(ISBLANK('Aqueous Species Options'!G455),'Aqueous Species Table'!O455="", 'Aqueous Species Table'!P455=""), "", IF('Aqueous Species Options'!B455="H+", 0, (CHOOSE('Aqueous Species Options'!M455+1,'Aqueous Species Options'!$V$4*ABS('Aqueous Species Table'!P455)+'Aqueous Species Options'!$W$4,'Aqueous Species Options'!$Z$4)*('Aqueous Species Options'!G455 + 'Aqueous Species Table'!O455*100000*0.0000005903*41.8393) + CHOOSE('Aqueous Species Options'!M455+1,'Aqueous Species Options'!$X$4*ABS('Aqueous Species Table'!P455)+'Aqueous Species Options'!$Y$4,'Aqueous Species Options'!$AA$4))*10 ) ) ) )</f>
        <v/>
      </c>
      <c r="J455" s="1" t="str">
        <f>IF(ISBLANK('Aqueous Species Options'!B455), "", IF('Aqueous Species Options'!L455 = 0, 'Aqueous Species Options'!O455, IF('Aqueous Species Table'!I455="", "", IF('Aqueous Species Options'!B455="H+", 0, ((1.11*('Aqueous Species Options'!G455 + 'Aqueous Species Table'!O455*100000*0.0000005903*41.8393)+1.8)/41.8393 - 'Aqueous Species Table'!I455/10)*26.01 ) ) ) )</f>
        <v/>
      </c>
      <c r="K455" s="1" t="str">
        <f>IF(ISBLANK('Aqueous Species Options'!B455), "", IF('Aqueous Species Options'!L455 = 0, 'Aqueous Species Options'!P455, IF('Aqueous Species Table'!I455="", "", IF('Aqueous Species Options'!B455="H+", 0, ('Aqueous Species Options'!G455/41.8393 + 'Aqueous Species Table'!O455*100000*0.0000005903 - 'Aqueous Species Table'!I455/10 - 'Aqueous Species Table'!J455*100/2601)*(298.15-228) - ('Aqueous Species Table'!L455*10000/2601) ) ) ) )</f>
        <v/>
      </c>
      <c r="L455" s="1" t="str">
        <f>IF(ISBLANK('Aqueous Species Options'!B455), "", IF('Aqueous Species Options'!L455 = 0, 'Aqueous Species Options'!Q455, IF('Aqueous Species Table'!J455="", "", IF('Aqueous Species Options'!B455="H+", 0, (-4.134*'Aqueous Species Table'!J455*100 - 27790)*0.0001) ) ) )</f>
        <v/>
      </c>
      <c r="M455" s="1" t="str">
        <f>IF(ISBLANK('Aqueous Species Options'!B455), "", IF('Aqueous Species Options'!L455=0, 'Aqueous Species Options'!R455, IF('Aqueous Species Table'!N455="", "", IF('Aqueous Species Options'!B455="H+", 0, 'Aqueous Species Options'!H455 - 'Aqueous Species Table'!O455*100000*(-0.000000309)*298.15 - 'Aqueous Species Table'!N455*10000/(298.15-228)^2 ) ) ) )</f>
        <v/>
      </c>
      <c r="N455" s="1" t="str">
        <f>IF(ISBLANK('Aqueous Species Options'!B455), "", IF('Aqueous Species Options'!L455=0, 'Aqueous Species Options'!S455, IF(OR(ISBLANK('Aqueous Species Options'!H455), 'Aqueous Species Table'!O455=""), "", IF('Aqueous Species Options'!B455="H+", 0, 0.2037*'Aqueous Species Options'!H455 - 3.0346) ) ) )</f>
        <v/>
      </c>
      <c r="O455" s="1" t="str">
        <f>IF(ISBLANK('Aqueous Species Options'!B455), "", IF('Aqueous Species Options'!K455=0, 'Aqueous Species Options'!I455, IF(OR('Aqueous Species Options'!J455&gt;4,'Aqueous Species Options'!J455&lt;-4), "", IF('Aqueous Species Options'!B455="H+", 0, IF('Aqueous Species Options'!J455=0, -0.038, IF(ISBLANK('Aqueous Species Options'!F455), "", -1514.4*'Aqueous Species Options'!F455*0.00001 + SUM(({4,3,2,1,-1,-2,-3,-4}='Aqueous Species Options'!J455)*{2.1764,1.5793,1.0579,0.5517,1.6291,3.2127,4.8115,6.486}) ) ) ) ) ) )</f>
        <v/>
      </c>
      <c r="P455" s="1" t="str">
        <f>IF(ISBLANK('Aqueous Species Options'!J455), "", 'Aqueous Species Options'!J455)</f>
        <v/>
      </c>
      <c r="Q455" s="184" t="str">
        <f>IF(ISBLANK('Aqueous Species Options'!T455), "", 'Aqueous Species Options'!T455)</f>
        <v/>
      </c>
    </row>
    <row r="456" spans="2:17" ht="16" x14ac:dyDescent="0.2">
      <c r="B456" t="str">
        <f>IF(ISBLANK('Aqueous Species Options'!B456), "", 'Aqueous Species Options'!B456)</f>
        <v/>
      </c>
      <c r="C456" s="1" t="str">
        <f>IF(ISBLANK('Aqueous Species Options'!C456), "", 'Aqueous Species Options'!C456)</f>
        <v/>
      </c>
      <c r="D456" s="1" t="str">
        <f>IF(ISBLANK('Aqueous Species Options'!D456), "", 'Aqueous Species Options'!D456)</f>
        <v/>
      </c>
      <c r="E456" s="1" t="str">
        <f>IF(ISBLANK('Aqueous Species Options'!E456), "", 'Aqueous Species Options'!E456)</f>
        <v/>
      </c>
      <c r="F456" s="139" t="str">
        <f>IF(ISBLANK('Aqueous Species Options'!F456), "", 'Aqueous Species Options'!F456)</f>
        <v/>
      </c>
      <c r="G456" s="29" t="str">
        <f>IF(ISBLANK('Aqueous Species Options'!B456), "", IF('Aqueous Species Options'!L456 = 1, IF(ISBLANK('Aqueous Species Options'!G456), "", 'Aqueous Species Options'!G456), ('Aqueous Species Table'!I456/10 + ('Aqueous Species Table'!J456*100)/(Calculations!$C$12+Calculations!$C$9) + ('Aqueous Species Table'!K456 + ('Aqueous Species Table'!L456*10000)/(Calculations!$C$12+Calculations!$C$9))*(1/(Calculations!$C$8-Calculations!$C$13)) - 'Aqueous Species Table'!O456*100000*0.0000005903)*41.8393))</f>
        <v/>
      </c>
      <c r="H456" s="29" t="str">
        <f>IF(ISBLANK('Aqueous Species Options'!B456), "", IF('Aqueous Species Options'!L456 = 1, IF(ISBLANK('Aqueous Species Options'!H456), "", 'Aqueous Species Options'!H456), 'Aqueous Species Table'!M456 + 'Aqueous Species Table'!N456*10000*(1/(Calculations!$C$8-Calculations!$C$13))^2 + 'Aqueous Species Table'!O456*100000*Calculations!$C$8*Calculations!$C$7))</f>
        <v/>
      </c>
      <c r="I456" s="1" t="str">
        <f>IF(ISBLANK('Aqueous Species Options'!B456), "", IF('Aqueous Species Options'!L456=0, 'Aqueous Species Options'!N456, IF(OR(ISBLANK('Aqueous Species Options'!G456),'Aqueous Species Table'!O456="", 'Aqueous Species Table'!P456=""), "", IF('Aqueous Species Options'!B456="H+", 0, (CHOOSE('Aqueous Species Options'!M456+1,'Aqueous Species Options'!$V$4*ABS('Aqueous Species Table'!P456)+'Aqueous Species Options'!$W$4,'Aqueous Species Options'!$Z$4)*('Aqueous Species Options'!G456 + 'Aqueous Species Table'!O456*100000*0.0000005903*41.8393) + CHOOSE('Aqueous Species Options'!M456+1,'Aqueous Species Options'!$X$4*ABS('Aqueous Species Table'!P456)+'Aqueous Species Options'!$Y$4,'Aqueous Species Options'!$AA$4))*10 ) ) ) )</f>
        <v/>
      </c>
      <c r="J456" s="1" t="str">
        <f>IF(ISBLANK('Aqueous Species Options'!B456), "", IF('Aqueous Species Options'!L456 = 0, 'Aqueous Species Options'!O456, IF('Aqueous Species Table'!I456="", "", IF('Aqueous Species Options'!B456="H+", 0, ((1.11*('Aqueous Species Options'!G456 + 'Aqueous Species Table'!O456*100000*0.0000005903*41.8393)+1.8)/41.8393 - 'Aqueous Species Table'!I456/10)*26.01 ) ) ) )</f>
        <v/>
      </c>
      <c r="K456" s="1" t="str">
        <f>IF(ISBLANK('Aqueous Species Options'!B456), "", IF('Aqueous Species Options'!L456 = 0, 'Aqueous Species Options'!P456, IF('Aqueous Species Table'!I456="", "", IF('Aqueous Species Options'!B456="H+", 0, ('Aqueous Species Options'!G456/41.8393 + 'Aqueous Species Table'!O456*100000*0.0000005903 - 'Aqueous Species Table'!I456/10 - 'Aqueous Species Table'!J456*100/2601)*(298.15-228) - ('Aqueous Species Table'!L456*10000/2601) ) ) ) )</f>
        <v/>
      </c>
      <c r="L456" s="1" t="str">
        <f>IF(ISBLANK('Aqueous Species Options'!B456), "", IF('Aqueous Species Options'!L456 = 0, 'Aqueous Species Options'!Q456, IF('Aqueous Species Table'!J456="", "", IF('Aqueous Species Options'!B456="H+", 0, (-4.134*'Aqueous Species Table'!J456*100 - 27790)*0.0001) ) ) )</f>
        <v/>
      </c>
      <c r="M456" s="1" t="str">
        <f>IF(ISBLANK('Aqueous Species Options'!B456), "", IF('Aqueous Species Options'!L456=0, 'Aqueous Species Options'!R456, IF('Aqueous Species Table'!N456="", "", IF('Aqueous Species Options'!B456="H+", 0, 'Aqueous Species Options'!H456 - 'Aqueous Species Table'!O456*100000*(-0.000000309)*298.15 - 'Aqueous Species Table'!N456*10000/(298.15-228)^2 ) ) ) )</f>
        <v/>
      </c>
      <c r="N456" s="1" t="str">
        <f>IF(ISBLANK('Aqueous Species Options'!B456), "", IF('Aqueous Species Options'!L456=0, 'Aqueous Species Options'!S456, IF(OR(ISBLANK('Aqueous Species Options'!H456), 'Aqueous Species Table'!O456=""), "", IF('Aqueous Species Options'!B456="H+", 0, 0.2037*'Aqueous Species Options'!H456 - 3.0346) ) ) )</f>
        <v/>
      </c>
      <c r="O456" s="1" t="str">
        <f>IF(ISBLANK('Aqueous Species Options'!B456), "", IF('Aqueous Species Options'!K456=0, 'Aqueous Species Options'!I456, IF(OR('Aqueous Species Options'!J456&gt;4,'Aqueous Species Options'!J456&lt;-4), "", IF('Aqueous Species Options'!B456="H+", 0, IF('Aqueous Species Options'!J456=0, -0.038, IF(ISBLANK('Aqueous Species Options'!F456), "", -1514.4*'Aqueous Species Options'!F456*0.00001 + SUM(({4,3,2,1,-1,-2,-3,-4}='Aqueous Species Options'!J456)*{2.1764,1.5793,1.0579,0.5517,1.6291,3.2127,4.8115,6.486}) ) ) ) ) ) )</f>
        <v/>
      </c>
      <c r="P456" s="1" t="str">
        <f>IF(ISBLANK('Aqueous Species Options'!J456), "", 'Aqueous Species Options'!J456)</f>
        <v/>
      </c>
      <c r="Q456" s="184" t="str">
        <f>IF(ISBLANK('Aqueous Species Options'!T456), "", 'Aqueous Species Options'!T456)</f>
        <v/>
      </c>
    </row>
    <row r="457" spans="2:17" ht="16" x14ac:dyDescent="0.2">
      <c r="B457" t="str">
        <f>IF(ISBLANK('Aqueous Species Options'!B457), "", 'Aqueous Species Options'!B457)</f>
        <v/>
      </c>
      <c r="C457" s="1" t="str">
        <f>IF(ISBLANK('Aqueous Species Options'!C457), "", 'Aqueous Species Options'!C457)</f>
        <v/>
      </c>
      <c r="D457" s="1" t="str">
        <f>IF(ISBLANK('Aqueous Species Options'!D457), "", 'Aqueous Species Options'!D457)</f>
        <v/>
      </c>
      <c r="E457" s="1" t="str">
        <f>IF(ISBLANK('Aqueous Species Options'!E457), "", 'Aqueous Species Options'!E457)</f>
        <v/>
      </c>
      <c r="F457" s="139" t="str">
        <f>IF(ISBLANK('Aqueous Species Options'!F457), "", 'Aqueous Species Options'!F457)</f>
        <v/>
      </c>
      <c r="G457" s="29" t="str">
        <f>IF(ISBLANK('Aqueous Species Options'!B457), "", IF('Aqueous Species Options'!L457 = 1, IF(ISBLANK('Aqueous Species Options'!G457), "", 'Aqueous Species Options'!G457), ('Aqueous Species Table'!I457/10 + ('Aqueous Species Table'!J457*100)/(Calculations!$C$12+Calculations!$C$9) + ('Aqueous Species Table'!K457 + ('Aqueous Species Table'!L457*10000)/(Calculations!$C$12+Calculations!$C$9))*(1/(Calculations!$C$8-Calculations!$C$13)) - 'Aqueous Species Table'!O457*100000*0.0000005903)*41.8393))</f>
        <v/>
      </c>
      <c r="H457" s="29" t="str">
        <f>IF(ISBLANK('Aqueous Species Options'!B457), "", IF('Aqueous Species Options'!L457 = 1, IF(ISBLANK('Aqueous Species Options'!H457), "", 'Aqueous Species Options'!H457), 'Aqueous Species Table'!M457 + 'Aqueous Species Table'!N457*10000*(1/(Calculations!$C$8-Calculations!$C$13))^2 + 'Aqueous Species Table'!O457*100000*Calculations!$C$8*Calculations!$C$7))</f>
        <v/>
      </c>
      <c r="I457" s="1" t="str">
        <f>IF(ISBLANK('Aqueous Species Options'!B457), "", IF('Aqueous Species Options'!L457=0, 'Aqueous Species Options'!N457, IF(OR(ISBLANK('Aqueous Species Options'!G457),'Aqueous Species Table'!O457="", 'Aqueous Species Table'!P457=""), "", IF('Aqueous Species Options'!B457="H+", 0, (CHOOSE('Aqueous Species Options'!M457+1,'Aqueous Species Options'!$V$4*ABS('Aqueous Species Table'!P457)+'Aqueous Species Options'!$W$4,'Aqueous Species Options'!$Z$4)*('Aqueous Species Options'!G457 + 'Aqueous Species Table'!O457*100000*0.0000005903*41.8393) + CHOOSE('Aqueous Species Options'!M457+1,'Aqueous Species Options'!$X$4*ABS('Aqueous Species Table'!P457)+'Aqueous Species Options'!$Y$4,'Aqueous Species Options'!$AA$4))*10 ) ) ) )</f>
        <v/>
      </c>
      <c r="J457" s="1" t="str">
        <f>IF(ISBLANK('Aqueous Species Options'!B457), "", IF('Aqueous Species Options'!L457 = 0, 'Aqueous Species Options'!O457, IF('Aqueous Species Table'!I457="", "", IF('Aqueous Species Options'!B457="H+", 0, ((1.11*('Aqueous Species Options'!G457 + 'Aqueous Species Table'!O457*100000*0.0000005903*41.8393)+1.8)/41.8393 - 'Aqueous Species Table'!I457/10)*26.01 ) ) ) )</f>
        <v/>
      </c>
      <c r="K457" s="1" t="str">
        <f>IF(ISBLANK('Aqueous Species Options'!B457), "", IF('Aqueous Species Options'!L457 = 0, 'Aqueous Species Options'!P457, IF('Aqueous Species Table'!I457="", "", IF('Aqueous Species Options'!B457="H+", 0, ('Aqueous Species Options'!G457/41.8393 + 'Aqueous Species Table'!O457*100000*0.0000005903 - 'Aqueous Species Table'!I457/10 - 'Aqueous Species Table'!J457*100/2601)*(298.15-228) - ('Aqueous Species Table'!L457*10000/2601) ) ) ) )</f>
        <v/>
      </c>
      <c r="L457" s="1" t="str">
        <f>IF(ISBLANK('Aqueous Species Options'!B457), "", IF('Aqueous Species Options'!L457 = 0, 'Aqueous Species Options'!Q457, IF('Aqueous Species Table'!J457="", "", IF('Aqueous Species Options'!B457="H+", 0, (-4.134*'Aqueous Species Table'!J457*100 - 27790)*0.0001) ) ) )</f>
        <v/>
      </c>
      <c r="M457" s="1" t="str">
        <f>IF(ISBLANK('Aqueous Species Options'!B457), "", IF('Aqueous Species Options'!L457=0, 'Aqueous Species Options'!R457, IF('Aqueous Species Table'!N457="", "", IF('Aqueous Species Options'!B457="H+", 0, 'Aqueous Species Options'!H457 - 'Aqueous Species Table'!O457*100000*(-0.000000309)*298.15 - 'Aqueous Species Table'!N457*10000/(298.15-228)^2 ) ) ) )</f>
        <v/>
      </c>
      <c r="N457" s="1" t="str">
        <f>IF(ISBLANK('Aqueous Species Options'!B457), "", IF('Aqueous Species Options'!L457=0, 'Aqueous Species Options'!S457, IF(OR(ISBLANK('Aqueous Species Options'!H457), 'Aqueous Species Table'!O457=""), "", IF('Aqueous Species Options'!B457="H+", 0, 0.2037*'Aqueous Species Options'!H457 - 3.0346) ) ) )</f>
        <v/>
      </c>
      <c r="O457" s="1" t="str">
        <f>IF(ISBLANK('Aqueous Species Options'!B457), "", IF('Aqueous Species Options'!K457=0, 'Aqueous Species Options'!I457, IF(OR('Aqueous Species Options'!J457&gt;4,'Aqueous Species Options'!J457&lt;-4), "", IF('Aqueous Species Options'!B457="H+", 0, IF('Aqueous Species Options'!J457=0, -0.038, IF(ISBLANK('Aqueous Species Options'!F457), "", -1514.4*'Aqueous Species Options'!F457*0.00001 + SUM(({4,3,2,1,-1,-2,-3,-4}='Aqueous Species Options'!J457)*{2.1764,1.5793,1.0579,0.5517,1.6291,3.2127,4.8115,6.486}) ) ) ) ) ) )</f>
        <v/>
      </c>
      <c r="P457" s="1" t="str">
        <f>IF(ISBLANK('Aqueous Species Options'!J457), "", 'Aqueous Species Options'!J457)</f>
        <v/>
      </c>
      <c r="Q457" s="184" t="str">
        <f>IF(ISBLANK('Aqueous Species Options'!T457), "", 'Aqueous Species Options'!T457)</f>
        <v/>
      </c>
    </row>
    <row r="458" spans="2:17" ht="16" x14ac:dyDescent="0.2">
      <c r="B458" t="str">
        <f>IF(ISBLANK('Aqueous Species Options'!B458), "", 'Aqueous Species Options'!B458)</f>
        <v/>
      </c>
      <c r="C458" s="1" t="str">
        <f>IF(ISBLANK('Aqueous Species Options'!C458), "", 'Aqueous Species Options'!C458)</f>
        <v/>
      </c>
      <c r="D458" s="1" t="str">
        <f>IF(ISBLANK('Aqueous Species Options'!D458), "", 'Aqueous Species Options'!D458)</f>
        <v/>
      </c>
      <c r="E458" s="1" t="str">
        <f>IF(ISBLANK('Aqueous Species Options'!E458), "", 'Aqueous Species Options'!E458)</f>
        <v/>
      </c>
      <c r="F458" s="139" t="str">
        <f>IF(ISBLANK('Aqueous Species Options'!F458), "", 'Aqueous Species Options'!F458)</f>
        <v/>
      </c>
      <c r="G458" s="29" t="str">
        <f>IF(ISBLANK('Aqueous Species Options'!B458), "", IF('Aqueous Species Options'!L458 = 1, IF(ISBLANK('Aqueous Species Options'!G458), "", 'Aqueous Species Options'!G458), ('Aqueous Species Table'!I458/10 + ('Aqueous Species Table'!J458*100)/(Calculations!$C$12+Calculations!$C$9) + ('Aqueous Species Table'!K458 + ('Aqueous Species Table'!L458*10000)/(Calculations!$C$12+Calculations!$C$9))*(1/(Calculations!$C$8-Calculations!$C$13)) - 'Aqueous Species Table'!O458*100000*0.0000005903)*41.8393))</f>
        <v/>
      </c>
      <c r="H458" s="29" t="str">
        <f>IF(ISBLANK('Aqueous Species Options'!B458), "", IF('Aqueous Species Options'!L458 = 1, IF(ISBLANK('Aqueous Species Options'!H458), "", 'Aqueous Species Options'!H458), 'Aqueous Species Table'!M458 + 'Aqueous Species Table'!N458*10000*(1/(Calculations!$C$8-Calculations!$C$13))^2 + 'Aqueous Species Table'!O458*100000*Calculations!$C$8*Calculations!$C$7))</f>
        <v/>
      </c>
      <c r="I458" s="1" t="str">
        <f>IF(ISBLANK('Aqueous Species Options'!B458), "", IF('Aqueous Species Options'!L458=0, 'Aqueous Species Options'!N458, IF(OR(ISBLANK('Aqueous Species Options'!G458),'Aqueous Species Table'!O458="", 'Aqueous Species Table'!P458=""), "", IF('Aqueous Species Options'!B458="H+", 0, (CHOOSE('Aqueous Species Options'!M458+1,'Aqueous Species Options'!$V$4*ABS('Aqueous Species Table'!P458)+'Aqueous Species Options'!$W$4,'Aqueous Species Options'!$Z$4)*('Aqueous Species Options'!G458 + 'Aqueous Species Table'!O458*100000*0.0000005903*41.8393) + CHOOSE('Aqueous Species Options'!M458+1,'Aqueous Species Options'!$X$4*ABS('Aqueous Species Table'!P458)+'Aqueous Species Options'!$Y$4,'Aqueous Species Options'!$AA$4))*10 ) ) ) )</f>
        <v/>
      </c>
      <c r="J458" s="1" t="str">
        <f>IF(ISBLANK('Aqueous Species Options'!B458), "", IF('Aqueous Species Options'!L458 = 0, 'Aqueous Species Options'!O458, IF('Aqueous Species Table'!I458="", "", IF('Aqueous Species Options'!B458="H+", 0, ((1.11*('Aqueous Species Options'!G458 + 'Aqueous Species Table'!O458*100000*0.0000005903*41.8393)+1.8)/41.8393 - 'Aqueous Species Table'!I458/10)*26.01 ) ) ) )</f>
        <v/>
      </c>
      <c r="K458" s="1" t="str">
        <f>IF(ISBLANK('Aqueous Species Options'!B458), "", IF('Aqueous Species Options'!L458 = 0, 'Aqueous Species Options'!P458, IF('Aqueous Species Table'!I458="", "", IF('Aqueous Species Options'!B458="H+", 0, ('Aqueous Species Options'!G458/41.8393 + 'Aqueous Species Table'!O458*100000*0.0000005903 - 'Aqueous Species Table'!I458/10 - 'Aqueous Species Table'!J458*100/2601)*(298.15-228) - ('Aqueous Species Table'!L458*10000/2601) ) ) ) )</f>
        <v/>
      </c>
      <c r="L458" s="1" t="str">
        <f>IF(ISBLANK('Aqueous Species Options'!B458), "", IF('Aqueous Species Options'!L458 = 0, 'Aqueous Species Options'!Q458, IF('Aqueous Species Table'!J458="", "", IF('Aqueous Species Options'!B458="H+", 0, (-4.134*'Aqueous Species Table'!J458*100 - 27790)*0.0001) ) ) )</f>
        <v/>
      </c>
      <c r="M458" s="1" t="str">
        <f>IF(ISBLANK('Aqueous Species Options'!B458), "", IF('Aqueous Species Options'!L458=0, 'Aqueous Species Options'!R458, IF('Aqueous Species Table'!N458="", "", IF('Aqueous Species Options'!B458="H+", 0, 'Aqueous Species Options'!H458 - 'Aqueous Species Table'!O458*100000*(-0.000000309)*298.15 - 'Aqueous Species Table'!N458*10000/(298.15-228)^2 ) ) ) )</f>
        <v/>
      </c>
      <c r="N458" s="1" t="str">
        <f>IF(ISBLANK('Aqueous Species Options'!B458), "", IF('Aqueous Species Options'!L458=0, 'Aqueous Species Options'!S458, IF(OR(ISBLANK('Aqueous Species Options'!H458), 'Aqueous Species Table'!O458=""), "", IF('Aqueous Species Options'!B458="H+", 0, 0.2037*'Aqueous Species Options'!H458 - 3.0346) ) ) )</f>
        <v/>
      </c>
      <c r="O458" s="1" t="str">
        <f>IF(ISBLANK('Aqueous Species Options'!B458), "", IF('Aqueous Species Options'!K458=0, 'Aqueous Species Options'!I458, IF(OR('Aqueous Species Options'!J458&gt;4,'Aqueous Species Options'!J458&lt;-4), "", IF('Aqueous Species Options'!B458="H+", 0, IF('Aqueous Species Options'!J458=0, -0.038, IF(ISBLANK('Aqueous Species Options'!F458), "", -1514.4*'Aqueous Species Options'!F458*0.00001 + SUM(({4,3,2,1,-1,-2,-3,-4}='Aqueous Species Options'!J458)*{2.1764,1.5793,1.0579,0.5517,1.6291,3.2127,4.8115,6.486}) ) ) ) ) ) )</f>
        <v/>
      </c>
      <c r="P458" s="1" t="str">
        <f>IF(ISBLANK('Aqueous Species Options'!J458), "", 'Aqueous Species Options'!J458)</f>
        <v/>
      </c>
      <c r="Q458" s="184" t="str">
        <f>IF(ISBLANK('Aqueous Species Options'!T458), "", 'Aqueous Species Options'!T458)</f>
        <v/>
      </c>
    </row>
    <row r="459" spans="2:17" ht="16" x14ac:dyDescent="0.2">
      <c r="B459" t="str">
        <f>IF(ISBLANK('Aqueous Species Options'!B459), "", 'Aqueous Species Options'!B459)</f>
        <v/>
      </c>
      <c r="C459" s="1" t="str">
        <f>IF(ISBLANK('Aqueous Species Options'!C459), "", 'Aqueous Species Options'!C459)</f>
        <v/>
      </c>
      <c r="D459" s="1" t="str">
        <f>IF(ISBLANK('Aqueous Species Options'!D459), "", 'Aqueous Species Options'!D459)</f>
        <v/>
      </c>
      <c r="E459" s="1" t="str">
        <f>IF(ISBLANK('Aqueous Species Options'!E459), "", 'Aqueous Species Options'!E459)</f>
        <v/>
      </c>
      <c r="F459" s="139" t="str">
        <f>IF(ISBLANK('Aqueous Species Options'!F459), "", 'Aqueous Species Options'!F459)</f>
        <v/>
      </c>
      <c r="G459" s="29" t="str">
        <f>IF(ISBLANK('Aqueous Species Options'!B459), "", IF('Aqueous Species Options'!L459 = 1, IF(ISBLANK('Aqueous Species Options'!G459), "", 'Aqueous Species Options'!G459), ('Aqueous Species Table'!I459/10 + ('Aqueous Species Table'!J459*100)/(Calculations!$C$12+Calculations!$C$9) + ('Aqueous Species Table'!K459 + ('Aqueous Species Table'!L459*10000)/(Calculations!$C$12+Calculations!$C$9))*(1/(Calculations!$C$8-Calculations!$C$13)) - 'Aqueous Species Table'!O459*100000*0.0000005903)*41.8393))</f>
        <v/>
      </c>
      <c r="H459" s="29" t="str">
        <f>IF(ISBLANK('Aqueous Species Options'!B459), "", IF('Aqueous Species Options'!L459 = 1, IF(ISBLANK('Aqueous Species Options'!H459), "", 'Aqueous Species Options'!H459), 'Aqueous Species Table'!M459 + 'Aqueous Species Table'!N459*10000*(1/(Calculations!$C$8-Calculations!$C$13))^2 + 'Aqueous Species Table'!O459*100000*Calculations!$C$8*Calculations!$C$7))</f>
        <v/>
      </c>
      <c r="I459" s="1" t="str">
        <f>IF(ISBLANK('Aqueous Species Options'!B459), "", IF('Aqueous Species Options'!L459=0, 'Aqueous Species Options'!N459, IF(OR(ISBLANK('Aqueous Species Options'!G459),'Aqueous Species Table'!O459="", 'Aqueous Species Table'!P459=""), "", IF('Aqueous Species Options'!B459="H+", 0, (CHOOSE('Aqueous Species Options'!M459+1,'Aqueous Species Options'!$V$4*ABS('Aqueous Species Table'!P459)+'Aqueous Species Options'!$W$4,'Aqueous Species Options'!$Z$4)*('Aqueous Species Options'!G459 + 'Aqueous Species Table'!O459*100000*0.0000005903*41.8393) + CHOOSE('Aqueous Species Options'!M459+1,'Aqueous Species Options'!$X$4*ABS('Aqueous Species Table'!P459)+'Aqueous Species Options'!$Y$4,'Aqueous Species Options'!$AA$4))*10 ) ) ) )</f>
        <v/>
      </c>
      <c r="J459" s="1" t="str">
        <f>IF(ISBLANK('Aqueous Species Options'!B459), "", IF('Aqueous Species Options'!L459 = 0, 'Aqueous Species Options'!O459, IF('Aqueous Species Table'!I459="", "", IF('Aqueous Species Options'!B459="H+", 0, ((1.11*('Aqueous Species Options'!G459 + 'Aqueous Species Table'!O459*100000*0.0000005903*41.8393)+1.8)/41.8393 - 'Aqueous Species Table'!I459/10)*26.01 ) ) ) )</f>
        <v/>
      </c>
      <c r="K459" s="1" t="str">
        <f>IF(ISBLANK('Aqueous Species Options'!B459), "", IF('Aqueous Species Options'!L459 = 0, 'Aqueous Species Options'!P459, IF('Aqueous Species Table'!I459="", "", IF('Aqueous Species Options'!B459="H+", 0, ('Aqueous Species Options'!G459/41.8393 + 'Aqueous Species Table'!O459*100000*0.0000005903 - 'Aqueous Species Table'!I459/10 - 'Aqueous Species Table'!J459*100/2601)*(298.15-228) - ('Aqueous Species Table'!L459*10000/2601) ) ) ) )</f>
        <v/>
      </c>
      <c r="L459" s="1" t="str">
        <f>IF(ISBLANK('Aqueous Species Options'!B459), "", IF('Aqueous Species Options'!L459 = 0, 'Aqueous Species Options'!Q459, IF('Aqueous Species Table'!J459="", "", IF('Aqueous Species Options'!B459="H+", 0, (-4.134*'Aqueous Species Table'!J459*100 - 27790)*0.0001) ) ) )</f>
        <v/>
      </c>
      <c r="M459" s="1" t="str">
        <f>IF(ISBLANK('Aqueous Species Options'!B459), "", IF('Aqueous Species Options'!L459=0, 'Aqueous Species Options'!R459, IF('Aqueous Species Table'!N459="", "", IF('Aqueous Species Options'!B459="H+", 0, 'Aqueous Species Options'!H459 - 'Aqueous Species Table'!O459*100000*(-0.000000309)*298.15 - 'Aqueous Species Table'!N459*10000/(298.15-228)^2 ) ) ) )</f>
        <v/>
      </c>
      <c r="N459" s="1" t="str">
        <f>IF(ISBLANK('Aqueous Species Options'!B459), "", IF('Aqueous Species Options'!L459=0, 'Aqueous Species Options'!S459, IF(OR(ISBLANK('Aqueous Species Options'!H459), 'Aqueous Species Table'!O459=""), "", IF('Aqueous Species Options'!B459="H+", 0, 0.2037*'Aqueous Species Options'!H459 - 3.0346) ) ) )</f>
        <v/>
      </c>
      <c r="O459" s="1" t="str">
        <f>IF(ISBLANK('Aqueous Species Options'!B459), "", IF('Aqueous Species Options'!K459=0, 'Aqueous Species Options'!I459, IF(OR('Aqueous Species Options'!J459&gt;4,'Aqueous Species Options'!J459&lt;-4), "", IF('Aqueous Species Options'!B459="H+", 0, IF('Aqueous Species Options'!J459=0, -0.038, IF(ISBLANK('Aqueous Species Options'!F459), "", -1514.4*'Aqueous Species Options'!F459*0.00001 + SUM(({4,3,2,1,-1,-2,-3,-4}='Aqueous Species Options'!J459)*{2.1764,1.5793,1.0579,0.5517,1.6291,3.2127,4.8115,6.486}) ) ) ) ) ) )</f>
        <v/>
      </c>
      <c r="P459" s="1" t="str">
        <f>IF(ISBLANK('Aqueous Species Options'!J459), "", 'Aqueous Species Options'!J459)</f>
        <v/>
      </c>
      <c r="Q459" s="184" t="str">
        <f>IF(ISBLANK('Aqueous Species Options'!T459), "", 'Aqueous Species Options'!T459)</f>
        <v/>
      </c>
    </row>
    <row r="460" spans="2:17" ht="16" x14ac:dyDescent="0.2">
      <c r="B460" t="str">
        <f>IF(ISBLANK('Aqueous Species Options'!B460), "", 'Aqueous Species Options'!B460)</f>
        <v/>
      </c>
      <c r="C460" s="1" t="str">
        <f>IF(ISBLANK('Aqueous Species Options'!C460), "", 'Aqueous Species Options'!C460)</f>
        <v/>
      </c>
      <c r="D460" s="1" t="str">
        <f>IF(ISBLANK('Aqueous Species Options'!D460), "", 'Aqueous Species Options'!D460)</f>
        <v/>
      </c>
      <c r="E460" s="1" t="str">
        <f>IF(ISBLANK('Aqueous Species Options'!E460), "", 'Aqueous Species Options'!E460)</f>
        <v/>
      </c>
      <c r="F460" s="139" t="str">
        <f>IF(ISBLANK('Aqueous Species Options'!F460), "", 'Aqueous Species Options'!F460)</f>
        <v/>
      </c>
      <c r="G460" s="29" t="str">
        <f>IF(ISBLANK('Aqueous Species Options'!B460), "", IF('Aqueous Species Options'!L460 = 1, IF(ISBLANK('Aqueous Species Options'!G460), "", 'Aqueous Species Options'!G460), ('Aqueous Species Table'!I460/10 + ('Aqueous Species Table'!J460*100)/(Calculations!$C$12+Calculations!$C$9) + ('Aqueous Species Table'!K460 + ('Aqueous Species Table'!L460*10000)/(Calculations!$C$12+Calculations!$C$9))*(1/(Calculations!$C$8-Calculations!$C$13)) - 'Aqueous Species Table'!O460*100000*0.0000005903)*41.8393))</f>
        <v/>
      </c>
      <c r="H460" s="29" t="str">
        <f>IF(ISBLANK('Aqueous Species Options'!B460), "", IF('Aqueous Species Options'!L460 = 1, IF(ISBLANK('Aqueous Species Options'!H460), "", 'Aqueous Species Options'!H460), 'Aqueous Species Table'!M460 + 'Aqueous Species Table'!N460*10000*(1/(Calculations!$C$8-Calculations!$C$13))^2 + 'Aqueous Species Table'!O460*100000*Calculations!$C$8*Calculations!$C$7))</f>
        <v/>
      </c>
      <c r="I460" s="1" t="str">
        <f>IF(ISBLANK('Aqueous Species Options'!B460), "", IF('Aqueous Species Options'!L460=0, 'Aqueous Species Options'!N460, IF(OR(ISBLANK('Aqueous Species Options'!G460),'Aqueous Species Table'!O460="", 'Aqueous Species Table'!P460=""), "", IF('Aqueous Species Options'!B460="H+", 0, (CHOOSE('Aqueous Species Options'!M460+1,'Aqueous Species Options'!$V$4*ABS('Aqueous Species Table'!P460)+'Aqueous Species Options'!$W$4,'Aqueous Species Options'!$Z$4)*('Aqueous Species Options'!G460 + 'Aqueous Species Table'!O460*100000*0.0000005903*41.8393) + CHOOSE('Aqueous Species Options'!M460+1,'Aqueous Species Options'!$X$4*ABS('Aqueous Species Table'!P460)+'Aqueous Species Options'!$Y$4,'Aqueous Species Options'!$AA$4))*10 ) ) ) )</f>
        <v/>
      </c>
      <c r="J460" s="1" t="str">
        <f>IF(ISBLANK('Aqueous Species Options'!B460), "", IF('Aqueous Species Options'!L460 = 0, 'Aqueous Species Options'!O460, IF('Aqueous Species Table'!I460="", "", IF('Aqueous Species Options'!B460="H+", 0, ((1.11*('Aqueous Species Options'!G460 + 'Aqueous Species Table'!O460*100000*0.0000005903*41.8393)+1.8)/41.8393 - 'Aqueous Species Table'!I460/10)*26.01 ) ) ) )</f>
        <v/>
      </c>
      <c r="K460" s="1" t="str">
        <f>IF(ISBLANK('Aqueous Species Options'!B460), "", IF('Aqueous Species Options'!L460 = 0, 'Aqueous Species Options'!P460, IF('Aqueous Species Table'!I460="", "", IF('Aqueous Species Options'!B460="H+", 0, ('Aqueous Species Options'!G460/41.8393 + 'Aqueous Species Table'!O460*100000*0.0000005903 - 'Aqueous Species Table'!I460/10 - 'Aqueous Species Table'!J460*100/2601)*(298.15-228) - ('Aqueous Species Table'!L460*10000/2601) ) ) ) )</f>
        <v/>
      </c>
      <c r="L460" s="1" t="str">
        <f>IF(ISBLANK('Aqueous Species Options'!B460), "", IF('Aqueous Species Options'!L460 = 0, 'Aqueous Species Options'!Q460, IF('Aqueous Species Table'!J460="", "", IF('Aqueous Species Options'!B460="H+", 0, (-4.134*'Aqueous Species Table'!J460*100 - 27790)*0.0001) ) ) )</f>
        <v/>
      </c>
      <c r="M460" s="1" t="str">
        <f>IF(ISBLANK('Aqueous Species Options'!B460), "", IF('Aqueous Species Options'!L460=0, 'Aqueous Species Options'!R460, IF('Aqueous Species Table'!N460="", "", IF('Aqueous Species Options'!B460="H+", 0, 'Aqueous Species Options'!H460 - 'Aqueous Species Table'!O460*100000*(-0.000000309)*298.15 - 'Aqueous Species Table'!N460*10000/(298.15-228)^2 ) ) ) )</f>
        <v/>
      </c>
      <c r="N460" s="1" t="str">
        <f>IF(ISBLANK('Aqueous Species Options'!B460), "", IF('Aqueous Species Options'!L460=0, 'Aqueous Species Options'!S460, IF(OR(ISBLANK('Aqueous Species Options'!H460), 'Aqueous Species Table'!O460=""), "", IF('Aqueous Species Options'!B460="H+", 0, 0.2037*'Aqueous Species Options'!H460 - 3.0346) ) ) )</f>
        <v/>
      </c>
      <c r="O460" s="1" t="str">
        <f>IF(ISBLANK('Aqueous Species Options'!B460), "", IF('Aqueous Species Options'!K460=0, 'Aqueous Species Options'!I460, IF(OR('Aqueous Species Options'!J460&gt;4,'Aqueous Species Options'!J460&lt;-4), "", IF('Aqueous Species Options'!B460="H+", 0, IF('Aqueous Species Options'!J460=0, -0.038, IF(ISBLANK('Aqueous Species Options'!F460), "", -1514.4*'Aqueous Species Options'!F460*0.00001 + SUM(({4,3,2,1,-1,-2,-3,-4}='Aqueous Species Options'!J460)*{2.1764,1.5793,1.0579,0.5517,1.6291,3.2127,4.8115,6.486}) ) ) ) ) ) )</f>
        <v/>
      </c>
      <c r="P460" s="1" t="str">
        <f>IF(ISBLANK('Aqueous Species Options'!J460), "", 'Aqueous Species Options'!J460)</f>
        <v/>
      </c>
      <c r="Q460" s="184" t="str">
        <f>IF(ISBLANK('Aqueous Species Options'!T460), "", 'Aqueous Species Options'!T460)</f>
        <v/>
      </c>
    </row>
    <row r="461" spans="2:17" ht="16" x14ac:dyDescent="0.2">
      <c r="B461" t="str">
        <f>IF(ISBLANK('Aqueous Species Options'!B461), "", 'Aqueous Species Options'!B461)</f>
        <v/>
      </c>
      <c r="C461" s="1" t="str">
        <f>IF(ISBLANK('Aqueous Species Options'!C461), "", 'Aqueous Species Options'!C461)</f>
        <v/>
      </c>
      <c r="D461" s="1" t="str">
        <f>IF(ISBLANK('Aqueous Species Options'!D461), "", 'Aqueous Species Options'!D461)</f>
        <v/>
      </c>
      <c r="E461" s="1" t="str">
        <f>IF(ISBLANK('Aqueous Species Options'!E461), "", 'Aqueous Species Options'!E461)</f>
        <v/>
      </c>
      <c r="F461" s="139" t="str">
        <f>IF(ISBLANK('Aqueous Species Options'!F461), "", 'Aqueous Species Options'!F461)</f>
        <v/>
      </c>
      <c r="G461" s="29" t="str">
        <f>IF(ISBLANK('Aqueous Species Options'!B461), "", IF('Aqueous Species Options'!L461 = 1, IF(ISBLANK('Aqueous Species Options'!G461), "", 'Aqueous Species Options'!G461), ('Aqueous Species Table'!I461/10 + ('Aqueous Species Table'!J461*100)/(Calculations!$C$12+Calculations!$C$9) + ('Aqueous Species Table'!K461 + ('Aqueous Species Table'!L461*10000)/(Calculations!$C$12+Calculations!$C$9))*(1/(Calculations!$C$8-Calculations!$C$13)) - 'Aqueous Species Table'!O461*100000*0.0000005903)*41.8393))</f>
        <v/>
      </c>
      <c r="H461" s="29" t="str">
        <f>IF(ISBLANK('Aqueous Species Options'!B461), "", IF('Aqueous Species Options'!L461 = 1, IF(ISBLANK('Aqueous Species Options'!H461), "", 'Aqueous Species Options'!H461), 'Aqueous Species Table'!M461 + 'Aqueous Species Table'!N461*10000*(1/(Calculations!$C$8-Calculations!$C$13))^2 + 'Aqueous Species Table'!O461*100000*Calculations!$C$8*Calculations!$C$7))</f>
        <v/>
      </c>
      <c r="I461" s="1" t="str">
        <f>IF(ISBLANK('Aqueous Species Options'!B461), "", IF('Aqueous Species Options'!L461=0, 'Aqueous Species Options'!N461, IF(OR(ISBLANK('Aqueous Species Options'!G461),'Aqueous Species Table'!O461="", 'Aqueous Species Table'!P461=""), "", IF('Aqueous Species Options'!B461="H+", 0, (CHOOSE('Aqueous Species Options'!M461+1,'Aqueous Species Options'!$V$4*ABS('Aqueous Species Table'!P461)+'Aqueous Species Options'!$W$4,'Aqueous Species Options'!$Z$4)*('Aqueous Species Options'!G461 + 'Aqueous Species Table'!O461*100000*0.0000005903*41.8393) + CHOOSE('Aqueous Species Options'!M461+1,'Aqueous Species Options'!$X$4*ABS('Aqueous Species Table'!P461)+'Aqueous Species Options'!$Y$4,'Aqueous Species Options'!$AA$4))*10 ) ) ) )</f>
        <v/>
      </c>
      <c r="J461" s="1" t="str">
        <f>IF(ISBLANK('Aqueous Species Options'!B461), "", IF('Aqueous Species Options'!L461 = 0, 'Aqueous Species Options'!O461, IF('Aqueous Species Table'!I461="", "", IF('Aqueous Species Options'!B461="H+", 0, ((1.11*('Aqueous Species Options'!G461 + 'Aqueous Species Table'!O461*100000*0.0000005903*41.8393)+1.8)/41.8393 - 'Aqueous Species Table'!I461/10)*26.01 ) ) ) )</f>
        <v/>
      </c>
      <c r="K461" s="1" t="str">
        <f>IF(ISBLANK('Aqueous Species Options'!B461), "", IF('Aqueous Species Options'!L461 = 0, 'Aqueous Species Options'!P461, IF('Aqueous Species Table'!I461="", "", IF('Aqueous Species Options'!B461="H+", 0, ('Aqueous Species Options'!G461/41.8393 + 'Aqueous Species Table'!O461*100000*0.0000005903 - 'Aqueous Species Table'!I461/10 - 'Aqueous Species Table'!J461*100/2601)*(298.15-228) - ('Aqueous Species Table'!L461*10000/2601) ) ) ) )</f>
        <v/>
      </c>
      <c r="L461" s="1" t="str">
        <f>IF(ISBLANK('Aqueous Species Options'!B461), "", IF('Aqueous Species Options'!L461 = 0, 'Aqueous Species Options'!Q461, IF('Aqueous Species Table'!J461="", "", IF('Aqueous Species Options'!B461="H+", 0, (-4.134*'Aqueous Species Table'!J461*100 - 27790)*0.0001) ) ) )</f>
        <v/>
      </c>
      <c r="M461" s="1" t="str">
        <f>IF(ISBLANK('Aqueous Species Options'!B461), "", IF('Aqueous Species Options'!L461=0, 'Aqueous Species Options'!R461, IF('Aqueous Species Table'!N461="", "", IF('Aqueous Species Options'!B461="H+", 0, 'Aqueous Species Options'!H461 - 'Aqueous Species Table'!O461*100000*(-0.000000309)*298.15 - 'Aqueous Species Table'!N461*10000/(298.15-228)^2 ) ) ) )</f>
        <v/>
      </c>
      <c r="N461" s="1" t="str">
        <f>IF(ISBLANK('Aqueous Species Options'!B461), "", IF('Aqueous Species Options'!L461=0, 'Aqueous Species Options'!S461, IF(OR(ISBLANK('Aqueous Species Options'!H461), 'Aqueous Species Table'!O461=""), "", IF('Aqueous Species Options'!B461="H+", 0, 0.2037*'Aqueous Species Options'!H461 - 3.0346) ) ) )</f>
        <v/>
      </c>
      <c r="O461" s="1" t="str">
        <f>IF(ISBLANK('Aqueous Species Options'!B461), "", IF('Aqueous Species Options'!K461=0, 'Aqueous Species Options'!I461, IF(OR('Aqueous Species Options'!J461&gt;4,'Aqueous Species Options'!J461&lt;-4), "", IF('Aqueous Species Options'!B461="H+", 0, IF('Aqueous Species Options'!J461=0, -0.038, IF(ISBLANK('Aqueous Species Options'!F461), "", -1514.4*'Aqueous Species Options'!F461*0.00001 + SUM(({4,3,2,1,-1,-2,-3,-4}='Aqueous Species Options'!J461)*{2.1764,1.5793,1.0579,0.5517,1.6291,3.2127,4.8115,6.486}) ) ) ) ) ) )</f>
        <v/>
      </c>
      <c r="P461" s="1" t="str">
        <f>IF(ISBLANK('Aqueous Species Options'!J461), "", 'Aqueous Species Options'!J461)</f>
        <v/>
      </c>
      <c r="Q461" s="184" t="str">
        <f>IF(ISBLANK('Aqueous Species Options'!T461), "", 'Aqueous Species Options'!T461)</f>
        <v/>
      </c>
    </row>
    <row r="462" spans="2:17" ht="16" x14ac:dyDescent="0.2">
      <c r="B462" t="str">
        <f>IF(ISBLANK('Aqueous Species Options'!B462), "", 'Aqueous Species Options'!B462)</f>
        <v/>
      </c>
      <c r="C462" s="1" t="str">
        <f>IF(ISBLANK('Aqueous Species Options'!C462), "", 'Aqueous Species Options'!C462)</f>
        <v/>
      </c>
      <c r="D462" s="1" t="str">
        <f>IF(ISBLANK('Aqueous Species Options'!D462), "", 'Aqueous Species Options'!D462)</f>
        <v/>
      </c>
      <c r="E462" s="1" t="str">
        <f>IF(ISBLANK('Aqueous Species Options'!E462), "", 'Aqueous Species Options'!E462)</f>
        <v/>
      </c>
      <c r="F462" s="139" t="str">
        <f>IF(ISBLANK('Aqueous Species Options'!F462), "", 'Aqueous Species Options'!F462)</f>
        <v/>
      </c>
      <c r="G462" s="29" t="str">
        <f>IF(ISBLANK('Aqueous Species Options'!B462), "", IF('Aqueous Species Options'!L462 = 1, IF(ISBLANK('Aqueous Species Options'!G462), "", 'Aqueous Species Options'!G462), ('Aqueous Species Table'!I462/10 + ('Aqueous Species Table'!J462*100)/(Calculations!$C$12+Calculations!$C$9) + ('Aqueous Species Table'!K462 + ('Aqueous Species Table'!L462*10000)/(Calculations!$C$12+Calculations!$C$9))*(1/(Calculations!$C$8-Calculations!$C$13)) - 'Aqueous Species Table'!O462*100000*0.0000005903)*41.8393))</f>
        <v/>
      </c>
      <c r="H462" s="29" t="str">
        <f>IF(ISBLANK('Aqueous Species Options'!B462), "", IF('Aqueous Species Options'!L462 = 1, IF(ISBLANK('Aqueous Species Options'!H462), "", 'Aqueous Species Options'!H462), 'Aqueous Species Table'!M462 + 'Aqueous Species Table'!N462*10000*(1/(Calculations!$C$8-Calculations!$C$13))^2 + 'Aqueous Species Table'!O462*100000*Calculations!$C$8*Calculations!$C$7))</f>
        <v/>
      </c>
      <c r="I462" s="1" t="str">
        <f>IF(ISBLANK('Aqueous Species Options'!B462), "", IF('Aqueous Species Options'!L462=0, 'Aqueous Species Options'!N462, IF(OR(ISBLANK('Aqueous Species Options'!G462),'Aqueous Species Table'!O462="", 'Aqueous Species Table'!P462=""), "", IF('Aqueous Species Options'!B462="H+", 0, (CHOOSE('Aqueous Species Options'!M462+1,'Aqueous Species Options'!$V$4*ABS('Aqueous Species Table'!P462)+'Aqueous Species Options'!$W$4,'Aqueous Species Options'!$Z$4)*('Aqueous Species Options'!G462 + 'Aqueous Species Table'!O462*100000*0.0000005903*41.8393) + CHOOSE('Aqueous Species Options'!M462+1,'Aqueous Species Options'!$X$4*ABS('Aqueous Species Table'!P462)+'Aqueous Species Options'!$Y$4,'Aqueous Species Options'!$AA$4))*10 ) ) ) )</f>
        <v/>
      </c>
      <c r="J462" s="1" t="str">
        <f>IF(ISBLANK('Aqueous Species Options'!B462), "", IF('Aqueous Species Options'!L462 = 0, 'Aqueous Species Options'!O462, IF('Aqueous Species Table'!I462="", "", IF('Aqueous Species Options'!B462="H+", 0, ((1.11*('Aqueous Species Options'!G462 + 'Aqueous Species Table'!O462*100000*0.0000005903*41.8393)+1.8)/41.8393 - 'Aqueous Species Table'!I462/10)*26.01 ) ) ) )</f>
        <v/>
      </c>
      <c r="K462" s="1" t="str">
        <f>IF(ISBLANK('Aqueous Species Options'!B462), "", IF('Aqueous Species Options'!L462 = 0, 'Aqueous Species Options'!P462, IF('Aqueous Species Table'!I462="", "", IF('Aqueous Species Options'!B462="H+", 0, ('Aqueous Species Options'!G462/41.8393 + 'Aqueous Species Table'!O462*100000*0.0000005903 - 'Aqueous Species Table'!I462/10 - 'Aqueous Species Table'!J462*100/2601)*(298.15-228) - ('Aqueous Species Table'!L462*10000/2601) ) ) ) )</f>
        <v/>
      </c>
      <c r="L462" s="1" t="str">
        <f>IF(ISBLANK('Aqueous Species Options'!B462), "", IF('Aqueous Species Options'!L462 = 0, 'Aqueous Species Options'!Q462, IF('Aqueous Species Table'!J462="", "", IF('Aqueous Species Options'!B462="H+", 0, (-4.134*'Aqueous Species Table'!J462*100 - 27790)*0.0001) ) ) )</f>
        <v/>
      </c>
      <c r="M462" s="1" t="str">
        <f>IF(ISBLANK('Aqueous Species Options'!B462), "", IF('Aqueous Species Options'!L462=0, 'Aqueous Species Options'!R462, IF('Aqueous Species Table'!N462="", "", IF('Aqueous Species Options'!B462="H+", 0, 'Aqueous Species Options'!H462 - 'Aqueous Species Table'!O462*100000*(-0.000000309)*298.15 - 'Aqueous Species Table'!N462*10000/(298.15-228)^2 ) ) ) )</f>
        <v/>
      </c>
      <c r="N462" s="1" t="str">
        <f>IF(ISBLANK('Aqueous Species Options'!B462), "", IF('Aqueous Species Options'!L462=0, 'Aqueous Species Options'!S462, IF(OR(ISBLANK('Aqueous Species Options'!H462), 'Aqueous Species Table'!O462=""), "", IF('Aqueous Species Options'!B462="H+", 0, 0.2037*'Aqueous Species Options'!H462 - 3.0346) ) ) )</f>
        <v/>
      </c>
      <c r="O462" s="1" t="str">
        <f>IF(ISBLANK('Aqueous Species Options'!B462), "", IF('Aqueous Species Options'!K462=0, 'Aqueous Species Options'!I462, IF(OR('Aqueous Species Options'!J462&gt;4,'Aqueous Species Options'!J462&lt;-4), "", IF('Aqueous Species Options'!B462="H+", 0, IF('Aqueous Species Options'!J462=0, -0.038, IF(ISBLANK('Aqueous Species Options'!F462), "", -1514.4*'Aqueous Species Options'!F462*0.00001 + SUM(({4,3,2,1,-1,-2,-3,-4}='Aqueous Species Options'!J462)*{2.1764,1.5793,1.0579,0.5517,1.6291,3.2127,4.8115,6.486}) ) ) ) ) ) )</f>
        <v/>
      </c>
      <c r="P462" s="1" t="str">
        <f>IF(ISBLANK('Aqueous Species Options'!J462), "", 'Aqueous Species Options'!J462)</f>
        <v/>
      </c>
      <c r="Q462" s="184" t="str">
        <f>IF(ISBLANK('Aqueous Species Options'!T462), "", 'Aqueous Species Options'!T462)</f>
        <v/>
      </c>
    </row>
    <row r="463" spans="2:17" ht="16" x14ac:dyDescent="0.2">
      <c r="B463" t="str">
        <f>IF(ISBLANK('Aqueous Species Options'!B463), "", 'Aqueous Species Options'!B463)</f>
        <v/>
      </c>
      <c r="C463" s="1" t="str">
        <f>IF(ISBLANK('Aqueous Species Options'!C463), "", 'Aqueous Species Options'!C463)</f>
        <v/>
      </c>
      <c r="D463" s="1" t="str">
        <f>IF(ISBLANK('Aqueous Species Options'!D463), "", 'Aqueous Species Options'!D463)</f>
        <v/>
      </c>
      <c r="E463" s="1" t="str">
        <f>IF(ISBLANK('Aqueous Species Options'!E463), "", 'Aqueous Species Options'!E463)</f>
        <v/>
      </c>
      <c r="F463" s="139" t="str">
        <f>IF(ISBLANK('Aqueous Species Options'!F463), "", 'Aqueous Species Options'!F463)</f>
        <v/>
      </c>
      <c r="G463" s="29" t="str">
        <f>IF(ISBLANK('Aqueous Species Options'!B463), "", IF('Aqueous Species Options'!L463 = 1, IF(ISBLANK('Aqueous Species Options'!G463), "", 'Aqueous Species Options'!G463), ('Aqueous Species Table'!I463/10 + ('Aqueous Species Table'!J463*100)/(Calculations!$C$12+Calculations!$C$9) + ('Aqueous Species Table'!K463 + ('Aqueous Species Table'!L463*10000)/(Calculations!$C$12+Calculations!$C$9))*(1/(Calculations!$C$8-Calculations!$C$13)) - 'Aqueous Species Table'!O463*100000*0.0000005903)*41.8393))</f>
        <v/>
      </c>
      <c r="H463" s="29" t="str">
        <f>IF(ISBLANK('Aqueous Species Options'!B463), "", IF('Aqueous Species Options'!L463 = 1, IF(ISBLANK('Aqueous Species Options'!H463), "", 'Aqueous Species Options'!H463), 'Aqueous Species Table'!M463 + 'Aqueous Species Table'!N463*10000*(1/(Calculations!$C$8-Calculations!$C$13))^2 + 'Aqueous Species Table'!O463*100000*Calculations!$C$8*Calculations!$C$7))</f>
        <v/>
      </c>
      <c r="I463" s="1" t="str">
        <f>IF(ISBLANK('Aqueous Species Options'!B463), "", IF('Aqueous Species Options'!L463=0, 'Aqueous Species Options'!N463, IF(OR(ISBLANK('Aqueous Species Options'!G463),'Aqueous Species Table'!O463="", 'Aqueous Species Table'!P463=""), "", IF('Aqueous Species Options'!B463="H+", 0, (CHOOSE('Aqueous Species Options'!M463+1,'Aqueous Species Options'!$V$4*ABS('Aqueous Species Table'!P463)+'Aqueous Species Options'!$W$4,'Aqueous Species Options'!$Z$4)*('Aqueous Species Options'!G463 + 'Aqueous Species Table'!O463*100000*0.0000005903*41.8393) + CHOOSE('Aqueous Species Options'!M463+1,'Aqueous Species Options'!$X$4*ABS('Aqueous Species Table'!P463)+'Aqueous Species Options'!$Y$4,'Aqueous Species Options'!$AA$4))*10 ) ) ) )</f>
        <v/>
      </c>
      <c r="J463" s="1" t="str">
        <f>IF(ISBLANK('Aqueous Species Options'!B463), "", IF('Aqueous Species Options'!L463 = 0, 'Aqueous Species Options'!O463, IF('Aqueous Species Table'!I463="", "", IF('Aqueous Species Options'!B463="H+", 0, ((1.11*('Aqueous Species Options'!G463 + 'Aqueous Species Table'!O463*100000*0.0000005903*41.8393)+1.8)/41.8393 - 'Aqueous Species Table'!I463/10)*26.01 ) ) ) )</f>
        <v/>
      </c>
      <c r="K463" s="1" t="str">
        <f>IF(ISBLANK('Aqueous Species Options'!B463), "", IF('Aqueous Species Options'!L463 = 0, 'Aqueous Species Options'!P463, IF('Aqueous Species Table'!I463="", "", IF('Aqueous Species Options'!B463="H+", 0, ('Aqueous Species Options'!G463/41.8393 + 'Aqueous Species Table'!O463*100000*0.0000005903 - 'Aqueous Species Table'!I463/10 - 'Aqueous Species Table'!J463*100/2601)*(298.15-228) - ('Aqueous Species Table'!L463*10000/2601) ) ) ) )</f>
        <v/>
      </c>
      <c r="L463" s="1" t="str">
        <f>IF(ISBLANK('Aqueous Species Options'!B463), "", IF('Aqueous Species Options'!L463 = 0, 'Aqueous Species Options'!Q463, IF('Aqueous Species Table'!J463="", "", IF('Aqueous Species Options'!B463="H+", 0, (-4.134*'Aqueous Species Table'!J463*100 - 27790)*0.0001) ) ) )</f>
        <v/>
      </c>
      <c r="M463" s="1" t="str">
        <f>IF(ISBLANK('Aqueous Species Options'!B463), "", IF('Aqueous Species Options'!L463=0, 'Aqueous Species Options'!R463, IF('Aqueous Species Table'!N463="", "", IF('Aqueous Species Options'!B463="H+", 0, 'Aqueous Species Options'!H463 - 'Aqueous Species Table'!O463*100000*(-0.000000309)*298.15 - 'Aqueous Species Table'!N463*10000/(298.15-228)^2 ) ) ) )</f>
        <v/>
      </c>
      <c r="N463" s="1" t="str">
        <f>IF(ISBLANK('Aqueous Species Options'!B463), "", IF('Aqueous Species Options'!L463=0, 'Aqueous Species Options'!S463, IF(OR(ISBLANK('Aqueous Species Options'!H463), 'Aqueous Species Table'!O463=""), "", IF('Aqueous Species Options'!B463="H+", 0, 0.2037*'Aqueous Species Options'!H463 - 3.0346) ) ) )</f>
        <v/>
      </c>
      <c r="O463" s="1" t="str">
        <f>IF(ISBLANK('Aqueous Species Options'!B463), "", IF('Aqueous Species Options'!K463=0, 'Aqueous Species Options'!I463, IF(OR('Aqueous Species Options'!J463&gt;4,'Aqueous Species Options'!J463&lt;-4), "", IF('Aqueous Species Options'!B463="H+", 0, IF('Aqueous Species Options'!J463=0, -0.038, IF(ISBLANK('Aqueous Species Options'!F463), "", -1514.4*'Aqueous Species Options'!F463*0.00001 + SUM(({4,3,2,1,-1,-2,-3,-4}='Aqueous Species Options'!J463)*{2.1764,1.5793,1.0579,0.5517,1.6291,3.2127,4.8115,6.486}) ) ) ) ) ) )</f>
        <v/>
      </c>
      <c r="P463" s="1" t="str">
        <f>IF(ISBLANK('Aqueous Species Options'!J463), "", 'Aqueous Species Options'!J463)</f>
        <v/>
      </c>
      <c r="Q463" s="184" t="str">
        <f>IF(ISBLANK('Aqueous Species Options'!T463), "", 'Aqueous Species Options'!T463)</f>
        <v/>
      </c>
    </row>
    <row r="464" spans="2:17" ht="16" x14ac:dyDescent="0.2">
      <c r="B464" t="str">
        <f>IF(ISBLANK('Aqueous Species Options'!B464), "", 'Aqueous Species Options'!B464)</f>
        <v/>
      </c>
      <c r="C464" s="1" t="str">
        <f>IF(ISBLANK('Aqueous Species Options'!C464), "", 'Aqueous Species Options'!C464)</f>
        <v/>
      </c>
      <c r="D464" s="1" t="str">
        <f>IF(ISBLANK('Aqueous Species Options'!D464), "", 'Aqueous Species Options'!D464)</f>
        <v/>
      </c>
      <c r="E464" s="1" t="str">
        <f>IF(ISBLANK('Aqueous Species Options'!E464), "", 'Aqueous Species Options'!E464)</f>
        <v/>
      </c>
      <c r="F464" s="139" t="str">
        <f>IF(ISBLANK('Aqueous Species Options'!F464), "", 'Aqueous Species Options'!F464)</f>
        <v/>
      </c>
      <c r="G464" s="29" t="str">
        <f>IF(ISBLANK('Aqueous Species Options'!B464), "", IF('Aqueous Species Options'!L464 = 1, IF(ISBLANK('Aqueous Species Options'!G464), "", 'Aqueous Species Options'!G464), ('Aqueous Species Table'!I464/10 + ('Aqueous Species Table'!J464*100)/(Calculations!$C$12+Calculations!$C$9) + ('Aqueous Species Table'!K464 + ('Aqueous Species Table'!L464*10000)/(Calculations!$C$12+Calculations!$C$9))*(1/(Calculations!$C$8-Calculations!$C$13)) - 'Aqueous Species Table'!O464*100000*0.0000005903)*41.8393))</f>
        <v/>
      </c>
      <c r="H464" s="29" t="str">
        <f>IF(ISBLANK('Aqueous Species Options'!B464), "", IF('Aqueous Species Options'!L464 = 1, IF(ISBLANK('Aqueous Species Options'!H464), "", 'Aqueous Species Options'!H464), 'Aqueous Species Table'!M464 + 'Aqueous Species Table'!N464*10000*(1/(Calculations!$C$8-Calculations!$C$13))^2 + 'Aqueous Species Table'!O464*100000*Calculations!$C$8*Calculations!$C$7))</f>
        <v/>
      </c>
      <c r="I464" s="1" t="str">
        <f>IF(ISBLANK('Aqueous Species Options'!B464), "", IF('Aqueous Species Options'!L464=0, 'Aqueous Species Options'!N464, IF(OR(ISBLANK('Aqueous Species Options'!G464),'Aqueous Species Table'!O464="", 'Aqueous Species Table'!P464=""), "", IF('Aqueous Species Options'!B464="H+", 0, (CHOOSE('Aqueous Species Options'!M464+1,'Aqueous Species Options'!$V$4*ABS('Aqueous Species Table'!P464)+'Aqueous Species Options'!$W$4,'Aqueous Species Options'!$Z$4)*('Aqueous Species Options'!G464 + 'Aqueous Species Table'!O464*100000*0.0000005903*41.8393) + CHOOSE('Aqueous Species Options'!M464+1,'Aqueous Species Options'!$X$4*ABS('Aqueous Species Table'!P464)+'Aqueous Species Options'!$Y$4,'Aqueous Species Options'!$AA$4))*10 ) ) ) )</f>
        <v/>
      </c>
      <c r="J464" s="1" t="str">
        <f>IF(ISBLANK('Aqueous Species Options'!B464), "", IF('Aqueous Species Options'!L464 = 0, 'Aqueous Species Options'!O464, IF('Aqueous Species Table'!I464="", "", IF('Aqueous Species Options'!B464="H+", 0, ((1.11*('Aqueous Species Options'!G464 + 'Aqueous Species Table'!O464*100000*0.0000005903*41.8393)+1.8)/41.8393 - 'Aqueous Species Table'!I464/10)*26.01 ) ) ) )</f>
        <v/>
      </c>
      <c r="K464" s="1" t="str">
        <f>IF(ISBLANK('Aqueous Species Options'!B464), "", IF('Aqueous Species Options'!L464 = 0, 'Aqueous Species Options'!P464, IF('Aqueous Species Table'!I464="", "", IF('Aqueous Species Options'!B464="H+", 0, ('Aqueous Species Options'!G464/41.8393 + 'Aqueous Species Table'!O464*100000*0.0000005903 - 'Aqueous Species Table'!I464/10 - 'Aqueous Species Table'!J464*100/2601)*(298.15-228) - ('Aqueous Species Table'!L464*10000/2601) ) ) ) )</f>
        <v/>
      </c>
      <c r="L464" s="1" t="str">
        <f>IF(ISBLANK('Aqueous Species Options'!B464), "", IF('Aqueous Species Options'!L464 = 0, 'Aqueous Species Options'!Q464, IF('Aqueous Species Table'!J464="", "", IF('Aqueous Species Options'!B464="H+", 0, (-4.134*'Aqueous Species Table'!J464*100 - 27790)*0.0001) ) ) )</f>
        <v/>
      </c>
      <c r="M464" s="1" t="str">
        <f>IF(ISBLANK('Aqueous Species Options'!B464), "", IF('Aqueous Species Options'!L464=0, 'Aqueous Species Options'!R464, IF('Aqueous Species Table'!N464="", "", IF('Aqueous Species Options'!B464="H+", 0, 'Aqueous Species Options'!H464 - 'Aqueous Species Table'!O464*100000*(-0.000000309)*298.15 - 'Aqueous Species Table'!N464*10000/(298.15-228)^2 ) ) ) )</f>
        <v/>
      </c>
      <c r="N464" s="1" t="str">
        <f>IF(ISBLANK('Aqueous Species Options'!B464), "", IF('Aqueous Species Options'!L464=0, 'Aqueous Species Options'!S464, IF(OR(ISBLANK('Aqueous Species Options'!H464), 'Aqueous Species Table'!O464=""), "", IF('Aqueous Species Options'!B464="H+", 0, 0.2037*'Aqueous Species Options'!H464 - 3.0346) ) ) )</f>
        <v/>
      </c>
      <c r="O464" s="1" t="str">
        <f>IF(ISBLANK('Aqueous Species Options'!B464), "", IF('Aqueous Species Options'!K464=0, 'Aqueous Species Options'!I464, IF(OR('Aqueous Species Options'!J464&gt;4,'Aqueous Species Options'!J464&lt;-4), "", IF('Aqueous Species Options'!B464="H+", 0, IF('Aqueous Species Options'!J464=0, -0.038, IF(ISBLANK('Aqueous Species Options'!F464), "", -1514.4*'Aqueous Species Options'!F464*0.00001 + SUM(({4,3,2,1,-1,-2,-3,-4}='Aqueous Species Options'!J464)*{2.1764,1.5793,1.0579,0.5517,1.6291,3.2127,4.8115,6.486}) ) ) ) ) ) )</f>
        <v/>
      </c>
      <c r="P464" s="1" t="str">
        <f>IF(ISBLANK('Aqueous Species Options'!J464), "", 'Aqueous Species Options'!J464)</f>
        <v/>
      </c>
      <c r="Q464" s="184" t="str">
        <f>IF(ISBLANK('Aqueous Species Options'!T464), "", 'Aqueous Species Options'!T464)</f>
        <v/>
      </c>
    </row>
    <row r="465" spans="2:17" ht="16" x14ac:dyDescent="0.2">
      <c r="B465" t="str">
        <f>IF(ISBLANK('Aqueous Species Options'!B465), "", 'Aqueous Species Options'!B465)</f>
        <v/>
      </c>
      <c r="C465" s="1" t="str">
        <f>IF(ISBLANK('Aqueous Species Options'!C465), "", 'Aqueous Species Options'!C465)</f>
        <v/>
      </c>
      <c r="D465" s="1" t="str">
        <f>IF(ISBLANK('Aqueous Species Options'!D465), "", 'Aqueous Species Options'!D465)</f>
        <v/>
      </c>
      <c r="E465" s="1" t="str">
        <f>IF(ISBLANK('Aqueous Species Options'!E465), "", 'Aqueous Species Options'!E465)</f>
        <v/>
      </c>
      <c r="F465" s="139" t="str">
        <f>IF(ISBLANK('Aqueous Species Options'!F465), "", 'Aqueous Species Options'!F465)</f>
        <v/>
      </c>
      <c r="G465" s="29" t="str">
        <f>IF(ISBLANK('Aqueous Species Options'!B465), "", IF('Aqueous Species Options'!L465 = 1, IF(ISBLANK('Aqueous Species Options'!G465), "", 'Aqueous Species Options'!G465), ('Aqueous Species Table'!I465/10 + ('Aqueous Species Table'!J465*100)/(Calculations!$C$12+Calculations!$C$9) + ('Aqueous Species Table'!K465 + ('Aqueous Species Table'!L465*10000)/(Calculations!$C$12+Calculations!$C$9))*(1/(Calculations!$C$8-Calculations!$C$13)) - 'Aqueous Species Table'!O465*100000*0.0000005903)*41.8393))</f>
        <v/>
      </c>
      <c r="H465" s="29" t="str">
        <f>IF(ISBLANK('Aqueous Species Options'!B465), "", IF('Aqueous Species Options'!L465 = 1, IF(ISBLANK('Aqueous Species Options'!H465), "", 'Aqueous Species Options'!H465), 'Aqueous Species Table'!M465 + 'Aqueous Species Table'!N465*10000*(1/(Calculations!$C$8-Calculations!$C$13))^2 + 'Aqueous Species Table'!O465*100000*Calculations!$C$8*Calculations!$C$7))</f>
        <v/>
      </c>
      <c r="I465" s="1" t="str">
        <f>IF(ISBLANK('Aqueous Species Options'!B465), "", IF('Aqueous Species Options'!L465=0, 'Aqueous Species Options'!N465, IF(OR(ISBLANK('Aqueous Species Options'!G465),'Aqueous Species Table'!O465="", 'Aqueous Species Table'!P465=""), "", IF('Aqueous Species Options'!B465="H+", 0, (CHOOSE('Aqueous Species Options'!M465+1,'Aqueous Species Options'!$V$4*ABS('Aqueous Species Table'!P465)+'Aqueous Species Options'!$W$4,'Aqueous Species Options'!$Z$4)*('Aqueous Species Options'!G465 + 'Aqueous Species Table'!O465*100000*0.0000005903*41.8393) + CHOOSE('Aqueous Species Options'!M465+1,'Aqueous Species Options'!$X$4*ABS('Aqueous Species Table'!P465)+'Aqueous Species Options'!$Y$4,'Aqueous Species Options'!$AA$4))*10 ) ) ) )</f>
        <v/>
      </c>
      <c r="J465" s="1" t="str">
        <f>IF(ISBLANK('Aqueous Species Options'!B465), "", IF('Aqueous Species Options'!L465 = 0, 'Aqueous Species Options'!O465, IF('Aqueous Species Table'!I465="", "", IF('Aqueous Species Options'!B465="H+", 0, ((1.11*('Aqueous Species Options'!G465 + 'Aqueous Species Table'!O465*100000*0.0000005903*41.8393)+1.8)/41.8393 - 'Aqueous Species Table'!I465/10)*26.01 ) ) ) )</f>
        <v/>
      </c>
      <c r="K465" s="1" t="str">
        <f>IF(ISBLANK('Aqueous Species Options'!B465), "", IF('Aqueous Species Options'!L465 = 0, 'Aqueous Species Options'!P465, IF('Aqueous Species Table'!I465="", "", IF('Aqueous Species Options'!B465="H+", 0, ('Aqueous Species Options'!G465/41.8393 + 'Aqueous Species Table'!O465*100000*0.0000005903 - 'Aqueous Species Table'!I465/10 - 'Aqueous Species Table'!J465*100/2601)*(298.15-228) - ('Aqueous Species Table'!L465*10000/2601) ) ) ) )</f>
        <v/>
      </c>
      <c r="L465" s="1" t="str">
        <f>IF(ISBLANK('Aqueous Species Options'!B465), "", IF('Aqueous Species Options'!L465 = 0, 'Aqueous Species Options'!Q465, IF('Aqueous Species Table'!J465="", "", IF('Aqueous Species Options'!B465="H+", 0, (-4.134*'Aqueous Species Table'!J465*100 - 27790)*0.0001) ) ) )</f>
        <v/>
      </c>
      <c r="M465" s="1" t="str">
        <f>IF(ISBLANK('Aqueous Species Options'!B465), "", IF('Aqueous Species Options'!L465=0, 'Aqueous Species Options'!R465, IF('Aqueous Species Table'!N465="", "", IF('Aqueous Species Options'!B465="H+", 0, 'Aqueous Species Options'!H465 - 'Aqueous Species Table'!O465*100000*(-0.000000309)*298.15 - 'Aqueous Species Table'!N465*10000/(298.15-228)^2 ) ) ) )</f>
        <v/>
      </c>
      <c r="N465" s="1" t="str">
        <f>IF(ISBLANK('Aqueous Species Options'!B465), "", IF('Aqueous Species Options'!L465=0, 'Aqueous Species Options'!S465, IF(OR(ISBLANK('Aqueous Species Options'!H465), 'Aqueous Species Table'!O465=""), "", IF('Aqueous Species Options'!B465="H+", 0, 0.2037*'Aqueous Species Options'!H465 - 3.0346) ) ) )</f>
        <v/>
      </c>
      <c r="O465" s="1" t="str">
        <f>IF(ISBLANK('Aqueous Species Options'!B465), "", IF('Aqueous Species Options'!K465=0, 'Aqueous Species Options'!I465, IF(OR('Aqueous Species Options'!J465&gt;4,'Aqueous Species Options'!J465&lt;-4), "", IF('Aqueous Species Options'!B465="H+", 0, IF('Aqueous Species Options'!J465=0, -0.038, IF(ISBLANK('Aqueous Species Options'!F465), "", -1514.4*'Aqueous Species Options'!F465*0.00001 + SUM(({4,3,2,1,-1,-2,-3,-4}='Aqueous Species Options'!J465)*{2.1764,1.5793,1.0579,0.5517,1.6291,3.2127,4.8115,6.486}) ) ) ) ) ) )</f>
        <v/>
      </c>
      <c r="P465" s="1" t="str">
        <f>IF(ISBLANK('Aqueous Species Options'!J465), "", 'Aqueous Species Options'!J465)</f>
        <v/>
      </c>
      <c r="Q465" s="184" t="str">
        <f>IF(ISBLANK('Aqueous Species Options'!T465), "", 'Aqueous Species Options'!T465)</f>
        <v/>
      </c>
    </row>
    <row r="466" spans="2:17" ht="16" x14ac:dyDescent="0.2">
      <c r="B466" t="str">
        <f>IF(ISBLANK('Aqueous Species Options'!B466), "", 'Aqueous Species Options'!B466)</f>
        <v/>
      </c>
      <c r="C466" s="1" t="str">
        <f>IF(ISBLANK('Aqueous Species Options'!C466), "", 'Aqueous Species Options'!C466)</f>
        <v/>
      </c>
      <c r="D466" s="1" t="str">
        <f>IF(ISBLANK('Aqueous Species Options'!D466), "", 'Aqueous Species Options'!D466)</f>
        <v/>
      </c>
      <c r="E466" s="1" t="str">
        <f>IF(ISBLANK('Aqueous Species Options'!E466), "", 'Aqueous Species Options'!E466)</f>
        <v/>
      </c>
      <c r="F466" s="139" t="str">
        <f>IF(ISBLANK('Aqueous Species Options'!F466), "", 'Aqueous Species Options'!F466)</f>
        <v/>
      </c>
      <c r="G466" s="29" t="str">
        <f>IF(ISBLANK('Aqueous Species Options'!B466), "", IF('Aqueous Species Options'!L466 = 1, IF(ISBLANK('Aqueous Species Options'!G466), "", 'Aqueous Species Options'!G466), ('Aqueous Species Table'!I466/10 + ('Aqueous Species Table'!J466*100)/(Calculations!$C$12+Calculations!$C$9) + ('Aqueous Species Table'!K466 + ('Aqueous Species Table'!L466*10000)/(Calculations!$C$12+Calculations!$C$9))*(1/(Calculations!$C$8-Calculations!$C$13)) - 'Aqueous Species Table'!O466*100000*0.0000005903)*41.8393))</f>
        <v/>
      </c>
      <c r="H466" s="29" t="str">
        <f>IF(ISBLANK('Aqueous Species Options'!B466), "", IF('Aqueous Species Options'!L466 = 1, IF(ISBLANK('Aqueous Species Options'!H466), "", 'Aqueous Species Options'!H466), 'Aqueous Species Table'!M466 + 'Aqueous Species Table'!N466*10000*(1/(Calculations!$C$8-Calculations!$C$13))^2 + 'Aqueous Species Table'!O466*100000*Calculations!$C$8*Calculations!$C$7))</f>
        <v/>
      </c>
      <c r="I466" s="1" t="str">
        <f>IF(ISBLANK('Aqueous Species Options'!B466), "", IF('Aqueous Species Options'!L466=0, 'Aqueous Species Options'!N466, IF(OR(ISBLANK('Aqueous Species Options'!G466),'Aqueous Species Table'!O466="", 'Aqueous Species Table'!P466=""), "", IF('Aqueous Species Options'!B466="H+", 0, (CHOOSE('Aqueous Species Options'!M466+1,'Aqueous Species Options'!$V$4*ABS('Aqueous Species Table'!P466)+'Aqueous Species Options'!$W$4,'Aqueous Species Options'!$Z$4)*('Aqueous Species Options'!G466 + 'Aqueous Species Table'!O466*100000*0.0000005903*41.8393) + CHOOSE('Aqueous Species Options'!M466+1,'Aqueous Species Options'!$X$4*ABS('Aqueous Species Table'!P466)+'Aqueous Species Options'!$Y$4,'Aqueous Species Options'!$AA$4))*10 ) ) ) )</f>
        <v/>
      </c>
      <c r="J466" s="1" t="str">
        <f>IF(ISBLANK('Aqueous Species Options'!B466), "", IF('Aqueous Species Options'!L466 = 0, 'Aqueous Species Options'!O466, IF('Aqueous Species Table'!I466="", "", IF('Aqueous Species Options'!B466="H+", 0, ((1.11*('Aqueous Species Options'!G466 + 'Aqueous Species Table'!O466*100000*0.0000005903*41.8393)+1.8)/41.8393 - 'Aqueous Species Table'!I466/10)*26.01 ) ) ) )</f>
        <v/>
      </c>
      <c r="K466" s="1" t="str">
        <f>IF(ISBLANK('Aqueous Species Options'!B466), "", IF('Aqueous Species Options'!L466 = 0, 'Aqueous Species Options'!P466, IF('Aqueous Species Table'!I466="", "", IF('Aqueous Species Options'!B466="H+", 0, ('Aqueous Species Options'!G466/41.8393 + 'Aqueous Species Table'!O466*100000*0.0000005903 - 'Aqueous Species Table'!I466/10 - 'Aqueous Species Table'!J466*100/2601)*(298.15-228) - ('Aqueous Species Table'!L466*10000/2601) ) ) ) )</f>
        <v/>
      </c>
      <c r="L466" s="1" t="str">
        <f>IF(ISBLANK('Aqueous Species Options'!B466), "", IF('Aqueous Species Options'!L466 = 0, 'Aqueous Species Options'!Q466, IF('Aqueous Species Table'!J466="", "", IF('Aqueous Species Options'!B466="H+", 0, (-4.134*'Aqueous Species Table'!J466*100 - 27790)*0.0001) ) ) )</f>
        <v/>
      </c>
      <c r="M466" s="1" t="str">
        <f>IF(ISBLANK('Aqueous Species Options'!B466), "", IF('Aqueous Species Options'!L466=0, 'Aqueous Species Options'!R466, IF('Aqueous Species Table'!N466="", "", IF('Aqueous Species Options'!B466="H+", 0, 'Aqueous Species Options'!H466 - 'Aqueous Species Table'!O466*100000*(-0.000000309)*298.15 - 'Aqueous Species Table'!N466*10000/(298.15-228)^2 ) ) ) )</f>
        <v/>
      </c>
      <c r="N466" s="1" t="str">
        <f>IF(ISBLANK('Aqueous Species Options'!B466), "", IF('Aqueous Species Options'!L466=0, 'Aqueous Species Options'!S466, IF(OR(ISBLANK('Aqueous Species Options'!H466), 'Aqueous Species Table'!O466=""), "", IF('Aqueous Species Options'!B466="H+", 0, 0.2037*'Aqueous Species Options'!H466 - 3.0346) ) ) )</f>
        <v/>
      </c>
      <c r="O466" s="1" t="str">
        <f>IF(ISBLANK('Aqueous Species Options'!B466), "", IF('Aqueous Species Options'!K466=0, 'Aqueous Species Options'!I466, IF(OR('Aqueous Species Options'!J466&gt;4,'Aqueous Species Options'!J466&lt;-4), "", IF('Aqueous Species Options'!B466="H+", 0, IF('Aqueous Species Options'!J466=0, -0.038, IF(ISBLANK('Aqueous Species Options'!F466), "", -1514.4*'Aqueous Species Options'!F466*0.00001 + SUM(({4,3,2,1,-1,-2,-3,-4}='Aqueous Species Options'!J466)*{2.1764,1.5793,1.0579,0.5517,1.6291,3.2127,4.8115,6.486}) ) ) ) ) ) )</f>
        <v/>
      </c>
      <c r="P466" s="1" t="str">
        <f>IF(ISBLANK('Aqueous Species Options'!J466), "", 'Aqueous Species Options'!J466)</f>
        <v/>
      </c>
      <c r="Q466" s="184" t="str">
        <f>IF(ISBLANK('Aqueous Species Options'!T466), "", 'Aqueous Species Options'!T466)</f>
        <v/>
      </c>
    </row>
    <row r="467" spans="2:17" ht="16" x14ac:dyDescent="0.2">
      <c r="B467" t="str">
        <f>IF(ISBLANK('Aqueous Species Options'!B467), "", 'Aqueous Species Options'!B467)</f>
        <v/>
      </c>
      <c r="C467" s="1" t="str">
        <f>IF(ISBLANK('Aqueous Species Options'!C467), "", 'Aqueous Species Options'!C467)</f>
        <v/>
      </c>
      <c r="D467" s="1" t="str">
        <f>IF(ISBLANK('Aqueous Species Options'!D467), "", 'Aqueous Species Options'!D467)</f>
        <v/>
      </c>
      <c r="E467" s="1" t="str">
        <f>IF(ISBLANK('Aqueous Species Options'!E467), "", 'Aqueous Species Options'!E467)</f>
        <v/>
      </c>
      <c r="F467" s="139" t="str">
        <f>IF(ISBLANK('Aqueous Species Options'!F467), "", 'Aqueous Species Options'!F467)</f>
        <v/>
      </c>
      <c r="G467" s="29" t="str">
        <f>IF(ISBLANK('Aqueous Species Options'!B467), "", IF('Aqueous Species Options'!L467 = 1, IF(ISBLANK('Aqueous Species Options'!G467), "", 'Aqueous Species Options'!G467), ('Aqueous Species Table'!I467/10 + ('Aqueous Species Table'!J467*100)/(Calculations!$C$12+Calculations!$C$9) + ('Aqueous Species Table'!K467 + ('Aqueous Species Table'!L467*10000)/(Calculations!$C$12+Calculations!$C$9))*(1/(Calculations!$C$8-Calculations!$C$13)) - 'Aqueous Species Table'!O467*100000*0.0000005903)*41.8393))</f>
        <v/>
      </c>
      <c r="H467" s="29" t="str">
        <f>IF(ISBLANK('Aqueous Species Options'!B467), "", IF('Aqueous Species Options'!L467 = 1, IF(ISBLANK('Aqueous Species Options'!H467), "", 'Aqueous Species Options'!H467), 'Aqueous Species Table'!M467 + 'Aqueous Species Table'!N467*10000*(1/(Calculations!$C$8-Calculations!$C$13))^2 + 'Aqueous Species Table'!O467*100000*Calculations!$C$8*Calculations!$C$7))</f>
        <v/>
      </c>
      <c r="I467" s="1" t="str">
        <f>IF(ISBLANK('Aqueous Species Options'!B467), "", IF('Aqueous Species Options'!L467=0, 'Aqueous Species Options'!N467, IF(OR(ISBLANK('Aqueous Species Options'!G467),'Aqueous Species Table'!O467="", 'Aqueous Species Table'!P467=""), "", IF('Aqueous Species Options'!B467="H+", 0, (CHOOSE('Aqueous Species Options'!M467+1,'Aqueous Species Options'!$V$4*ABS('Aqueous Species Table'!P467)+'Aqueous Species Options'!$W$4,'Aqueous Species Options'!$Z$4)*('Aqueous Species Options'!G467 + 'Aqueous Species Table'!O467*100000*0.0000005903*41.8393) + CHOOSE('Aqueous Species Options'!M467+1,'Aqueous Species Options'!$X$4*ABS('Aqueous Species Table'!P467)+'Aqueous Species Options'!$Y$4,'Aqueous Species Options'!$AA$4))*10 ) ) ) )</f>
        <v/>
      </c>
      <c r="J467" s="1" t="str">
        <f>IF(ISBLANK('Aqueous Species Options'!B467), "", IF('Aqueous Species Options'!L467 = 0, 'Aqueous Species Options'!O467, IF('Aqueous Species Table'!I467="", "", IF('Aqueous Species Options'!B467="H+", 0, ((1.11*('Aqueous Species Options'!G467 + 'Aqueous Species Table'!O467*100000*0.0000005903*41.8393)+1.8)/41.8393 - 'Aqueous Species Table'!I467/10)*26.01 ) ) ) )</f>
        <v/>
      </c>
      <c r="K467" s="1" t="str">
        <f>IF(ISBLANK('Aqueous Species Options'!B467), "", IF('Aqueous Species Options'!L467 = 0, 'Aqueous Species Options'!P467, IF('Aqueous Species Table'!I467="", "", IF('Aqueous Species Options'!B467="H+", 0, ('Aqueous Species Options'!G467/41.8393 + 'Aqueous Species Table'!O467*100000*0.0000005903 - 'Aqueous Species Table'!I467/10 - 'Aqueous Species Table'!J467*100/2601)*(298.15-228) - ('Aqueous Species Table'!L467*10000/2601) ) ) ) )</f>
        <v/>
      </c>
      <c r="L467" s="1" t="str">
        <f>IF(ISBLANK('Aqueous Species Options'!B467), "", IF('Aqueous Species Options'!L467 = 0, 'Aqueous Species Options'!Q467, IF('Aqueous Species Table'!J467="", "", IF('Aqueous Species Options'!B467="H+", 0, (-4.134*'Aqueous Species Table'!J467*100 - 27790)*0.0001) ) ) )</f>
        <v/>
      </c>
      <c r="M467" s="1" t="str">
        <f>IF(ISBLANK('Aqueous Species Options'!B467), "", IF('Aqueous Species Options'!L467=0, 'Aqueous Species Options'!R467, IF('Aqueous Species Table'!N467="", "", IF('Aqueous Species Options'!B467="H+", 0, 'Aqueous Species Options'!H467 - 'Aqueous Species Table'!O467*100000*(-0.000000309)*298.15 - 'Aqueous Species Table'!N467*10000/(298.15-228)^2 ) ) ) )</f>
        <v/>
      </c>
      <c r="N467" s="1" t="str">
        <f>IF(ISBLANK('Aqueous Species Options'!B467), "", IF('Aqueous Species Options'!L467=0, 'Aqueous Species Options'!S467, IF(OR(ISBLANK('Aqueous Species Options'!H467), 'Aqueous Species Table'!O467=""), "", IF('Aqueous Species Options'!B467="H+", 0, 0.2037*'Aqueous Species Options'!H467 - 3.0346) ) ) )</f>
        <v/>
      </c>
      <c r="O467" s="1" t="str">
        <f>IF(ISBLANK('Aqueous Species Options'!B467), "", IF('Aqueous Species Options'!K467=0, 'Aqueous Species Options'!I467, IF(OR('Aqueous Species Options'!J467&gt;4,'Aqueous Species Options'!J467&lt;-4), "", IF('Aqueous Species Options'!B467="H+", 0, IF('Aqueous Species Options'!J467=0, -0.038, IF(ISBLANK('Aqueous Species Options'!F467), "", -1514.4*'Aqueous Species Options'!F467*0.00001 + SUM(({4,3,2,1,-1,-2,-3,-4}='Aqueous Species Options'!J467)*{2.1764,1.5793,1.0579,0.5517,1.6291,3.2127,4.8115,6.486}) ) ) ) ) ) )</f>
        <v/>
      </c>
      <c r="P467" s="1" t="str">
        <f>IF(ISBLANK('Aqueous Species Options'!J467), "", 'Aqueous Species Options'!J467)</f>
        <v/>
      </c>
      <c r="Q467" s="184" t="str">
        <f>IF(ISBLANK('Aqueous Species Options'!T467), "", 'Aqueous Species Options'!T467)</f>
        <v/>
      </c>
    </row>
    <row r="468" spans="2:17" ht="16" x14ac:dyDescent="0.2">
      <c r="B468" t="str">
        <f>IF(ISBLANK('Aqueous Species Options'!B468), "", 'Aqueous Species Options'!B468)</f>
        <v/>
      </c>
      <c r="C468" s="1" t="str">
        <f>IF(ISBLANK('Aqueous Species Options'!C468), "", 'Aqueous Species Options'!C468)</f>
        <v/>
      </c>
      <c r="D468" s="1" t="str">
        <f>IF(ISBLANK('Aqueous Species Options'!D468), "", 'Aqueous Species Options'!D468)</f>
        <v/>
      </c>
      <c r="E468" s="1" t="str">
        <f>IF(ISBLANK('Aqueous Species Options'!E468), "", 'Aqueous Species Options'!E468)</f>
        <v/>
      </c>
      <c r="F468" s="139" t="str">
        <f>IF(ISBLANK('Aqueous Species Options'!F468), "", 'Aqueous Species Options'!F468)</f>
        <v/>
      </c>
      <c r="G468" s="29" t="str">
        <f>IF(ISBLANK('Aqueous Species Options'!B468), "", IF('Aqueous Species Options'!L468 = 1, IF(ISBLANK('Aqueous Species Options'!G468), "", 'Aqueous Species Options'!G468), ('Aqueous Species Table'!I468/10 + ('Aqueous Species Table'!J468*100)/(Calculations!$C$12+Calculations!$C$9) + ('Aqueous Species Table'!K468 + ('Aqueous Species Table'!L468*10000)/(Calculations!$C$12+Calculations!$C$9))*(1/(Calculations!$C$8-Calculations!$C$13)) - 'Aqueous Species Table'!O468*100000*0.0000005903)*41.8393))</f>
        <v/>
      </c>
      <c r="H468" s="29" t="str">
        <f>IF(ISBLANK('Aqueous Species Options'!B468), "", IF('Aqueous Species Options'!L468 = 1, IF(ISBLANK('Aqueous Species Options'!H468), "", 'Aqueous Species Options'!H468), 'Aqueous Species Table'!M468 + 'Aqueous Species Table'!N468*10000*(1/(Calculations!$C$8-Calculations!$C$13))^2 + 'Aqueous Species Table'!O468*100000*Calculations!$C$8*Calculations!$C$7))</f>
        <v/>
      </c>
      <c r="I468" s="1" t="str">
        <f>IF(ISBLANK('Aqueous Species Options'!B468), "", IF('Aqueous Species Options'!L468=0, 'Aqueous Species Options'!N468, IF(OR(ISBLANK('Aqueous Species Options'!G468),'Aqueous Species Table'!O468="", 'Aqueous Species Table'!P468=""), "", IF('Aqueous Species Options'!B468="H+", 0, (CHOOSE('Aqueous Species Options'!M468+1,'Aqueous Species Options'!$V$4*ABS('Aqueous Species Table'!P468)+'Aqueous Species Options'!$W$4,'Aqueous Species Options'!$Z$4)*('Aqueous Species Options'!G468 + 'Aqueous Species Table'!O468*100000*0.0000005903*41.8393) + CHOOSE('Aqueous Species Options'!M468+1,'Aqueous Species Options'!$X$4*ABS('Aqueous Species Table'!P468)+'Aqueous Species Options'!$Y$4,'Aqueous Species Options'!$AA$4))*10 ) ) ) )</f>
        <v/>
      </c>
      <c r="J468" s="1" t="str">
        <f>IF(ISBLANK('Aqueous Species Options'!B468), "", IF('Aqueous Species Options'!L468 = 0, 'Aqueous Species Options'!O468, IF('Aqueous Species Table'!I468="", "", IF('Aqueous Species Options'!B468="H+", 0, ((1.11*('Aqueous Species Options'!G468 + 'Aqueous Species Table'!O468*100000*0.0000005903*41.8393)+1.8)/41.8393 - 'Aqueous Species Table'!I468/10)*26.01 ) ) ) )</f>
        <v/>
      </c>
      <c r="K468" s="1" t="str">
        <f>IF(ISBLANK('Aqueous Species Options'!B468), "", IF('Aqueous Species Options'!L468 = 0, 'Aqueous Species Options'!P468, IF('Aqueous Species Table'!I468="", "", IF('Aqueous Species Options'!B468="H+", 0, ('Aqueous Species Options'!G468/41.8393 + 'Aqueous Species Table'!O468*100000*0.0000005903 - 'Aqueous Species Table'!I468/10 - 'Aqueous Species Table'!J468*100/2601)*(298.15-228) - ('Aqueous Species Table'!L468*10000/2601) ) ) ) )</f>
        <v/>
      </c>
      <c r="L468" s="1" t="str">
        <f>IF(ISBLANK('Aqueous Species Options'!B468), "", IF('Aqueous Species Options'!L468 = 0, 'Aqueous Species Options'!Q468, IF('Aqueous Species Table'!J468="", "", IF('Aqueous Species Options'!B468="H+", 0, (-4.134*'Aqueous Species Table'!J468*100 - 27790)*0.0001) ) ) )</f>
        <v/>
      </c>
      <c r="M468" s="1" t="str">
        <f>IF(ISBLANK('Aqueous Species Options'!B468), "", IF('Aqueous Species Options'!L468=0, 'Aqueous Species Options'!R468, IF('Aqueous Species Table'!N468="", "", IF('Aqueous Species Options'!B468="H+", 0, 'Aqueous Species Options'!H468 - 'Aqueous Species Table'!O468*100000*(-0.000000309)*298.15 - 'Aqueous Species Table'!N468*10000/(298.15-228)^2 ) ) ) )</f>
        <v/>
      </c>
      <c r="N468" s="1" t="str">
        <f>IF(ISBLANK('Aqueous Species Options'!B468), "", IF('Aqueous Species Options'!L468=0, 'Aqueous Species Options'!S468, IF(OR(ISBLANK('Aqueous Species Options'!H468), 'Aqueous Species Table'!O468=""), "", IF('Aqueous Species Options'!B468="H+", 0, 0.2037*'Aqueous Species Options'!H468 - 3.0346) ) ) )</f>
        <v/>
      </c>
      <c r="O468" s="1" t="str">
        <f>IF(ISBLANK('Aqueous Species Options'!B468), "", IF('Aqueous Species Options'!K468=0, 'Aqueous Species Options'!I468, IF(OR('Aqueous Species Options'!J468&gt;4,'Aqueous Species Options'!J468&lt;-4), "", IF('Aqueous Species Options'!B468="H+", 0, IF('Aqueous Species Options'!J468=0, -0.038, IF(ISBLANK('Aqueous Species Options'!F468), "", -1514.4*'Aqueous Species Options'!F468*0.00001 + SUM(({4,3,2,1,-1,-2,-3,-4}='Aqueous Species Options'!J468)*{2.1764,1.5793,1.0579,0.5517,1.6291,3.2127,4.8115,6.486}) ) ) ) ) ) )</f>
        <v/>
      </c>
      <c r="P468" s="1" t="str">
        <f>IF(ISBLANK('Aqueous Species Options'!J468), "", 'Aqueous Species Options'!J468)</f>
        <v/>
      </c>
      <c r="Q468" s="184" t="str">
        <f>IF(ISBLANK('Aqueous Species Options'!T468), "", 'Aqueous Species Options'!T468)</f>
        <v/>
      </c>
    </row>
    <row r="469" spans="2:17" ht="16" x14ac:dyDescent="0.2">
      <c r="B469" t="str">
        <f>IF(ISBLANK('Aqueous Species Options'!B469), "", 'Aqueous Species Options'!B469)</f>
        <v/>
      </c>
      <c r="C469" s="1" t="str">
        <f>IF(ISBLANK('Aqueous Species Options'!C469), "", 'Aqueous Species Options'!C469)</f>
        <v/>
      </c>
      <c r="D469" s="1" t="str">
        <f>IF(ISBLANK('Aqueous Species Options'!D469), "", 'Aqueous Species Options'!D469)</f>
        <v/>
      </c>
      <c r="E469" s="1" t="str">
        <f>IF(ISBLANK('Aqueous Species Options'!E469), "", 'Aqueous Species Options'!E469)</f>
        <v/>
      </c>
      <c r="F469" s="139" t="str">
        <f>IF(ISBLANK('Aqueous Species Options'!F469), "", 'Aqueous Species Options'!F469)</f>
        <v/>
      </c>
      <c r="G469" s="29" t="str">
        <f>IF(ISBLANK('Aqueous Species Options'!B469), "", IF('Aqueous Species Options'!L469 = 1, IF(ISBLANK('Aqueous Species Options'!G469), "", 'Aqueous Species Options'!G469), ('Aqueous Species Table'!I469/10 + ('Aqueous Species Table'!J469*100)/(Calculations!$C$12+Calculations!$C$9) + ('Aqueous Species Table'!K469 + ('Aqueous Species Table'!L469*10000)/(Calculations!$C$12+Calculations!$C$9))*(1/(Calculations!$C$8-Calculations!$C$13)) - 'Aqueous Species Table'!O469*100000*0.0000005903)*41.8393))</f>
        <v/>
      </c>
      <c r="H469" s="29" t="str">
        <f>IF(ISBLANK('Aqueous Species Options'!B469), "", IF('Aqueous Species Options'!L469 = 1, IF(ISBLANK('Aqueous Species Options'!H469), "", 'Aqueous Species Options'!H469), 'Aqueous Species Table'!M469 + 'Aqueous Species Table'!N469*10000*(1/(Calculations!$C$8-Calculations!$C$13))^2 + 'Aqueous Species Table'!O469*100000*Calculations!$C$8*Calculations!$C$7))</f>
        <v/>
      </c>
      <c r="I469" s="1" t="str">
        <f>IF(ISBLANK('Aqueous Species Options'!B469), "", IF('Aqueous Species Options'!L469=0, 'Aqueous Species Options'!N469, IF(OR(ISBLANK('Aqueous Species Options'!G469),'Aqueous Species Table'!O469="", 'Aqueous Species Table'!P469=""), "", IF('Aqueous Species Options'!B469="H+", 0, (CHOOSE('Aqueous Species Options'!M469+1,'Aqueous Species Options'!$V$4*ABS('Aqueous Species Table'!P469)+'Aqueous Species Options'!$W$4,'Aqueous Species Options'!$Z$4)*('Aqueous Species Options'!G469 + 'Aqueous Species Table'!O469*100000*0.0000005903*41.8393) + CHOOSE('Aqueous Species Options'!M469+1,'Aqueous Species Options'!$X$4*ABS('Aqueous Species Table'!P469)+'Aqueous Species Options'!$Y$4,'Aqueous Species Options'!$AA$4))*10 ) ) ) )</f>
        <v/>
      </c>
      <c r="J469" s="1" t="str">
        <f>IF(ISBLANK('Aqueous Species Options'!B469), "", IF('Aqueous Species Options'!L469 = 0, 'Aqueous Species Options'!O469, IF('Aqueous Species Table'!I469="", "", IF('Aqueous Species Options'!B469="H+", 0, ((1.11*('Aqueous Species Options'!G469 + 'Aqueous Species Table'!O469*100000*0.0000005903*41.8393)+1.8)/41.8393 - 'Aqueous Species Table'!I469/10)*26.01 ) ) ) )</f>
        <v/>
      </c>
      <c r="K469" s="1" t="str">
        <f>IF(ISBLANK('Aqueous Species Options'!B469), "", IF('Aqueous Species Options'!L469 = 0, 'Aqueous Species Options'!P469, IF('Aqueous Species Table'!I469="", "", IF('Aqueous Species Options'!B469="H+", 0, ('Aqueous Species Options'!G469/41.8393 + 'Aqueous Species Table'!O469*100000*0.0000005903 - 'Aqueous Species Table'!I469/10 - 'Aqueous Species Table'!J469*100/2601)*(298.15-228) - ('Aqueous Species Table'!L469*10000/2601) ) ) ) )</f>
        <v/>
      </c>
      <c r="L469" s="1" t="str">
        <f>IF(ISBLANK('Aqueous Species Options'!B469), "", IF('Aqueous Species Options'!L469 = 0, 'Aqueous Species Options'!Q469, IF('Aqueous Species Table'!J469="", "", IF('Aqueous Species Options'!B469="H+", 0, (-4.134*'Aqueous Species Table'!J469*100 - 27790)*0.0001) ) ) )</f>
        <v/>
      </c>
      <c r="M469" s="1" t="str">
        <f>IF(ISBLANK('Aqueous Species Options'!B469), "", IF('Aqueous Species Options'!L469=0, 'Aqueous Species Options'!R469, IF('Aqueous Species Table'!N469="", "", IF('Aqueous Species Options'!B469="H+", 0, 'Aqueous Species Options'!H469 - 'Aqueous Species Table'!O469*100000*(-0.000000309)*298.15 - 'Aqueous Species Table'!N469*10000/(298.15-228)^2 ) ) ) )</f>
        <v/>
      </c>
      <c r="N469" s="1" t="str">
        <f>IF(ISBLANK('Aqueous Species Options'!B469), "", IF('Aqueous Species Options'!L469=0, 'Aqueous Species Options'!S469, IF(OR(ISBLANK('Aqueous Species Options'!H469), 'Aqueous Species Table'!O469=""), "", IF('Aqueous Species Options'!B469="H+", 0, 0.2037*'Aqueous Species Options'!H469 - 3.0346) ) ) )</f>
        <v/>
      </c>
      <c r="O469" s="1" t="str">
        <f>IF(ISBLANK('Aqueous Species Options'!B469), "", IF('Aqueous Species Options'!K469=0, 'Aqueous Species Options'!I469, IF(OR('Aqueous Species Options'!J469&gt;4,'Aqueous Species Options'!J469&lt;-4), "", IF('Aqueous Species Options'!B469="H+", 0, IF('Aqueous Species Options'!J469=0, -0.038, IF(ISBLANK('Aqueous Species Options'!F469), "", -1514.4*'Aqueous Species Options'!F469*0.00001 + SUM(({4,3,2,1,-1,-2,-3,-4}='Aqueous Species Options'!J469)*{2.1764,1.5793,1.0579,0.5517,1.6291,3.2127,4.8115,6.486}) ) ) ) ) ) )</f>
        <v/>
      </c>
      <c r="P469" s="1" t="str">
        <f>IF(ISBLANK('Aqueous Species Options'!J469), "", 'Aqueous Species Options'!J469)</f>
        <v/>
      </c>
      <c r="Q469" s="184" t="str">
        <f>IF(ISBLANK('Aqueous Species Options'!T469), "", 'Aqueous Species Options'!T469)</f>
        <v/>
      </c>
    </row>
    <row r="470" spans="2:17" ht="16" x14ac:dyDescent="0.2">
      <c r="B470" t="str">
        <f>IF(ISBLANK('Aqueous Species Options'!B470), "", 'Aqueous Species Options'!B470)</f>
        <v/>
      </c>
      <c r="C470" s="1" t="str">
        <f>IF(ISBLANK('Aqueous Species Options'!C470), "", 'Aqueous Species Options'!C470)</f>
        <v/>
      </c>
      <c r="D470" s="1" t="str">
        <f>IF(ISBLANK('Aqueous Species Options'!D470), "", 'Aqueous Species Options'!D470)</f>
        <v/>
      </c>
      <c r="E470" s="1" t="str">
        <f>IF(ISBLANK('Aqueous Species Options'!E470), "", 'Aqueous Species Options'!E470)</f>
        <v/>
      </c>
      <c r="F470" s="139" t="str">
        <f>IF(ISBLANK('Aqueous Species Options'!F470), "", 'Aqueous Species Options'!F470)</f>
        <v/>
      </c>
      <c r="G470" s="29" t="str">
        <f>IF(ISBLANK('Aqueous Species Options'!B470), "", IF('Aqueous Species Options'!L470 = 1, IF(ISBLANK('Aqueous Species Options'!G470), "", 'Aqueous Species Options'!G470), ('Aqueous Species Table'!I470/10 + ('Aqueous Species Table'!J470*100)/(Calculations!$C$12+Calculations!$C$9) + ('Aqueous Species Table'!K470 + ('Aqueous Species Table'!L470*10000)/(Calculations!$C$12+Calculations!$C$9))*(1/(Calculations!$C$8-Calculations!$C$13)) - 'Aqueous Species Table'!O470*100000*0.0000005903)*41.8393))</f>
        <v/>
      </c>
      <c r="H470" s="29" t="str">
        <f>IF(ISBLANK('Aqueous Species Options'!B470), "", IF('Aqueous Species Options'!L470 = 1, IF(ISBLANK('Aqueous Species Options'!H470), "", 'Aqueous Species Options'!H470), 'Aqueous Species Table'!M470 + 'Aqueous Species Table'!N470*10000*(1/(Calculations!$C$8-Calculations!$C$13))^2 + 'Aqueous Species Table'!O470*100000*Calculations!$C$8*Calculations!$C$7))</f>
        <v/>
      </c>
      <c r="I470" s="1" t="str">
        <f>IF(ISBLANK('Aqueous Species Options'!B470), "", IF('Aqueous Species Options'!L470=0, 'Aqueous Species Options'!N470, IF(OR(ISBLANK('Aqueous Species Options'!G470),'Aqueous Species Table'!O470="", 'Aqueous Species Table'!P470=""), "", IF('Aqueous Species Options'!B470="H+", 0, (CHOOSE('Aqueous Species Options'!M470+1,'Aqueous Species Options'!$V$4*ABS('Aqueous Species Table'!P470)+'Aqueous Species Options'!$W$4,'Aqueous Species Options'!$Z$4)*('Aqueous Species Options'!G470 + 'Aqueous Species Table'!O470*100000*0.0000005903*41.8393) + CHOOSE('Aqueous Species Options'!M470+1,'Aqueous Species Options'!$X$4*ABS('Aqueous Species Table'!P470)+'Aqueous Species Options'!$Y$4,'Aqueous Species Options'!$AA$4))*10 ) ) ) )</f>
        <v/>
      </c>
      <c r="J470" s="1" t="str">
        <f>IF(ISBLANK('Aqueous Species Options'!B470), "", IF('Aqueous Species Options'!L470 = 0, 'Aqueous Species Options'!O470, IF('Aqueous Species Table'!I470="", "", IF('Aqueous Species Options'!B470="H+", 0, ((1.11*('Aqueous Species Options'!G470 + 'Aqueous Species Table'!O470*100000*0.0000005903*41.8393)+1.8)/41.8393 - 'Aqueous Species Table'!I470/10)*26.01 ) ) ) )</f>
        <v/>
      </c>
      <c r="K470" s="1" t="str">
        <f>IF(ISBLANK('Aqueous Species Options'!B470), "", IF('Aqueous Species Options'!L470 = 0, 'Aqueous Species Options'!P470, IF('Aqueous Species Table'!I470="", "", IF('Aqueous Species Options'!B470="H+", 0, ('Aqueous Species Options'!G470/41.8393 + 'Aqueous Species Table'!O470*100000*0.0000005903 - 'Aqueous Species Table'!I470/10 - 'Aqueous Species Table'!J470*100/2601)*(298.15-228) - ('Aqueous Species Table'!L470*10000/2601) ) ) ) )</f>
        <v/>
      </c>
      <c r="L470" s="1" t="str">
        <f>IF(ISBLANK('Aqueous Species Options'!B470), "", IF('Aqueous Species Options'!L470 = 0, 'Aqueous Species Options'!Q470, IF('Aqueous Species Table'!J470="", "", IF('Aqueous Species Options'!B470="H+", 0, (-4.134*'Aqueous Species Table'!J470*100 - 27790)*0.0001) ) ) )</f>
        <v/>
      </c>
      <c r="M470" s="1" t="str">
        <f>IF(ISBLANK('Aqueous Species Options'!B470), "", IF('Aqueous Species Options'!L470=0, 'Aqueous Species Options'!R470, IF('Aqueous Species Table'!N470="", "", IF('Aqueous Species Options'!B470="H+", 0, 'Aqueous Species Options'!H470 - 'Aqueous Species Table'!O470*100000*(-0.000000309)*298.15 - 'Aqueous Species Table'!N470*10000/(298.15-228)^2 ) ) ) )</f>
        <v/>
      </c>
      <c r="N470" s="1" t="str">
        <f>IF(ISBLANK('Aqueous Species Options'!B470), "", IF('Aqueous Species Options'!L470=0, 'Aqueous Species Options'!S470, IF(OR(ISBLANK('Aqueous Species Options'!H470), 'Aqueous Species Table'!O470=""), "", IF('Aqueous Species Options'!B470="H+", 0, 0.2037*'Aqueous Species Options'!H470 - 3.0346) ) ) )</f>
        <v/>
      </c>
      <c r="O470" s="1" t="str">
        <f>IF(ISBLANK('Aqueous Species Options'!B470), "", IF('Aqueous Species Options'!K470=0, 'Aqueous Species Options'!I470, IF(OR('Aqueous Species Options'!J470&gt;4,'Aqueous Species Options'!J470&lt;-4), "", IF('Aqueous Species Options'!B470="H+", 0, IF('Aqueous Species Options'!J470=0, -0.038, IF(ISBLANK('Aqueous Species Options'!F470), "", -1514.4*'Aqueous Species Options'!F470*0.00001 + SUM(({4,3,2,1,-1,-2,-3,-4}='Aqueous Species Options'!J470)*{2.1764,1.5793,1.0579,0.5517,1.6291,3.2127,4.8115,6.486}) ) ) ) ) ) )</f>
        <v/>
      </c>
      <c r="P470" s="1" t="str">
        <f>IF(ISBLANK('Aqueous Species Options'!J470), "", 'Aqueous Species Options'!J470)</f>
        <v/>
      </c>
      <c r="Q470" s="184" t="str">
        <f>IF(ISBLANK('Aqueous Species Options'!T470), "", 'Aqueous Species Options'!T470)</f>
        <v/>
      </c>
    </row>
    <row r="471" spans="2:17" ht="16" x14ac:dyDescent="0.2">
      <c r="B471" t="str">
        <f>IF(ISBLANK('Aqueous Species Options'!B471), "", 'Aqueous Species Options'!B471)</f>
        <v/>
      </c>
      <c r="C471" s="1" t="str">
        <f>IF(ISBLANK('Aqueous Species Options'!C471), "", 'Aqueous Species Options'!C471)</f>
        <v/>
      </c>
      <c r="D471" s="1" t="str">
        <f>IF(ISBLANK('Aqueous Species Options'!D471), "", 'Aqueous Species Options'!D471)</f>
        <v/>
      </c>
      <c r="E471" s="1" t="str">
        <f>IF(ISBLANK('Aqueous Species Options'!E471), "", 'Aqueous Species Options'!E471)</f>
        <v/>
      </c>
      <c r="F471" s="139" t="str">
        <f>IF(ISBLANK('Aqueous Species Options'!F471), "", 'Aqueous Species Options'!F471)</f>
        <v/>
      </c>
      <c r="G471" s="29" t="str">
        <f>IF(ISBLANK('Aqueous Species Options'!B471), "", IF('Aqueous Species Options'!L471 = 1, IF(ISBLANK('Aqueous Species Options'!G471), "", 'Aqueous Species Options'!G471), ('Aqueous Species Table'!I471/10 + ('Aqueous Species Table'!J471*100)/(Calculations!$C$12+Calculations!$C$9) + ('Aqueous Species Table'!K471 + ('Aqueous Species Table'!L471*10000)/(Calculations!$C$12+Calculations!$C$9))*(1/(Calculations!$C$8-Calculations!$C$13)) - 'Aqueous Species Table'!O471*100000*0.0000005903)*41.8393))</f>
        <v/>
      </c>
      <c r="H471" s="29" t="str">
        <f>IF(ISBLANK('Aqueous Species Options'!B471), "", IF('Aqueous Species Options'!L471 = 1, IF(ISBLANK('Aqueous Species Options'!H471), "", 'Aqueous Species Options'!H471), 'Aqueous Species Table'!M471 + 'Aqueous Species Table'!N471*10000*(1/(Calculations!$C$8-Calculations!$C$13))^2 + 'Aqueous Species Table'!O471*100000*Calculations!$C$8*Calculations!$C$7))</f>
        <v/>
      </c>
      <c r="I471" s="1" t="str">
        <f>IF(ISBLANK('Aqueous Species Options'!B471), "", IF('Aqueous Species Options'!L471=0, 'Aqueous Species Options'!N471, IF(OR(ISBLANK('Aqueous Species Options'!G471),'Aqueous Species Table'!O471="", 'Aqueous Species Table'!P471=""), "", IF('Aqueous Species Options'!B471="H+", 0, (CHOOSE('Aqueous Species Options'!M471+1,'Aqueous Species Options'!$V$4*ABS('Aqueous Species Table'!P471)+'Aqueous Species Options'!$W$4,'Aqueous Species Options'!$Z$4)*('Aqueous Species Options'!G471 + 'Aqueous Species Table'!O471*100000*0.0000005903*41.8393) + CHOOSE('Aqueous Species Options'!M471+1,'Aqueous Species Options'!$X$4*ABS('Aqueous Species Table'!P471)+'Aqueous Species Options'!$Y$4,'Aqueous Species Options'!$AA$4))*10 ) ) ) )</f>
        <v/>
      </c>
      <c r="J471" s="1" t="str">
        <f>IF(ISBLANK('Aqueous Species Options'!B471), "", IF('Aqueous Species Options'!L471 = 0, 'Aqueous Species Options'!O471, IF('Aqueous Species Table'!I471="", "", IF('Aqueous Species Options'!B471="H+", 0, ((1.11*('Aqueous Species Options'!G471 + 'Aqueous Species Table'!O471*100000*0.0000005903*41.8393)+1.8)/41.8393 - 'Aqueous Species Table'!I471/10)*26.01 ) ) ) )</f>
        <v/>
      </c>
      <c r="K471" s="1" t="str">
        <f>IF(ISBLANK('Aqueous Species Options'!B471), "", IF('Aqueous Species Options'!L471 = 0, 'Aqueous Species Options'!P471, IF('Aqueous Species Table'!I471="", "", IF('Aqueous Species Options'!B471="H+", 0, ('Aqueous Species Options'!G471/41.8393 + 'Aqueous Species Table'!O471*100000*0.0000005903 - 'Aqueous Species Table'!I471/10 - 'Aqueous Species Table'!J471*100/2601)*(298.15-228) - ('Aqueous Species Table'!L471*10000/2601) ) ) ) )</f>
        <v/>
      </c>
      <c r="L471" s="1" t="str">
        <f>IF(ISBLANK('Aqueous Species Options'!B471), "", IF('Aqueous Species Options'!L471 = 0, 'Aqueous Species Options'!Q471, IF('Aqueous Species Table'!J471="", "", IF('Aqueous Species Options'!B471="H+", 0, (-4.134*'Aqueous Species Table'!J471*100 - 27790)*0.0001) ) ) )</f>
        <v/>
      </c>
      <c r="M471" s="1" t="str">
        <f>IF(ISBLANK('Aqueous Species Options'!B471), "", IF('Aqueous Species Options'!L471=0, 'Aqueous Species Options'!R471, IF('Aqueous Species Table'!N471="", "", IF('Aqueous Species Options'!B471="H+", 0, 'Aqueous Species Options'!H471 - 'Aqueous Species Table'!O471*100000*(-0.000000309)*298.15 - 'Aqueous Species Table'!N471*10000/(298.15-228)^2 ) ) ) )</f>
        <v/>
      </c>
      <c r="N471" s="1" t="str">
        <f>IF(ISBLANK('Aqueous Species Options'!B471), "", IF('Aqueous Species Options'!L471=0, 'Aqueous Species Options'!S471, IF(OR(ISBLANK('Aqueous Species Options'!H471), 'Aqueous Species Table'!O471=""), "", IF('Aqueous Species Options'!B471="H+", 0, 0.2037*'Aqueous Species Options'!H471 - 3.0346) ) ) )</f>
        <v/>
      </c>
      <c r="O471" s="1" t="str">
        <f>IF(ISBLANK('Aqueous Species Options'!B471), "", IF('Aqueous Species Options'!K471=0, 'Aqueous Species Options'!I471, IF(OR('Aqueous Species Options'!J471&gt;4,'Aqueous Species Options'!J471&lt;-4), "", IF('Aqueous Species Options'!B471="H+", 0, IF('Aqueous Species Options'!J471=0, -0.038, IF(ISBLANK('Aqueous Species Options'!F471), "", -1514.4*'Aqueous Species Options'!F471*0.00001 + SUM(({4,3,2,1,-1,-2,-3,-4}='Aqueous Species Options'!J471)*{2.1764,1.5793,1.0579,0.5517,1.6291,3.2127,4.8115,6.486}) ) ) ) ) ) )</f>
        <v/>
      </c>
      <c r="P471" s="1" t="str">
        <f>IF(ISBLANK('Aqueous Species Options'!J471), "", 'Aqueous Species Options'!J471)</f>
        <v/>
      </c>
      <c r="Q471" s="184" t="str">
        <f>IF(ISBLANK('Aqueous Species Options'!T471), "", 'Aqueous Species Options'!T471)</f>
        <v/>
      </c>
    </row>
    <row r="472" spans="2:17" ht="16" x14ac:dyDescent="0.2">
      <c r="B472" t="str">
        <f>IF(ISBLANK('Aqueous Species Options'!B472), "", 'Aqueous Species Options'!B472)</f>
        <v/>
      </c>
      <c r="C472" s="1" t="str">
        <f>IF(ISBLANK('Aqueous Species Options'!C472), "", 'Aqueous Species Options'!C472)</f>
        <v/>
      </c>
      <c r="D472" s="1" t="str">
        <f>IF(ISBLANK('Aqueous Species Options'!D472), "", 'Aqueous Species Options'!D472)</f>
        <v/>
      </c>
      <c r="E472" s="1" t="str">
        <f>IF(ISBLANK('Aqueous Species Options'!E472), "", 'Aqueous Species Options'!E472)</f>
        <v/>
      </c>
      <c r="F472" s="139" t="str">
        <f>IF(ISBLANK('Aqueous Species Options'!F472), "", 'Aqueous Species Options'!F472)</f>
        <v/>
      </c>
      <c r="G472" s="29" t="str">
        <f>IF(ISBLANK('Aqueous Species Options'!B472), "", IF('Aqueous Species Options'!L472 = 1, IF(ISBLANK('Aqueous Species Options'!G472), "", 'Aqueous Species Options'!G472), ('Aqueous Species Table'!I472/10 + ('Aqueous Species Table'!J472*100)/(Calculations!$C$12+Calculations!$C$9) + ('Aqueous Species Table'!K472 + ('Aqueous Species Table'!L472*10000)/(Calculations!$C$12+Calculations!$C$9))*(1/(Calculations!$C$8-Calculations!$C$13)) - 'Aqueous Species Table'!O472*100000*0.0000005903)*41.8393))</f>
        <v/>
      </c>
      <c r="H472" s="29" t="str">
        <f>IF(ISBLANK('Aqueous Species Options'!B472), "", IF('Aqueous Species Options'!L472 = 1, IF(ISBLANK('Aqueous Species Options'!H472), "", 'Aqueous Species Options'!H472), 'Aqueous Species Table'!M472 + 'Aqueous Species Table'!N472*10000*(1/(Calculations!$C$8-Calculations!$C$13))^2 + 'Aqueous Species Table'!O472*100000*Calculations!$C$8*Calculations!$C$7))</f>
        <v/>
      </c>
      <c r="I472" s="1" t="str">
        <f>IF(ISBLANK('Aqueous Species Options'!B472), "", IF('Aqueous Species Options'!L472=0, 'Aqueous Species Options'!N472, IF(OR(ISBLANK('Aqueous Species Options'!G472),'Aqueous Species Table'!O472="", 'Aqueous Species Table'!P472=""), "", IF('Aqueous Species Options'!B472="H+", 0, (CHOOSE('Aqueous Species Options'!M472+1,'Aqueous Species Options'!$V$4*ABS('Aqueous Species Table'!P472)+'Aqueous Species Options'!$W$4,'Aqueous Species Options'!$Z$4)*('Aqueous Species Options'!G472 + 'Aqueous Species Table'!O472*100000*0.0000005903*41.8393) + CHOOSE('Aqueous Species Options'!M472+1,'Aqueous Species Options'!$X$4*ABS('Aqueous Species Table'!P472)+'Aqueous Species Options'!$Y$4,'Aqueous Species Options'!$AA$4))*10 ) ) ) )</f>
        <v/>
      </c>
      <c r="J472" s="1" t="str">
        <f>IF(ISBLANK('Aqueous Species Options'!B472), "", IF('Aqueous Species Options'!L472 = 0, 'Aqueous Species Options'!O472, IF('Aqueous Species Table'!I472="", "", IF('Aqueous Species Options'!B472="H+", 0, ((1.11*('Aqueous Species Options'!G472 + 'Aqueous Species Table'!O472*100000*0.0000005903*41.8393)+1.8)/41.8393 - 'Aqueous Species Table'!I472/10)*26.01 ) ) ) )</f>
        <v/>
      </c>
      <c r="K472" s="1" t="str">
        <f>IF(ISBLANK('Aqueous Species Options'!B472), "", IF('Aqueous Species Options'!L472 = 0, 'Aqueous Species Options'!P472, IF('Aqueous Species Table'!I472="", "", IF('Aqueous Species Options'!B472="H+", 0, ('Aqueous Species Options'!G472/41.8393 + 'Aqueous Species Table'!O472*100000*0.0000005903 - 'Aqueous Species Table'!I472/10 - 'Aqueous Species Table'!J472*100/2601)*(298.15-228) - ('Aqueous Species Table'!L472*10000/2601) ) ) ) )</f>
        <v/>
      </c>
      <c r="L472" s="1" t="str">
        <f>IF(ISBLANK('Aqueous Species Options'!B472), "", IF('Aqueous Species Options'!L472 = 0, 'Aqueous Species Options'!Q472, IF('Aqueous Species Table'!J472="", "", IF('Aqueous Species Options'!B472="H+", 0, (-4.134*'Aqueous Species Table'!J472*100 - 27790)*0.0001) ) ) )</f>
        <v/>
      </c>
      <c r="M472" s="1" t="str">
        <f>IF(ISBLANK('Aqueous Species Options'!B472), "", IF('Aqueous Species Options'!L472=0, 'Aqueous Species Options'!R472, IF('Aqueous Species Table'!N472="", "", IF('Aqueous Species Options'!B472="H+", 0, 'Aqueous Species Options'!H472 - 'Aqueous Species Table'!O472*100000*(-0.000000309)*298.15 - 'Aqueous Species Table'!N472*10000/(298.15-228)^2 ) ) ) )</f>
        <v/>
      </c>
      <c r="N472" s="1" t="str">
        <f>IF(ISBLANK('Aqueous Species Options'!B472), "", IF('Aqueous Species Options'!L472=0, 'Aqueous Species Options'!S472, IF(OR(ISBLANK('Aqueous Species Options'!H472), 'Aqueous Species Table'!O472=""), "", IF('Aqueous Species Options'!B472="H+", 0, 0.2037*'Aqueous Species Options'!H472 - 3.0346) ) ) )</f>
        <v/>
      </c>
      <c r="O472" s="1" t="str">
        <f>IF(ISBLANK('Aqueous Species Options'!B472), "", IF('Aqueous Species Options'!K472=0, 'Aqueous Species Options'!I472, IF(OR('Aqueous Species Options'!J472&gt;4,'Aqueous Species Options'!J472&lt;-4), "", IF('Aqueous Species Options'!B472="H+", 0, IF('Aqueous Species Options'!J472=0, -0.038, IF(ISBLANK('Aqueous Species Options'!F472), "", -1514.4*'Aqueous Species Options'!F472*0.00001 + SUM(({4,3,2,1,-1,-2,-3,-4}='Aqueous Species Options'!J472)*{2.1764,1.5793,1.0579,0.5517,1.6291,3.2127,4.8115,6.486}) ) ) ) ) ) )</f>
        <v/>
      </c>
      <c r="P472" s="1" t="str">
        <f>IF(ISBLANK('Aqueous Species Options'!J472), "", 'Aqueous Species Options'!J472)</f>
        <v/>
      </c>
      <c r="Q472" s="184" t="str">
        <f>IF(ISBLANK('Aqueous Species Options'!T472), "", 'Aqueous Species Options'!T472)</f>
        <v/>
      </c>
    </row>
    <row r="473" spans="2:17" ht="16" x14ac:dyDescent="0.2">
      <c r="B473" t="str">
        <f>IF(ISBLANK('Aqueous Species Options'!B473), "", 'Aqueous Species Options'!B473)</f>
        <v/>
      </c>
      <c r="C473" s="1" t="str">
        <f>IF(ISBLANK('Aqueous Species Options'!C473), "", 'Aqueous Species Options'!C473)</f>
        <v/>
      </c>
      <c r="D473" s="1" t="str">
        <f>IF(ISBLANK('Aqueous Species Options'!D473), "", 'Aqueous Species Options'!D473)</f>
        <v/>
      </c>
      <c r="E473" s="1" t="str">
        <f>IF(ISBLANK('Aqueous Species Options'!E473), "", 'Aqueous Species Options'!E473)</f>
        <v/>
      </c>
      <c r="F473" s="139" t="str">
        <f>IF(ISBLANK('Aqueous Species Options'!F473), "", 'Aqueous Species Options'!F473)</f>
        <v/>
      </c>
      <c r="G473" s="29" t="str">
        <f>IF(ISBLANK('Aqueous Species Options'!B473), "", IF('Aqueous Species Options'!L473 = 1, IF(ISBLANK('Aqueous Species Options'!G473), "", 'Aqueous Species Options'!G473), ('Aqueous Species Table'!I473/10 + ('Aqueous Species Table'!J473*100)/(Calculations!$C$12+Calculations!$C$9) + ('Aqueous Species Table'!K473 + ('Aqueous Species Table'!L473*10000)/(Calculations!$C$12+Calculations!$C$9))*(1/(Calculations!$C$8-Calculations!$C$13)) - 'Aqueous Species Table'!O473*100000*0.0000005903)*41.8393))</f>
        <v/>
      </c>
      <c r="H473" s="29" t="str">
        <f>IF(ISBLANK('Aqueous Species Options'!B473), "", IF('Aqueous Species Options'!L473 = 1, IF(ISBLANK('Aqueous Species Options'!H473), "", 'Aqueous Species Options'!H473), 'Aqueous Species Table'!M473 + 'Aqueous Species Table'!N473*10000*(1/(Calculations!$C$8-Calculations!$C$13))^2 + 'Aqueous Species Table'!O473*100000*Calculations!$C$8*Calculations!$C$7))</f>
        <v/>
      </c>
      <c r="I473" s="1" t="str">
        <f>IF(ISBLANK('Aqueous Species Options'!B473), "", IF('Aqueous Species Options'!L473=0, 'Aqueous Species Options'!N473, IF(OR(ISBLANK('Aqueous Species Options'!G473),'Aqueous Species Table'!O473="", 'Aqueous Species Table'!P473=""), "", IF('Aqueous Species Options'!B473="H+", 0, (CHOOSE('Aqueous Species Options'!M473+1,'Aqueous Species Options'!$V$4*ABS('Aqueous Species Table'!P473)+'Aqueous Species Options'!$W$4,'Aqueous Species Options'!$Z$4)*('Aqueous Species Options'!G473 + 'Aqueous Species Table'!O473*100000*0.0000005903*41.8393) + CHOOSE('Aqueous Species Options'!M473+1,'Aqueous Species Options'!$X$4*ABS('Aqueous Species Table'!P473)+'Aqueous Species Options'!$Y$4,'Aqueous Species Options'!$AA$4))*10 ) ) ) )</f>
        <v/>
      </c>
      <c r="J473" s="1" t="str">
        <f>IF(ISBLANK('Aqueous Species Options'!B473), "", IF('Aqueous Species Options'!L473 = 0, 'Aqueous Species Options'!O473, IF('Aqueous Species Table'!I473="", "", IF('Aqueous Species Options'!B473="H+", 0, ((1.11*('Aqueous Species Options'!G473 + 'Aqueous Species Table'!O473*100000*0.0000005903*41.8393)+1.8)/41.8393 - 'Aqueous Species Table'!I473/10)*26.01 ) ) ) )</f>
        <v/>
      </c>
      <c r="K473" s="1" t="str">
        <f>IF(ISBLANK('Aqueous Species Options'!B473), "", IF('Aqueous Species Options'!L473 = 0, 'Aqueous Species Options'!P473, IF('Aqueous Species Table'!I473="", "", IF('Aqueous Species Options'!B473="H+", 0, ('Aqueous Species Options'!G473/41.8393 + 'Aqueous Species Table'!O473*100000*0.0000005903 - 'Aqueous Species Table'!I473/10 - 'Aqueous Species Table'!J473*100/2601)*(298.15-228) - ('Aqueous Species Table'!L473*10000/2601) ) ) ) )</f>
        <v/>
      </c>
      <c r="L473" s="1" t="str">
        <f>IF(ISBLANK('Aqueous Species Options'!B473), "", IF('Aqueous Species Options'!L473 = 0, 'Aqueous Species Options'!Q473, IF('Aqueous Species Table'!J473="", "", IF('Aqueous Species Options'!B473="H+", 0, (-4.134*'Aqueous Species Table'!J473*100 - 27790)*0.0001) ) ) )</f>
        <v/>
      </c>
      <c r="M473" s="1" t="str">
        <f>IF(ISBLANK('Aqueous Species Options'!B473), "", IF('Aqueous Species Options'!L473=0, 'Aqueous Species Options'!R473, IF('Aqueous Species Table'!N473="", "", IF('Aqueous Species Options'!B473="H+", 0, 'Aqueous Species Options'!H473 - 'Aqueous Species Table'!O473*100000*(-0.000000309)*298.15 - 'Aqueous Species Table'!N473*10000/(298.15-228)^2 ) ) ) )</f>
        <v/>
      </c>
      <c r="N473" s="1" t="str">
        <f>IF(ISBLANK('Aqueous Species Options'!B473), "", IF('Aqueous Species Options'!L473=0, 'Aqueous Species Options'!S473, IF(OR(ISBLANK('Aqueous Species Options'!H473), 'Aqueous Species Table'!O473=""), "", IF('Aqueous Species Options'!B473="H+", 0, 0.2037*'Aqueous Species Options'!H473 - 3.0346) ) ) )</f>
        <v/>
      </c>
      <c r="O473" s="1" t="str">
        <f>IF(ISBLANK('Aqueous Species Options'!B473), "", IF('Aqueous Species Options'!K473=0, 'Aqueous Species Options'!I473, IF(OR('Aqueous Species Options'!J473&gt;4,'Aqueous Species Options'!J473&lt;-4), "", IF('Aqueous Species Options'!B473="H+", 0, IF('Aqueous Species Options'!J473=0, -0.038, IF(ISBLANK('Aqueous Species Options'!F473), "", -1514.4*'Aqueous Species Options'!F473*0.00001 + SUM(({4,3,2,1,-1,-2,-3,-4}='Aqueous Species Options'!J473)*{2.1764,1.5793,1.0579,0.5517,1.6291,3.2127,4.8115,6.486}) ) ) ) ) ) )</f>
        <v/>
      </c>
      <c r="P473" s="1" t="str">
        <f>IF(ISBLANK('Aqueous Species Options'!J473), "", 'Aqueous Species Options'!J473)</f>
        <v/>
      </c>
      <c r="Q473" s="184" t="str">
        <f>IF(ISBLANK('Aqueous Species Options'!T473), "", 'Aqueous Species Options'!T473)</f>
        <v/>
      </c>
    </row>
    <row r="474" spans="2:17" ht="16" x14ac:dyDescent="0.2">
      <c r="B474" t="str">
        <f>IF(ISBLANK('Aqueous Species Options'!B474), "", 'Aqueous Species Options'!B474)</f>
        <v/>
      </c>
      <c r="C474" s="1" t="str">
        <f>IF(ISBLANK('Aqueous Species Options'!C474), "", 'Aqueous Species Options'!C474)</f>
        <v/>
      </c>
      <c r="D474" s="1" t="str">
        <f>IF(ISBLANK('Aqueous Species Options'!D474), "", 'Aqueous Species Options'!D474)</f>
        <v/>
      </c>
      <c r="E474" s="1" t="str">
        <f>IF(ISBLANK('Aqueous Species Options'!E474), "", 'Aqueous Species Options'!E474)</f>
        <v/>
      </c>
      <c r="F474" s="139" t="str">
        <f>IF(ISBLANK('Aqueous Species Options'!F474), "", 'Aqueous Species Options'!F474)</f>
        <v/>
      </c>
      <c r="G474" s="29" t="str">
        <f>IF(ISBLANK('Aqueous Species Options'!B474), "", IF('Aqueous Species Options'!L474 = 1, IF(ISBLANK('Aqueous Species Options'!G474), "", 'Aqueous Species Options'!G474), ('Aqueous Species Table'!I474/10 + ('Aqueous Species Table'!J474*100)/(Calculations!$C$12+Calculations!$C$9) + ('Aqueous Species Table'!K474 + ('Aqueous Species Table'!L474*10000)/(Calculations!$C$12+Calculations!$C$9))*(1/(Calculations!$C$8-Calculations!$C$13)) - 'Aqueous Species Table'!O474*100000*0.0000005903)*41.8393))</f>
        <v/>
      </c>
      <c r="H474" s="29" t="str">
        <f>IF(ISBLANK('Aqueous Species Options'!B474), "", IF('Aqueous Species Options'!L474 = 1, IF(ISBLANK('Aqueous Species Options'!H474), "", 'Aqueous Species Options'!H474), 'Aqueous Species Table'!M474 + 'Aqueous Species Table'!N474*10000*(1/(Calculations!$C$8-Calculations!$C$13))^2 + 'Aqueous Species Table'!O474*100000*Calculations!$C$8*Calculations!$C$7))</f>
        <v/>
      </c>
      <c r="I474" s="1" t="str">
        <f>IF(ISBLANK('Aqueous Species Options'!B474), "", IF('Aqueous Species Options'!L474=0, 'Aqueous Species Options'!N474, IF(OR(ISBLANK('Aqueous Species Options'!G474),'Aqueous Species Table'!O474="", 'Aqueous Species Table'!P474=""), "", IF('Aqueous Species Options'!B474="H+", 0, (CHOOSE('Aqueous Species Options'!M474+1,'Aqueous Species Options'!$V$4*ABS('Aqueous Species Table'!P474)+'Aqueous Species Options'!$W$4,'Aqueous Species Options'!$Z$4)*('Aqueous Species Options'!G474 + 'Aqueous Species Table'!O474*100000*0.0000005903*41.8393) + CHOOSE('Aqueous Species Options'!M474+1,'Aqueous Species Options'!$X$4*ABS('Aqueous Species Table'!P474)+'Aqueous Species Options'!$Y$4,'Aqueous Species Options'!$AA$4))*10 ) ) ) )</f>
        <v/>
      </c>
      <c r="J474" s="1" t="str">
        <f>IF(ISBLANK('Aqueous Species Options'!B474), "", IF('Aqueous Species Options'!L474 = 0, 'Aqueous Species Options'!O474, IF('Aqueous Species Table'!I474="", "", IF('Aqueous Species Options'!B474="H+", 0, ((1.11*('Aqueous Species Options'!G474 + 'Aqueous Species Table'!O474*100000*0.0000005903*41.8393)+1.8)/41.8393 - 'Aqueous Species Table'!I474/10)*26.01 ) ) ) )</f>
        <v/>
      </c>
      <c r="K474" s="1" t="str">
        <f>IF(ISBLANK('Aqueous Species Options'!B474), "", IF('Aqueous Species Options'!L474 = 0, 'Aqueous Species Options'!P474, IF('Aqueous Species Table'!I474="", "", IF('Aqueous Species Options'!B474="H+", 0, ('Aqueous Species Options'!G474/41.8393 + 'Aqueous Species Table'!O474*100000*0.0000005903 - 'Aqueous Species Table'!I474/10 - 'Aqueous Species Table'!J474*100/2601)*(298.15-228) - ('Aqueous Species Table'!L474*10000/2601) ) ) ) )</f>
        <v/>
      </c>
      <c r="L474" s="1" t="str">
        <f>IF(ISBLANK('Aqueous Species Options'!B474), "", IF('Aqueous Species Options'!L474 = 0, 'Aqueous Species Options'!Q474, IF('Aqueous Species Table'!J474="", "", IF('Aqueous Species Options'!B474="H+", 0, (-4.134*'Aqueous Species Table'!J474*100 - 27790)*0.0001) ) ) )</f>
        <v/>
      </c>
      <c r="M474" s="1" t="str">
        <f>IF(ISBLANK('Aqueous Species Options'!B474), "", IF('Aqueous Species Options'!L474=0, 'Aqueous Species Options'!R474, IF('Aqueous Species Table'!N474="", "", IF('Aqueous Species Options'!B474="H+", 0, 'Aqueous Species Options'!H474 - 'Aqueous Species Table'!O474*100000*(-0.000000309)*298.15 - 'Aqueous Species Table'!N474*10000/(298.15-228)^2 ) ) ) )</f>
        <v/>
      </c>
      <c r="N474" s="1" t="str">
        <f>IF(ISBLANK('Aqueous Species Options'!B474), "", IF('Aqueous Species Options'!L474=0, 'Aqueous Species Options'!S474, IF(OR(ISBLANK('Aqueous Species Options'!H474), 'Aqueous Species Table'!O474=""), "", IF('Aqueous Species Options'!B474="H+", 0, 0.2037*'Aqueous Species Options'!H474 - 3.0346) ) ) )</f>
        <v/>
      </c>
      <c r="O474" s="1" t="str">
        <f>IF(ISBLANK('Aqueous Species Options'!B474), "", IF('Aqueous Species Options'!K474=0, 'Aqueous Species Options'!I474, IF(OR('Aqueous Species Options'!J474&gt;4,'Aqueous Species Options'!J474&lt;-4), "", IF('Aqueous Species Options'!B474="H+", 0, IF('Aqueous Species Options'!J474=0, -0.038, IF(ISBLANK('Aqueous Species Options'!F474), "", -1514.4*'Aqueous Species Options'!F474*0.00001 + SUM(({4,3,2,1,-1,-2,-3,-4}='Aqueous Species Options'!J474)*{2.1764,1.5793,1.0579,0.5517,1.6291,3.2127,4.8115,6.486}) ) ) ) ) ) )</f>
        <v/>
      </c>
      <c r="P474" s="1" t="str">
        <f>IF(ISBLANK('Aqueous Species Options'!J474), "", 'Aqueous Species Options'!J474)</f>
        <v/>
      </c>
      <c r="Q474" s="184" t="str">
        <f>IF(ISBLANK('Aqueous Species Options'!T474), "", 'Aqueous Species Options'!T474)</f>
        <v/>
      </c>
    </row>
    <row r="475" spans="2:17" ht="16" x14ac:dyDescent="0.2">
      <c r="B475" t="str">
        <f>IF(ISBLANK('Aqueous Species Options'!B475), "", 'Aqueous Species Options'!B475)</f>
        <v/>
      </c>
      <c r="C475" s="1" t="str">
        <f>IF(ISBLANK('Aqueous Species Options'!C475), "", 'Aqueous Species Options'!C475)</f>
        <v/>
      </c>
      <c r="D475" s="1" t="str">
        <f>IF(ISBLANK('Aqueous Species Options'!D475), "", 'Aqueous Species Options'!D475)</f>
        <v/>
      </c>
      <c r="E475" s="1" t="str">
        <f>IF(ISBLANK('Aqueous Species Options'!E475), "", 'Aqueous Species Options'!E475)</f>
        <v/>
      </c>
      <c r="F475" s="139" t="str">
        <f>IF(ISBLANK('Aqueous Species Options'!F475), "", 'Aqueous Species Options'!F475)</f>
        <v/>
      </c>
      <c r="G475" s="29" t="str">
        <f>IF(ISBLANK('Aqueous Species Options'!B475), "", IF('Aqueous Species Options'!L475 = 1, IF(ISBLANK('Aqueous Species Options'!G475), "", 'Aqueous Species Options'!G475), ('Aqueous Species Table'!I475/10 + ('Aqueous Species Table'!J475*100)/(Calculations!$C$12+Calculations!$C$9) + ('Aqueous Species Table'!K475 + ('Aqueous Species Table'!L475*10000)/(Calculations!$C$12+Calculations!$C$9))*(1/(Calculations!$C$8-Calculations!$C$13)) - 'Aqueous Species Table'!O475*100000*0.0000005903)*41.8393))</f>
        <v/>
      </c>
      <c r="H475" s="29" t="str">
        <f>IF(ISBLANK('Aqueous Species Options'!B475), "", IF('Aqueous Species Options'!L475 = 1, IF(ISBLANK('Aqueous Species Options'!H475), "", 'Aqueous Species Options'!H475), 'Aqueous Species Table'!M475 + 'Aqueous Species Table'!N475*10000*(1/(Calculations!$C$8-Calculations!$C$13))^2 + 'Aqueous Species Table'!O475*100000*Calculations!$C$8*Calculations!$C$7))</f>
        <v/>
      </c>
      <c r="I475" s="1" t="str">
        <f>IF(ISBLANK('Aqueous Species Options'!B475), "", IF('Aqueous Species Options'!L475=0, 'Aqueous Species Options'!N475, IF(OR(ISBLANK('Aqueous Species Options'!G475),'Aqueous Species Table'!O475="", 'Aqueous Species Table'!P475=""), "", IF('Aqueous Species Options'!B475="H+", 0, (CHOOSE('Aqueous Species Options'!M475+1,'Aqueous Species Options'!$V$4*ABS('Aqueous Species Table'!P475)+'Aqueous Species Options'!$W$4,'Aqueous Species Options'!$Z$4)*('Aqueous Species Options'!G475 + 'Aqueous Species Table'!O475*100000*0.0000005903*41.8393) + CHOOSE('Aqueous Species Options'!M475+1,'Aqueous Species Options'!$X$4*ABS('Aqueous Species Table'!P475)+'Aqueous Species Options'!$Y$4,'Aqueous Species Options'!$AA$4))*10 ) ) ) )</f>
        <v/>
      </c>
      <c r="J475" s="1" t="str">
        <f>IF(ISBLANK('Aqueous Species Options'!B475), "", IF('Aqueous Species Options'!L475 = 0, 'Aqueous Species Options'!O475, IF('Aqueous Species Table'!I475="", "", IF('Aqueous Species Options'!B475="H+", 0, ((1.11*('Aqueous Species Options'!G475 + 'Aqueous Species Table'!O475*100000*0.0000005903*41.8393)+1.8)/41.8393 - 'Aqueous Species Table'!I475/10)*26.01 ) ) ) )</f>
        <v/>
      </c>
      <c r="K475" s="1" t="str">
        <f>IF(ISBLANK('Aqueous Species Options'!B475), "", IF('Aqueous Species Options'!L475 = 0, 'Aqueous Species Options'!P475, IF('Aqueous Species Table'!I475="", "", IF('Aqueous Species Options'!B475="H+", 0, ('Aqueous Species Options'!G475/41.8393 + 'Aqueous Species Table'!O475*100000*0.0000005903 - 'Aqueous Species Table'!I475/10 - 'Aqueous Species Table'!J475*100/2601)*(298.15-228) - ('Aqueous Species Table'!L475*10000/2601) ) ) ) )</f>
        <v/>
      </c>
      <c r="L475" s="1" t="str">
        <f>IF(ISBLANK('Aqueous Species Options'!B475), "", IF('Aqueous Species Options'!L475 = 0, 'Aqueous Species Options'!Q475, IF('Aqueous Species Table'!J475="", "", IF('Aqueous Species Options'!B475="H+", 0, (-4.134*'Aqueous Species Table'!J475*100 - 27790)*0.0001) ) ) )</f>
        <v/>
      </c>
      <c r="M475" s="1" t="str">
        <f>IF(ISBLANK('Aqueous Species Options'!B475), "", IF('Aqueous Species Options'!L475=0, 'Aqueous Species Options'!R475, IF('Aqueous Species Table'!N475="", "", IF('Aqueous Species Options'!B475="H+", 0, 'Aqueous Species Options'!H475 - 'Aqueous Species Table'!O475*100000*(-0.000000309)*298.15 - 'Aqueous Species Table'!N475*10000/(298.15-228)^2 ) ) ) )</f>
        <v/>
      </c>
      <c r="N475" s="1" t="str">
        <f>IF(ISBLANK('Aqueous Species Options'!B475), "", IF('Aqueous Species Options'!L475=0, 'Aqueous Species Options'!S475, IF(OR(ISBLANK('Aqueous Species Options'!H475), 'Aqueous Species Table'!O475=""), "", IF('Aqueous Species Options'!B475="H+", 0, 0.2037*'Aqueous Species Options'!H475 - 3.0346) ) ) )</f>
        <v/>
      </c>
      <c r="O475" s="1" t="str">
        <f>IF(ISBLANK('Aqueous Species Options'!B475), "", IF('Aqueous Species Options'!K475=0, 'Aqueous Species Options'!I475, IF(OR('Aqueous Species Options'!J475&gt;4,'Aqueous Species Options'!J475&lt;-4), "", IF('Aqueous Species Options'!B475="H+", 0, IF('Aqueous Species Options'!J475=0, -0.038, IF(ISBLANK('Aqueous Species Options'!F475), "", -1514.4*'Aqueous Species Options'!F475*0.00001 + SUM(({4,3,2,1,-1,-2,-3,-4}='Aqueous Species Options'!J475)*{2.1764,1.5793,1.0579,0.5517,1.6291,3.2127,4.8115,6.486}) ) ) ) ) ) )</f>
        <v/>
      </c>
      <c r="P475" s="1" t="str">
        <f>IF(ISBLANK('Aqueous Species Options'!J475), "", 'Aqueous Species Options'!J475)</f>
        <v/>
      </c>
      <c r="Q475" s="184" t="str">
        <f>IF(ISBLANK('Aqueous Species Options'!T475), "", 'Aqueous Species Options'!T475)</f>
        <v/>
      </c>
    </row>
    <row r="476" spans="2:17" ht="16" x14ac:dyDescent="0.2">
      <c r="B476" t="str">
        <f>IF(ISBLANK('Aqueous Species Options'!B476), "", 'Aqueous Species Options'!B476)</f>
        <v/>
      </c>
      <c r="C476" s="1" t="str">
        <f>IF(ISBLANK('Aqueous Species Options'!C476), "", 'Aqueous Species Options'!C476)</f>
        <v/>
      </c>
      <c r="D476" s="1" t="str">
        <f>IF(ISBLANK('Aqueous Species Options'!D476), "", 'Aqueous Species Options'!D476)</f>
        <v/>
      </c>
      <c r="E476" s="1" t="str">
        <f>IF(ISBLANK('Aqueous Species Options'!E476), "", 'Aqueous Species Options'!E476)</f>
        <v/>
      </c>
      <c r="F476" s="139" t="str">
        <f>IF(ISBLANK('Aqueous Species Options'!F476), "", 'Aqueous Species Options'!F476)</f>
        <v/>
      </c>
      <c r="G476" s="29" t="str">
        <f>IF(ISBLANK('Aqueous Species Options'!B476), "", IF('Aqueous Species Options'!L476 = 1, IF(ISBLANK('Aqueous Species Options'!G476), "", 'Aqueous Species Options'!G476), ('Aqueous Species Table'!I476/10 + ('Aqueous Species Table'!J476*100)/(Calculations!$C$12+Calculations!$C$9) + ('Aqueous Species Table'!K476 + ('Aqueous Species Table'!L476*10000)/(Calculations!$C$12+Calculations!$C$9))*(1/(Calculations!$C$8-Calculations!$C$13)) - 'Aqueous Species Table'!O476*100000*0.0000005903)*41.8393))</f>
        <v/>
      </c>
      <c r="H476" s="29" t="str">
        <f>IF(ISBLANK('Aqueous Species Options'!B476), "", IF('Aqueous Species Options'!L476 = 1, IF(ISBLANK('Aqueous Species Options'!H476), "", 'Aqueous Species Options'!H476), 'Aqueous Species Table'!M476 + 'Aqueous Species Table'!N476*10000*(1/(Calculations!$C$8-Calculations!$C$13))^2 + 'Aqueous Species Table'!O476*100000*Calculations!$C$8*Calculations!$C$7))</f>
        <v/>
      </c>
      <c r="I476" s="1" t="str">
        <f>IF(ISBLANK('Aqueous Species Options'!B476), "", IF('Aqueous Species Options'!L476=0, 'Aqueous Species Options'!N476, IF(OR(ISBLANK('Aqueous Species Options'!G476),'Aqueous Species Table'!O476="", 'Aqueous Species Table'!P476=""), "", IF('Aqueous Species Options'!B476="H+", 0, (CHOOSE('Aqueous Species Options'!M476+1,'Aqueous Species Options'!$V$4*ABS('Aqueous Species Table'!P476)+'Aqueous Species Options'!$W$4,'Aqueous Species Options'!$Z$4)*('Aqueous Species Options'!G476 + 'Aqueous Species Table'!O476*100000*0.0000005903*41.8393) + CHOOSE('Aqueous Species Options'!M476+1,'Aqueous Species Options'!$X$4*ABS('Aqueous Species Table'!P476)+'Aqueous Species Options'!$Y$4,'Aqueous Species Options'!$AA$4))*10 ) ) ) )</f>
        <v/>
      </c>
      <c r="J476" s="1" t="str">
        <f>IF(ISBLANK('Aqueous Species Options'!B476), "", IF('Aqueous Species Options'!L476 = 0, 'Aqueous Species Options'!O476, IF('Aqueous Species Table'!I476="", "", IF('Aqueous Species Options'!B476="H+", 0, ((1.11*('Aqueous Species Options'!G476 + 'Aqueous Species Table'!O476*100000*0.0000005903*41.8393)+1.8)/41.8393 - 'Aqueous Species Table'!I476/10)*26.01 ) ) ) )</f>
        <v/>
      </c>
      <c r="K476" s="1" t="str">
        <f>IF(ISBLANK('Aqueous Species Options'!B476), "", IF('Aqueous Species Options'!L476 = 0, 'Aqueous Species Options'!P476, IF('Aqueous Species Table'!I476="", "", IF('Aqueous Species Options'!B476="H+", 0, ('Aqueous Species Options'!G476/41.8393 + 'Aqueous Species Table'!O476*100000*0.0000005903 - 'Aqueous Species Table'!I476/10 - 'Aqueous Species Table'!J476*100/2601)*(298.15-228) - ('Aqueous Species Table'!L476*10000/2601) ) ) ) )</f>
        <v/>
      </c>
      <c r="L476" s="1" t="str">
        <f>IF(ISBLANK('Aqueous Species Options'!B476), "", IF('Aqueous Species Options'!L476 = 0, 'Aqueous Species Options'!Q476, IF('Aqueous Species Table'!J476="", "", IF('Aqueous Species Options'!B476="H+", 0, (-4.134*'Aqueous Species Table'!J476*100 - 27790)*0.0001) ) ) )</f>
        <v/>
      </c>
      <c r="M476" s="1" t="str">
        <f>IF(ISBLANK('Aqueous Species Options'!B476), "", IF('Aqueous Species Options'!L476=0, 'Aqueous Species Options'!R476, IF('Aqueous Species Table'!N476="", "", IF('Aqueous Species Options'!B476="H+", 0, 'Aqueous Species Options'!H476 - 'Aqueous Species Table'!O476*100000*(-0.000000309)*298.15 - 'Aqueous Species Table'!N476*10000/(298.15-228)^2 ) ) ) )</f>
        <v/>
      </c>
      <c r="N476" s="1" t="str">
        <f>IF(ISBLANK('Aqueous Species Options'!B476), "", IF('Aqueous Species Options'!L476=0, 'Aqueous Species Options'!S476, IF(OR(ISBLANK('Aqueous Species Options'!H476), 'Aqueous Species Table'!O476=""), "", IF('Aqueous Species Options'!B476="H+", 0, 0.2037*'Aqueous Species Options'!H476 - 3.0346) ) ) )</f>
        <v/>
      </c>
      <c r="O476" s="1" t="str">
        <f>IF(ISBLANK('Aqueous Species Options'!B476), "", IF('Aqueous Species Options'!K476=0, 'Aqueous Species Options'!I476, IF(OR('Aqueous Species Options'!J476&gt;4,'Aqueous Species Options'!J476&lt;-4), "", IF('Aqueous Species Options'!B476="H+", 0, IF('Aqueous Species Options'!J476=0, -0.038, IF(ISBLANK('Aqueous Species Options'!F476), "", -1514.4*'Aqueous Species Options'!F476*0.00001 + SUM(({4,3,2,1,-1,-2,-3,-4}='Aqueous Species Options'!J476)*{2.1764,1.5793,1.0579,0.5517,1.6291,3.2127,4.8115,6.486}) ) ) ) ) ) )</f>
        <v/>
      </c>
      <c r="P476" s="1" t="str">
        <f>IF(ISBLANK('Aqueous Species Options'!J476), "", 'Aqueous Species Options'!J476)</f>
        <v/>
      </c>
      <c r="Q476" s="184" t="str">
        <f>IF(ISBLANK('Aqueous Species Options'!T476), "", 'Aqueous Species Options'!T476)</f>
        <v/>
      </c>
    </row>
    <row r="477" spans="2:17" ht="16" x14ac:dyDescent="0.2">
      <c r="B477" t="str">
        <f>IF(ISBLANK('Aqueous Species Options'!B477), "", 'Aqueous Species Options'!B477)</f>
        <v/>
      </c>
      <c r="C477" s="1" t="str">
        <f>IF(ISBLANK('Aqueous Species Options'!C477), "", 'Aqueous Species Options'!C477)</f>
        <v/>
      </c>
      <c r="D477" s="1" t="str">
        <f>IF(ISBLANK('Aqueous Species Options'!D477), "", 'Aqueous Species Options'!D477)</f>
        <v/>
      </c>
      <c r="E477" s="1" t="str">
        <f>IF(ISBLANK('Aqueous Species Options'!E477), "", 'Aqueous Species Options'!E477)</f>
        <v/>
      </c>
      <c r="F477" s="139" t="str">
        <f>IF(ISBLANK('Aqueous Species Options'!F477), "", 'Aqueous Species Options'!F477)</f>
        <v/>
      </c>
      <c r="G477" s="29" t="str">
        <f>IF(ISBLANK('Aqueous Species Options'!B477), "", IF('Aqueous Species Options'!L477 = 1, IF(ISBLANK('Aqueous Species Options'!G477), "", 'Aqueous Species Options'!G477), ('Aqueous Species Table'!I477/10 + ('Aqueous Species Table'!J477*100)/(Calculations!$C$12+Calculations!$C$9) + ('Aqueous Species Table'!K477 + ('Aqueous Species Table'!L477*10000)/(Calculations!$C$12+Calculations!$C$9))*(1/(Calculations!$C$8-Calculations!$C$13)) - 'Aqueous Species Table'!O477*100000*0.0000005903)*41.8393))</f>
        <v/>
      </c>
      <c r="H477" s="29" t="str">
        <f>IF(ISBLANK('Aqueous Species Options'!B477), "", IF('Aqueous Species Options'!L477 = 1, IF(ISBLANK('Aqueous Species Options'!H477), "", 'Aqueous Species Options'!H477), 'Aqueous Species Table'!M477 + 'Aqueous Species Table'!N477*10000*(1/(Calculations!$C$8-Calculations!$C$13))^2 + 'Aqueous Species Table'!O477*100000*Calculations!$C$8*Calculations!$C$7))</f>
        <v/>
      </c>
      <c r="I477" s="1" t="str">
        <f>IF(ISBLANK('Aqueous Species Options'!B477), "", IF('Aqueous Species Options'!L477=0, 'Aqueous Species Options'!N477, IF(OR(ISBLANK('Aqueous Species Options'!G477),'Aqueous Species Table'!O477="", 'Aqueous Species Table'!P477=""), "", IF('Aqueous Species Options'!B477="H+", 0, (CHOOSE('Aqueous Species Options'!M477+1,'Aqueous Species Options'!$V$4*ABS('Aqueous Species Table'!P477)+'Aqueous Species Options'!$W$4,'Aqueous Species Options'!$Z$4)*('Aqueous Species Options'!G477 + 'Aqueous Species Table'!O477*100000*0.0000005903*41.8393) + CHOOSE('Aqueous Species Options'!M477+1,'Aqueous Species Options'!$X$4*ABS('Aqueous Species Table'!P477)+'Aqueous Species Options'!$Y$4,'Aqueous Species Options'!$AA$4))*10 ) ) ) )</f>
        <v/>
      </c>
      <c r="J477" s="1" t="str">
        <f>IF(ISBLANK('Aqueous Species Options'!B477), "", IF('Aqueous Species Options'!L477 = 0, 'Aqueous Species Options'!O477, IF('Aqueous Species Table'!I477="", "", IF('Aqueous Species Options'!B477="H+", 0, ((1.11*('Aqueous Species Options'!G477 + 'Aqueous Species Table'!O477*100000*0.0000005903*41.8393)+1.8)/41.8393 - 'Aqueous Species Table'!I477/10)*26.01 ) ) ) )</f>
        <v/>
      </c>
      <c r="K477" s="1" t="str">
        <f>IF(ISBLANK('Aqueous Species Options'!B477), "", IF('Aqueous Species Options'!L477 = 0, 'Aqueous Species Options'!P477, IF('Aqueous Species Table'!I477="", "", IF('Aqueous Species Options'!B477="H+", 0, ('Aqueous Species Options'!G477/41.8393 + 'Aqueous Species Table'!O477*100000*0.0000005903 - 'Aqueous Species Table'!I477/10 - 'Aqueous Species Table'!J477*100/2601)*(298.15-228) - ('Aqueous Species Table'!L477*10000/2601) ) ) ) )</f>
        <v/>
      </c>
      <c r="L477" s="1" t="str">
        <f>IF(ISBLANK('Aqueous Species Options'!B477), "", IF('Aqueous Species Options'!L477 = 0, 'Aqueous Species Options'!Q477, IF('Aqueous Species Table'!J477="", "", IF('Aqueous Species Options'!B477="H+", 0, (-4.134*'Aqueous Species Table'!J477*100 - 27790)*0.0001) ) ) )</f>
        <v/>
      </c>
      <c r="M477" s="1" t="str">
        <f>IF(ISBLANK('Aqueous Species Options'!B477), "", IF('Aqueous Species Options'!L477=0, 'Aqueous Species Options'!R477, IF('Aqueous Species Table'!N477="", "", IF('Aqueous Species Options'!B477="H+", 0, 'Aqueous Species Options'!H477 - 'Aqueous Species Table'!O477*100000*(-0.000000309)*298.15 - 'Aqueous Species Table'!N477*10000/(298.15-228)^2 ) ) ) )</f>
        <v/>
      </c>
      <c r="N477" s="1" t="str">
        <f>IF(ISBLANK('Aqueous Species Options'!B477), "", IF('Aqueous Species Options'!L477=0, 'Aqueous Species Options'!S477, IF(OR(ISBLANK('Aqueous Species Options'!H477), 'Aqueous Species Table'!O477=""), "", IF('Aqueous Species Options'!B477="H+", 0, 0.2037*'Aqueous Species Options'!H477 - 3.0346) ) ) )</f>
        <v/>
      </c>
      <c r="O477" s="1" t="str">
        <f>IF(ISBLANK('Aqueous Species Options'!B477), "", IF('Aqueous Species Options'!K477=0, 'Aqueous Species Options'!I477, IF(OR('Aqueous Species Options'!J477&gt;4,'Aqueous Species Options'!J477&lt;-4), "", IF('Aqueous Species Options'!B477="H+", 0, IF('Aqueous Species Options'!J477=0, -0.038, IF(ISBLANK('Aqueous Species Options'!F477), "", -1514.4*'Aqueous Species Options'!F477*0.00001 + SUM(({4,3,2,1,-1,-2,-3,-4}='Aqueous Species Options'!J477)*{2.1764,1.5793,1.0579,0.5517,1.6291,3.2127,4.8115,6.486}) ) ) ) ) ) )</f>
        <v/>
      </c>
      <c r="P477" s="1" t="str">
        <f>IF(ISBLANK('Aqueous Species Options'!J477), "", 'Aqueous Species Options'!J477)</f>
        <v/>
      </c>
      <c r="Q477" s="184" t="str">
        <f>IF(ISBLANK('Aqueous Species Options'!T477), "", 'Aqueous Species Options'!T477)</f>
        <v/>
      </c>
    </row>
    <row r="478" spans="2:17" ht="16" x14ac:dyDescent="0.2">
      <c r="B478" t="str">
        <f>IF(ISBLANK('Aqueous Species Options'!B478), "", 'Aqueous Species Options'!B478)</f>
        <v/>
      </c>
      <c r="C478" s="1" t="str">
        <f>IF(ISBLANK('Aqueous Species Options'!C478), "", 'Aqueous Species Options'!C478)</f>
        <v/>
      </c>
      <c r="D478" s="1" t="str">
        <f>IF(ISBLANK('Aqueous Species Options'!D478), "", 'Aqueous Species Options'!D478)</f>
        <v/>
      </c>
      <c r="E478" s="1" t="str">
        <f>IF(ISBLANK('Aqueous Species Options'!E478), "", 'Aqueous Species Options'!E478)</f>
        <v/>
      </c>
      <c r="F478" s="139" t="str">
        <f>IF(ISBLANK('Aqueous Species Options'!F478), "", 'Aqueous Species Options'!F478)</f>
        <v/>
      </c>
      <c r="G478" s="29" t="str">
        <f>IF(ISBLANK('Aqueous Species Options'!B478), "", IF('Aqueous Species Options'!L478 = 1, IF(ISBLANK('Aqueous Species Options'!G478), "", 'Aqueous Species Options'!G478), ('Aqueous Species Table'!I478/10 + ('Aqueous Species Table'!J478*100)/(Calculations!$C$12+Calculations!$C$9) + ('Aqueous Species Table'!K478 + ('Aqueous Species Table'!L478*10000)/(Calculations!$C$12+Calculations!$C$9))*(1/(Calculations!$C$8-Calculations!$C$13)) - 'Aqueous Species Table'!O478*100000*0.0000005903)*41.8393))</f>
        <v/>
      </c>
      <c r="H478" s="29" t="str">
        <f>IF(ISBLANK('Aqueous Species Options'!B478), "", IF('Aqueous Species Options'!L478 = 1, IF(ISBLANK('Aqueous Species Options'!H478), "", 'Aqueous Species Options'!H478), 'Aqueous Species Table'!M478 + 'Aqueous Species Table'!N478*10000*(1/(Calculations!$C$8-Calculations!$C$13))^2 + 'Aqueous Species Table'!O478*100000*Calculations!$C$8*Calculations!$C$7))</f>
        <v/>
      </c>
      <c r="I478" s="1" t="str">
        <f>IF(ISBLANK('Aqueous Species Options'!B478), "", IF('Aqueous Species Options'!L478=0, 'Aqueous Species Options'!N478, IF(OR(ISBLANK('Aqueous Species Options'!G478),'Aqueous Species Table'!O478="", 'Aqueous Species Table'!P478=""), "", IF('Aqueous Species Options'!B478="H+", 0, (CHOOSE('Aqueous Species Options'!M478+1,'Aqueous Species Options'!$V$4*ABS('Aqueous Species Table'!P478)+'Aqueous Species Options'!$W$4,'Aqueous Species Options'!$Z$4)*('Aqueous Species Options'!G478 + 'Aqueous Species Table'!O478*100000*0.0000005903*41.8393) + CHOOSE('Aqueous Species Options'!M478+1,'Aqueous Species Options'!$X$4*ABS('Aqueous Species Table'!P478)+'Aqueous Species Options'!$Y$4,'Aqueous Species Options'!$AA$4))*10 ) ) ) )</f>
        <v/>
      </c>
      <c r="J478" s="1" t="str">
        <f>IF(ISBLANK('Aqueous Species Options'!B478), "", IF('Aqueous Species Options'!L478 = 0, 'Aqueous Species Options'!O478, IF('Aqueous Species Table'!I478="", "", IF('Aqueous Species Options'!B478="H+", 0, ((1.11*('Aqueous Species Options'!G478 + 'Aqueous Species Table'!O478*100000*0.0000005903*41.8393)+1.8)/41.8393 - 'Aqueous Species Table'!I478/10)*26.01 ) ) ) )</f>
        <v/>
      </c>
      <c r="K478" s="1" t="str">
        <f>IF(ISBLANK('Aqueous Species Options'!B478), "", IF('Aqueous Species Options'!L478 = 0, 'Aqueous Species Options'!P478, IF('Aqueous Species Table'!I478="", "", IF('Aqueous Species Options'!B478="H+", 0, ('Aqueous Species Options'!G478/41.8393 + 'Aqueous Species Table'!O478*100000*0.0000005903 - 'Aqueous Species Table'!I478/10 - 'Aqueous Species Table'!J478*100/2601)*(298.15-228) - ('Aqueous Species Table'!L478*10000/2601) ) ) ) )</f>
        <v/>
      </c>
      <c r="L478" s="1" t="str">
        <f>IF(ISBLANK('Aqueous Species Options'!B478), "", IF('Aqueous Species Options'!L478 = 0, 'Aqueous Species Options'!Q478, IF('Aqueous Species Table'!J478="", "", IF('Aqueous Species Options'!B478="H+", 0, (-4.134*'Aqueous Species Table'!J478*100 - 27790)*0.0001) ) ) )</f>
        <v/>
      </c>
      <c r="M478" s="1" t="str">
        <f>IF(ISBLANK('Aqueous Species Options'!B478), "", IF('Aqueous Species Options'!L478=0, 'Aqueous Species Options'!R478, IF('Aqueous Species Table'!N478="", "", IF('Aqueous Species Options'!B478="H+", 0, 'Aqueous Species Options'!H478 - 'Aqueous Species Table'!O478*100000*(-0.000000309)*298.15 - 'Aqueous Species Table'!N478*10000/(298.15-228)^2 ) ) ) )</f>
        <v/>
      </c>
      <c r="N478" s="1" t="str">
        <f>IF(ISBLANK('Aqueous Species Options'!B478), "", IF('Aqueous Species Options'!L478=0, 'Aqueous Species Options'!S478, IF(OR(ISBLANK('Aqueous Species Options'!H478), 'Aqueous Species Table'!O478=""), "", IF('Aqueous Species Options'!B478="H+", 0, 0.2037*'Aqueous Species Options'!H478 - 3.0346) ) ) )</f>
        <v/>
      </c>
      <c r="O478" s="1" t="str">
        <f>IF(ISBLANK('Aqueous Species Options'!B478), "", IF('Aqueous Species Options'!K478=0, 'Aqueous Species Options'!I478, IF(OR('Aqueous Species Options'!J478&gt;4,'Aqueous Species Options'!J478&lt;-4), "", IF('Aqueous Species Options'!B478="H+", 0, IF('Aqueous Species Options'!J478=0, -0.038, IF(ISBLANK('Aqueous Species Options'!F478), "", -1514.4*'Aqueous Species Options'!F478*0.00001 + SUM(({4,3,2,1,-1,-2,-3,-4}='Aqueous Species Options'!J478)*{2.1764,1.5793,1.0579,0.5517,1.6291,3.2127,4.8115,6.486}) ) ) ) ) ) )</f>
        <v/>
      </c>
      <c r="P478" s="1" t="str">
        <f>IF(ISBLANK('Aqueous Species Options'!J478), "", 'Aqueous Species Options'!J478)</f>
        <v/>
      </c>
      <c r="Q478" s="184" t="str">
        <f>IF(ISBLANK('Aqueous Species Options'!T478), "", 'Aqueous Species Options'!T478)</f>
        <v/>
      </c>
    </row>
    <row r="479" spans="2:17" ht="16" x14ac:dyDescent="0.2">
      <c r="B479" t="str">
        <f>IF(ISBLANK('Aqueous Species Options'!B479), "", 'Aqueous Species Options'!B479)</f>
        <v/>
      </c>
      <c r="C479" s="1" t="str">
        <f>IF(ISBLANK('Aqueous Species Options'!C479), "", 'Aqueous Species Options'!C479)</f>
        <v/>
      </c>
      <c r="D479" s="1" t="str">
        <f>IF(ISBLANK('Aqueous Species Options'!D479), "", 'Aqueous Species Options'!D479)</f>
        <v/>
      </c>
      <c r="E479" s="1" t="str">
        <f>IF(ISBLANK('Aqueous Species Options'!E479), "", 'Aqueous Species Options'!E479)</f>
        <v/>
      </c>
      <c r="F479" s="139" t="str">
        <f>IF(ISBLANK('Aqueous Species Options'!F479), "", 'Aqueous Species Options'!F479)</f>
        <v/>
      </c>
      <c r="G479" s="29" t="str">
        <f>IF(ISBLANK('Aqueous Species Options'!B479), "", IF('Aqueous Species Options'!L479 = 1, IF(ISBLANK('Aqueous Species Options'!G479), "", 'Aqueous Species Options'!G479), ('Aqueous Species Table'!I479/10 + ('Aqueous Species Table'!J479*100)/(Calculations!$C$12+Calculations!$C$9) + ('Aqueous Species Table'!K479 + ('Aqueous Species Table'!L479*10000)/(Calculations!$C$12+Calculations!$C$9))*(1/(Calculations!$C$8-Calculations!$C$13)) - 'Aqueous Species Table'!O479*100000*0.0000005903)*41.8393))</f>
        <v/>
      </c>
      <c r="H479" s="29" t="str">
        <f>IF(ISBLANK('Aqueous Species Options'!B479), "", IF('Aqueous Species Options'!L479 = 1, IF(ISBLANK('Aqueous Species Options'!H479), "", 'Aqueous Species Options'!H479), 'Aqueous Species Table'!M479 + 'Aqueous Species Table'!N479*10000*(1/(Calculations!$C$8-Calculations!$C$13))^2 + 'Aqueous Species Table'!O479*100000*Calculations!$C$8*Calculations!$C$7))</f>
        <v/>
      </c>
      <c r="I479" s="1" t="str">
        <f>IF(ISBLANK('Aqueous Species Options'!B479), "", IF('Aqueous Species Options'!L479=0, 'Aqueous Species Options'!N479, IF(OR(ISBLANK('Aqueous Species Options'!G479),'Aqueous Species Table'!O479="", 'Aqueous Species Table'!P479=""), "", IF('Aqueous Species Options'!B479="H+", 0, (CHOOSE('Aqueous Species Options'!M479+1,'Aqueous Species Options'!$V$4*ABS('Aqueous Species Table'!P479)+'Aqueous Species Options'!$W$4,'Aqueous Species Options'!$Z$4)*('Aqueous Species Options'!G479 + 'Aqueous Species Table'!O479*100000*0.0000005903*41.8393) + CHOOSE('Aqueous Species Options'!M479+1,'Aqueous Species Options'!$X$4*ABS('Aqueous Species Table'!P479)+'Aqueous Species Options'!$Y$4,'Aqueous Species Options'!$AA$4))*10 ) ) ) )</f>
        <v/>
      </c>
      <c r="J479" s="1" t="str">
        <f>IF(ISBLANK('Aqueous Species Options'!B479), "", IF('Aqueous Species Options'!L479 = 0, 'Aqueous Species Options'!O479, IF('Aqueous Species Table'!I479="", "", IF('Aqueous Species Options'!B479="H+", 0, ((1.11*('Aqueous Species Options'!G479 + 'Aqueous Species Table'!O479*100000*0.0000005903*41.8393)+1.8)/41.8393 - 'Aqueous Species Table'!I479/10)*26.01 ) ) ) )</f>
        <v/>
      </c>
      <c r="K479" s="1" t="str">
        <f>IF(ISBLANK('Aqueous Species Options'!B479), "", IF('Aqueous Species Options'!L479 = 0, 'Aqueous Species Options'!P479, IF('Aqueous Species Table'!I479="", "", IF('Aqueous Species Options'!B479="H+", 0, ('Aqueous Species Options'!G479/41.8393 + 'Aqueous Species Table'!O479*100000*0.0000005903 - 'Aqueous Species Table'!I479/10 - 'Aqueous Species Table'!J479*100/2601)*(298.15-228) - ('Aqueous Species Table'!L479*10000/2601) ) ) ) )</f>
        <v/>
      </c>
      <c r="L479" s="1" t="str">
        <f>IF(ISBLANK('Aqueous Species Options'!B479), "", IF('Aqueous Species Options'!L479 = 0, 'Aqueous Species Options'!Q479, IF('Aqueous Species Table'!J479="", "", IF('Aqueous Species Options'!B479="H+", 0, (-4.134*'Aqueous Species Table'!J479*100 - 27790)*0.0001) ) ) )</f>
        <v/>
      </c>
      <c r="M479" s="1" t="str">
        <f>IF(ISBLANK('Aqueous Species Options'!B479), "", IF('Aqueous Species Options'!L479=0, 'Aqueous Species Options'!R479, IF('Aqueous Species Table'!N479="", "", IF('Aqueous Species Options'!B479="H+", 0, 'Aqueous Species Options'!H479 - 'Aqueous Species Table'!O479*100000*(-0.000000309)*298.15 - 'Aqueous Species Table'!N479*10000/(298.15-228)^2 ) ) ) )</f>
        <v/>
      </c>
      <c r="N479" s="1" t="str">
        <f>IF(ISBLANK('Aqueous Species Options'!B479), "", IF('Aqueous Species Options'!L479=0, 'Aqueous Species Options'!S479, IF(OR(ISBLANK('Aqueous Species Options'!H479), 'Aqueous Species Table'!O479=""), "", IF('Aqueous Species Options'!B479="H+", 0, 0.2037*'Aqueous Species Options'!H479 - 3.0346) ) ) )</f>
        <v/>
      </c>
      <c r="O479" s="1" t="str">
        <f>IF(ISBLANK('Aqueous Species Options'!B479), "", IF('Aqueous Species Options'!K479=0, 'Aqueous Species Options'!I479, IF(OR('Aqueous Species Options'!J479&gt;4,'Aqueous Species Options'!J479&lt;-4), "", IF('Aqueous Species Options'!B479="H+", 0, IF('Aqueous Species Options'!J479=0, -0.038, IF(ISBLANK('Aqueous Species Options'!F479), "", -1514.4*'Aqueous Species Options'!F479*0.00001 + SUM(({4,3,2,1,-1,-2,-3,-4}='Aqueous Species Options'!J479)*{2.1764,1.5793,1.0579,0.5517,1.6291,3.2127,4.8115,6.486}) ) ) ) ) ) )</f>
        <v/>
      </c>
      <c r="P479" s="1" t="str">
        <f>IF(ISBLANK('Aqueous Species Options'!J479), "", 'Aqueous Species Options'!J479)</f>
        <v/>
      </c>
      <c r="Q479" s="184" t="str">
        <f>IF(ISBLANK('Aqueous Species Options'!T479), "", 'Aqueous Species Options'!T479)</f>
        <v/>
      </c>
    </row>
    <row r="480" spans="2:17" ht="16" x14ac:dyDescent="0.2">
      <c r="B480" t="str">
        <f>IF(ISBLANK('Aqueous Species Options'!B480), "", 'Aqueous Species Options'!B480)</f>
        <v/>
      </c>
      <c r="C480" s="1" t="str">
        <f>IF(ISBLANK('Aqueous Species Options'!C480), "", 'Aqueous Species Options'!C480)</f>
        <v/>
      </c>
      <c r="D480" s="1" t="str">
        <f>IF(ISBLANK('Aqueous Species Options'!D480), "", 'Aqueous Species Options'!D480)</f>
        <v/>
      </c>
      <c r="E480" s="1" t="str">
        <f>IF(ISBLANK('Aqueous Species Options'!E480), "", 'Aqueous Species Options'!E480)</f>
        <v/>
      </c>
      <c r="F480" s="139" t="str">
        <f>IF(ISBLANK('Aqueous Species Options'!F480), "", 'Aqueous Species Options'!F480)</f>
        <v/>
      </c>
      <c r="G480" s="29" t="str">
        <f>IF(ISBLANK('Aqueous Species Options'!B480), "", IF('Aqueous Species Options'!L480 = 1, IF(ISBLANK('Aqueous Species Options'!G480), "", 'Aqueous Species Options'!G480), ('Aqueous Species Table'!I480/10 + ('Aqueous Species Table'!J480*100)/(Calculations!$C$12+Calculations!$C$9) + ('Aqueous Species Table'!K480 + ('Aqueous Species Table'!L480*10000)/(Calculations!$C$12+Calculations!$C$9))*(1/(Calculations!$C$8-Calculations!$C$13)) - 'Aqueous Species Table'!O480*100000*0.0000005903)*41.8393))</f>
        <v/>
      </c>
      <c r="H480" s="29" t="str">
        <f>IF(ISBLANK('Aqueous Species Options'!B480), "", IF('Aqueous Species Options'!L480 = 1, IF(ISBLANK('Aqueous Species Options'!H480), "", 'Aqueous Species Options'!H480), 'Aqueous Species Table'!M480 + 'Aqueous Species Table'!N480*10000*(1/(Calculations!$C$8-Calculations!$C$13))^2 + 'Aqueous Species Table'!O480*100000*Calculations!$C$8*Calculations!$C$7))</f>
        <v/>
      </c>
      <c r="I480" s="1" t="str">
        <f>IF(ISBLANK('Aqueous Species Options'!B480), "", IF('Aqueous Species Options'!L480=0, 'Aqueous Species Options'!N480, IF(OR(ISBLANK('Aqueous Species Options'!G480),'Aqueous Species Table'!O480="", 'Aqueous Species Table'!P480=""), "", IF('Aqueous Species Options'!B480="H+", 0, (CHOOSE('Aqueous Species Options'!M480+1,'Aqueous Species Options'!$V$4*ABS('Aqueous Species Table'!P480)+'Aqueous Species Options'!$W$4,'Aqueous Species Options'!$Z$4)*('Aqueous Species Options'!G480 + 'Aqueous Species Table'!O480*100000*0.0000005903*41.8393) + CHOOSE('Aqueous Species Options'!M480+1,'Aqueous Species Options'!$X$4*ABS('Aqueous Species Table'!P480)+'Aqueous Species Options'!$Y$4,'Aqueous Species Options'!$AA$4))*10 ) ) ) )</f>
        <v/>
      </c>
      <c r="J480" s="1" t="str">
        <f>IF(ISBLANK('Aqueous Species Options'!B480), "", IF('Aqueous Species Options'!L480 = 0, 'Aqueous Species Options'!O480, IF('Aqueous Species Table'!I480="", "", IF('Aqueous Species Options'!B480="H+", 0, ((1.11*('Aqueous Species Options'!G480 + 'Aqueous Species Table'!O480*100000*0.0000005903*41.8393)+1.8)/41.8393 - 'Aqueous Species Table'!I480/10)*26.01 ) ) ) )</f>
        <v/>
      </c>
      <c r="K480" s="1" t="str">
        <f>IF(ISBLANK('Aqueous Species Options'!B480), "", IF('Aqueous Species Options'!L480 = 0, 'Aqueous Species Options'!P480, IF('Aqueous Species Table'!I480="", "", IF('Aqueous Species Options'!B480="H+", 0, ('Aqueous Species Options'!G480/41.8393 + 'Aqueous Species Table'!O480*100000*0.0000005903 - 'Aqueous Species Table'!I480/10 - 'Aqueous Species Table'!J480*100/2601)*(298.15-228) - ('Aqueous Species Table'!L480*10000/2601) ) ) ) )</f>
        <v/>
      </c>
      <c r="L480" s="1" t="str">
        <f>IF(ISBLANK('Aqueous Species Options'!B480), "", IF('Aqueous Species Options'!L480 = 0, 'Aqueous Species Options'!Q480, IF('Aqueous Species Table'!J480="", "", IF('Aqueous Species Options'!B480="H+", 0, (-4.134*'Aqueous Species Table'!J480*100 - 27790)*0.0001) ) ) )</f>
        <v/>
      </c>
      <c r="M480" s="1" t="str">
        <f>IF(ISBLANK('Aqueous Species Options'!B480), "", IF('Aqueous Species Options'!L480=0, 'Aqueous Species Options'!R480, IF('Aqueous Species Table'!N480="", "", IF('Aqueous Species Options'!B480="H+", 0, 'Aqueous Species Options'!H480 - 'Aqueous Species Table'!O480*100000*(-0.000000309)*298.15 - 'Aqueous Species Table'!N480*10000/(298.15-228)^2 ) ) ) )</f>
        <v/>
      </c>
      <c r="N480" s="1" t="str">
        <f>IF(ISBLANK('Aqueous Species Options'!B480), "", IF('Aqueous Species Options'!L480=0, 'Aqueous Species Options'!S480, IF(OR(ISBLANK('Aqueous Species Options'!H480), 'Aqueous Species Table'!O480=""), "", IF('Aqueous Species Options'!B480="H+", 0, 0.2037*'Aqueous Species Options'!H480 - 3.0346) ) ) )</f>
        <v/>
      </c>
      <c r="O480" s="1" t="str">
        <f>IF(ISBLANK('Aqueous Species Options'!B480), "", IF('Aqueous Species Options'!K480=0, 'Aqueous Species Options'!I480, IF(OR('Aqueous Species Options'!J480&gt;4,'Aqueous Species Options'!J480&lt;-4), "", IF('Aqueous Species Options'!B480="H+", 0, IF('Aqueous Species Options'!J480=0, -0.038, IF(ISBLANK('Aqueous Species Options'!F480), "", -1514.4*'Aqueous Species Options'!F480*0.00001 + SUM(({4,3,2,1,-1,-2,-3,-4}='Aqueous Species Options'!J480)*{2.1764,1.5793,1.0579,0.5517,1.6291,3.2127,4.8115,6.486}) ) ) ) ) ) )</f>
        <v/>
      </c>
      <c r="P480" s="1" t="str">
        <f>IF(ISBLANK('Aqueous Species Options'!J480), "", 'Aqueous Species Options'!J480)</f>
        <v/>
      </c>
      <c r="Q480" s="184" t="str">
        <f>IF(ISBLANK('Aqueous Species Options'!T480), "", 'Aqueous Species Options'!T480)</f>
        <v/>
      </c>
    </row>
    <row r="481" spans="2:17" ht="16" x14ac:dyDescent="0.2">
      <c r="B481" t="str">
        <f>IF(ISBLANK('Aqueous Species Options'!B481), "", 'Aqueous Species Options'!B481)</f>
        <v/>
      </c>
      <c r="C481" s="1" t="str">
        <f>IF(ISBLANK('Aqueous Species Options'!C481), "", 'Aqueous Species Options'!C481)</f>
        <v/>
      </c>
      <c r="D481" s="1" t="str">
        <f>IF(ISBLANK('Aqueous Species Options'!D481), "", 'Aqueous Species Options'!D481)</f>
        <v/>
      </c>
      <c r="E481" s="1" t="str">
        <f>IF(ISBLANK('Aqueous Species Options'!E481), "", 'Aqueous Species Options'!E481)</f>
        <v/>
      </c>
      <c r="F481" s="139" t="str">
        <f>IF(ISBLANK('Aqueous Species Options'!F481), "", 'Aqueous Species Options'!F481)</f>
        <v/>
      </c>
      <c r="G481" s="29" t="str">
        <f>IF(ISBLANK('Aqueous Species Options'!B481), "", IF('Aqueous Species Options'!L481 = 1, IF(ISBLANK('Aqueous Species Options'!G481), "", 'Aqueous Species Options'!G481), ('Aqueous Species Table'!I481/10 + ('Aqueous Species Table'!J481*100)/(Calculations!$C$12+Calculations!$C$9) + ('Aqueous Species Table'!K481 + ('Aqueous Species Table'!L481*10000)/(Calculations!$C$12+Calculations!$C$9))*(1/(Calculations!$C$8-Calculations!$C$13)) - 'Aqueous Species Table'!O481*100000*0.0000005903)*41.8393))</f>
        <v/>
      </c>
      <c r="H481" s="29" t="str">
        <f>IF(ISBLANK('Aqueous Species Options'!B481), "", IF('Aqueous Species Options'!L481 = 1, IF(ISBLANK('Aqueous Species Options'!H481), "", 'Aqueous Species Options'!H481), 'Aqueous Species Table'!M481 + 'Aqueous Species Table'!N481*10000*(1/(Calculations!$C$8-Calculations!$C$13))^2 + 'Aqueous Species Table'!O481*100000*Calculations!$C$8*Calculations!$C$7))</f>
        <v/>
      </c>
      <c r="I481" s="1" t="str">
        <f>IF(ISBLANK('Aqueous Species Options'!B481), "", IF('Aqueous Species Options'!L481=0, 'Aqueous Species Options'!N481, IF(OR(ISBLANK('Aqueous Species Options'!G481),'Aqueous Species Table'!O481="", 'Aqueous Species Table'!P481=""), "", IF('Aqueous Species Options'!B481="H+", 0, (CHOOSE('Aqueous Species Options'!M481+1,'Aqueous Species Options'!$V$4*ABS('Aqueous Species Table'!P481)+'Aqueous Species Options'!$W$4,'Aqueous Species Options'!$Z$4)*('Aqueous Species Options'!G481 + 'Aqueous Species Table'!O481*100000*0.0000005903*41.8393) + CHOOSE('Aqueous Species Options'!M481+1,'Aqueous Species Options'!$X$4*ABS('Aqueous Species Table'!P481)+'Aqueous Species Options'!$Y$4,'Aqueous Species Options'!$AA$4))*10 ) ) ) )</f>
        <v/>
      </c>
      <c r="J481" s="1" t="str">
        <f>IF(ISBLANK('Aqueous Species Options'!B481), "", IF('Aqueous Species Options'!L481 = 0, 'Aqueous Species Options'!O481, IF('Aqueous Species Table'!I481="", "", IF('Aqueous Species Options'!B481="H+", 0, ((1.11*('Aqueous Species Options'!G481 + 'Aqueous Species Table'!O481*100000*0.0000005903*41.8393)+1.8)/41.8393 - 'Aqueous Species Table'!I481/10)*26.01 ) ) ) )</f>
        <v/>
      </c>
      <c r="K481" s="1" t="str">
        <f>IF(ISBLANK('Aqueous Species Options'!B481), "", IF('Aqueous Species Options'!L481 = 0, 'Aqueous Species Options'!P481, IF('Aqueous Species Table'!I481="", "", IF('Aqueous Species Options'!B481="H+", 0, ('Aqueous Species Options'!G481/41.8393 + 'Aqueous Species Table'!O481*100000*0.0000005903 - 'Aqueous Species Table'!I481/10 - 'Aqueous Species Table'!J481*100/2601)*(298.15-228) - ('Aqueous Species Table'!L481*10000/2601) ) ) ) )</f>
        <v/>
      </c>
      <c r="L481" s="1" t="str">
        <f>IF(ISBLANK('Aqueous Species Options'!B481), "", IF('Aqueous Species Options'!L481 = 0, 'Aqueous Species Options'!Q481, IF('Aqueous Species Table'!J481="", "", IF('Aqueous Species Options'!B481="H+", 0, (-4.134*'Aqueous Species Table'!J481*100 - 27790)*0.0001) ) ) )</f>
        <v/>
      </c>
      <c r="M481" s="1" t="str">
        <f>IF(ISBLANK('Aqueous Species Options'!B481), "", IF('Aqueous Species Options'!L481=0, 'Aqueous Species Options'!R481, IF('Aqueous Species Table'!N481="", "", IF('Aqueous Species Options'!B481="H+", 0, 'Aqueous Species Options'!H481 - 'Aqueous Species Table'!O481*100000*(-0.000000309)*298.15 - 'Aqueous Species Table'!N481*10000/(298.15-228)^2 ) ) ) )</f>
        <v/>
      </c>
      <c r="N481" s="1" t="str">
        <f>IF(ISBLANK('Aqueous Species Options'!B481), "", IF('Aqueous Species Options'!L481=0, 'Aqueous Species Options'!S481, IF(OR(ISBLANK('Aqueous Species Options'!H481), 'Aqueous Species Table'!O481=""), "", IF('Aqueous Species Options'!B481="H+", 0, 0.2037*'Aqueous Species Options'!H481 - 3.0346) ) ) )</f>
        <v/>
      </c>
      <c r="O481" s="1" t="str">
        <f>IF(ISBLANK('Aqueous Species Options'!B481), "", IF('Aqueous Species Options'!K481=0, 'Aqueous Species Options'!I481, IF(OR('Aqueous Species Options'!J481&gt;4,'Aqueous Species Options'!J481&lt;-4), "", IF('Aqueous Species Options'!B481="H+", 0, IF('Aqueous Species Options'!J481=0, -0.038, IF(ISBLANK('Aqueous Species Options'!F481), "", -1514.4*'Aqueous Species Options'!F481*0.00001 + SUM(({4,3,2,1,-1,-2,-3,-4}='Aqueous Species Options'!J481)*{2.1764,1.5793,1.0579,0.5517,1.6291,3.2127,4.8115,6.486}) ) ) ) ) ) )</f>
        <v/>
      </c>
      <c r="P481" s="1" t="str">
        <f>IF(ISBLANK('Aqueous Species Options'!J481), "", 'Aqueous Species Options'!J481)</f>
        <v/>
      </c>
      <c r="Q481" s="184" t="str">
        <f>IF(ISBLANK('Aqueous Species Options'!T481), "", 'Aqueous Species Options'!T481)</f>
        <v/>
      </c>
    </row>
    <row r="482" spans="2:17" ht="16" x14ac:dyDescent="0.2">
      <c r="B482" t="str">
        <f>IF(ISBLANK('Aqueous Species Options'!B482), "", 'Aqueous Species Options'!B482)</f>
        <v/>
      </c>
      <c r="C482" s="1" t="str">
        <f>IF(ISBLANK('Aqueous Species Options'!C482), "", 'Aqueous Species Options'!C482)</f>
        <v/>
      </c>
      <c r="D482" s="1" t="str">
        <f>IF(ISBLANK('Aqueous Species Options'!D482), "", 'Aqueous Species Options'!D482)</f>
        <v/>
      </c>
      <c r="E482" s="1" t="str">
        <f>IF(ISBLANK('Aqueous Species Options'!E482), "", 'Aqueous Species Options'!E482)</f>
        <v/>
      </c>
      <c r="F482" s="139" t="str">
        <f>IF(ISBLANK('Aqueous Species Options'!F482), "", 'Aqueous Species Options'!F482)</f>
        <v/>
      </c>
      <c r="G482" s="29" t="str">
        <f>IF(ISBLANK('Aqueous Species Options'!B482), "", IF('Aqueous Species Options'!L482 = 1, IF(ISBLANK('Aqueous Species Options'!G482), "", 'Aqueous Species Options'!G482), ('Aqueous Species Table'!I482/10 + ('Aqueous Species Table'!J482*100)/(Calculations!$C$12+Calculations!$C$9) + ('Aqueous Species Table'!K482 + ('Aqueous Species Table'!L482*10000)/(Calculations!$C$12+Calculations!$C$9))*(1/(Calculations!$C$8-Calculations!$C$13)) - 'Aqueous Species Table'!O482*100000*0.0000005903)*41.8393))</f>
        <v/>
      </c>
      <c r="H482" s="29" t="str">
        <f>IF(ISBLANK('Aqueous Species Options'!B482), "", IF('Aqueous Species Options'!L482 = 1, IF(ISBLANK('Aqueous Species Options'!H482), "", 'Aqueous Species Options'!H482), 'Aqueous Species Table'!M482 + 'Aqueous Species Table'!N482*10000*(1/(Calculations!$C$8-Calculations!$C$13))^2 + 'Aqueous Species Table'!O482*100000*Calculations!$C$8*Calculations!$C$7))</f>
        <v/>
      </c>
      <c r="I482" s="1" t="str">
        <f>IF(ISBLANK('Aqueous Species Options'!B482), "", IF('Aqueous Species Options'!L482=0, 'Aqueous Species Options'!N482, IF(OR(ISBLANK('Aqueous Species Options'!G482),'Aqueous Species Table'!O482="", 'Aqueous Species Table'!P482=""), "", IF('Aqueous Species Options'!B482="H+", 0, (CHOOSE('Aqueous Species Options'!M482+1,'Aqueous Species Options'!$V$4*ABS('Aqueous Species Table'!P482)+'Aqueous Species Options'!$W$4,'Aqueous Species Options'!$Z$4)*('Aqueous Species Options'!G482 + 'Aqueous Species Table'!O482*100000*0.0000005903*41.8393) + CHOOSE('Aqueous Species Options'!M482+1,'Aqueous Species Options'!$X$4*ABS('Aqueous Species Table'!P482)+'Aqueous Species Options'!$Y$4,'Aqueous Species Options'!$AA$4))*10 ) ) ) )</f>
        <v/>
      </c>
      <c r="J482" s="1" t="str">
        <f>IF(ISBLANK('Aqueous Species Options'!B482), "", IF('Aqueous Species Options'!L482 = 0, 'Aqueous Species Options'!O482, IF('Aqueous Species Table'!I482="", "", IF('Aqueous Species Options'!B482="H+", 0, ((1.11*('Aqueous Species Options'!G482 + 'Aqueous Species Table'!O482*100000*0.0000005903*41.8393)+1.8)/41.8393 - 'Aqueous Species Table'!I482/10)*26.01 ) ) ) )</f>
        <v/>
      </c>
      <c r="K482" s="1" t="str">
        <f>IF(ISBLANK('Aqueous Species Options'!B482), "", IF('Aqueous Species Options'!L482 = 0, 'Aqueous Species Options'!P482, IF('Aqueous Species Table'!I482="", "", IF('Aqueous Species Options'!B482="H+", 0, ('Aqueous Species Options'!G482/41.8393 + 'Aqueous Species Table'!O482*100000*0.0000005903 - 'Aqueous Species Table'!I482/10 - 'Aqueous Species Table'!J482*100/2601)*(298.15-228) - ('Aqueous Species Table'!L482*10000/2601) ) ) ) )</f>
        <v/>
      </c>
      <c r="L482" s="1" t="str">
        <f>IF(ISBLANK('Aqueous Species Options'!B482), "", IF('Aqueous Species Options'!L482 = 0, 'Aqueous Species Options'!Q482, IF('Aqueous Species Table'!J482="", "", IF('Aqueous Species Options'!B482="H+", 0, (-4.134*'Aqueous Species Table'!J482*100 - 27790)*0.0001) ) ) )</f>
        <v/>
      </c>
      <c r="M482" s="1" t="str">
        <f>IF(ISBLANK('Aqueous Species Options'!B482), "", IF('Aqueous Species Options'!L482=0, 'Aqueous Species Options'!R482, IF('Aqueous Species Table'!N482="", "", IF('Aqueous Species Options'!B482="H+", 0, 'Aqueous Species Options'!H482 - 'Aqueous Species Table'!O482*100000*(-0.000000309)*298.15 - 'Aqueous Species Table'!N482*10000/(298.15-228)^2 ) ) ) )</f>
        <v/>
      </c>
      <c r="N482" s="1" t="str">
        <f>IF(ISBLANK('Aqueous Species Options'!B482), "", IF('Aqueous Species Options'!L482=0, 'Aqueous Species Options'!S482, IF(OR(ISBLANK('Aqueous Species Options'!H482), 'Aqueous Species Table'!O482=""), "", IF('Aqueous Species Options'!B482="H+", 0, 0.2037*'Aqueous Species Options'!H482 - 3.0346) ) ) )</f>
        <v/>
      </c>
      <c r="O482" s="1" t="str">
        <f>IF(ISBLANK('Aqueous Species Options'!B482), "", IF('Aqueous Species Options'!K482=0, 'Aqueous Species Options'!I482, IF(OR('Aqueous Species Options'!J482&gt;4,'Aqueous Species Options'!J482&lt;-4), "", IF('Aqueous Species Options'!B482="H+", 0, IF('Aqueous Species Options'!J482=0, -0.038, IF(ISBLANK('Aqueous Species Options'!F482), "", -1514.4*'Aqueous Species Options'!F482*0.00001 + SUM(({4,3,2,1,-1,-2,-3,-4}='Aqueous Species Options'!J482)*{2.1764,1.5793,1.0579,0.5517,1.6291,3.2127,4.8115,6.486}) ) ) ) ) ) )</f>
        <v/>
      </c>
      <c r="P482" s="1" t="str">
        <f>IF(ISBLANK('Aqueous Species Options'!J482), "", 'Aqueous Species Options'!J482)</f>
        <v/>
      </c>
      <c r="Q482" s="184" t="str">
        <f>IF(ISBLANK('Aqueous Species Options'!T482), "", 'Aqueous Species Options'!T482)</f>
        <v/>
      </c>
    </row>
    <row r="483" spans="2:17" ht="16" x14ac:dyDescent="0.2">
      <c r="B483" t="str">
        <f>IF(ISBLANK('Aqueous Species Options'!B483), "", 'Aqueous Species Options'!B483)</f>
        <v/>
      </c>
      <c r="C483" s="1" t="str">
        <f>IF(ISBLANK('Aqueous Species Options'!C483), "", 'Aqueous Species Options'!C483)</f>
        <v/>
      </c>
      <c r="D483" s="1" t="str">
        <f>IF(ISBLANK('Aqueous Species Options'!D483), "", 'Aqueous Species Options'!D483)</f>
        <v/>
      </c>
      <c r="E483" s="1" t="str">
        <f>IF(ISBLANK('Aqueous Species Options'!E483), "", 'Aqueous Species Options'!E483)</f>
        <v/>
      </c>
      <c r="F483" s="139" t="str">
        <f>IF(ISBLANK('Aqueous Species Options'!F483), "", 'Aqueous Species Options'!F483)</f>
        <v/>
      </c>
      <c r="G483" s="29" t="str">
        <f>IF(ISBLANK('Aqueous Species Options'!B483), "", IF('Aqueous Species Options'!L483 = 1, IF(ISBLANK('Aqueous Species Options'!G483), "", 'Aqueous Species Options'!G483), ('Aqueous Species Table'!I483/10 + ('Aqueous Species Table'!J483*100)/(Calculations!$C$12+Calculations!$C$9) + ('Aqueous Species Table'!K483 + ('Aqueous Species Table'!L483*10000)/(Calculations!$C$12+Calculations!$C$9))*(1/(Calculations!$C$8-Calculations!$C$13)) - 'Aqueous Species Table'!O483*100000*0.0000005903)*41.8393))</f>
        <v/>
      </c>
      <c r="H483" s="29" t="str">
        <f>IF(ISBLANK('Aqueous Species Options'!B483), "", IF('Aqueous Species Options'!L483 = 1, IF(ISBLANK('Aqueous Species Options'!H483), "", 'Aqueous Species Options'!H483), 'Aqueous Species Table'!M483 + 'Aqueous Species Table'!N483*10000*(1/(Calculations!$C$8-Calculations!$C$13))^2 + 'Aqueous Species Table'!O483*100000*Calculations!$C$8*Calculations!$C$7))</f>
        <v/>
      </c>
      <c r="I483" s="1" t="str">
        <f>IF(ISBLANK('Aqueous Species Options'!B483), "", IF('Aqueous Species Options'!L483=0, 'Aqueous Species Options'!N483, IF(OR(ISBLANK('Aqueous Species Options'!G483),'Aqueous Species Table'!O483="", 'Aqueous Species Table'!P483=""), "", IF('Aqueous Species Options'!B483="H+", 0, (CHOOSE('Aqueous Species Options'!M483+1,'Aqueous Species Options'!$V$4*ABS('Aqueous Species Table'!P483)+'Aqueous Species Options'!$W$4,'Aqueous Species Options'!$Z$4)*('Aqueous Species Options'!G483 + 'Aqueous Species Table'!O483*100000*0.0000005903*41.8393) + CHOOSE('Aqueous Species Options'!M483+1,'Aqueous Species Options'!$X$4*ABS('Aqueous Species Table'!P483)+'Aqueous Species Options'!$Y$4,'Aqueous Species Options'!$AA$4))*10 ) ) ) )</f>
        <v/>
      </c>
      <c r="J483" s="1" t="str">
        <f>IF(ISBLANK('Aqueous Species Options'!B483), "", IF('Aqueous Species Options'!L483 = 0, 'Aqueous Species Options'!O483, IF('Aqueous Species Table'!I483="", "", IF('Aqueous Species Options'!B483="H+", 0, ((1.11*('Aqueous Species Options'!G483 + 'Aqueous Species Table'!O483*100000*0.0000005903*41.8393)+1.8)/41.8393 - 'Aqueous Species Table'!I483/10)*26.01 ) ) ) )</f>
        <v/>
      </c>
      <c r="K483" s="1" t="str">
        <f>IF(ISBLANK('Aqueous Species Options'!B483), "", IF('Aqueous Species Options'!L483 = 0, 'Aqueous Species Options'!P483, IF('Aqueous Species Table'!I483="", "", IF('Aqueous Species Options'!B483="H+", 0, ('Aqueous Species Options'!G483/41.8393 + 'Aqueous Species Table'!O483*100000*0.0000005903 - 'Aqueous Species Table'!I483/10 - 'Aqueous Species Table'!J483*100/2601)*(298.15-228) - ('Aqueous Species Table'!L483*10000/2601) ) ) ) )</f>
        <v/>
      </c>
      <c r="L483" s="1" t="str">
        <f>IF(ISBLANK('Aqueous Species Options'!B483), "", IF('Aqueous Species Options'!L483 = 0, 'Aqueous Species Options'!Q483, IF('Aqueous Species Table'!J483="", "", IF('Aqueous Species Options'!B483="H+", 0, (-4.134*'Aqueous Species Table'!J483*100 - 27790)*0.0001) ) ) )</f>
        <v/>
      </c>
      <c r="M483" s="1" t="str">
        <f>IF(ISBLANK('Aqueous Species Options'!B483), "", IF('Aqueous Species Options'!L483=0, 'Aqueous Species Options'!R483, IF('Aqueous Species Table'!N483="", "", IF('Aqueous Species Options'!B483="H+", 0, 'Aqueous Species Options'!H483 - 'Aqueous Species Table'!O483*100000*(-0.000000309)*298.15 - 'Aqueous Species Table'!N483*10000/(298.15-228)^2 ) ) ) )</f>
        <v/>
      </c>
      <c r="N483" s="1" t="str">
        <f>IF(ISBLANK('Aqueous Species Options'!B483), "", IF('Aqueous Species Options'!L483=0, 'Aqueous Species Options'!S483, IF(OR(ISBLANK('Aqueous Species Options'!H483), 'Aqueous Species Table'!O483=""), "", IF('Aqueous Species Options'!B483="H+", 0, 0.2037*'Aqueous Species Options'!H483 - 3.0346) ) ) )</f>
        <v/>
      </c>
      <c r="O483" s="1" t="str">
        <f>IF(ISBLANK('Aqueous Species Options'!B483), "", IF('Aqueous Species Options'!K483=0, 'Aqueous Species Options'!I483, IF(OR('Aqueous Species Options'!J483&gt;4,'Aqueous Species Options'!J483&lt;-4), "", IF('Aqueous Species Options'!B483="H+", 0, IF('Aqueous Species Options'!J483=0, -0.038, IF(ISBLANK('Aqueous Species Options'!F483), "", -1514.4*'Aqueous Species Options'!F483*0.00001 + SUM(({4,3,2,1,-1,-2,-3,-4}='Aqueous Species Options'!J483)*{2.1764,1.5793,1.0579,0.5517,1.6291,3.2127,4.8115,6.486}) ) ) ) ) ) )</f>
        <v/>
      </c>
      <c r="P483" s="1" t="str">
        <f>IF(ISBLANK('Aqueous Species Options'!J483), "", 'Aqueous Species Options'!J483)</f>
        <v/>
      </c>
      <c r="Q483" s="184" t="str">
        <f>IF(ISBLANK('Aqueous Species Options'!T483), "", 'Aqueous Species Options'!T483)</f>
        <v/>
      </c>
    </row>
    <row r="484" spans="2:17" ht="16" x14ac:dyDescent="0.2">
      <c r="B484" t="str">
        <f>IF(ISBLANK('Aqueous Species Options'!B484), "", 'Aqueous Species Options'!B484)</f>
        <v/>
      </c>
      <c r="C484" s="1" t="str">
        <f>IF(ISBLANK('Aqueous Species Options'!C484), "", 'Aqueous Species Options'!C484)</f>
        <v/>
      </c>
      <c r="D484" s="1" t="str">
        <f>IF(ISBLANK('Aqueous Species Options'!D484), "", 'Aqueous Species Options'!D484)</f>
        <v/>
      </c>
      <c r="E484" s="1" t="str">
        <f>IF(ISBLANK('Aqueous Species Options'!E484), "", 'Aqueous Species Options'!E484)</f>
        <v/>
      </c>
      <c r="F484" s="139" t="str">
        <f>IF(ISBLANK('Aqueous Species Options'!F484), "", 'Aqueous Species Options'!F484)</f>
        <v/>
      </c>
      <c r="G484" s="29" t="str">
        <f>IF(ISBLANK('Aqueous Species Options'!B484), "", IF('Aqueous Species Options'!L484 = 1, IF(ISBLANK('Aqueous Species Options'!G484), "", 'Aqueous Species Options'!G484), ('Aqueous Species Table'!I484/10 + ('Aqueous Species Table'!J484*100)/(Calculations!$C$12+Calculations!$C$9) + ('Aqueous Species Table'!K484 + ('Aqueous Species Table'!L484*10000)/(Calculations!$C$12+Calculations!$C$9))*(1/(Calculations!$C$8-Calculations!$C$13)) - 'Aqueous Species Table'!O484*100000*0.0000005903)*41.8393))</f>
        <v/>
      </c>
      <c r="H484" s="29" t="str">
        <f>IF(ISBLANK('Aqueous Species Options'!B484), "", IF('Aqueous Species Options'!L484 = 1, IF(ISBLANK('Aqueous Species Options'!H484), "", 'Aqueous Species Options'!H484), 'Aqueous Species Table'!M484 + 'Aqueous Species Table'!N484*10000*(1/(Calculations!$C$8-Calculations!$C$13))^2 + 'Aqueous Species Table'!O484*100000*Calculations!$C$8*Calculations!$C$7))</f>
        <v/>
      </c>
      <c r="I484" s="1" t="str">
        <f>IF(ISBLANK('Aqueous Species Options'!B484), "", IF('Aqueous Species Options'!L484=0, 'Aqueous Species Options'!N484, IF(OR(ISBLANK('Aqueous Species Options'!G484),'Aqueous Species Table'!O484="", 'Aqueous Species Table'!P484=""), "", IF('Aqueous Species Options'!B484="H+", 0, (CHOOSE('Aqueous Species Options'!M484+1,'Aqueous Species Options'!$V$4*ABS('Aqueous Species Table'!P484)+'Aqueous Species Options'!$W$4,'Aqueous Species Options'!$Z$4)*('Aqueous Species Options'!G484 + 'Aqueous Species Table'!O484*100000*0.0000005903*41.8393) + CHOOSE('Aqueous Species Options'!M484+1,'Aqueous Species Options'!$X$4*ABS('Aqueous Species Table'!P484)+'Aqueous Species Options'!$Y$4,'Aqueous Species Options'!$AA$4))*10 ) ) ) )</f>
        <v/>
      </c>
      <c r="J484" s="1" t="str">
        <f>IF(ISBLANK('Aqueous Species Options'!B484), "", IF('Aqueous Species Options'!L484 = 0, 'Aqueous Species Options'!O484, IF('Aqueous Species Table'!I484="", "", IF('Aqueous Species Options'!B484="H+", 0, ((1.11*('Aqueous Species Options'!G484 + 'Aqueous Species Table'!O484*100000*0.0000005903*41.8393)+1.8)/41.8393 - 'Aqueous Species Table'!I484/10)*26.01 ) ) ) )</f>
        <v/>
      </c>
      <c r="K484" s="1" t="str">
        <f>IF(ISBLANK('Aqueous Species Options'!B484), "", IF('Aqueous Species Options'!L484 = 0, 'Aqueous Species Options'!P484, IF('Aqueous Species Table'!I484="", "", IF('Aqueous Species Options'!B484="H+", 0, ('Aqueous Species Options'!G484/41.8393 + 'Aqueous Species Table'!O484*100000*0.0000005903 - 'Aqueous Species Table'!I484/10 - 'Aqueous Species Table'!J484*100/2601)*(298.15-228) - ('Aqueous Species Table'!L484*10000/2601) ) ) ) )</f>
        <v/>
      </c>
      <c r="L484" s="1" t="str">
        <f>IF(ISBLANK('Aqueous Species Options'!B484), "", IF('Aqueous Species Options'!L484 = 0, 'Aqueous Species Options'!Q484, IF('Aqueous Species Table'!J484="", "", IF('Aqueous Species Options'!B484="H+", 0, (-4.134*'Aqueous Species Table'!J484*100 - 27790)*0.0001) ) ) )</f>
        <v/>
      </c>
      <c r="M484" s="1" t="str">
        <f>IF(ISBLANK('Aqueous Species Options'!B484), "", IF('Aqueous Species Options'!L484=0, 'Aqueous Species Options'!R484, IF('Aqueous Species Table'!N484="", "", IF('Aqueous Species Options'!B484="H+", 0, 'Aqueous Species Options'!H484 - 'Aqueous Species Table'!O484*100000*(-0.000000309)*298.15 - 'Aqueous Species Table'!N484*10000/(298.15-228)^2 ) ) ) )</f>
        <v/>
      </c>
      <c r="N484" s="1" t="str">
        <f>IF(ISBLANK('Aqueous Species Options'!B484), "", IF('Aqueous Species Options'!L484=0, 'Aqueous Species Options'!S484, IF(OR(ISBLANK('Aqueous Species Options'!H484), 'Aqueous Species Table'!O484=""), "", IF('Aqueous Species Options'!B484="H+", 0, 0.2037*'Aqueous Species Options'!H484 - 3.0346) ) ) )</f>
        <v/>
      </c>
      <c r="O484" s="1" t="str">
        <f>IF(ISBLANK('Aqueous Species Options'!B484), "", IF('Aqueous Species Options'!K484=0, 'Aqueous Species Options'!I484, IF(OR('Aqueous Species Options'!J484&gt;4,'Aqueous Species Options'!J484&lt;-4), "", IF('Aqueous Species Options'!B484="H+", 0, IF('Aqueous Species Options'!J484=0, -0.038, IF(ISBLANK('Aqueous Species Options'!F484), "", -1514.4*'Aqueous Species Options'!F484*0.00001 + SUM(({4,3,2,1,-1,-2,-3,-4}='Aqueous Species Options'!J484)*{2.1764,1.5793,1.0579,0.5517,1.6291,3.2127,4.8115,6.486}) ) ) ) ) ) )</f>
        <v/>
      </c>
      <c r="P484" s="1" t="str">
        <f>IF(ISBLANK('Aqueous Species Options'!J484), "", 'Aqueous Species Options'!J484)</f>
        <v/>
      </c>
      <c r="Q484" s="184" t="str">
        <f>IF(ISBLANK('Aqueous Species Options'!T484), "", 'Aqueous Species Options'!T484)</f>
        <v/>
      </c>
    </row>
    <row r="485" spans="2:17" ht="16" x14ac:dyDescent="0.2">
      <c r="B485" t="str">
        <f>IF(ISBLANK('Aqueous Species Options'!B485), "", 'Aqueous Species Options'!B485)</f>
        <v/>
      </c>
      <c r="C485" s="1" t="str">
        <f>IF(ISBLANK('Aqueous Species Options'!C485), "", 'Aqueous Species Options'!C485)</f>
        <v/>
      </c>
      <c r="D485" s="1" t="str">
        <f>IF(ISBLANK('Aqueous Species Options'!D485), "", 'Aqueous Species Options'!D485)</f>
        <v/>
      </c>
      <c r="E485" s="1" t="str">
        <f>IF(ISBLANK('Aqueous Species Options'!E485), "", 'Aqueous Species Options'!E485)</f>
        <v/>
      </c>
      <c r="F485" s="139" t="str">
        <f>IF(ISBLANK('Aqueous Species Options'!F485), "", 'Aqueous Species Options'!F485)</f>
        <v/>
      </c>
      <c r="G485" s="29" t="str">
        <f>IF(ISBLANK('Aqueous Species Options'!B485), "", IF('Aqueous Species Options'!L485 = 1, IF(ISBLANK('Aqueous Species Options'!G485), "", 'Aqueous Species Options'!G485), ('Aqueous Species Table'!I485/10 + ('Aqueous Species Table'!J485*100)/(Calculations!$C$12+Calculations!$C$9) + ('Aqueous Species Table'!K485 + ('Aqueous Species Table'!L485*10000)/(Calculations!$C$12+Calculations!$C$9))*(1/(Calculations!$C$8-Calculations!$C$13)) - 'Aqueous Species Table'!O485*100000*0.0000005903)*41.8393))</f>
        <v/>
      </c>
      <c r="H485" s="29" t="str">
        <f>IF(ISBLANK('Aqueous Species Options'!B485), "", IF('Aqueous Species Options'!L485 = 1, IF(ISBLANK('Aqueous Species Options'!H485), "", 'Aqueous Species Options'!H485), 'Aqueous Species Table'!M485 + 'Aqueous Species Table'!N485*10000*(1/(Calculations!$C$8-Calculations!$C$13))^2 + 'Aqueous Species Table'!O485*100000*Calculations!$C$8*Calculations!$C$7))</f>
        <v/>
      </c>
      <c r="I485" s="1" t="str">
        <f>IF(ISBLANK('Aqueous Species Options'!B485), "", IF('Aqueous Species Options'!L485=0, 'Aqueous Species Options'!N485, IF(OR(ISBLANK('Aqueous Species Options'!G485),'Aqueous Species Table'!O485="", 'Aqueous Species Table'!P485=""), "", IF('Aqueous Species Options'!B485="H+", 0, (CHOOSE('Aqueous Species Options'!M485+1,'Aqueous Species Options'!$V$4*ABS('Aqueous Species Table'!P485)+'Aqueous Species Options'!$W$4,'Aqueous Species Options'!$Z$4)*('Aqueous Species Options'!G485 + 'Aqueous Species Table'!O485*100000*0.0000005903*41.8393) + CHOOSE('Aqueous Species Options'!M485+1,'Aqueous Species Options'!$X$4*ABS('Aqueous Species Table'!P485)+'Aqueous Species Options'!$Y$4,'Aqueous Species Options'!$AA$4))*10 ) ) ) )</f>
        <v/>
      </c>
      <c r="J485" s="1" t="str">
        <f>IF(ISBLANK('Aqueous Species Options'!B485), "", IF('Aqueous Species Options'!L485 = 0, 'Aqueous Species Options'!O485, IF('Aqueous Species Table'!I485="", "", IF('Aqueous Species Options'!B485="H+", 0, ((1.11*('Aqueous Species Options'!G485 + 'Aqueous Species Table'!O485*100000*0.0000005903*41.8393)+1.8)/41.8393 - 'Aqueous Species Table'!I485/10)*26.01 ) ) ) )</f>
        <v/>
      </c>
      <c r="K485" s="1" t="str">
        <f>IF(ISBLANK('Aqueous Species Options'!B485), "", IF('Aqueous Species Options'!L485 = 0, 'Aqueous Species Options'!P485, IF('Aqueous Species Table'!I485="", "", IF('Aqueous Species Options'!B485="H+", 0, ('Aqueous Species Options'!G485/41.8393 + 'Aqueous Species Table'!O485*100000*0.0000005903 - 'Aqueous Species Table'!I485/10 - 'Aqueous Species Table'!J485*100/2601)*(298.15-228) - ('Aqueous Species Table'!L485*10000/2601) ) ) ) )</f>
        <v/>
      </c>
      <c r="L485" s="1" t="str">
        <f>IF(ISBLANK('Aqueous Species Options'!B485), "", IF('Aqueous Species Options'!L485 = 0, 'Aqueous Species Options'!Q485, IF('Aqueous Species Table'!J485="", "", IF('Aqueous Species Options'!B485="H+", 0, (-4.134*'Aqueous Species Table'!J485*100 - 27790)*0.0001) ) ) )</f>
        <v/>
      </c>
      <c r="M485" s="1" t="str">
        <f>IF(ISBLANK('Aqueous Species Options'!B485), "", IF('Aqueous Species Options'!L485=0, 'Aqueous Species Options'!R485, IF('Aqueous Species Table'!N485="", "", IF('Aqueous Species Options'!B485="H+", 0, 'Aqueous Species Options'!H485 - 'Aqueous Species Table'!O485*100000*(-0.000000309)*298.15 - 'Aqueous Species Table'!N485*10000/(298.15-228)^2 ) ) ) )</f>
        <v/>
      </c>
      <c r="N485" s="1" t="str">
        <f>IF(ISBLANK('Aqueous Species Options'!B485), "", IF('Aqueous Species Options'!L485=0, 'Aqueous Species Options'!S485, IF(OR(ISBLANK('Aqueous Species Options'!H485), 'Aqueous Species Table'!O485=""), "", IF('Aqueous Species Options'!B485="H+", 0, 0.2037*'Aqueous Species Options'!H485 - 3.0346) ) ) )</f>
        <v/>
      </c>
      <c r="O485" s="1" t="str">
        <f>IF(ISBLANK('Aqueous Species Options'!B485), "", IF('Aqueous Species Options'!K485=0, 'Aqueous Species Options'!I485, IF(OR('Aqueous Species Options'!J485&gt;4,'Aqueous Species Options'!J485&lt;-4), "", IF('Aqueous Species Options'!B485="H+", 0, IF('Aqueous Species Options'!J485=0, -0.038, IF(ISBLANK('Aqueous Species Options'!F485), "", -1514.4*'Aqueous Species Options'!F485*0.00001 + SUM(({4,3,2,1,-1,-2,-3,-4}='Aqueous Species Options'!J485)*{2.1764,1.5793,1.0579,0.5517,1.6291,3.2127,4.8115,6.486}) ) ) ) ) ) )</f>
        <v/>
      </c>
      <c r="P485" s="1" t="str">
        <f>IF(ISBLANK('Aqueous Species Options'!J485), "", 'Aqueous Species Options'!J485)</f>
        <v/>
      </c>
      <c r="Q485" s="184" t="str">
        <f>IF(ISBLANK('Aqueous Species Options'!T485), "", 'Aqueous Species Options'!T485)</f>
        <v/>
      </c>
    </row>
    <row r="486" spans="2:17" ht="16" x14ac:dyDescent="0.2">
      <c r="B486" t="str">
        <f>IF(ISBLANK('Aqueous Species Options'!B486), "", 'Aqueous Species Options'!B486)</f>
        <v/>
      </c>
      <c r="C486" s="1" t="str">
        <f>IF(ISBLANK('Aqueous Species Options'!C486), "", 'Aqueous Species Options'!C486)</f>
        <v/>
      </c>
      <c r="D486" s="1" t="str">
        <f>IF(ISBLANK('Aqueous Species Options'!D486), "", 'Aqueous Species Options'!D486)</f>
        <v/>
      </c>
      <c r="E486" s="1" t="str">
        <f>IF(ISBLANK('Aqueous Species Options'!E486), "", 'Aqueous Species Options'!E486)</f>
        <v/>
      </c>
      <c r="F486" s="139" t="str">
        <f>IF(ISBLANK('Aqueous Species Options'!F486), "", 'Aqueous Species Options'!F486)</f>
        <v/>
      </c>
      <c r="G486" s="29" t="str">
        <f>IF(ISBLANK('Aqueous Species Options'!B486), "", IF('Aqueous Species Options'!L486 = 1, IF(ISBLANK('Aqueous Species Options'!G486), "", 'Aqueous Species Options'!G486), ('Aqueous Species Table'!I486/10 + ('Aqueous Species Table'!J486*100)/(Calculations!$C$12+Calculations!$C$9) + ('Aqueous Species Table'!K486 + ('Aqueous Species Table'!L486*10000)/(Calculations!$C$12+Calculations!$C$9))*(1/(Calculations!$C$8-Calculations!$C$13)) - 'Aqueous Species Table'!O486*100000*0.0000005903)*41.8393))</f>
        <v/>
      </c>
      <c r="H486" s="29" t="str">
        <f>IF(ISBLANK('Aqueous Species Options'!B486), "", IF('Aqueous Species Options'!L486 = 1, IF(ISBLANK('Aqueous Species Options'!H486), "", 'Aqueous Species Options'!H486), 'Aqueous Species Table'!M486 + 'Aqueous Species Table'!N486*10000*(1/(Calculations!$C$8-Calculations!$C$13))^2 + 'Aqueous Species Table'!O486*100000*Calculations!$C$8*Calculations!$C$7))</f>
        <v/>
      </c>
      <c r="I486" s="1" t="str">
        <f>IF(ISBLANK('Aqueous Species Options'!B486), "", IF('Aqueous Species Options'!L486=0, 'Aqueous Species Options'!N486, IF(OR(ISBLANK('Aqueous Species Options'!G486),'Aqueous Species Table'!O486="", 'Aqueous Species Table'!P486=""), "", IF('Aqueous Species Options'!B486="H+", 0, (CHOOSE('Aqueous Species Options'!M486+1,'Aqueous Species Options'!$V$4*ABS('Aqueous Species Table'!P486)+'Aqueous Species Options'!$W$4,'Aqueous Species Options'!$Z$4)*('Aqueous Species Options'!G486 + 'Aqueous Species Table'!O486*100000*0.0000005903*41.8393) + CHOOSE('Aqueous Species Options'!M486+1,'Aqueous Species Options'!$X$4*ABS('Aqueous Species Table'!P486)+'Aqueous Species Options'!$Y$4,'Aqueous Species Options'!$AA$4))*10 ) ) ) )</f>
        <v/>
      </c>
      <c r="J486" s="1" t="str">
        <f>IF(ISBLANK('Aqueous Species Options'!B486), "", IF('Aqueous Species Options'!L486 = 0, 'Aqueous Species Options'!O486, IF('Aqueous Species Table'!I486="", "", IF('Aqueous Species Options'!B486="H+", 0, ((1.11*('Aqueous Species Options'!G486 + 'Aqueous Species Table'!O486*100000*0.0000005903*41.8393)+1.8)/41.8393 - 'Aqueous Species Table'!I486/10)*26.01 ) ) ) )</f>
        <v/>
      </c>
      <c r="K486" s="1" t="str">
        <f>IF(ISBLANK('Aqueous Species Options'!B486), "", IF('Aqueous Species Options'!L486 = 0, 'Aqueous Species Options'!P486, IF('Aqueous Species Table'!I486="", "", IF('Aqueous Species Options'!B486="H+", 0, ('Aqueous Species Options'!G486/41.8393 + 'Aqueous Species Table'!O486*100000*0.0000005903 - 'Aqueous Species Table'!I486/10 - 'Aqueous Species Table'!J486*100/2601)*(298.15-228) - ('Aqueous Species Table'!L486*10000/2601) ) ) ) )</f>
        <v/>
      </c>
      <c r="L486" s="1" t="str">
        <f>IF(ISBLANK('Aqueous Species Options'!B486), "", IF('Aqueous Species Options'!L486 = 0, 'Aqueous Species Options'!Q486, IF('Aqueous Species Table'!J486="", "", IF('Aqueous Species Options'!B486="H+", 0, (-4.134*'Aqueous Species Table'!J486*100 - 27790)*0.0001) ) ) )</f>
        <v/>
      </c>
      <c r="M486" s="1" t="str">
        <f>IF(ISBLANK('Aqueous Species Options'!B486), "", IF('Aqueous Species Options'!L486=0, 'Aqueous Species Options'!R486, IF('Aqueous Species Table'!N486="", "", IF('Aqueous Species Options'!B486="H+", 0, 'Aqueous Species Options'!H486 - 'Aqueous Species Table'!O486*100000*(-0.000000309)*298.15 - 'Aqueous Species Table'!N486*10000/(298.15-228)^2 ) ) ) )</f>
        <v/>
      </c>
      <c r="N486" s="1" t="str">
        <f>IF(ISBLANK('Aqueous Species Options'!B486), "", IF('Aqueous Species Options'!L486=0, 'Aqueous Species Options'!S486, IF(OR(ISBLANK('Aqueous Species Options'!H486), 'Aqueous Species Table'!O486=""), "", IF('Aqueous Species Options'!B486="H+", 0, 0.2037*'Aqueous Species Options'!H486 - 3.0346) ) ) )</f>
        <v/>
      </c>
      <c r="O486" s="1" t="str">
        <f>IF(ISBLANK('Aqueous Species Options'!B486), "", IF('Aqueous Species Options'!K486=0, 'Aqueous Species Options'!I486, IF(OR('Aqueous Species Options'!J486&gt;4,'Aqueous Species Options'!J486&lt;-4), "", IF('Aqueous Species Options'!B486="H+", 0, IF('Aqueous Species Options'!J486=0, -0.038, IF(ISBLANK('Aqueous Species Options'!F486), "", -1514.4*'Aqueous Species Options'!F486*0.00001 + SUM(({4,3,2,1,-1,-2,-3,-4}='Aqueous Species Options'!J486)*{2.1764,1.5793,1.0579,0.5517,1.6291,3.2127,4.8115,6.486}) ) ) ) ) ) )</f>
        <v/>
      </c>
      <c r="P486" s="1" t="str">
        <f>IF(ISBLANK('Aqueous Species Options'!J486), "", 'Aqueous Species Options'!J486)</f>
        <v/>
      </c>
      <c r="Q486" s="184" t="str">
        <f>IF(ISBLANK('Aqueous Species Options'!T486), "", 'Aqueous Species Options'!T486)</f>
        <v/>
      </c>
    </row>
    <row r="487" spans="2:17" ht="16" x14ac:dyDescent="0.2">
      <c r="B487" t="str">
        <f>IF(ISBLANK('Aqueous Species Options'!B487), "", 'Aqueous Species Options'!B487)</f>
        <v/>
      </c>
      <c r="C487" s="1" t="str">
        <f>IF(ISBLANK('Aqueous Species Options'!C487), "", 'Aqueous Species Options'!C487)</f>
        <v/>
      </c>
      <c r="D487" s="1" t="str">
        <f>IF(ISBLANK('Aqueous Species Options'!D487), "", 'Aqueous Species Options'!D487)</f>
        <v/>
      </c>
      <c r="E487" s="1" t="str">
        <f>IF(ISBLANK('Aqueous Species Options'!E487), "", 'Aqueous Species Options'!E487)</f>
        <v/>
      </c>
      <c r="F487" s="139" t="str">
        <f>IF(ISBLANK('Aqueous Species Options'!F487), "", 'Aqueous Species Options'!F487)</f>
        <v/>
      </c>
      <c r="G487" s="29" t="str">
        <f>IF(ISBLANK('Aqueous Species Options'!B487), "", IF('Aqueous Species Options'!L487 = 1, IF(ISBLANK('Aqueous Species Options'!G487), "", 'Aqueous Species Options'!G487), ('Aqueous Species Table'!I487/10 + ('Aqueous Species Table'!J487*100)/(Calculations!$C$12+Calculations!$C$9) + ('Aqueous Species Table'!K487 + ('Aqueous Species Table'!L487*10000)/(Calculations!$C$12+Calculations!$C$9))*(1/(Calculations!$C$8-Calculations!$C$13)) - 'Aqueous Species Table'!O487*100000*0.0000005903)*41.8393))</f>
        <v/>
      </c>
      <c r="H487" s="29" t="str">
        <f>IF(ISBLANK('Aqueous Species Options'!B487), "", IF('Aqueous Species Options'!L487 = 1, IF(ISBLANK('Aqueous Species Options'!H487), "", 'Aqueous Species Options'!H487), 'Aqueous Species Table'!M487 + 'Aqueous Species Table'!N487*10000*(1/(Calculations!$C$8-Calculations!$C$13))^2 + 'Aqueous Species Table'!O487*100000*Calculations!$C$8*Calculations!$C$7))</f>
        <v/>
      </c>
      <c r="I487" s="1" t="str">
        <f>IF(ISBLANK('Aqueous Species Options'!B487), "", IF('Aqueous Species Options'!L487=0, 'Aqueous Species Options'!N487, IF(OR(ISBLANK('Aqueous Species Options'!G487),'Aqueous Species Table'!O487="", 'Aqueous Species Table'!P487=""), "", IF('Aqueous Species Options'!B487="H+", 0, (CHOOSE('Aqueous Species Options'!M487+1,'Aqueous Species Options'!$V$4*ABS('Aqueous Species Table'!P487)+'Aqueous Species Options'!$W$4,'Aqueous Species Options'!$Z$4)*('Aqueous Species Options'!G487 + 'Aqueous Species Table'!O487*100000*0.0000005903*41.8393) + CHOOSE('Aqueous Species Options'!M487+1,'Aqueous Species Options'!$X$4*ABS('Aqueous Species Table'!P487)+'Aqueous Species Options'!$Y$4,'Aqueous Species Options'!$AA$4))*10 ) ) ) )</f>
        <v/>
      </c>
      <c r="J487" s="1" t="str">
        <f>IF(ISBLANK('Aqueous Species Options'!B487), "", IF('Aqueous Species Options'!L487 = 0, 'Aqueous Species Options'!O487, IF('Aqueous Species Table'!I487="", "", IF('Aqueous Species Options'!B487="H+", 0, ((1.11*('Aqueous Species Options'!G487 + 'Aqueous Species Table'!O487*100000*0.0000005903*41.8393)+1.8)/41.8393 - 'Aqueous Species Table'!I487/10)*26.01 ) ) ) )</f>
        <v/>
      </c>
      <c r="K487" s="1" t="str">
        <f>IF(ISBLANK('Aqueous Species Options'!B487), "", IF('Aqueous Species Options'!L487 = 0, 'Aqueous Species Options'!P487, IF('Aqueous Species Table'!I487="", "", IF('Aqueous Species Options'!B487="H+", 0, ('Aqueous Species Options'!G487/41.8393 + 'Aqueous Species Table'!O487*100000*0.0000005903 - 'Aqueous Species Table'!I487/10 - 'Aqueous Species Table'!J487*100/2601)*(298.15-228) - ('Aqueous Species Table'!L487*10000/2601) ) ) ) )</f>
        <v/>
      </c>
      <c r="L487" s="1" t="str">
        <f>IF(ISBLANK('Aqueous Species Options'!B487), "", IF('Aqueous Species Options'!L487 = 0, 'Aqueous Species Options'!Q487, IF('Aqueous Species Table'!J487="", "", IF('Aqueous Species Options'!B487="H+", 0, (-4.134*'Aqueous Species Table'!J487*100 - 27790)*0.0001) ) ) )</f>
        <v/>
      </c>
      <c r="M487" s="1" t="str">
        <f>IF(ISBLANK('Aqueous Species Options'!B487), "", IF('Aqueous Species Options'!L487=0, 'Aqueous Species Options'!R487, IF('Aqueous Species Table'!N487="", "", IF('Aqueous Species Options'!B487="H+", 0, 'Aqueous Species Options'!H487 - 'Aqueous Species Table'!O487*100000*(-0.000000309)*298.15 - 'Aqueous Species Table'!N487*10000/(298.15-228)^2 ) ) ) )</f>
        <v/>
      </c>
      <c r="N487" s="1" t="str">
        <f>IF(ISBLANK('Aqueous Species Options'!B487), "", IF('Aqueous Species Options'!L487=0, 'Aqueous Species Options'!S487, IF(OR(ISBLANK('Aqueous Species Options'!H487), 'Aqueous Species Table'!O487=""), "", IF('Aqueous Species Options'!B487="H+", 0, 0.2037*'Aqueous Species Options'!H487 - 3.0346) ) ) )</f>
        <v/>
      </c>
      <c r="O487" s="1" t="str">
        <f>IF(ISBLANK('Aqueous Species Options'!B487), "", IF('Aqueous Species Options'!K487=0, 'Aqueous Species Options'!I487, IF(OR('Aqueous Species Options'!J487&gt;4,'Aqueous Species Options'!J487&lt;-4), "", IF('Aqueous Species Options'!B487="H+", 0, IF('Aqueous Species Options'!J487=0, -0.038, IF(ISBLANK('Aqueous Species Options'!F487), "", -1514.4*'Aqueous Species Options'!F487*0.00001 + SUM(({4,3,2,1,-1,-2,-3,-4}='Aqueous Species Options'!J487)*{2.1764,1.5793,1.0579,0.5517,1.6291,3.2127,4.8115,6.486}) ) ) ) ) ) )</f>
        <v/>
      </c>
      <c r="P487" s="1" t="str">
        <f>IF(ISBLANK('Aqueous Species Options'!J487), "", 'Aqueous Species Options'!J487)</f>
        <v/>
      </c>
      <c r="Q487" s="184" t="str">
        <f>IF(ISBLANK('Aqueous Species Options'!T487), "", 'Aqueous Species Options'!T487)</f>
        <v/>
      </c>
    </row>
    <row r="488" spans="2:17" ht="16" x14ac:dyDescent="0.2">
      <c r="B488" t="str">
        <f>IF(ISBLANK('Aqueous Species Options'!B488), "", 'Aqueous Species Options'!B488)</f>
        <v/>
      </c>
      <c r="C488" s="1" t="str">
        <f>IF(ISBLANK('Aqueous Species Options'!C488), "", 'Aqueous Species Options'!C488)</f>
        <v/>
      </c>
      <c r="D488" s="1" t="str">
        <f>IF(ISBLANK('Aqueous Species Options'!D488), "", 'Aqueous Species Options'!D488)</f>
        <v/>
      </c>
      <c r="E488" s="1" t="str">
        <f>IF(ISBLANK('Aqueous Species Options'!E488), "", 'Aqueous Species Options'!E488)</f>
        <v/>
      </c>
      <c r="F488" s="139" t="str">
        <f>IF(ISBLANK('Aqueous Species Options'!F488), "", 'Aqueous Species Options'!F488)</f>
        <v/>
      </c>
      <c r="G488" s="29" t="str">
        <f>IF(ISBLANK('Aqueous Species Options'!B488), "", IF('Aqueous Species Options'!L488 = 1, IF(ISBLANK('Aqueous Species Options'!G488), "", 'Aqueous Species Options'!G488), ('Aqueous Species Table'!I488/10 + ('Aqueous Species Table'!J488*100)/(Calculations!$C$12+Calculations!$C$9) + ('Aqueous Species Table'!K488 + ('Aqueous Species Table'!L488*10000)/(Calculations!$C$12+Calculations!$C$9))*(1/(Calculations!$C$8-Calculations!$C$13)) - 'Aqueous Species Table'!O488*100000*0.0000005903)*41.8393))</f>
        <v/>
      </c>
      <c r="H488" s="29" t="str">
        <f>IF(ISBLANK('Aqueous Species Options'!B488), "", IF('Aqueous Species Options'!L488 = 1, IF(ISBLANK('Aqueous Species Options'!H488), "", 'Aqueous Species Options'!H488), 'Aqueous Species Table'!M488 + 'Aqueous Species Table'!N488*10000*(1/(Calculations!$C$8-Calculations!$C$13))^2 + 'Aqueous Species Table'!O488*100000*Calculations!$C$8*Calculations!$C$7))</f>
        <v/>
      </c>
      <c r="I488" s="1" t="str">
        <f>IF(ISBLANK('Aqueous Species Options'!B488), "", IF('Aqueous Species Options'!L488=0, 'Aqueous Species Options'!N488, IF(OR(ISBLANK('Aqueous Species Options'!G488),'Aqueous Species Table'!O488="", 'Aqueous Species Table'!P488=""), "", IF('Aqueous Species Options'!B488="H+", 0, (CHOOSE('Aqueous Species Options'!M488+1,'Aqueous Species Options'!$V$4*ABS('Aqueous Species Table'!P488)+'Aqueous Species Options'!$W$4,'Aqueous Species Options'!$Z$4)*('Aqueous Species Options'!G488 + 'Aqueous Species Table'!O488*100000*0.0000005903*41.8393) + CHOOSE('Aqueous Species Options'!M488+1,'Aqueous Species Options'!$X$4*ABS('Aqueous Species Table'!P488)+'Aqueous Species Options'!$Y$4,'Aqueous Species Options'!$AA$4))*10 ) ) ) )</f>
        <v/>
      </c>
      <c r="J488" s="1" t="str">
        <f>IF(ISBLANK('Aqueous Species Options'!B488), "", IF('Aqueous Species Options'!L488 = 0, 'Aqueous Species Options'!O488, IF('Aqueous Species Table'!I488="", "", IF('Aqueous Species Options'!B488="H+", 0, ((1.11*('Aqueous Species Options'!G488 + 'Aqueous Species Table'!O488*100000*0.0000005903*41.8393)+1.8)/41.8393 - 'Aqueous Species Table'!I488/10)*26.01 ) ) ) )</f>
        <v/>
      </c>
      <c r="K488" s="1" t="str">
        <f>IF(ISBLANK('Aqueous Species Options'!B488), "", IF('Aqueous Species Options'!L488 = 0, 'Aqueous Species Options'!P488, IF('Aqueous Species Table'!I488="", "", IF('Aqueous Species Options'!B488="H+", 0, ('Aqueous Species Options'!G488/41.8393 + 'Aqueous Species Table'!O488*100000*0.0000005903 - 'Aqueous Species Table'!I488/10 - 'Aqueous Species Table'!J488*100/2601)*(298.15-228) - ('Aqueous Species Table'!L488*10000/2601) ) ) ) )</f>
        <v/>
      </c>
      <c r="L488" s="1" t="str">
        <f>IF(ISBLANK('Aqueous Species Options'!B488), "", IF('Aqueous Species Options'!L488 = 0, 'Aqueous Species Options'!Q488, IF('Aqueous Species Table'!J488="", "", IF('Aqueous Species Options'!B488="H+", 0, (-4.134*'Aqueous Species Table'!J488*100 - 27790)*0.0001) ) ) )</f>
        <v/>
      </c>
      <c r="M488" s="1" t="str">
        <f>IF(ISBLANK('Aqueous Species Options'!B488), "", IF('Aqueous Species Options'!L488=0, 'Aqueous Species Options'!R488, IF('Aqueous Species Table'!N488="", "", IF('Aqueous Species Options'!B488="H+", 0, 'Aqueous Species Options'!H488 - 'Aqueous Species Table'!O488*100000*(-0.000000309)*298.15 - 'Aqueous Species Table'!N488*10000/(298.15-228)^2 ) ) ) )</f>
        <v/>
      </c>
      <c r="N488" s="1" t="str">
        <f>IF(ISBLANK('Aqueous Species Options'!B488), "", IF('Aqueous Species Options'!L488=0, 'Aqueous Species Options'!S488, IF(OR(ISBLANK('Aqueous Species Options'!H488), 'Aqueous Species Table'!O488=""), "", IF('Aqueous Species Options'!B488="H+", 0, 0.2037*'Aqueous Species Options'!H488 - 3.0346) ) ) )</f>
        <v/>
      </c>
      <c r="O488" s="1" t="str">
        <f>IF(ISBLANK('Aqueous Species Options'!B488), "", IF('Aqueous Species Options'!K488=0, 'Aqueous Species Options'!I488, IF(OR('Aqueous Species Options'!J488&gt;4,'Aqueous Species Options'!J488&lt;-4), "", IF('Aqueous Species Options'!B488="H+", 0, IF('Aqueous Species Options'!J488=0, -0.038, IF(ISBLANK('Aqueous Species Options'!F488), "", -1514.4*'Aqueous Species Options'!F488*0.00001 + SUM(({4,3,2,1,-1,-2,-3,-4}='Aqueous Species Options'!J488)*{2.1764,1.5793,1.0579,0.5517,1.6291,3.2127,4.8115,6.486}) ) ) ) ) ) )</f>
        <v/>
      </c>
      <c r="P488" s="1" t="str">
        <f>IF(ISBLANK('Aqueous Species Options'!J488), "", 'Aqueous Species Options'!J488)</f>
        <v/>
      </c>
      <c r="Q488" s="184" t="str">
        <f>IF(ISBLANK('Aqueous Species Options'!T488), "", 'Aqueous Species Options'!T488)</f>
        <v/>
      </c>
    </row>
    <row r="489" spans="2:17" ht="16" x14ac:dyDescent="0.2">
      <c r="B489" t="str">
        <f>IF(ISBLANK('Aqueous Species Options'!B489), "", 'Aqueous Species Options'!B489)</f>
        <v/>
      </c>
      <c r="C489" s="1" t="str">
        <f>IF(ISBLANK('Aqueous Species Options'!C489), "", 'Aqueous Species Options'!C489)</f>
        <v/>
      </c>
      <c r="D489" s="1" t="str">
        <f>IF(ISBLANK('Aqueous Species Options'!D489), "", 'Aqueous Species Options'!D489)</f>
        <v/>
      </c>
      <c r="E489" s="1" t="str">
        <f>IF(ISBLANK('Aqueous Species Options'!E489), "", 'Aqueous Species Options'!E489)</f>
        <v/>
      </c>
      <c r="F489" s="139" t="str">
        <f>IF(ISBLANK('Aqueous Species Options'!F489), "", 'Aqueous Species Options'!F489)</f>
        <v/>
      </c>
      <c r="G489" s="29" t="str">
        <f>IF(ISBLANK('Aqueous Species Options'!B489), "", IF('Aqueous Species Options'!L489 = 1, IF(ISBLANK('Aqueous Species Options'!G489), "", 'Aqueous Species Options'!G489), ('Aqueous Species Table'!I489/10 + ('Aqueous Species Table'!J489*100)/(Calculations!$C$12+Calculations!$C$9) + ('Aqueous Species Table'!K489 + ('Aqueous Species Table'!L489*10000)/(Calculations!$C$12+Calculations!$C$9))*(1/(Calculations!$C$8-Calculations!$C$13)) - 'Aqueous Species Table'!O489*100000*0.0000005903)*41.8393))</f>
        <v/>
      </c>
      <c r="H489" s="29" t="str">
        <f>IF(ISBLANK('Aqueous Species Options'!B489), "", IF('Aqueous Species Options'!L489 = 1, IF(ISBLANK('Aqueous Species Options'!H489), "", 'Aqueous Species Options'!H489), 'Aqueous Species Table'!M489 + 'Aqueous Species Table'!N489*10000*(1/(Calculations!$C$8-Calculations!$C$13))^2 + 'Aqueous Species Table'!O489*100000*Calculations!$C$8*Calculations!$C$7))</f>
        <v/>
      </c>
      <c r="I489" s="1" t="str">
        <f>IF(ISBLANK('Aqueous Species Options'!B489), "", IF('Aqueous Species Options'!L489=0, 'Aqueous Species Options'!N489, IF(OR(ISBLANK('Aqueous Species Options'!G489),'Aqueous Species Table'!O489="", 'Aqueous Species Table'!P489=""), "", IF('Aqueous Species Options'!B489="H+", 0, (CHOOSE('Aqueous Species Options'!M489+1,'Aqueous Species Options'!$V$4*ABS('Aqueous Species Table'!P489)+'Aqueous Species Options'!$W$4,'Aqueous Species Options'!$Z$4)*('Aqueous Species Options'!G489 + 'Aqueous Species Table'!O489*100000*0.0000005903*41.8393) + CHOOSE('Aqueous Species Options'!M489+1,'Aqueous Species Options'!$X$4*ABS('Aqueous Species Table'!P489)+'Aqueous Species Options'!$Y$4,'Aqueous Species Options'!$AA$4))*10 ) ) ) )</f>
        <v/>
      </c>
      <c r="J489" s="1" t="str">
        <f>IF(ISBLANK('Aqueous Species Options'!B489), "", IF('Aqueous Species Options'!L489 = 0, 'Aqueous Species Options'!O489, IF('Aqueous Species Table'!I489="", "", IF('Aqueous Species Options'!B489="H+", 0, ((1.11*('Aqueous Species Options'!G489 + 'Aqueous Species Table'!O489*100000*0.0000005903*41.8393)+1.8)/41.8393 - 'Aqueous Species Table'!I489/10)*26.01 ) ) ) )</f>
        <v/>
      </c>
      <c r="K489" s="1" t="str">
        <f>IF(ISBLANK('Aqueous Species Options'!B489), "", IF('Aqueous Species Options'!L489 = 0, 'Aqueous Species Options'!P489, IF('Aqueous Species Table'!I489="", "", IF('Aqueous Species Options'!B489="H+", 0, ('Aqueous Species Options'!G489/41.8393 + 'Aqueous Species Table'!O489*100000*0.0000005903 - 'Aqueous Species Table'!I489/10 - 'Aqueous Species Table'!J489*100/2601)*(298.15-228) - ('Aqueous Species Table'!L489*10000/2601) ) ) ) )</f>
        <v/>
      </c>
      <c r="L489" s="1" t="str">
        <f>IF(ISBLANK('Aqueous Species Options'!B489), "", IF('Aqueous Species Options'!L489 = 0, 'Aqueous Species Options'!Q489, IF('Aqueous Species Table'!J489="", "", IF('Aqueous Species Options'!B489="H+", 0, (-4.134*'Aqueous Species Table'!J489*100 - 27790)*0.0001) ) ) )</f>
        <v/>
      </c>
      <c r="M489" s="1" t="str">
        <f>IF(ISBLANK('Aqueous Species Options'!B489), "", IF('Aqueous Species Options'!L489=0, 'Aqueous Species Options'!R489, IF('Aqueous Species Table'!N489="", "", IF('Aqueous Species Options'!B489="H+", 0, 'Aqueous Species Options'!H489 - 'Aqueous Species Table'!O489*100000*(-0.000000309)*298.15 - 'Aqueous Species Table'!N489*10000/(298.15-228)^2 ) ) ) )</f>
        <v/>
      </c>
      <c r="N489" s="1" t="str">
        <f>IF(ISBLANK('Aqueous Species Options'!B489), "", IF('Aqueous Species Options'!L489=0, 'Aqueous Species Options'!S489, IF(OR(ISBLANK('Aqueous Species Options'!H489), 'Aqueous Species Table'!O489=""), "", IF('Aqueous Species Options'!B489="H+", 0, 0.2037*'Aqueous Species Options'!H489 - 3.0346) ) ) )</f>
        <v/>
      </c>
      <c r="O489" s="1" t="str">
        <f>IF(ISBLANK('Aqueous Species Options'!B489), "", IF('Aqueous Species Options'!K489=0, 'Aqueous Species Options'!I489, IF(OR('Aqueous Species Options'!J489&gt;4,'Aqueous Species Options'!J489&lt;-4), "", IF('Aqueous Species Options'!B489="H+", 0, IF('Aqueous Species Options'!J489=0, -0.038, IF(ISBLANK('Aqueous Species Options'!F489), "", -1514.4*'Aqueous Species Options'!F489*0.00001 + SUM(({4,3,2,1,-1,-2,-3,-4}='Aqueous Species Options'!J489)*{2.1764,1.5793,1.0579,0.5517,1.6291,3.2127,4.8115,6.486}) ) ) ) ) ) )</f>
        <v/>
      </c>
      <c r="P489" s="1" t="str">
        <f>IF(ISBLANK('Aqueous Species Options'!J489), "", 'Aqueous Species Options'!J489)</f>
        <v/>
      </c>
      <c r="Q489" s="184" t="str">
        <f>IF(ISBLANK('Aqueous Species Options'!T489), "", 'Aqueous Species Options'!T489)</f>
        <v/>
      </c>
    </row>
    <row r="490" spans="2:17" ht="16" x14ac:dyDescent="0.2">
      <c r="B490" t="str">
        <f>IF(ISBLANK('Aqueous Species Options'!B490), "", 'Aqueous Species Options'!B490)</f>
        <v/>
      </c>
      <c r="C490" s="1" t="str">
        <f>IF(ISBLANK('Aqueous Species Options'!C490), "", 'Aqueous Species Options'!C490)</f>
        <v/>
      </c>
      <c r="D490" s="1" t="str">
        <f>IF(ISBLANK('Aqueous Species Options'!D490), "", 'Aqueous Species Options'!D490)</f>
        <v/>
      </c>
      <c r="E490" s="1" t="str">
        <f>IF(ISBLANK('Aqueous Species Options'!E490), "", 'Aqueous Species Options'!E490)</f>
        <v/>
      </c>
      <c r="F490" s="139" t="str">
        <f>IF(ISBLANK('Aqueous Species Options'!F490), "", 'Aqueous Species Options'!F490)</f>
        <v/>
      </c>
      <c r="G490" s="29" t="str">
        <f>IF(ISBLANK('Aqueous Species Options'!B490), "", IF('Aqueous Species Options'!L490 = 1, IF(ISBLANK('Aqueous Species Options'!G490), "", 'Aqueous Species Options'!G490), ('Aqueous Species Table'!I490/10 + ('Aqueous Species Table'!J490*100)/(Calculations!$C$12+Calculations!$C$9) + ('Aqueous Species Table'!K490 + ('Aqueous Species Table'!L490*10000)/(Calculations!$C$12+Calculations!$C$9))*(1/(Calculations!$C$8-Calculations!$C$13)) - 'Aqueous Species Table'!O490*100000*0.0000005903)*41.8393))</f>
        <v/>
      </c>
      <c r="H490" s="29" t="str">
        <f>IF(ISBLANK('Aqueous Species Options'!B490), "", IF('Aqueous Species Options'!L490 = 1, IF(ISBLANK('Aqueous Species Options'!H490), "", 'Aqueous Species Options'!H490), 'Aqueous Species Table'!M490 + 'Aqueous Species Table'!N490*10000*(1/(Calculations!$C$8-Calculations!$C$13))^2 + 'Aqueous Species Table'!O490*100000*Calculations!$C$8*Calculations!$C$7))</f>
        <v/>
      </c>
      <c r="I490" s="1" t="str">
        <f>IF(ISBLANK('Aqueous Species Options'!B490), "", IF('Aqueous Species Options'!L490=0, 'Aqueous Species Options'!N490, IF(OR(ISBLANK('Aqueous Species Options'!G490),'Aqueous Species Table'!O490="", 'Aqueous Species Table'!P490=""), "", IF('Aqueous Species Options'!B490="H+", 0, (CHOOSE('Aqueous Species Options'!M490+1,'Aqueous Species Options'!$V$4*ABS('Aqueous Species Table'!P490)+'Aqueous Species Options'!$W$4,'Aqueous Species Options'!$Z$4)*('Aqueous Species Options'!G490 + 'Aqueous Species Table'!O490*100000*0.0000005903*41.8393) + CHOOSE('Aqueous Species Options'!M490+1,'Aqueous Species Options'!$X$4*ABS('Aqueous Species Table'!P490)+'Aqueous Species Options'!$Y$4,'Aqueous Species Options'!$AA$4))*10 ) ) ) )</f>
        <v/>
      </c>
      <c r="J490" s="1" t="str">
        <f>IF(ISBLANK('Aqueous Species Options'!B490), "", IF('Aqueous Species Options'!L490 = 0, 'Aqueous Species Options'!O490, IF('Aqueous Species Table'!I490="", "", IF('Aqueous Species Options'!B490="H+", 0, ((1.11*('Aqueous Species Options'!G490 + 'Aqueous Species Table'!O490*100000*0.0000005903*41.8393)+1.8)/41.8393 - 'Aqueous Species Table'!I490/10)*26.01 ) ) ) )</f>
        <v/>
      </c>
      <c r="K490" s="1" t="str">
        <f>IF(ISBLANK('Aqueous Species Options'!B490), "", IF('Aqueous Species Options'!L490 = 0, 'Aqueous Species Options'!P490, IF('Aqueous Species Table'!I490="", "", IF('Aqueous Species Options'!B490="H+", 0, ('Aqueous Species Options'!G490/41.8393 + 'Aqueous Species Table'!O490*100000*0.0000005903 - 'Aqueous Species Table'!I490/10 - 'Aqueous Species Table'!J490*100/2601)*(298.15-228) - ('Aqueous Species Table'!L490*10000/2601) ) ) ) )</f>
        <v/>
      </c>
      <c r="L490" s="1" t="str">
        <f>IF(ISBLANK('Aqueous Species Options'!B490), "", IF('Aqueous Species Options'!L490 = 0, 'Aqueous Species Options'!Q490, IF('Aqueous Species Table'!J490="", "", IF('Aqueous Species Options'!B490="H+", 0, (-4.134*'Aqueous Species Table'!J490*100 - 27790)*0.0001) ) ) )</f>
        <v/>
      </c>
      <c r="M490" s="1" t="str">
        <f>IF(ISBLANK('Aqueous Species Options'!B490), "", IF('Aqueous Species Options'!L490=0, 'Aqueous Species Options'!R490, IF('Aqueous Species Table'!N490="", "", IF('Aqueous Species Options'!B490="H+", 0, 'Aqueous Species Options'!H490 - 'Aqueous Species Table'!O490*100000*(-0.000000309)*298.15 - 'Aqueous Species Table'!N490*10000/(298.15-228)^2 ) ) ) )</f>
        <v/>
      </c>
      <c r="N490" s="1" t="str">
        <f>IF(ISBLANK('Aqueous Species Options'!B490), "", IF('Aqueous Species Options'!L490=0, 'Aqueous Species Options'!S490, IF(OR(ISBLANK('Aqueous Species Options'!H490), 'Aqueous Species Table'!O490=""), "", IF('Aqueous Species Options'!B490="H+", 0, 0.2037*'Aqueous Species Options'!H490 - 3.0346) ) ) )</f>
        <v/>
      </c>
      <c r="O490" s="1" t="str">
        <f>IF(ISBLANK('Aqueous Species Options'!B490), "", IF('Aqueous Species Options'!K490=0, 'Aqueous Species Options'!I490, IF(OR('Aqueous Species Options'!J490&gt;4,'Aqueous Species Options'!J490&lt;-4), "", IF('Aqueous Species Options'!B490="H+", 0, IF('Aqueous Species Options'!J490=0, -0.038, IF(ISBLANK('Aqueous Species Options'!F490), "", -1514.4*'Aqueous Species Options'!F490*0.00001 + SUM(({4,3,2,1,-1,-2,-3,-4}='Aqueous Species Options'!J490)*{2.1764,1.5793,1.0579,0.5517,1.6291,3.2127,4.8115,6.486}) ) ) ) ) ) )</f>
        <v/>
      </c>
      <c r="P490" s="1" t="str">
        <f>IF(ISBLANK('Aqueous Species Options'!J490), "", 'Aqueous Species Options'!J490)</f>
        <v/>
      </c>
      <c r="Q490" s="184" t="str">
        <f>IF(ISBLANK('Aqueous Species Options'!T490), "", 'Aqueous Species Options'!T490)</f>
        <v/>
      </c>
    </row>
    <row r="491" spans="2:17" ht="16" x14ac:dyDescent="0.2">
      <c r="B491" t="str">
        <f>IF(ISBLANK('Aqueous Species Options'!B491), "", 'Aqueous Species Options'!B491)</f>
        <v/>
      </c>
      <c r="C491" s="1" t="str">
        <f>IF(ISBLANK('Aqueous Species Options'!C491), "", 'Aqueous Species Options'!C491)</f>
        <v/>
      </c>
      <c r="D491" s="1" t="str">
        <f>IF(ISBLANK('Aqueous Species Options'!D491), "", 'Aqueous Species Options'!D491)</f>
        <v/>
      </c>
      <c r="E491" s="1" t="str">
        <f>IF(ISBLANK('Aqueous Species Options'!E491), "", 'Aqueous Species Options'!E491)</f>
        <v/>
      </c>
      <c r="F491" s="139" t="str">
        <f>IF(ISBLANK('Aqueous Species Options'!F491), "", 'Aqueous Species Options'!F491)</f>
        <v/>
      </c>
      <c r="G491" s="29" t="str">
        <f>IF(ISBLANK('Aqueous Species Options'!B491), "", IF('Aqueous Species Options'!L491 = 1, IF(ISBLANK('Aqueous Species Options'!G491), "", 'Aqueous Species Options'!G491), ('Aqueous Species Table'!I491/10 + ('Aqueous Species Table'!J491*100)/(Calculations!$C$12+Calculations!$C$9) + ('Aqueous Species Table'!K491 + ('Aqueous Species Table'!L491*10000)/(Calculations!$C$12+Calculations!$C$9))*(1/(Calculations!$C$8-Calculations!$C$13)) - 'Aqueous Species Table'!O491*100000*0.0000005903)*41.8393))</f>
        <v/>
      </c>
      <c r="H491" s="29" t="str">
        <f>IF(ISBLANK('Aqueous Species Options'!B491), "", IF('Aqueous Species Options'!L491 = 1, IF(ISBLANK('Aqueous Species Options'!H491), "", 'Aqueous Species Options'!H491), 'Aqueous Species Table'!M491 + 'Aqueous Species Table'!N491*10000*(1/(Calculations!$C$8-Calculations!$C$13))^2 + 'Aqueous Species Table'!O491*100000*Calculations!$C$8*Calculations!$C$7))</f>
        <v/>
      </c>
      <c r="I491" s="1" t="str">
        <f>IF(ISBLANK('Aqueous Species Options'!B491), "", IF('Aqueous Species Options'!L491=0, 'Aqueous Species Options'!N491, IF(OR(ISBLANK('Aqueous Species Options'!G491),'Aqueous Species Table'!O491="", 'Aqueous Species Table'!P491=""), "", IF('Aqueous Species Options'!B491="H+", 0, (CHOOSE('Aqueous Species Options'!M491+1,'Aqueous Species Options'!$V$4*ABS('Aqueous Species Table'!P491)+'Aqueous Species Options'!$W$4,'Aqueous Species Options'!$Z$4)*('Aqueous Species Options'!G491 + 'Aqueous Species Table'!O491*100000*0.0000005903*41.8393) + CHOOSE('Aqueous Species Options'!M491+1,'Aqueous Species Options'!$X$4*ABS('Aqueous Species Table'!P491)+'Aqueous Species Options'!$Y$4,'Aqueous Species Options'!$AA$4))*10 ) ) ) )</f>
        <v/>
      </c>
      <c r="J491" s="1" t="str">
        <f>IF(ISBLANK('Aqueous Species Options'!B491), "", IF('Aqueous Species Options'!L491 = 0, 'Aqueous Species Options'!O491, IF('Aqueous Species Table'!I491="", "", IF('Aqueous Species Options'!B491="H+", 0, ((1.11*('Aqueous Species Options'!G491 + 'Aqueous Species Table'!O491*100000*0.0000005903*41.8393)+1.8)/41.8393 - 'Aqueous Species Table'!I491/10)*26.01 ) ) ) )</f>
        <v/>
      </c>
      <c r="K491" s="1" t="str">
        <f>IF(ISBLANK('Aqueous Species Options'!B491), "", IF('Aqueous Species Options'!L491 = 0, 'Aqueous Species Options'!P491, IF('Aqueous Species Table'!I491="", "", IF('Aqueous Species Options'!B491="H+", 0, ('Aqueous Species Options'!G491/41.8393 + 'Aqueous Species Table'!O491*100000*0.0000005903 - 'Aqueous Species Table'!I491/10 - 'Aqueous Species Table'!J491*100/2601)*(298.15-228) - ('Aqueous Species Table'!L491*10000/2601) ) ) ) )</f>
        <v/>
      </c>
      <c r="L491" s="1" t="str">
        <f>IF(ISBLANK('Aqueous Species Options'!B491), "", IF('Aqueous Species Options'!L491 = 0, 'Aqueous Species Options'!Q491, IF('Aqueous Species Table'!J491="", "", IF('Aqueous Species Options'!B491="H+", 0, (-4.134*'Aqueous Species Table'!J491*100 - 27790)*0.0001) ) ) )</f>
        <v/>
      </c>
      <c r="M491" s="1" t="str">
        <f>IF(ISBLANK('Aqueous Species Options'!B491), "", IF('Aqueous Species Options'!L491=0, 'Aqueous Species Options'!R491, IF('Aqueous Species Table'!N491="", "", IF('Aqueous Species Options'!B491="H+", 0, 'Aqueous Species Options'!H491 - 'Aqueous Species Table'!O491*100000*(-0.000000309)*298.15 - 'Aqueous Species Table'!N491*10000/(298.15-228)^2 ) ) ) )</f>
        <v/>
      </c>
      <c r="N491" s="1" t="str">
        <f>IF(ISBLANK('Aqueous Species Options'!B491), "", IF('Aqueous Species Options'!L491=0, 'Aqueous Species Options'!S491, IF(OR(ISBLANK('Aqueous Species Options'!H491), 'Aqueous Species Table'!O491=""), "", IF('Aqueous Species Options'!B491="H+", 0, 0.2037*'Aqueous Species Options'!H491 - 3.0346) ) ) )</f>
        <v/>
      </c>
      <c r="O491" s="1" t="str">
        <f>IF(ISBLANK('Aqueous Species Options'!B491), "", IF('Aqueous Species Options'!K491=0, 'Aqueous Species Options'!I491, IF(OR('Aqueous Species Options'!J491&gt;4,'Aqueous Species Options'!J491&lt;-4), "", IF('Aqueous Species Options'!B491="H+", 0, IF('Aqueous Species Options'!J491=0, -0.038, IF(ISBLANK('Aqueous Species Options'!F491), "", -1514.4*'Aqueous Species Options'!F491*0.00001 + SUM(({4,3,2,1,-1,-2,-3,-4}='Aqueous Species Options'!J491)*{2.1764,1.5793,1.0579,0.5517,1.6291,3.2127,4.8115,6.486}) ) ) ) ) ) )</f>
        <v/>
      </c>
      <c r="P491" s="1" t="str">
        <f>IF(ISBLANK('Aqueous Species Options'!J491), "", 'Aqueous Species Options'!J491)</f>
        <v/>
      </c>
      <c r="Q491" s="184" t="str">
        <f>IF(ISBLANK('Aqueous Species Options'!T491), "", 'Aqueous Species Options'!T491)</f>
        <v/>
      </c>
    </row>
    <row r="492" spans="2:17" ht="16" x14ac:dyDescent="0.2">
      <c r="B492" t="str">
        <f>IF(ISBLANK('Aqueous Species Options'!B492), "", 'Aqueous Species Options'!B492)</f>
        <v/>
      </c>
      <c r="C492" s="1" t="str">
        <f>IF(ISBLANK('Aqueous Species Options'!C492), "", 'Aqueous Species Options'!C492)</f>
        <v/>
      </c>
      <c r="D492" s="1" t="str">
        <f>IF(ISBLANK('Aqueous Species Options'!D492), "", 'Aqueous Species Options'!D492)</f>
        <v/>
      </c>
      <c r="E492" s="1" t="str">
        <f>IF(ISBLANK('Aqueous Species Options'!E492), "", 'Aqueous Species Options'!E492)</f>
        <v/>
      </c>
      <c r="F492" s="139" t="str">
        <f>IF(ISBLANK('Aqueous Species Options'!F492), "", 'Aqueous Species Options'!F492)</f>
        <v/>
      </c>
      <c r="G492" s="29" t="str">
        <f>IF(ISBLANK('Aqueous Species Options'!B492), "", IF('Aqueous Species Options'!L492 = 1, IF(ISBLANK('Aqueous Species Options'!G492), "", 'Aqueous Species Options'!G492), ('Aqueous Species Table'!I492/10 + ('Aqueous Species Table'!J492*100)/(Calculations!$C$12+Calculations!$C$9) + ('Aqueous Species Table'!K492 + ('Aqueous Species Table'!L492*10000)/(Calculations!$C$12+Calculations!$C$9))*(1/(Calculations!$C$8-Calculations!$C$13)) - 'Aqueous Species Table'!O492*100000*0.0000005903)*41.8393))</f>
        <v/>
      </c>
      <c r="H492" s="29" t="str">
        <f>IF(ISBLANK('Aqueous Species Options'!B492), "", IF('Aqueous Species Options'!L492 = 1, IF(ISBLANK('Aqueous Species Options'!H492), "", 'Aqueous Species Options'!H492), 'Aqueous Species Table'!M492 + 'Aqueous Species Table'!N492*10000*(1/(Calculations!$C$8-Calculations!$C$13))^2 + 'Aqueous Species Table'!O492*100000*Calculations!$C$8*Calculations!$C$7))</f>
        <v/>
      </c>
      <c r="I492" s="1" t="str">
        <f>IF(ISBLANK('Aqueous Species Options'!B492), "", IF('Aqueous Species Options'!L492=0, 'Aqueous Species Options'!N492, IF(OR(ISBLANK('Aqueous Species Options'!G492),'Aqueous Species Table'!O492="", 'Aqueous Species Table'!P492=""), "", IF('Aqueous Species Options'!B492="H+", 0, (CHOOSE('Aqueous Species Options'!M492+1,'Aqueous Species Options'!$V$4*ABS('Aqueous Species Table'!P492)+'Aqueous Species Options'!$W$4,'Aqueous Species Options'!$Z$4)*('Aqueous Species Options'!G492 + 'Aqueous Species Table'!O492*100000*0.0000005903*41.8393) + CHOOSE('Aqueous Species Options'!M492+1,'Aqueous Species Options'!$X$4*ABS('Aqueous Species Table'!P492)+'Aqueous Species Options'!$Y$4,'Aqueous Species Options'!$AA$4))*10 ) ) ) )</f>
        <v/>
      </c>
      <c r="J492" s="1" t="str">
        <f>IF(ISBLANK('Aqueous Species Options'!B492), "", IF('Aqueous Species Options'!L492 = 0, 'Aqueous Species Options'!O492, IF('Aqueous Species Table'!I492="", "", IF('Aqueous Species Options'!B492="H+", 0, ((1.11*('Aqueous Species Options'!G492 + 'Aqueous Species Table'!O492*100000*0.0000005903*41.8393)+1.8)/41.8393 - 'Aqueous Species Table'!I492/10)*26.01 ) ) ) )</f>
        <v/>
      </c>
      <c r="K492" s="1" t="str">
        <f>IF(ISBLANK('Aqueous Species Options'!B492), "", IF('Aqueous Species Options'!L492 = 0, 'Aqueous Species Options'!P492, IF('Aqueous Species Table'!I492="", "", IF('Aqueous Species Options'!B492="H+", 0, ('Aqueous Species Options'!G492/41.8393 + 'Aqueous Species Table'!O492*100000*0.0000005903 - 'Aqueous Species Table'!I492/10 - 'Aqueous Species Table'!J492*100/2601)*(298.15-228) - ('Aqueous Species Table'!L492*10000/2601) ) ) ) )</f>
        <v/>
      </c>
      <c r="L492" s="1" t="str">
        <f>IF(ISBLANK('Aqueous Species Options'!B492), "", IF('Aqueous Species Options'!L492 = 0, 'Aqueous Species Options'!Q492, IF('Aqueous Species Table'!J492="", "", IF('Aqueous Species Options'!B492="H+", 0, (-4.134*'Aqueous Species Table'!J492*100 - 27790)*0.0001) ) ) )</f>
        <v/>
      </c>
      <c r="M492" s="1" t="str">
        <f>IF(ISBLANK('Aqueous Species Options'!B492), "", IF('Aqueous Species Options'!L492=0, 'Aqueous Species Options'!R492, IF('Aqueous Species Table'!N492="", "", IF('Aqueous Species Options'!B492="H+", 0, 'Aqueous Species Options'!H492 - 'Aqueous Species Table'!O492*100000*(-0.000000309)*298.15 - 'Aqueous Species Table'!N492*10000/(298.15-228)^2 ) ) ) )</f>
        <v/>
      </c>
      <c r="N492" s="1" t="str">
        <f>IF(ISBLANK('Aqueous Species Options'!B492), "", IF('Aqueous Species Options'!L492=0, 'Aqueous Species Options'!S492, IF(OR(ISBLANK('Aqueous Species Options'!H492), 'Aqueous Species Table'!O492=""), "", IF('Aqueous Species Options'!B492="H+", 0, 0.2037*'Aqueous Species Options'!H492 - 3.0346) ) ) )</f>
        <v/>
      </c>
      <c r="O492" s="1" t="str">
        <f>IF(ISBLANK('Aqueous Species Options'!B492), "", IF('Aqueous Species Options'!K492=0, 'Aqueous Species Options'!I492, IF(OR('Aqueous Species Options'!J492&gt;4,'Aqueous Species Options'!J492&lt;-4), "", IF('Aqueous Species Options'!B492="H+", 0, IF('Aqueous Species Options'!J492=0, -0.038, IF(ISBLANK('Aqueous Species Options'!F492), "", -1514.4*'Aqueous Species Options'!F492*0.00001 + SUM(({4,3,2,1,-1,-2,-3,-4}='Aqueous Species Options'!J492)*{2.1764,1.5793,1.0579,0.5517,1.6291,3.2127,4.8115,6.486}) ) ) ) ) ) )</f>
        <v/>
      </c>
      <c r="P492" s="1" t="str">
        <f>IF(ISBLANK('Aqueous Species Options'!J492), "", 'Aqueous Species Options'!J492)</f>
        <v/>
      </c>
      <c r="Q492" s="184" t="str">
        <f>IF(ISBLANK('Aqueous Species Options'!T492), "", 'Aqueous Species Options'!T492)</f>
        <v/>
      </c>
    </row>
    <row r="493" spans="2:17" ht="16" x14ac:dyDescent="0.2">
      <c r="B493" t="str">
        <f>IF(ISBLANK('Aqueous Species Options'!B493), "", 'Aqueous Species Options'!B493)</f>
        <v/>
      </c>
      <c r="C493" s="1" t="str">
        <f>IF(ISBLANK('Aqueous Species Options'!C493), "", 'Aqueous Species Options'!C493)</f>
        <v/>
      </c>
      <c r="D493" s="1" t="str">
        <f>IF(ISBLANK('Aqueous Species Options'!D493), "", 'Aqueous Species Options'!D493)</f>
        <v/>
      </c>
      <c r="E493" s="1" t="str">
        <f>IF(ISBLANK('Aqueous Species Options'!E493), "", 'Aqueous Species Options'!E493)</f>
        <v/>
      </c>
      <c r="F493" s="139" t="str">
        <f>IF(ISBLANK('Aqueous Species Options'!F493), "", 'Aqueous Species Options'!F493)</f>
        <v/>
      </c>
      <c r="G493" s="29" t="str">
        <f>IF(ISBLANK('Aqueous Species Options'!B493), "", IF('Aqueous Species Options'!L493 = 1, IF(ISBLANK('Aqueous Species Options'!G493), "", 'Aqueous Species Options'!G493), ('Aqueous Species Table'!I493/10 + ('Aqueous Species Table'!J493*100)/(Calculations!$C$12+Calculations!$C$9) + ('Aqueous Species Table'!K493 + ('Aqueous Species Table'!L493*10000)/(Calculations!$C$12+Calculations!$C$9))*(1/(Calculations!$C$8-Calculations!$C$13)) - 'Aqueous Species Table'!O493*100000*0.0000005903)*41.8393))</f>
        <v/>
      </c>
      <c r="H493" s="29" t="str">
        <f>IF(ISBLANK('Aqueous Species Options'!B493), "", IF('Aqueous Species Options'!L493 = 1, IF(ISBLANK('Aqueous Species Options'!H493), "", 'Aqueous Species Options'!H493), 'Aqueous Species Table'!M493 + 'Aqueous Species Table'!N493*10000*(1/(Calculations!$C$8-Calculations!$C$13))^2 + 'Aqueous Species Table'!O493*100000*Calculations!$C$8*Calculations!$C$7))</f>
        <v/>
      </c>
      <c r="I493" s="1" t="str">
        <f>IF(ISBLANK('Aqueous Species Options'!B493), "", IF('Aqueous Species Options'!L493=0, 'Aqueous Species Options'!N493, IF(OR(ISBLANK('Aqueous Species Options'!G493),'Aqueous Species Table'!O493="", 'Aqueous Species Table'!P493=""), "", IF('Aqueous Species Options'!B493="H+", 0, (CHOOSE('Aqueous Species Options'!M493+1,'Aqueous Species Options'!$V$4*ABS('Aqueous Species Table'!P493)+'Aqueous Species Options'!$W$4,'Aqueous Species Options'!$Z$4)*('Aqueous Species Options'!G493 + 'Aqueous Species Table'!O493*100000*0.0000005903*41.8393) + CHOOSE('Aqueous Species Options'!M493+1,'Aqueous Species Options'!$X$4*ABS('Aqueous Species Table'!P493)+'Aqueous Species Options'!$Y$4,'Aqueous Species Options'!$AA$4))*10 ) ) ) )</f>
        <v/>
      </c>
      <c r="J493" s="1" t="str">
        <f>IF(ISBLANK('Aqueous Species Options'!B493), "", IF('Aqueous Species Options'!L493 = 0, 'Aqueous Species Options'!O493, IF('Aqueous Species Table'!I493="", "", IF('Aqueous Species Options'!B493="H+", 0, ((1.11*('Aqueous Species Options'!G493 + 'Aqueous Species Table'!O493*100000*0.0000005903*41.8393)+1.8)/41.8393 - 'Aqueous Species Table'!I493/10)*26.01 ) ) ) )</f>
        <v/>
      </c>
      <c r="K493" s="1" t="str">
        <f>IF(ISBLANK('Aqueous Species Options'!B493), "", IF('Aqueous Species Options'!L493 = 0, 'Aqueous Species Options'!P493, IF('Aqueous Species Table'!I493="", "", IF('Aqueous Species Options'!B493="H+", 0, ('Aqueous Species Options'!G493/41.8393 + 'Aqueous Species Table'!O493*100000*0.0000005903 - 'Aqueous Species Table'!I493/10 - 'Aqueous Species Table'!J493*100/2601)*(298.15-228) - ('Aqueous Species Table'!L493*10000/2601) ) ) ) )</f>
        <v/>
      </c>
      <c r="L493" s="1" t="str">
        <f>IF(ISBLANK('Aqueous Species Options'!B493), "", IF('Aqueous Species Options'!L493 = 0, 'Aqueous Species Options'!Q493, IF('Aqueous Species Table'!J493="", "", IF('Aqueous Species Options'!B493="H+", 0, (-4.134*'Aqueous Species Table'!J493*100 - 27790)*0.0001) ) ) )</f>
        <v/>
      </c>
      <c r="M493" s="1" t="str">
        <f>IF(ISBLANK('Aqueous Species Options'!B493), "", IF('Aqueous Species Options'!L493=0, 'Aqueous Species Options'!R493, IF('Aqueous Species Table'!N493="", "", IF('Aqueous Species Options'!B493="H+", 0, 'Aqueous Species Options'!H493 - 'Aqueous Species Table'!O493*100000*(-0.000000309)*298.15 - 'Aqueous Species Table'!N493*10000/(298.15-228)^2 ) ) ) )</f>
        <v/>
      </c>
      <c r="N493" s="1" t="str">
        <f>IF(ISBLANK('Aqueous Species Options'!B493), "", IF('Aqueous Species Options'!L493=0, 'Aqueous Species Options'!S493, IF(OR(ISBLANK('Aqueous Species Options'!H493), 'Aqueous Species Table'!O493=""), "", IF('Aqueous Species Options'!B493="H+", 0, 0.2037*'Aqueous Species Options'!H493 - 3.0346) ) ) )</f>
        <v/>
      </c>
      <c r="O493" s="1" t="str">
        <f>IF(ISBLANK('Aqueous Species Options'!B493), "", IF('Aqueous Species Options'!K493=0, 'Aqueous Species Options'!I493, IF(OR('Aqueous Species Options'!J493&gt;4,'Aqueous Species Options'!J493&lt;-4), "", IF('Aqueous Species Options'!B493="H+", 0, IF('Aqueous Species Options'!J493=0, -0.038, IF(ISBLANK('Aqueous Species Options'!F493), "", -1514.4*'Aqueous Species Options'!F493*0.00001 + SUM(({4,3,2,1,-1,-2,-3,-4}='Aqueous Species Options'!J493)*{2.1764,1.5793,1.0579,0.5517,1.6291,3.2127,4.8115,6.486}) ) ) ) ) ) )</f>
        <v/>
      </c>
      <c r="P493" s="1" t="str">
        <f>IF(ISBLANK('Aqueous Species Options'!J493), "", 'Aqueous Species Options'!J493)</f>
        <v/>
      </c>
      <c r="Q493" s="184" t="str">
        <f>IF(ISBLANK('Aqueous Species Options'!T493), "", 'Aqueous Species Options'!T493)</f>
        <v/>
      </c>
    </row>
    <row r="494" spans="2:17" ht="16" x14ac:dyDescent="0.2">
      <c r="B494" t="str">
        <f>IF(ISBLANK('Aqueous Species Options'!B494), "", 'Aqueous Species Options'!B494)</f>
        <v/>
      </c>
      <c r="C494" s="1" t="str">
        <f>IF(ISBLANK('Aqueous Species Options'!C494), "", 'Aqueous Species Options'!C494)</f>
        <v/>
      </c>
      <c r="D494" s="1" t="str">
        <f>IF(ISBLANK('Aqueous Species Options'!D494), "", 'Aqueous Species Options'!D494)</f>
        <v/>
      </c>
      <c r="E494" s="1" t="str">
        <f>IF(ISBLANK('Aqueous Species Options'!E494), "", 'Aqueous Species Options'!E494)</f>
        <v/>
      </c>
      <c r="F494" s="139" t="str">
        <f>IF(ISBLANK('Aqueous Species Options'!F494), "", 'Aqueous Species Options'!F494)</f>
        <v/>
      </c>
      <c r="G494" s="29" t="str">
        <f>IF(ISBLANK('Aqueous Species Options'!B494), "", IF('Aqueous Species Options'!L494 = 1, IF(ISBLANK('Aqueous Species Options'!G494), "", 'Aqueous Species Options'!G494), ('Aqueous Species Table'!I494/10 + ('Aqueous Species Table'!J494*100)/(Calculations!$C$12+Calculations!$C$9) + ('Aqueous Species Table'!K494 + ('Aqueous Species Table'!L494*10000)/(Calculations!$C$12+Calculations!$C$9))*(1/(Calculations!$C$8-Calculations!$C$13)) - 'Aqueous Species Table'!O494*100000*0.0000005903)*41.8393))</f>
        <v/>
      </c>
      <c r="H494" s="29" t="str">
        <f>IF(ISBLANK('Aqueous Species Options'!B494), "", IF('Aqueous Species Options'!L494 = 1, IF(ISBLANK('Aqueous Species Options'!H494), "", 'Aqueous Species Options'!H494), 'Aqueous Species Table'!M494 + 'Aqueous Species Table'!N494*10000*(1/(Calculations!$C$8-Calculations!$C$13))^2 + 'Aqueous Species Table'!O494*100000*Calculations!$C$8*Calculations!$C$7))</f>
        <v/>
      </c>
      <c r="I494" s="1" t="str">
        <f>IF(ISBLANK('Aqueous Species Options'!B494), "", IF('Aqueous Species Options'!L494=0, 'Aqueous Species Options'!N494, IF(OR(ISBLANK('Aqueous Species Options'!G494),'Aqueous Species Table'!O494="", 'Aqueous Species Table'!P494=""), "", IF('Aqueous Species Options'!B494="H+", 0, (CHOOSE('Aqueous Species Options'!M494+1,'Aqueous Species Options'!$V$4*ABS('Aqueous Species Table'!P494)+'Aqueous Species Options'!$W$4,'Aqueous Species Options'!$Z$4)*('Aqueous Species Options'!G494 + 'Aqueous Species Table'!O494*100000*0.0000005903*41.8393) + CHOOSE('Aqueous Species Options'!M494+1,'Aqueous Species Options'!$X$4*ABS('Aqueous Species Table'!P494)+'Aqueous Species Options'!$Y$4,'Aqueous Species Options'!$AA$4))*10 ) ) ) )</f>
        <v/>
      </c>
      <c r="J494" s="1" t="str">
        <f>IF(ISBLANK('Aqueous Species Options'!B494), "", IF('Aqueous Species Options'!L494 = 0, 'Aqueous Species Options'!O494, IF('Aqueous Species Table'!I494="", "", IF('Aqueous Species Options'!B494="H+", 0, ((1.11*('Aqueous Species Options'!G494 + 'Aqueous Species Table'!O494*100000*0.0000005903*41.8393)+1.8)/41.8393 - 'Aqueous Species Table'!I494/10)*26.01 ) ) ) )</f>
        <v/>
      </c>
      <c r="K494" s="1" t="str">
        <f>IF(ISBLANK('Aqueous Species Options'!B494), "", IF('Aqueous Species Options'!L494 = 0, 'Aqueous Species Options'!P494, IF('Aqueous Species Table'!I494="", "", IF('Aqueous Species Options'!B494="H+", 0, ('Aqueous Species Options'!G494/41.8393 + 'Aqueous Species Table'!O494*100000*0.0000005903 - 'Aqueous Species Table'!I494/10 - 'Aqueous Species Table'!J494*100/2601)*(298.15-228) - ('Aqueous Species Table'!L494*10000/2601) ) ) ) )</f>
        <v/>
      </c>
      <c r="L494" s="1" t="str">
        <f>IF(ISBLANK('Aqueous Species Options'!B494), "", IF('Aqueous Species Options'!L494 = 0, 'Aqueous Species Options'!Q494, IF('Aqueous Species Table'!J494="", "", IF('Aqueous Species Options'!B494="H+", 0, (-4.134*'Aqueous Species Table'!J494*100 - 27790)*0.0001) ) ) )</f>
        <v/>
      </c>
      <c r="M494" s="1" t="str">
        <f>IF(ISBLANK('Aqueous Species Options'!B494), "", IF('Aqueous Species Options'!L494=0, 'Aqueous Species Options'!R494, IF('Aqueous Species Table'!N494="", "", IF('Aqueous Species Options'!B494="H+", 0, 'Aqueous Species Options'!H494 - 'Aqueous Species Table'!O494*100000*(-0.000000309)*298.15 - 'Aqueous Species Table'!N494*10000/(298.15-228)^2 ) ) ) )</f>
        <v/>
      </c>
      <c r="N494" s="1" t="str">
        <f>IF(ISBLANK('Aqueous Species Options'!B494), "", IF('Aqueous Species Options'!L494=0, 'Aqueous Species Options'!S494, IF(OR(ISBLANK('Aqueous Species Options'!H494), 'Aqueous Species Table'!O494=""), "", IF('Aqueous Species Options'!B494="H+", 0, 0.2037*'Aqueous Species Options'!H494 - 3.0346) ) ) )</f>
        <v/>
      </c>
      <c r="O494" s="1" t="str">
        <f>IF(ISBLANK('Aqueous Species Options'!B494), "", IF('Aqueous Species Options'!K494=0, 'Aqueous Species Options'!I494, IF(OR('Aqueous Species Options'!J494&gt;4,'Aqueous Species Options'!J494&lt;-4), "", IF('Aqueous Species Options'!B494="H+", 0, IF('Aqueous Species Options'!J494=0, -0.038, IF(ISBLANK('Aqueous Species Options'!F494), "", -1514.4*'Aqueous Species Options'!F494*0.00001 + SUM(({4,3,2,1,-1,-2,-3,-4}='Aqueous Species Options'!J494)*{2.1764,1.5793,1.0579,0.5517,1.6291,3.2127,4.8115,6.486}) ) ) ) ) ) )</f>
        <v/>
      </c>
      <c r="P494" s="1" t="str">
        <f>IF(ISBLANK('Aqueous Species Options'!J494), "", 'Aqueous Species Options'!J494)</f>
        <v/>
      </c>
      <c r="Q494" s="184" t="str">
        <f>IF(ISBLANK('Aqueous Species Options'!T494), "", 'Aqueous Species Options'!T494)</f>
        <v/>
      </c>
    </row>
    <row r="495" spans="2:17" ht="16" x14ac:dyDescent="0.2">
      <c r="B495" t="str">
        <f>IF(ISBLANK('Aqueous Species Options'!B495), "", 'Aqueous Species Options'!B495)</f>
        <v/>
      </c>
      <c r="C495" s="1" t="str">
        <f>IF(ISBLANK('Aqueous Species Options'!C495), "", 'Aqueous Species Options'!C495)</f>
        <v/>
      </c>
      <c r="D495" s="1" t="str">
        <f>IF(ISBLANK('Aqueous Species Options'!D495), "", 'Aqueous Species Options'!D495)</f>
        <v/>
      </c>
      <c r="E495" s="1" t="str">
        <f>IF(ISBLANK('Aqueous Species Options'!E495), "", 'Aqueous Species Options'!E495)</f>
        <v/>
      </c>
      <c r="F495" s="139" t="str">
        <f>IF(ISBLANK('Aqueous Species Options'!F495), "", 'Aqueous Species Options'!F495)</f>
        <v/>
      </c>
      <c r="G495" s="29" t="str">
        <f>IF(ISBLANK('Aqueous Species Options'!B495), "", IF('Aqueous Species Options'!L495 = 1, IF(ISBLANK('Aqueous Species Options'!G495), "", 'Aqueous Species Options'!G495), ('Aqueous Species Table'!I495/10 + ('Aqueous Species Table'!J495*100)/(Calculations!$C$12+Calculations!$C$9) + ('Aqueous Species Table'!K495 + ('Aqueous Species Table'!L495*10000)/(Calculations!$C$12+Calculations!$C$9))*(1/(Calculations!$C$8-Calculations!$C$13)) - 'Aqueous Species Table'!O495*100000*0.0000005903)*41.8393))</f>
        <v/>
      </c>
      <c r="H495" s="29" t="str">
        <f>IF(ISBLANK('Aqueous Species Options'!B495), "", IF('Aqueous Species Options'!L495 = 1, IF(ISBLANK('Aqueous Species Options'!H495), "", 'Aqueous Species Options'!H495), 'Aqueous Species Table'!M495 + 'Aqueous Species Table'!N495*10000*(1/(Calculations!$C$8-Calculations!$C$13))^2 + 'Aqueous Species Table'!O495*100000*Calculations!$C$8*Calculations!$C$7))</f>
        <v/>
      </c>
      <c r="I495" s="1" t="str">
        <f>IF(ISBLANK('Aqueous Species Options'!B495), "", IF('Aqueous Species Options'!L495=0, 'Aqueous Species Options'!N495, IF(OR(ISBLANK('Aqueous Species Options'!G495),'Aqueous Species Table'!O495="", 'Aqueous Species Table'!P495=""), "", IF('Aqueous Species Options'!B495="H+", 0, (CHOOSE('Aqueous Species Options'!M495+1,'Aqueous Species Options'!$V$4*ABS('Aqueous Species Table'!P495)+'Aqueous Species Options'!$W$4,'Aqueous Species Options'!$Z$4)*('Aqueous Species Options'!G495 + 'Aqueous Species Table'!O495*100000*0.0000005903*41.8393) + CHOOSE('Aqueous Species Options'!M495+1,'Aqueous Species Options'!$X$4*ABS('Aqueous Species Table'!P495)+'Aqueous Species Options'!$Y$4,'Aqueous Species Options'!$AA$4))*10 ) ) ) )</f>
        <v/>
      </c>
      <c r="J495" s="1" t="str">
        <f>IF(ISBLANK('Aqueous Species Options'!B495), "", IF('Aqueous Species Options'!L495 = 0, 'Aqueous Species Options'!O495, IF('Aqueous Species Table'!I495="", "", IF('Aqueous Species Options'!B495="H+", 0, ((1.11*('Aqueous Species Options'!G495 + 'Aqueous Species Table'!O495*100000*0.0000005903*41.8393)+1.8)/41.8393 - 'Aqueous Species Table'!I495/10)*26.01 ) ) ) )</f>
        <v/>
      </c>
      <c r="K495" s="1" t="str">
        <f>IF(ISBLANK('Aqueous Species Options'!B495), "", IF('Aqueous Species Options'!L495 = 0, 'Aqueous Species Options'!P495, IF('Aqueous Species Table'!I495="", "", IF('Aqueous Species Options'!B495="H+", 0, ('Aqueous Species Options'!G495/41.8393 + 'Aqueous Species Table'!O495*100000*0.0000005903 - 'Aqueous Species Table'!I495/10 - 'Aqueous Species Table'!J495*100/2601)*(298.15-228) - ('Aqueous Species Table'!L495*10000/2601) ) ) ) )</f>
        <v/>
      </c>
      <c r="L495" s="1" t="str">
        <f>IF(ISBLANK('Aqueous Species Options'!B495), "", IF('Aqueous Species Options'!L495 = 0, 'Aqueous Species Options'!Q495, IF('Aqueous Species Table'!J495="", "", IF('Aqueous Species Options'!B495="H+", 0, (-4.134*'Aqueous Species Table'!J495*100 - 27790)*0.0001) ) ) )</f>
        <v/>
      </c>
      <c r="M495" s="1" t="str">
        <f>IF(ISBLANK('Aqueous Species Options'!B495), "", IF('Aqueous Species Options'!L495=0, 'Aqueous Species Options'!R495, IF('Aqueous Species Table'!N495="", "", IF('Aqueous Species Options'!B495="H+", 0, 'Aqueous Species Options'!H495 - 'Aqueous Species Table'!O495*100000*(-0.000000309)*298.15 - 'Aqueous Species Table'!N495*10000/(298.15-228)^2 ) ) ) )</f>
        <v/>
      </c>
      <c r="N495" s="1" t="str">
        <f>IF(ISBLANK('Aqueous Species Options'!B495), "", IF('Aqueous Species Options'!L495=0, 'Aqueous Species Options'!S495, IF(OR(ISBLANK('Aqueous Species Options'!H495), 'Aqueous Species Table'!O495=""), "", IF('Aqueous Species Options'!B495="H+", 0, 0.2037*'Aqueous Species Options'!H495 - 3.0346) ) ) )</f>
        <v/>
      </c>
      <c r="O495" s="1" t="str">
        <f>IF(ISBLANK('Aqueous Species Options'!B495), "", IF('Aqueous Species Options'!K495=0, 'Aqueous Species Options'!I495, IF(OR('Aqueous Species Options'!J495&gt;4,'Aqueous Species Options'!J495&lt;-4), "", IF('Aqueous Species Options'!B495="H+", 0, IF('Aqueous Species Options'!J495=0, -0.038, IF(ISBLANK('Aqueous Species Options'!F495), "", -1514.4*'Aqueous Species Options'!F495*0.00001 + SUM(({4,3,2,1,-1,-2,-3,-4}='Aqueous Species Options'!J495)*{2.1764,1.5793,1.0579,0.5517,1.6291,3.2127,4.8115,6.486}) ) ) ) ) ) )</f>
        <v/>
      </c>
      <c r="P495" s="1" t="str">
        <f>IF(ISBLANK('Aqueous Species Options'!J495), "", 'Aqueous Species Options'!J495)</f>
        <v/>
      </c>
      <c r="Q495" s="184" t="str">
        <f>IF(ISBLANK('Aqueous Species Options'!T495), "", 'Aqueous Species Options'!T495)</f>
        <v/>
      </c>
    </row>
    <row r="496" spans="2:17" ht="16" x14ac:dyDescent="0.2">
      <c r="B496" t="str">
        <f>IF(ISBLANK('Aqueous Species Options'!B496), "", 'Aqueous Species Options'!B496)</f>
        <v/>
      </c>
      <c r="C496" s="1" t="str">
        <f>IF(ISBLANK('Aqueous Species Options'!C496), "", 'Aqueous Species Options'!C496)</f>
        <v/>
      </c>
      <c r="D496" s="1" t="str">
        <f>IF(ISBLANK('Aqueous Species Options'!D496), "", 'Aqueous Species Options'!D496)</f>
        <v/>
      </c>
      <c r="E496" s="1" t="str">
        <f>IF(ISBLANK('Aqueous Species Options'!E496), "", 'Aqueous Species Options'!E496)</f>
        <v/>
      </c>
      <c r="F496" s="139" t="str">
        <f>IF(ISBLANK('Aqueous Species Options'!F496), "", 'Aqueous Species Options'!F496)</f>
        <v/>
      </c>
      <c r="G496" s="29" t="str">
        <f>IF(ISBLANK('Aqueous Species Options'!B496), "", IF('Aqueous Species Options'!L496 = 1, IF(ISBLANK('Aqueous Species Options'!G496), "", 'Aqueous Species Options'!G496), ('Aqueous Species Table'!I496/10 + ('Aqueous Species Table'!J496*100)/(Calculations!$C$12+Calculations!$C$9) + ('Aqueous Species Table'!K496 + ('Aqueous Species Table'!L496*10000)/(Calculations!$C$12+Calculations!$C$9))*(1/(Calculations!$C$8-Calculations!$C$13)) - 'Aqueous Species Table'!O496*100000*0.0000005903)*41.8393))</f>
        <v/>
      </c>
      <c r="H496" s="29" t="str">
        <f>IF(ISBLANK('Aqueous Species Options'!B496), "", IF('Aqueous Species Options'!L496 = 1, IF(ISBLANK('Aqueous Species Options'!H496), "", 'Aqueous Species Options'!H496), 'Aqueous Species Table'!M496 + 'Aqueous Species Table'!N496*10000*(1/(Calculations!$C$8-Calculations!$C$13))^2 + 'Aqueous Species Table'!O496*100000*Calculations!$C$8*Calculations!$C$7))</f>
        <v/>
      </c>
      <c r="I496" s="1" t="str">
        <f>IF(ISBLANK('Aqueous Species Options'!B496), "", IF('Aqueous Species Options'!L496=0, 'Aqueous Species Options'!N496, IF(OR(ISBLANK('Aqueous Species Options'!G496),'Aqueous Species Table'!O496="", 'Aqueous Species Table'!P496=""), "", IF('Aqueous Species Options'!B496="H+", 0, (CHOOSE('Aqueous Species Options'!M496+1,'Aqueous Species Options'!$V$4*ABS('Aqueous Species Table'!P496)+'Aqueous Species Options'!$W$4,'Aqueous Species Options'!$Z$4)*('Aqueous Species Options'!G496 + 'Aqueous Species Table'!O496*100000*0.0000005903*41.8393) + CHOOSE('Aqueous Species Options'!M496+1,'Aqueous Species Options'!$X$4*ABS('Aqueous Species Table'!P496)+'Aqueous Species Options'!$Y$4,'Aqueous Species Options'!$AA$4))*10 ) ) ) )</f>
        <v/>
      </c>
      <c r="J496" s="1" t="str">
        <f>IF(ISBLANK('Aqueous Species Options'!B496), "", IF('Aqueous Species Options'!L496 = 0, 'Aqueous Species Options'!O496, IF('Aqueous Species Table'!I496="", "", IF('Aqueous Species Options'!B496="H+", 0, ((1.11*('Aqueous Species Options'!G496 + 'Aqueous Species Table'!O496*100000*0.0000005903*41.8393)+1.8)/41.8393 - 'Aqueous Species Table'!I496/10)*26.01 ) ) ) )</f>
        <v/>
      </c>
      <c r="K496" s="1" t="str">
        <f>IF(ISBLANK('Aqueous Species Options'!B496), "", IF('Aqueous Species Options'!L496 = 0, 'Aqueous Species Options'!P496, IF('Aqueous Species Table'!I496="", "", IF('Aqueous Species Options'!B496="H+", 0, ('Aqueous Species Options'!G496/41.8393 + 'Aqueous Species Table'!O496*100000*0.0000005903 - 'Aqueous Species Table'!I496/10 - 'Aqueous Species Table'!J496*100/2601)*(298.15-228) - ('Aqueous Species Table'!L496*10000/2601) ) ) ) )</f>
        <v/>
      </c>
      <c r="L496" s="1" t="str">
        <f>IF(ISBLANK('Aqueous Species Options'!B496), "", IF('Aqueous Species Options'!L496 = 0, 'Aqueous Species Options'!Q496, IF('Aqueous Species Table'!J496="", "", IF('Aqueous Species Options'!B496="H+", 0, (-4.134*'Aqueous Species Table'!J496*100 - 27790)*0.0001) ) ) )</f>
        <v/>
      </c>
      <c r="M496" s="1" t="str">
        <f>IF(ISBLANK('Aqueous Species Options'!B496), "", IF('Aqueous Species Options'!L496=0, 'Aqueous Species Options'!R496, IF('Aqueous Species Table'!N496="", "", IF('Aqueous Species Options'!B496="H+", 0, 'Aqueous Species Options'!H496 - 'Aqueous Species Table'!O496*100000*(-0.000000309)*298.15 - 'Aqueous Species Table'!N496*10000/(298.15-228)^2 ) ) ) )</f>
        <v/>
      </c>
      <c r="N496" s="1" t="str">
        <f>IF(ISBLANK('Aqueous Species Options'!B496), "", IF('Aqueous Species Options'!L496=0, 'Aqueous Species Options'!S496, IF(OR(ISBLANK('Aqueous Species Options'!H496), 'Aqueous Species Table'!O496=""), "", IF('Aqueous Species Options'!B496="H+", 0, 0.2037*'Aqueous Species Options'!H496 - 3.0346) ) ) )</f>
        <v/>
      </c>
      <c r="O496" s="1" t="str">
        <f>IF(ISBLANK('Aqueous Species Options'!B496), "", IF('Aqueous Species Options'!K496=0, 'Aqueous Species Options'!I496, IF(OR('Aqueous Species Options'!J496&gt;4,'Aqueous Species Options'!J496&lt;-4), "", IF('Aqueous Species Options'!B496="H+", 0, IF('Aqueous Species Options'!J496=0, -0.038, IF(ISBLANK('Aqueous Species Options'!F496), "", -1514.4*'Aqueous Species Options'!F496*0.00001 + SUM(({4,3,2,1,-1,-2,-3,-4}='Aqueous Species Options'!J496)*{2.1764,1.5793,1.0579,0.5517,1.6291,3.2127,4.8115,6.486}) ) ) ) ) ) )</f>
        <v/>
      </c>
      <c r="P496" s="1" t="str">
        <f>IF(ISBLANK('Aqueous Species Options'!J496), "", 'Aqueous Species Options'!J496)</f>
        <v/>
      </c>
      <c r="Q496" s="184" t="str">
        <f>IF(ISBLANK('Aqueous Species Options'!T496), "", 'Aqueous Species Options'!T496)</f>
        <v/>
      </c>
    </row>
    <row r="497" spans="2:17" ht="16" x14ac:dyDescent="0.2">
      <c r="B497" t="str">
        <f>IF(ISBLANK('Aqueous Species Options'!B497), "", 'Aqueous Species Options'!B497)</f>
        <v/>
      </c>
      <c r="C497" s="1" t="str">
        <f>IF(ISBLANK('Aqueous Species Options'!C497), "", 'Aqueous Species Options'!C497)</f>
        <v/>
      </c>
      <c r="D497" s="1" t="str">
        <f>IF(ISBLANK('Aqueous Species Options'!D497), "", 'Aqueous Species Options'!D497)</f>
        <v/>
      </c>
      <c r="E497" s="1" t="str">
        <f>IF(ISBLANK('Aqueous Species Options'!E497), "", 'Aqueous Species Options'!E497)</f>
        <v/>
      </c>
      <c r="F497" s="139" t="str">
        <f>IF(ISBLANK('Aqueous Species Options'!F497), "", 'Aqueous Species Options'!F497)</f>
        <v/>
      </c>
      <c r="G497" s="29" t="str">
        <f>IF(ISBLANK('Aqueous Species Options'!B497), "", IF('Aqueous Species Options'!L497 = 1, IF(ISBLANK('Aqueous Species Options'!G497), "", 'Aqueous Species Options'!G497), ('Aqueous Species Table'!I497/10 + ('Aqueous Species Table'!J497*100)/(Calculations!$C$12+Calculations!$C$9) + ('Aqueous Species Table'!K497 + ('Aqueous Species Table'!L497*10000)/(Calculations!$C$12+Calculations!$C$9))*(1/(Calculations!$C$8-Calculations!$C$13)) - 'Aqueous Species Table'!O497*100000*0.0000005903)*41.8393))</f>
        <v/>
      </c>
      <c r="H497" s="29" t="str">
        <f>IF(ISBLANK('Aqueous Species Options'!B497), "", IF('Aqueous Species Options'!L497 = 1, IF(ISBLANK('Aqueous Species Options'!H497), "", 'Aqueous Species Options'!H497), 'Aqueous Species Table'!M497 + 'Aqueous Species Table'!N497*10000*(1/(Calculations!$C$8-Calculations!$C$13))^2 + 'Aqueous Species Table'!O497*100000*Calculations!$C$8*Calculations!$C$7))</f>
        <v/>
      </c>
      <c r="I497" s="1" t="str">
        <f>IF(ISBLANK('Aqueous Species Options'!B497), "", IF('Aqueous Species Options'!L497=0, 'Aqueous Species Options'!N497, IF(OR(ISBLANK('Aqueous Species Options'!G497),'Aqueous Species Table'!O497="", 'Aqueous Species Table'!P497=""), "", IF('Aqueous Species Options'!B497="H+", 0, (CHOOSE('Aqueous Species Options'!M497+1,'Aqueous Species Options'!$V$4*ABS('Aqueous Species Table'!P497)+'Aqueous Species Options'!$W$4,'Aqueous Species Options'!$Z$4)*('Aqueous Species Options'!G497 + 'Aqueous Species Table'!O497*100000*0.0000005903*41.8393) + CHOOSE('Aqueous Species Options'!M497+1,'Aqueous Species Options'!$X$4*ABS('Aqueous Species Table'!P497)+'Aqueous Species Options'!$Y$4,'Aqueous Species Options'!$AA$4))*10 ) ) ) )</f>
        <v/>
      </c>
      <c r="J497" s="1" t="str">
        <f>IF(ISBLANK('Aqueous Species Options'!B497), "", IF('Aqueous Species Options'!L497 = 0, 'Aqueous Species Options'!O497, IF('Aqueous Species Table'!I497="", "", IF('Aqueous Species Options'!B497="H+", 0, ((1.11*('Aqueous Species Options'!G497 + 'Aqueous Species Table'!O497*100000*0.0000005903*41.8393)+1.8)/41.8393 - 'Aqueous Species Table'!I497/10)*26.01 ) ) ) )</f>
        <v/>
      </c>
      <c r="K497" s="1" t="str">
        <f>IF(ISBLANK('Aqueous Species Options'!B497), "", IF('Aqueous Species Options'!L497 = 0, 'Aqueous Species Options'!P497, IF('Aqueous Species Table'!I497="", "", IF('Aqueous Species Options'!B497="H+", 0, ('Aqueous Species Options'!G497/41.8393 + 'Aqueous Species Table'!O497*100000*0.0000005903 - 'Aqueous Species Table'!I497/10 - 'Aqueous Species Table'!J497*100/2601)*(298.15-228) - ('Aqueous Species Table'!L497*10000/2601) ) ) ) )</f>
        <v/>
      </c>
      <c r="L497" s="1" t="str">
        <f>IF(ISBLANK('Aqueous Species Options'!B497), "", IF('Aqueous Species Options'!L497 = 0, 'Aqueous Species Options'!Q497, IF('Aqueous Species Table'!J497="", "", IF('Aqueous Species Options'!B497="H+", 0, (-4.134*'Aqueous Species Table'!J497*100 - 27790)*0.0001) ) ) )</f>
        <v/>
      </c>
      <c r="M497" s="1" t="str">
        <f>IF(ISBLANK('Aqueous Species Options'!B497), "", IF('Aqueous Species Options'!L497=0, 'Aqueous Species Options'!R497, IF('Aqueous Species Table'!N497="", "", IF('Aqueous Species Options'!B497="H+", 0, 'Aqueous Species Options'!H497 - 'Aqueous Species Table'!O497*100000*(-0.000000309)*298.15 - 'Aqueous Species Table'!N497*10000/(298.15-228)^2 ) ) ) )</f>
        <v/>
      </c>
      <c r="N497" s="1" t="str">
        <f>IF(ISBLANK('Aqueous Species Options'!B497), "", IF('Aqueous Species Options'!L497=0, 'Aqueous Species Options'!S497, IF(OR(ISBLANK('Aqueous Species Options'!H497), 'Aqueous Species Table'!O497=""), "", IF('Aqueous Species Options'!B497="H+", 0, 0.2037*'Aqueous Species Options'!H497 - 3.0346) ) ) )</f>
        <v/>
      </c>
      <c r="O497" s="1" t="str">
        <f>IF(ISBLANK('Aqueous Species Options'!B497), "", IF('Aqueous Species Options'!K497=0, 'Aqueous Species Options'!I497, IF(OR('Aqueous Species Options'!J497&gt;4,'Aqueous Species Options'!J497&lt;-4), "", IF('Aqueous Species Options'!B497="H+", 0, IF('Aqueous Species Options'!J497=0, -0.038, IF(ISBLANK('Aqueous Species Options'!F497), "", -1514.4*'Aqueous Species Options'!F497*0.00001 + SUM(({4,3,2,1,-1,-2,-3,-4}='Aqueous Species Options'!J497)*{2.1764,1.5793,1.0579,0.5517,1.6291,3.2127,4.8115,6.486}) ) ) ) ) ) )</f>
        <v/>
      </c>
      <c r="P497" s="1" t="str">
        <f>IF(ISBLANK('Aqueous Species Options'!J497), "", 'Aqueous Species Options'!J497)</f>
        <v/>
      </c>
      <c r="Q497" s="184" t="str">
        <f>IF(ISBLANK('Aqueous Species Options'!T497), "", 'Aqueous Species Options'!T497)</f>
        <v/>
      </c>
    </row>
    <row r="498" spans="2:17" ht="16" x14ac:dyDescent="0.2">
      <c r="B498" t="str">
        <f>IF(ISBLANK('Aqueous Species Options'!B498), "", 'Aqueous Species Options'!B498)</f>
        <v/>
      </c>
      <c r="C498" s="1" t="str">
        <f>IF(ISBLANK('Aqueous Species Options'!C498), "", 'Aqueous Species Options'!C498)</f>
        <v/>
      </c>
      <c r="D498" s="1" t="str">
        <f>IF(ISBLANK('Aqueous Species Options'!D498), "", 'Aqueous Species Options'!D498)</f>
        <v/>
      </c>
      <c r="E498" s="1" t="str">
        <f>IF(ISBLANK('Aqueous Species Options'!E498), "", 'Aqueous Species Options'!E498)</f>
        <v/>
      </c>
      <c r="F498" s="139" t="str">
        <f>IF(ISBLANK('Aqueous Species Options'!F498), "", 'Aqueous Species Options'!F498)</f>
        <v/>
      </c>
      <c r="G498" s="29" t="str">
        <f>IF(ISBLANK('Aqueous Species Options'!B498), "", IF('Aqueous Species Options'!L498 = 1, IF(ISBLANK('Aqueous Species Options'!G498), "", 'Aqueous Species Options'!G498), ('Aqueous Species Table'!I498/10 + ('Aqueous Species Table'!J498*100)/(Calculations!$C$12+Calculations!$C$9) + ('Aqueous Species Table'!K498 + ('Aqueous Species Table'!L498*10000)/(Calculations!$C$12+Calculations!$C$9))*(1/(Calculations!$C$8-Calculations!$C$13)) - 'Aqueous Species Table'!O498*100000*0.0000005903)*41.8393))</f>
        <v/>
      </c>
      <c r="H498" s="29" t="str">
        <f>IF(ISBLANK('Aqueous Species Options'!B498), "", IF('Aqueous Species Options'!L498 = 1, IF(ISBLANK('Aqueous Species Options'!H498), "", 'Aqueous Species Options'!H498), 'Aqueous Species Table'!M498 + 'Aqueous Species Table'!N498*10000*(1/(Calculations!$C$8-Calculations!$C$13))^2 + 'Aqueous Species Table'!O498*100000*Calculations!$C$8*Calculations!$C$7))</f>
        <v/>
      </c>
      <c r="I498" s="1" t="str">
        <f>IF(ISBLANK('Aqueous Species Options'!B498), "", IF('Aqueous Species Options'!L498=0, 'Aqueous Species Options'!N498, IF(OR(ISBLANK('Aqueous Species Options'!G498),'Aqueous Species Table'!O498="", 'Aqueous Species Table'!P498=""), "", IF('Aqueous Species Options'!B498="H+", 0, (CHOOSE('Aqueous Species Options'!M498+1,'Aqueous Species Options'!$V$4*ABS('Aqueous Species Table'!P498)+'Aqueous Species Options'!$W$4,'Aqueous Species Options'!$Z$4)*('Aqueous Species Options'!G498 + 'Aqueous Species Table'!O498*100000*0.0000005903*41.8393) + CHOOSE('Aqueous Species Options'!M498+1,'Aqueous Species Options'!$X$4*ABS('Aqueous Species Table'!P498)+'Aqueous Species Options'!$Y$4,'Aqueous Species Options'!$AA$4))*10 ) ) ) )</f>
        <v/>
      </c>
      <c r="J498" s="1" t="str">
        <f>IF(ISBLANK('Aqueous Species Options'!B498), "", IF('Aqueous Species Options'!L498 = 0, 'Aqueous Species Options'!O498, IF('Aqueous Species Table'!I498="", "", IF('Aqueous Species Options'!B498="H+", 0, ((1.11*('Aqueous Species Options'!G498 + 'Aqueous Species Table'!O498*100000*0.0000005903*41.8393)+1.8)/41.8393 - 'Aqueous Species Table'!I498/10)*26.01 ) ) ) )</f>
        <v/>
      </c>
      <c r="K498" s="1" t="str">
        <f>IF(ISBLANK('Aqueous Species Options'!B498), "", IF('Aqueous Species Options'!L498 = 0, 'Aqueous Species Options'!P498, IF('Aqueous Species Table'!I498="", "", IF('Aqueous Species Options'!B498="H+", 0, ('Aqueous Species Options'!G498/41.8393 + 'Aqueous Species Table'!O498*100000*0.0000005903 - 'Aqueous Species Table'!I498/10 - 'Aqueous Species Table'!J498*100/2601)*(298.15-228) - ('Aqueous Species Table'!L498*10000/2601) ) ) ) )</f>
        <v/>
      </c>
      <c r="L498" s="1" t="str">
        <f>IF(ISBLANK('Aqueous Species Options'!B498), "", IF('Aqueous Species Options'!L498 = 0, 'Aqueous Species Options'!Q498, IF('Aqueous Species Table'!J498="", "", IF('Aqueous Species Options'!B498="H+", 0, (-4.134*'Aqueous Species Table'!J498*100 - 27790)*0.0001) ) ) )</f>
        <v/>
      </c>
      <c r="M498" s="1" t="str">
        <f>IF(ISBLANK('Aqueous Species Options'!B498), "", IF('Aqueous Species Options'!L498=0, 'Aqueous Species Options'!R498, IF('Aqueous Species Table'!N498="", "", IF('Aqueous Species Options'!B498="H+", 0, 'Aqueous Species Options'!H498 - 'Aqueous Species Table'!O498*100000*(-0.000000309)*298.15 - 'Aqueous Species Table'!N498*10000/(298.15-228)^2 ) ) ) )</f>
        <v/>
      </c>
      <c r="N498" s="1" t="str">
        <f>IF(ISBLANK('Aqueous Species Options'!B498), "", IF('Aqueous Species Options'!L498=0, 'Aqueous Species Options'!S498, IF(OR(ISBLANK('Aqueous Species Options'!H498), 'Aqueous Species Table'!O498=""), "", IF('Aqueous Species Options'!B498="H+", 0, 0.2037*'Aqueous Species Options'!H498 - 3.0346) ) ) )</f>
        <v/>
      </c>
      <c r="O498" s="1" t="str">
        <f>IF(ISBLANK('Aqueous Species Options'!B498), "", IF('Aqueous Species Options'!K498=0, 'Aqueous Species Options'!I498, IF(OR('Aqueous Species Options'!J498&gt;4,'Aqueous Species Options'!J498&lt;-4), "", IF('Aqueous Species Options'!B498="H+", 0, IF('Aqueous Species Options'!J498=0, -0.038, IF(ISBLANK('Aqueous Species Options'!F498), "", -1514.4*'Aqueous Species Options'!F498*0.00001 + SUM(({4,3,2,1,-1,-2,-3,-4}='Aqueous Species Options'!J498)*{2.1764,1.5793,1.0579,0.5517,1.6291,3.2127,4.8115,6.486}) ) ) ) ) ) )</f>
        <v/>
      </c>
      <c r="P498" s="1" t="str">
        <f>IF(ISBLANK('Aqueous Species Options'!J498), "", 'Aqueous Species Options'!J498)</f>
        <v/>
      </c>
      <c r="Q498" s="184" t="str">
        <f>IF(ISBLANK('Aqueous Species Options'!T498), "", 'Aqueous Species Options'!T498)</f>
        <v/>
      </c>
    </row>
    <row r="499" spans="2:17" ht="15" customHeight="1" x14ac:dyDescent="0.2">
      <c r="B499" t="str">
        <f>IF(ISBLANK('Aqueous Species Options'!B499), "", 'Aqueous Species Options'!B499)</f>
        <v/>
      </c>
      <c r="C499" s="1" t="str">
        <f>IF(ISBLANK('Aqueous Species Options'!C499), "", 'Aqueous Species Options'!C499)</f>
        <v/>
      </c>
      <c r="D499" s="1" t="str">
        <f>IF(ISBLANK('Aqueous Species Options'!D499), "", 'Aqueous Species Options'!D499)</f>
        <v/>
      </c>
      <c r="E499" s="1" t="str">
        <f>IF(ISBLANK('Aqueous Species Options'!E499), "", 'Aqueous Species Options'!E499)</f>
        <v/>
      </c>
      <c r="F499" s="139" t="str">
        <f>IF(ISBLANK('Aqueous Species Options'!F499), "", 'Aqueous Species Options'!F499)</f>
        <v/>
      </c>
      <c r="G499" s="29" t="str">
        <f>IF(ISBLANK('Aqueous Species Options'!B499), "", IF('Aqueous Species Options'!L499 = 1, IF(ISBLANK('Aqueous Species Options'!G499), "", 'Aqueous Species Options'!G499), ('Aqueous Species Table'!I499/10 + ('Aqueous Species Table'!J499*100)/(Calculations!$C$12+Calculations!$C$9) + ('Aqueous Species Table'!K499 + ('Aqueous Species Table'!L499*10000)/(Calculations!$C$12+Calculations!$C$9))*(1/(Calculations!$C$8-Calculations!$C$13)) - 'Aqueous Species Table'!O499*100000*0.0000005903)*41.8393))</f>
        <v/>
      </c>
      <c r="H499" s="29" t="str">
        <f>IF(ISBLANK('Aqueous Species Options'!B499), "", IF('Aqueous Species Options'!L499 = 1, IF(ISBLANK('Aqueous Species Options'!H499), "", 'Aqueous Species Options'!H499), 'Aqueous Species Table'!M499 + 'Aqueous Species Table'!N499*10000*(1/(Calculations!$C$8-Calculations!$C$13))^2 + 'Aqueous Species Table'!O499*100000*Calculations!$C$8*Calculations!$C$7))</f>
        <v/>
      </c>
      <c r="I499" s="1" t="str">
        <f>IF(ISBLANK('Aqueous Species Options'!B499), "", IF('Aqueous Species Options'!L499=0, 'Aqueous Species Options'!N499, IF(OR(ISBLANK('Aqueous Species Options'!G499),'Aqueous Species Table'!O499="", 'Aqueous Species Table'!P499=""), "", IF('Aqueous Species Options'!B499="H+", 0, (CHOOSE('Aqueous Species Options'!M499+1,'Aqueous Species Options'!$V$4*ABS('Aqueous Species Table'!P499)+'Aqueous Species Options'!$W$4,'Aqueous Species Options'!$Z$4)*('Aqueous Species Options'!G499 + 'Aqueous Species Table'!O499*100000*0.0000005903*41.8393) + CHOOSE('Aqueous Species Options'!M499+1,'Aqueous Species Options'!$X$4*ABS('Aqueous Species Table'!P499)+'Aqueous Species Options'!$Y$4,'Aqueous Species Options'!$AA$4))*10 ) ) ) )</f>
        <v/>
      </c>
      <c r="J499" s="1" t="str">
        <f>IF(ISBLANK('Aqueous Species Options'!B499), "", IF('Aqueous Species Options'!L499 = 0, 'Aqueous Species Options'!O499, IF('Aqueous Species Table'!I499="", "", IF('Aqueous Species Options'!B499="H+", 0, ((1.11*('Aqueous Species Options'!G499 + 'Aqueous Species Table'!O499*100000*0.0000005903*41.8393)+1.8)/41.8393 - 'Aqueous Species Table'!I499/10)*26.01 ) ) ) )</f>
        <v/>
      </c>
      <c r="K499" s="1" t="str">
        <f>IF(ISBLANK('Aqueous Species Options'!B499), "", IF('Aqueous Species Options'!L499 = 0, 'Aqueous Species Options'!P499, IF('Aqueous Species Table'!I499="", "", IF('Aqueous Species Options'!B499="H+", 0, ('Aqueous Species Options'!G499/41.8393 + 'Aqueous Species Table'!O499*100000*0.0000005903 - 'Aqueous Species Table'!I499/10 - 'Aqueous Species Table'!J499*100/2601)*(298.15-228) - ('Aqueous Species Table'!L499*10000/2601) ) ) ) )</f>
        <v/>
      </c>
      <c r="L499" s="1" t="str">
        <f>IF(ISBLANK('Aqueous Species Options'!B499), "", IF('Aqueous Species Options'!L499 = 0, 'Aqueous Species Options'!Q499, IF('Aqueous Species Table'!J499="", "", IF('Aqueous Species Options'!B499="H+", 0, (-4.134*'Aqueous Species Table'!J499*100 - 27790)*0.0001) ) ) )</f>
        <v/>
      </c>
      <c r="M499" s="1" t="str">
        <f>IF(ISBLANK('Aqueous Species Options'!B499), "", IF('Aqueous Species Options'!L499=0, 'Aqueous Species Options'!R499, IF('Aqueous Species Table'!N499="", "", IF('Aqueous Species Options'!B499="H+", 0, 'Aqueous Species Options'!H499 - 'Aqueous Species Table'!O499*100000*(-0.000000309)*298.15 - 'Aqueous Species Table'!N499*10000/(298.15-228)^2 ) ) ) )</f>
        <v/>
      </c>
      <c r="N499" s="1" t="str">
        <f>IF(ISBLANK('Aqueous Species Options'!B499), "", IF('Aqueous Species Options'!L499=0, 'Aqueous Species Options'!S499, IF(OR(ISBLANK('Aqueous Species Options'!H499), 'Aqueous Species Table'!O499=""), "", IF('Aqueous Species Options'!B499="H+", 0, 0.2037*'Aqueous Species Options'!H499 - 3.0346) ) ) )</f>
        <v/>
      </c>
      <c r="O499" s="1" t="str">
        <f>IF(ISBLANK('Aqueous Species Options'!B499), "", IF('Aqueous Species Options'!K499=0, 'Aqueous Species Options'!I499, IF(OR('Aqueous Species Options'!J499&gt;4,'Aqueous Species Options'!J499&lt;-4), "", IF('Aqueous Species Options'!B499="H+", 0, IF('Aqueous Species Options'!J499=0, -0.038, IF(ISBLANK('Aqueous Species Options'!F499), "", -1514.4*'Aqueous Species Options'!F499*0.00001 + SUM(({4,3,2,1,-1,-2,-3,-4}='Aqueous Species Options'!J499)*{2.1764,1.5793,1.0579,0.5517,1.6291,3.2127,4.8115,6.486}) ) ) ) ) ) )</f>
        <v/>
      </c>
      <c r="P499" s="1" t="str">
        <f>IF(ISBLANK('Aqueous Species Options'!J499), "", 'Aqueous Species Options'!J499)</f>
        <v/>
      </c>
      <c r="Q499" s="184" t="str">
        <f>IF(ISBLANK('Aqueous Species Options'!T499), "", 'Aqueous Species Options'!T499)</f>
        <v/>
      </c>
    </row>
    <row r="500" spans="2:17" ht="15" customHeight="1" x14ac:dyDescent="0.2">
      <c r="B500" t="str">
        <f>IF(ISBLANK('Aqueous Species Options'!B500), "", 'Aqueous Species Options'!B500)</f>
        <v/>
      </c>
      <c r="C500" s="1" t="str">
        <f>IF(ISBLANK('Aqueous Species Options'!C500), "", 'Aqueous Species Options'!C500)</f>
        <v/>
      </c>
      <c r="D500" s="1" t="str">
        <f>IF(ISBLANK('Aqueous Species Options'!D500), "", 'Aqueous Species Options'!D500)</f>
        <v/>
      </c>
      <c r="E500" s="1" t="str">
        <f>IF(ISBLANK('Aqueous Species Options'!E500), "", 'Aqueous Species Options'!E500)</f>
        <v/>
      </c>
      <c r="F500" s="139" t="str">
        <f>IF(ISBLANK('Aqueous Species Options'!F500), "", 'Aqueous Species Options'!F500)</f>
        <v/>
      </c>
      <c r="G500" s="29" t="str">
        <f>IF(ISBLANK('Aqueous Species Options'!B500), "", IF('Aqueous Species Options'!L500 = 1, IF(ISBLANK('Aqueous Species Options'!G500), "", 'Aqueous Species Options'!G500), ('Aqueous Species Table'!I500/10 + ('Aqueous Species Table'!J500*100)/(Calculations!$C$12+Calculations!$C$9) + ('Aqueous Species Table'!K500 + ('Aqueous Species Table'!L500*10000)/(Calculations!$C$12+Calculations!$C$9))*(1/(Calculations!$C$8-Calculations!$C$13)) - 'Aqueous Species Table'!O500*100000*0.0000005903)*41.8393))</f>
        <v/>
      </c>
      <c r="H500" s="29" t="str">
        <f>IF(ISBLANK('Aqueous Species Options'!B500), "", IF('Aqueous Species Options'!L500 = 1, IF(ISBLANK('Aqueous Species Options'!H500), "", 'Aqueous Species Options'!H500), 'Aqueous Species Table'!M500 + 'Aqueous Species Table'!N500*10000*(1/(Calculations!$C$8-Calculations!$C$13))^2 + 'Aqueous Species Table'!O500*100000*Calculations!$C$8*Calculations!$C$7))</f>
        <v/>
      </c>
      <c r="I500" s="1" t="str">
        <f>IF(ISBLANK('Aqueous Species Options'!B500), "", IF('Aqueous Species Options'!L500=0, 'Aqueous Species Options'!N500, IF(OR(ISBLANK('Aqueous Species Options'!G500),'Aqueous Species Table'!O500="", 'Aqueous Species Table'!P500=""), "", IF('Aqueous Species Options'!B500="H+", 0, (CHOOSE('Aqueous Species Options'!M500+1,'Aqueous Species Options'!$V$4*ABS('Aqueous Species Table'!P500)+'Aqueous Species Options'!$W$4,'Aqueous Species Options'!$Z$4)*('Aqueous Species Options'!G500 + 'Aqueous Species Table'!O500*100000*0.0000005903*41.8393) + CHOOSE('Aqueous Species Options'!M500+1,'Aqueous Species Options'!$X$4*ABS('Aqueous Species Table'!P500)+'Aqueous Species Options'!$Y$4,'Aqueous Species Options'!$AA$4))*10 ) ) ) )</f>
        <v/>
      </c>
      <c r="J500" s="1" t="str">
        <f>IF(ISBLANK('Aqueous Species Options'!B500), "", IF('Aqueous Species Options'!L500 = 0, 'Aqueous Species Options'!O500, IF('Aqueous Species Table'!I500="", "", IF('Aqueous Species Options'!B500="H+", 0, ((1.11*('Aqueous Species Options'!G500 + 'Aqueous Species Table'!O500*100000*0.0000005903*41.8393)+1.8)/41.8393 - 'Aqueous Species Table'!I500/10)*26.01 ) ) ) )</f>
        <v/>
      </c>
      <c r="K500" s="1" t="str">
        <f>IF(ISBLANK('Aqueous Species Options'!B500), "", IF('Aqueous Species Options'!L500 = 0, 'Aqueous Species Options'!P500, IF('Aqueous Species Table'!I500="", "", IF('Aqueous Species Options'!B500="H+", 0, ('Aqueous Species Options'!G500/41.8393 + 'Aqueous Species Table'!O500*100000*0.0000005903 - 'Aqueous Species Table'!I500/10 - 'Aqueous Species Table'!J500*100/2601)*(298.15-228) - ('Aqueous Species Table'!L500*10000/2601) ) ) ) )</f>
        <v/>
      </c>
      <c r="L500" s="1" t="str">
        <f>IF(ISBLANK('Aqueous Species Options'!B500), "", IF('Aqueous Species Options'!L500 = 0, 'Aqueous Species Options'!Q500, IF('Aqueous Species Table'!J500="", "", IF('Aqueous Species Options'!B500="H+", 0, (-4.134*'Aqueous Species Table'!J500*100 - 27790)*0.0001) ) ) )</f>
        <v/>
      </c>
      <c r="M500" s="1" t="str">
        <f>IF(ISBLANK('Aqueous Species Options'!B500), "", IF('Aqueous Species Options'!L500=0, 'Aqueous Species Options'!R500, IF('Aqueous Species Table'!N500="", "", IF('Aqueous Species Options'!B500="H+", 0, 'Aqueous Species Options'!H500 - 'Aqueous Species Table'!O500*100000*(-0.000000309)*298.15 - 'Aqueous Species Table'!N500*10000/(298.15-228)^2 ) ) ) )</f>
        <v/>
      </c>
      <c r="N500" s="1" t="str">
        <f>IF(ISBLANK('Aqueous Species Options'!B500), "", IF('Aqueous Species Options'!L500=0, 'Aqueous Species Options'!S500, IF(OR(ISBLANK('Aqueous Species Options'!H500), 'Aqueous Species Table'!O500=""), "", IF('Aqueous Species Options'!B500="H+", 0, 0.2037*'Aqueous Species Options'!H500 - 3.0346) ) ) )</f>
        <v/>
      </c>
      <c r="O500" s="1" t="str">
        <f>IF(ISBLANK('Aqueous Species Options'!B500), "", IF('Aqueous Species Options'!K500=0, 'Aqueous Species Options'!I500, IF(OR('Aqueous Species Options'!J500&gt;4,'Aqueous Species Options'!J500&lt;-4), "", IF('Aqueous Species Options'!B500="H+", 0, IF('Aqueous Species Options'!J500=0, -0.038, IF(ISBLANK('Aqueous Species Options'!F500), "", -1514.4*'Aqueous Species Options'!F500*0.00001 + SUM(({4,3,2,1,-1,-2,-3,-4}='Aqueous Species Options'!J500)*{2.1764,1.5793,1.0579,0.5517,1.6291,3.2127,4.8115,6.486}) ) ) ) ) ) )</f>
        <v/>
      </c>
      <c r="P500" s="1" t="str">
        <f>IF(ISBLANK('Aqueous Species Options'!J500), "", 'Aqueous Species Options'!J500)</f>
        <v/>
      </c>
      <c r="Q500" s="184" t="str">
        <f>IF(ISBLANK('Aqueous Species Options'!T500), "", 'Aqueous Species Options'!T500)</f>
        <v/>
      </c>
    </row>
    <row r="501" spans="2:17" ht="15" customHeight="1" x14ac:dyDescent="0.2">
      <c r="B501" t="str">
        <f>IF(ISBLANK('Aqueous Species Options'!B501), "", 'Aqueous Species Options'!B501)</f>
        <v/>
      </c>
      <c r="C501" s="1" t="str">
        <f>IF(ISBLANK('Aqueous Species Options'!C501), "", 'Aqueous Species Options'!C501)</f>
        <v/>
      </c>
      <c r="D501" s="1" t="str">
        <f>IF(ISBLANK('Aqueous Species Options'!D501), "", 'Aqueous Species Options'!D501)</f>
        <v/>
      </c>
      <c r="E501" s="1" t="str">
        <f>IF(ISBLANK('Aqueous Species Options'!E501), "", 'Aqueous Species Options'!E501)</f>
        <v/>
      </c>
      <c r="F501" s="139" t="str">
        <f>IF(ISBLANK('Aqueous Species Options'!F501), "", 'Aqueous Species Options'!F501)</f>
        <v/>
      </c>
      <c r="G501" s="29" t="str">
        <f>IF(ISBLANK('Aqueous Species Options'!B501), "", IF('Aqueous Species Options'!L501 = 1, IF(ISBLANK('Aqueous Species Options'!G501), "", 'Aqueous Species Options'!G501), ('Aqueous Species Table'!I501/10 + ('Aqueous Species Table'!J501*100)/(Calculations!$C$12+Calculations!$C$9) + ('Aqueous Species Table'!K501 + ('Aqueous Species Table'!L501*10000)/(Calculations!$C$12+Calculations!$C$9))*(1/(Calculations!$C$8-Calculations!$C$13)) - 'Aqueous Species Table'!O501*100000*0.0000005903)*41.8393))</f>
        <v/>
      </c>
      <c r="H501" s="29" t="str">
        <f>IF(ISBLANK('Aqueous Species Options'!B501), "", IF('Aqueous Species Options'!L501 = 1, IF(ISBLANK('Aqueous Species Options'!H501), "", 'Aqueous Species Options'!H501), 'Aqueous Species Table'!M501 + 'Aqueous Species Table'!N501*10000*(1/(Calculations!$C$8-Calculations!$C$13))^2 + 'Aqueous Species Table'!O501*100000*Calculations!$C$8*Calculations!$C$7))</f>
        <v/>
      </c>
      <c r="I501" s="1" t="str">
        <f>IF(ISBLANK('Aqueous Species Options'!B501), "", IF('Aqueous Species Options'!L501=0, 'Aqueous Species Options'!N501, IF(OR(ISBLANK('Aqueous Species Options'!G501),'Aqueous Species Table'!O501="", 'Aqueous Species Table'!P501=""), "", IF('Aqueous Species Options'!B501="H+", 0, (CHOOSE('Aqueous Species Options'!M501+1,'Aqueous Species Options'!$V$4*ABS('Aqueous Species Table'!P501)+'Aqueous Species Options'!$W$4,'Aqueous Species Options'!$Z$4)*('Aqueous Species Options'!G501 + 'Aqueous Species Table'!O501*100000*0.0000005903*41.8393) + CHOOSE('Aqueous Species Options'!M501+1,'Aqueous Species Options'!$X$4*ABS('Aqueous Species Table'!P501)+'Aqueous Species Options'!$Y$4,'Aqueous Species Options'!$AA$4))*10 ) ) ) )</f>
        <v/>
      </c>
      <c r="J501" s="1" t="str">
        <f>IF(ISBLANK('Aqueous Species Options'!B501), "", IF('Aqueous Species Options'!L501 = 0, 'Aqueous Species Options'!O501, IF('Aqueous Species Table'!I501="", "", IF('Aqueous Species Options'!B501="H+", 0, ((1.11*('Aqueous Species Options'!G501 + 'Aqueous Species Table'!O501*100000*0.0000005903*41.8393)+1.8)/41.8393 - 'Aqueous Species Table'!I501/10)*26.01 ) ) ) )</f>
        <v/>
      </c>
      <c r="K501" s="1" t="str">
        <f>IF(ISBLANK('Aqueous Species Options'!B501), "", IF('Aqueous Species Options'!L501 = 0, 'Aqueous Species Options'!P501, IF('Aqueous Species Table'!I501="", "", IF('Aqueous Species Options'!B501="H+", 0, ('Aqueous Species Options'!G501/41.8393 + 'Aqueous Species Table'!O501*100000*0.0000005903 - 'Aqueous Species Table'!I501/10 - 'Aqueous Species Table'!J501*100/2601)*(298.15-228) - ('Aqueous Species Table'!L501*10000/2601) ) ) ) )</f>
        <v/>
      </c>
      <c r="L501" s="1" t="str">
        <f>IF(ISBLANK('Aqueous Species Options'!B501), "", IF('Aqueous Species Options'!L501 = 0, 'Aqueous Species Options'!Q501, IF('Aqueous Species Table'!J501="", "", IF('Aqueous Species Options'!B501="H+", 0, (-4.134*'Aqueous Species Table'!J501*100 - 27790)*0.0001) ) ) )</f>
        <v/>
      </c>
      <c r="M501" s="1" t="str">
        <f>IF(ISBLANK('Aqueous Species Options'!B501), "", IF('Aqueous Species Options'!L501=0, 'Aqueous Species Options'!R501, IF('Aqueous Species Table'!N501="", "", IF('Aqueous Species Options'!B501="H+", 0, 'Aqueous Species Options'!H501 - 'Aqueous Species Table'!O501*100000*(-0.000000309)*298.15 - 'Aqueous Species Table'!N501*10000/(298.15-228)^2 ) ) ) )</f>
        <v/>
      </c>
      <c r="N501" s="1" t="str">
        <f>IF(ISBLANK('Aqueous Species Options'!B501), "", IF('Aqueous Species Options'!L501=0, 'Aqueous Species Options'!S501, IF(OR(ISBLANK('Aqueous Species Options'!H501), 'Aqueous Species Table'!O501=""), "", IF('Aqueous Species Options'!B501="H+", 0, 0.2037*'Aqueous Species Options'!H501 - 3.0346) ) ) )</f>
        <v/>
      </c>
      <c r="O501" s="1" t="str">
        <f>IF(ISBLANK('Aqueous Species Options'!B501), "", IF('Aqueous Species Options'!K501=0, 'Aqueous Species Options'!I501, IF(OR('Aqueous Species Options'!J501&gt;4,'Aqueous Species Options'!J501&lt;-4), "", IF('Aqueous Species Options'!B501="H+", 0, IF('Aqueous Species Options'!J501=0, -0.038, IF(ISBLANK('Aqueous Species Options'!F501), "", -1514.4*'Aqueous Species Options'!F501*0.00001 + SUM(({4,3,2,1,-1,-2,-3,-4}='Aqueous Species Options'!J501)*{2.1764,1.5793,1.0579,0.5517,1.6291,3.2127,4.8115,6.486}) ) ) ) ) ) )</f>
        <v/>
      </c>
      <c r="P501" s="1" t="str">
        <f>IF(ISBLANK('Aqueous Species Options'!J501), "", 'Aqueous Species Options'!J501)</f>
        <v/>
      </c>
      <c r="Q501" s="184" t="str">
        <f>IF(ISBLANK('Aqueous Species Options'!T501), "", 'Aqueous Species Options'!T501)</f>
        <v/>
      </c>
    </row>
    <row r="502" spans="2:17" ht="15" customHeight="1" x14ac:dyDescent="0.2">
      <c r="B502" t="str">
        <f>IF(ISBLANK('Aqueous Species Options'!B502), "", 'Aqueous Species Options'!B502)</f>
        <v/>
      </c>
      <c r="C502" s="1" t="str">
        <f>IF(ISBLANK('Aqueous Species Options'!C502), "", 'Aqueous Species Options'!C502)</f>
        <v/>
      </c>
      <c r="D502" s="1" t="str">
        <f>IF(ISBLANK('Aqueous Species Options'!D502), "", 'Aqueous Species Options'!D502)</f>
        <v/>
      </c>
      <c r="E502" s="1" t="str">
        <f>IF(ISBLANK('Aqueous Species Options'!E502), "", 'Aqueous Species Options'!E502)</f>
        <v/>
      </c>
      <c r="F502" s="139" t="str">
        <f>IF(ISBLANK('Aqueous Species Options'!F502), "", 'Aqueous Species Options'!F502)</f>
        <v/>
      </c>
      <c r="G502" s="29" t="str">
        <f>IF(ISBLANK('Aqueous Species Options'!B502), "", IF('Aqueous Species Options'!L502 = 1, IF(ISBLANK('Aqueous Species Options'!G502), "", 'Aqueous Species Options'!G502), ('Aqueous Species Table'!I502/10 + ('Aqueous Species Table'!J502*100)/(Calculations!$C$12+Calculations!$C$9) + ('Aqueous Species Table'!K502 + ('Aqueous Species Table'!L502*10000)/(Calculations!$C$12+Calculations!$C$9))*(1/(Calculations!$C$8-Calculations!$C$13)) - 'Aqueous Species Table'!O502*100000*0.0000005903)*41.8393))</f>
        <v/>
      </c>
      <c r="H502" s="29" t="str">
        <f>IF(ISBLANK('Aqueous Species Options'!B502), "", IF('Aqueous Species Options'!L502 = 1, IF(ISBLANK('Aqueous Species Options'!H502), "", 'Aqueous Species Options'!H502), 'Aqueous Species Table'!M502 + 'Aqueous Species Table'!N502*10000*(1/(Calculations!$C$8-Calculations!$C$13))^2 + 'Aqueous Species Table'!O502*100000*Calculations!$C$8*Calculations!$C$7))</f>
        <v/>
      </c>
      <c r="I502" s="1" t="str">
        <f>IF(ISBLANK('Aqueous Species Options'!B502), "", IF('Aqueous Species Options'!L502=0, 'Aqueous Species Options'!N502, IF(OR(ISBLANK('Aqueous Species Options'!G502),'Aqueous Species Table'!O502="", 'Aqueous Species Table'!P502=""), "", IF('Aqueous Species Options'!B502="H+", 0, (CHOOSE('Aqueous Species Options'!M502+1,'Aqueous Species Options'!$V$4*ABS('Aqueous Species Table'!P502)+'Aqueous Species Options'!$W$4,'Aqueous Species Options'!$Z$4)*('Aqueous Species Options'!G502 + 'Aqueous Species Table'!O502*100000*0.0000005903*41.8393) + CHOOSE('Aqueous Species Options'!M502+1,'Aqueous Species Options'!$X$4*ABS('Aqueous Species Table'!P502)+'Aqueous Species Options'!$Y$4,'Aqueous Species Options'!$AA$4))*10 ) ) ) )</f>
        <v/>
      </c>
      <c r="J502" s="1" t="str">
        <f>IF(ISBLANK('Aqueous Species Options'!B502), "", IF('Aqueous Species Options'!L502 = 0, 'Aqueous Species Options'!O502, IF('Aqueous Species Table'!I502="", "", IF('Aqueous Species Options'!B502="H+", 0, ((1.11*('Aqueous Species Options'!G502 + 'Aqueous Species Table'!O502*100000*0.0000005903*41.8393)+1.8)/41.8393 - 'Aqueous Species Table'!I502/10)*26.01 ) ) ) )</f>
        <v/>
      </c>
      <c r="K502" s="1" t="str">
        <f>IF(ISBLANK('Aqueous Species Options'!B502), "", IF('Aqueous Species Options'!L502 = 0, 'Aqueous Species Options'!P502, IF('Aqueous Species Table'!I502="", "", IF('Aqueous Species Options'!B502="H+", 0, ('Aqueous Species Options'!G502/41.8393 + 'Aqueous Species Table'!O502*100000*0.0000005903 - 'Aqueous Species Table'!I502/10 - 'Aqueous Species Table'!J502*100/2601)*(298.15-228) - ('Aqueous Species Table'!L502*10000/2601) ) ) ) )</f>
        <v/>
      </c>
      <c r="L502" s="1" t="str">
        <f>IF(ISBLANK('Aqueous Species Options'!B502), "", IF('Aqueous Species Options'!L502 = 0, 'Aqueous Species Options'!Q502, IF('Aqueous Species Table'!J502="", "", IF('Aqueous Species Options'!B502="H+", 0, (-4.134*'Aqueous Species Table'!J502*100 - 27790)*0.0001) ) ) )</f>
        <v/>
      </c>
      <c r="M502" s="1" t="str">
        <f>IF(ISBLANK('Aqueous Species Options'!B502), "", IF('Aqueous Species Options'!L502=0, 'Aqueous Species Options'!R502, IF('Aqueous Species Table'!N502="", "", IF('Aqueous Species Options'!B502="H+", 0, 'Aqueous Species Options'!H502 - 'Aqueous Species Table'!O502*100000*(-0.000000309)*298.15 - 'Aqueous Species Table'!N502*10000/(298.15-228)^2 ) ) ) )</f>
        <v/>
      </c>
      <c r="N502" s="1" t="str">
        <f>IF(ISBLANK('Aqueous Species Options'!B502), "", IF('Aqueous Species Options'!L502=0, 'Aqueous Species Options'!S502, IF(OR(ISBLANK('Aqueous Species Options'!H502), 'Aqueous Species Table'!O502=""), "", IF('Aqueous Species Options'!B502="H+", 0, 0.2037*'Aqueous Species Options'!H502 - 3.0346) ) ) )</f>
        <v/>
      </c>
      <c r="O502" s="1" t="str">
        <f>IF(ISBLANK('Aqueous Species Options'!B502), "", IF('Aqueous Species Options'!K502=0, 'Aqueous Species Options'!I502, IF(OR('Aqueous Species Options'!J502&gt;4,'Aqueous Species Options'!J502&lt;-4), "", IF('Aqueous Species Options'!B502="H+", 0, IF('Aqueous Species Options'!J502=0, -0.038, IF(ISBLANK('Aqueous Species Options'!F502), "", -1514.4*'Aqueous Species Options'!F502*0.00001 + SUM(({4,3,2,1,-1,-2,-3,-4}='Aqueous Species Options'!J502)*{2.1764,1.5793,1.0579,0.5517,1.6291,3.2127,4.8115,6.486}) ) ) ) ) ) )</f>
        <v/>
      </c>
      <c r="P502" s="1" t="str">
        <f>IF(ISBLANK('Aqueous Species Options'!J502), "", 'Aqueous Species Options'!J502)</f>
        <v/>
      </c>
      <c r="Q502" s="184" t="str">
        <f>IF(ISBLANK('Aqueous Species Options'!T502), "", 'Aqueous Species Options'!T502)</f>
        <v/>
      </c>
    </row>
    <row r="503" spans="2:17" ht="15" customHeight="1" x14ac:dyDescent="0.2">
      <c r="B503" t="str">
        <f>IF(ISBLANK('Aqueous Species Options'!B503), "", 'Aqueous Species Options'!B503)</f>
        <v/>
      </c>
      <c r="C503" s="1" t="str">
        <f>IF(ISBLANK('Aqueous Species Options'!C503), "", 'Aqueous Species Options'!C503)</f>
        <v/>
      </c>
      <c r="D503" s="1" t="str">
        <f>IF(ISBLANK('Aqueous Species Options'!D503), "", 'Aqueous Species Options'!D503)</f>
        <v/>
      </c>
      <c r="E503" s="1" t="str">
        <f>IF(ISBLANK('Aqueous Species Options'!E503), "", 'Aqueous Species Options'!E503)</f>
        <v/>
      </c>
      <c r="F503" s="139" t="str">
        <f>IF(ISBLANK('Aqueous Species Options'!F503), "", 'Aqueous Species Options'!F503)</f>
        <v/>
      </c>
      <c r="G503" s="29" t="str">
        <f>IF(ISBLANK('Aqueous Species Options'!B503), "", IF('Aqueous Species Options'!L503 = 1, IF(ISBLANK('Aqueous Species Options'!G503), "", 'Aqueous Species Options'!G503), ('Aqueous Species Table'!I503/10 + ('Aqueous Species Table'!J503*100)/(Calculations!$C$12+Calculations!$C$9) + ('Aqueous Species Table'!K503 + ('Aqueous Species Table'!L503*10000)/(Calculations!$C$12+Calculations!$C$9))*(1/(Calculations!$C$8-Calculations!$C$13)) - 'Aqueous Species Table'!O503*100000*0.0000005903)*41.8393))</f>
        <v/>
      </c>
      <c r="H503" s="29" t="str">
        <f>IF(ISBLANK('Aqueous Species Options'!B503), "", IF('Aqueous Species Options'!L503 = 1, IF(ISBLANK('Aqueous Species Options'!H503), "", 'Aqueous Species Options'!H503), 'Aqueous Species Table'!M503 + 'Aqueous Species Table'!N503*10000*(1/(Calculations!$C$8-Calculations!$C$13))^2 + 'Aqueous Species Table'!O503*100000*Calculations!$C$8*Calculations!$C$7))</f>
        <v/>
      </c>
      <c r="I503" s="1" t="str">
        <f>IF(ISBLANK('Aqueous Species Options'!B503), "", IF('Aqueous Species Options'!L503=0, 'Aqueous Species Options'!N503, IF(OR(ISBLANK('Aqueous Species Options'!G503),'Aqueous Species Table'!O503="", 'Aqueous Species Table'!P503=""), "", IF('Aqueous Species Options'!B503="H+", 0, (CHOOSE('Aqueous Species Options'!M503+1,'Aqueous Species Options'!$V$4*ABS('Aqueous Species Table'!P503)+'Aqueous Species Options'!$W$4,'Aqueous Species Options'!$Z$4)*('Aqueous Species Options'!G503 + 'Aqueous Species Table'!O503*100000*0.0000005903*41.8393) + CHOOSE('Aqueous Species Options'!M503+1,'Aqueous Species Options'!$X$4*ABS('Aqueous Species Table'!P503)+'Aqueous Species Options'!$Y$4,'Aqueous Species Options'!$AA$4))*10 ) ) ) )</f>
        <v/>
      </c>
      <c r="J503" s="1" t="str">
        <f>IF(ISBLANK('Aqueous Species Options'!B503), "", IF('Aqueous Species Options'!L503 = 0, 'Aqueous Species Options'!O503, IF('Aqueous Species Table'!I503="", "", IF('Aqueous Species Options'!B503="H+", 0, ((1.11*('Aqueous Species Options'!G503 + 'Aqueous Species Table'!O503*100000*0.0000005903*41.8393)+1.8)/41.8393 - 'Aqueous Species Table'!I503/10)*26.01 ) ) ) )</f>
        <v/>
      </c>
      <c r="K503" s="1" t="str">
        <f>IF(ISBLANK('Aqueous Species Options'!B503), "", IF('Aqueous Species Options'!L503 = 0, 'Aqueous Species Options'!P503, IF('Aqueous Species Table'!I503="", "", IF('Aqueous Species Options'!B503="H+", 0, ('Aqueous Species Options'!G503/41.8393 + 'Aqueous Species Table'!O503*100000*0.0000005903 - 'Aqueous Species Table'!I503/10 - 'Aqueous Species Table'!J503*100/2601)*(298.15-228) - ('Aqueous Species Table'!L503*10000/2601) ) ) ) )</f>
        <v/>
      </c>
      <c r="L503" s="1" t="str">
        <f>IF(ISBLANK('Aqueous Species Options'!B503), "", IF('Aqueous Species Options'!L503 = 0, 'Aqueous Species Options'!Q503, IF('Aqueous Species Table'!J503="", "", IF('Aqueous Species Options'!B503="H+", 0, (-4.134*'Aqueous Species Table'!J503*100 - 27790)*0.0001) ) ) )</f>
        <v/>
      </c>
      <c r="M503" s="1" t="str">
        <f>IF(ISBLANK('Aqueous Species Options'!B503), "", IF('Aqueous Species Options'!L503=0, 'Aqueous Species Options'!R503, IF('Aqueous Species Table'!N503="", "", IF('Aqueous Species Options'!B503="H+", 0, 'Aqueous Species Options'!H503 - 'Aqueous Species Table'!O503*100000*(-0.000000309)*298.15 - 'Aqueous Species Table'!N503*10000/(298.15-228)^2 ) ) ) )</f>
        <v/>
      </c>
      <c r="N503" s="1" t="str">
        <f>IF(ISBLANK('Aqueous Species Options'!B503), "", IF('Aqueous Species Options'!L503=0, 'Aqueous Species Options'!S503, IF(OR(ISBLANK('Aqueous Species Options'!H503), 'Aqueous Species Table'!O503=""), "", IF('Aqueous Species Options'!B503="H+", 0, 0.2037*'Aqueous Species Options'!H503 - 3.0346) ) ) )</f>
        <v/>
      </c>
      <c r="O503" s="1" t="str">
        <f>IF(ISBLANK('Aqueous Species Options'!B503), "", IF('Aqueous Species Options'!K503=0, 'Aqueous Species Options'!I503, IF(OR('Aqueous Species Options'!J503&gt;4,'Aqueous Species Options'!J503&lt;-4), "", IF('Aqueous Species Options'!B503="H+", 0, IF('Aqueous Species Options'!J503=0, -0.038, IF(ISBLANK('Aqueous Species Options'!F503), "", -1514.4*'Aqueous Species Options'!F503*0.00001 + SUM(({4,3,2,1,-1,-2,-3,-4}='Aqueous Species Options'!J503)*{2.1764,1.5793,1.0579,0.5517,1.6291,3.2127,4.8115,6.486}) ) ) ) ) ) )</f>
        <v/>
      </c>
      <c r="P503" s="1" t="str">
        <f>IF(ISBLANK('Aqueous Species Options'!J503), "", 'Aqueous Species Options'!J503)</f>
        <v/>
      </c>
      <c r="Q503" s="184" t="str">
        <f>IF(ISBLANK('Aqueous Species Options'!T503), "", 'Aqueous Species Options'!T503)</f>
        <v/>
      </c>
    </row>
    <row r="504" spans="2:17" ht="15" customHeight="1" x14ac:dyDescent="0.2">
      <c r="B504" t="str">
        <f>IF(ISBLANK('Aqueous Species Options'!B504), "", 'Aqueous Species Options'!B504)</f>
        <v/>
      </c>
      <c r="C504" s="1" t="str">
        <f>IF(ISBLANK('Aqueous Species Options'!C504), "", 'Aqueous Species Options'!C504)</f>
        <v/>
      </c>
      <c r="D504" s="1" t="str">
        <f>IF(ISBLANK('Aqueous Species Options'!D504), "", 'Aqueous Species Options'!D504)</f>
        <v/>
      </c>
      <c r="E504" s="1" t="str">
        <f>IF(ISBLANK('Aqueous Species Options'!E504), "", 'Aqueous Species Options'!E504)</f>
        <v/>
      </c>
      <c r="F504" s="139" t="str">
        <f>IF(ISBLANK('Aqueous Species Options'!F504), "", 'Aqueous Species Options'!F504)</f>
        <v/>
      </c>
      <c r="G504" s="29" t="str">
        <f>IF(ISBLANK('Aqueous Species Options'!B504), "", IF('Aqueous Species Options'!L504 = 1, IF(ISBLANK('Aqueous Species Options'!G504), "", 'Aqueous Species Options'!G504), ('Aqueous Species Table'!I504/10 + ('Aqueous Species Table'!J504*100)/(Calculations!$C$12+Calculations!$C$9) + ('Aqueous Species Table'!K504 + ('Aqueous Species Table'!L504*10000)/(Calculations!$C$12+Calculations!$C$9))*(1/(Calculations!$C$8-Calculations!$C$13)) - 'Aqueous Species Table'!O504*100000*0.0000005903)*41.8393))</f>
        <v/>
      </c>
      <c r="H504" s="29" t="str">
        <f>IF(ISBLANK('Aqueous Species Options'!B504), "", IF('Aqueous Species Options'!L504 = 1, IF(ISBLANK('Aqueous Species Options'!H504), "", 'Aqueous Species Options'!H504), 'Aqueous Species Table'!M504 + 'Aqueous Species Table'!N504*10000*(1/(Calculations!$C$8-Calculations!$C$13))^2 + 'Aqueous Species Table'!O504*100000*Calculations!$C$8*Calculations!$C$7))</f>
        <v/>
      </c>
      <c r="I504" s="1" t="str">
        <f>IF(ISBLANK('Aqueous Species Options'!B504), "", IF('Aqueous Species Options'!L504=0, 'Aqueous Species Options'!N504, IF(OR(ISBLANK('Aqueous Species Options'!G504),'Aqueous Species Table'!O504="", 'Aqueous Species Table'!P504=""), "", IF('Aqueous Species Options'!B504="H+", 0, (CHOOSE('Aqueous Species Options'!M504+1,'Aqueous Species Options'!$V$4*ABS('Aqueous Species Table'!P504)+'Aqueous Species Options'!$W$4,'Aqueous Species Options'!$Z$4)*('Aqueous Species Options'!G504 + 'Aqueous Species Table'!O504*100000*0.0000005903*41.8393) + CHOOSE('Aqueous Species Options'!M504+1,'Aqueous Species Options'!$X$4*ABS('Aqueous Species Table'!P504)+'Aqueous Species Options'!$Y$4,'Aqueous Species Options'!$AA$4))*10 ) ) ) )</f>
        <v/>
      </c>
      <c r="J504" s="1" t="str">
        <f>IF(ISBLANK('Aqueous Species Options'!B504), "", IF('Aqueous Species Options'!L504 = 0, 'Aqueous Species Options'!O504, IF('Aqueous Species Table'!I504="", "", IF('Aqueous Species Options'!B504="H+", 0, ((1.11*('Aqueous Species Options'!G504 + 'Aqueous Species Table'!O504*100000*0.0000005903*41.8393)+1.8)/41.8393 - 'Aqueous Species Table'!I504/10)*26.01 ) ) ) )</f>
        <v/>
      </c>
      <c r="K504" s="1" t="str">
        <f>IF(ISBLANK('Aqueous Species Options'!B504), "", IF('Aqueous Species Options'!L504 = 0, 'Aqueous Species Options'!P504, IF('Aqueous Species Table'!I504="", "", IF('Aqueous Species Options'!B504="H+", 0, ('Aqueous Species Options'!G504/41.8393 + 'Aqueous Species Table'!O504*100000*0.0000005903 - 'Aqueous Species Table'!I504/10 - 'Aqueous Species Table'!J504*100/2601)*(298.15-228) - ('Aqueous Species Table'!L504*10000/2601) ) ) ) )</f>
        <v/>
      </c>
      <c r="L504" s="1" t="str">
        <f>IF(ISBLANK('Aqueous Species Options'!B504), "", IF('Aqueous Species Options'!L504 = 0, 'Aqueous Species Options'!Q504, IF('Aqueous Species Table'!J504="", "", IF('Aqueous Species Options'!B504="H+", 0, (-4.134*'Aqueous Species Table'!J504*100 - 27790)*0.0001) ) ) )</f>
        <v/>
      </c>
      <c r="M504" s="1" t="str">
        <f>IF(ISBLANK('Aqueous Species Options'!B504), "", IF('Aqueous Species Options'!L504=0, 'Aqueous Species Options'!R504, IF('Aqueous Species Table'!N504="", "", IF('Aqueous Species Options'!B504="H+", 0, 'Aqueous Species Options'!H504 - 'Aqueous Species Table'!O504*100000*(-0.000000309)*298.15 - 'Aqueous Species Table'!N504*10000/(298.15-228)^2 ) ) ) )</f>
        <v/>
      </c>
      <c r="N504" s="1" t="str">
        <f>IF(ISBLANK('Aqueous Species Options'!B504), "", IF('Aqueous Species Options'!L504=0, 'Aqueous Species Options'!S504, IF(OR(ISBLANK('Aqueous Species Options'!H504), 'Aqueous Species Table'!O504=""), "", IF('Aqueous Species Options'!B504="H+", 0, 0.2037*'Aqueous Species Options'!H504 - 3.0346) ) ) )</f>
        <v/>
      </c>
      <c r="O504" s="1" t="str">
        <f>IF(ISBLANK('Aqueous Species Options'!B504), "", IF('Aqueous Species Options'!K504=0, 'Aqueous Species Options'!I504, IF(OR('Aqueous Species Options'!J504&gt;4,'Aqueous Species Options'!J504&lt;-4), "", IF('Aqueous Species Options'!B504="H+", 0, IF('Aqueous Species Options'!J504=0, -0.038, IF(ISBLANK('Aqueous Species Options'!F504), "", -1514.4*'Aqueous Species Options'!F504*0.00001 + SUM(({4,3,2,1,-1,-2,-3,-4}='Aqueous Species Options'!J504)*{2.1764,1.5793,1.0579,0.5517,1.6291,3.2127,4.8115,6.486}) ) ) ) ) ) )</f>
        <v/>
      </c>
      <c r="P504" s="1" t="str">
        <f>IF(ISBLANK('Aqueous Species Options'!J504), "", 'Aqueous Species Options'!J504)</f>
        <v/>
      </c>
      <c r="Q504" s="184" t="str">
        <f>IF(ISBLANK('Aqueous Species Options'!T504), "", 'Aqueous Species Options'!T504)</f>
        <v/>
      </c>
    </row>
    <row r="505" spans="2:17" ht="15" customHeight="1" x14ac:dyDescent="0.2">
      <c r="B505" t="str">
        <f>IF(ISBLANK('Aqueous Species Options'!B505), "", 'Aqueous Species Options'!B505)</f>
        <v/>
      </c>
      <c r="C505" s="1" t="str">
        <f>IF(ISBLANK('Aqueous Species Options'!C505), "", 'Aqueous Species Options'!C505)</f>
        <v/>
      </c>
      <c r="D505" s="1" t="str">
        <f>IF(ISBLANK('Aqueous Species Options'!D505), "", 'Aqueous Species Options'!D505)</f>
        <v/>
      </c>
      <c r="E505" s="1" t="str">
        <f>IF(ISBLANK('Aqueous Species Options'!E505), "", 'Aqueous Species Options'!E505)</f>
        <v/>
      </c>
      <c r="F505" s="139" t="str">
        <f>IF(ISBLANK('Aqueous Species Options'!F505), "", 'Aqueous Species Options'!F505)</f>
        <v/>
      </c>
      <c r="G505" s="29" t="str">
        <f>IF(ISBLANK('Aqueous Species Options'!B505), "", IF('Aqueous Species Options'!L505 = 1, IF(ISBLANK('Aqueous Species Options'!G505), "", 'Aqueous Species Options'!G505), ('Aqueous Species Table'!I505/10 + ('Aqueous Species Table'!J505*100)/(Calculations!$C$12+Calculations!$C$9) + ('Aqueous Species Table'!K505 + ('Aqueous Species Table'!L505*10000)/(Calculations!$C$12+Calculations!$C$9))*(1/(Calculations!$C$8-Calculations!$C$13)) - 'Aqueous Species Table'!O505*100000*0.0000005903)*41.8393))</f>
        <v/>
      </c>
      <c r="H505" s="29" t="str">
        <f>IF(ISBLANK('Aqueous Species Options'!B505), "", IF('Aqueous Species Options'!L505 = 1, IF(ISBLANK('Aqueous Species Options'!H505), "", 'Aqueous Species Options'!H505), 'Aqueous Species Table'!M505 + 'Aqueous Species Table'!N505*10000*(1/(Calculations!$C$8-Calculations!$C$13))^2 + 'Aqueous Species Table'!O505*100000*Calculations!$C$8*Calculations!$C$7))</f>
        <v/>
      </c>
      <c r="I505" s="1" t="str">
        <f>IF(ISBLANK('Aqueous Species Options'!B505), "", IF('Aqueous Species Options'!L505=0, 'Aqueous Species Options'!N505, IF(OR(ISBLANK('Aqueous Species Options'!G505),'Aqueous Species Table'!O505="", 'Aqueous Species Table'!P505=""), "", IF('Aqueous Species Options'!B505="H+", 0, (CHOOSE('Aqueous Species Options'!M505+1,'Aqueous Species Options'!$V$4*ABS('Aqueous Species Table'!P505)+'Aqueous Species Options'!$W$4,'Aqueous Species Options'!$Z$4)*('Aqueous Species Options'!G505 + 'Aqueous Species Table'!O505*100000*0.0000005903*41.8393) + CHOOSE('Aqueous Species Options'!M505+1,'Aqueous Species Options'!$X$4*ABS('Aqueous Species Table'!P505)+'Aqueous Species Options'!$Y$4,'Aqueous Species Options'!$AA$4))*10 ) ) ) )</f>
        <v/>
      </c>
      <c r="J505" s="1" t="str">
        <f>IF(ISBLANK('Aqueous Species Options'!B505), "", IF('Aqueous Species Options'!L505 = 0, 'Aqueous Species Options'!O505, IF('Aqueous Species Table'!I505="", "", IF('Aqueous Species Options'!B505="H+", 0, ((1.11*('Aqueous Species Options'!G505 + 'Aqueous Species Table'!O505*100000*0.0000005903*41.8393)+1.8)/41.8393 - 'Aqueous Species Table'!I505/10)*26.01 ) ) ) )</f>
        <v/>
      </c>
      <c r="K505" s="1" t="str">
        <f>IF(ISBLANK('Aqueous Species Options'!B505), "", IF('Aqueous Species Options'!L505 = 0, 'Aqueous Species Options'!P505, IF('Aqueous Species Table'!I505="", "", IF('Aqueous Species Options'!B505="H+", 0, ('Aqueous Species Options'!G505/41.8393 + 'Aqueous Species Table'!O505*100000*0.0000005903 - 'Aqueous Species Table'!I505/10 - 'Aqueous Species Table'!J505*100/2601)*(298.15-228) - ('Aqueous Species Table'!L505*10000/2601) ) ) ) )</f>
        <v/>
      </c>
      <c r="L505" s="1" t="str">
        <f>IF(ISBLANK('Aqueous Species Options'!B505), "", IF('Aqueous Species Options'!L505 = 0, 'Aqueous Species Options'!Q505, IF('Aqueous Species Table'!J505="", "", IF('Aqueous Species Options'!B505="H+", 0, (-4.134*'Aqueous Species Table'!J505*100 - 27790)*0.0001) ) ) )</f>
        <v/>
      </c>
      <c r="M505" s="1" t="str">
        <f>IF(ISBLANK('Aqueous Species Options'!B505), "", IF('Aqueous Species Options'!L505=0, 'Aqueous Species Options'!R505, IF('Aqueous Species Table'!N505="", "", IF('Aqueous Species Options'!B505="H+", 0, 'Aqueous Species Options'!H505 - 'Aqueous Species Table'!O505*100000*(-0.000000309)*298.15 - 'Aqueous Species Table'!N505*10000/(298.15-228)^2 ) ) ) )</f>
        <v/>
      </c>
      <c r="N505" s="1" t="str">
        <f>IF(ISBLANK('Aqueous Species Options'!B505), "", IF('Aqueous Species Options'!L505=0, 'Aqueous Species Options'!S505, IF(OR(ISBLANK('Aqueous Species Options'!H505), 'Aqueous Species Table'!O505=""), "", IF('Aqueous Species Options'!B505="H+", 0, 0.2037*'Aqueous Species Options'!H505 - 3.0346) ) ) )</f>
        <v/>
      </c>
      <c r="O505" s="1" t="str">
        <f>IF(ISBLANK('Aqueous Species Options'!B505), "", IF('Aqueous Species Options'!K505=0, 'Aqueous Species Options'!I505, IF(OR('Aqueous Species Options'!J505&gt;4,'Aqueous Species Options'!J505&lt;-4), "", IF('Aqueous Species Options'!B505="H+", 0, IF('Aqueous Species Options'!J505=0, -0.038, IF(ISBLANK('Aqueous Species Options'!F505), "", -1514.4*'Aqueous Species Options'!F505*0.00001 + SUM(({4,3,2,1,-1,-2,-3,-4}='Aqueous Species Options'!J505)*{2.1764,1.5793,1.0579,0.5517,1.6291,3.2127,4.8115,6.486}) ) ) ) ) ) )</f>
        <v/>
      </c>
      <c r="P505" s="1" t="str">
        <f>IF(ISBLANK('Aqueous Species Options'!J505), "", 'Aqueous Species Options'!J505)</f>
        <v/>
      </c>
      <c r="Q505" s="184" t="str">
        <f>IF(ISBLANK('Aqueous Species Options'!T505), "", 'Aqueous Species Options'!T505)</f>
        <v/>
      </c>
    </row>
    <row r="506" spans="2:17" ht="15" customHeight="1" x14ac:dyDescent="0.2">
      <c r="B506" t="str">
        <f>IF(ISBLANK('Aqueous Species Options'!B506), "", 'Aqueous Species Options'!B506)</f>
        <v/>
      </c>
      <c r="C506" s="1" t="str">
        <f>IF(ISBLANK('Aqueous Species Options'!C506), "", 'Aqueous Species Options'!C506)</f>
        <v/>
      </c>
      <c r="D506" s="1" t="str">
        <f>IF(ISBLANK('Aqueous Species Options'!D506), "", 'Aqueous Species Options'!D506)</f>
        <v/>
      </c>
      <c r="E506" s="1" t="str">
        <f>IF(ISBLANK('Aqueous Species Options'!E506), "", 'Aqueous Species Options'!E506)</f>
        <v/>
      </c>
      <c r="F506" s="139" t="str">
        <f>IF(ISBLANK('Aqueous Species Options'!F506), "", 'Aqueous Species Options'!F506)</f>
        <v/>
      </c>
      <c r="G506" s="29" t="str">
        <f>IF(ISBLANK('Aqueous Species Options'!B506), "", IF('Aqueous Species Options'!L506 = 1, IF(ISBLANK('Aqueous Species Options'!G506), "", 'Aqueous Species Options'!G506), ('Aqueous Species Table'!I506/10 + ('Aqueous Species Table'!J506*100)/(Calculations!$C$12+Calculations!$C$9) + ('Aqueous Species Table'!K506 + ('Aqueous Species Table'!L506*10000)/(Calculations!$C$12+Calculations!$C$9))*(1/(Calculations!$C$8-Calculations!$C$13)) - 'Aqueous Species Table'!O506*100000*0.0000005903)*41.8393))</f>
        <v/>
      </c>
      <c r="H506" s="29" t="str">
        <f>IF(ISBLANK('Aqueous Species Options'!B506), "", IF('Aqueous Species Options'!L506 = 1, IF(ISBLANK('Aqueous Species Options'!H506), "", 'Aqueous Species Options'!H506), 'Aqueous Species Table'!M506 + 'Aqueous Species Table'!N506*10000*(1/(Calculations!$C$8-Calculations!$C$13))^2 + 'Aqueous Species Table'!O506*100000*Calculations!$C$8*Calculations!$C$7))</f>
        <v/>
      </c>
      <c r="I506" s="1" t="str">
        <f>IF(ISBLANK('Aqueous Species Options'!B506), "", IF('Aqueous Species Options'!L506=0, 'Aqueous Species Options'!N506, IF(OR(ISBLANK('Aqueous Species Options'!G506),'Aqueous Species Table'!O506="", 'Aqueous Species Table'!P506=""), "", IF('Aqueous Species Options'!B506="H+", 0, (CHOOSE('Aqueous Species Options'!M506+1,'Aqueous Species Options'!$V$4*ABS('Aqueous Species Table'!P506)+'Aqueous Species Options'!$W$4,'Aqueous Species Options'!$Z$4)*('Aqueous Species Options'!G506 + 'Aqueous Species Table'!O506*100000*0.0000005903*41.8393) + CHOOSE('Aqueous Species Options'!M506+1,'Aqueous Species Options'!$X$4*ABS('Aqueous Species Table'!P506)+'Aqueous Species Options'!$Y$4,'Aqueous Species Options'!$AA$4))*10 ) ) ) )</f>
        <v/>
      </c>
      <c r="J506" s="1" t="str">
        <f>IF(ISBLANK('Aqueous Species Options'!B506), "", IF('Aqueous Species Options'!L506 = 0, 'Aqueous Species Options'!O506, IF('Aqueous Species Table'!I506="", "", IF('Aqueous Species Options'!B506="H+", 0, ((1.11*('Aqueous Species Options'!G506 + 'Aqueous Species Table'!O506*100000*0.0000005903*41.8393)+1.8)/41.8393 - 'Aqueous Species Table'!I506/10)*26.01 ) ) ) )</f>
        <v/>
      </c>
      <c r="K506" s="1" t="str">
        <f>IF(ISBLANK('Aqueous Species Options'!B506), "", IF('Aqueous Species Options'!L506 = 0, 'Aqueous Species Options'!P506, IF('Aqueous Species Table'!I506="", "", IF('Aqueous Species Options'!B506="H+", 0, ('Aqueous Species Options'!G506/41.8393 + 'Aqueous Species Table'!O506*100000*0.0000005903 - 'Aqueous Species Table'!I506/10 - 'Aqueous Species Table'!J506*100/2601)*(298.15-228) - ('Aqueous Species Table'!L506*10000/2601) ) ) ) )</f>
        <v/>
      </c>
      <c r="L506" s="1" t="str">
        <f>IF(ISBLANK('Aqueous Species Options'!B506), "", IF('Aqueous Species Options'!L506 = 0, 'Aqueous Species Options'!Q506, IF('Aqueous Species Table'!J506="", "", IF('Aqueous Species Options'!B506="H+", 0, (-4.134*'Aqueous Species Table'!J506*100 - 27790)*0.0001) ) ) )</f>
        <v/>
      </c>
      <c r="M506" s="1" t="str">
        <f>IF(ISBLANK('Aqueous Species Options'!B506), "", IF('Aqueous Species Options'!L506=0, 'Aqueous Species Options'!R506, IF('Aqueous Species Table'!N506="", "", IF('Aqueous Species Options'!B506="H+", 0, 'Aqueous Species Options'!H506 - 'Aqueous Species Table'!O506*100000*(-0.000000309)*298.15 - 'Aqueous Species Table'!N506*10000/(298.15-228)^2 ) ) ) )</f>
        <v/>
      </c>
      <c r="N506" s="1" t="str">
        <f>IF(ISBLANK('Aqueous Species Options'!B506), "", IF('Aqueous Species Options'!L506=0, 'Aqueous Species Options'!S506, IF(OR(ISBLANK('Aqueous Species Options'!H506), 'Aqueous Species Table'!O506=""), "", IF('Aqueous Species Options'!B506="H+", 0, 0.2037*'Aqueous Species Options'!H506 - 3.0346) ) ) )</f>
        <v/>
      </c>
      <c r="O506" s="1" t="str">
        <f>IF(ISBLANK('Aqueous Species Options'!B506), "", IF('Aqueous Species Options'!K506=0, 'Aqueous Species Options'!I506, IF(OR('Aqueous Species Options'!J506&gt;4,'Aqueous Species Options'!J506&lt;-4), "", IF('Aqueous Species Options'!B506="H+", 0, IF('Aqueous Species Options'!J506=0, -0.038, IF(ISBLANK('Aqueous Species Options'!F506), "", -1514.4*'Aqueous Species Options'!F506*0.00001 + SUM(({4,3,2,1,-1,-2,-3,-4}='Aqueous Species Options'!J506)*{2.1764,1.5793,1.0579,0.5517,1.6291,3.2127,4.8115,6.486}) ) ) ) ) ) )</f>
        <v/>
      </c>
      <c r="P506" s="1" t="str">
        <f>IF(ISBLANK('Aqueous Species Options'!J506), "", 'Aqueous Species Options'!J506)</f>
        <v/>
      </c>
      <c r="Q506" s="184" t="str">
        <f>IF(ISBLANK('Aqueous Species Options'!T506), "", 'Aqueous Species Options'!T506)</f>
        <v/>
      </c>
    </row>
    <row r="507" spans="2:17" ht="16" x14ac:dyDescent="0.2">
      <c r="B507" t="str">
        <f>IF(ISBLANK('Aqueous Species Options'!B507), "", 'Aqueous Species Options'!B507)</f>
        <v/>
      </c>
      <c r="C507" s="1" t="str">
        <f>IF(ISBLANK('Aqueous Species Options'!C507), "", 'Aqueous Species Options'!C507)</f>
        <v/>
      </c>
      <c r="D507" s="1" t="str">
        <f>IF(ISBLANK('Aqueous Species Options'!D507), "", 'Aqueous Species Options'!D507)</f>
        <v/>
      </c>
      <c r="E507" s="1" t="str">
        <f>IF(ISBLANK('Aqueous Species Options'!E507), "", 'Aqueous Species Options'!E507)</f>
        <v/>
      </c>
      <c r="F507" s="139" t="str">
        <f>IF(ISBLANK('Aqueous Species Options'!F507), "", 'Aqueous Species Options'!F507)</f>
        <v/>
      </c>
      <c r="G507" s="29" t="str">
        <f>IF(ISBLANK('Aqueous Species Options'!B507), "", IF('Aqueous Species Options'!L507 = 1, IF(ISBLANK('Aqueous Species Options'!G507), "", 'Aqueous Species Options'!G507), ('Aqueous Species Table'!I507/10 + ('Aqueous Species Table'!J507*100)/(Calculations!$C$12+Calculations!$C$9) + ('Aqueous Species Table'!K507 + ('Aqueous Species Table'!L507*10000)/(Calculations!$C$12+Calculations!$C$9))*(1/(Calculations!$C$8-Calculations!$C$13)) - 'Aqueous Species Table'!O507*100000*0.0000005903)*41.8393))</f>
        <v/>
      </c>
      <c r="H507" s="29" t="str">
        <f>IF(ISBLANK('Aqueous Species Options'!B507), "", IF('Aqueous Species Options'!L507 = 1, IF(ISBLANK('Aqueous Species Options'!H507), "", 'Aqueous Species Options'!H507), 'Aqueous Species Table'!M507 + 'Aqueous Species Table'!N507*10000*(1/(Calculations!$C$8-Calculations!$C$13))^2 + 'Aqueous Species Table'!O507*100000*Calculations!$C$8*Calculations!$C$7))</f>
        <v/>
      </c>
      <c r="I507" s="1" t="str">
        <f>IF(ISBLANK('Aqueous Species Options'!B507), "", IF('Aqueous Species Options'!L507=0, 'Aqueous Species Options'!N507, IF(OR(ISBLANK('Aqueous Species Options'!G507),'Aqueous Species Table'!O507="", 'Aqueous Species Table'!P507=""), "", IF('Aqueous Species Options'!B507="H+", 0, (CHOOSE('Aqueous Species Options'!M507+1,'Aqueous Species Options'!$V$4*ABS('Aqueous Species Table'!P507)+'Aqueous Species Options'!$W$4,'Aqueous Species Options'!$Z$4)*('Aqueous Species Options'!G507 + 'Aqueous Species Table'!O507*100000*0.0000005903*41.8393) + CHOOSE('Aqueous Species Options'!M507+1,'Aqueous Species Options'!$X$4*ABS('Aqueous Species Table'!P507)+'Aqueous Species Options'!$Y$4,'Aqueous Species Options'!$AA$4))*10 ) ) ) )</f>
        <v/>
      </c>
      <c r="J507" s="1" t="str">
        <f>IF(ISBLANK('Aqueous Species Options'!B507), "", IF('Aqueous Species Options'!L507 = 0, 'Aqueous Species Options'!O507, IF('Aqueous Species Table'!I507="", "", IF('Aqueous Species Options'!B507="H+", 0, ((1.11*('Aqueous Species Options'!G507 + 'Aqueous Species Table'!O507*100000*0.0000005903*41.8393)+1.8)/41.8393 - 'Aqueous Species Table'!I507/10)*26.01 ) ) ) )</f>
        <v/>
      </c>
      <c r="K507" s="1" t="str">
        <f>IF(ISBLANK('Aqueous Species Options'!B507), "", IF('Aqueous Species Options'!L507 = 0, 'Aqueous Species Options'!P507, IF('Aqueous Species Table'!I507="", "", IF('Aqueous Species Options'!B507="H+", 0, ('Aqueous Species Options'!G507/41.8393 + 'Aqueous Species Table'!O507*100000*0.0000005903 - 'Aqueous Species Table'!I507/10 - 'Aqueous Species Table'!J507*100/2601)*(298.15-228) - ('Aqueous Species Table'!L507*10000/2601) ) ) ) )</f>
        <v/>
      </c>
      <c r="L507" s="1" t="str">
        <f>IF(ISBLANK('Aqueous Species Options'!B507), "", IF('Aqueous Species Options'!L507 = 0, 'Aqueous Species Options'!Q507, IF('Aqueous Species Table'!J507="", "", IF('Aqueous Species Options'!B507="H+", 0, (-4.134*'Aqueous Species Table'!J507*100 - 27790)*0.0001) ) ) )</f>
        <v/>
      </c>
      <c r="M507" s="1" t="str">
        <f>IF(ISBLANK('Aqueous Species Options'!B507), "", IF('Aqueous Species Options'!L507=0, 'Aqueous Species Options'!R507, IF('Aqueous Species Table'!N507="", "", IF('Aqueous Species Options'!B507="H+", 0, 'Aqueous Species Options'!H507 - 'Aqueous Species Table'!O507*100000*(-0.000000309)*298.15 - 'Aqueous Species Table'!N507*10000/(298.15-228)^2 ) ) ) )</f>
        <v/>
      </c>
      <c r="N507" s="1" t="str">
        <f>IF(ISBLANK('Aqueous Species Options'!B507), "", IF('Aqueous Species Options'!L507=0, 'Aqueous Species Options'!S507, IF(OR(ISBLANK('Aqueous Species Options'!H507), 'Aqueous Species Table'!O507=""), "", IF('Aqueous Species Options'!B507="H+", 0, 0.2037*'Aqueous Species Options'!H507 - 3.0346) ) ) )</f>
        <v/>
      </c>
      <c r="O507" s="1" t="str">
        <f>IF(ISBLANK('Aqueous Species Options'!B507), "", IF('Aqueous Species Options'!K507=0, 'Aqueous Species Options'!I507, IF(OR('Aqueous Species Options'!J507&gt;4,'Aqueous Species Options'!J507&lt;-4), "", IF('Aqueous Species Options'!B507="H+", 0, IF('Aqueous Species Options'!J507=0, -0.038, IF(ISBLANK('Aqueous Species Options'!F507), "", -1514.4*'Aqueous Species Options'!F507*0.00001 + SUM(({4,3,2,1,-1,-2,-3,-4}='Aqueous Species Options'!J507)*{2.1764,1.5793,1.0579,0.5517,1.6291,3.2127,4.8115,6.486}) ) ) ) ) ) )</f>
        <v/>
      </c>
      <c r="P507" s="1" t="str">
        <f>IF(ISBLANK('Aqueous Species Options'!J507), "", 'Aqueous Species Options'!J507)</f>
        <v/>
      </c>
      <c r="Q507" s="184" t="str">
        <f>IF(ISBLANK('Aqueous Species Options'!T507), "", 'Aqueous Species Options'!T507)</f>
        <v/>
      </c>
    </row>
    <row r="508" spans="2:17" ht="16" x14ac:dyDescent="0.2">
      <c r="B508" t="str">
        <f>IF(ISBLANK('Aqueous Species Options'!B508), "", 'Aqueous Species Options'!B508)</f>
        <v/>
      </c>
      <c r="C508" s="1" t="str">
        <f>IF(ISBLANK('Aqueous Species Options'!C508), "", 'Aqueous Species Options'!C508)</f>
        <v/>
      </c>
      <c r="D508" s="1" t="str">
        <f>IF(ISBLANK('Aqueous Species Options'!D508), "", 'Aqueous Species Options'!D508)</f>
        <v/>
      </c>
      <c r="E508" s="1" t="str">
        <f>IF(ISBLANK('Aqueous Species Options'!E508), "", 'Aqueous Species Options'!E508)</f>
        <v/>
      </c>
      <c r="F508" s="139" t="str">
        <f>IF(ISBLANK('Aqueous Species Options'!F508), "", 'Aqueous Species Options'!F508)</f>
        <v/>
      </c>
      <c r="G508" s="29" t="str">
        <f>IF(ISBLANK('Aqueous Species Options'!B508), "", IF('Aqueous Species Options'!L508 = 1, IF(ISBLANK('Aqueous Species Options'!G508), "", 'Aqueous Species Options'!G508), ('Aqueous Species Table'!I508/10 + ('Aqueous Species Table'!J508*100)/(Calculations!$C$12+Calculations!$C$9) + ('Aqueous Species Table'!K508 + ('Aqueous Species Table'!L508*10000)/(Calculations!$C$12+Calculations!$C$9))*(1/(Calculations!$C$8-Calculations!$C$13)) - 'Aqueous Species Table'!O508*100000*0.0000005903)*41.8393))</f>
        <v/>
      </c>
      <c r="H508" s="29" t="str">
        <f>IF(ISBLANK('Aqueous Species Options'!B508), "", IF('Aqueous Species Options'!L508 = 1, IF(ISBLANK('Aqueous Species Options'!H508), "", 'Aqueous Species Options'!H508), 'Aqueous Species Table'!M508 + 'Aqueous Species Table'!N508*10000*(1/(Calculations!$C$8-Calculations!$C$13))^2 + 'Aqueous Species Table'!O508*100000*Calculations!$C$8*Calculations!$C$7))</f>
        <v/>
      </c>
      <c r="I508" s="1" t="str">
        <f>IF(ISBLANK('Aqueous Species Options'!B508), "", IF('Aqueous Species Options'!L508=0, 'Aqueous Species Options'!N508, IF(OR(ISBLANK('Aqueous Species Options'!G508),'Aqueous Species Table'!O508="", 'Aqueous Species Table'!P508=""), "", IF('Aqueous Species Options'!B508="H+", 0, (CHOOSE('Aqueous Species Options'!M508+1,'Aqueous Species Options'!$V$4*ABS('Aqueous Species Table'!P508)+'Aqueous Species Options'!$W$4,'Aqueous Species Options'!$Z$4)*('Aqueous Species Options'!G508 + 'Aqueous Species Table'!O508*100000*0.0000005903*41.8393) + CHOOSE('Aqueous Species Options'!M508+1,'Aqueous Species Options'!$X$4*ABS('Aqueous Species Table'!P508)+'Aqueous Species Options'!$Y$4,'Aqueous Species Options'!$AA$4))*10 ) ) ) )</f>
        <v/>
      </c>
      <c r="J508" s="1" t="str">
        <f>IF(ISBLANK('Aqueous Species Options'!B508), "", IF('Aqueous Species Options'!L508 = 0, 'Aqueous Species Options'!O508, IF('Aqueous Species Table'!I508="", "", IF('Aqueous Species Options'!B508="H+", 0, ((1.11*('Aqueous Species Options'!G508 + 'Aqueous Species Table'!O508*100000*0.0000005903*41.8393)+1.8)/41.8393 - 'Aqueous Species Table'!I508/10)*26.01 ) ) ) )</f>
        <v/>
      </c>
      <c r="K508" s="1" t="str">
        <f>IF(ISBLANK('Aqueous Species Options'!B508), "", IF('Aqueous Species Options'!L508 = 0, 'Aqueous Species Options'!P508, IF('Aqueous Species Table'!I508="", "", IF('Aqueous Species Options'!B508="H+", 0, ('Aqueous Species Options'!G508/41.8393 + 'Aqueous Species Table'!O508*100000*0.0000005903 - 'Aqueous Species Table'!I508/10 - 'Aqueous Species Table'!J508*100/2601)*(298.15-228) - ('Aqueous Species Table'!L508*10000/2601) ) ) ) )</f>
        <v/>
      </c>
      <c r="L508" s="1" t="str">
        <f>IF(ISBLANK('Aqueous Species Options'!B508), "", IF('Aqueous Species Options'!L508 = 0, 'Aqueous Species Options'!Q508, IF('Aqueous Species Table'!J508="", "", IF('Aqueous Species Options'!B508="H+", 0, (-4.134*'Aqueous Species Table'!J508*100 - 27790)*0.0001) ) ) )</f>
        <v/>
      </c>
      <c r="M508" s="1" t="str">
        <f>IF(ISBLANK('Aqueous Species Options'!B508), "", IF('Aqueous Species Options'!L508=0, 'Aqueous Species Options'!R508, IF('Aqueous Species Table'!N508="", "", IF('Aqueous Species Options'!B508="H+", 0, 'Aqueous Species Options'!H508 - 'Aqueous Species Table'!O508*100000*(-0.000000309)*298.15 - 'Aqueous Species Table'!N508*10000/(298.15-228)^2 ) ) ) )</f>
        <v/>
      </c>
      <c r="N508" s="1" t="str">
        <f>IF(ISBLANK('Aqueous Species Options'!B508), "", IF('Aqueous Species Options'!L508=0, 'Aqueous Species Options'!S508, IF(OR(ISBLANK('Aqueous Species Options'!H508), 'Aqueous Species Table'!O508=""), "", IF('Aqueous Species Options'!B508="H+", 0, 0.2037*'Aqueous Species Options'!H508 - 3.0346) ) ) )</f>
        <v/>
      </c>
      <c r="O508" s="1" t="str">
        <f>IF(ISBLANK('Aqueous Species Options'!B508), "", IF('Aqueous Species Options'!K508=0, 'Aqueous Species Options'!I508, IF(OR('Aqueous Species Options'!J508&gt;4,'Aqueous Species Options'!J508&lt;-4), "", IF('Aqueous Species Options'!B508="H+", 0, IF('Aqueous Species Options'!J508=0, -0.038, IF(ISBLANK('Aqueous Species Options'!F508), "", -1514.4*'Aqueous Species Options'!F508*0.00001 + SUM(({4,3,2,1,-1,-2,-3,-4}='Aqueous Species Options'!J508)*{2.1764,1.5793,1.0579,0.5517,1.6291,3.2127,4.8115,6.486}) ) ) ) ) ) )</f>
        <v/>
      </c>
      <c r="P508" s="1" t="str">
        <f>IF(ISBLANK('Aqueous Species Options'!J508), "", 'Aqueous Species Options'!J508)</f>
        <v/>
      </c>
      <c r="Q508" s="184" t="str">
        <f>IF(ISBLANK('Aqueous Species Options'!T508), "", 'Aqueous Species Options'!T508)</f>
        <v/>
      </c>
    </row>
    <row r="509" spans="2:17" ht="16" x14ac:dyDescent="0.2">
      <c r="B509" t="str">
        <f>IF(ISBLANK('Aqueous Species Options'!B509), "", 'Aqueous Species Options'!B509)</f>
        <v/>
      </c>
      <c r="C509" s="1" t="str">
        <f>IF(ISBLANK('Aqueous Species Options'!C509), "", 'Aqueous Species Options'!C509)</f>
        <v/>
      </c>
      <c r="D509" s="1" t="str">
        <f>IF(ISBLANK('Aqueous Species Options'!D509), "", 'Aqueous Species Options'!D509)</f>
        <v/>
      </c>
      <c r="E509" s="1" t="str">
        <f>IF(ISBLANK('Aqueous Species Options'!E509), "", 'Aqueous Species Options'!E509)</f>
        <v/>
      </c>
      <c r="F509" s="139" t="str">
        <f>IF(ISBLANK('Aqueous Species Options'!F509), "", 'Aqueous Species Options'!F509)</f>
        <v/>
      </c>
      <c r="G509" s="29" t="str">
        <f>IF(ISBLANK('Aqueous Species Options'!B509), "", IF('Aqueous Species Options'!L509 = 1, IF(ISBLANK('Aqueous Species Options'!G509), "", 'Aqueous Species Options'!G509), ('Aqueous Species Table'!I509/10 + ('Aqueous Species Table'!J509*100)/(Calculations!$C$12+Calculations!$C$9) + ('Aqueous Species Table'!K509 + ('Aqueous Species Table'!L509*10000)/(Calculations!$C$12+Calculations!$C$9))*(1/(Calculations!$C$8-Calculations!$C$13)) - 'Aqueous Species Table'!O509*100000*0.0000005903)*41.8393))</f>
        <v/>
      </c>
      <c r="H509" s="29" t="str">
        <f>IF(ISBLANK('Aqueous Species Options'!B509), "", IF('Aqueous Species Options'!L509 = 1, IF(ISBLANK('Aqueous Species Options'!H509), "", 'Aqueous Species Options'!H509), 'Aqueous Species Table'!M509 + 'Aqueous Species Table'!N509*10000*(1/(Calculations!$C$8-Calculations!$C$13))^2 + 'Aqueous Species Table'!O509*100000*Calculations!$C$8*Calculations!$C$7))</f>
        <v/>
      </c>
      <c r="I509" s="1" t="str">
        <f>IF(ISBLANK('Aqueous Species Options'!B509), "", IF('Aqueous Species Options'!L509=0, 'Aqueous Species Options'!N509, IF(OR(ISBLANK('Aqueous Species Options'!G509),'Aqueous Species Table'!O509="", 'Aqueous Species Table'!P509=""), "", IF('Aqueous Species Options'!B509="H+", 0, (CHOOSE('Aqueous Species Options'!M509+1,'Aqueous Species Options'!$V$4*ABS('Aqueous Species Table'!P509)+'Aqueous Species Options'!$W$4,'Aqueous Species Options'!$Z$4)*('Aqueous Species Options'!G509 + 'Aqueous Species Table'!O509*100000*0.0000005903*41.8393) + CHOOSE('Aqueous Species Options'!M509+1,'Aqueous Species Options'!$X$4*ABS('Aqueous Species Table'!P509)+'Aqueous Species Options'!$Y$4,'Aqueous Species Options'!$AA$4))*10 ) ) ) )</f>
        <v/>
      </c>
      <c r="J509" s="1" t="str">
        <f>IF(ISBLANK('Aqueous Species Options'!B509), "", IF('Aqueous Species Options'!L509 = 0, 'Aqueous Species Options'!O509, IF('Aqueous Species Table'!I509="", "", IF('Aqueous Species Options'!B509="H+", 0, ((1.11*('Aqueous Species Options'!G509 + 'Aqueous Species Table'!O509*100000*0.0000005903*41.8393)+1.8)/41.8393 - 'Aqueous Species Table'!I509/10)*26.01 ) ) ) )</f>
        <v/>
      </c>
      <c r="K509" s="1" t="str">
        <f>IF(ISBLANK('Aqueous Species Options'!B509), "", IF('Aqueous Species Options'!L509 = 0, 'Aqueous Species Options'!P509, IF('Aqueous Species Table'!I509="", "", IF('Aqueous Species Options'!B509="H+", 0, ('Aqueous Species Options'!G509/41.8393 + 'Aqueous Species Table'!O509*100000*0.0000005903 - 'Aqueous Species Table'!I509/10 - 'Aqueous Species Table'!J509*100/2601)*(298.15-228) - ('Aqueous Species Table'!L509*10000/2601) ) ) ) )</f>
        <v/>
      </c>
      <c r="L509" s="1" t="str">
        <f>IF(ISBLANK('Aqueous Species Options'!B509), "", IF('Aqueous Species Options'!L509 = 0, 'Aqueous Species Options'!Q509, IF('Aqueous Species Table'!J509="", "", IF('Aqueous Species Options'!B509="H+", 0, (-4.134*'Aqueous Species Table'!J509*100 - 27790)*0.0001) ) ) )</f>
        <v/>
      </c>
      <c r="M509" s="1" t="str">
        <f>IF(ISBLANK('Aqueous Species Options'!B509), "", IF('Aqueous Species Options'!L509=0, 'Aqueous Species Options'!R509, IF('Aqueous Species Table'!N509="", "", IF('Aqueous Species Options'!B509="H+", 0, 'Aqueous Species Options'!H509 - 'Aqueous Species Table'!O509*100000*(-0.000000309)*298.15 - 'Aqueous Species Table'!N509*10000/(298.15-228)^2 ) ) ) )</f>
        <v/>
      </c>
      <c r="N509" s="1" t="str">
        <f>IF(ISBLANK('Aqueous Species Options'!B509), "", IF('Aqueous Species Options'!L509=0, 'Aqueous Species Options'!S509, IF(OR(ISBLANK('Aqueous Species Options'!H509), 'Aqueous Species Table'!O509=""), "", IF('Aqueous Species Options'!B509="H+", 0, 0.2037*'Aqueous Species Options'!H509 - 3.0346) ) ) )</f>
        <v/>
      </c>
      <c r="O509" s="1" t="str">
        <f>IF(ISBLANK('Aqueous Species Options'!B509), "", IF('Aqueous Species Options'!K509=0, 'Aqueous Species Options'!I509, IF(OR('Aqueous Species Options'!J509&gt;4,'Aqueous Species Options'!J509&lt;-4), "", IF('Aqueous Species Options'!B509="H+", 0, IF('Aqueous Species Options'!J509=0, -0.038, IF(ISBLANK('Aqueous Species Options'!F509), "", -1514.4*'Aqueous Species Options'!F509*0.00001 + SUM(({4,3,2,1,-1,-2,-3,-4}='Aqueous Species Options'!J509)*{2.1764,1.5793,1.0579,0.5517,1.6291,3.2127,4.8115,6.486}) ) ) ) ) ) )</f>
        <v/>
      </c>
      <c r="P509" s="1" t="str">
        <f>IF(ISBLANK('Aqueous Species Options'!J509), "", 'Aqueous Species Options'!J509)</f>
        <v/>
      </c>
      <c r="Q509" s="184" t="str">
        <f>IF(ISBLANK('Aqueous Species Options'!T509), "", 'Aqueous Species Options'!T509)</f>
        <v/>
      </c>
    </row>
    <row r="510" spans="2:17" ht="16" x14ac:dyDescent="0.2">
      <c r="B510" t="str">
        <f>IF(ISBLANK('Aqueous Species Options'!B510), "", 'Aqueous Species Options'!B510)</f>
        <v/>
      </c>
      <c r="C510" s="1" t="str">
        <f>IF(ISBLANK('Aqueous Species Options'!C510), "", 'Aqueous Species Options'!C510)</f>
        <v/>
      </c>
      <c r="D510" s="1" t="str">
        <f>IF(ISBLANK('Aqueous Species Options'!D510), "", 'Aqueous Species Options'!D510)</f>
        <v/>
      </c>
      <c r="E510" s="1" t="str">
        <f>IF(ISBLANK('Aqueous Species Options'!E510), "", 'Aqueous Species Options'!E510)</f>
        <v/>
      </c>
      <c r="F510" s="139" t="str">
        <f>IF(ISBLANK('Aqueous Species Options'!F510), "", 'Aqueous Species Options'!F510)</f>
        <v/>
      </c>
      <c r="G510" s="29" t="str">
        <f>IF(ISBLANK('Aqueous Species Options'!B510), "", IF('Aqueous Species Options'!L510 = 1, IF(ISBLANK('Aqueous Species Options'!G510), "", 'Aqueous Species Options'!G510), ('Aqueous Species Table'!I510/10 + ('Aqueous Species Table'!J510*100)/(Calculations!$C$12+Calculations!$C$9) + ('Aqueous Species Table'!K510 + ('Aqueous Species Table'!L510*10000)/(Calculations!$C$12+Calculations!$C$9))*(1/(Calculations!$C$8-Calculations!$C$13)) - 'Aqueous Species Table'!O510*100000*0.0000005903)*41.8393))</f>
        <v/>
      </c>
      <c r="H510" s="29" t="str">
        <f>IF(ISBLANK('Aqueous Species Options'!B510), "", IF('Aqueous Species Options'!L510 = 1, IF(ISBLANK('Aqueous Species Options'!H510), "", 'Aqueous Species Options'!H510), 'Aqueous Species Table'!M510 + 'Aqueous Species Table'!N510*10000*(1/(Calculations!$C$8-Calculations!$C$13))^2 + 'Aqueous Species Table'!O510*100000*Calculations!$C$8*Calculations!$C$7))</f>
        <v/>
      </c>
      <c r="I510" s="1" t="str">
        <f>IF(ISBLANK('Aqueous Species Options'!B510), "", IF('Aqueous Species Options'!L510=0, 'Aqueous Species Options'!N510, IF(OR(ISBLANK('Aqueous Species Options'!G510),'Aqueous Species Table'!O510="", 'Aqueous Species Table'!P510=""), "", IF('Aqueous Species Options'!B510="H+", 0, (CHOOSE('Aqueous Species Options'!M510+1,'Aqueous Species Options'!$V$4*ABS('Aqueous Species Table'!P510)+'Aqueous Species Options'!$W$4,'Aqueous Species Options'!$Z$4)*('Aqueous Species Options'!G510 + 'Aqueous Species Table'!O510*100000*0.0000005903*41.8393) + CHOOSE('Aqueous Species Options'!M510+1,'Aqueous Species Options'!$X$4*ABS('Aqueous Species Table'!P510)+'Aqueous Species Options'!$Y$4,'Aqueous Species Options'!$AA$4))*10 ) ) ) )</f>
        <v/>
      </c>
      <c r="J510" s="1" t="str">
        <f>IF(ISBLANK('Aqueous Species Options'!B510), "", IF('Aqueous Species Options'!L510 = 0, 'Aqueous Species Options'!O510, IF('Aqueous Species Table'!I510="", "", IF('Aqueous Species Options'!B510="H+", 0, ((1.11*('Aqueous Species Options'!G510 + 'Aqueous Species Table'!O510*100000*0.0000005903*41.8393)+1.8)/41.8393 - 'Aqueous Species Table'!I510/10)*26.01 ) ) ) )</f>
        <v/>
      </c>
      <c r="K510" s="1" t="str">
        <f>IF(ISBLANK('Aqueous Species Options'!B510), "", IF('Aqueous Species Options'!L510 = 0, 'Aqueous Species Options'!P510, IF('Aqueous Species Table'!I510="", "", IF('Aqueous Species Options'!B510="H+", 0, ('Aqueous Species Options'!G510/41.8393 + 'Aqueous Species Table'!O510*100000*0.0000005903 - 'Aqueous Species Table'!I510/10 - 'Aqueous Species Table'!J510*100/2601)*(298.15-228) - ('Aqueous Species Table'!L510*10000/2601) ) ) ) )</f>
        <v/>
      </c>
      <c r="L510" s="1" t="str">
        <f>IF(ISBLANK('Aqueous Species Options'!B510), "", IF('Aqueous Species Options'!L510 = 0, 'Aqueous Species Options'!Q510, IF('Aqueous Species Table'!J510="", "", IF('Aqueous Species Options'!B510="H+", 0, (-4.134*'Aqueous Species Table'!J510*100 - 27790)*0.0001) ) ) )</f>
        <v/>
      </c>
      <c r="M510" s="1" t="str">
        <f>IF(ISBLANK('Aqueous Species Options'!B510), "", IF('Aqueous Species Options'!L510=0, 'Aqueous Species Options'!R510, IF('Aqueous Species Table'!N510="", "", IF('Aqueous Species Options'!B510="H+", 0, 'Aqueous Species Options'!H510 - 'Aqueous Species Table'!O510*100000*(-0.000000309)*298.15 - 'Aqueous Species Table'!N510*10000/(298.15-228)^2 ) ) ) )</f>
        <v/>
      </c>
      <c r="N510" s="1" t="str">
        <f>IF(ISBLANK('Aqueous Species Options'!B510), "", IF('Aqueous Species Options'!L510=0, 'Aqueous Species Options'!S510, IF(OR(ISBLANK('Aqueous Species Options'!H510), 'Aqueous Species Table'!O510=""), "", IF('Aqueous Species Options'!B510="H+", 0, 0.2037*'Aqueous Species Options'!H510 - 3.0346) ) ) )</f>
        <v/>
      </c>
      <c r="O510" s="1" t="str">
        <f>IF(ISBLANK('Aqueous Species Options'!B510), "", IF('Aqueous Species Options'!K510=0, 'Aqueous Species Options'!I510, IF(OR('Aqueous Species Options'!J510&gt;4,'Aqueous Species Options'!J510&lt;-4), "", IF('Aqueous Species Options'!B510="H+", 0, IF('Aqueous Species Options'!J510=0, -0.038, IF(ISBLANK('Aqueous Species Options'!F510), "", -1514.4*'Aqueous Species Options'!F510*0.00001 + SUM(({4,3,2,1,-1,-2,-3,-4}='Aqueous Species Options'!J510)*{2.1764,1.5793,1.0579,0.5517,1.6291,3.2127,4.8115,6.486}) ) ) ) ) ) )</f>
        <v/>
      </c>
      <c r="P510" s="1" t="str">
        <f>IF(ISBLANK('Aqueous Species Options'!J510), "", 'Aqueous Species Options'!J510)</f>
        <v/>
      </c>
      <c r="Q510" s="184" t="str">
        <f>IF(ISBLANK('Aqueous Species Options'!T510), "", 'Aqueous Species Options'!T510)</f>
        <v/>
      </c>
    </row>
    <row r="511" spans="2:17" ht="16" x14ac:dyDescent="0.2">
      <c r="B511" t="str">
        <f>IF(ISBLANK('Aqueous Species Options'!B511), "", 'Aqueous Species Options'!B511)</f>
        <v/>
      </c>
      <c r="C511" s="1" t="str">
        <f>IF(ISBLANK('Aqueous Species Options'!C511), "", 'Aqueous Species Options'!C511)</f>
        <v/>
      </c>
      <c r="D511" s="1" t="str">
        <f>IF(ISBLANK('Aqueous Species Options'!D511), "", 'Aqueous Species Options'!D511)</f>
        <v/>
      </c>
      <c r="E511" s="1" t="str">
        <f>IF(ISBLANK('Aqueous Species Options'!E511), "", 'Aqueous Species Options'!E511)</f>
        <v/>
      </c>
      <c r="F511" s="139" t="str">
        <f>IF(ISBLANK('Aqueous Species Options'!F511), "", 'Aqueous Species Options'!F511)</f>
        <v/>
      </c>
      <c r="G511" s="29" t="str">
        <f>IF(ISBLANK('Aqueous Species Options'!B511), "", IF('Aqueous Species Options'!L511 = 1, IF(ISBLANK('Aqueous Species Options'!G511), "", 'Aqueous Species Options'!G511), ('Aqueous Species Table'!I511/10 + ('Aqueous Species Table'!J511*100)/(Calculations!$C$12+Calculations!$C$9) + ('Aqueous Species Table'!K511 + ('Aqueous Species Table'!L511*10000)/(Calculations!$C$12+Calculations!$C$9))*(1/(Calculations!$C$8-Calculations!$C$13)) - 'Aqueous Species Table'!O511*100000*0.0000005903)*41.8393))</f>
        <v/>
      </c>
      <c r="H511" s="29" t="str">
        <f>IF(ISBLANK('Aqueous Species Options'!B511), "", IF('Aqueous Species Options'!L511 = 1, IF(ISBLANK('Aqueous Species Options'!H511), "", 'Aqueous Species Options'!H511), 'Aqueous Species Table'!M511 + 'Aqueous Species Table'!N511*10000*(1/(Calculations!$C$8-Calculations!$C$13))^2 + 'Aqueous Species Table'!O511*100000*Calculations!$C$8*Calculations!$C$7))</f>
        <v/>
      </c>
      <c r="I511" s="1" t="str">
        <f>IF(ISBLANK('Aqueous Species Options'!B511), "", IF('Aqueous Species Options'!L511=0, 'Aqueous Species Options'!N511, IF(OR(ISBLANK('Aqueous Species Options'!G511),'Aqueous Species Table'!O511="", 'Aqueous Species Table'!P511=""), "", IF('Aqueous Species Options'!B511="H+", 0, (CHOOSE('Aqueous Species Options'!M511+1,'Aqueous Species Options'!$V$4*ABS('Aqueous Species Table'!P511)+'Aqueous Species Options'!$W$4,'Aqueous Species Options'!$Z$4)*('Aqueous Species Options'!G511 + 'Aqueous Species Table'!O511*100000*0.0000005903*41.8393) + CHOOSE('Aqueous Species Options'!M511+1,'Aqueous Species Options'!$X$4*ABS('Aqueous Species Table'!P511)+'Aqueous Species Options'!$Y$4,'Aqueous Species Options'!$AA$4))*10 ) ) ) )</f>
        <v/>
      </c>
      <c r="J511" s="1" t="str">
        <f>IF(ISBLANK('Aqueous Species Options'!B511), "", IF('Aqueous Species Options'!L511 = 0, 'Aqueous Species Options'!O511, IF('Aqueous Species Table'!I511="", "", IF('Aqueous Species Options'!B511="H+", 0, ((1.11*('Aqueous Species Options'!G511 + 'Aqueous Species Table'!O511*100000*0.0000005903*41.8393)+1.8)/41.8393 - 'Aqueous Species Table'!I511/10)*26.01 ) ) ) )</f>
        <v/>
      </c>
      <c r="K511" s="1" t="str">
        <f>IF(ISBLANK('Aqueous Species Options'!B511), "", IF('Aqueous Species Options'!L511 = 0, 'Aqueous Species Options'!P511, IF('Aqueous Species Table'!I511="", "", IF('Aqueous Species Options'!B511="H+", 0, ('Aqueous Species Options'!G511/41.8393 + 'Aqueous Species Table'!O511*100000*0.0000005903 - 'Aqueous Species Table'!I511/10 - 'Aqueous Species Table'!J511*100/2601)*(298.15-228) - ('Aqueous Species Table'!L511*10000/2601) ) ) ) )</f>
        <v/>
      </c>
      <c r="L511" s="1" t="str">
        <f>IF(ISBLANK('Aqueous Species Options'!B511), "", IF('Aqueous Species Options'!L511 = 0, 'Aqueous Species Options'!Q511, IF('Aqueous Species Table'!J511="", "", IF('Aqueous Species Options'!B511="H+", 0, (-4.134*'Aqueous Species Table'!J511*100 - 27790)*0.0001) ) ) )</f>
        <v/>
      </c>
      <c r="M511" s="1" t="str">
        <f>IF(ISBLANK('Aqueous Species Options'!B511), "", IF('Aqueous Species Options'!L511=0, 'Aqueous Species Options'!R511, IF('Aqueous Species Table'!N511="", "", IF('Aqueous Species Options'!B511="H+", 0, 'Aqueous Species Options'!H511 - 'Aqueous Species Table'!O511*100000*(-0.000000309)*298.15 - 'Aqueous Species Table'!N511*10000/(298.15-228)^2 ) ) ) )</f>
        <v/>
      </c>
      <c r="N511" s="1" t="str">
        <f>IF(ISBLANK('Aqueous Species Options'!B511), "", IF('Aqueous Species Options'!L511=0, 'Aqueous Species Options'!S511, IF(OR(ISBLANK('Aqueous Species Options'!H511), 'Aqueous Species Table'!O511=""), "", IF('Aqueous Species Options'!B511="H+", 0, 0.2037*'Aqueous Species Options'!H511 - 3.0346) ) ) )</f>
        <v/>
      </c>
      <c r="O511" s="1" t="str">
        <f>IF(ISBLANK('Aqueous Species Options'!B511), "", IF('Aqueous Species Options'!K511=0, 'Aqueous Species Options'!I511, IF(OR('Aqueous Species Options'!J511&gt;4,'Aqueous Species Options'!J511&lt;-4), "", IF('Aqueous Species Options'!B511="H+", 0, IF('Aqueous Species Options'!J511=0, -0.038, IF(ISBLANK('Aqueous Species Options'!F511), "", -1514.4*'Aqueous Species Options'!F511*0.00001 + SUM(({4,3,2,1,-1,-2,-3,-4}='Aqueous Species Options'!J511)*{2.1764,1.5793,1.0579,0.5517,1.6291,3.2127,4.8115,6.486}) ) ) ) ) ) )</f>
        <v/>
      </c>
      <c r="P511" s="1" t="str">
        <f>IF(ISBLANK('Aqueous Species Options'!J511), "", 'Aqueous Species Options'!J511)</f>
        <v/>
      </c>
      <c r="Q511" s="184" t="str">
        <f>IF(ISBLANK('Aqueous Species Options'!T511), "", 'Aqueous Species Options'!T511)</f>
        <v/>
      </c>
    </row>
    <row r="512" spans="2:17" ht="16" x14ac:dyDescent="0.2">
      <c r="B512" t="str">
        <f>IF(ISBLANK('Aqueous Species Options'!B512), "", 'Aqueous Species Options'!B512)</f>
        <v/>
      </c>
      <c r="C512" s="1" t="str">
        <f>IF(ISBLANK('Aqueous Species Options'!C512), "", 'Aqueous Species Options'!C512)</f>
        <v/>
      </c>
      <c r="D512" s="1" t="str">
        <f>IF(ISBLANK('Aqueous Species Options'!D512), "", 'Aqueous Species Options'!D512)</f>
        <v/>
      </c>
      <c r="E512" s="1" t="str">
        <f>IF(ISBLANK('Aqueous Species Options'!E512), "", 'Aqueous Species Options'!E512)</f>
        <v/>
      </c>
      <c r="F512" s="139" t="str">
        <f>IF(ISBLANK('Aqueous Species Options'!F512), "", 'Aqueous Species Options'!F512)</f>
        <v/>
      </c>
      <c r="G512" s="29" t="str">
        <f>IF(ISBLANK('Aqueous Species Options'!B512), "", IF('Aqueous Species Options'!L512 = 1, IF(ISBLANK('Aqueous Species Options'!G512), "", 'Aqueous Species Options'!G512), ('Aqueous Species Table'!I512/10 + ('Aqueous Species Table'!J512*100)/(Calculations!$C$12+Calculations!$C$9) + ('Aqueous Species Table'!K512 + ('Aqueous Species Table'!L512*10000)/(Calculations!$C$12+Calculations!$C$9))*(1/(Calculations!$C$8-Calculations!$C$13)) - 'Aqueous Species Table'!O512*100000*0.0000005903)*41.8393))</f>
        <v/>
      </c>
      <c r="H512" s="29" t="str">
        <f>IF(ISBLANK('Aqueous Species Options'!B512), "", IF('Aqueous Species Options'!L512 = 1, IF(ISBLANK('Aqueous Species Options'!H512), "", 'Aqueous Species Options'!H512), 'Aqueous Species Table'!M512 + 'Aqueous Species Table'!N512*10000*(1/(Calculations!$C$8-Calculations!$C$13))^2 + 'Aqueous Species Table'!O512*100000*Calculations!$C$8*Calculations!$C$7))</f>
        <v/>
      </c>
      <c r="I512" s="1" t="str">
        <f>IF(ISBLANK('Aqueous Species Options'!B512), "", IF('Aqueous Species Options'!L512=0, 'Aqueous Species Options'!N512, IF(OR(ISBLANK('Aqueous Species Options'!G512),'Aqueous Species Table'!O512="", 'Aqueous Species Table'!P512=""), "", IF('Aqueous Species Options'!B512="H+", 0, (CHOOSE('Aqueous Species Options'!M512+1,'Aqueous Species Options'!$V$4*ABS('Aqueous Species Table'!P512)+'Aqueous Species Options'!$W$4,'Aqueous Species Options'!$Z$4)*('Aqueous Species Options'!G512 + 'Aqueous Species Table'!O512*100000*0.0000005903*41.8393) + CHOOSE('Aqueous Species Options'!M512+1,'Aqueous Species Options'!$X$4*ABS('Aqueous Species Table'!P512)+'Aqueous Species Options'!$Y$4,'Aqueous Species Options'!$AA$4))*10 ) ) ) )</f>
        <v/>
      </c>
      <c r="J512" s="1" t="str">
        <f>IF(ISBLANK('Aqueous Species Options'!B512), "", IF('Aqueous Species Options'!L512 = 0, 'Aqueous Species Options'!O512, IF('Aqueous Species Table'!I512="", "", IF('Aqueous Species Options'!B512="H+", 0, ((1.11*('Aqueous Species Options'!G512 + 'Aqueous Species Table'!O512*100000*0.0000005903*41.8393)+1.8)/41.8393 - 'Aqueous Species Table'!I512/10)*26.01 ) ) ) )</f>
        <v/>
      </c>
      <c r="K512" s="1" t="str">
        <f>IF(ISBLANK('Aqueous Species Options'!B512), "", IF('Aqueous Species Options'!L512 = 0, 'Aqueous Species Options'!P512, IF('Aqueous Species Table'!I512="", "", IF('Aqueous Species Options'!B512="H+", 0, ('Aqueous Species Options'!G512/41.8393 + 'Aqueous Species Table'!O512*100000*0.0000005903 - 'Aqueous Species Table'!I512/10 - 'Aqueous Species Table'!J512*100/2601)*(298.15-228) - ('Aqueous Species Table'!L512*10000/2601) ) ) ) )</f>
        <v/>
      </c>
      <c r="L512" s="1" t="str">
        <f>IF(ISBLANK('Aqueous Species Options'!B512), "", IF('Aqueous Species Options'!L512 = 0, 'Aqueous Species Options'!Q512, IF('Aqueous Species Table'!J512="", "", IF('Aqueous Species Options'!B512="H+", 0, (-4.134*'Aqueous Species Table'!J512*100 - 27790)*0.0001) ) ) )</f>
        <v/>
      </c>
      <c r="M512" s="1" t="str">
        <f>IF(ISBLANK('Aqueous Species Options'!B512), "", IF('Aqueous Species Options'!L512=0, 'Aqueous Species Options'!R512, IF('Aqueous Species Table'!N512="", "", IF('Aqueous Species Options'!B512="H+", 0, 'Aqueous Species Options'!H512 - 'Aqueous Species Table'!O512*100000*(-0.000000309)*298.15 - 'Aqueous Species Table'!N512*10000/(298.15-228)^2 ) ) ) )</f>
        <v/>
      </c>
      <c r="N512" s="1" t="str">
        <f>IF(ISBLANK('Aqueous Species Options'!B512), "", IF('Aqueous Species Options'!L512=0, 'Aqueous Species Options'!S512, IF(OR(ISBLANK('Aqueous Species Options'!H512), 'Aqueous Species Table'!O512=""), "", IF('Aqueous Species Options'!B512="H+", 0, 0.2037*'Aqueous Species Options'!H512 - 3.0346) ) ) )</f>
        <v/>
      </c>
      <c r="O512" s="1" t="str">
        <f>IF(ISBLANK('Aqueous Species Options'!B512), "", IF('Aqueous Species Options'!K512=0, 'Aqueous Species Options'!I512, IF(OR('Aqueous Species Options'!J512&gt;4,'Aqueous Species Options'!J512&lt;-4), "", IF('Aqueous Species Options'!B512="H+", 0, IF('Aqueous Species Options'!J512=0, -0.038, IF(ISBLANK('Aqueous Species Options'!F512), "", -1514.4*'Aqueous Species Options'!F512*0.00001 + SUM(({4,3,2,1,-1,-2,-3,-4}='Aqueous Species Options'!J512)*{2.1764,1.5793,1.0579,0.5517,1.6291,3.2127,4.8115,6.486}) ) ) ) ) ) )</f>
        <v/>
      </c>
      <c r="P512" s="1" t="str">
        <f>IF(ISBLANK('Aqueous Species Options'!J512), "", 'Aqueous Species Options'!J512)</f>
        <v/>
      </c>
      <c r="Q512" s="184" t="str">
        <f>IF(ISBLANK('Aqueous Species Options'!T512), "", 'Aqueous Species Options'!T512)</f>
        <v/>
      </c>
    </row>
    <row r="513" spans="2:17" ht="16" x14ac:dyDescent="0.2">
      <c r="B513" t="str">
        <f>IF(ISBLANK('Aqueous Species Options'!B513), "", 'Aqueous Species Options'!B513)</f>
        <v/>
      </c>
      <c r="C513" s="1" t="str">
        <f>IF(ISBLANK('Aqueous Species Options'!C513), "", 'Aqueous Species Options'!C513)</f>
        <v/>
      </c>
      <c r="D513" s="1" t="str">
        <f>IF(ISBLANK('Aqueous Species Options'!D513), "", 'Aqueous Species Options'!D513)</f>
        <v/>
      </c>
      <c r="E513" s="1" t="str">
        <f>IF(ISBLANK('Aqueous Species Options'!E513), "", 'Aqueous Species Options'!E513)</f>
        <v/>
      </c>
      <c r="F513" s="139" t="str">
        <f>IF(ISBLANK('Aqueous Species Options'!F513), "", 'Aqueous Species Options'!F513)</f>
        <v/>
      </c>
      <c r="G513" s="29" t="str">
        <f>IF(ISBLANK('Aqueous Species Options'!B513), "", IF('Aqueous Species Options'!L513 = 1, IF(ISBLANK('Aqueous Species Options'!G513), "", 'Aqueous Species Options'!G513), ('Aqueous Species Table'!I513/10 + ('Aqueous Species Table'!J513*100)/(Calculations!$C$12+Calculations!$C$9) + ('Aqueous Species Table'!K513 + ('Aqueous Species Table'!L513*10000)/(Calculations!$C$12+Calculations!$C$9))*(1/(Calculations!$C$8-Calculations!$C$13)) - 'Aqueous Species Table'!O513*100000*0.0000005903)*41.8393))</f>
        <v/>
      </c>
      <c r="H513" s="29" t="str">
        <f>IF(ISBLANK('Aqueous Species Options'!B513), "", IF('Aqueous Species Options'!L513 = 1, IF(ISBLANK('Aqueous Species Options'!H513), "", 'Aqueous Species Options'!H513), 'Aqueous Species Table'!M513 + 'Aqueous Species Table'!N513*10000*(1/(Calculations!$C$8-Calculations!$C$13))^2 + 'Aqueous Species Table'!O513*100000*Calculations!$C$8*Calculations!$C$7))</f>
        <v/>
      </c>
      <c r="I513" s="1" t="str">
        <f>IF(ISBLANK('Aqueous Species Options'!B513), "", IF('Aqueous Species Options'!L513=0, 'Aqueous Species Options'!N513, IF(OR(ISBLANK('Aqueous Species Options'!G513),'Aqueous Species Table'!O513="", 'Aqueous Species Table'!P513=""), "", IF('Aqueous Species Options'!B513="H+", 0, (CHOOSE('Aqueous Species Options'!M513+1,'Aqueous Species Options'!$V$4*ABS('Aqueous Species Table'!P513)+'Aqueous Species Options'!$W$4,'Aqueous Species Options'!$Z$4)*('Aqueous Species Options'!G513 + 'Aqueous Species Table'!O513*100000*0.0000005903*41.8393) + CHOOSE('Aqueous Species Options'!M513+1,'Aqueous Species Options'!$X$4*ABS('Aqueous Species Table'!P513)+'Aqueous Species Options'!$Y$4,'Aqueous Species Options'!$AA$4))*10 ) ) ) )</f>
        <v/>
      </c>
      <c r="J513" s="1" t="str">
        <f>IF(ISBLANK('Aqueous Species Options'!B513), "", IF('Aqueous Species Options'!L513 = 0, 'Aqueous Species Options'!O513, IF('Aqueous Species Table'!I513="", "", IF('Aqueous Species Options'!B513="H+", 0, ((1.11*('Aqueous Species Options'!G513 + 'Aqueous Species Table'!O513*100000*0.0000005903*41.8393)+1.8)/41.8393 - 'Aqueous Species Table'!I513/10)*26.01 ) ) ) )</f>
        <v/>
      </c>
      <c r="K513" s="1" t="str">
        <f>IF(ISBLANK('Aqueous Species Options'!B513), "", IF('Aqueous Species Options'!L513 = 0, 'Aqueous Species Options'!P513, IF('Aqueous Species Table'!I513="", "", IF('Aqueous Species Options'!B513="H+", 0, ('Aqueous Species Options'!G513/41.8393 + 'Aqueous Species Table'!O513*100000*0.0000005903 - 'Aqueous Species Table'!I513/10 - 'Aqueous Species Table'!J513*100/2601)*(298.15-228) - ('Aqueous Species Table'!L513*10000/2601) ) ) ) )</f>
        <v/>
      </c>
      <c r="L513" s="1" t="str">
        <f>IF(ISBLANK('Aqueous Species Options'!B513), "", IF('Aqueous Species Options'!L513 = 0, 'Aqueous Species Options'!Q513, IF('Aqueous Species Table'!J513="", "", IF('Aqueous Species Options'!B513="H+", 0, (-4.134*'Aqueous Species Table'!J513*100 - 27790)*0.0001) ) ) )</f>
        <v/>
      </c>
      <c r="M513" s="1" t="str">
        <f>IF(ISBLANK('Aqueous Species Options'!B513), "", IF('Aqueous Species Options'!L513=0, 'Aqueous Species Options'!R513, IF('Aqueous Species Table'!N513="", "", IF('Aqueous Species Options'!B513="H+", 0, 'Aqueous Species Options'!H513 - 'Aqueous Species Table'!O513*100000*(-0.000000309)*298.15 - 'Aqueous Species Table'!N513*10000/(298.15-228)^2 ) ) ) )</f>
        <v/>
      </c>
      <c r="N513" s="1" t="str">
        <f>IF(ISBLANK('Aqueous Species Options'!B513), "", IF('Aqueous Species Options'!L513=0, 'Aqueous Species Options'!S513, IF(OR(ISBLANK('Aqueous Species Options'!H513), 'Aqueous Species Table'!O513=""), "", IF('Aqueous Species Options'!B513="H+", 0, 0.2037*'Aqueous Species Options'!H513 - 3.0346) ) ) )</f>
        <v/>
      </c>
      <c r="O513" s="1" t="str">
        <f>IF(ISBLANK('Aqueous Species Options'!B513), "", IF('Aqueous Species Options'!K513=0, 'Aqueous Species Options'!I513, IF(OR('Aqueous Species Options'!J513&gt;4,'Aqueous Species Options'!J513&lt;-4), "", IF('Aqueous Species Options'!B513="H+", 0, IF('Aqueous Species Options'!J513=0, -0.038, IF(ISBLANK('Aqueous Species Options'!F513), "", -1514.4*'Aqueous Species Options'!F513*0.00001 + SUM(({4,3,2,1,-1,-2,-3,-4}='Aqueous Species Options'!J513)*{2.1764,1.5793,1.0579,0.5517,1.6291,3.2127,4.8115,6.486}) ) ) ) ) ) )</f>
        <v/>
      </c>
      <c r="P513" s="1" t="str">
        <f>IF(ISBLANK('Aqueous Species Options'!J513), "", 'Aqueous Species Options'!J513)</f>
        <v/>
      </c>
      <c r="Q513" s="184" t="str">
        <f>IF(ISBLANK('Aqueous Species Options'!T513), "", 'Aqueous Species Options'!T513)</f>
        <v/>
      </c>
    </row>
    <row r="514" spans="2:17" ht="16" x14ac:dyDescent="0.2">
      <c r="B514" t="str">
        <f>IF(ISBLANK('Aqueous Species Options'!B514), "", 'Aqueous Species Options'!B514)</f>
        <v/>
      </c>
      <c r="C514" s="1" t="str">
        <f>IF(ISBLANK('Aqueous Species Options'!C514), "", 'Aqueous Species Options'!C514)</f>
        <v/>
      </c>
      <c r="D514" s="1" t="str">
        <f>IF(ISBLANK('Aqueous Species Options'!D514), "", 'Aqueous Species Options'!D514)</f>
        <v/>
      </c>
      <c r="E514" s="1" t="str">
        <f>IF(ISBLANK('Aqueous Species Options'!E514), "", 'Aqueous Species Options'!E514)</f>
        <v/>
      </c>
      <c r="F514" s="139" t="str">
        <f>IF(ISBLANK('Aqueous Species Options'!F514), "", 'Aqueous Species Options'!F514)</f>
        <v/>
      </c>
      <c r="G514" s="29" t="str">
        <f>IF(ISBLANK('Aqueous Species Options'!B514), "", IF('Aqueous Species Options'!L514 = 1, IF(ISBLANK('Aqueous Species Options'!G514), "", 'Aqueous Species Options'!G514), ('Aqueous Species Table'!I514/10 + ('Aqueous Species Table'!J514*100)/(Calculations!$C$12+Calculations!$C$9) + ('Aqueous Species Table'!K514 + ('Aqueous Species Table'!L514*10000)/(Calculations!$C$12+Calculations!$C$9))*(1/(Calculations!$C$8-Calculations!$C$13)) - 'Aqueous Species Table'!O514*100000*0.0000005903)*41.8393))</f>
        <v/>
      </c>
      <c r="H514" s="29" t="str">
        <f>IF(ISBLANK('Aqueous Species Options'!B514), "", IF('Aqueous Species Options'!L514 = 1, IF(ISBLANK('Aqueous Species Options'!H514), "", 'Aqueous Species Options'!H514), 'Aqueous Species Table'!M514 + 'Aqueous Species Table'!N514*10000*(1/(Calculations!$C$8-Calculations!$C$13))^2 + 'Aqueous Species Table'!O514*100000*Calculations!$C$8*Calculations!$C$7))</f>
        <v/>
      </c>
      <c r="I514" s="1" t="str">
        <f>IF(ISBLANK('Aqueous Species Options'!B514), "", IF('Aqueous Species Options'!L514=0, 'Aqueous Species Options'!N514, IF(OR(ISBLANK('Aqueous Species Options'!G514),'Aqueous Species Table'!O514="", 'Aqueous Species Table'!P514=""), "", IF('Aqueous Species Options'!B514="H+", 0, (CHOOSE('Aqueous Species Options'!M514+1,'Aqueous Species Options'!$V$4*ABS('Aqueous Species Table'!P514)+'Aqueous Species Options'!$W$4,'Aqueous Species Options'!$Z$4)*('Aqueous Species Options'!G514 + 'Aqueous Species Table'!O514*100000*0.0000005903*41.8393) + CHOOSE('Aqueous Species Options'!M514+1,'Aqueous Species Options'!$X$4*ABS('Aqueous Species Table'!P514)+'Aqueous Species Options'!$Y$4,'Aqueous Species Options'!$AA$4))*10 ) ) ) )</f>
        <v/>
      </c>
      <c r="J514" s="1" t="str">
        <f>IF(ISBLANK('Aqueous Species Options'!B514), "", IF('Aqueous Species Options'!L514 = 0, 'Aqueous Species Options'!O514, IF('Aqueous Species Table'!I514="", "", IF('Aqueous Species Options'!B514="H+", 0, ((1.11*('Aqueous Species Options'!G514 + 'Aqueous Species Table'!O514*100000*0.0000005903*41.8393)+1.8)/41.8393 - 'Aqueous Species Table'!I514/10)*26.01 ) ) ) )</f>
        <v/>
      </c>
      <c r="K514" s="1" t="str">
        <f>IF(ISBLANK('Aqueous Species Options'!B514), "", IF('Aqueous Species Options'!L514 = 0, 'Aqueous Species Options'!P514, IF('Aqueous Species Table'!I514="", "", IF('Aqueous Species Options'!B514="H+", 0, ('Aqueous Species Options'!G514/41.8393 + 'Aqueous Species Table'!O514*100000*0.0000005903 - 'Aqueous Species Table'!I514/10 - 'Aqueous Species Table'!J514*100/2601)*(298.15-228) - ('Aqueous Species Table'!L514*10000/2601) ) ) ) )</f>
        <v/>
      </c>
      <c r="L514" s="1" t="str">
        <f>IF(ISBLANK('Aqueous Species Options'!B514), "", IF('Aqueous Species Options'!L514 = 0, 'Aqueous Species Options'!Q514, IF('Aqueous Species Table'!J514="", "", IF('Aqueous Species Options'!B514="H+", 0, (-4.134*'Aqueous Species Table'!J514*100 - 27790)*0.0001) ) ) )</f>
        <v/>
      </c>
      <c r="M514" s="1" t="str">
        <f>IF(ISBLANK('Aqueous Species Options'!B514), "", IF('Aqueous Species Options'!L514=0, 'Aqueous Species Options'!R514, IF('Aqueous Species Table'!N514="", "", IF('Aqueous Species Options'!B514="H+", 0, 'Aqueous Species Options'!H514 - 'Aqueous Species Table'!O514*100000*(-0.000000309)*298.15 - 'Aqueous Species Table'!N514*10000/(298.15-228)^2 ) ) ) )</f>
        <v/>
      </c>
      <c r="N514" s="1" t="str">
        <f>IF(ISBLANK('Aqueous Species Options'!B514), "", IF('Aqueous Species Options'!L514=0, 'Aqueous Species Options'!S514, IF(OR(ISBLANK('Aqueous Species Options'!H514), 'Aqueous Species Table'!O514=""), "", IF('Aqueous Species Options'!B514="H+", 0, 0.2037*'Aqueous Species Options'!H514 - 3.0346) ) ) )</f>
        <v/>
      </c>
      <c r="O514" s="1" t="str">
        <f>IF(ISBLANK('Aqueous Species Options'!B514), "", IF('Aqueous Species Options'!K514=0, 'Aqueous Species Options'!I514, IF(OR('Aqueous Species Options'!J514&gt;4,'Aqueous Species Options'!J514&lt;-4), "", IF('Aqueous Species Options'!B514="H+", 0, IF('Aqueous Species Options'!J514=0, -0.038, IF(ISBLANK('Aqueous Species Options'!F514), "", -1514.4*'Aqueous Species Options'!F514*0.00001 + SUM(({4,3,2,1,-1,-2,-3,-4}='Aqueous Species Options'!J514)*{2.1764,1.5793,1.0579,0.5517,1.6291,3.2127,4.8115,6.486}) ) ) ) ) ) )</f>
        <v/>
      </c>
      <c r="P514" s="1" t="str">
        <f>IF(ISBLANK('Aqueous Species Options'!J514), "", 'Aqueous Species Options'!J514)</f>
        <v/>
      </c>
      <c r="Q514" s="184" t="str">
        <f>IF(ISBLANK('Aqueous Species Options'!T514), "", 'Aqueous Species Options'!T514)</f>
        <v/>
      </c>
    </row>
    <row r="515" spans="2:17" ht="16" x14ac:dyDescent="0.2">
      <c r="B515" t="str">
        <f>IF(ISBLANK('Aqueous Species Options'!B515), "", 'Aqueous Species Options'!B515)</f>
        <v/>
      </c>
      <c r="C515" s="1" t="str">
        <f>IF(ISBLANK('Aqueous Species Options'!C515), "", 'Aqueous Species Options'!C515)</f>
        <v/>
      </c>
      <c r="D515" s="1" t="str">
        <f>IF(ISBLANK('Aqueous Species Options'!D515), "", 'Aqueous Species Options'!D515)</f>
        <v/>
      </c>
      <c r="E515" s="1" t="str">
        <f>IF(ISBLANK('Aqueous Species Options'!E515), "", 'Aqueous Species Options'!E515)</f>
        <v/>
      </c>
      <c r="F515" s="139" t="str">
        <f>IF(ISBLANK('Aqueous Species Options'!F515), "", 'Aqueous Species Options'!F515)</f>
        <v/>
      </c>
      <c r="G515" s="29" t="str">
        <f>IF(ISBLANK('Aqueous Species Options'!B515), "", IF('Aqueous Species Options'!L515 = 1, IF(ISBLANK('Aqueous Species Options'!G515), "", 'Aqueous Species Options'!G515), ('Aqueous Species Table'!I515/10 + ('Aqueous Species Table'!J515*100)/(Calculations!$C$12+Calculations!$C$9) + ('Aqueous Species Table'!K515 + ('Aqueous Species Table'!L515*10000)/(Calculations!$C$12+Calculations!$C$9))*(1/(Calculations!$C$8-Calculations!$C$13)) - 'Aqueous Species Table'!O515*100000*0.0000005903)*41.8393))</f>
        <v/>
      </c>
      <c r="H515" s="29" t="str">
        <f>IF(ISBLANK('Aqueous Species Options'!B515), "", IF('Aqueous Species Options'!L515 = 1, IF(ISBLANK('Aqueous Species Options'!H515), "", 'Aqueous Species Options'!H515), 'Aqueous Species Table'!M515 + 'Aqueous Species Table'!N515*10000*(1/(Calculations!$C$8-Calculations!$C$13))^2 + 'Aqueous Species Table'!O515*100000*Calculations!$C$8*Calculations!$C$7))</f>
        <v/>
      </c>
      <c r="I515" s="1" t="str">
        <f>IF(ISBLANK('Aqueous Species Options'!B515), "", IF('Aqueous Species Options'!L515=0, 'Aqueous Species Options'!N515, IF(OR(ISBLANK('Aqueous Species Options'!G515),'Aqueous Species Table'!O515="", 'Aqueous Species Table'!P515=""), "", IF('Aqueous Species Options'!B515="H+", 0, (CHOOSE('Aqueous Species Options'!M515+1,'Aqueous Species Options'!$V$4*ABS('Aqueous Species Table'!P515)+'Aqueous Species Options'!$W$4,'Aqueous Species Options'!$Z$4)*('Aqueous Species Options'!G515 + 'Aqueous Species Table'!O515*100000*0.0000005903*41.8393) + CHOOSE('Aqueous Species Options'!M515+1,'Aqueous Species Options'!$X$4*ABS('Aqueous Species Table'!P515)+'Aqueous Species Options'!$Y$4,'Aqueous Species Options'!$AA$4))*10 ) ) ) )</f>
        <v/>
      </c>
      <c r="J515" s="1" t="str">
        <f>IF(ISBLANK('Aqueous Species Options'!B515), "", IF('Aqueous Species Options'!L515 = 0, 'Aqueous Species Options'!O515, IF('Aqueous Species Table'!I515="", "", IF('Aqueous Species Options'!B515="H+", 0, ((1.11*('Aqueous Species Options'!G515 + 'Aqueous Species Table'!O515*100000*0.0000005903*41.8393)+1.8)/41.8393 - 'Aqueous Species Table'!I515/10)*26.01 ) ) ) )</f>
        <v/>
      </c>
      <c r="K515" s="1" t="str">
        <f>IF(ISBLANK('Aqueous Species Options'!B515), "", IF('Aqueous Species Options'!L515 = 0, 'Aqueous Species Options'!P515, IF('Aqueous Species Table'!I515="", "", IF('Aqueous Species Options'!B515="H+", 0, ('Aqueous Species Options'!G515/41.8393 + 'Aqueous Species Table'!O515*100000*0.0000005903 - 'Aqueous Species Table'!I515/10 - 'Aqueous Species Table'!J515*100/2601)*(298.15-228) - ('Aqueous Species Table'!L515*10000/2601) ) ) ) )</f>
        <v/>
      </c>
      <c r="L515" s="1" t="str">
        <f>IF(ISBLANK('Aqueous Species Options'!B515), "", IF('Aqueous Species Options'!L515 = 0, 'Aqueous Species Options'!Q515, IF('Aqueous Species Table'!J515="", "", IF('Aqueous Species Options'!B515="H+", 0, (-4.134*'Aqueous Species Table'!J515*100 - 27790)*0.0001) ) ) )</f>
        <v/>
      </c>
      <c r="M515" s="1" t="str">
        <f>IF(ISBLANK('Aqueous Species Options'!B515), "", IF('Aqueous Species Options'!L515=0, 'Aqueous Species Options'!R515, IF('Aqueous Species Table'!N515="", "", IF('Aqueous Species Options'!B515="H+", 0, 'Aqueous Species Options'!H515 - 'Aqueous Species Table'!O515*100000*(-0.000000309)*298.15 - 'Aqueous Species Table'!N515*10000/(298.15-228)^2 ) ) ) )</f>
        <v/>
      </c>
      <c r="N515" s="1" t="str">
        <f>IF(ISBLANK('Aqueous Species Options'!B515), "", IF('Aqueous Species Options'!L515=0, 'Aqueous Species Options'!S515, IF(OR(ISBLANK('Aqueous Species Options'!H515), 'Aqueous Species Table'!O515=""), "", IF('Aqueous Species Options'!B515="H+", 0, 0.2037*'Aqueous Species Options'!H515 - 3.0346) ) ) )</f>
        <v/>
      </c>
      <c r="O515" s="1" t="str">
        <f>IF(ISBLANK('Aqueous Species Options'!B515), "", IF('Aqueous Species Options'!K515=0, 'Aqueous Species Options'!I515, IF(OR('Aqueous Species Options'!J515&gt;4,'Aqueous Species Options'!J515&lt;-4), "", IF('Aqueous Species Options'!B515="H+", 0, IF('Aqueous Species Options'!J515=0, -0.038, IF(ISBLANK('Aqueous Species Options'!F515), "", -1514.4*'Aqueous Species Options'!F515*0.00001 + SUM(({4,3,2,1,-1,-2,-3,-4}='Aqueous Species Options'!J515)*{2.1764,1.5793,1.0579,0.5517,1.6291,3.2127,4.8115,6.486}) ) ) ) ) ) )</f>
        <v/>
      </c>
      <c r="P515" s="1" t="str">
        <f>IF(ISBLANK('Aqueous Species Options'!J515), "", 'Aqueous Species Options'!J515)</f>
        <v/>
      </c>
      <c r="Q515" s="184" t="str">
        <f>IF(ISBLANK('Aqueous Species Options'!T515), "", 'Aqueous Species Options'!T515)</f>
        <v/>
      </c>
    </row>
    <row r="516" spans="2:17" ht="16" x14ac:dyDescent="0.2">
      <c r="B516" t="str">
        <f>IF(ISBLANK('Aqueous Species Options'!B516), "", 'Aqueous Species Options'!B516)</f>
        <v/>
      </c>
      <c r="C516" s="1" t="str">
        <f>IF(ISBLANK('Aqueous Species Options'!C516), "", 'Aqueous Species Options'!C516)</f>
        <v/>
      </c>
      <c r="D516" s="1" t="str">
        <f>IF(ISBLANK('Aqueous Species Options'!D516), "", 'Aqueous Species Options'!D516)</f>
        <v/>
      </c>
      <c r="E516" s="1" t="str">
        <f>IF(ISBLANK('Aqueous Species Options'!E516), "", 'Aqueous Species Options'!E516)</f>
        <v/>
      </c>
      <c r="F516" s="139" t="str">
        <f>IF(ISBLANK('Aqueous Species Options'!F516), "", 'Aqueous Species Options'!F516)</f>
        <v/>
      </c>
      <c r="G516" s="29" t="str">
        <f>IF(ISBLANK('Aqueous Species Options'!B516), "", IF('Aqueous Species Options'!L516 = 1, IF(ISBLANK('Aqueous Species Options'!G516), "", 'Aqueous Species Options'!G516), ('Aqueous Species Table'!I516/10 + ('Aqueous Species Table'!J516*100)/(Calculations!$C$12+Calculations!$C$9) + ('Aqueous Species Table'!K516 + ('Aqueous Species Table'!L516*10000)/(Calculations!$C$12+Calculations!$C$9))*(1/(Calculations!$C$8-Calculations!$C$13)) - 'Aqueous Species Table'!O516*100000*0.0000005903)*41.8393))</f>
        <v/>
      </c>
      <c r="H516" s="29" t="str">
        <f>IF(ISBLANK('Aqueous Species Options'!B516), "", IF('Aqueous Species Options'!L516 = 1, IF(ISBLANK('Aqueous Species Options'!H516), "", 'Aqueous Species Options'!H516), 'Aqueous Species Table'!M516 + 'Aqueous Species Table'!N516*10000*(1/(Calculations!$C$8-Calculations!$C$13))^2 + 'Aqueous Species Table'!O516*100000*Calculations!$C$8*Calculations!$C$7))</f>
        <v/>
      </c>
      <c r="I516" s="1" t="str">
        <f>IF(ISBLANK('Aqueous Species Options'!B516), "", IF('Aqueous Species Options'!L516=0, 'Aqueous Species Options'!N516, IF(OR(ISBLANK('Aqueous Species Options'!G516),'Aqueous Species Table'!O516="", 'Aqueous Species Table'!P516=""), "", IF('Aqueous Species Options'!B516="H+", 0, (CHOOSE('Aqueous Species Options'!M516+1,'Aqueous Species Options'!$V$4*ABS('Aqueous Species Table'!P516)+'Aqueous Species Options'!$W$4,'Aqueous Species Options'!$Z$4)*('Aqueous Species Options'!G516 + 'Aqueous Species Table'!O516*100000*0.0000005903*41.8393) + CHOOSE('Aqueous Species Options'!M516+1,'Aqueous Species Options'!$X$4*ABS('Aqueous Species Table'!P516)+'Aqueous Species Options'!$Y$4,'Aqueous Species Options'!$AA$4))*10 ) ) ) )</f>
        <v/>
      </c>
      <c r="J516" s="1" t="str">
        <f>IF(ISBLANK('Aqueous Species Options'!B516), "", IF('Aqueous Species Options'!L516 = 0, 'Aqueous Species Options'!O516, IF('Aqueous Species Table'!I516="", "", IF('Aqueous Species Options'!B516="H+", 0, ((1.11*('Aqueous Species Options'!G516 + 'Aqueous Species Table'!O516*100000*0.0000005903*41.8393)+1.8)/41.8393 - 'Aqueous Species Table'!I516/10)*26.01 ) ) ) )</f>
        <v/>
      </c>
      <c r="K516" s="1" t="str">
        <f>IF(ISBLANK('Aqueous Species Options'!B516), "", IF('Aqueous Species Options'!L516 = 0, 'Aqueous Species Options'!P516, IF('Aqueous Species Table'!I516="", "", IF('Aqueous Species Options'!B516="H+", 0, ('Aqueous Species Options'!G516/41.8393 + 'Aqueous Species Table'!O516*100000*0.0000005903 - 'Aqueous Species Table'!I516/10 - 'Aqueous Species Table'!J516*100/2601)*(298.15-228) - ('Aqueous Species Table'!L516*10000/2601) ) ) ) )</f>
        <v/>
      </c>
      <c r="L516" s="1" t="str">
        <f>IF(ISBLANK('Aqueous Species Options'!B516), "", IF('Aqueous Species Options'!L516 = 0, 'Aqueous Species Options'!Q516, IF('Aqueous Species Table'!J516="", "", IF('Aqueous Species Options'!B516="H+", 0, (-4.134*'Aqueous Species Table'!J516*100 - 27790)*0.0001) ) ) )</f>
        <v/>
      </c>
      <c r="M516" s="1" t="str">
        <f>IF(ISBLANK('Aqueous Species Options'!B516), "", IF('Aqueous Species Options'!L516=0, 'Aqueous Species Options'!R516, IF('Aqueous Species Table'!N516="", "", IF('Aqueous Species Options'!B516="H+", 0, 'Aqueous Species Options'!H516 - 'Aqueous Species Table'!O516*100000*(-0.000000309)*298.15 - 'Aqueous Species Table'!N516*10000/(298.15-228)^2 ) ) ) )</f>
        <v/>
      </c>
      <c r="N516" s="1" t="str">
        <f>IF(ISBLANK('Aqueous Species Options'!B516), "", IF('Aqueous Species Options'!L516=0, 'Aqueous Species Options'!S516, IF(OR(ISBLANK('Aqueous Species Options'!H516), 'Aqueous Species Table'!O516=""), "", IF('Aqueous Species Options'!B516="H+", 0, 0.2037*'Aqueous Species Options'!H516 - 3.0346) ) ) )</f>
        <v/>
      </c>
      <c r="O516" s="1" t="str">
        <f>IF(ISBLANK('Aqueous Species Options'!B516), "", IF('Aqueous Species Options'!K516=0, 'Aqueous Species Options'!I516, IF(OR('Aqueous Species Options'!J516&gt;4,'Aqueous Species Options'!J516&lt;-4), "", IF('Aqueous Species Options'!B516="H+", 0, IF('Aqueous Species Options'!J516=0, -0.038, IF(ISBLANK('Aqueous Species Options'!F516), "", -1514.4*'Aqueous Species Options'!F516*0.00001 + SUM(({4,3,2,1,-1,-2,-3,-4}='Aqueous Species Options'!J516)*{2.1764,1.5793,1.0579,0.5517,1.6291,3.2127,4.8115,6.486}) ) ) ) ) ) )</f>
        <v/>
      </c>
      <c r="P516" s="1" t="str">
        <f>IF(ISBLANK('Aqueous Species Options'!J516), "", 'Aqueous Species Options'!J516)</f>
        <v/>
      </c>
      <c r="Q516" s="184" t="str">
        <f>IF(ISBLANK('Aqueous Species Options'!T516), "", 'Aqueous Species Options'!T516)</f>
        <v/>
      </c>
    </row>
    <row r="517" spans="2:17" ht="16" x14ac:dyDescent="0.2">
      <c r="B517" t="str">
        <f>IF(ISBLANK('Aqueous Species Options'!B517), "", 'Aqueous Species Options'!B517)</f>
        <v/>
      </c>
      <c r="C517" s="1" t="str">
        <f>IF(ISBLANK('Aqueous Species Options'!C517), "", 'Aqueous Species Options'!C517)</f>
        <v/>
      </c>
      <c r="D517" s="1" t="str">
        <f>IF(ISBLANK('Aqueous Species Options'!D517), "", 'Aqueous Species Options'!D517)</f>
        <v/>
      </c>
      <c r="E517" s="1" t="str">
        <f>IF(ISBLANK('Aqueous Species Options'!E517), "", 'Aqueous Species Options'!E517)</f>
        <v/>
      </c>
      <c r="F517" s="139" t="str">
        <f>IF(ISBLANK('Aqueous Species Options'!F517), "", 'Aqueous Species Options'!F517)</f>
        <v/>
      </c>
      <c r="G517" s="29" t="str">
        <f>IF(ISBLANK('Aqueous Species Options'!B517), "", IF('Aqueous Species Options'!L517 = 1, IF(ISBLANK('Aqueous Species Options'!G517), "", 'Aqueous Species Options'!G517), ('Aqueous Species Table'!I517/10 + ('Aqueous Species Table'!J517*100)/(Calculations!$C$12+Calculations!$C$9) + ('Aqueous Species Table'!K517 + ('Aqueous Species Table'!L517*10000)/(Calculations!$C$12+Calculations!$C$9))*(1/(Calculations!$C$8-Calculations!$C$13)) - 'Aqueous Species Table'!O517*100000*0.0000005903)*41.8393))</f>
        <v/>
      </c>
      <c r="H517" s="29" t="str">
        <f>IF(ISBLANK('Aqueous Species Options'!B517), "", IF('Aqueous Species Options'!L517 = 1, IF(ISBLANK('Aqueous Species Options'!H517), "", 'Aqueous Species Options'!H517), 'Aqueous Species Table'!M517 + 'Aqueous Species Table'!N517*10000*(1/(Calculations!$C$8-Calculations!$C$13))^2 + 'Aqueous Species Table'!O517*100000*Calculations!$C$8*Calculations!$C$7))</f>
        <v/>
      </c>
      <c r="I517" s="1" t="str">
        <f>IF(ISBLANK('Aqueous Species Options'!B517), "", IF('Aqueous Species Options'!L517=0, 'Aqueous Species Options'!N517, IF(OR(ISBLANK('Aqueous Species Options'!G517),'Aqueous Species Table'!O517="", 'Aqueous Species Table'!P517=""), "", IF('Aqueous Species Options'!B517="H+", 0, (CHOOSE('Aqueous Species Options'!M517+1,'Aqueous Species Options'!$V$4*ABS('Aqueous Species Table'!P517)+'Aqueous Species Options'!$W$4,'Aqueous Species Options'!$Z$4)*('Aqueous Species Options'!G517 + 'Aqueous Species Table'!O517*100000*0.0000005903*41.8393) + CHOOSE('Aqueous Species Options'!M517+1,'Aqueous Species Options'!$X$4*ABS('Aqueous Species Table'!P517)+'Aqueous Species Options'!$Y$4,'Aqueous Species Options'!$AA$4))*10 ) ) ) )</f>
        <v/>
      </c>
      <c r="J517" s="1" t="str">
        <f>IF(ISBLANK('Aqueous Species Options'!B517), "", IF('Aqueous Species Options'!L517 = 0, 'Aqueous Species Options'!O517, IF('Aqueous Species Table'!I517="", "", IF('Aqueous Species Options'!B517="H+", 0, ((1.11*('Aqueous Species Options'!G517 + 'Aqueous Species Table'!O517*100000*0.0000005903*41.8393)+1.8)/41.8393 - 'Aqueous Species Table'!I517/10)*26.01 ) ) ) )</f>
        <v/>
      </c>
      <c r="K517" s="1" t="str">
        <f>IF(ISBLANK('Aqueous Species Options'!B517), "", IF('Aqueous Species Options'!L517 = 0, 'Aqueous Species Options'!P517, IF('Aqueous Species Table'!I517="", "", IF('Aqueous Species Options'!B517="H+", 0, ('Aqueous Species Options'!G517/41.8393 + 'Aqueous Species Table'!O517*100000*0.0000005903 - 'Aqueous Species Table'!I517/10 - 'Aqueous Species Table'!J517*100/2601)*(298.15-228) - ('Aqueous Species Table'!L517*10000/2601) ) ) ) )</f>
        <v/>
      </c>
      <c r="L517" s="1" t="str">
        <f>IF(ISBLANK('Aqueous Species Options'!B517), "", IF('Aqueous Species Options'!L517 = 0, 'Aqueous Species Options'!Q517, IF('Aqueous Species Table'!J517="", "", IF('Aqueous Species Options'!B517="H+", 0, (-4.134*'Aqueous Species Table'!J517*100 - 27790)*0.0001) ) ) )</f>
        <v/>
      </c>
      <c r="M517" s="1" t="str">
        <f>IF(ISBLANK('Aqueous Species Options'!B517), "", IF('Aqueous Species Options'!L517=0, 'Aqueous Species Options'!R517, IF('Aqueous Species Table'!N517="", "", IF('Aqueous Species Options'!B517="H+", 0, 'Aqueous Species Options'!H517 - 'Aqueous Species Table'!O517*100000*(-0.000000309)*298.15 - 'Aqueous Species Table'!N517*10000/(298.15-228)^2 ) ) ) )</f>
        <v/>
      </c>
      <c r="N517" s="1" t="str">
        <f>IF(ISBLANK('Aqueous Species Options'!B517), "", IF('Aqueous Species Options'!L517=0, 'Aqueous Species Options'!S517, IF(OR(ISBLANK('Aqueous Species Options'!H517), 'Aqueous Species Table'!O517=""), "", IF('Aqueous Species Options'!B517="H+", 0, 0.2037*'Aqueous Species Options'!H517 - 3.0346) ) ) )</f>
        <v/>
      </c>
      <c r="O517" s="1" t="str">
        <f>IF(ISBLANK('Aqueous Species Options'!B517), "", IF('Aqueous Species Options'!K517=0, 'Aqueous Species Options'!I517, IF(OR('Aqueous Species Options'!J517&gt;4,'Aqueous Species Options'!J517&lt;-4), "", IF('Aqueous Species Options'!B517="H+", 0, IF('Aqueous Species Options'!J517=0, -0.038, IF(ISBLANK('Aqueous Species Options'!F517), "", -1514.4*'Aqueous Species Options'!F517*0.00001 + SUM(({4,3,2,1,-1,-2,-3,-4}='Aqueous Species Options'!J517)*{2.1764,1.5793,1.0579,0.5517,1.6291,3.2127,4.8115,6.486}) ) ) ) ) ) )</f>
        <v/>
      </c>
      <c r="P517" s="1" t="str">
        <f>IF(ISBLANK('Aqueous Species Options'!J517), "", 'Aqueous Species Options'!J517)</f>
        <v/>
      </c>
      <c r="Q517" s="184" t="str">
        <f>IF(ISBLANK('Aqueous Species Options'!T517), "", 'Aqueous Species Options'!T517)</f>
        <v/>
      </c>
    </row>
    <row r="518" spans="2:17" ht="16" x14ac:dyDescent="0.2">
      <c r="B518" t="str">
        <f>IF(ISBLANK('Aqueous Species Options'!B518), "", 'Aqueous Species Options'!B518)</f>
        <v/>
      </c>
      <c r="C518" s="1" t="str">
        <f>IF(ISBLANK('Aqueous Species Options'!C518), "", 'Aqueous Species Options'!C518)</f>
        <v/>
      </c>
      <c r="D518" s="1" t="str">
        <f>IF(ISBLANK('Aqueous Species Options'!D518), "", 'Aqueous Species Options'!D518)</f>
        <v/>
      </c>
      <c r="E518" s="1" t="str">
        <f>IF(ISBLANK('Aqueous Species Options'!E518), "", 'Aqueous Species Options'!E518)</f>
        <v/>
      </c>
      <c r="F518" s="139" t="str">
        <f>IF(ISBLANK('Aqueous Species Options'!F518), "", 'Aqueous Species Options'!F518)</f>
        <v/>
      </c>
      <c r="G518" s="29" t="str">
        <f>IF(ISBLANK('Aqueous Species Options'!B518), "", IF('Aqueous Species Options'!L518 = 1, IF(ISBLANK('Aqueous Species Options'!G518), "", 'Aqueous Species Options'!G518), ('Aqueous Species Table'!I518/10 + ('Aqueous Species Table'!J518*100)/(Calculations!$C$12+Calculations!$C$9) + ('Aqueous Species Table'!K518 + ('Aqueous Species Table'!L518*10000)/(Calculations!$C$12+Calculations!$C$9))*(1/(Calculations!$C$8-Calculations!$C$13)) - 'Aqueous Species Table'!O518*100000*0.0000005903)*41.8393))</f>
        <v/>
      </c>
      <c r="H518" s="29" t="str">
        <f>IF(ISBLANK('Aqueous Species Options'!B518), "", IF('Aqueous Species Options'!L518 = 1, IF(ISBLANK('Aqueous Species Options'!H518), "", 'Aqueous Species Options'!H518), 'Aqueous Species Table'!M518 + 'Aqueous Species Table'!N518*10000*(1/(Calculations!$C$8-Calculations!$C$13))^2 + 'Aqueous Species Table'!O518*100000*Calculations!$C$8*Calculations!$C$7))</f>
        <v/>
      </c>
      <c r="I518" s="1" t="str">
        <f>IF(ISBLANK('Aqueous Species Options'!B518), "", IF('Aqueous Species Options'!L518=0, 'Aqueous Species Options'!N518, IF(OR(ISBLANK('Aqueous Species Options'!G518),'Aqueous Species Table'!O518="", 'Aqueous Species Table'!P518=""), "", IF('Aqueous Species Options'!B518="H+", 0, (CHOOSE('Aqueous Species Options'!M518+1,'Aqueous Species Options'!$V$4*ABS('Aqueous Species Table'!P518)+'Aqueous Species Options'!$W$4,'Aqueous Species Options'!$Z$4)*('Aqueous Species Options'!G518 + 'Aqueous Species Table'!O518*100000*0.0000005903*41.8393) + CHOOSE('Aqueous Species Options'!M518+1,'Aqueous Species Options'!$X$4*ABS('Aqueous Species Table'!P518)+'Aqueous Species Options'!$Y$4,'Aqueous Species Options'!$AA$4))*10 ) ) ) )</f>
        <v/>
      </c>
      <c r="J518" s="1" t="str">
        <f>IF(ISBLANK('Aqueous Species Options'!B518), "", IF('Aqueous Species Options'!L518 = 0, 'Aqueous Species Options'!O518, IF('Aqueous Species Table'!I518="", "", IF('Aqueous Species Options'!B518="H+", 0, ((1.11*('Aqueous Species Options'!G518 + 'Aqueous Species Table'!O518*100000*0.0000005903*41.8393)+1.8)/41.8393 - 'Aqueous Species Table'!I518/10)*26.01 ) ) ) )</f>
        <v/>
      </c>
      <c r="K518" s="1" t="str">
        <f>IF(ISBLANK('Aqueous Species Options'!B518), "", IF('Aqueous Species Options'!L518 = 0, 'Aqueous Species Options'!P518, IF('Aqueous Species Table'!I518="", "", IF('Aqueous Species Options'!B518="H+", 0, ('Aqueous Species Options'!G518/41.8393 + 'Aqueous Species Table'!O518*100000*0.0000005903 - 'Aqueous Species Table'!I518/10 - 'Aqueous Species Table'!J518*100/2601)*(298.15-228) - ('Aqueous Species Table'!L518*10000/2601) ) ) ) )</f>
        <v/>
      </c>
      <c r="L518" s="1" t="str">
        <f>IF(ISBLANK('Aqueous Species Options'!B518), "", IF('Aqueous Species Options'!L518 = 0, 'Aqueous Species Options'!Q518, IF('Aqueous Species Table'!J518="", "", IF('Aqueous Species Options'!B518="H+", 0, (-4.134*'Aqueous Species Table'!J518*100 - 27790)*0.0001) ) ) )</f>
        <v/>
      </c>
      <c r="M518" s="1" t="str">
        <f>IF(ISBLANK('Aqueous Species Options'!B518), "", IF('Aqueous Species Options'!L518=0, 'Aqueous Species Options'!R518, IF('Aqueous Species Table'!N518="", "", IF('Aqueous Species Options'!B518="H+", 0, 'Aqueous Species Options'!H518 - 'Aqueous Species Table'!O518*100000*(-0.000000309)*298.15 - 'Aqueous Species Table'!N518*10000/(298.15-228)^2 ) ) ) )</f>
        <v/>
      </c>
      <c r="N518" s="1" t="str">
        <f>IF(ISBLANK('Aqueous Species Options'!B518), "", IF('Aqueous Species Options'!L518=0, 'Aqueous Species Options'!S518, IF(OR(ISBLANK('Aqueous Species Options'!H518), 'Aqueous Species Table'!O518=""), "", IF('Aqueous Species Options'!B518="H+", 0, 0.2037*'Aqueous Species Options'!H518 - 3.0346) ) ) )</f>
        <v/>
      </c>
      <c r="O518" s="1" t="str">
        <f>IF(ISBLANK('Aqueous Species Options'!B518), "", IF('Aqueous Species Options'!K518=0, 'Aqueous Species Options'!I518, IF(OR('Aqueous Species Options'!J518&gt;4,'Aqueous Species Options'!J518&lt;-4), "", IF('Aqueous Species Options'!B518="H+", 0, IF('Aqueous Species Options'!J518=0, -0.038, IF(ISBLANK('Aqueous Species Options'!F518), "", -1514.4*'Aqueous Species Options'!F518*0.00001 + SUM(({4,3,2,1,-1,-2,-3,-4}='Aqueous Species Options'!J518)*{2.1764,1.5793,1.0579,0.5517,1.6291,3.2127,4.8115,6.486}) ) ) ) ) ) )</f>
        <v/>
      </c>
      <c r="P518" s="1" t="str">
        <f>IF(ISBLANK('Aqueous Species Options'!J518), "", 'Aqueous Species Options'!J518)</f>
        <v/>
      </c>
      <c r="Q518" s="184" t="str">
        <f>IF(ISBLANK('Aqueous Species Options'!T518), "", 'Aqueous Species Options'!T518)</f>
        <v/>
      </c>
    </row>
    <row r="519" spans="2:17" ht="16" x14ac:dyDescent="0.2">
      <c r="B519" t="str">
        <f>IF(ISBLANK('Aqueous Species Options'!B519), "", 'Aqueous Species Options'!B519)</f>
        <v/>
      </c>
      <c r="C519" s="1" t="str">
        <f>IF(ISBLANK('Aqueous Species Options'!C519), "", 'Aqueous Species Options'!C519)</f>
        <v/>
      </c>
      <c r="D519" s="1" t="str">
        <f>IF(ISBLANK('Aqueous Species Options'!D519), "", 'Aqueous Species Options'!D519)</f>
        <v/>
      </c>
      <c r="E519" s="1" t="str">
        <f>IF(ISBLANK('Aqueous Species Options'!E519), "", 'Aqueous Species Options'!E519)</f>
        <v/>
      </c>
      <c r="F519" s="139" t="str">
        <f>IF(ISBLANK('Aqueous Species Options'!F519), "", 'Aqueous Species Options'!F519)</f>
        <v/>
      </c>
      <c r="G519" s="29" t="str">
        <f>IF(ISBLANK('Aqueous Species Options'!B519), "", IF('Aqueous Species Options'!L519 = 1, IF(ISBLANK('Aqueous Species Options'!G519), "", 'Aqueous Species Options'!G519), ('Aqueous Species Table'!I519/10 + ('Aqueous Species Table'!J519*100)/(Calculations!$C$12+Calculations!$C$9) + ('Aqueous Species Table'!K519 + ('Aqueous Species Table'!L519*10000)/(Calculations!$C$12+Calculations!$C$9))*(1/(Calculations!$C$8-Calculations!$C$13)) - 'Aqueous Species Table'!O519*100000*0.0000005903)*41.8393))</f>
        <v/>
      </c>
      <c r="H519" s="29" t="str">
        <f>IF(ISBLANK('Aqueous Species Options'!B519), "", IF('Aqueous Species Options'!L519 = 1, IF(ISBLANK('Aqueous Species Options'!H519), "", 'Aqueous Species Options'!H519), 'Aqueous Species Table'!M519 + 'Aqueous Species Table'!N519*10000*(1/(Calculations!$C$8-Calculations!$C$13))^2 + 'Aqueous Species Table'!O519*100000*Calculations!$C$8*Calculations!$C$7))</f>
        <v/>
      </c>
      <c r="I519" s="1" t="str">
        <f>IF(ISBLANK('Aqueous Species Options'!B519), "", IF('Aqueous Species Options'!L519=0, 'Aqueous Species Options'!N519, IF(OR(ISBLANK('Aqueous Species Options'!G519),'Aqueous Species Table'!O519="", 'Aqueous Species Table'!P519=""), "", IF('Aqueous Species Options'!B519="H+", 0, (CHOOSE('Aqueous Species Options'!M519+1,'Aqueous Species Options'!$V$4*ABS('Aqueous Species Table'!P519)+'Aqueous Species Options'!$W$4,'Aqueous Species Options'!$Z$4)*('Aqueous Species Options'!G519 + 'Aqueous Species Table'!O519*100000*0.0000005903*41.8393) + CHOOSE('Aqueous Species Options'!M519+1,'Aqueous Species Options'!$X$4*ABS('Aqueous Species Table'!P519)+'Aqueous Species Options'!$Y$4,'Aqueous Species Options'!$AA$4))*10 ) ) ) )</f>
        <v/>
      </c>
      <c r="J519" s="1" t="str">
        <f>IF(ISBLANK('Aqueous Species Options'!B519), "", IF('Aqueous Species Options'!L519 = 0, 'Aqueous Species Options'!O519, IF('Aqueous Species Table'!I519="", "", IF('Aqueous Species Options'!B519="H+", 0, ((1.11*('Aqueous Species Options'!G519 + 'Aqueous Species Table'!O519*100000*0.0000005903*41.8393)+1.8)/41.8393 - 'Aqueous Species Table'!I519/10)*26.01 ) ) ) )</f>
        <v/>
      </c>
      <c r="K519" s="1" t="str">
        <f>IF(ISBLANK('Aqueous Species Options'!B519), "", IF('Aqueous Species Options'!L519 = 0, 'Aqueous Species Options'!P519, IF('Aqueous Species Table'!I519="", "", IF('Aqueous Species Options'!B519="H+", 0, ('Aqueous Species Options'!G519/41.8393 + 'Aqueous Species Table'!O519*100000*0.0000005903 - 'Aqueous Species Table'!I519/10 - 'Aqueous Species Table'!J519*100/2601)*(298.15-228) - ('Aqueous Species Table'!L519*10000/2601) ) ) ) )</f>
        <v/>
      </c>
      <c r="L519" s="1" t="str">
        <f>IF(ISBLANK('Aqueous Species Options'!B519), "", IF('Aqueous Species Options'!L519 = 0, 'Aqueous Species Options'!Q519, IF('Aqueous Species Table'!J519="", "", IF('Aqueous Species Options'!B519="H+", 0, (-4.134*'Aqueous Species Table'!J519*100 - 27790)*0.0001) ) ) )</f>
        <v/>
      </c>
      <c r="M519" s="1" t="str">
        <f>IF(ISBLANK('Aqueous Species Options'!B519), "", IF('Aqueous Species Options'!L519=0, 'Aqueous Species Options'!R519, IF('Aqueous Species Table'!N519="", "", IF('Aqueous Species Options'!B519="H+", 0, 'Aqueous Species Options'!H519 - 'Aqueous Species Table'!O519*100000*(-0.000000309)*298.15 - 'Aqueous Species Table'!N519*10000/(298.15-228)^2 ) ) ) )</f>
        <v/>
      </c>
      <c r="N519" s="1" t="str">
        <f>IF(ISBLANK('Aqueous Species Options'!B519), "", IF('Aqueous Species Options'!L519=0, 'Aqueous Species Options'!S519, IF(OR(ISBLANK('Aqueous Species Options'!H519), 'Aqueous Species Table'!O519=""), "", IF('Aqueous Species Options'!B519="H+", 0, 0.2037*'Aqueous Species Options'!H519 - 3.0346) ) ) )</f>
        <v/>
      </c>
      <c r="O519" s="1" t="str">
        <f>IF(ISBLANK('Aqueous Species Options'!B519), "", IF('Aqueous Species Options'!K519=0, 'Aqueous Species Options'!I519, IF(OR('Aqueous Species Options'!J519&gt;4,'Aqueous Species Options'!J519&lt;-4), "", IF('Aqueous Species Options'!B519="H+", 0, IF('Aqueous Species Options'!J519=0, -0.038, IF(ISBLANK('Aqueous Species Options'!F519), "", -1514.4*'Aqueous Species Options'!F519*0.00001 + SUM(({4,3,2,1,-1,-2,-3,-4}='Aqueous Species Options'!J519)*{2.1764,1.5793,1.0579,0.5517,1.6291,3.2127,4.8115,6.486}) ) ) ) ) ) )</f>
        <v/>
      </c>
      <c r="P519" s="1" t="str">
        <f>IF(ISBLANK('Aqueous Species Options'!J519), "", 'Aqueous Species Options'!J519)</f>
        <v/>
      </c>
      <c r="Q519" s="184" t="str">
        <f>IF(ISBLANK('Aqueous Species Options'!T519), "", 'Aqueous Species Options'!T519)</f>
        <v/>
      </c>
    </row>
    <row r="520" spans="2:17" ht="16" x14ac:dyDescent="0.2">
      <c r="B520" t="str">
        <f>IF(ISBLANK('Aqueous Species Options'!B520), "", 'Aqueous Species Options'!B520)</f>
        <v/>
      </c>
      <c r="C520" s="1" t="str">
        <f>IF(ISBLANK('Aqueous Species Options'!C520), "", 'Aqueous Species Options'!C520)</f>
        <v/>
      </c>
      <c r="D520" s="1" t="str">
        <f>IF(ISBLANK('Aqueous Species Options'!D520), "", 'Aqueous Species Options'!D520)</f>
        <v/>
      </c>
      <c r="E520" s="1" t="str">
        <f>IF(ISBLANK('Aqueous Species Options'!E520), "", 'Aqueous Species Options'!E520)</f>
        <v/>
      </c>
      <c r="F520" s="139" t="str">
        <f>IF(ISBLANK('Aqueous Species Options'!F520), "", 'Aqueous Species Options'!F520)</f>
        <v/>
      </c>
      <c r="G520" s="29" t="str">
        <f>IF(ISBLANK('Aqueous Species Options'!B520), "", IF('Aqueous Species Options'!L520 = 1, IF(ISBLANK('Aqueous Species Options'!G520), "", 'Aqueous Species Options'!G520), ('Aqueous Species Table'!I520/10 + ('Aqueous Species Table'!J520*100)/(Calculations!$C$12+Calculations!$C$9) + ('Aqueous Species Table'!K520 + ('Aqueous Species Table'!L520*10000)/(Calculations!$C$12+Calculations!$C$9))*(1/(Calculations!$C$8-Calculations!$C$13)) - 'Aqueous Species Table'!O520*100000*0.0000005903)*41.8393))</f>
        <v/>
      </c>
      <c r="H520" s="29" t="str">
        <f>IF(ISBLANK('Aqueous Species Options'!B520), "", IF('Aqueous Species Options'!L520 = 1, IF(ISBLANK('Aqueous Species Options'!H520), "", 'Aqueous Species Options'!H520), 'Aqueous Species Table'!M520 + 'Aqueous Species Table'!N520*10000*(1/(Calculations!$C$8-Calculations!$C$13))^2 + 'Aqueous Species Table'!O520*100000*Calculations!$C$8*Calculations!$C$7))</f>
        <v/>
      </c>
      <c r="I520" s="1" t="str">
        <f>IF(ISBLANK('Aqueous Species Options'!B520), "", IF('Aqueous Species Options'!L520=0, 'Aqueous Species Options'!N520, IF(OR(ISBLANK('Aqueous Species Options'!G520),'Aqueous Species Table'!O520="", 'Aqueous Species Table'!P520=""), "", IF('Aqueous Species Options'!B520="H+", 0, (CHOOSE('Aqueous Species Options'!M520+1,'Aqueous Species Options'!$V$4*ABS('Aqueous Species Table'!P520)+'Aqueous Species Options'!$W$4,'Aqueous Species Options'!$Z$4)*('Aqueous Species Options'!G520 + 'Aqueous Species Table'!O520*100000*0.0000005903*41.8393) + CHOOSE('Aqueous Species Options'!M520+1,'Aqueous Species Options'!$X$4*ABS('Aqueous Species Table'!P520)+'Aqueous Species Options'!$Y$4,'Aqueous Species Options'!$AA$4))*10 ) ) ) )</f>
        <v/>
      </c>
      <c r="J520" s="1" t="str">
        <f>IF(ISBLANK('Aqueous Species Options'!B520), "", IF('Aqueous Species Options'!L520 = 0, 'Aqueous Species Options'!O520, IF('Aqueous Species Table'!I520="", "", IF('Aqueous Species Options'!B520="H+", 0, ((1.11*('Aqueous Species Options'!G520 + 'Aqueous Species Table'!O520*100000*0.0000005903*41.8393)+1.8)/41.8393 - 'Aqueous Species Table'!I520/10)*26.01 ) ) ) )</f>
        <v/>
      </c>
      <c r="K520" s="1" t="str">
        <f>IF(ISBLANK('Aqueous Species Options'!B520), "", IF('Aqueous Species Options'!L520 = 0, 'Aqueous Species Options'!P520, IF('Aqueous Species Table'!I520="", "", IF('Aqueous Species Options'!B520="H+", 0, ('Aqueous Species Options'!G520/41.8393 + 'Aqueous Species Table'!O520*100000*0.0000005903 - 'Aqueous Species Table'!I520/10 - 'Aqueous Species Table'!J520*100/2601)*(298.15-228) - ('Aqueous Species Table'!L520*10000/2601) ) ) ) )</f>
        <v/>
      </c>
      <c r="L520" s="1" t="str">
        <f>IF(ISBLANK('Aqueous Species Options'!B520), "", IF('Aqueous Species Options'!L520 = 0, 'Aqueous Species Options'!Q520, IF('Aqueous Species Table'!J520="", "", IF('Aqueous Species Options'!B520="H+", 0, (-4.134*'Aqueous Species Table'!J520*100 - 27790)*0.0001) ) ) )</f>
        <v/>
      </c>
      <c r="M520" s="1" t="str">
        <f>IF(ISBLANK('Aqueous Species Options'!B520), "", IF('Aqueous Species Options'!L520=0, 'Aqueous Species Options'!R520, IF('Aqueous Species Table'!N520="", "", IF('Aqueous Species Options'!B520="H+", 0, 'Aqueous Species Options'!H520 - 'Aqueous Species Table'!O520*100000*(-0.000000309)*298.15 - 'Aqueous Species Table'!N520*10000/(298.15-228)^2 ) ) ) )</f>
        <v/>
      </c>
      <c r="N520" s="1" t="str">
        <f>IF(ISBLANK('Aqueous Species Options'!B520), "", IF('Aqueous Species Options'!L520=0, 'Aqueous Species Options'!S520, IF(OR(ISBLANK('Aqueous Species Options'!H520), 'Aqueous Species Table'!O520=""), "", IF('Aqueous Species Options'!B520="H+", 0, 0.2037*'Aqueous Species Options'!H520 - 3.0346) ) ) )</f>
        <v/>
      </c>
      <c r="O520" s="1" t="str">
        <f>IF(ISBLANK('Aqueous Species Options'!B520), "", IF('Aqueous Species Options'!K520=0, 'Aqueous Species Options'!I520, IF(OR('Aqueous Species Options'!J520&gt;4,'Aqueous Species Options'!J520&lt;-4), "", IF('Aqueous Species Options'!B520="H+", 0, IF('Aqueous Species Options'!J520=0, -0.038, IF(ISBLANK('Aqueous Species Options'!F520), "", -1514.4*'Aqueous Species Options'!F520*0.00001 + SUM(({4,3,2,1,-1,-2,-3,-4}='Aqueous Species Options'!J520)*{2.1764,1.5793,1.0579,0.5517,1.6291,3.2127,4.8115,6.486}) ) ) ) ) ) )</f>
        <v/>
      </c>
      <c r="P520" s="1" t="str">
        <f>IF(ISBLANK('Aqueous Species Options'!J520), "", 'Aqueous Species Options'!J520)</f>
        <v/>
      </c>
      <c r="Q520" s="184" t="str">
        <f>IF(ISBLANK('Aqueous Species Options'!T520), "", 'Aqueous Species Options'!T520)</f>
        <v/>
      </c>
    </row>
    <row r="521" spans="2:17" ht="16" x14ac:dyDescent="0.2">
      <c r="B521" t="str">
        <f>IF(ISBLANK('Aqueous Species Options'!B521), "", 'Aqueous Species Options'!B521)</f>
        <v/>
      </c>
      <c r="C521" s="1" t="str">
        <f>IF(ISBLANK('Aqueous Species Options'!C521), "", 'Aqueous Species Options'!C521)</f>
        <v/>
      </c>
      <c r="D521" s="1" t="str">
        <f>IF(ISBLANK('Aqueous Species Options'!D521), "", 'Aqueous Species Options'!D521)</f>
        <v/>
      </c>
      <c r="E521" s="1" t="str">
        <f>IF(ISBLANK('Aqueous Species Options'!E521), "", 'Aqueous Species Options'!E521)</f>
        <v/>
      </c>
      <c r="F521" s="139" t="str">
        <f>IF(ISBLANK('Aqueous Species Options'!F521), "", 'Aqueous Species Options'!F521)</f>
        <v/>
      </c>
      <c r="G521" s="29" t="str">
        <f>IF(ISBLANK('Aqueous Species Options'!B521), "", IF('Aqueous Species Options'!L521 = 1, IF(ISBLANK('Aqueous Species Options'!G521), "", 'Aqueous Species Options'!G521), ('Aqueous Species Table'!I521/10 + ('Aqueous Species Table'!J521*100)/(Calculations!$C$12+Calculations!$C$9) + ('Aqueous Species Table'!K521 + ('Aqueous Species Table'!L521*10000)/(Calculations!$C$12+Calculations!$C$9))*(1/(Calculations!$C$8-Calculations!$C$13)) - 'Aqueous Species Table'!O521*100000*0.0000005903)*41.8393))</f>
        <v/>
      </c>
      <c r="H521" s="29" t="str">
        <f>IF(ISBLANK('Aqueous Species Options'!B521), "", IF('Aqueous Species Options'!L521 = 1, IF(ISBLANK('Aqueous Species Options'!H521), "", 'Aqueous Species Options'!H521), 'Aqueous Species Table'!M521 + 'Aqueous Species Table'!N521*10000*(1/(Calculations!$C$8-Calculations!$C$13))^2 + 'Aqueous Species Table'!O521*100000*Calculations!$C$8*Calculations!$C$7))</f>
        <v/>
      </c>
      <c r="I521" s="1" t="str">
        <f>IF(ISBLANK('Aqueous Species Options'!B521), "", IF('Aqueous Species Options'!L521=0, 'Aqueous Species Options'!N521, IF(OR(ISBLANK('Aqueous Species Options'!G521),'Aqueous Species Table'!O521="", 'Aqueous Species Table'!P521=""), "", IF('Aqueous Species Options'!B521="H+", 0, (CHOOSE('Aqueous Species Options'!M521+1,'Aqueous Species Options'!$V$4*ABS('Aqueous Species Table'!P521)+'Aqueous Species Options'!$W$4,'Aqueous Species Options'!$Z$4)*('Aqueous Species Options'!G521 + 'Aqueous Species Table'!O521*100000*0.0000005903*41.8393) + CHOOSE('Aqueous Species Options'!M521+1,'Aqueous Species Options'!$X$4*ABS('Aqueous Species Table'!P521)+'Aqueous Species Options'!$Y$4,'Aqueous Species Options'!$AA$4))*10 ) ) ) )</f>
        <v/>
      </c>
      <c r="J521" s="1" t="str">
        <f>IF(ISBLANK('Aqueous Species Options'!B521), "", IF('Aqueous Species Options'!L521 = 0, 'Aqueous Species Options'!O521, IF('Aqueous Species Table'!I521="", "", IF('Aqueous Species Options'!B521="H+", 0, ((1.11*('Aqueous Species Options'!G521 + 'Aqueous Species Table'!O521*100000*0.0000005903*41.8393)+1.8)/41.8393 - 'Aqueous Species Table'!I521/10)*26.01 ) ) ) )</f>
        <v/>
      </c>
      <c r="K521" s="1" t="str">
        <f>IF(ISBLANK('Aqueous Species Options'!B521), "", IF('Aqueous Species Options'!L521 = 0, 'Aqueous Species Options'!P521, IF('Aqueous Species Table'!I521="", "", IF('Aqueous Species Options'!B521="H+", 0, ('Aqueous Species Options'!G521/41.8393 + 'Aqueous Species Table'!O521*100000*0.0000005903 - 'Aqueous Species Table'!I521/10 - 'Aqueous Species Table'!J521*100/2601)*(298.15-228) - ('Aqueous Species Table'!L521*10000/2601) ) ) ) )</f>
        <v/>
      </c>
      <c r="L521" s="1" t="str">
        <f>IF(ISBLANK('Aqueous Species Options'!B521), "", IF('Aqueous Species Options'!L521 = 0, 'Aqueous Species Options'!Q521, IF('Aqueous Species Table'!J521="", "", IF('Aqueous Species Options'!B521="H+", 0, (-4.134*'Aqueous Species Table'!J521*100 - 27790)*0.0001) ) ) )</f>
        <v/>
      </c>
      <c r="M521" s="1" t="str">
        <f>IF(ISBLANK('Aqueous Species Options'!B521), "", IF('Aqueous Species Options'!L521=0, 'Aqueous Species Options'!R521, IF('Aqueous Species Table'!N521="", "", IF('Aqueous Species Options'!B521="H+", 0, 'Aqueous Species Options'!H521 - 'Aqueous Species Table'!O521*100000*(-0.000000309)*298.15 - 'Aqueous Species Table'!N521*10000/(298.15-228)^2 ) ) ) )</f>
        <v/>
      </c>
      <c r="N521" s="1" t="str">
        <f>IF(ISBLANK('Aqueous Species Options'!B521), "", IF('Aqueous Species Options'!L521=0, 'Aqueous Species Options'!S521, IF(OR(ISBLANK('Aqueous Species Options'!H521), 'Aqueous Species Table'!O521=""), "", IF('Aqueous Species Options'!B521="H+", 0, 0.2037*'Aqueous Species Options'!H521 - 3.0346) ) ) )</f>
        <v/>
      </c>
      <c r="O521" s="1" t="str">
        <f>IF(ISBLANK('Aqueous Species Options'!B521), "", IF('Aqueous Species Options'!K521=0, 'Aqueous Species Options'!I521, IF(OR('Aqueous Species Options'!J521&gt;4,'Aqueous Species Options'!J521&lt;-4), "", IF('Aqueous Species Options'!B521="H+", 0, IF('Aqueous Species Options'!J521=0, -0.038, IF(ISBLANK('Aqueous Species Options'!F521), "", -1514.4*'Aqueous Species Options'!F521*0.00001 + SUM(({4,3,2,1,-1,-2,-3,-4}='Aqueous Species Options'!J521)*{2.1764,1.5793,1.0579,0.5517,1.6291,3.2127,4.8115,6.486}) ) ) ) ) ) )</f>
        <v/>
      </c>
      <c r="P521" s="1" t="str">
        <f>IF(ISBLANK('Aqueous Species Options'!J521), "", 'Aqueous Species Options'!J521)</f>
        <v/>
      </c>
      <c r="Q521" s="184" t="str">
        <f>IF(ISBLANK('Aqueous Species Options'!T521), "", 'Aqueous Species Options'!T521)</f>
        <v/>
      </c>
    </row>
    <row r="522" spans="2:17" ht="16" x14ac:dyDescent="0.2">
      <c r="B522" t="str">
        <f>IF(ISBLANK('Aqueous Species Options'!B522), "", 'Aqueous Species Options'!B522)</f>
        <v/>
      </c>
      <c r="C522" s="1" t="str">
        <f>IF(ISBLANK('Aqueous Species Options'!C522), "", 'Aqueous Species Options'!C522)</f>
        <v/>
      </c>
      <c r="D522" s="1" t="str">
        <f>IF(ISBLANK('Aqueous Species Options'!D522), "", 'Aqueous Species Options'!D522)</f>
        <v/>
      </c>
      <c r="E522" s="1" t="str">
        <f>IF(ISBLANK('Aqueous Species Options'!E522), "", 'Aqueous Species Options'!E522)</f>
        <v/>
      </c>
      <c r="F522" s="139" t="str">
        <f>IF(ISBLANK('Aqueous Species Options'!F522), "", 'Aqueous Species Options'!F522)</f>
        <v/>
      </c>
      <c r="G522" s="29" t="str">
        <f>IF(ISBLANK('Aqueous Species Options'!B522), "", IF('Aqueous Species Options'!L522 = 1, IF(ISBLANK('Aqueous Species Options'!G522), "", 'Aqueous Species Options'!G522), ('Aqueous Species Table'!I522/10 + ('Aqueous Species Table'!J522*100)/(Calculations!$C$12+Calculations!$C$9) + ('Aqueous Species Table'!K522 + ('Aqueous Species Table'!L522*10000)/(Calculations!$C$12+Calculations!$C$9))*(1/(Calculations!$C$8-Calculations!$C$13)) - 'Aqueous Species Table'!O522*100000*0.0000005903)*41.8393))</f>
        <v/>
      </c>
      <c r="H522" s="29" t="str">
        <f>IF(ISBLANK('Aqueous Species Options'!B522), "", IF('Aqueous Species Options'!L522 = 1, IF(ISBLANK('Aqueous Species Options'!H522), "", 'Aqueous Species Options'!H522), 'Aqueous Species Table'!M522 + 'Aqueous Species Table'!N522*10000*(1/(Calculations!$C$8-Calculations!$C$13))^2 + 'Aqueous Species Table'!O522*100000*Calculations!$C$8*Calculations!$C$7))</f>
        <v/>
      </c>
      <c r="I522" s="1" t="str">
        <f>IF(ISBLANK('Aqueous Species Options'!B522), "", IF('Aqueous Species Options'!L522=0, 'Aqueous Species Options'!N522, IF(OR(ISBLANK('Aqueous Species Options'!G522),'Aqueous Species Table'!O522="", 'Aqueous Species Table'!P522=""), "", IF('Aqueous Species Options'!B522="H+", 0, (CHOOSE('Aqueous Species Options'!M522+1,'Aqueous Species Options'!$V$4*ABS('Aqueous Species Table'!P522)+'Aqueous Species Options'!$W$4,'Aqueous Species Options'!$Z$4)*('Aqueous Species Options'!G522 + 'Aqueous Species Table'!O522*100000*0.0000005903*41.8393) + CHOOSE('Aqueous Species Options'!M522+1,'Aqueous Species Options'!$X$4*ABS('Aqueous Species Table'!P522)+'Aqueous Species Options'!$Y$4,'Aqueous Species Options'!$AA$4))*10 ) ) ) )</f>
        <v/>
      </c>
      <c r="J522" s="1" t="str">
        <f>IF(ISBLANK('Aqueous Species Options'!B522), "", IF('Aqueous Species Options'!L522 = 0, 'Aqueous Species Options'!O522, IF('Aqueous Species Table'!I522="", "", IF('Aqueous Species Options'!B522="H+", 0, ((1.11*('Aqueous Species Options'!G522 + 'Aqueous Species Table'!O522*100000*0.0000005903*41.8393)+1.8)/41.8393 - 'Aqueous Species Table'!I522/10)*26.01 ) ) ) )</f>
        <v/>
      </c>
      <c r="K522" s="1" t="str">
        <f>IF(ISBLANK('Aqueous Species Options'!B522), "", IF('Aqueous Species Options'!L522 = 0, 'Aqueous Species Options'!P522, IF('Aqueous Species Table'!I522="", "", IF('Aqueous Species Options'!B522="H+", 0, ('Aqueous Species Options'!G522/41.8393 + 'Aqueous Species Table'!O522*100000*0.0000005903 - 'Aqueous Species Table'!I522/10 - 'Aqueous Species Table'!J522*100/2601)*(298.15-228) - ('Aqueous Species Table'!L522*10000/2601) ) ) ) )</f>
        <v/>
      </c>
      <c r="L522" s="1" t="str">
        <f>IF(ISBLANK('Aqueous Species Options'!B522), "", IF('Aqueous Species Options'!L522 = 0, 'Aqueous Species Options'!Q522, IF('Aqueous Species Table'!J522="", "", IF('Aqueous Species Options'!B522="H+", 0, (-4.134*'Aqueous Species Table'!J522*100 - 27790)*0.0001) ) ) )</f>
        <v/>
      </c>
      <c r="M522" s="1" t="str">
        <f>IF(ISBLANK('Aqueous Species Options'!B522), "", IF('Aqueous Species Options'!L522=0, 'Aqueous Species Options'!R522, IF('Aqueous Species Table'!N522="", "", IF('Aqueous Species Options'!B522="H+", 0, 'Aqueous Species Options'!H522 - 'Aqueous Species Table'!O522*100000*(-0.000000309)*298.15 - 'Aqueous Species Table'!N522*10000/(298.15-228)^2 ) ) ) )</f>
        <v/>
      </c>
      <c r="N522" s="1" t="str">
        <f>IF(ISBLANK('Aqueous Species Options'!B522), "", IF('Aqueous Species Options'!L522=0, 'Aqueous Species Options'!S522, IF(OR(ISBLANK('Aqueous Species Options'!H522), 'Aqueous Species Table'!O522=""), "", IF('Aqueous Species Options'!B522="H+", 0, 0.2037*'Aqueous Species Options'!H522 - 3.0346) ) ) )</f>
        <v/>
      </c>
      <c r="O522" s="1" t="str">
        <f>IF(ISBLANK('Aqueous Species Options'!B522), "", IF('Aqueous Species Options'!K522=0, 'Aqueous Species Options'!I522, IF(OR('Aqueous Species Options'!J522&gt;4,'Aqueous Species Options'!J522&lt;-4), "", IF('Aqueous Species Options'!B522="H+", 0, IF('Aqueous Species Options'!J522=0, -0.038, IF(ISBLANK('Aqueous Species Options'!F522), "", -1514.4*'Aqueous Species Options'!F522*0.00001 + SUM(({4,3,2,1,-1,-2,-3,-4}='Aqueous Species Options'!J522)*{2.1764,1.5793,1.0579,0.5517,1.6291,3.2127,4.8115,6.486}) ) ) ) ) ) )</f>
        <v/>
      </c>
      <c r="P522" s="1" t="str">
        <f>IF(ISBLANK('Aqueous Species Options'!J522), "", 'Aqueous Species Options'!J522)</f>
        <v/>
      </c>
      <c r="Q522" s="184" t="str">
        <f>IF(ISBLANK('Aqueous Species Options'!T522), "", 'Aqueous Species Options'!T522)</f>
        <v/>
      </c>
    </row>
    <row r="523" spans="2:17" ht="16" x14ac:dyDescent="0.2">
      <c r="B523" t="str">
        <f>IF(ISBLANK('Aqueous Species Options'!B523), "", 'Aqueous Species Options'!B523)</f>
        <v/>
      </c>
      <c r="C523" s="1" t="str">
        <f>IF(ISBLANK('Aqueous Species Options'!C523), "", 'Aqueous Species Options'!C523)</f>
        <v/>
      </c>
      <c r="D523" s="1" t="str">
        <f>IF(ISBLANK('Aqueous Species Options'!D523), "", 'Aqueous Species Options'!D523)</f>
        <v/>
      </c>
      <c r="E523" s="1" t="str">
        <f>IF(ISBLANK('Aqueous Species Options'!E523), "", 'Aqueous Species Options'!E523)</f>
        <v/>
      </c>
      <c r="F523" s="139" t="str">
        <f>IF(ISBLANK('Aqueous Species Options'!F523), "", 'Aqueous Species Options'!F523)</f>
        <v/>
      </c>
      <c r="G523" s="29" t="str">
        <f>IF(ISBLANK('Aqueous Species Options'!B523), "", IF('Aqueous Species Options'!L523 = 1, IF(ISBLANK('Aqueous Species Options'!G523), "", 'Aqueous Species Options'!G523), ('Aqueous Species Table'!I523/10 + ('Aqueous Species Table'!J523*100)/(Calculations!$C$12+Calculations!$C$9) + ('Aqueous Species Table'!K523 + ('Aqueous Species Table'!L523*10000)/(Calculations!$C$12+Calculations!$C$9))*(1/(Calculations!$C$8-Calculations!$C$13)) - 'Aqueous Species Table'!O523*100000*0.0000005903)*41.8393))</f>
        <v/>
      </c>
      <c r="H523" s="29" t="str">
        <f>IF(ISBLANK('Aqueous Species Options'!B523), "", IF('Aqueous Species Options'!L523 = 1, IF(ISBLANK('Aqueous Species Options'!H523), "", 'Aqueous Species Options'!H523), 'Aqueous Species Table'!M523 + 'Aqueous Species Table'!N523*10000*(1/(Calculations!$C$8-Calculations!$C$13))^2 + 'Aqueous Species Table'!O523*100000*Calculations!$C$8*Calculations!$C$7))</f>
        <v/>
      </c>
      <c r="I523" s="1" t="str">
        <f>IF(ISBLANK('Aqueous Species Options'!B523), "", IF('Aqueous Species Options'!L523=0, 'Aqueous Species Options'!N523, IF(OR(ISBLANK('Aqueous Species Options'!G523),'Aqueous Species Table'!O523="", 'Aqueous Species Table'!P523=""), "", IF('Aqueous Species Options'!B523="H+", 0, (CHOOSE('Aqueous Species Options'!M523+1,'Aqueous Species Options'!$V$4*ABS('Aqueous Species Table'!P523)+'Aqueous Species Options'!$W$4,'Aqueous Species Options'!$Z$4)*('Aqueous Species Options'!G523 + 'Aqueous Species Table'!O523*100000*0.0000005903*41.8393) + CHOOSE('Aqueous Species Options'!M523+1,'Aqueous Species Options'!$X$4*ABS('Aqueous Species Table'!P523)+'Aqueous Species Options'!$Y$4,'Aqueous Species Options'!$AA$4))*10 ) ) ) )</f>
        <v/>
      </c>
      <c r="J523" s="1" t="str">
        <f>IF(ISBLANK('Aqueous Species Options'!B523), "", IF('Aqueous Species Options'!L523 = 0, 'Aqueous Species Options'!O523, IF('Aqueous Species Table'!I523="", "", IF('Aqueous Species Options'!B523="H+", 0, ((1.11*('Aqueous Species Options'!G523 + 'Aqueous Species Table'!O523*100000*0.0000005903*41.8393)+1.8)/41.8393 - 'Aqueous Species Table'!I523/10)*26.01 ) ) ) )</f>
        <v/>
      </c>
      <c r="K523" s="1" t="str">
        <f>IF(ISBLANK('Aqueous Species Options'!B523), "", IF('Aqueous Species Options'!L523 = 0, 'Aqueous Species Options'!P523, IF('Aqueous Species Table'!I523="", "", IF('Aqueous Species Options'!B523="H+", 0, ('Aqueous Species Options'!G523/41.8393 + 'Aqueous Species Table'!O523*100000*0.0000005903 - 'Aqueous Species Table'!I523/10 - 'Aqueous Species Table'!J523*100/2601)*(298.15-228) - ('Aqueous Species Table'!L523*10000/2601) ) ) ) )</f>
        <v/>
      </c>
      <c r="L523" s="1" t="str">
        <f>IF(ISBLANK('Aqueous Species Options'!B523), "", IF('Aqueous Species Options'!L523 = 0, 'Aqueous Species Options'!Q523, IF('Aqueous Species Table'!J523="", "", IF('Aqueous Species Options'!B523="H+", 0, (-4.134*'Aqueous Species Table'!J523*100 - 27790)*0.0001) ) ) )</f>
        <v/>
      </c>
      <c r="M523" s="1" t="str">
        <f>IF(ISBLANK('Aqueous Species Options'!B523), "", IF('Aqueous Species Options'!L523=0, 'Aqueous Species Options'!R523, IF('Aqueous Species Table'!N523="", "", IF('Aqueous Species Options'!B523="H+", 0, 'Aqueous Species Options'!H523 - 'Aqueous Species Table'!O523*100000*(-0.000000309)*298.15 - 'Aqueous Species Table'!N523*10000/(298.15-228)^2 ) ) ) )</f>
        <v/>
      </c>
      <c r="N523" s="1" t="str">
        <f>IF(ISBLANK('Aqueous Species Options'!B523), "", IF('Aqueous Species Options'!L523=0, 'Aqueous Species Options'!S523, IF(OR(ISBLANK('Aqueous Species Options'!H523), 'Aqueous Species Table'!O523=""), "", IF('Aqueous Species Options'!B523="H+", 0, 0.2037*'Aqueous Species Options'!H523 - 3.0346) ) ) )</f>
        <v/>
      </c>
      <c r="O523" s="1" t="str">
        <f>IF(ISBLANK('Aqueous Species Options'!B523), "", IF('Aqueous Species Options'!K523=0, 'Aqueous Species Options'!I523, IF(OR('Aqueous Species Options'!J523&gt;4,'Aqueous Species Options'!J523&lt;-4), "", IF('Aqueous Species Options'!B523="H+", 0, IF('Aqueous Species Options'!J523=0, -0.038, IF(ISBLANK('Aqueous Species Options'!F523), "", -1514.4*'Aqueous Species Options'!F523*0.00001 + SUM(({4,3,2,1,-1,-2,-3,-4}='Aqueous Species Options'!J523)*{2.1764,1.5793,1.0579,0.5517,1.6291,3.2127,4.8115,6.486}) ) ) ) ) ) )</f>
        <v/>
      </c>
      <c r="P523" s="1" t="str">
        <f>IF(ISBLANK('Aqueous Species Options'!J523), "", 'Aqueous Species Options'!J523)</f>
        <v/>
      </c>
      <c r="Q523" s="184" t="str">
        <f>IF(ISBLANK('Aqueous Species Options'!T523), "", 'Aqueous Species Options'!T523)</f>
        <v/>
      </c>
    </row>
    <row r="524" spans="2:17" ht="16" x14ac:dyDescent="0.2">
      <c r="B524" t="str">
        <f>IF(ISBLANK('Aqueous Species Options'!B524), "", 'Aqueous Species Options'!B524)</f>
        <v/>
      </c>
      <c r="C524" s="1" t="str">
        <f>IF(ISBLANK('Aqueous Species Options'!C524), "", 'Aqueous Species Options'!C524)</f>
        <v/>
      </c>
      <c r="D524" s="1" t="str">
        <f>IF(ISBLANK('Aqueous Species Options'!D524), "", 'Aqueous Species Options'!D524)</f>
        <v/>
      </c>
      <c r="E524" s="1" t="str">
        <f>IF(ISBLANK('Aqueous Species Options'!E524), "", 'Aqueous Species Options'!E524)</f>
        <v/>
      </c>
      <c r="F524" s="139" t="str">
        <f>IF(ISBLANK('Aqueous Species Options'!F524), "", 'Aqueous Species Options'!F524)</f>
        <v/>
      </c>
      <c r="G524" s="29" t="str">
        <f>IF(ISBLANK('Aqueous Species Options'!B524), "", IF('Aqueous Species Options'!L524 = 1, IF(ISBLANK('Aqueous Species Options'!G524), "", 'Aqueous Species Options'!G524), ('Aqueous Species Table'!I524/10 + ('Aqueous Species Table'!J524*100)/(Calculations!$C$12+Calculations!$C$9) + ('Aqueous Species Table'!K524 + ('Aqueous Species Table'!L524*10000)/(Calculations!$C$12+Calculations!$C$9))*(1/(Calculations!$C$8-Calculations!$C$13)) - 'Aqueous Species Table'!O524*100000*0.0000005903)*41.8393))</f>
        <v/>
      </c>
      <c r="H524" s="29" t="str">
        <f>IF(ISBLANK('Aqueous Species Options'!B524), "", IF('Aqueous Species Options'!L524 = 1, IF(ISBLANK('Aqueous Species Options'!H524), "", 'Aqueous Species Options'!H524), 'Aqueous Species Table'!M524 + 'Aqueous Species Table'!N524*10000*(1/(Calculations!$C$8-Calculations!$C$13))^2 + 'Aqueous Species Table'!O524*100000*Calculations!$C$8*Calculations!$C$7))</f>
        <v/>
      </c>
      <c r="I524" s="1" t="str">
        <f>IF(ISBLANK('Aqueous Species Options'!B524), "", IF('Aqueous Species Options'!L524=0, 'Aqueous Species Options'!N524, IF(OR(ISBLANK('Aqueous Species Options'!G524),'Aqueous Species Table'!O524="", 'Aqueous Species Table'!P524=""), "", IF('Aqueous Species Options'!B524="H+", 0, (CHOOSE('Aqueous Species Options'!M524+1,'Aqueous Species Options'!$V$4*ABS('Aqueous Species Table'!P524)+'Aqueous Species Options'!$W$4,'Aqueous Species Options'!$Z$4)*('Aqueous Species Options'!G524 + 'Aqueous Species Table'!O524*100000*0.0000005903*41.8393) + CHOOSE('Aqueous Species Options'!M524+1,'Aqueous Species Options'!$X$4*ABS('Aqueous Species Table'!P524)+'Aqueous Species Options'!$Y$4,'Aqueous Species Options'!$AA$4))*10 ) ) ) )</f>
        <v/>
      </c>
      <c r="J524" s="1" t="str">
        <f>IF(ISBLANK('Aqueous Species Options'!B524), "", IF('Aqueous Species Options'!L524 = 0, 'Aqueous Species Options'!O524, IF('Aqueous Species Table'!I524="", "", IF('Aqueous Species Options'!B524="H+", 0, ((1.11*('Aqueous Species Options'!G524 + 'Aqueous Species Table'!O524*100000*0.0000005903*41.8393)+1.8)/41.8393 - 'Aqueous Species Table'!I524/10)*26.01 ) ) ) )</f>
        <v/>
      </c>
      <c r="K524" s="1" t="str">
        <f>IF(ISBLANK('Aqueous Species Options'!B524), "", IF('Aqueous Species Options'!L524 = 0, 'Aqueous Species Options'!P524, IF('Aqueous Species Table'!I524="", "", IF('Aqueous Species Options'!B524="H+", 0, ('Aqueous Species Options'!G524/41.8393 + 'Aqueous Species Table'!O524*100000*0.0000005903 - 'Aqueous Species Table'!I524/10 - 'Aqueous Species Table'!J524*100/2601)*(298.15-228) - ('Aqueous Species Table'!L524*10000/2601) ) ) ) )</f>
        <v/>
      </c>
      <c r="L524" s="1" t="str">
        <f>IF(ISBLANK('Aqueous Species Options'!B524), "", IF('Aqueous Species Options'!L524 = 0, 'Aqueous Species Options'!Q524, IF('Aqueous Species Table'!J524="", "", IF('Aqueous Species Options'!B524="H+", 0, (-4.134*'Aqueous Species Table'!J524*100 - 27790)*0.0001) ) ) )</f>
        <v/>
      </c>
      <c r="M524" s="1" t="str">
        <f>IF(ISBLANK('Aqueous Species Options'!B524), "", IF('Aqueous Species Options'!L524=0, 'Aqueous Species Options'!R524, IF('Aqueous Species Table'!N524="", "", IF('Aqueous Species Options'!B524="H+", 0, 'Aqueous Species Options'!H524 - 'Aqueous Species Table'!O524*100000*(-0.000000309)*298.15 - 'Aqueous Species Table'!N524*10000/(298.15-228)^2 ) ) ) )</f>
        <v/>
      </c>
      <c r="N524" s="1" t="str">
        <f>IF(ISBLANK('Aqueous Species Options'!B524), "", IF('Aqueous Species Options'!L524=0, 'Aqueous Species Options'!S524, IF(OR(ISBLANK('Aqueous Species Options'!H524), 'Aqueous Species Table'!O524=""), "", IF('Aqueous Species Options'!B524="H+", 0, 0.2037*'Aqueous Species Options'!H524 - 3.0346) ) ) )</f>
        <v/>
      </c>
      <c r="O524" s="1" t="str">
        <f>IF(ISBLANK('Aqueous Species Options'!B524), "", IF('Aqueous Species Options'!K524=0, 'Aqueous Species Options'!I524, IF(OR('Aqueous Species Options'!J524&gt;4,'Aqueous Species Options'!J524&lt;-4), "", IF('Aqueous Species Options'!B524="H+", 0, IF('Aqueous Species Options'!J524=0, -0.038, IF(ISBLANK('Aqueous Species Options'!F524), "", -1514.4*'Aqueous Species Options'!F524*0.00001 + SUM(({4,3,2,1,-1,-2,-3,-4}='Aqueous Species Options'!J524)*{2.1764,1.5793,1.0579,0.5517,1.6291,3.2127,4.8115,6.486}) ) ) ) ) ) )</f>
        <v/>
      </c>
      <c r="P524" s="1" t="str">
        <f>IF(ISBLANK('Aqueous Species Options'!J524), "", 'Aqueous Species Options'!J524)</f>
        <v/>
      </c>
      <c r="Q524" s="184" t="str">
        <f>IF(ISBLANK('Aqueous Species Options'!T524), "", 'Aqueous Species Options'!T524)</f>
        <v/>
      </c>
    </row>
    <row r="525" spans="2:17" ht="16" x14ac:dyDescent="0.2">
      <c r="B525" t="str">
        <f>IF(ISBLANK('Aqueous Species Options'!B525), "", 'Aqueous Species Options'!B525)</f>
        <v/>
      </c>
      <c r="C525" s="1" t="str">
        <f>IF(ISBLANK('Aqueous Species Options'!C525), "", 'Aqueous Species Options'!C525)</f>
        <v/>
      </c>
      <c r="D525" s="1" t="str">
        <f>IF(ISBLANK('Aqueous Species Options'!D525), "", 'Aqueous Species Options'!D525)</f>
        <v/>
      </c>
      <c r="E525" s="1" t="str">
        <f>IF(ISBLANK('Aqueous Species Options'!E525), "", 'Aqueous Species Options'!E525)</f>
        <v/>
      </c>
      <c r="F525" s="139" t="str">
        <f>IF(ISBLANK('Aqueous Species Options'!F525), "", 'Aqueous Species Options'!F525)</f>
        <v/>
      </c>
      <c r="G525" s="29" t="str">
        <f>IF(ISBLANK('Aqueous Species Options'!B525), "", IF('Aqueous Species Options'!L525 = 1, IF(ISBLANK('Aqueous Species Options'!G525), "", 'Aqueous Species Options'!G525), ('Aqueous Species Table'!I525/10 + ('Aqueous Species Table'!J525*100)/(Calculations!$C$12+Calculations!$C$9) + ('Aqueous Species Table'!K525 + ('Aqueous Species Table'!L525*10000)/(Calculations!$C$12+Calculations!$C$9))*(1/(Calculations!$C$8-Calculations!$C$13)) - 'Aqueous Species Table'!O525*100000*0.0000005903)*41.8393))</f>
        <v/>
      </c>
      <c r="H525" s="29" t="str">
        <f>IF(ISBLANK('Aqueous Species Options'!B525), "", IF('Aqueous Species Options'!L525 = 1, IF(ISBLANK('Aqueous Species Options'!H525), "", 'Aqueous Species Options'!H525), 'Aqueous Species Table'!M525 + 'Aqueous Species Table'!N525*10000*(1/(Calculations!$C$8-Calculations!$C$13))^2 + 'Aqueous Species Table'!O525*100000*Calculations!$C$8*Calculations!$C$7))</f>
        <v/>
      </c>
      <c r="I525" s="1" t="str">
        <f>IF(ISBLANK('Aqueous Species Options'!B525), "", IF('Aqueous Species Options'!L525=0, 'Aqueous Species Options'!N525, IF(OR(ISBLANK('Aqueous Species Options'!G525),'Aqueous Species Table'!O525="", 'Aqueous Species Table'!P525=""), "", IF('Aqueous Species Options'!B525="H+", 0, (CHOOSE('Aqueous Species Options'!M525+1,'Aqueous Species Options'!$V$4*ABS('Aqueous Species Table'!P525)+'Aqueous Species Options'!$W$4,'Aqueous Species Options'!$Z$4)*('Aqueous Species Options'!G525 + 'Aqueous Species Table'!O525*100000*0.0000005903*41.8393) + CHOOSE('Aqueous Species Options'!M525+1,'Aqueous Species Options'!$X$4*ABS('Aqueous Species Table'!P525)+'Aqueous Species Options'!$Y$4,'Aqueous Species Options'!$AA$4))*10 ) ) ) )</f>
        <v/>
      </c>
      <c r="J525" s="1" t="str">
        <f>IF(ISBLANK('Aqueous Species Options'!B525), "", IF('Aqueous Species Options'!L525 = 0, 'Aqueous Species Options'!O525, IF('Aqueous Species Table'!I525="", "", IF('Aqueous Species Options'!B525="H+", 0, ((1.11*('Aqueous Species Options'!G525 + 'Aqueous Species Table'!O525*100000*0.0000005903*41.8393)+1.8)/41.8393 - 'Aqueous Species Table'!I525/10)*26.01 ) ) ) )</f>
        <v/>
      </c>
      <c r="K525" s="1" t="str">
        <f>IF(ISBLANK('Aqueous Species Options'!B525), "", IF('Aqueous Species Options'!L525 = 0, 'Aqueous Species Options'!P525, IF('Aqueous Species Table'!I525="", "", IF('Aqueous Species Options'!B525="H+", 0, ('Aqueous Species Options'!G525/41.8393 + 'Aqueous Species Table'!O525*100000*0.0000005903 - 'Aqueous Species Table'!I525/10 - 'Aqueous Species Table'!J525*100/2601)*(298.15-228) - ('Aqueous Species Table'!L525*10000/2601) ) ) ) )</f>
        <v/>
      </c>
      <c r="L525" s="1" t="str">
        <f>IF(ISBLANK('Aqueous Species Options'!B525), "", IF('Aqueous Species Options'!L525 = 0, 'Aqueous Species Options'!Q525, IF('Aqueous Species Table'!J525="", "", IF('Aqueous Species Options'!B525="H+", 0, (-4.134*'Aqueous Species Table'!J525*100 - 27790)*0.0001) ) ) )</f>
        <v/>
      </c>
      <c r="M525" s="1" t="str">
        <f>IF(ISBLANK('Aqueous Species Options'!B525), "", IF('Aqueous Species Options'!L525=0, 'Aqueous Species Options'!R525, IF('Aqueous Species Table'!N525="", "", IF('Aqueous Species Options'!B525="H+", 0, 'Aqueous Species Options'!H525 - 'Aqueous Species Table'!O525*100000*(-0.000000309)*298.15 - 'Aqueous Species Table'!N525*10000/(298.15-228)^2 ) ) ) )</f>
        <v/>
      </c>
      <c r="N525" s="1" t="str">
        <f>IF(ISBLANK('Aqueous Species Options'!B525), "", IF('Aqueous Species Options'!L525=0, 'Aqueous Species Options'!S525, IF(OR(ISBLANK('Aqueous Species Options'!H525), 'Aqueous Species Table'!O525=""), "", IF('Aqueous Species Options'!B525="H+", 0, 0.2037*'Aqueous Species Options'!H525 - 3.0346) ) ) )</f>
        <v/>
      </c>
      <c r="O525" s="1" t="str">
        <f>IF(ISBLANK('Aqueous Species Options'!B525), "", IF('Aqueous Species Options'!K525=0, 'Aqueous Species Options'!I525, IF(OR('Aqueous Species Options'!J525&gt;4,'Aqueous Species Options'!J525&lt;-4), "", IF('Aqueous Species Options'!B525="H+", 0, IF('Aqueous Species Options'!J525=0, -0.038, IF(ISBLANK('Aqueous Species Options'!F525), "", -1514.4*'Aqueous Species Options'!F525*0.00001 + SUM(({4,3,2,1,-1,-2,-3,-4}='Aqueous Species Options'!J525)*{2.1764,1.5793,1.0579,0.5517,1.6291,3.2127,4.8115,6.486}) ) ) ) ) ) )</f>
        <v/>
      </c>
      <c r="P525" s="1" t="str">
        <f>IF(ISBLANK('Aqueous Species Options'!J525), "", 'Aqueous Species Options'!J525)</f>
        <v/>
      </c>
      <c r="Q525" s="184" t="str">
        <f>IF(ISBLANK('Aqueous Species Options'!T525), "", 'Aqueous Species Options'!T525)</f>
        <v/>
      </c>
    </row>
    <row r="526" spans="2:17" ht="16" x14ac:dyDescent="0.2">
      <c r="B526" t="str">
        <f>IF(ISBLANK('Aqueous Species Options'!B526), "", 'Aqueous Species Options'!B526)</f>
        <v/>
      </c>
      <c r="C526" s="1" t="str">
        <f>IF(ISBLANK('Aqueous Species Options'!C526), "", 'Aqueous Species Options'!C526)</f>
        <v/>
      </c>
      <c r="D526" s="1" t="str">
        <f>IF(ISBLANK('Aqueous Species Options'!D526), "", 'Aqueous Species Options'!D526)</f>
        <v/>
      </c>
      <c r="E526" s="1" t="str">
        <f>IF(ISBLANK('Aqueous Species Options'!E526), "", 'Aqueous Species Options'!E526)</f>
        <v/>
      </c>
      <c r="F526" s="139" t="str">
        <f>IF(ISBLANK('Aqueous Species Options'!F526), "", 'Aqueous Species Options'!F526)</f>
        <v/>
      </c>
      <c r="G526" s="29" t="str">
        <f>IF(ISBLANK('Aqueous Species Options'!B526), "", IF('Aqueous Species Options'!L526 = 1, IF(ISBLANK('Aqueous Species Options'!G526), "", 'Aqueous Species Options'!G526), ('Aqueous Species Table'!I526/10 + ('Aqueous Species Table'!J526*100)/(Calculations!$C$12+Calculations!$C$9) + ('Aqueous Species Table'!K526 + ('Aqueous Species Table'!L526*10000)/(Calculations!$C$12+Calculations!$C$9))*(1/(Calculations!$C$8-Calculations!$C$13)) - 'Aqueous Species Table'!O526*100000*0.0000005903)*41.8393))</f>
        <v/>
      </c>
      <c r="H526" s="29" t="str">
        <f>IF(ISBLANK('Aqueous Species Options'!B526), "", IF('Aqueous Species Options'!L526 = 1, IF(ISBLANK('Aqueous Species Options'!H526), "", 'Aqueous Species Options'!H526), 'Aqueous Species Table'!M526 + 'Aqueous Species Table'!N526*10000*(1/(Calculations!$C$8-Calculations!$C$13))^2 + 'Aqueous Species Table'!O526*100000*Calculations!$C$8*Calculations!$C$7))</f>
        <v/>
      </c>
      <c r="I526" s="1" t="str">
        <f>IF(ISBLANK('Aqueous Species Options'!B526), "", IF('Aqueous Species Options'!L526=0, 'Aqueous Species Options'!N526, IF(OR(ISBLANK('Aqueous Species Options'!G526),'Aqueous Species Table'!O526="", 'Aqueous Species Table'!P526=""), "", IF('Aqueous Species Options'!B526="H+", 0, (CHOOSE('Aqueous Species Options'!M526+1,'Aqueous Species Options'!$V$4*ABS('Aqueous Species Table'!P526)+'Aqueous Species Options'!$W$4,'Aqueous Species Options'!$Z$4)*('Aqueous Species Options'!G526 + 'Aqueous Species Table'!O526*100000*0.0000005903*41.8393) + CHOOSE('Aqueous Species Options'!M526+1,'Aqueous Species Options'!$X$4*ABS('Aqueous Species Table'!P526)+'Aqueous Species Options'!$Y$4,'Aqueous Species Options'!$AA$4))*10 ) ) ) )</f>
        <v/>
      </c>
      <c r="J526" s="1" t="str">
        <f>IF(ISBLANK('Aqueous Species Options'!B526), "", IF('Aqueous Species Options'!L526 = 0, 'Aqueous Species Options'!O526, IF('Aqueous Species Table'!I526="", "", IF('Aqueous Species Options'!B526="H+", 0, ((1.11*('Aqueous Species Options'!G526 + 'Aqueous Species Table'!O526*100000*0.0000005903*41.8393)+1.8)/41.8393 - 'Aqueous Species Table'!I526/10)*26.01 ) ) ) )</f>
        <v/>
      </c>
      <c r="K526" s="1" t="str">
        <f>IF(ISBLANK('Aqueous Species Options'!B526), "", IF('Aqueous Species Options'!L526 = 0, 'Aqueous Species Options'!P526, IF('Aqueous Species Table'!I526="", "", IF('Aqueous Species Options'!B526="H+", 0, ('Aqueous Species Options'!G526/41.8393 + 'Aqueous Species Table'!O526*100000*0.0000005903 - 'Aqueous Species Table'!I526/10 - 'Aqueous Species Table'!J526*100/2601)*(298.15-228) - ('Aqueous Species Table'!L526*10000/2601) ) ) ) )</f>
        <v/>
      </c>
      <c r="L526" s="1" t="str">
        <f>IF(ISBLANK('Aqueous Species Options'!B526), "", IF('Aqueous Species Options'!L526 = 0, 'Aqueous Species Options'!Q526, IF('Aqueous Species Table'!J526="", "", IF('Aqueous Species Options'!B526="H+", 0, (-4.134*'Aqueous Species Table'!J526*100 - 27790)*0.0001) ) ) )</f>
        <v/>
      </c>
      <c r="M526" s="1" t="str">
        <f>IF(ISBLANK('Aqueous Species Options'!B526), "", IF('Aqueous Species Options'!L526=0, 'Aqueous Species Options'!R526, IF('Aqueous Species Table'!N526="", "", IF('Aqueous Species Options'!B526="H+", 0, 'Aqueous Species Options'!H526 - 'Aqueous Species Table'!O526*100000*(-0.000000309)*298.15 - 'Aqueous Species Table'!N526*10000/(298.15-228)^2 ) ) ) )</f>
        <v/>
      </c>
      <c r="N526" s="1" t="str">
        <f>IF(ISBLANK('Aqueous Species Options'!B526), "", IF('Aqueous Species Options'!L526=0, 'Aqueous Species Options'!S526, IF(OR(ISBLANK('Aqueous Species Options'!H526), 'Aqueous Species Table'!O526=""), "", IF('Aqueous Species Options'!B526="H+", 0, 0.2037*'Aqueous Species Options'!H526 - 3.0346) ) ) )</f>
        <v/>
      </c>
      <c r="O526" s="1" t="str">
        <f>IF(ISBLANK('Aqueous Species Options'!B526), "", IF('Aqueous Species Options'!K526=0, 'Aqueous Species Options'!I526, IF(OR('Aqueous Species Options'!J526&gt;4,'Aqueous Species Options'!J526&lt;-4), "", IF('Aqueous Species Options'!B526="H+", 0, IF('Aqueous Species Options'!J526=0, -0.038, IF(ISBLANK('Aqueous Species Options'!F526), "", -1514.4*'Aqueous Species Options'!F526*0.00001 + SUM(({4,3,2,1,-1,-2,-3,-4}='Aqueous Species Options'!J526)*{2.1764,1.5793,1.0579,0.5517,1.6291,3.2127,4.8115,6.486}) ) ) ) ) ) )</f>
        <v/>
      </c>
      <c r="P526" s="1" t="str">
        <f>IF(ISBLANK('Aqueous Species Options'!J526), "", 'Aqueous Species Options'!J526)</f>
        <v/>
      </c>
      <c r="Q526" s="184" t="str">
        <f>IF(ISBLANK('Aqueous Species Options'!T526), "", 'Aqueous Species Options'!T526)</f>
        <v/>
      </c>
    </row>
    <row r="527" spans="2:17" ht="16" x14ac:dyDescent="0.2">
      <c r="B527" t="str">
        <f>IF(ISBLANK('Aqueous Species Options'!B527), "", 'Aqueous Species Options'!B527)</f>
        <v/>
      </c>
      <c r="C527" s="1" t="str">
        <f>IF(ISBLANK('Aqueous Species Options'!C527), "", 'Aqueous Species Options'!C527)</f>
        <v/>
      </c>
      <c r="D527" s="1" t="str">
        <f>IF(ISBLANK('Aqueous Species Options'!D527), "", 'Aqueous Species Options'!D527)</f>
        <v/>
      </c>
      <c r="E527" s="1" t="str">
        <f>IF(ISBLANK('Aqueous Species Options'!E527), "", 'Aqueous Species Options'!E527)</f>
        <v/>
      </c>
      <c r="F527" s="139" t="str">
        <f>IF(ISBLANK('Aqueous Species Options'!F527), "", 'Aqueous Species Options'!F527)</f>
        <v/>
      </c>
      <c r="G527" s="29" t="str">
        <f>IF(ISBLANK('Aqueous Species Options'!B527), "", IF('Aqueous Species Options'!L527 = 1, IF(ISBLANK('Aqueous Species Options'!G527), "", 'Aqueous Species Options'!G527), ('Aqueous Species Table'!I527/10 + ('Aqueous Species Table'!J527*100)/(Calculations!$C$12+Calculations!$C$9) + ('Aqueous Species Table'!K527 + ('Aqueous Species Table'!L527*10000)/(Calculations!$C$12+Calculations!$C$9))*(1/(Calculations!$C$8-Calculations!$C$13)) - 'Aqueous Species Table'!O527*100000*0.0000005903)*41.8393))</f>
        <v/>
      </c>
      <c r="H527" s="29" t="str">
        <f>IF(ISBLANK('Aqueous Species Options'!B527), "", IF('Aqueous Species Options'!L527 = 1, IF(ISBLANK('Aqueous Species Options'!H527), "", 'Aqueous Species Options'!H527), 'Aqueous Species Table'!M527 + 'Aqueous Species Table'!N527*10000*(1/(Calculations!$C$8-Calculations!$C$13))^2 + 'Aqueous Species Table'!O527*100000*Calculations!$C$8*Calculations!$C$7))</f>
        <v/>
      </c>
      <c r="I527" s="1" t="str">
        <f>IF(ISBLANK('Aqueous Species Options'!B527), "", IF('Aqueous Species Options'!L527=0, 'Aqueous Species Options'!N527, IF(OR(ISBLANK('Aqueous Species Options'!G527),'Aqueous Species Table'!O527="", 'Aqueous Species Table'!P527=""), "", IF('Aqueous Species Options'!B527="H+", 0, (CHOOSE('Aqueous Species Options'!M527+1,'Aqueous Species Options'!$V$4*ABS('Aqueous Species Table'!P527)+'Aqueous Species Options'!$W$4,'Aqueous Species Options'!$Z$4)*('Aqueous Species Options'!G527 + 'Aqueous Species Table'!O527*100000*0.0000005903*41.8393) + CHOOSE('Aqueous Species Options'!M527+1,'Aqueous Species Options'!$X$4*ABS('Aqueous Species Table'!P527)+'Aqueous Species Options'!$Y$4,'Aqueous Species Options'!$AA$4))*10 ) ) ) )</f>
        <v/>
      </c>
      <c r="J527" s="1" t="str">
        <f>IF(ISBLANK('Aqueous Species Options'!B527), "", IF('Aqueous Species Options'!L527 = 0, 'Aqueous Species Options'!O527, IF('Aqueous Species Table'!I527="", "", IF('Aqueous Species Options'!B527="H+", 0, ((1.11*('Aqueous Species Options'!G527 + 'Aqueous Species Table'!O527*100000*0.0000005903*41.8393)+1.8)/41.8393 - 'Aqueous Species Table'!I527/10)*26.01 ) ) ) )</f>
        <v/>
      </c>
      <c r="K527" s="1" t="str">
        <f>IF(ISBLANK('Aqueous Species Options'!B527), "", IF('Aqueous Species Options'!L527 = 0, 'Aqueous Species Options'!P527, IF('Aqueous Species Table'!I527="", "", IF('Aqueous Species Options'!B527="H+", 0, ('Aqueous Species Options'!G527/41.8393 + 'Aqueous Species Table'!O527*100000*0.0000005903 - 'Aqueous Species Table'!I527/10 - 'Aqueous Species Table'!J527*100/2601)*(298.15-228) - ('Aqueous Species Table'!L527*10000/2601) ) ) ) )</f>
        <v/>
      </c>
      <c r="L527" s="1" t="str">
        <f>IF(ISBLANK('Aqueous Species Options'!B527), "", IF('Aqueous Species Options'!L527 = 0, 'Aqueous Species Options'!Q527, IF('Aqueous Species Table'!J527="", "", IF('Aqueous Species Options'!B527="H+", 0, (-4.134*'Aqueous Species Table'!J527*100 - 27790)*0.0001) ) ) )</f>
        <v/>
      </c>
      <c r="M527" s="1" t="str">
        <f>IF(ISBLANK('Aqueous Species Options'!B527), "", IF('Aqueous Species Options'!L527=0, 'Aqueous Species Options'!R527, IF('Aqueous Species Table'!N527="", "", IF('Aqueous Species Options'!B527="H+", 0, 'Aqueous Species Options'!H527 - 'Aqueous Species Table'!O527*100000*(-0.000000309)*298.15 - 'Aqueous Species Table'!N527*10000/(298.15-228)^2 ) ) ) )</f>
        <v/>
      </c>
      <c r="N527" s="1" t="str">
        <f>IF(ISBLANK('Aqueous Species Options'!B527), "", IF('Aqueous Species Options'!L527=0, 'Aqueous Species Options'!S527, IF(OR(ISBLANK('Aqueous Species Options'!H527), 'Aqueous Species Table'!O527=""), "", IF('Aqueous Species Options'!B527="H+", 0, 0.2037*'Aqueous Species Options'!H527 - 3.0346) ) ) )</f>
        <v/>
      </c>
      <c r="O527" s="1" t="str">
        <f>IF(ISBLANK('Aqueous Species Options'!B527), "", IF('Aqueous Species Options'!K527=0, 'Aqueous Species Options'!I527, IF(OR('Aqueous Species Options'!J527&gt;4,'Aqueous Species Options'!J527&lt;-4), "", IF('Aqueous Species Options'!B527="H+", 0, IF('Aqueous Species Options'!J527=0, -0.038, IF(ISBLANK('Aqueous Species Options'!F527), "", -1514.4*'Aqueous Species Options'!F527*0.00001 + SUM(({4,3,2,1,-1,-2,-3,-4}='Aqueous Species Options'!J527)*{2.1764,1.5793,1.0579,0.5517,1.6291,3.2127,4.8115,6.486}) ) ) ) ) ) )</f>
        <v/>
      </c>
      <c r="P527" s="1" t="str">
        <f>IF(ISBLANK('Aqueous Species Options'!J527), "", 'Aqueous Species Options'!J527)</f>
        <v/>
      </c>
      <c r="Q527" s="184" t="str">
        <f>IF(ISBLANK('Aqueous Species Options'!T527), "", 'Aqueous Species Options'!T527)</f>
        <v/>
      </c>
    </row>
    <row r="528" spans="2:17" ht="16" x14ac:dyDescent="0.2">
      <c r="B528" t="str">
        <f>IF(ISBLANK('Aqueous Species Options'!B528), "", 'Aqueous Species Options'!B528)</f>
        <v/>
      </c>
      <c r="C528" s="1" t="str">
        <f>IF(ISBLANK('Aqueous Species Options'!C528), "", 'Aqueous Species Options'!C528)</f>
        <v/>
      </c>
      <c r="D528" s="1" t="str">
        <f>IF(ISBLANK('Aqueous Species Options'!D528), "", 'Aqueous Species Options'!D528)</f>
        <v/>
      </c>
      <c r="E528" s="1" t="str">
        <f>IF(ISBLANK('Aqueous Species Options'!E528), "", 'Aqueous Species Options'!E528)</f>
        <v/>
      </c>
      <c r="F528" s="139" t="str">
        <f>IF(ISBLANK('Aqueous Species Options'!F528), "", 'Aqueous Species Options'!F528)</f>
        <v/>
      </c>
      <c r="G528" s="29" t="str">
        <f>IF(ISBLANK('Aqueous Species Options'!B528), "", IF('Aqueous Species Options'!L528 = 1, IF(ISBLANK('Aqueous Species Options'!G528), "", 'Aqueous Species Options'!G528), ('Aqueous Species Table'!I528/10 + ('Aqueous Species Table'!J528*100)/(Calculations!$C$12+Calculations!$C$9) + ('Aqueous Species Table'!K528 + ('Aqueous Species Table'!L528*10000)/(Calculations!$C$12+Calculations!$C$9))*(1/(Calculations!$C$8-Calculations!$C$13)) - 'Aqueous Species Table'!O528*100000*0.0000005903)*41.8393))</f>
        <v/>
      </c>
      <c r="H528" s="29" t="str">
        <f>IF(ISBLANK('Aqueous Species Options'!B528), "", IF('Aqueous Species Options'!L528 = 1, IF(ISBLANK('Aqueous Species Options'!H528), "", 'Aqueous Species Options'!H528), 'Aqueous Species Table'!M528 + 'Aqueous Species Table'!N528*10000*(1/(Calculations!$C$8-Calculations!$C$13))^2 + 'Aqueous Species Table'!O528*100000*Calculations!$C$8*Calculations!$C$7))</f>
        <v/>
      </c>
      <c r="I528" s="1" t="str">
        <f>IF(ISBLANK('Aqueous Species Options'!B528), "", IF('Aqueous Species Options'!L528=0, 'Aqueous Species Options'!N528, IF(OR(ISBLANK('Aqueous Species Options'!G528),'Aqueous Species Table'!O528="", 'Aqueous Species Table'!P528=""), "", IF('Aqueous Species Options'!B528="H+", 0, (CHOOSE('Aqueous Species Options'!M528+1,'Aqueous Species Options'!$V$4*ABS('Aqueous Species Table'!P528)+'Aqueous Species Options'!$W$4,'Aqueous Species Options'!$Z$4)*('Aqueous Species Options'!G528 + 'Aqueous Species Table'!O528*100000*0.0000005903*41.8393) + CHOOSE('Aqueous Species Options'!M528+1,'Aqueous Species Options'!$X$4*ABS('Aqueous Species Table'!P528)+'Aqueous Species Options'!$Y$4,'Aqueous Species Options'!$AA$4))*10 ) ) ) )</f>
        <v/>
      </c>
      <c r="J528" s="1" t="str">
        <f>IF(ISBLANK('Aqueous Species Options'!B528), "", IF('Aqueous Species Options'!L528 = 0, 'Aqueous Species Options'!O528, IF('Aqueous Species Table'!I528="", "", IF('Aqueous Species Options'!B528="H+", 0, ((1.11*('Aqueous Species Options'!G528 + 'Aqueous Species Table'!O528*100000*0.0000005903*41.8393)+1.8)/41.8393 - 'Aqueous Species Table'!I528/10)*26.01 ) ) ) )</f>
        <v/>
      </c>
      <c r="K528" s="1" t="str">
        <f>IF(ISBLANK('Aqueous Species Options'!B528), "", IF('Aqueous Species Options'!L528 = 0, 'Aqueous Species Options'!P528, IF('Aqueous Species Table'!I528="", "", IF('Aqueous Species Options'!B528="H+", 0, ('Aqueous Species Options'!G528/41.8393 + 'Aqueous Species Table'!O528*100000*0.0000005903 - 'Aqueous Species Table'!I528/10 - 'Aqueous Species Table'!J528*100/2601)*(298.15-228) - ('Aqueous Species Table'!L528*10000/2601) ) ) ) )</f>
        <v/>
      </c>
      <c r="L528" s="1" t="str">
        <f>IF(ISBLANK('Aqueous Species Options'!B528), "", IF('Aqueous Species Options'!L528 = 0, 'Aqueous Species Options'!Q528, IF('Aqueous Species Table'!J528="", "", IF('Aqueous Species Options'!B528="H+", 0, (-4.134*'Aqueous Species Table'!J528*100 - 27790)*0.0001) ) ) )</f>
        <v/>
      </c>
      <c r="M528" s="1" t="str">
        <f>IF(ISBLANK('Aqueous Species Options'!B528), "", IF('Aqueous Species Options'!L528=0, 'Aqueous Species Options'!R528, IF('Aqueous Species Table'!N528="", "", IF('Aqueous Species Options'!B528="H+", 0, 'Aqueous Species Options'!H528 - 'Aqueous Species Table'!O528*100000*(-0.000000309)*298.15 - 'Aqueous Species Table'!N528*10000/(298.15-228)^2 ) ) ) )</f>
        <v/>
      </c>
      <c r="N528" s="1" t="str">
        <f>IF(ISBLANK('Aqueous Species Options'!B528), "", IF('Aqueous Species Options'!L528=0, 'Aqueous Species Options'!S528, IF(OR(ISBLANK('Aqueous Species Options'!H528), 'Aqueous Species Table'!O528=""), "", IF('Aqueous Species Options'!B528="H+", 0, 0.2037*'Aqueous Species Options'!H528 - 3.0346) ) ) )</f>
        <v/>
      </c>
      <c r="O528" s="1" t="str">
        <f>IF(ISBLANK('Aqueous Species Options'!B528), "", IF('Aqueous Species Options'!K528=0, 'Aqueous Species Options'!I528, IF(OR('Aqueous Species Options'!J528&gt;4,'Aqueous Species Options'!J528&lt;-4), "", IF('Aqueous Species Options'!B528="H+", 0, IF('Aqueous Species Options'!J528=0, -0.038, IF(ISBLANK('Aqueous Species Options'!F528), "", -1514.4*'Aqueous Species Options'!F528*0.00001 + SUM(({4,3,2,1,-1,-2,-3,-4}='Aqueous Species Options'!J528)*{2.1764,1.5793,1.0579,0.5517,1.6291,3.2127,4.8115,6.486}) ) ) ) ) ) )</f>
        <v/>
      </c>
      <c r="P528" s="1" t="str">
        <f>IF(ISBLANK('Aqueous Species Options'!J528), "", 'Aqueous Species Options'!J528)</f>
        <v/>
      </c>
      <c r="Q528" s="184" t="str">
        <f>IF(ISBLANK('Aqueous Species Options'!T528), "", 'Aqueous Species Options'!T528)</f>
        <v/>
      </c>
    </row>
    <row r="529" spans="2:17" ht="16" x14ac:dyDescent="0.2">
      <c r="B529" t="str">
        <f>IF(ISBLANK('Aqueous Species Options'!B529), "", 'Aqueous Species Options'!B529)</f>
        <v/>
      </c>
      <c r="C529" s="1" t="str">
        <f>IF(ISBLANK('Aqueous Species Options'!C529), "", 'Aqueous Species Options'!C529)</f>
        <v/>
      </c>
      <c r="D529" s="1" t="str">
        <f>IF(ISBLANK('Aqueous Species Options'!D529), "", 'Aqueous Species Options'!D529)</f>
        <v/>
      </c>
      <c r="E529" s="1" t="str">
        <f>IF(ISBLANK('Aqueous Species Options'!E529), "", 'Aqueous Species Options'!E529)</f>
        <v/>
      </c>
      <c r="F529" s="139" t="str">
        <f>IF(ISBLANK('Aqueous Species Options'!F529), "", 'Aqueous Species Options'!F529)</f>
        <v/>
      </c>
      <c r="G529" s="29" t="str">
        <f>IF(ISBLANK('Aqueous Species Options'!B529), "", IF('Aqueous Species Options'!L529 = 1, IF(ISBLANK('Aqueous Species Options'!G529), "", 'Aqueous Species Options'!G529), ('Aqueous Species Table'!I529/10 + ('Aqueous Species Table'!J529*100)/(Calculations!$C$12+Calculations!$C$9) + ('Aqueous Species Table'!K529 + ('Aqueous Species Table'!L529*10000)/(Calculations!$C$12+Calculations!$C$9))*(1/(Calculations!$C$8-Calculations!$C$13)) - 'Aqueous Species Table'!O529*100000*0.0000005903)*41.8393))</f>
        <v/>
      </c>
      <c r="H529" s="29" t="str">
        <f>IF(ISBLANK('Aqueous Species Options'!B529), "", IF('Aqueous Species Options'!L529 = 1, IF(ISBLANK('Aqueous Species Options'!H529), "", 'Aqueous Species Options'!H529), 'Aqueous Species Table'!M529 + 'Aqueous Species Table'!N529*10000*(1/(Calculations!$C$8-Calculations!$C$13))^2 + 'Aqueous Species Table'!O529*100000*Calculations!$C$8*Calculations!$C$7))</f>
        <v/>
      </c>
      <c r="I529" s="1" t="str">
        <f>IF(ISBLANK('Aqueous Species Options'!B529), "", IF('Aqueous Species Options'!L529=0, 'Aqueous Species Options'!N529, IF(OR(ISBLANK('Aqueous Species Options'!G529),'Aqueous Species Table'!O529="", 'Aqueous Species Table'!P529=""), "", IF('Aqueous Species Options'!B529="H+", 0, (CHOOSE('Aqueous Species Options'!M529+1,'Aqueous Species Options'!$V$4*ABS('Aqueous Species Table'!P529)+'Aqueous Species Options'!$W$4,'Aqueous Species Options'!$Z$4)*('Aqueous Species Options'!G529 + 'Aqueous Species Table'!O529*100000*0.0000005903*41.8393) + CHOOSE('Aqueous Species Options'!M529+1,'Aqueous Species Options'!$X$4*ABS('Aqueous Species Table'!P529)+'Aqueous Species Options'!$Y$4,'Aqueous Species Options'!$AA$4))*10 ) ) ) )</f>
        <v/>
      </c>
      <c r="J529" s="1" t="str">
        <f>IF(ISBLANK('Aqueous Species Options'!B529), "", IF('Aqueous Species Options'!L529 = 0, 'Aqueous Species Options'!O529, IF('Aqueous Species Table'!I529="", "", IF('Aqueous Species Options'!B529="H+", 0, ((1.11*('Aqueous Species Options'!G529 + 'Aqueous Species Table'!O529*100000*0.0000005903*41.8393)+1.8)/41.8393 - 'Aqueous Species Table'!I529/10)*26.01 ) ) ) )</f>
        <v/>
      </c>
      <c r="K529" s="1" t="str">
        <f>IF(ISBLANK('Aqueous Species Options'!B529), "", IF('Aqueous Species Options'!L529 = 0, 'Aqueous Species Options'!P529, IF('Aqueous Species Table'!I529="", "", IF('Aqueous Species Options'!B529="H+", 0, ('Aqueous Species Options'!G529/41.8393 + 'Aqueous Species Table'!O529*100000*0.0000005903 - 'Aqueous Species Table'!I529/10 - 'Aqueous Species Table'!J529*100/2601)*(298.15-228) - ('Aqueous Species Table'!L529*10000/2601) ) ) ) )</f>
        <v/>
      </c>
      <c r="L529" s="1" t="str">
        <f>IF(ISBLANK('Aqueous Species Options'!B529), "", IF('Aqueous Species Options'!L529 = 0, 'Aqueous Species Options'!Q529, IF('Aqueous Species Table'!J529="", "", IF('Aqueous Species Options'!B529="H+", 0, (-4.134*'Aqueous Species Table'!J529*100 - 27790)*0.0001) ) ) )</f>
        <v/>
      </c>
      <c r="M529" s="1" t="str">
        <f>IF(ISBLANK('Aqueous Species Options'!B529), "", IF('Aqueous Species Options'!L529=0, 'Aqueous Species Options'!R529, IF('Aqueous Species Table'!N529="", "", IF('Aqueous Species Options'!B529="H+", 0, 'Aqueous Species Options'!H529 - 'Aqueous Species Table'!O529*100000*(-0.000000309)*298.15 - 'Aqueous Species Table'!N529*10000/(298.15-228)^2 ) ) ) )</f>
        <v/>
      </c>
      <c r="N529" s="1" t="str">
        <f>IF(ISBLANK('Aqueous Species Options'!B529), "", IF('Aqueous Species Options'!L529=0, 'Aqueous Species Options'!S529, IF(OR(ISBLANK('Aqueous Species Options'!H529), 'Aqueous Species Table'!O529=""), "", IF('Aqueous Species Options'!B529="H+", 0, 0.2037*'Aqueous Species Options'!H529 - 3.0346) ) ) )</f>
        <v/>
      </c>
      <c r="O529" s="1" t="str">
        <f>IF(ISBLANK('Aqueous Species Options'!B529), "", IF('Aqueous Species Options'!K529=0, 'Aqueous Species Options'!I529, IF(OR('Aqueous Species Options'!J529&gt;4,'Aqueous Species Options'!J529&lt;-4), "", IF('Aqueous Species Options'!B529="H+", 0, IF('Aqueous Species Options'!J529=0, -0.038, IF(ISBLANK('Aqueous Species Options'!F529), "", -1514.4*'Aqueous Species Options'!F529*0.00001 + SUM(({4,3,2,1,-1,-2,-3,-4}='Aqueous Species Options'!J529)*{2.1764,1.5793,1.0579,0.5517,1.6291,3.2127,4.8115,6.486}) ) ) ) ) ) )</f>
        <v/>
      </c>
      <c r="P529" s="1" t="str">
        <f>IF(ISBLANK('Aqueous Species Options'!J529), "", 'Aqueous Species Options'!J529)</f>
        <v/>
      </c>
      <c r="Q529" s="184" t="str">
        <f>IF(ISBLANK('Aqueous Species Options'!T529), "", 'Aqueous Species Options'!T529)</f>
        <v/>
      </c>
    </row>
    <row r="530" spans="2:17" ht="16" x14ac:dyDescent="0.2">
      <c r="B530" t="str">
        <f>IF(ISBLANK('Aqueous Species Options'!B530), "", 'Aqueous Species Options'!B530)</f>
        <v/>
      </c>
      <c r="C530" s="1" t="str">
        <f>IF(ISBLANK('Aqueous Species Options'!C530), "", 'Aqueous Species Options'!C530)</f>
        <v/>
      </c>
      <c r="D530" s="1" t="str">
        <f>IF(ISBLANK('Aqueous Species Options'!D530), "", 'Aqueous Species Options'!D530)</f>
        <v/>
      </c>
      <c r="E530" s="1" t="str">
        <f>IF(ISBLANK('Aqueous Species Options'!E530), "", 'Aqueous Species Options'!E530)</f>
        <v/>
      </c>
      <c r="F530" s="139" t="str">
        <f>IF(ISBLANK('Aqueous Species Options'!F530), "", 'Aqueous Species Options'!F530)</f>
        <v/>
      </c>
      <c r="G530" s="29" t="str">
        <f>IF(ISBLANK('Aqueous Species Options'!B530), "", IF('Aqueous Species Options'!L530 = 1, IF(ISBLANK('Aqueous Species Options'!G530), "", 'Aqueous Species Options'!G530), ('Aqueous Species Table'!I530/10 + ('Aqueous Species Table'!J530*100)/(Calculations!$C$12+Calculations!$C$9) + ('Aqueous Species Table'!K530 + ('Aqueous Species Table'!L530*10000)/(Calculations!$C$12+Calculations!$C$9))*(1/(Calculations!$C$8-Calculations!$C$13)) - 'Aqueous Species Table'!O530*100000*0.0000005903)*41.8393))</f>
        <v/>
      </c>
      <c r="H530" s="29" t="str">
        <f>IF(ISBLANK('Aqueous Species Options'!B530), "", IF('Aqueous Species Options'!L530 = 1, IF(ISBLANK('Aqueous Species Options'!H530), "", 'Aqueous Species Options'!H530), 'Aqueous Species Table'!M530 + 'Aqueous Species Table'!N530*10000*(1/(Calculations!$C$8-Calculations!$C$13))^2 + 'Aqueous Species Table'!O530*100000*Calculations!$C$8*Calculations!$C$7))</f>
        <v/>
      </c>
      <c r="I530" s="1" t="str">
        <f>IF(ISBLANK('Aqueous Species Options'!B530), "", IF('Aqueous Species Options'!L530=0, 'Aqueous Species Options'!N530, IF(OR(ISBLANK('Aqueous Species Options'!G530),'Aqueous Species Table'!O530="", 'Aqueous Species Table'!P530=""), "", IF('Aqueous Species Options'!B530="H+", 0, (CHOOSE('Aqueous Species Options'!M530+1,'Aqueous Species Options'!$V$4*ABS('Aqueous Species Table'!P530)+'Aqueous Species Options'!$W$4,'Aqueous Species Options'!$Z$4)*('Aqueous Species Options'!G530 + 'Aqueous Species Table'!O530*100000*0.0000005903*41.8393) + CHOOSE('Aqueous Species Options'!M530+1,'Aqueous Species Options'!$X$4*ABS('Aqueous Species Table'!P530)+'Aqueous Species Options'!$Y$4,'Aqueous Species Options'!$AA$4))*10 ) ) ) )</f>
        <v/>
      </c>
      <c r="J530" s="1" t="str">
        <f>IF(ISBLANK('Aqueous Species Options'!B530), "", IF('Aqueous Species Options'!L530 = 0, 'Aqueous Species Options'!O530, IF('Aqueous Species Table'!I530="", "", IF('Aqueous Species Options'!B530="H+", 0, ((1.11*('Aqueous Species Options'!G530 + 'Aqueous Species Table'!O530*100000*0.0000005903*41.8393)+1.8)/41.8393 - 'Aqueous Species Table'!I530/10)*26.01 ) ) ) )</f>
        <v/>
      </c>
      <c r="K530" s="1" t="str">
        <f>IF(ISBLANK('Aqueous Species Options'!B530), "", IF('Aqueous Species Options'!L530 = 0, 'Aqueous Species Options'!P530, IF('Aqueous Species Table'!I530="", "", IF('Aqueous Species Options'!B530="H+", 0, ('Aqueous Species Options'!G530/41.8393 + 'Aqueous Species Table'!O530*100000*0.0000005903 - 'Aqueous Species Table'!I530/10 - 'Aqueous Species Table'!J530*100/2601)*(298.15-228) - ('Aqueous Species Table'!L530*10000/2601) ) ) ) )</f>
        <v/>
      </c>
      <c r="L530" s="1" t="str">
        <f>IF(ISBLANK('Aqueous Species Options'!B530), "", IF('Aqueous Species Options'!L530 = 0, 'Aqueous Species Options'!Q530, IF('Aqueous Species Table'!J530="", "", IF('Aqueous Species Options'!B530="H+", 0, (-4.134*'Aqueous Species Table'!J530*100 - 27790)*0.0001) ) ) )</f>
        <v/>
      </c>
      <c r="M530" s="1" t="str">
        <f>IF(ISBLANK('Aqueous Species Options'!B530), "", IF('Aqueous Species Options'!L530=0, 'Aqueous Species Options'!R530, IF('Aqueous Species Table'!N530="", "", IF('Aqueous Species Options'!B530="H+", 0, 'Aqueous Species Options'!H530 - 'Aqueous Species Table'!O530*100000*(-0.000000309)*298.15 - 'Aqueous Species Table'!N530*10000/(298.15-228)^2 ) ) ) )</f>
        <v/>
      </c>
      <c r="N530" s="1" t="str">
        <f>IF(ISBLANK('Aqueous Species Options'!B530), "", IF('Aqueous Species Options'!L530=0, 'Aqueous Species Options'!S530, IF(OR(ISBLANK('Aqueous Species Options'!H530), 'Aqueous Species Table'!O530=""), "", IF('Aqueous Species Options'!B530="H+", 0, 0.2037*'Aqueous Species Options'!H530 - 3.0346) ) ) )</f>
        <v/>
      </c>
      <c r="O530" s="1" t="str">
        <f>IF(ISBLANK('Aqueous Species Options'!B530), "", IF('Aqueous Species Options'!K530=0, 'Aqueous Species Options'!I530, IF(OR('Aqueous Species Options'!J530&gt;4,'Aqueous Species Options'!J530&lt;-4), "", IF('Aqueous Species Options'!B530="H+", 0, IF('Aqueous Species Options'!J530=0, -0.038, IF(ISBLANK('Aqueous Species Options'!F530), "", -1514.4*'Aqueous Species Options'!F530*0.00001 + SUM(({4,3,2,1,-1,-2,-3,-4}='Aqueous Species Options'!J530)*{2.1764,1.5793,1.0579,0.5517,1.6291,3.2127,4.8115,6.486}) ) ) ) ) ) )</f>
        <v/>
      </c>
      <c r="P530" s="1" t="str">
        <f>IF(ISBLANK('Aqueous Species Options'!J530), "", 'Aqueous Species Options'!J530)</f>
        <v/>
      </c>
      <c r="Q530" s="184" t="str">
        <f>IF(ISBLANK('Aqueous Species Options'!T530), "", 'Aqueous Species Options'!T530)</f>
        <v/>
      </c>
    </row>
    <row r="531" spans="2:17" ht="16" x14ac:dyDescent="0.2">
      <c r="B531" t="str">
        <f>IF(ISBLANK('Aqueous Species Options'!B531), "", 'Aqueous Species Options'!B531)</f>
        <v/>
      </c>
      <c r="C531" s="1" t="str">
        <f>IF(ISBLANK('Aqueous Species Options'!C531), "", 'Aqueous Species Options'!C531)</f>
        <v/>
      </c>
      <c r="D531" s="1" t="str">
        <f>IF(ISBLANK('Aqueous Species Options'!D531), "", 'Aqueous Species Options'!D531)</f>
        <v/>
      </c>
      <c r="E531" s="1" t="str">
        <f>IF(ISBLANK('Aqueous Species Options'!E531), "", 'Aqueous Species Options'!E531)</f>
        <v/>
      </c>
      <c r="F531" s="139" t="str">
        <f>IF(ISBLANK('Aqueous Species Options'!F531), "", 'Aqueous Species Options'!F531)</f>
        <v/>
      </c>
      <c r="G531" s="29" t="str">
        <f>IF(ISBLANK('Aqueous Species Options'!B531), "", IF('Aqueous Species Options'!L531 = 1, IF(ISBLANK('Aqueous Species Options'!G531), "", 'Aqueous Species Options'!G531), ('Aqueous Species Table'!I531/10 + ('Aqueous Species Table'!J531*100)/(Calculations!$C$12+Calculations!$C$9) + ('Aqueous Species Table'!K531 + ('Aqueous Species Table'!L531*10000)/(Calculations!$C$12+Calculations!$C$9))*(1/(Calculations!$C$8-Calculations!$C$13)) - 'Aqueous Species Table'!O531*100000*0.0000005903)*41.8393))</f>
        <v/>
      </c>
      <c r="H531" s="29" t="str">
        <f>IF(ISBLANK('Aqueous Species Options'!B531), "", IF('Aqueous Species Options'!L531 = 1, IF(ISBLANK('Aqueous Species Options'!H531), "", 'Aqueous Species Options'!H531), 'Aqueous Species Table'!M531 + 'Aqueous Species Table'!N531*10000*(1/(Calculations!$C$8-Calculations!$C$13))^2 + 'Aqueous Species Table'!O531*100000*Calculations!$C$8*Calculations!$C$7))</f>
        <v/>
      </c>
      <c r="I531" s="1" t="str">
        <f>IF(ISBLANK('Aqueous Species Options'!B531), "", IF('Aqueous Species Options'!L531=0, 'Aqueous Species Options'!N531, IF(OR(ISBLANK('Aqueous Species Options'!G531),'Aqueous Species Table'!O531="", 'Aqueous Species Table'!P531=""), "", IF('Aqueous Species Options'!B531="H+", 0, (CHOOSE('Aqueous Species Options'!M531+1,'Aqueous Species Options'!$V$4*ABS('Aqueous Species Table'!P531)+'Aqueous Species Options'!$W$4,'Aqueous Species Options'!$Z$4)*('Aqueous Species Options'!G531 + 'Aqueous Species Table'!O531*100000*0.0000005903*41.8393) + CHOOSE('Aqueous Species Options'!M531+1,'Aqueous Species Options'!$X$4*ABS('Aqueous Species Table'!P531)+'Aqueous Species Options'!$Y$4,'Aqueous Species Options'!$AA$4))*10 ) ) ) )</f>
        <v/>
      </c>
      <c r="J531" s="1" t="str">
        <f>IF(ISBLANK('Aqueous Species Options'!B531), "", IF('Aqueous Species Options'!L531 = 0, 'Aqueous Species Options'!O531, IF('Aqueous Species Table'!I531="", "", IF('Aqueous Species Options'!B531="H+", 0, ((1.11*('Aqueous Species Options'!G531 + 'Aqueous Species Table'!O531*100000*0.0000005903*41.8393)+1.8)/41.8393 - 'Aqueous Species Table'!I531/10)*26.01 ) ) ) )</f>
        <v/>
      </c>
      <c r="K531" s="1" t="str">
        <f>IF(ISBLANK('Aqueous Species Options'!B531), "", IF('Aqueous Species Options'!L531 = 0, 'Aqueous Species Options'!P531, IF('Aqueous Species Table'!I531="", "", IF('Aqueous Species Options'!B531="H+", 0, ('Aqueous Species Options'!G531/41.8393 + 'Aqueous Species Table'!O531*100000*0.0000005903 - 'Aqueous Species Table'!I531/10 - 'Aqueous Species Table'!J531*100/2601)*(298.15-228) - ('Aqueous Species Table'!L531*10000/2601) ) ) ) )</f>
        <v/>
      </c>
      <c r="L531" s="1" t="str">
        <f>IF(ISBLANK('Aqueous Species Options'!B531), "", IF('Aqueous Species Options'!L531 = 0, 'Aqueous Species Options'!Q531, IF('Aqueous Species Table'!J531="", "", IF('Aqueous Species Options'!B531="H+", 0, (-4.134*'Aqueous Species Table'!J531*100 - 27790)*0.0001) ) ) )</f>
        <v/>
      </c>
      <c r="M531" s="1" t="str">
        <f>IF(ISBLANK('Aqueous Species Options'!B531), "", IF('Aqueous Species Options'!L531=0, 'Aqueous Species Options'!R531, IF('Aqueous Species Table'!N531="", "", IF('Aqueous Species Options'!B531="H+", 0, 'Aqueous Species Options'!H531 - 'Aqueous Species Table'!O531*100000*(-0.000000309)*298.15 - 'Aqueous Species Table'!N531*10000/(298.15-228)^2 ) ) ) )</f>
        <v/>
      </c>
      <c r="N531" s="1" t="str">
        <f>IF(ISBLANK('Aqueous Species Options'!B531), "", IF('Aqueous Species Options'!L531=0, 'Aqueous Species Options'!S531, IF(OR(ISBLANK('Aqueous Species Options'!H531), 'Aqueous Species Table'!O531=""), "", IF('Aqueous Species Options'!B531="H+", 0, 0.2037*'Aqueous Species Options'!H531 - 3.0346) ) ) )</f>
        <v/>
      </c>
      <c r="O531" s="1" t="str">
        <f>IF(ISBLANK('Aqueous Species Options'!B531), "", IF('Aqueous Species Options'!K531=0, 'Aqueous Species Options'!I531, IF(OR('Aqueous Species Options'!J531&gt;4,'Aqueous Species Options'!J531&lt;-4), "", IF('Aqueous Species Options'!B531="H+", 0, IF('Aqueous Species Options'!J531=0, -0.038, IF(ISBLANK('Aqueous Species Options'!F531), "", -1514.4*'Aqueous Species Options'!F531*0.00001 + SUM(({4,3,2,1,-1,-2,-3,-4}='Aqueous Species Options'!J531)*{2.1764,1.5793,1.0579,0.5517,1.6291,3.2127,4.8115,6.486}) ) ) ) ) ) )</f>
        <v/>
      </c>
      <c r="P531" s="1" t="str">
        <f>IF(ISBLANK('Aqueous Species Options'!J531), "", 'Aqueous Species Options'!J531)</f>
        <v/>
      </c>
      <c r="Q531" s="184" t="str">
        <f>IF(ISBLANK('Aqueous Species Options'!T531), "", 'Aqueous Species Options'!T531)</f>
        <v/>
      </c>
    </row>
    <row r="532" spans="2:17" ht="16" x14ac:dyDescent="0.2">
      <c r="B532" t="str">
        <f>IF(ISBLANK('Aqueous Species Options'!B532), "", 'Aqueous Species Options'!B532)</f>
        <v/>
      </c>
      <c r="C532" s="1" t="str">
        <f>IF(ISBLANK('Aqueous Species Options'!C532), "", 'Aqueous Species Options'!C532)</f>
        <v/>
      </c>
      <c r="D532" s="1" t="str">
        <f>IF(ISBLANK('Aqueous Species Options'!D532), "", 'Aqueous Species Options'!D532)</f>
        <v/>
      </c>
      <c r="E532" s="1" t="str">
        <f>IF(ISBLANK('Aqueous Species Options'!E532), "", 'Aqueous Species Options'!E532)</f>
        <v/>
      </c>
      <c r="F532" s="139" t="str">
        <f>IF(ISBLANK('Aqueous Species Options'!F532), "", 'Aqueous Species Options'!F532)</f>
        <v/>
      </c>
      <c r="G532" s="29" t="str">
        <f>IF(ISBLANK('Aqueous Species Options'!B532), "", IF('Aqueous Species Options'!L532 = 1, IF(ISBLANK('Aqueous Species Options'!G532), "", 'Aqueous Species Options'!G532), ('Aqueous Species Table'!I532/10 + ('Aqueous Species Table'!J532*100)/(Calculations!$C$12+Calculations!$C$9) + ('Aqueous Species Table'!K532 + ('Aqueous Species Table'!L532*10000)/(Calculations!$C$12+Calculations!$C$9))*(1/(Calculations!$C$8-Calculations!$C$13)) - 'Aqueous Species Table'!O532*100000*0.0000005903)*41.8393))</f>
        <v/>
      </c>
      <c r="H532" s="29" t="str">
        <f>IF(ISBLANK('Aqueous Species Options'!B532), "", IF('Aqueous Species Options'!L532 = 1, IF(ISBLANK('Aqueous Species Options'!H532), "", 'Aqueous Species Options'!H532), 'Aqueous Species Table'!M532 + 'Aqueous Species Table'!N532*10000*(1/(Calculations!$C$8-Calculations!$C$13))^2 + 'Aqueous Species Table'!O532*100000*Calculations!$C$8*Calculations!$C$7))</f>
        <v/>
      </c>
      <c r="I532" s="1" t="str">
        <f>IF(ISBLANK('Aqueous Species Options'!B532), "", IF('Aqueous Species Options'!L532=0, 'Aqueous Species Options'!N532, IF(OR(ISBLANK('Aqueous Species Options'!G532),'Aqueous Species Table'!O532="", 'Aqueous Species Table'!P532=""), "", IF('Aqueous Species Options'!B532="H+", 0, (CHOOSE('Aqueous Species Options'!M532+1,'Aqueous Species Options'!$V$4*ABS('Aqueous Species Table'!P532)+'Aqueous Species Options'!$W$4,'Aqueous Species Options'!$Z$4)*('Aqueous Species Options'!G532 + 'Aqueous Species Table'!O532*100000*0.0000005903*41.8393) + CHOOSE('Aqueous Species Options'!M532+1,'Aqueous Species Options'!$X$4*ABS('Aqueous Species Table'!P532)+'Aqueous Species Options'!$Y$4,'Aqueous Species Options'!$AA$4))*10 ) ) ) )</f>
        <v/>
      </c>
      <c r="J532" s="1" t="str">
        <f>IF(ISBLANK('Aqueous Species Options'!B532), "", IF('Aqueous Species Options'!L532 = 0, 'Aqueous Species Options'!O532, IF('Aqueous Species Table'!I532="", "", IF('Aqueous Species Options'!B532="H+", 0, ((1.11*('Aqueous Species Options'!G532 + 'Aqueous Species Table'!O532*100000*0.0000005903*41.8393)+1.8)/41.8393 - 'Aqueous Species Table'!I532/10)*26.01 ) ) ) )</f>
        <v/>
      </c>
      <c r="K532" s="1" t="str">
        <f>IF(ISBLANK('Aqueous Species Options'!B532), "", IF('Aqueous Species Options'!L532 = 0, 'Aqueous Species Options'!P532, IF('Aqueous Species Table'!I532="", "", IF('Aqueous Species Options'!B532="H+", 0, ('Aqueous Species Options'!G532/41.8393 + 'Aqueous Species Table'!O532*100000*0.0000005903 - 'Aqueous Species Table'!I532/10 - 'Aqueous Species Table'!J532*100/2601)*(298.15-228) - ('Aqueous Species Table'!L532*10000/2601) ) ) ) )</f>
        <v/>
      </c>
      <c r="L532" s="1" t="str">
        <f>IF(ISBLANK('Aqueous Species Options'!B532), "", IF('Aqueous Species Options'!L532 = 0, 'Aqueous Species Options'!Q532, IF('Aqueous Species Table'!J532="", "", IF('Aqueous Species Options'!B532="H+", 0, (-4.134*'Aqueous Species Table'!J532*100 - 27790)*0.0001) ) ) )</f>
        <v/>
      </c>
      <c r="M532" s="1" t="str">
        <f>IF(ISBLANK('Aqueous Species Options'!B532), "", IF('Aqueous Species Options'!L532=0, 'Aqueous Species Options'!R532, IF('Aqueous Species Table'!N532="", "", IF('Aqueous Species Options'!B532="H+", 0, 'Aqueous Species Options'!H532 - 'Aqueous Species Table'!O532*100000*(-0.000000309)*298.15 - 'Aqueous Species Table'!N532*10000/(298.15-228)^2 ) ) ) )</f>
        <v/>
      </c>
      <c r="N532" s="1" t="str">
        <f>IF(ISBLANK('Aqueous Species Options'!B532), "", IF('Aqueous Species Options'!L532=0, 'Aqueous Species Options'!S532, IF(OR(ISBLANK('Aqueous Species Options'!H532), 'Aqueous Species Table'!O532=""), "", IF('Aqueous Species Options'!B532="H+", 0, 0.2037*'Aqueous Species Options'!H532 - 3.0346) ) ) )</f>
        <v/>
      </c>
      <c r="O532" s="1" t="str">
        <f>IF(ISBLANK('Aqueous Species Options'!B532), "", IF('Aqueous Species Options'!K532=0, 'Aqueous Species Options'!I532, IF(OR('Aqueous Species Options'!J532&gt;4,'Aqueous Species Options'!J532&lt;-4), "", IF('Aqueous Species Options'!B532="H+", 0, IF('Aqueous Species Options'!J532=0, -0.038, IF(ISBLANK('Aqueous Species Options'!F532), "", -1514.4*'Aqueous Species Options'!F532*0.00001 + SUM(({4,3,2,1,-1,-2,-3,-4}='Aqueous Species Options'!J532)*{2.1764,1.5793,1.0579,0.5517,1.6291,3.2127,4.8115,6.486}) ) ) ) ) ) )</f>
        <v/>
      </c>
      <c r="P532" s="1" t="str">
        <f>IF(ISBLANK('Aqueous Species Options'!J532), "", 'Aqueous Species Options'!J532)</f>
        <v/>
      </c>
      <c r="Q532" s="184" t="str">
        <f>IF(ISBLANK('Aqueous Species Options'!T532), "", 'Aqueous Species Options'!T532)</f>
        <v/>
      </c>
    </row>
    <row r="533" spans="2:17" ht="16" x14ac:dyDescent="0.2">
      <c r="B533" t="str">
        <f>IF(ISBLANK('Aqueous Species Options'!B533), "", 'Aqueous Species Options'!B533)</f>
        <v/>
      </c>
      <c r="C533" s="1" t="str">
        <f>IF(ISBLANK('Aqueous Species Options'!C533), "", 'Aqueous Species Options'!C533)</f>
        <v/>
      </c>
      <c r="D533" s="1" t="str">
        <f>IF(ISBLANK('Aqueous Species Options'!D533), "", 'Aqueous Species Options'!D533)</f>
        <v/>
      </c>
      <c r="E533" s="1" t="str">
        <f>IF(ISBLANK('Aqueous Species Options'!E533), "", 'Aqueous Species Options'!E533)</f>
        <v/>
      </c>
      <c r="F533" s="139" t="str">
        <f>IF(ISBLANK('Aqueous Species Options'!F533), "", 'Aqueous Species Options'!F533)</f>
        <v/>
      </c>
      <c r="G533" s="29" t="str">
        <f>IF(ISBLANK('Aqueous Species Options'!B533), "", IF('Aqueous Species Options'!L533 = 1, IF(ISBLANK('Aqueous Species Options'!G533), "", 'Aqueous Species Options'!G533), ('Aqueous Species Table'!I533/10 + ('Aqueous Species Table'!J533*100)/(Calculations!$C$12+Calculations!$C$9) + ('Aqueous Species Table'!K533 + ('Aqueous Species Table'!L533*10000)/(Calculations!$C$12+Calculations!$C$9))*(1/(Calculations!$C$8-Calculations!$C$13)) - 'Aqueous Species Table'!O533*100000*0.0000005903)*41.8393))</f>
        <v/>
      </c>
      <c r="H533" s="29" t="str">
        <f>IF(ISBLANK('Aqueous Species Options'!B533), "", IF('Aqueous Species Options'!L533 = 1, IF(ISBLANK('Aqueous Species Options'!H533), "", 'Aqueous Species Options'!H533), 'Aqueous Species Table'!M533 + 'Aqueous Species Table'!N533*10000*(1/(Calculations!$C$8-Calculations!$C$13))^2 + 'Aqueous Species Table'!O533*100000*Calculations!$C$8*Calculations!$C$7))</f>
        <v/>
      </c>
      <c r="I533" s="1" t="str">
        <f>IF(ISBLANK('Aqueous Species Options'!B533), "", IF('Aqueous Species Options'!L533=0, 'Aqueous Species Options'!N533, IF(OR(ISBLANK('Aqueous Species Options'!G533),'Aqueous Species Table'!O533="", 'Aqueous Species Table'!P533=""), "", IF('Aqueous Species Options'!B533="H+", 0, (CHOOSE('Aqueous Species Options'!M533+1,'Aqueous Species Options'!$V$4*ABS('Aqueous Species Table'!P533)+'Aqueous Species Options'!$W$4,'Aqueous Species Options'!$Z$4)*('Aqueous Species Options'!G533 + 'Aqueous Species Table'!O533*100000*0.0000005903*41.8393) + CHOOSE('Aqueous Species Options'!M533+1,'Aqueous Species Options'!$X$4*ABS('Aqueous Species Table'!P533)+'Aqueous Species Options'!$Y$4,'Aqueous Species Options'!$AA$4))*10 ) ) ) )</f>
        <v/>
      </c>
      <c r="J533" s="1" t="str">
        <f>IF(ISBLANK('Aqueous Species Options'!B533), "", IF('Aqueous Species Options'!L533 = 0, 'Aqueous Species Options'!O533, IF('Aqueous Species Table'!I533="", "", IF('Aqueous Species Options'!B533="H+", 0, ((1.11*('Aqueous Species Options'!G533 + 'Aqueous Species Table'!O533*100000*0.0000005903*41.8393)+1.8)/41.8393 - 'Aqueous Species Table'!I533/10)*26.01 ) ) ) )</f>
        <v/>
      </c>
      <c r="K533" s="1" t="str">
        <f>IF(ISBLANK('Aqueous Species Options'!B533), "", IF('Aqueous Species Options'!L533 = 0, 'Aqueous Species Options'!P533, IF('Aqueous Species Table'!I533="", "", IF('Aqueous Species Options'!B533="H+", 0, ('Aqueous Species Options'!G533/41.8393 + 'Aqueous Species Table'!O533*100000*0.0000005903 - 'Aqueous Species Table'!I533/10 - 'Aqueous Species Table'!J533*100/2601)*(298.15-228) - ('Aqueous Species Table'!L533*10000/2601) ) ) ) )</f>
        <v/>
      </c>
      <c r="L533" s="1" t="str">
        <f>IF(ISBLANK('Aqueous Species Options'!B533), "", IF('Aqueous Species Options'!L533 = 0, 'Aqueous Species Options'!Q533, IF('Aqueous Species Table'!J533="", "", IF('Aqueous Species Options'!B533="H+", 0, (-4.134*'Aqueous Species Table'!J533*100 - 27790)*0.0001) ) ) )</f>
        <v/>
      </c>
      <c r="M533" s="1" t="str">
        <f>IF(ISBLANK('Aqueous Species Options'!B533), "", IF('Aqueous Species Options'!L533=0, 'Aqueous Species Options'!R533, IF('Aqueous Species Table'!N533="", "", IF('Aqueous Species Options'!B533="H+", 0, 'Aqueous Species Options'!H533 - 'Aqueous Species Table'!O533*100000*(-0.000000309)*298.15 - 'Aqueous Species Table'!N533*10000/(298.15-228)^2 ) ) ) )</f>
        <v/>
      </c>
      <c r="N533" s="1" t="str">
        <f>IF(ISBLANK('Aqueous Species Options'!B533), "", IF('Aqueous Species Options'!L533=0, 'Aqueous Species Options'!S533, IF(OR(ISBLANK('Aqueous Species Options'!H533), 'Aqueous Species Table'!O533=""), "", IF('Aqueous Species Options'!B533="H+", 0, 0.2037*'Aqueous Species Options'!H533 - 3.0346) ) ) )</f>
        <v/>
      </c>
      <c r="O533" s="1" t="str">
        <f>IF(ISBLANK('Aqueous Species Options'!B533), "", IF('Aqueous Species Options'!K533=0, 'Aqueous Species Options'!I533, IF(OR('Aqueous Species Options'!J533&gt;4,'Aqueous Species Options'!J533&lt;-4), "", IF('Aqueous Species Options'!B533="H+", 0, IF('Aqueous Species Options'!J533=0, -0.038, IF(ISBLANK('Aqueous Species Options'!F533), "", -1514.4*'Aqueous Species Options'!F533*0.00001 + SUM(({4,3,2,1,-1,-2,-3,-4}='Aqueous Species Options'!J533)*{2.1764,1.5793,1.0579,0.5517,1.6291,3.2127,4.8115,6.486}) ) ) ) ) ) )</f>
        <v/>
      </c>
      <c r="P533" s="1" t="str">
        <f>IF(ISBLANK('Aqueous Species Options'!J533), "", 'Aqueous Species Options'!J533)</f>
        <v/>
      </c>
      <c r="Q533" s="184" t="str">
        <f>IF(ISBLANK('Aqueous Species Options'!T533), "", 'Aqueous Species Options'!T533)</f>
        <v/>
      </c>
    </row>
    <row r="534" spans="2:17" ht="16" x14ac:dyDescent="0.2">
      <c r="B534" t="str">
        <f>IF(ISBLANK('Aqueous Species Options'!B534), "", 'Aqueous Species Options'!B534)</f>
        <v/>
      </c>
      <c r="C534" s="1" t="str">
        <f>IF(ISBLANK('Aqueous Species Options'!C534), "", 'Aqueous Species Options'!C534)</f>
        <v/>
      </c>
      <c r="D534" s="1" t="str">
        <f>IF(ISBLANK('Aqueous Species Options'!D534), "", 'Aqueous Species Options'!D534)</f>
        <v/>
      </c>
      <c r="E534" s="1" t="str">
        <f>IF(ISBLANK('Aqueous Species Options'!E534), "", 'Aqueous Species Options'!E534)</f>
        <v/>
      </c>
      <c r="F534" s="139" t="str">
        <f>IF(ISBLANK('Aqueous Species Options'!F534), "", 'Aqueous Species Options'!F534)</f>
        <v/>
      </c>
      <c r="G534" s="29" t="str">
        <f>IF(ISBLANK('Aqueous Species Options'!B534), "", IF('Aqueous Species Options'!L534 = 1, IF(ISBLANK('Aqueous Species Options'!G534), "", 'Aqueous Species Options'!G534), ('Aqueous Species Table'!I534/10 + ('Aqueous Species Table'!J534*100)/(Calculations!$C$12+Calculations!$C$9) + ('Aqueous Species Table'!K534 + ('Aqueous Species Table'!L534*10000)/(Calculations!$C$12+Calculations!$C$9))*(1/(Calculations!$C$8-Calculations!$C$13)) - 'Aqueous Species Table'!O534*100000*0.0000005903)*41.8393))</f>
        <v/>
      </c>
      <c r="H534" s="29" t="str">
        <f>IF(ISBLANK('Aqueous Species Options'!B534), "", IF('Aqueous Species Options'!L534 = 1, IF(ISBLANK('Aqueous Species Options'!H534), "", 'Aqueous Species Options'!H534), 'Aqueous Species Table'!M534 + 'Aqueous Species Table'!N534*10000*(1/(Calculations!$C$8-Calculations!$C$13))^2 + 'Aqueous Species Table'!O534*100000*Calculations!$C$8*Calculations!$C$7))</f>
        <v/>
      </c>
      <c r="I534" s="1" t="str">
        <f>IF(ISBLANK('Aqueous Species Options'!B534), "", IF('Aqueous Species Options'!L534=0, 'Aqueous Species Options'!N534, IF(OR(ISBLANK('Aqueous Species Options'!G534),'Aqueous Species Table'!O534="", 'Aqueous Species Table'!P534=""), "", IF('Aqueous Species Options'!B534="H+", 0, (CHOOSE('Aqueous Species Options'!M534+1,'Aqueous Species Options'!$V$4*ABS('Aqueous Species Table'!P534)+'Aqueous Species Options'!$W$4,'Aqueous Species Options'!$Z$4)*('Aqueous Species Options'!G534 + 'Aqueous Species Table'!O534*100000*0.0000005903*41.8393) + CHOOSE('Aqueous Species Options'!M534+1,'Aqueous Species Options'!$X$4*ABS('Aqueous Species Table'!P534)+'Aqueous Species Options'!$Y$4,'Aqueous Species Options'!$AA$4))*10 ) ) ) )</f>
        <v/>
      </c>
      <c r="J534" s="1" t="str">
        <f>IF(ISBLANK('Aqueous Species Options'!B534), "", IF('Aqueous Species Options'!L534 = 0, 'Aqueous Species Options'!O534, IF('Aqueous Species Table'!I534="", "", IF('Aqueous Species Options'!B534="H+", 0, ((1.11*('Aqueous Species Options'!G534 + 'Aqueous Species Table'!O534*100000*0.0000005903*41.8393)+1.8)/41.8393 - 'Aqueous Species Table'!I534/10)*26.01 ) ) ) )</f>
        <v/>
      </c>
      <c r="K534" s="1" t="str">
        <f>IF(ISBLANK('Aqueous Species Options'!B534), "", IF('Aqueous Species Options'!L534 = 0, 'Aqueous Species Options'!P534, IF('Aqueous Species Table'!I534="", "", IF('Aqueous Species Options'!B534="H+", 0, ('Aqueous Species Options'!G534/41.8393 + 'Aqueous Species Table'!O534*100000*0.0000005903 - 'Aqueous Species Table'!I534/10 - 'Aqueous Species Table'!J534*100/2601)*(298.15-228) - ('Aqueous Species Table'!L534*10000/2601) ) ) ) )</f>
        <v/>
      </c>
      <c r="L534" s="1" t="str">
        <f>IF(ISBLANK('Aqueous Species Options'!B534), "", IF('Aqueous Species Options'!L534 = 0, 'Aqueous Species Options'!Q534, IF('Aqueous Species Table'!J534="", "", IF('Aqueous Species Options'!B534="H+", 0, (-4.134*'Aqueous Species Table'!J534*100 - 27790)*0.0001) ) ) )</f>
        <v/>
      </c>
      <c r="M534" s="1" t="str">
        <f>IF(ISBLANK('Aqueous Species Options'!B534), "", IF('Aqueous Species Options'!L534=0, 'Aqueous Species Options'!R534, IF('Aqueous Species Table'!N534="", "", IF('Aqueous Species Options'!B534="H+", 0, 'Aqueous Species Options'!H534 - 'Aqueous Species Table'!O534*100000*(-0.000000309)*298.15 - 'Aqueous Species Table'!N534*10000/(298.15-228)^2 ) ) ) )</f>
        <v/>
      </c>
      <c r="N534" s="1" t="str">
        <f>IF(ISBLANK('Aqueous Species Options'!B534), "", IF('Aqueous Species Options'!L534=0, 'Aqueous Species Options'!S534, IF(OR(ISBLANK('Aqueous Species Options'!H534), 'Aqueous Species Table'!O534=""), "", IF('Aqueous Species Options'!B534="H+", 0, 0.2037*'Aqueous Species Options'!H534 - 3.0346) ) ) )</f>
        <v/>
      </c>
      <c r="O534" s="1" t="str">
        <f>IF(ISBLANK('Aqueous Species Options'!B534), "", IF('Aqueous Species Options'!K534=0, 'Aqueous Species Options'!I534, IF(OR('Aqueous Species Options'!J534&gt;4,'Aqueous Species Options'!J534&lt;-4), "", IF('Aqueous Species Options'!B534="H+", 0, IF('Aqueous Species Options'!J534=0, -0.038, IF(ISBLANK('Aqueous Species Options'!F534), "", -1514.4*'Aqueous Species Options'!F534*0.00001 + SUM(({4,3,2,1,-1,-2,-3,-4}='Aqueous Species Options'!J534)*{2.1764,1.5793,1.0579,0.5517,1.6291,3.2127,4.8115,6.486}) ) ) ) ) ) )</f>
        <v/>
      </c>
      <c r="P534" s="1" t="str">
        <f>IF(ISBLANK('Aqueous Species Options'!J534), "", 'Aqueous Species Options'!J534)</f>
        <v/>
      </c>
      <c r="Q534" s="184" t="str">
        <f>IF(ISBLANK('Aqueous Species Options'!T534), "", 'Aqueous Species Options'!T534)</f>
        <v/>
      </c>
    </row>
    <row r="535" spans="2:17" ht="16" x14ac:dyDescent="0.2">
      <c r="B535" t="str">
        <f>IF(ISBLANK('Aqueous Species Options'!B535), "", 'Aqueous Species Options'!B535)</f>
        <v/>
      </c>
      <c r="C535" s="1" t="str">
        <f>IF(ISBLANK('Aqueous Species Options'!C535), "", 'Aqueous Species Options'!C535)</f>
        <v/>
      </c>
      <c r="D535" s="1" t="str">
        <f>IF(ISBLANK('Aqueous Species Options'!D535), "", 'Aqueous Species Options'!D535)</f>
        <v/>
      </c>
      <c r="E535" s="1" t="str">
        <f>IF(ISBLANK('Aqueous Species Options'!E535), "", 'Aqueous Species Options'!E535)</f>
        <v/>
      </c>
      <c r="F535" s="139" t="str">
        <f>IF(ISBLANK('Aqueous Species Options'!F535), "", 'Aqueous Species Options'!F535)</f>
        <v/>
      </c>
      <c r="G535" s="29" t="str">
        <f>IF(ISBLANK('Aqueous Species Options'!B535), "", IF('Aqueous Species Options'!L535 = 1, IF(ISBLANK('Aqueous Species Options'!G535), "", 'Aqueous Species Options'!G535), ('Aqueous Species Table'!I535/10 + ('Aqueous Species Table'!J535*100)/(Calculations!$C$12+Calculations!$C$9) + ('Aqueous Species Table'!K535 + ('Aqueous Species Table'!L535*10000)/(Calculations!$C$12+Calculations!$C$9))*(1/(Calculations!$C$8-Calculations!$C$13)) - 'Aqueous Species Table'!O535*100000*0.0000005903)*41.8393))</f>
        <v/>
      </c>
      <c r="H535" s="29" t="str">
        <f>IF(ISBLANK('Aqueous Species Options'!B535), "", IF('Aqueous Species Options'!L535 = 1, IF(ISBLANK('Aqueous Species Options'!H535), "", 'Aqueous Species Options'!H535), 'Aqueous Species Table'!M535 + 'Aqueous Species Table'!N535*10000*(1/(Calculations!$C$8-Calculations!$C$13))^2 + 'Aqueous Species Table'!O535*100000*Calculations!$C$8*Calculations!$C$7))</f>
        <v/>
      </c>
      <c r="I535" s="1" t="str">
        <f>IF(ISBLANK('Aqueous Species Options'!B535), "", IF('Aqueous Species Options'!L535=0, 'Aqueous Species Options'!N535, IF(OR(ISBLANK('Aqueous Species Options'!G535),'Aqueous Species Table'!O535="", 'Aqueous Species Table'!P535=""), "", IF('Aqueous Species Options'!B535="H+", 0, (CHOOSE('Aqueous Species Options'!M535+1,'Aqueous Species Options'!$V$4*ABS('Aqueous Species Table'!P535)+'Aqueous Species Options'!$W$4,'Aqueous Species Options'!$Z$4)*('Aqueous Species Options'!G535 + 'Aqueous Species Table'!O535*100000*0.0000005903*41.8393) + CHOOSE('Aqueous Species Options'!M535+1,'Aqueous Species Options'!$X$4*ABS('Aqueous Species Table'!P535)+'Aqueous Species Options'!$Y$4,'Aqueous Species Options'!$AA$4))*10 ) ) ) )</f>
        <v/>
      </c>
      <c r="J535" s="1" t="str">
        <f>IF(ISBLANK('Aqueous Species Options'!B535), "", IF('Aqueous Species Options'!L535 = 0, 'Aqueous Species Options'!O535, IF('Aqueous Species Table'!I535="", "", IF('Aqueous Species Options'!B535="H+", 0, ((1.11*('Aqueous Species Options'!G535 + 'Aqueous Species Table'!O535*100000*0.0000005903*41.8393)+1.8)/41.8393 - 'Aqueous Species Table'!I535/10)*26.01 ) ) ) )</f>
        <v/>
      </c>
      <c r="K535" s="1" t="str">
        <f>IF(ISBLANK('Aqueous Species Options'!B535), "", IF('Aqueous Species Options'!L535 = 0, 'Aqueous Species Options'!P535, IF('Aqueous Species Table'!I535="", "", IF('Aqueous Species Options'!B535="H+", 0, ('Aqueous Species Options'!G535/41.8393 + 'Aqueous Species Table'!O535*100000*0.0000005903 - 'Aqueous Species Table'!I535/10 - 'Aqueous Species Table'!J535*100/2601)*(298.15-228) - ('Aqueous Species Table'!L535*10000/2601) ) ) ) )</f>
        <v/>
      </c>
      <c r="L535" s="1" t="str">
        <f>IF(ISBLANK('Aqueous Species Options'!B535), "", IF('Aqueous Species Options'!L535 = 0, 'Aqueous Species Options'!Q535, IF('Aqueous Species Table'!J535="", "", IF('Aqueous Species Options'!B535="H+", 0, (-4.134*'Aqueous Species Table'!J535*100 - 27790)*0.0001) ) ) )</f>
        <v/>
      </c>
      <c r="M535" s="1" t="str">
        <f>IF(ISBLANK('Aqueous Species Options'!B535), "", IF('Aqueous Species Options'!L535=0, 'Aqueous Species Options'!R535, IF('Aqueous Species Table'!N535="", "", IF('Aqueous Species Options'!B535="H+", 0, 'Aqueous Species Options'!H535 - 'Aqueous Species Table'!O535*100000*(-0.000000309)*298.15 - 'Aqueous Species Table'!N535*10000/(298.15-228)^2 ) ) ) )</f>
        <v/>
      </c>
      <c r="N535" s="1" t="str">
        <f>IF(ISBLANK('Aqueous Species Options'!B535), "", IF('Aqueous Species Options'!L535=0, 'Aqueous Species Options'!S535, IF(OR(ISBLANK('Aqueous Species Options'!H535), 'Aqueous Species Table'!O535=""), "", IF('Aqueous Species Options'!B535="H+", 0, 0.2037*'Aqueous Species Options'!H535 - 3.0346) ) ) )</f>
        <v/>
      </c>
      <c r="O535" s="1" t="str">
        <f>IF(ISBLANK('Aqueous Species Options'!B535), "", IF('Aqueous Species Options'!K535=0, 'Aqueous Species Options'!I535, IF(OR('Aqueous Species Options'!J535&gt;4,'Aqueous Species Options'!J535&lt;-4), "", IF('Aqueous Species Options'!B535="H+", 0, IF('Aqueous Species Options'!J535=0, -0.038, IF(ISBLANK('Aqueous Species Options'!F535), "", -1514.4*'Aqueous Species Options'!F535*0.00001 + SUM(({4,3,2,1,-1,-2,-3,-4}='Aqueous Species Options'!J535)*{2.1764,1.5793,1.0579,0.5517,1.6291,3.2127,4.8115,6.486}) ) ) ) ) ) )</f>
        <v/>
      </c>
      <c r="P535" s="1" t="str">
        <f>IF(ISBLANK('Aqueous Species Options'!J535), "", 'Aqueous Species Options'!J535)</f>
        <v/>
      </c>
      <c r="Q535" s="184" t="str">
        <f>IF(ISBLANK('Aqueous Species Options'!T535), "", 'Aqueous Species Options'!T535)</f>
        <v/>
      </c>
    </row>
    <row r="536" spans="2:17" ht="16" x14ac:dyDescent="0.2">
      <c r="B536" t="str">
        <f>IF(ISBLANK('Aqueous Species Options'!B536), "", 'Aqueous Species Options'!B536)</f>
        <v/>
      </c>
      <c r="C536" s="1" t="str">
        <f>IF(ISBLANK('Aqueous Species Options'!C536), "", 'Aqueous Species Options'!C536)</f>
        <v/>
      </c>
      <c r="D536" s="1" t="str">
        <f>IF(ISBLANK('Aqueous Species Options'!D536), "", 'Aqueous Species Options'!D536)</f>
        <v/>
      </c>
      <c r="E536" s="1" t="str">
        <f>IF(ISBLANK('Aqueous Species Options'!E536), "", 'Aqueous Species Options'!E536)</f>
        <v/>
      </c>
      <c r="F536" s="139" t="str">
        <f>IF(ISBLANK('Aqueous Species Options'!F536), "", 'Aqueous Species Options'!F536)</f>
        <v/>
      </c>
      <c r="G536" s="29" t="str">
        <f>IF(ISBLANK('Aqueous Species Options'!B536), "", IF('Aqueous Species Options'!L536 = 1, IF(ISBLANK('Aqueous Species Options'!G536), "", 'Aqueous Species Options'!G536), ('Aqueous Species Table'!I536/10 + ('Aqueous Species Table'!J536*100)/(Calculations!$C$12+Calculations!$C$9) + ('Aqueous Species Table'!K536 + ('Aqueous Species Table'!L536*10000)/(Calculations!$C$12+Calculations!$C$9))*(1/(Calculations!$C$8-Calculations!$C$13)) - 'Aqueous Species Table'!O536*100000*0.0000005903)*41.8393))</f>
        <v/>
      </c>
      <c r="H536" s="29" t="str">
        <f>IF(ISBLANK('Aqueous Species Options'!B536), "", IF('Aqueous Species Options'!L536 = 1, IF(ISBLANK('Aqueous Species Options'!H536), "", 'Aqueous Species Options'!H536), 'Aqueous Species Table'!M536 + 'Aqueous Species Table'!N536*10000*(1/(Calculations!$C$8-Calculations!$C$13))^2 + 'Aqueous Species Table'!O536*100000*Calculations!$C$8*Calculations!$C$7))</f>
        <v/>
      </c>
      <c r="I536" s="1" t="str">
        <f>IF(ISBLANK('Aqueous Species Options'!B536), "", IF('Aqueous Species Options'!L536=0, 'Aqueous Species Options'!N536, IF(OR(ISBLANK('Aqueous Species Options'!G536),'Aqueous Species Table'!O536="", 'Aqueous Species Table'!P536=""), "", IF('Aqueous Species Options'!B536="H+", 0, (CHOOSE('Aqueous Species Options'!M536+1,'Aqueous Species Options'!$V$4*ABS('Aqueous Species Table'!P536)+'Aqueous Species Options'!$W$4,'Aqueous Species Options'!$Z$4)*('Aqueous Species Options'!G536 + 'Aqueous Species Table'!O536*100000*0.0000005903*41.8393) + CHOOSE('Aqueous Species Options'!M536+1,'Aqueous Species Options'!$X$4*ABS('Aqueous Species Table'!P536)+'Aqueous Species Options'!$Y$4,'Aqueous Species Options'!$AA$4))*10 ) ) ) )</f>
        <v/>
      </c>
      <c r="J536" s="1" t="str">
        <f>IF(ISBLANK('Aqueous Species Options'!B536), "", IF('Aqueous Species Options'!L536 = 0, 'Aqueous Species Options'!O536, IF('Aqueous Species Table'!I536="", "", IF('Aqueous Species Options'!B536="H+", 0, ((1.11*('Aqueous Species Options'!G536 + 'Aqueous Species Table'!O536*100000*0.0000005903*41.8393)+1.8)/41.8393 - 'Aqueous Species Table'!I536/10)*26.01 ) ) ) )</f>
        <v/>
      </c>
      <c r="K536" s="1" t="str">
        <f>IF(ISBLANK('Aqueous Species Options'!B536), "", IF('Aqueous Species Options'!L536 = 0, 'Aqueous Species Options'!P536, IF('Aqueous Species Table'!I536="", "", IF('Aqueous Species Options'!B536="H+", 0, ('Aqueous Species Options'!G536/41.8393 + 'Aqueous Species Table'!O536*100000*0.0000005903 - 'Aqueous Species Table'!I536/10 - 'Aqueous Species Table'!J536*100/2601)*(298.15-228) - ('Aqueous Species Table'!L536*10000/2601) ) ) ) )</f>
        <v/>
      </c>
      <c r="L536" s="1" t="str">
        <f>IF(ISBLANK('Aqueous Species Options'!B536), "", IF('Aqueous Species Options'!L536 = 0, 'Aqueous Species Options'!Q536, IF('Aqueous Species Table'!J536="", "", IF('Aqueous Species Options'!B536="H+", 0, (-4.134*'Aqueous Species Table'!J536*100 - 27790)*0.0001) ) ) )</f>
        <v/>
      </c>
      <c r="M536" s="1" t="str">
        <f>IF(ISBLANK('Aqueous Species Options'!B536), "", IF('Aqueous Species Options'!L536=0, 'Aqueous Species Options'!R536, IF('Aqueous Species Table'!N536="", "", IF('Aqueous Species Options'!B536="H+", 0, 'Aqueous Species Options'!H536 - 'Aqueous Species Table'!O536*100000*(-0.000000309)*298.15 - 'Aqueous Species Table'!N536*10000/(298.15-228)^2 ) ) ) )</f>
        <v/>
      </c>
      <c r="N536" s="1" t="str">
        <f>IF(ISBLANK('Aqueous Species Options'!B536), "", IF('Aqueous Species Options'!L536=0, 'Aqueous Species Options'!S536, IF(OR(ISBLANK('Aqueous Species Options'!H536), 'Aqueous Species Table'!O536=""), "", IF('Aqueous Species Options'!B536="H+", 0, 0.2037*'Aqueous Species Options'!H536 - 3.0346) ) ) )</f>
        <v/>
      </c>
      <c r="O536" s="1" t="str">
        <f>IF(ISBLANK('Aqueous Species Options'!B536), "", IF('Aqueous Species Options'!K536=0, 'Aqueous Species Options'!I536, IF(OR('Aqueous Species Options'!J536&gt;4,'Aqueous Species Options'!J536&lt;-4), "", IF('Aqueous Species Options'!B536="H+", 0, IF('Aqueous Species Options'!J536=0, -0.038, IF(ISBLANK('Aqueous Species Options'!F536), "", -1514.4*'Aqueous Species Options'!F536*0.00001 + SUM(({4,3,2,1,-1,-2,-3,-4}='Aqueous Species Options'!J536)*{2.1764,1.5793,1.0579,0.5517,1.6291,3.2127,4.8115,6.486}) ) ) ) ) ) )</f>
        <v/>
      </c>
      <c r="P536" s="1" t="str">
        <f>IF(ISBLANK('Aqueous Species Options'!J536), "", 'Aqueous Species Options'!J536)</f>
        <v/>
      </c>
      <c r="Q536" s="184" t="str">
        <f>IF(ISBLANK('Aqueous Species Options'!T536), "", 'Aqueous Species Options'!T536)</f>
        <v/>
      </c>
    </row>
    <row r="537" spans="2:17" ht="16" x14ac:dyDescent="0.2">
      <c r="B537" t="str">
        <f>IF(ISBLANK('Aqueous Species Options'!B537), "", 'Aqueous Species Options'!B537)</f>
        <v/>
      </c>
      <c r="C537" s="1" t="str">
        <f>IF(ISBLANK('Aqueous Species Options'!C537), "", 'Aqueous Species Options'!C537)</f>
        <v/>
      </c>
      <c r="D537" s="1" t="str">
        <f>IF(ISBLANK('Aqueous Species Options'!D537), "", 'Aqueous Species Options'!D537)</f>
        <v/>
      </c>
      <c r="E537" s="1" t="str">
        <f>IF(ISBLANK('Aqueous Species Options'!E537), "", 'Aqueous Species Options'!E537)</f>
        <v/>
      </c>
      <c r="F537" s="139" t="str">
        <f>IF(ISBLANK('Aqueous Species Options'!F537), "", 'Aqueous Species Options'!F537)</f>
        <v/>
      </c>
      <c r="G537" s="29" t="str">
        <f>IF(ISBLANK('Aqueous Species Options'!B537), "", IF('Aqueous Species Options'!L537 = 1, IF(ISBLANK('Aqueous Species Options'!G537), "", 'Aqueous Species Options'!G537), ('Aqueous Species Table'!I537/10 + ('Aqueous Species Table'!J537*100)/(Calculations!$C$12+Calculations!$C$9) + ('Aqueous Species Table'!K537 + ('Aqueous Species Table'!L537*10000)/(Calculations!$C$12+Calculations!$C$9))*(1/(Calculations!$C$8-Calculations!$C$13)) - 'Aqueous Species Table'!O537*100000*0.0000005903)*41.8393))</f>
        <v/>
      </c>
      <c r="H537" s="29" t="str">
        <f>IF(ISBLANK('Aqueous Species Options'!B537), "", IF('Aqueous Species Options'!L537 = 1, IF(ISBLANK('Aqueous Species Options'!H537), "", 'Aqueous Species Options'!H537), 'Aqueous Species Table'!M537 + 'Aqueous Species Table'!N537*10000*(1/(Calculations!$C$8-Calculations!$C$13))^2 + 'Aqueous Species Table'!O537*100000*Calculations!$C$8*Calculations!$C$7))</f>
        <v/>
      </c>
      <c r="I537" s="1" t="str">
        <f>IF(ISBLANK('Aqueous Species Options'!B537), "", IF('Aqueous Species Options'!L537=0, 'Aqueous Species Options'!N537, IF(OR(ISBLANK('Aqueous Species Options'!G537),'Aqueous Species Table'!O537="", 'Aqueous Species Table'!P537=""), "", IF('Aqueous Species Options'!B537="H+", 0, (CHOOSE('Aqueous Species Options'!M537+1,'Aqueous Species Options'!$V$4*ABS('Aqueous Species Table'!P537)+'Aqueous Species Options'!$W$4,'Aqueous Species Options'!$Z$4)*('Aqueous Species Options'!G537 + 'Aqueous Species Table'!O537*100000*0.0000005903*41.8393) + CHOOSE('Aqueous Species Options'!M537+1,'Aqueous Species Options'!$X$4*ABS('Aqueous Species Table'!P537)+'Aqueous Species Options'!$Y$4,'Aqueous Species Options'!$AA$4))*10 ) ) ) )</f>
        <v/>
      </c>
      <c r="J537" s="1" t="str">
        <f>IF(ISBLANK('Aqueous Species Options'!B537), "", IF('Aqueous Species Options'!L537 = 0, 'Aqueous Species Options'!O537, IF('Aqueous Species Table'!I537="", "", IF('Aqueous Species Options'!B537="H+", 0, ((1.11*('Aqueous Species Options'!G537 + 'Aqueous Species Table'!O537*100000*0.0000005903*41.8393)+1.8)/41.8393 - 'Aqueous Species Table'!I537/10)*26.01 ) ) ) )</f>
        <v/>
      </c>
      <c r="K537" s="1" t="str">
        <f>IF(ISBLANK('Aqueous Species Options'!B537), "", IF('Aqueous Species Options'!L537 = 0, 'Aqueous Species Options'!P537, IF('Aqueous Species Table'!I537="", "", IF('Aqueous Species Options'!B537="H+", 0, ('Aqueous Species Options'!G537/41.8393 + 'Aqueous Species Table'!O537*100000*0.0000005903 - 'Aqueous Species Table'!I537/10 - 'Aqueous Species Table'!J537*100/2601)*(298.15-228) - ('Aqueous Species Table'!L537*10000/2601) ) ) ) )</f>
        <v/>
      </c>
      <c r="L537" s="1" t="str">
        <f>IF(ISBLANK('Aqueous Species Options'!B537), "", IF('Aqueous Species Options'!L537 = 0, 'Aqueous Species Options'!Q537, IF('Aqueous Species Table'!J537="", "", IF('Aqueous Species Options'!B537="H+", 0, (-4.134*'Aqueous Species Table'!J537*100 - 27790)*0.0001) ) ) )</f>
        <v/>
      </c>
      <c r="M537" s="1" t="str">
        <f>IF(ISBLANK('Aqueous Species Options'!B537), "", IF('Aqueous Species Options'!L537=0, 'Aqueous Species Options'!R537, IF('Aqueous Species Table'!N537="", "", IF('Aqueous Species Options'!B537="H+", 0, 'Aqueous Species Options'!H537 - 'Aqueous Species Table'!O537*100000*(-0.000000309)*298.15 - 'Aqueous Species Table'!N537*10000/(298.15-228)^2 ) ) ) )</f>
        <v/>
      </c>
      <c r="N537" s="1" t="str">
        <f>IF(ISBLANK('Aqueous Species Options'!B537), "", IF('Aqueous Species Options'!L537=0, 'Aqueous Species Options'!S537, IF(OR(ISBLANK('Aqueous Species Options'!H537), 'Aqueous Species Table'!O537=""), "", IF('Aqueous Species Options'!B537="H+", 0, 0.2037*'Aqueous Species Options'!H537 - 3.0346) ) ) )</f>
        <v/>
      </c>
      <c r="O537" s="1" t="str">
        <f>IF(ISBLANK('Aqueous Species Options'!B537), "", IF('Aqueous Species Options'!K537=0, 'Aqueous Species Options'!I537, IF(OR('Aqueous Species Options'!J537&gt;4,'Aqueous Species Options'!J537&lt;-4), "", IF('Aqueous Species Options'!B537="H+", 0, IF('Aqueous Species Options'!J537=0, -0.038, IF(ISBLANK('Aqueous Species Options'!F537), "", -1514.4*'Aqueous Species Options'!F537*0.00001 + SUM(({4,3,2,1,-1,-2,-3,-4}='Aqueous Species Options'!J537)*{2.1764,1.5793,1.0579,0.5517,1.6291,3.2127,4.8115,6.486}) ) ) ) ) ) )</f>
        <v/>
      </c>
      <c r="P537" s="1" t="str">
        <f>IF(ISBLANK('Aqueous Species Options'!J537), "", 'Aqueous Species Options'!J537)</f>
        <v/>
      </c>
      <c r="Q537" s="184" t="str">
        <f>IF(ISBLANK('Aqueous Species Options'!T537), "", 'Aqueous Species Options'!T537)</f>
        <v/>
      </c>
    </row>
    <row r="538" spans="2:17" ht="16" x14ac:dyDescent="0.2">
      <c r="B538" t="str">
        <f>IF(ISBLANK('Aqueous Species Options'!B538), "", 'Aqueous Species Options'!B538)</f>
        <v/>
      </c>
      <c r="C538" s="1" t="str">
        <f>IF(ISBLANK('Aqueous Species Options'!C538), "", 'Aqueous Species Options'!C538)</f>
        <v/>
      </c>
      <c r="D538" s="1" t="str">
        <f>IF(ISBLANK('Aqueous Species Options'!D538), "", 'Aqueous Species Options'!D538)</f>
        <v/>
      </c>
      <c r="E538" s="1" t="str">
        <f>IF(ISBLANK('Aqueous Species Options'!E538), "", 'Aqueous Species Options'!E538)</f>
        <v/>
      </c>
      <c r="F538" s="139" t="str">
        <f>IF(ISBLANK('Aqueous Species Options'!F538), "", 'Aqueous Species Options'!F538)</f>
        <v/>
      </c>
      <c r="G538" s="29" t="str">
        <f>IF(ISBLANK('Aqueous Species Options'!B538), "", IF('Aqueous Species Options'!L538 = 1, IF(ISBLANK('Aqueous Species Options'!G538), "", 'Aqueous Species Options'!G538), ('Aqueous Species Table'!I538/10 + ('Aqueous Species Table'!J538*100)/(Calculations!$C$12+Calculations!$C$9) + ('Aqueous Species Table'!K538 + ('Aqueous Species Table'!L538*10000)/(Calculations!$C$12+Calculations!$C$9))*(1/(Calculations!$C$8-Calculations!$C$13)) - 'Aqueous Species Table'!O538*100000*0.0000005903)*41.8393))</f>
        <v/>
      </c>
      <c r="H538" s="29" t="str">
        <f>IF(ISBLANK('Aqueous Species Options'!B538), "", IF('Aqueous Species Options'!L538 = 1, IF(ISBLANK('Aqueous Species Options'!H538), "", 'Aqueous Species Options'!H538), 'Aqueous Species Table'!M538 + 'Aqueous Species Table'!N538*10000*(1/(Calculations!$C$8-Calculations!$C$13))^2 + 'Aqueous Species Table'!O538*100000*Calculations!$C$8*Calculations!$C$7))</f>
        <v/>
      </c>
      <c r="I538" s="1" t="str">
        <f>IF(ISBLANK('Aqueous Species Options'!B538), "", IF('Aqueous Species Options'!L538=0, 'Aqueous Species Options'!N538, IF(OR(ISBLANK('Aqueous Species Options'!G538),'Aqueous Species Table'!O538="", 'Aqueous Species Table'!P538=""), "", IF('Aqueous Species Options'!B538="H+", 0, (CHOOSE('Aqueous Species Options'!M538+1,'Aqueous Species Options'!$V$4*ABS('Aqueous Species Table'!P538)+'Aqueous Species Options'!$W$4,'Aqueous Species Options'!$Z$4)*('Aqueous Species Options'!G538 + 'Aqueous Species Table'!O538*100000*0.0000005903*41.8393) + CHOOSE('Aqueous Species Options'!M538+1,'Aqueous Species Options'!$X$4*ABS('Aqueous Species Table'!P538)+'Aqueous Species Options'!$Y$4,'Aqueous Species Options'!$AA$4))*10 ) ) ) )</f>
        <v/>
      </c>
      <c r="J538" s="1" t="str">
        <f>IF(ISBLANK('Aqueous Species Options'!B538), "", IF('Aqueous Species Options'!L538 = 0, 'Aqueous Species Options'!O538, IF('Aqueous Species Table'!I538="", "", IF('Aqueous Species Options'!B538="H+", 0, ((1.11*('Aqueous Species Options'!G538 + 'Aqueous Species Table'!O538*100000*0.0000005903*41.8393)+1.8)/41.8393 - 'Aqueous Species Table'!I538/10)*26.01 ) ) ) )</f>
        <v/>
      </c>
      <c r="K538" s="1" t="str">
        <f>IF(ISBLANK('Aqueous Species Options'!B538), "", IF('Aqueous Species Options'!L538 = 0, 'Aqueous Species Options'!P538, IF('Aqueous Species Table'!I538="", "", IF('Aqueous Species Options'!B538="H+", 0, ('Aqueous Species Options'!G538/41.8393 + 'Aqueous Species Table'!O538*100000*0.0000005903 - 'Aqueous Species Table'!I538/10 - 'Aqueous Species Table'!J538*100/2601)*(298.15-228) - ('Aqueous Species Table'!L538*10000/2601) ) ) ) )</f>
        <v/>
      </c>
      <c r="L538" s="1" t="str">
        <f>IF(ISBLANK('Aqueous Species Options'!B538), "", IF('Aqueous Species Options'!L538 = 0, 'Aqueous Species Options'!Q538, IF('Aqueous Species Table'!J538="", "", IF('Aqueous Species Options'!B538="H+", 0, (-4.134*'Aqueous Species Table'!J538*100 - 27790)*0.0001) ) ) )</f>
        <v/>
      </c>
      <c r="M538" s="1" t="str">
        <f>IF(ISBLANK('Aqueous Species Options'!B538), "", IF('Aqueous Species Options'!L538=0, 'Aqueous Species Options'!R538, IF('Aqueous Species Table'!N538="", "", IF('Aqueous Species Options'!B538="H+", 0, 'Aqueous Species Options'!H538 - 'Aqueous Species Table'!O538*100000*(-0.000000309)*298.15 - 'Aqueous Species Table'!N538*10000/(298.15-228)^2 ) ) ) )</f>
        <v/>
      </c>
      <c r="N538" s="1" t="str">
        <f>IF(ISBLANK('Aqueous Species Options'!B538), "", IF('Aqueous Species Options'!L538=0, 'Aqueous Species Options'!S538, IF(OR(ISBLANK('Aqueous Species Options'!H538), 'Aqueous Species Table'!O538=""), "", IF('Aqueous Species Options'!B538="H+", 0, 0.2037*'Aqueous Species Options'!H538 - 3.0346) ) ) )</f>
        <v/>
      </c>
      <c r="O538" s="1" t="str">
        <f>IF(ISBLANK('Aqueous Species Options'!B538), "", IF('Aqueous Species Options'!K538=0, 'Aqueous Species Options'!I538, IF(OR('Aqueous Species Options'!J538&gt;4,'Aqueous Species Options'!J538&lt;-4), "", IF('Aqueous Species Options'!B538="H+", 0, IF('Aqueous Species Options'!J538=0, -0.038, IF(ISBLANK('Aqueous Species Options'!F538), "", -1514.4*'Aqueous Species Options'!F538*0.00001 + SUM(({4,3,2,1,-1,-2,-3,-4}='Aqueous Species Options'!J538)*{2.1764,1.5793,1.0579,0.5517,1.6291,3.2127,4.8115,6.486}) ) ) ) ) ) )</f>
        <v/>
      </c>
      <c r="P538" s="1" t="str">
        <f>IF(ISBLANK('Aqueous Species Options'!J538), "", 'Aqueous Species Options'!J538)</f>
        <v/>
      </c>
      <c r="Q538" s="184" t="str">
        <f>IF(ISBLANK('Aqueous Species Options'!T538), "", 'Aqueous Species Options'!T538)</f>
        <v/>
      </c>
    </row>
    <row r="539" spans="2:17" ht="16" x14ac:dyDescent="0.2">
      <c r="B539" t="str">
        <f>IF(ISBLANK('Aqueous Species Options'!B539), "", 'Aqueous Species Options'!B539)</f>
        <v/>
      </c>
      <c r="C539" s="1" t="str">
        <f>IF(ISBLANK('Aqueous Species Options'!C539), "", 'Aqueous Species Options'!C539)</f>
        <v/>
      </c>
      <c r="D539" s="1" t="str">
        <f>IF(ISBLANK('Aqueous Species Options'!D539), "", 'Aqueous Species Options'!D539)</f>
        <v/>
      </c>
      <c r="E539" s="1" t="str">
        <f>IF(ISBLANK('Aqueous Species Options'!E539), "", 'Aqueous Species Options'!E539)</f>
        <v/>
      </c>
      <c r="F539" s="139" t="str">
        <f>IF(ISBLANK('Aqueous Species Options'!F539), "", 'Aqueous Species Options'!F539)</f>
        <v/>
      </c>
      <c r="G539" s="29" t="str">
        <f>IF(ISBLANK('Aqueous Species Options'!B539), "", IF('Aqueous Species Options'!L539 = 1, IF(ISBLANK('Aqueous Species Options'!G539), "", 'Aqueous Species Options'!G539), ('Aqueous Species Table'!I539/10 + ('Aqueous Species Table'!J539*100)/(Calculations!$C$12+Calculations!$C$9) + ('Aqueous Species Table'!K539 + ('Aqueous Species Table'!L539*10000)/(Calculations!$C$12+Calculations!$C$9))*(1/(Calculations!$C$8-Calculations!$C$13)) - 'Aqueous Species Table'!O539*100000*0.0000005903)*41.8393))</f>
        <v/>
      </c>
      <c r="H539" s="29" t="str">
        <f>IF(ISBLANK('Aqueous Species Options'!B539), "", IF('Aqueous Species Options'!L539 = 1, IF(ISBLANK('Aqueous Species Options'!H539), "", 'Aqueous Species Options'!H539), 'Aqueous Species Table'!M539 + 'Aqueous Species Table'!N539*10000*(1/(Calculations!$C$8-Calculations!$C$13))^2 + 'Aqueous Species Table'!O539*100000*Calculations!$C$8*Calculations!$C$7))</f>
        <v/>
      </c>
      <c r="I539" s="1" t="str">
        <f>IF(ISBLANK('Aqueous Species Options'!B539), "", IF('Aqueous Species Options'!L539=0, 'Aqueous Species Options'!N539, IF(OR(ISBLANK('Aqueous Species Options'!G539),'Aqueous Species Table'!O539="", 'Aqueous Species Table'!P539=""), "", IF('Aqueous Species Options'!B539="H+", 0, (CHOOSE('Aqueous Species Options'!M539+1,'Aqueous Species Options'!$V$4*ABS('Aqueous Species Table'!P539)+'Aqueous Species Options'!$W$4,'Aqueous Species Options'!$Z$4)*('Aqueous Species Options'!G539 + 'Aqueous Species Table'!O539*100000*0.0000005903*41.8393) + CHOOSE('Aqueous Species Options'!M539+1,'Aqueous Species Options'!$X$4*ABS('Aqueous Species Table'!P539)+'Aqueous Species Options'!$Y$4,'Aqueous Species Options'!$AA$4))*10 ) ) ) )</f>
        <v/>
      </c>
      <c r="J539" s="1" t="str">
        <f>IF(ISBLANK('Aqueous Species Options'!B539), "", IF('Aqueous Species Options'!L539 = 0, 'Aqueous Species Options'!O539, IF('Aqueous Species Table'!I539="", "", IF('Aqueous Species Options'!B539="H+", 0, ((1.11*('Aqueous Species Options'!G539 + 'Aqueous Species Table'!O539*100000*0.0000005903*41.8393)+1.8)/41.8393 - 'Aqueous Species Table'!I539/10)*26.01 ) ) ) )</f>
        <v/>
      </c>
      <c r="K539" s="1" t="str">
        <f>IF(ISBLANK('Aqueous Species Options'!B539), "", IF('Aqueous Species Options'!L539 = 0, 'Aqueous Species Options'!P539, IF('Aqueous Species Table'!I539="", "", IF('Aqueous Species Options'!B539="H+", 0, ('Aqueous Species Options'!G539/41.8393 + 'Aqueous Species Table'!O539*100000*0.0000005903 - 'Aqueous Species Table'!I539/10 - 'Aqueous Species Table'!J539*100/2601)*(298.15-228) - ('Aqueous Species Table'!L539*10000/2601) ) ) ) )</f>
        <v/>
      </c>
      <c r="L539" s="1" t="str">
        <f>IF(ISBLANK('Aqueous Species Options'!B539), "", IF('Aqueous Species Options'!L539 = 0, 'Aqueous Species Options'!Q539, IF('Aqueous Species Table'!J539="", "", IF('Aqueous Species Options'!B539="H+", 0, (-4.134*'Aqueous Species Table'!J539*100 - 27790)*0.0001) ) ) )</f>
        <v/>
      </c>
      <c r="M539" s="1" t="str">
        <f>IF(ISBLANK('Aqueous Species Options'!B539), "", IF('Aqueous Species Options'!L539=0, 'Aqueous Species Options'!R539, IF('Aqueous Species Table'!N539="", "", IF('Aqueous Species Options'!B539="H+", 0, 'Aqueous Species Options'!H539 - 'Aqueous Species Table'!O539*100000*(-0.000000309)*298.15 - 'Aqueous Species Table'!N539*10000/(298.15-228)^2 ) ) ) )</f>
        <v/>
      </c>
      <c r="N539" s="1" t="str">
        <f>IF(ISBLANK('Aqueous Species Options'!B539), "", IF('Aqueous Species Options'!L539=0, 'Aqueous Species Options'!S539, IF(OR(ISBLANK('Aqueous Species Options'!H539), 'Aqueous Species Table'!O539=""), "", IF('Aqueous Species Options'!B539="H+", 0, 0.2037*'Aqueous Species Options'!H539 - 3.0346) ) ) )</f>
        <v/>
      </c>
      <c r="O539" s="1" t="str">
        <f>IF(ISBLANK('Aqueous Species Options'!B539), "", IF('Aqueous Species Options'!K539=0, 'Aqueous Species Options'!I539, IF(OR('Aqueous Species Options'!J539&gt;4,'Aqueous Species Options'!J539&lt;-4), "", IF('Aqueous Species Options'!B539="H+", 0, IF('Aqueous Species Options'!J539=0, -0.038, IF(ISBLANK('Aqueous Species Options'!F539), "", -1514.4*'Aqueous Species Options'!F539*0.00001 + SUM(({4,3,2,1,-1,-2,-3,-4}='Aqueous Species Options'!J539)*{2.1764,1.5793,1.0579,0.5517,1.6291,3.2127,4.8115,6.486}) ) ) ) ) ) )</f>
        <v/>
      </c>
      <c r="P539" s="1" t="str">
        <f>IF(ISBLANK('Aqueous Species Options'!J539), "", 'Aqueous Species Options'!J539)</f>
        <v/>
      </c>
      <c r="Q539" s="184" t="str">
        <f>IF(ISBLANK('Aqueous Species Options'!T539), "", 'Aqueous Species Options'!T539)</f>
        <v/>
      </c>
    </row>
    <row r="540" spans="2:17" ht="16" x14ac:dyDescent="0.2">
      <c r="B540" t="str">
        <f>IF(ISBLANK('Aqueous Species Options'!B540), "", 'Aqueous Species Options'!B540)</f>
        <v/>
      </c>
      <c r="C540" s="1" t="str">
        <f>IF(ISBLANK('Aqueous Species Options'!C540), "", 'Aqueous Species Options'!C540)</f>
        <v/>
      </c>
      <c r="D540" s="1" t="str">
        <f>IF(ISBLANK('Aqueous Species Options'!D540), "", 'Aqueous Species Options'!D540)</f>
        <v/>
      </c>
      <c r="E540" s="1" t="str">
        <f>IF(ISBLANK('Aqueous Species Options'!E540), "", 'Aqueous Species Options'!E540)</f>
        <v/>
      </c>
      <c r="F540" s="139" t="str">
        <f>IF(ISBLANK('Aqueous Species Options'!F540), "", 'Aqueous Species Options'!F540)</f>
        <v/>
      </c>
      <c r="G540" s="29" t="str">
        <f>IF(ISBLANK('Aqueous Species Options'!B540), "", IF('Aqueous Species Options'!L540 = 1, IF(ISBLANK('Aqueous Species Options'!G540), "", 'Aqueous Species Options'!G540), ('Aqueous Species Table'!I540/10 + ('Aqueous Species Table'!J540*100)/(Calculations!$C$12+Calculations!$C$9) + ('Aqueous Species Table'!K540 + ('Aqueous Species Table'!L540*10000)/(Calculations!$C$12+Calculations!$C$9))*(1/(Calculations!$C$8-Calculations!$C$13)) - 'Aqueous Species Table'!O540*100000*0.0000005903)*41.8393))</f>
        <v/>
      </c>
      <c r="H540" s="29" t="str">
        <f>IF(ISBLANK('Aqueous Species Options'!B540), "", IF('Aqueous Species Options'!L540 = 1, IF(ISBLANK('Aqueous Species Options'!H540), "", 'Aqueous Species Options'!H540), 'Aqueous Species Table'!M540 + 'Aqueous Species Table'!N540*10000*(1/(Calculations!$C$8-Calculations!$C$13))^2 + 'Aqueous Species Table'!O540*100000*Calculations!$C$8*Calculations!$C$7))</f>
        <v/>
      </c>
      <c r="I540" s="1" t="str">
        <f>IF(ISBLANK('Aqueous Species Options'!B540), "", IF('Aqueous Species Options'!L540=0, 'Aqueous Species Options'!N540, IF(OR(ISBLANK('Aqueous Species Options'!G540),'Aqueous Species Table'!O540="", 'Aqueous Species Table'!P540=""), "", IF('Aqueous Species Options'!B540="H+", 0, (CHOOSE('Aqueous Species Options'!M540+1,'Aqueous Species Options'!$V$4*ABS('Aqueous Species Table'!P540)+'Aqueous Species Options'!$W$4,'Aqueous Species Options'!$Z$4)*('Aqueous Species Options'!G540 + 'Aqueous Species Table'!O540*100000*0.0000005903*41.8393) + CHOOSE('Aqueous Species Options'!M540+1,'Aqueous Species Options'!$X$4*ABS('Aqueous Species Table'!P540)+'Aqueous Species Options'!$Y$4,'Aqueous Species Options'!$AA$4))*10 ) ) ) )</f>
        <v/>
      </c>
      <c r="J540" s="1" t="str">
        <f>IF(ISBLANK('Aqueous Species Options'!B540), "", IF('Aqueous Species Options'!L540 = 0, 'Aqueous Species Options'!O540, IF('Aqueous Species Table'!I540="", "", IF('Aqueous Species Options'!B540="H+", 0, ((1.11*('Aqueous Species Options'!G540 + 'Aqueous Species Table'!O540*100000*0.0000005903*41.8393)+1.8)/41.8393 - 'Aqueous Species Table'!I540/10)*26.01 ) ) ) )</f>
        <v/>
      </c>
      <c r="K540" s="1" t="str">
        <f>IF(ISBLANK('Aqueous Species Options'!B540), "", IF('Aqueous Species Options'!L540 = 0, 'Aqueous Species Options'!P540, IF('Aqueous Species Table'!I540="", "", IF('Aqueous Species Options'!B540="H+", 0, ('Aqueous Species Options'!G540/41.8393 + 'Aqueous Species Table'!O540*100000*0.0000005903 - 'Aqueous Species Table'!I540/10 - 'Aqueous Species Table'!J540*100/2601)*(298.15-228) - ('Aqueous Species Table'!L540*10000/2601) ) ) ) )</f>
        <v/>
      </c>
      <c r="L540" s="1" t="str">
        <f>IF(ISBLANK('Aqueous Species Options'!B540), "", IF('Aqueous Species Options'!L540 = 0, 'Aqueous Species Options'!Q540, IF('Aqueous Species Table'!J540="", "", IF('Aqueous Species Options'!B540="H+", 0, (-4.134*'Aqueous Species Table'!J540*100 - 27790)*0.0001) ) ) )</f>
        <v/>
      </c>
      <c r="M540" s="1" t="str">
        <f>IF(ISBLANK('Aqueous Species Options'!B540), "", IF('Aqueous Species Options'!L540=0, 'Aqueous Species Options'!R540, IF('Aqueous Species Table'!N540="", "", IF('Aqueous Species Options'!B540="H+", 0, 'Aqueous Species Options'!H540 - 'Aqueous Species Table'!O540*100000*(-0.000000309)*298.15 - 'Aqueous Species Table'!N540*10000/(298.15-228)^2 ) ) ) )</f>
        <v/>
      </c>
      <c r="N540" s="1" t="str">
        <f>IF(ISBLANK('Aqueous Species Options'!B540), "", IF('Aqueous Species Options'!L540=0, 'Aqueous Species Options'!S540, IF(OR(ISBLANK('Aqueous Species Options'!H540), 'Aqueous Species Table'!O540=""), "", IF('Aqueous Species Options'!B540="H+", 0, 0.2037*'Aqueous Species Options'!H540 - 3.0346) ) ) )</f>
        <v/>
      </c>
      <c r="O540" s="1" t="str">
        <f>IF(ISBLANK('Aqueous Species Options'!B540), "", IF('Aqueous Species Options'!K540=0, 'Aqueous Species Options'!I540, IF(OR('Aqueous Species Options'!J540&gt;4,'Aqueous Species Options'!J540&lt;-4), "", IF('Aqueous Species Options'!B540="H+", 0, IF('Aqueous Species Options'!J540=0, -0.038, IF(ISBLANK('Aqueous Species Options'!F540), "", -1514.4*'Aqueous Species Options'!F540*0.00001 + SUM(({4,3,2,1,-1,-2,-3,-4}='Aqueous Species Options'!J540)*{2.1764,1.5793,1.0579,0.5517,1.6291,3.2127,4.8115,6.486}) ) ) ) ) ) )</f>
        <v/>
      </c>
      <c r="P540" s="1" t="str">
        <f>IF(ISBLANK('Aqueous Species Options'!J540), "", 'Aqueous Species Options'!J540)</f>
        <v/>
      </c>
      <c r="Q540" s="184" t="str">
        <f>IF(ISBLANK('Aqueous Species Options'!T540), "", 'Aqueous Species Options'!T540)</f>
        <v/>
      </c>
    </row>
    <row r="541" spans="2:17" ht="16" x14ac:dyDescent="0.2">
      <c r="B541" t="str">
        <f>IF(ISBLANK('Aqueous Species Options'!B541), "", 'Aqueous Species Options'!B541)</f>
        <v/>
      </c>
      <c r="C541" s="1" t="str">
        <f>IF(ISBLANK('Aqueous Species Options'!C541), "", 'Aqueous Species Options'!C541)</f>
        <v/>
      </c>
      <c r="D541" s="1" t="str">
        <f>IF(ISBLANK('Aqueous Species Options'!D541), "", 'Aqueous Species Options'!D541)</f>
        <v/>
      </c>
      <c r="E541" s="1" t="str">
        <f>IF(ISBLANK('Aqueous Species Options'!E541), "", 'Aqueous Species Options'!E541)</f>
        <v/>
      </c>
      <c r="F541" s="139" t="str">
        <f>IF(ISBLANK('Aqueous Species Options'!F541), "", 'Aqueous Species Options'!F541)</f>
        <v/>
      </c>
      <c r="G541" s="29" t="str">
        <f>IF(ISBLANK('Aqueous Species Options'!B541), "", IF('Aqueous Species Options'!L541 = 1, IF(ISBLANK('Aqueous Species Options'!G541), "", 'Aqueous Species Options'!G541), ('Aqueous Species Table'!I541/10 + ('Aqueous Species Table'!J541*100)/(Calculations!$C$12+Calculations!$C$9) + ('Aqueous Species Table'!K541 + ('Aqueous Species Table'!L541*10000)/(Calculations!$C$12+Calculations!$C$9))*(1/(Calculations!$C$8-Calculations!$C$13)) - 'Aqueous Species Table'!O541*100000*0.0000005903)*41.8393))</f>
        <v/>
      </c>
      <c r="H541" s="29" t="str">
        <f>IF(ISBLANK('Aqueous Species Options'!B541), "", IF('Aqueous Species Options'!L541 = 1, IF(ISBLANK('Aqueous Species Options'!H541), "", 'Aqueous Species Options'!H541), 'Aqueous Species Table'!M541 + 'Aqueous Species Table'!N541*10000*(1/(Calculations!$C$8-Calculations!$C$13))^2 + 'Aqueous Species Table'!O541*100000*Calculations!$C$8*Calculations!$C$7))</f>
        <v/>
      </c>
      <c r="I541" s="1" t="str">
        <f>IF(ISBLANK('Aqueous Species Options'!B541), "", IF('Aqueous Species Options'!L541=0, 'Aqueous Species Options'!N541, IF(OR(ISBLANK('Aqueous Species Options'!G541),'Aqueous Species Table'!O541="", 'Aqueous Species Table'!P541=""), "", IF('Aqueous Species Options'!B541="H+", 0, (CHOOSE('Aqueous Species Options'!M541+1,'Aqueous Species Options'!$V$4*ABS('Aqueous Species Table'!P541)+'Aqueous Species Options'!$W$4,'Aqueous Species Options'!$Z$4)*('Aqueous Species Options'!G541 + 'Aqueous Species Table'!O541*100000*0.0000005903*41.8393) + CHOOSE('Aqueous Species Options'!M541+1,'Aqueous Species Options'!$X$4*ABS('Aqueous Species Table'!P541)+'Aqueous Species Options'!$Y$4,'Aqueous Species Options'!$AA$4))*10 ) ) ) )</f>
        <v/>
      </c>
      <c r="J541" s="1" t="str">
        <f>IF(ISBLANK('Aqueous Species Options'!B541), "", IF('Aqueous Species Options'!L541 = 0, 'Aqueous Species Options'!O541, IF('Aqueous Species Table'!I541="", "", IF('Aqueous Species Options'!B541="H+", 0, ((1.11*('Aqueous Species Options'!G541 + 'Aqueous Species Table'!O541*100000*0.0000005903*41.8393)+1.8)/41.8393 - 'Aqueous Species Table'!I541/10)*26.01 ) ) ) )</f>
        <v/>
      </c>
      <c r="K541" s="1" t="str">
        <f>IF(ISBLANK('Aqueous Species Options'!B541), "", IF('Aqueous Species Options'!L541 = 0, 'Aqueous Species Options'!P541, IF('Aqueous Species Table'!I541="", "", IF('Aqueous Species Options'!B541="H+", 0, ('Aqueous Species Options'!G541/41.8393 + 'Aqueous Species Table'!O541*100000*0.0000005903 - 'Aqueous Species Table'!I541/10 - 'Aqueous Species Table'!J541*100/2601)*(298.15-228) - ('Aqueous Species Table'!L541*10000/2601) ) ) ) )</f>
        <v/>
      </c>
      <c r="L541" s="1" t="str">
        <f>IF(ISBLANK('Aqueous Species Options'!B541), "", IF('Aqueous Species Options'!L541 = 0, 'Aqueous Species Options'!Q541, IF('Aqueous Species Table'!J541="", "", IF('Aqueous Species Options'!B541="H+", 0, (-4.134*'Aqueous Species Table'!J541*100 - 27790)*0.0001) ) ) )</f>
        <v/>
      </c>
      <c r="M541" s="1" t="str">
        <f>IF(ISBLANK('Aqueous Species Options'!B541), "", IF('Aqueous Species Options'!L541=0, 'Aqueous Species Options'!R541, IF('Aqueous Species Table'!N541="", "", IF('Aqueous Species Options'!B541="H+", 0, 'Aqueous Species Options'!H541 - 'Aqueous Species Table'!O541*100000*(-0.000000309)*298.15 - 'Aqueous Species Table'!N541*10000/(298.15-228)^2 ) ) ) )</f>
        <v/>
      </c>
      <c r="N541" s="1" t="str">
        <f>IF(ISBLANK('Aqueous Species Options'!B541), "", IF('Aqueous Species Options'!L541=0, 'Aqueous Species Options'!S541, IF(OR(ISBLANK('Aqueous Species Options'!H541), 'Aqueous Species Table'!O541=""), "", IF('Aqueous Species Options'!B541="H+", 0, 0.2037*'Aqueous Species Options'!H541 - 3.0346) ) ) )</f>
        <v/>
      </c>
      <c r="O541" s="1" t="str">
        <f>IF(ISBLANK('Aqueous Species Options'!B541), "", IF('Aqueous Species Options'!K541=0, 'Aqueous Species Options'!I541, IF(OR('Aqueous Species Options'!J541&gt;4,'Aqueous Species Options'!J541&lt;-4), "", IF('Aqueous Species Options'!B541="H+", 0, IF('Aqueous Species Options'!J541=0, -0.038, IF(ISBLANK('Aqueous Species Options'!F541), "", -1514.4*'Aqueous Species Options'!F541*0.00001 + SUM(({4,3,2,1,-1,-2,-3,-4}='Aqueous Species Options'!J541)*{2.1764,1.5793,1.0579,0.5517,1.6291,3.2127,4.8115,6.486}) ) ) ) ) ) )</f>
        <v/>
      </c>
      <c r="P541" s="1" t="str">
        <f>IF(ISBLANK('Aqueous Species Options'!J541), "", 'Aqueous Species Options'!J541)</f>
        <v/>
      </c>
      <c r="Q541" s="184" t="str">
        <f>IF(ISBLANK('Aqueous Species Options'!T541), "", 'Aqueous Species Options'!T541)</f>
        <v/>
      </c>
    </row>
    <row r="542" spans="2:17" ht="16" x14ac:dyDescent="0.2">
      <c r="B542" t="str">
        <f>IF(ISBLANK('Aqueous Species Options'!B542), "", 'Aqueous Species Options'!B542)</f>
        <v/>
      </c>
      <c r="C542" s="1" t="str">
        <f>IF(ISBLANK('Aqueous Species Options'!C542), "", 'Aqueous Species Options'!C542)</f>
        <v/>
      </c>
      <c r="D542" s="1" t="str">
        <f>IF(ISBLANK('Aqueous Species Options'!D542), "", 'Aqueous Species Options'!D542)</f>
        <v/>
      </c>
      <c r="E542" s="1" t="str">
        <f>IF(ISBLANK('Aqueous Species Options'!E542), "", 'Aqueous Species Options'!E542)</f>
        <v/>
      </c>
      <c r="F542" s="139" t="str">
        <f>IF(ISBLANK('Aqueous Species Options'!F542), "", 'Aqueous Species Options'!F542)</f>
        <v/>
      </c>
      <c r="G542" s="29" t="str">
        <f>IF(ISBLANK('Aqueous Species Options'!B542), "", IF('Aqueous Species Options'!L542 = 1, IF(ISBLANK('Aqueous Species Options'!G542), "", 'Aqueous Species Options'!G542), ('Aqueous Species Table'!I542/10 + ('Aqueous Species Table'!J542*100)/(Calculations!$C$12+Calculations!$C$9) + ('Aqueous Species Table'!K542 + ('Aqueous Species Table'!L542*10000)/(Calculations!$C$12+Calculations!$C$9))*(1/(Calculations!$C$8-Calculations!$C$13)) - 'Aqueous Species Table'!O542*100000*0.0000005903)*41.8393))</f>
        <v/>
      </c>
      <c r="H542" s="29" t="str">
        <f>IF(ISBLANK('Aqueous Species Options'!B542), "", IF('Aqueous Species Options'!L542 = 1, IF(ISBLANK('Aqueous Species Options'!H542), "", 'Aqueous Species Options'!H542), 'Aqueous Species Table'!M542 + 'Aqueous Species Table'!N542*10000*(1/(Calculations!$C$8-Calculations!$C$13))^2 + 'Aqueous Species Table'!O542*100000*Calculations!$C$8*Calculations!$C$7))</f>
        <v/>
      </c>
      <c r="I542" s="1" t="str">
        <f>IF(ISBLANK('Aqueous Species Options'!B542), "", IF('Aqueous Species Options'!L542=0, 'Aqueous Species Options'!N542, IF(OR(ISBLANK('Aqueous Species Options'!G542),'Aqueous Species Table'!O542="", 'Aqueous Species Table'!P542=""), "", IF('Aqueous Species Options'!B542="H+", 0, (CHOOSE('Aqueous Species Options'!M542+1,'Aqueous Species Options'!$V$4*ABS('Aqueous Species Table'!P542)+'Aqueous Species Options'!$W$4,'Aqueous Species Options'!$Z$4)*('Aqueous Species Options'!G542 + 'Aqueous Species Table'!O542*100000*0.0000005903*41.8393) + CHOOSE('Aqueous Species Options'!M542+1,'Aqueous Species Options'!$X$4*ABS('Aqueous Species Table'!P542)+'Aqueous Species Options'!$Y$4,'Aqueous Species Options'!$AA$4))*10 ) ) ) )</f>
        <v/>
      </c>
      <c r="J542" s="1" t="str">
        <f>IF(ISBLANK('Aqueous Species Options'!B542), "", IF('Aqueous Species Options'!L542 = 0, 'Aqueous Species Options'!O542, IF('Aqueous Species Table'!I542="", "", IF('Aqueous Species Options'!B542="H+", 0, ((1.11*('Aqueous Species Options'!G542 + 'Aqueous Species Table'!O542*100000*0.0000005903*41.8393)+1.8)/41.8393 - 'Aqueous Species Table'!I542/10)*26.01 ) ) ) )</f>
        <v/>
      </c>
      <c r="K542" s="1" t="str">
        <f>IF(ISBLANK('Aqueous Species Options'!B542), "", IF('Aqueous Species Options'!L542 = 0, 'Aqueous Species Options'!P542, IF('Aqueous Species Table'!I542="", "", IF('Aqueous Species Options'!B542="H+", 0, ('Aqueous Species Options'!G542/41.8393 + 'Aqueous Species Table'!O542*100000*0.0000005903 - 'Aqueous Species Table'!I542/10 - 'Aqueous Species Table'!J542*100/2601)*(298.15-228) - ('Aqueous Species Table'!L542*10000/2601) ) ) ) )</f>
        <v/>
      </c>
      <c r="L542" s="1" t="str">
        <f>IF(ISBLANK('Aqueous Species Options'!B542), "", IF('Aqueous Species Options'!L542 = 0, 'Aqueous Species Options'!Q542, IF('Aqueous Species Table'!J542="", "", IF('Aqueous Species Options'!B542="H+", 0, (-4.134*'Aqueous Species Table'!J542*100 - 27790)*0.0001) ) ) )</f>
        <v/>
      </c>
      <c r="M542" s="1" t="str">
        <f>IF(ISBLANK('Aqueous Species Options'!B542), "", IF('Aqueous Species Options'!L542=0, 'Aqueous Species Options'!R542, IF('Aqueous Species Table'!N542="", "", IF('Aqueous Species Options'!B542="H+", 0, 'Aqueous Species Options'!H542 - 'Aqueous Species Table'!O542*100000*(-0.000000309)*298.15 - 'Aqueous Species Table'!N542*10000/(298.15-228)^2 ) ) ) )</f>
        <v/>
      </c>
      <c r="N542" s="1" t="str">
        <f>IF(ISBLANK('Aqueous Species Options'!B542), "", IF('Aqueous Species Options'!L542=0, 'Aqueous Species Options'!S542, IF(OR(ISBLANK('Aqueous Species Options'!H542), 'Aqueous Species Table'!O542=""), "", IF('Aqueous Species Options'!B542="H+", 0, 0.2037*'Aqueous Species Options'!H542 - 3.0346) ) ) )</f>
        <v/>
      </c>
      <c r="O542" s="1" t="str">
        <f>IF(ISBLANK('Aqueous Species Options'!B542), "", IF('Aqueous Species Options'!K542=0, 'Aqueous Species Options'!I542, IF(OR('Aqueous Species Options'!J542&gt;4,'Aqueous Species Options'!J542&lt;-4), "", IF('Aqueous Species Options'!B542="H+", 0, IF('Aqueous Species Options'!J542=0, -0.038, IF(ISBLANK('Aqueous Species Options'!F542), "", -1514.4*'Aqueous Species Options'!F542*0.00001 + SUM(({4,3,2,1,-1,-2,-3,-4}='Aqueous Species Options'!J542)*{2.1764,1.5793,1.0579,0.5517,1.6291,3.2127,4.8115,6.486}) ) ) ) ) ) )</f>
        <v/>
      </c>
      <c r="P542" s="1" t="str">
        <f>IF(ISBLANK('Aqueous Species Options'!J542), "", 'Aqueous Species Options'!J542)</f>
        <v/>
      </c>
      <c r="Q542" s="184" t="str">
        <f>IF(ISBLANK('Aqueous Species Options'!T542), "", 'Aqueous Species Options'!T542)</f>
        <v/>
      </c>
    </row>
    <row r="543" spans="2:17" ht="16" x14ac:dyDescent="0.2">
      <c r="B543" t="str">
        <f>IF(ISBLANK('Aqueous Species Options'!B543), "", 'Aqueous Species Options'!B543)</f>
        <v/>
      </c>
      <c r="C543" s="1" t="str">
        <f>IF(ISBLANK('Aqueous Species Options'!C543), "", 'Aqueous Species Options'!C543)</f>
        <v/>
      </c>
      <c r="D543" s="1" t="str">
        <f>IF(ISBLANK('Aqueous Species Options'!D543), "", 'Aqueous Species Options'!D543)</f>
        <v/>
      </c>
      <c r="E543" s="1" t="str">
        <f>IF(ISBLANK('Aqueous Species Options'!E543), "", 'Aqueous Species Options'!E543)</f>
        <v/>
      </c>
      <c r="F543" s="139" t="str">
        <f>IF(ISBLANK('Aqueous Species Options'!F543), "", 'Aqueous Species Options'!F543)</f>
        <v/>
      </c>
      <c r="G543" s="29" t="str">
        <f>IF(ISBLANK('Aqueous Species Options'!B543), "", IF('Aqueous Species Options'!L543 = 1, IF(ISBLANK('Aqueous Species Options'!G543), "", 'Aqueous Species Options'!G543), ('Aqueous Species Table'!I543/10 + ('Aqueous Species Table'!J543*100)/(Calculations!$C$12+Calculations!$C$9) + ('Aqueous Species Table'!K543 + ('Aqueous Species Table'!L543*10000)/(Calculations!$C$12+Calculations!$C$9))*(1/(Calculations!$C$8-Calculations!$C$13)) - 'Aqueous Species Table'!O543*100000*0.0000005903)*41.8393))</f>
        <v/>
      </c>
      <c r="H543" s="29" t="str">
        <f>IF(ISBLANK('Aqueous Species Options'!B543), "", IF('Aqueous Species Options'!L543 = 1, IF(ISBLANK('Aqueous Species Options'!H543), "", 'Aqueous Species Options'!H543), 'Aqueous Species Table'!M543 + 'Aqueous Species Table'!N543*10000*(1/(Calculations!$C$8-Calculations!$C$13))^2 + 'Aqueous Species Table'!O543*100000*Calculations!$C$8*Calculations!$C$7))</f>
        <v/>
      </c>
      <c r="I543" s="1" t="str">
        <f>IF(ISBLANK('Aqueous Species Options'!B543), "", IF('Aqueous Species Options'!L543=0, 'Aqueous Species Options'!N543, IF(OR(ISBLANK('Aqueous Species Options'!G543),'Aqueous Species Table'!O543="", 'Aqueous Species Table'!P543=""), "", IF('Aqueous Species Options'!B543="H+", 0, (CHOOSE('Aqueous Species Options'!M543+1,'Aqueous Species Options'!$V$4*ABS('Aqueous Species Table'!P543)+'Aqueous Species Options'!$W$4,'Aqueous Species Options'!$Z$4)*('Aqueous Species Options'!G543 + 'Aqueous Species Table'!O543*100000*0.0000005903*41.8393) + CHOOSE('Aqueous Species Options'!M543+1,'Aqueous Species Options'!$X$4*ABS('Aqueous Species Table'!P543)+'Aqueous Species Options'!$Y$4,'Aqueous Species Options'!$AA$4))*10 ) ) ) )</f>
        <v/>
      </c>
      <c r="J543" s="1" t="str">
        <f>IF(ISBLANK('Aqueous Species Options'!B543), "", IF('Aqueous Species Options'!L543 = 0, 'Aqueous Species Options'!O543, IF('Aqueous Species Table'!I543="", "", IF('Aqueous Species Options'!B543="H+", 0, ((1.11*('Aqueous Species Options'!G543 + 'Aqueous Species Table'!O543*100000*0.0000005903*41.8393)+1.8)/41.8393 - 'Aqueous Species Table'!I543/10)*26.01 ) ) ) )</f>
        <v/>
      </c>
      <c r="K543" s="1" t="str">
        <f>IF(ISBLANK('Aqueous Species Options'!B543), "", IF('Aqueous Species Options'!L543 = 0, 'Aqueous Species Options'!P543, IF('Aqueous Species Table'!I543="", "", IF('Aqueous Species Options'!B543="H+", 0, ('Aqueous Species Options'!G543/41.8393 + 'Aqueous Species Table'!O543*100000*0.0000005903 - 'Aqueous Species Table'!I543/10 - 'Aqueous Species Table'!J543*100/2601)*(298.15-228) - ('Aqueous Species Table'!L543*10000/2601) ) ) ) )</f>
        <v/>
      </c>
      <c r="L543" s="1" t="str">
        <f>IF(ISBLANK('Aqueous Species Options'!B543), "", IF('Aqueous Species Options'!L543 = 0, 'Aqueous Species Options'!Q543, IF('Aqueous Species Table'!J543="", "", IF('Aqueous Species Options'!B543="H+", 0, (-4.134*'Aqueous Species Table'!J543*100 - 27790)*0.0001) ) ) )</f>
        <v/>
      </c>
      <c r="M543" s="1" t="str">
        <f>IF(ISBLANK('Aqueous Species Options'!B543), "", IF('Aqueous Species Options'!L543=0, 'Aqueous Species Options'!R543, IF('Aqueous Species Table'!N543="", "", IF('Aqueous Species Options'!B543="H+", 0, 'Aqueous Species Options'!H543 - 'Aqueous Species Table'!O543*100000*(-0.000000309)*298.15 - 'Aqueous Species Table'!N543*10000/(298.15-228)^2 ) ) ) )</f>
        <v/>
      </c>
      <c r="N543" s="1" t="str">
        <f>IF(ISBLANK('Aqueous Species Options'!B543), "", IF('Aqueous Species Options'!L543=0, 'Aqueous Species Options'!S543, IF(OR(ISBLANK('Aqueous Species Options'!H543), 'Aqueous Species Table'!O543=""), "", IF('Aqueous Species Options'!B543="H+", 0, 0.2037*'Aqueous Species Options'!H543 - 3.0346) ) ) )</f>
        <v/>
      </c>
      <c r="O543" s="1" t="str">
        <f>IF(ISBLANK('Aqueous Species Options'!B543), "", IF('Aqueous Species Options'!K543=0, 'Aqueous Species Options'!I543, IF(OR('Aqueous Species Options'!J543&gt;4,'Aqueous Species Options'!J543&lt;-4), "", IF('Aqueous Species Options'!B543="H+", 0, IF('Aqueous Species Options'!J543=0, -0.038, IF(ISBLANK('Aqueous Species Options'!F543), "", -1514.4*'Aqueous Species Options'!F543*0.00001 + SUM(({4,3,2,1,-1,-2,-3,-4}='Aqueous Species Options'!J543)*{2.1764,1.5793,1.0579,0.5517,1.6291,3.2127,4.8115,6.486}) ) ) ) ) ) )</f>
        <v/>
      </c>
      <c r="P543" s="1" t="str">
        <f>IF(ISBLANK('Aqueous Species Options'!J543), "", 'Aqueous Species Options'!J543)</f>
        <v/>
      </c>
      <c r="Q543" s="184" t="str">
        <f>IF(ISBLANK('Aqueous Species Options'!T543), "", 'Aqueous Species Options'!T543)</f>
        <v/>
      </c>
    </row>
    <row r="544" spans="2:17" ht="16" x14ac:dyDescent="0.2">
      <c r="B544" t="str">
        <f>IF(ISBLANK('Aqueous Species Options'!B544), "", 'Aqueous Species Options'!B544)</f>
        <v/>
      </c>
      <c r="C544" s="1" t="str">
        <f>IF(ISBLANK('Aqueous Species Options'!C544), "", 'Aqueous Species Options'!C544)</f>
        <v/>
      </c>
      <c r="D544" s="1" t="str">
        <f>IF(ISBLANK('Aqueous Species Options'!D544), "", 'Aqueous Species Options'!D544)</f>
        <v/>
      </c>
      <c r="E544" s="1" t="str">
        <f>IF(ISBLANK('Aqueous Species Options'!E544), "", 'Aqueous Species Options'!E544)</f>
        <v/>
      </c>
      <c r="F544" s="139" t="str">
        <f>IF(ISBLANK('Aqueous Species Options'!F544), "", 'Aqueous Species Options'!F544)</f>
        <v/>
      </c>
      <c r="G544" s="29" t="str">
        <f>IF(ISBLANK('Aqueous Species Options'!B544), "", IF('Aqueous Species Options'!L544 = 1, IF(ISBLANK('Aqueous Species Options'!G544), "", 'Aqueous Species Options'!G544), ('Aqueous Species Table'!I544/10 + ('Aqueous Species Table'!J544*100)/(Calculations!$C$12+Calculations!$C$9) + ('Aqueous Species Table'!K544 + ('Aqueous Species Table'!L544*10000)/(Calculations!$C$12+Calculations!$C$9))*(1/(Calculations!$C$8-Calculations!$C$13)) - 'Aqueous Species Table'!O544*100000*0.0000005903)*41.8393))</f>
        <v/>
      </c>
      <c r="H544" s="29" t="str">
        <f>IF(ISBLANK('Aqueous Species Options'!B544), "", IF('Aqueous Species Options'!L544 = 1, IF(ISBLANK('Aqueous Species Options'!H544), "", 'Aqueous Species Options'!H544), 'Aqueous Species Table'!M544 + 'Aqueous Species Table'!N544*10000*(1/(Calculations!$C$8-Calculations!$C$13))^2 + 'Aqueous Species Table'!O544*100000*Calculations!$C$8*Calculations!$C$7))</f>
        <v/>
      </c>
      <c r="I544" s="1" t="str">
        <f>IF(ISBLANK('Aqueous Species Options'!B544), "", IF('Aqueous Species Options'!L544=0, 'Aqueous Species Options'!N544, IF(OR(ISBLANK('Aqueous Species Options'!G544),'Aqueous Species Table'!O544="", 'Aqueous Species Table'!P544=""), "", IF('Aqueous Species Options'!B544="H+", 0, (CHOOSE('Aqueous Species Options'!M544+1,'Aqueous Species Options'!$V$4*ABS('Aqueous Species Table'!P544)+'Aqueous Species Options'!$W$4,'Aqueous Species Options'!$Z$4)*('Aqueous Species Options'!G544 + 'Aqueous Species Table'!O544*100000*0.0000005903*41.8393) + CHOOSE('Aqueous Species Options'!M544+1,'Aqueous Species Options'!$X$4*ABS('Aqueous Species Table'!P544)+'Aqueous Species Options'!$Y$4,'Aqueous Species Options'!$AA$4))*10 ) ) ) )</f>
        <v/>
      </c>
      <c r="J544" s="1" t="str">
        <f>IF(ISBLANK('Aqueous Species Options'!B544), "", IF('Aqueous Species Options'!L544 = 0, 'Aqueous Species Options'!O544, IF('Aqueous Species Table'!I544="", "", IF('Aqueous Species Options'!B544="H+", 0, ((1.11*('Aqueous Species Options'!G544 + 'Aqueous Species Table'!O544*100000*0.0000005903*41.8393)+1.8)/41.8393 - 'Aqueous Species Table'!I544/10)*26.01 ) ) ) )</f>
        <v/>
      </c>
      <c r="K544" s="1" t="str">
        <f>IF(ISBLANK('Aqueous Species Options'!B544), "", IF('Aqueous Species Options'!L544 = 0, 'Aqueous Species Options'!P544, IF('Aqueous Species Table'!I544="", "", IF('Aqueous Species Options'!B544="H+", 0, ('Aqueous Species Options'!G544/41.8393 + 'Aqueous Species Table'!O544*100000*0.0000005903 - 'Aqueous Species Table'!I544/10 - 'Aqueous Species Table'!J544*100/2601)*(298.15-228) - ('Aqueous Species Table'!L544*10000/2601) ) ) ) )</f>
        <v/>
      </c>
      <c r="L544" s="1" t="str">
        <f>IF(ISBLANK('Aqueous Species Options'!B544), "", IF('Aqueous Species Options'!L544 = 0, 'Aqueous Species Options'!Q544, IF('Aqueous Species Table'!J544="", "", IF('Aqueous Species Options'!B544="H+", 0, (-4.134*'Aqueous Species Table'!J544*100 - 27790)*0.0001) ) ) )</f>
        <v/>
      </c>
      <c r="M544" s="1" t="str">
        <f>IF(ISBLANK('Aqueous Species Options'!B544), "", IF('Aqueous Species Options'!L544=0, 'Aqueous Species Options'!R544, IF('Aqueous Species Table'!N544="", "", IF('Aqueous Species Options'!B544="H+", 0, 'Aqueous Species Options'!H544 - 'Aqueous Species Table'!O544*100000*(-0.000000309)*298.15 - 'Aqueous Species Table'!N544*10000/(298.15-228)^2 ) ) ) )</f>
        <v/>
      </c>
      <c r="N544" s="1" t="str">
        <f>IF(ISBLANK('Aqueous Species Options'!B544), "", IF('Aqueous Species Options'!L544=0, 'Aqueous Species Options'!S544, IF(OR(ISBLANK('Aqueous Species Options'!H544), 'Aqueous Species Table'!O544=""), "", IF('Aqueous Species Options'!B544="H+", 0, 0.2037*'Aqueous Species Options'!H544 - 3.0346) ) ) )</f>
        <v/>
      </c>
      <c r="O544" s="1" t="str">
        <f>IF(ISBLANK('Aqueous Species Options'!B544), "", IF('Aqueous Species Options'!K544=0, 'Aqueous Species Options'!I544, IF(OR('Aqueous Species Options'!J544&gt;4,'Aqueous Species Options'!J544&lt;-4), "", IF('Aqueous Species Options'!B544="H+", 0, IF('Aqueous Species Options'!J544=0, -0.038, IF(ISBLANK('Aqueous Species Options'!F544), "", -1514.4*'Aqueous Species Options'!F544*0.00001 + SUM(({4,3,2,1,-1,-2,-3,-4}='Aqueous Species Options'!J544)*{2.1764,1.5793,1.0579,0.5517,1.6291,3.2127,4.8115,6.486}) ) ) ) ) ) )</f>
        <v/>
      </c>
      <c r="P544" s="1" t="str">
        <f>IF(ISBLANK('Aqueous Species Options'!J544), "", 'Aqueous Species Options'!J544)</f>
        <v/>
      </c>
      <c r="Q544" s="184" t="str">
        <f>IF(ISBLANK('Aqueous Species Options'!T544), "", 'Aqueous Species Options'!T544)</f>
        <v/>
      </c>
    </row>
    <row r="545" spans="2:17" ht="16" x14ac:dyDescent="0.2">
      <c r="B545" t="str">
        <f>IF(ISBLANK('Aqueous Species Options'!B545), "", 'Aqueous Species Options'!B545)</f>
        <v/>
      </c>
      <c r="C545" s="1" t="str">
        <f>IF(ISBLANK('Aqueous Species Options'!C545), "", 'Aqueous Species Options'!C545)</f>
        <v/>
      </c>
      <c r="D545" s="1" t="str">
        <f>IF(ISBLANK('Aqueous Species Options'!D545), "", 'Aqueous Species Options'!D545)</f>
        <v/>
      </c>
      <c r="E545" s="1" t="str">
        <f>IF(ISBLANK('Aqueous Species Options'!E545), "", 'Aqueous Species Options'!E545)</f>
        <v/>
      </c>
      <c r="F545" s="139" t="str">
        <f>IF(ISBLANK('Aqueous Species Options'!F545), "", 'Aqueous Species Options'!F545)</f>
        <v/>
      </c>
      <c r="G545" s="29" t="str">
        <f>IF(ISBLANK('Aqueous Species Options'!B545), "", IF('Aqueous Species Options'!L545 = 1, IF(ISBLANK('Aqueous Species Options'!G545), "", 'Aqueous Species Options'!G545), ('Aqueous Species Table'!I545/10 + ('Aqueous Species Table'!J545*100)/(Calculations!$C$12+Calculations!$C$9) + ('Aqueous Species Table'!K545 + ('Aqueous Species Table'!L545*10000)/(Calculations!$C$12+Calculations!$C$9))*(1/(Calculations!$C$8-Calculations!$C$13)) - 'Aqueous Species Table'!O545*100000*0.0000005903)*41.8393))</f>
        <v/>
      </c>
      <c r="H545" s="29" t="str">
        <f>IF(ISBLANK('Aqueous Species Options'!B545), "", IF('Aqueous Species Options'!L545 = 1, IF(ISBLANK('Aqueous Species Options'!H545), "", 'Aqueous Species Options'!H545), 'Aqueous Species Table'!M545 + 'Aqueous Species Table'!N545*10000*(1/(Calculations!$C$8-Calculations!$C$13))^2 + 'Aqueous Species Table'!O545*100000*Calculations!$C$8*Calculations!$C$7))</f>
        <v/>
      </c>
      <c r="I545" s="1" t="str">
        <f>IF(ISBLANK('Aqueous Species Options'!B545), "", IF('Aqueous Species Options'!L545=0, 'Aqueous Species Options'!N545, IF(OR(ISBLANK('Aqueous Species Options'!G545),'Aqueous Species Table'!O545="", 'Aqueous Species Table'!P545=""), "", IF('Aqueous Species Options'!B545="H+", 0, (CHOOSE('Aqueous Species Options'!M545+1,'Aqueous Species Options'!$V$4*ABS('Aqueous Species Table'!P545)+'Aqueous Species Options'!$W$4,'Aqueous Species Options'!$Z$4)*('Aqueous Species Options'!G545 + 'Aqueous Species Table'!O545*100000*0.0000005903*41.8393) + CHOOSE('Aqueous Species Options'!M545+1,'Aqueous Species Options'!$X$4*ABS('Aqueous Species Table'!P545)+'Aqueous Species Options'!$Y$4,'Aqueous Species Options'!$AA$4))*10 ) ) ) )</f>
        <v/>
      </c>
      <c r="J545" s="1" t="str">
        <f>IF(ISBLANK('Aqueous Species Options'!B545), "", IF('Aqueous Species Options'!L545 = 0, 'Aqueous Species Options'!O545, IF('Aqueous Species Table'!I545="", "", IF('Aqueous Species Options'!B545="H+", 0, ((1.11*('Aqueous Species Options'!G545 + 'Aqueous Species Table'!O545*100000*0.0000005903*41.8393)+1.8)/41.8393 - 'Aqueous Species Table'!I545/10)*26.01 ) ) ) )</f>
        <v/>
      </c>
      <c r="K545" s="1" t="str">
        <f>IF(ISBLANK('Aqueous Species Options'!B545), "", IF('Aqueous Species Options'!L545 = 0, 'Aqueous Species Options'!P545, IF('Aqueous Species Table'!I545="", "", IF('Aqueous Species Options'!B545="H+", 0, ('Aqueous Species Options'!G545/41.8393 + 'Aqueous Species Table'!O545*100000*0.0000005903 - 'Aqueous Species Table'!I545/10 - 'Aqueous Species Table'!J545*100/2601)*(298.15-228) - ('Aqueous Species Table'!L545*10000/2601) ) ) ) )</f>
        <v/>
      </c>
      <c r="L545" s="1" t="str">
        <f>IF(ISBLANK('Aqueous Species Options'!B545), "", IF('Aqueous Species Options'!L545 = 0, 'Aqueous Species Options'!Q545, IF('Aqueous Species Table'!J545="", "", IF('Aqueous Species Options'!B545="H+", 0, (-4.134*'Aqueous Species Table'!J545*100 - 27790)*0.0001) ) ) )</f>
        <v/>
      </c>
      <c r="M545" s="1" t="str">
        <f>IF(ISBLANK('Aqueous Species Options'!B545), "", IF('Aqueous Species Options'!L545=0, 'Aqueous Species Options'!R545, IF('Aqueous Species Table'!N545="", "", IF('Aqueous Species Options'!B545="H+", 0, 'Aqueous Species Options'!H545 - 'Aqueous Species Table'!O545*100000*(-0.000000309)*298.15 - 'Aqueous Species Table'!N545*10000/(298.15-228)^2 ) ) ) )</f>
        <v/>
      </c>
      <c r="N545" s="1" t="str">
        <f>IF(ISBLANK('Aqueous Species Options'!B545), "", IF('Aqueous Species Options'!L545=0, 'Aqueous Species Options'!S545, IF(OR(ISBLANK('Aqueous Species Options'!H545), 'Aqueous Species Table'!O545=""), "", IF('Aqueous Species Options'!B545="H+", 0, 0.2037*'Aqueous Species Options'!H545 - 3.0346) ) ) )</f>
        <v/>
      </c>
      <c r="O545" s="1" t="str">
        <f>IF(ISBLANK('Aqueous Species Options'!B545), "", IF('Aqueous Species Options'!K545=0, 'Aqueous Species Options'!I545, IF(OR('Aqueous Species Options'!J545&gt;4,'Aqueous Species Options'!J545&lt;-4), "", IF('Aqueous Species Options'!B545="H+", 0, IF('Aqueous Species Options'!J545=0, -0.038, IF(ISBLANK('Aqueous Species Options'!F545), "", -1514.4*'Aqueous Species Options'!F545*0.00001 + SUM(({4,3,2,1,-1,-2,-3,-4}='Aqueous Species Options'!J545)*{2.1764,1.5793,1.0579,0.5517,1.6291,3.2127,4.8115,6.486}) ) ) ) ) ) )</f>
        <v/>
      </c>
      <c r="P545" s="1" t="str">
        <f>IF(ISBLANK('Aqueous Species Options'!J545), "", 'Aqueous Species Options'!J545)</f>
        <v/>
      </c>
      <c r="Q545" s="184" t="str">
        <f>IF(ISBLANK('Aqueous Species Options'!T545), "", 'Aqueous Species Options'!T545)</f>
        <v/>
      </c>
    </row>
    <row r="546" spans="2:17" ht="16" x14ac:dyDescent="0.2">
      <c r="B546" t="str">
        <f>IF(ISBLANK('Aqueous Species Options'!B546), "", 'Aqueous Species Options'!B546)</f>
        <v/>
      </c>
      <c r="C546" s="1" t="str">
        <f>IF(ISBLANK('Aqueous Species Options'!C546), "", 'Aqueous Species Options'!C546)</f>
        <v/>
      </c>
      <c r="D546" s="1" t="str">
        <f>IF(ISBLANK('Aqueous Species Options'!D546), "", 'Aqueous Species Options'!D546)</f>
        <v/>
      </c>
      <c r="E546" s="1" t="str">
        <f>IF(ISBLANK('Aqueous Species Options'!E546), "", 'Aqueous Species Options'!E546)</f>
        <v/>
      </c>
      <c r="F546" s="139" t="str">
        <f>IF(ISBLANK('Aqueous Species Options'!F546), "", 'Aqueous Species Options'!F546)</f>
        <v/>
      </c>
      <c r="G546" s="29" t="str">
        <f>IF(ISBLANK('Aqueous Species Options'!B546), "", IF('Aqueous Species Options'!L546 = 1, IF(ISBLANK('Aqueous Species Options'!G546), "", 'Aqueous Species Options'!G546), ('Aqueous Species Table'!I546/10 + ('Aqueous Species Table'!J546*100)/(Calculations!$C$12+Calculations!$C$9) + ('Aqueous Species Table'!K546 + ('Aqueous Species Table'!L546*10000)/(Calculations!$C$12+Calculations!$C$9))*(1/(Calculations!$C$8-Calculations!$C$13)) - 'Aqueous Species Table'!O546*100000*0.0000005903)*41.8393))</f>
        <v/>
      </c>
      <c r="H546" s="29" t="str">
        <f>IF(ISBLANK('Aqueous Species Options'!B546), "", IF('Aqueous Species Options'!L546 = 1, IF(ISBLANK('Aqueous Species Options'!H546), "", 'Aqueous Species Options'!H546), 'Aqueous Species Table'!M546 + 'Aqueous Species Table'!N546*10000*(1/(Calculations!$C$8-Calculations!$C$13))^2 + 'Aqueous Species Table'!O546*100000*Calculations!$C$8*Calculations!$C$7))</f>
        <v/>
      </c>
      <c r="I546" s="1" t="str">
        <f>IF(ISBLANK('Aqueous Species Options'!B546), "", IF('Aqueous Species Options'!L546=0, 'Aqueous Species Options'!N546, IF(OR(ISBLANK('Aqueous Species Options'!G546),'Aqueous Species Table'!O546="", 'Aqueous Species Table'!P546=""), "", IF('Aqueous Species Options'!B546="H+", 0, (CHOOSE('Aqueous Species Options'!M546+1,'Aqueous Species Options'!$V$4*ABS('Aqueous Species Table'!P546)+'Aqueous Species Options'!$W$4,'Aqueous Species Options'!$Z$4)*('Aqueous Species Options'!G546 + 'Aqueous Species Table'!O546*100000*0.0000005903*41.8393) + CHOOSE('Aqueous Species Options'!M546+1,'Aqueous Species Options'!$X$4*ABS('Aqueous Species Table'!P546)+'Aqueous Species Options'!$Y$4,'Aqueous Species Options'!$AA$4))*10 ) ) ) )</f>
        <v/>
      </c>
      <c r="J546" s="1" t="str">
        <f>IF(ISBLANK('Aqueous Species Options'!B546), "", IF('Aqueous Species Options'!L546 = 0, 'Aqueous Species Options'!O546, IF('Aqueous Species Table'!I546="", "", IF('Aqueous Species Options'!B546="H+", 0, ((1.11*('Aqueous Species Options'!G546 + 'Aqueous Species Table'!O546*100000*0.0000005903*41.8393)+1.8)/41.8393 - 'Aqueous Species Table'!I546/10)*26.01 ) ) ) )</f>
        <v/>
      </c>
      <c r="K546" s="1" t="str">
        <f>IF(ISBLANK('Aqueous Species Options'!B546), "", IF('Aqueous Species Options'!L546 = 0, 'Aqueous Species Options'!P546, IF('Aqueous Species Table'!I546="", "", IF('Aqueous Species Options'!B546="H+", 0, ('Aqueous Species Options'!G546/41.8393 + 'Aqueous Species Table'!O546*100000*0.0000005903 - 'Aqueous Species Table'!I546/10 - 'Aqueous Species Table'!J546*100/2601)*(298.15-228) - ('Aqueous Species Table'!L546*10000/2601) ) ) ) )</f>
        <v/>
      </c>
      <c r="L546" s="1" t="str">
        <f>IF(ISBLANK('Aqueous Species Options'!B546), "", IF('Aqueous Species Options'!L546 = 0, 'Aqueous Species Options'!Q546, IF('Aqueous Species Table'!J546="", "", IF('Aqueous Species Options'!B546="H+", 0, (-4.134*'Aqueous Species Table'!J546*100 - 27790)*0.0001) ) ) )</f>
        <v/>
      </c>
      <c r="M546" s="1" t="str">
        <f>IF(ISBLANK('Aqueous Species Options'!B546), "", IF('Aqueous Species Options'!L546=0, 'Aqueous Species Options'!R546, IF('Aqueous Species Table'!N546="", "", IF('Aqueous Species Options'!B546="H+", 0, 'Aqueous Species Options'!H546 - 'Aqueous Species Table'!O546*100000*(-0.000000309)*298.15 - 'Aqueous Species Table'!N546*10000/(298.15-228)^2 ) ) ) )</f>
        <v/>
      </c>
      <c r="N546" s="1" t="str">
        <f>IF(ISBLANK('Aqueous Species Options'!B546), "", IF('Aqueous Species Options'!L546=0, 'Aqueous Species Options'!S546, IF(OR(ISBLANK('Aqueous Species Options'!H546), 'Aqueous Species Table'!O546=""), "", IF('Aqueous Species Options'!B546="H+", 0, 0.2037*'Aqueous Species Options'!H546 - 3.0346) ) ) )</f>
        <v/>
      </c>
      <c r="O546" s="1" t="str">
        <f>IF(ISBLANK('Aqueous Species Options'!B546), "", IF('Aqueous Species Options'!K546=0, 'Aqueous Species Options'!I546, IF(OR('Aqueous Species Options'!J546&gt;4,'Aqueous Species Options'!J546&lt;-4), "", IF('Aqueous Species Options'!B546="H+", 0, IF('Aqueous Species Options'!J546=0, -0.038, IF(ISBLANK('Aqueous Species Options'!F546), "", -1514.4*'Aqueous Species Options'!F546*0.00001 + SUM(({4,3,2,1,-1,-2,-3,-4}='Aqueous Species Options'!J546)*{2.1764,1.5793,1.0579,0.5517,1.6291,3.2127,4.8115,6.486}) ) ) ) ) ) )</f>
        <v/>
      </c>
      <c r="P546" s="1" t="str">
        <f>IF(ISBLANK('Aqueous Species Options'!J546), "", 'Aqueous Species Options'!J546)</f>
        <v/>
      </c>
      <c r="Q546" s="184" t="str">
        <f>IF(ISBLANK('Aqueous Species Options'!T546), "", 'Aqueous Species Options'!T546)</f>
        <v/>
      </c>
    </row>
    <row r="547" spans="2:17" ht="16" x14ac:dyDescent="0.2">
      <c r="B547" t="str">
        <f>IF(ISBLANK('Aqueous Species Options'!B547), "", 'Aqueous Species Options'!B547)</f>
        <v/>
      </c>
      <c r="C547" s="1" t="str">
        <f>IF(ISBLANK('Aqueous Species Options'!C547), "", 'Aqueous Species Options'!C547)</f>
        <v/>
      </c>
      <c r="D547" s="1" t="str">
        <f>IF(ISBLANK('Aqueous Species Options'!D547), "", 'Aqueous Species Options'!D547)</f>
        <v/>
      </c>
      <c r="E547" s="1" t="str">
        <f>IF(ISBLANK('Aqueous Species Options'!E547), "", 'Aqueous Species Options'!E547)</f>
        <v/>
      </c>
      <c r="F547" s="139" t="str">
        <f>IF(ISBLANK('Aqueous Species Options'!F547), "", 'Aqueous Species Options'!F547)</f>
        <v/>
      </c>
      <c r="G547" s="29" t="str">
        <f>IF(ISBLANK('Aqueous Species Options'!B547), "", IF('Aqueous Species Options'!L547 = 1, IF(ISBLANK('Aqueous Species Options'!G547), "", 'Aqueous Species Options'!G547), ('Aqueous Species Table'!I547/10 + ('Aqueous Species Table'!J547*100)/(Calculations!$C$12+Calculations!$C$9) + ('Aqueous Species Table'!K547 + ('Aqueous Species Table'!L547*10000)/(Calculations!$C$12+Calculations!$C$9))*(1/(Calculations!$C$8-Calculations!$C$13)) - 'Aqueous Species Table'!O547*100000*0.0000005903)*41.8393))</f>
        <v/>
      </c>
      <c r="H547" s="29" t="str">
        <f>IF(ISBLANK('Aqueous Species Options'!B547), "", IF('Aqueous Species Options'!L547 = 1, IF(ISBLANK('Aqueous Species Options'!H547), "", 'Aqueous Species Options'!H547), 'Aqueous Species Table'!M547 + 'Aqueous Species Table'!N547*10000*(1/(Calculations!$C$8-Calculations!$C$13))^2 + 'Aqueous Species Table'!O547*100000*Calculations!$C$8*Calculations!$C$7))</f>
        <v/>
      </c>
      <c r="I547" s="1" t="str">
        <f>IF(ISBLANK('Aqueous Species Options'!B547), "", IF('Aqueous Species Options'!L547=0, 'Aqueous Species Options'!N547, IF(OR(ISBLANK('Aqueous Species Options'!G547),'Aqueous Species Table'!O547="", 'Aqueous Species Table'!P547=""), "", IF('Aqueous Species Options'!B547="H+", 0, (CHOOSE('Aqueous Species Options'!M547+1,'Aqueous Species Options'!$V$4*ABS('Aqueous Species Table'!P547)+'Aqueous Species Options'!$W$4,'Aqueous Species Options'!$Z$4)*('Aqueous Species Options'!G547 + 'Aqueous Species Table'!O547*100000*0.0000005903*41.8393) + CHOOSE('Aqueous Species Options'!M547+1,'Aqueous Species Options'!$X$4*ABS('Aqueous Species Table'!P547)+'Aqueous Species Options'!$Y$4,'Aqueous Species Options'!$AA$4))*10 ) ) ) )</f>
        <v/>
      </c>
      <c r="J547" s="1" t="str">
        <f>IF(ISBLANK('Aqueous Species Options'!B547), "", IF('Aqueous Species Options'!L547 = 0, 'Aqueous Species Options'!O547, IF('Aqueous Species Table'!I547="", "", IF('Aqueous Species Options'!B547="H+", 0, ((1.11*('Aqueous Species Options'!G547 + 'Aqueous Species Table'!O547*100000*0.0000005903*41.8393)+1.8)/41.8393 - 'Aqueous Species Table'!I547/10)*26.01 ) ) ) )</f>
        <v/>
      </c>
      <c r="K547" s="1" t="str">
        <f>IF(ISBLANK('Aqueous Species Options'!B547), "", IF('Aqueous Species Options'!L547 = 0, 'Aqueous Species Options'!P547, IF('Aqueous Species Table'!I547="", "", IF('Aqueous Species Options'!B547="H+", 0, ('Aqueous Species Options'!G547/41.8393 + 'Aqueous Species Table'!O547*100000*0.0000005903 - 'Aqueous Species Table'!I547/10 - 'Aqueous Species Table'!J547*100/2601)*(298.15-228) - ('Aqueous Species Table'!L547*10000/2601) ) ) ) )</f>
        <v/>
      </c>
      <c r="L547" s="1" t="str">
        <f>IF(ISBLANK('Aqueous Species Options'!B547), "", IF('Aqueous Species Options'!L547 = 0, 'Aqueous Species Options'!Q547, IF('Aqueous Species Table'!J547="", "", IF('Aqueous Species Options'!B547="H+", 0, (-4.134*'Aqueous Species Table'!J547*100 - 27790)*0.0001) ) ) )</f>
        <v/>
      </c>
      <c r="M547" s="1" t="str">
        <f>IF(ISBLANK('Aqueous Species Options'!B547), "", IF('Aqueous Species Options'!L547=0, 'Aqueous Species Options'!R547, IF('Aqueous Species Table'!N547="", "", IF('Aqueous Species Options'!B547="H+", 0, 'Aqueous Species Options'!H547 - 'Aqueous Species Table'!O547*100000*(-0.000000309)*298.15 - 'Aqueous Species Table'!N547*10000/(298.15-228)^2 ) ) ) )</f>
        <v/>
      </c>
      <c r="N547" s="1" t="str">
        <f>IF(ISBLANK('Aqueous Species Options'!B547), "", IF('Aqueous Species Options'!L547=0, 'Aqueous Species Options'!S547, IF(OR(ISBLANK('Aqueous Species Options'!H547), 'Aqueous Species Table'!O547=""), "", IF('Aqueous Species Options'!B547="H+", 0, 0.2037*'Aqueous Species Options'!H547 - 3.0346) ) ) )</f>
        <v/>
      </c>
      <c r="O547" s="1" t="str">
        <f>IF(ISBLANK('Aqueous Species Options'!B547), "", IF('Aqueous Species Options'!K547=0, 'Aqueous Species Options'!I547, IF(OR('Aqueous Species Options'!J547&gt;4,'Aqueous Species Options'!J547&lt;-4), "", IF('Aqueous Species Options'!B547="H+", 0, IF('Aqueous Species Options'!J547=0, -0.038, IF(ISBLANK('Aqueous Species Options'!F547), "", -1514.4*'Aqueous Species Options'!F547*0.00001 + SUM(({4,3,2,1,-1,-2,-3,-4}='Aqueous Species Options'!J547)*{2.1764,1.5793,1.0579,0.5517,1.6291,3.2127,4.8115,6.486}) ) ) ) ) ) )</f>
        <v/>
      </c>
      <c r="P547" s="1" t="str">
        <f>IF(ISBLANK('Aqueous Species Options'!J547), "", 'Aqueous Species Options'!J547)</f>
        <v/>
      </c>
      <c r="Q547" s="184" t="str">
        <f>IF(ISBLANK('Aqueous Species Options'!T547), "", 'Aqueous Species Options'!T547)</f>
        <v/>
      </c>
    </row>
    <row r="548" spans="2:17" ht="16" x14ac:dyDescent="0.2">
      <c r="B548" t="str">
        <f>IF(ISBLANK('Aqueous Species Options'!B548), "", 'Aqueous Species Options'!B548)</f>
        <v/>
      </c>
      <c r="C548" s="1" t="str">
        <f>IF(ISBLANK('Aqueous Species Options'!C548), "", 'Aqueous Species Options'!C548)</f>
        <v/>
      </c>
      <c r="D548" s="1" t="str">
        <f>IF(ISBLANK('Aqueous Species Options'!D548), "", 'Aqueous Species Options'!D548)</f>
        <v/>
      </c>
      <c r="E548" s="1" t="str">
        <f>IF(ISBLANK('Aqueous Species Options'!E548), "", 'Aqueous Species Options'!E548)</f>
        <v/>
      </c>
      <c r="F548" s="139" t="str">
        <f>IF(ISBLANK('Aqueous Species Options'!F548), "", 'Aqueous Species Options'!F548)</f>
        <v/>
      </c>
      <c r="G548" s="29" t="str">
        <f>IF(ISBLANK('Aqueous Species Options'!B548), "", IF('Aqueous Species Options'!L548 = 1, IF(ISBLANK('Aqueous Species Options'!G548), "", 'Aqueous Species Options'!G548), ('Aqueous Species Table'!I548/10 + ('Aqueous Species Table'!J548*100)/(Calculations!$C$12+Calculations!$C$9) + ('Aqueous Species Table'!K548 + ('Aqueous Species Table'!L548*10000)/(Calculations!$C$12+Calculations!$C$9))*(1/(Calculations!$C$8-Calculations!$C$13)) - 'Aqueous Species Table'!O548*100000*0.0000005903)*41.8393))</f>
        <v/>
      </c>
      <c r="H548" s="29" t="str">
        <f>IF(ISBLANK('Aqueous Species Options'!B548), "", IF('Aqueous Species Options'!L548 = 1, IF(ISBLANK('Aqueous Species Options'!H548), "", 'Aqueous Species Options'!H548), 'Aqueous Species Table'!M548 + 'Aqueous Species Table'!N548*10000*(1/(Calculations!$C$8-Calculations!$C$13))^2 + 'Aqueous Species Table'!O548*100000*Calculations!$C$8*Calculations!$C$7))</f>
        <v/>
      </c>
      <c r="I548" s="1" t="str">
        <f>IF(ISBLANK('Aqueous Species Options'!B548), "", IF('Aqueous Species Options'!L548=0, 'Aqueous Species Options'!N548, IF(OR(ISBLANK('Aqueous Species Options'!G548),'Aqueous Species Table'!O548="", 'Aqueous Species Table'!P548=""), "", IF('Aqueous Species Options'!B548="H+", 0, (CHOOSE('Aqueous Species Options'!M548+1,'Aqueous Species Options'!$V$4*ABS('Aqueous Species Table'!P548)+'Aqueous Species Options'!$W$4,'Aqueous Species Options'!$Z$4)*('Aqueous Species Options'!G548 + 'Aqueous Species Table'!O548*100000*0.0000005903*41.8393) + CHOOSE('Aqueous Species Options'!M548+1,'Aqueous Species Options'!$X$4*ABS('Aqueous Species Table'!P548)+'Aqueous Species Options'!$Y$4,'Aqueous Species Options'!$AA$4))*10 ) ) ) )</f>
        <v/>
      </c>
      <c r="J548" s="1" t="str">
        <f>IF(ISBLANK('Aqueous Species Options'!B548), "", IF('Aqueous Species Options'!L548 = 0, 'Aqueous Species Options'!O548, IF('Aqueous Species Table'!I548="", "", IF('Aqueous Species Options'!B548="H+", 0, ((1.11*('Aqueous Species Options'!G548 + 'Aqueous Species Table'!O548*100000*0.0000005903*41.8393)+1.8)/41.8393 - 'Aqueous Species Table'!I548/10)*26.01 ) ) ) )</f>
        <v/>
      </c>
      <c r="K548" s="1" t="str">
        <f>IF(ISBLANK('Aqueous Species Options'!B548), "", IF('Aqueous Species Options'!L548 = 0, 'Aqueous Species Options'!P548, IF('Aqueous Species Table'!I548="", "", IF('Aqueous Species Options'!B548="H+", 0, ('Aqueous Species Options'!G548/41.8393 + 'Aqueous Species Table'!O548*100000*0.0000005903 - 'Aqueous Species Table'!I548/10 - 'Aqueous Species Table'!J548*100/2601)*(298.15-228) - ('Aqueous Species Table'!L548*10000/2601) ) ) ) )</f>
        <v/>
      </c>
      <c r="L548" s="1" t="str">
        <f>IF(ISBLANK('Aqueous Species Options'!B548), "", IF('Aqueous Species Options'!L548 = 0, 'Aqueous Species Options'!Q548, IF('Aqueous Species Table'!J548="", "", IF('Aqueous Species Options'!B548="H+", 0, (-4.134*'Aqueous Species Table'!J548*100 - 27790)*0.0001) ) ) )</f>
        <v/>
      </c>
      <c r="M548" s="1" t="str">
        <f>IF(ISBLANK('Aqueous Species Options'!B548), "", IF('Aqueous Species Options'!L548=0, 'Aqueous Species Options'!R548, IF('Aqueous Species Table'!N548="", "", IF('Aqueous Species Options'!B548="H+", 0, 'Aqueous Species Options'!H548 - 'Aqueous Species Table'!O548*100000*(-0.000000309)*298.15 - 'Aqueous Species Table'!N548*10000/(298.15-228)^2 ) ) ) )</f>
        <v/>
      </c>
      <c r="N548" s="1" t="str">
        <f>IF(ISBLANK('Aqueous Species Options'!B548), "", IF('Aqueous Species Options'!L548=0, 'Aqueous Species Options'!S548, IF(OR(ISBLANK('Aqueous Species Options'!H548), 'Aqueous Species Table'!O548=""), "", IF('Aqueous Species Options'!B548="H+", 0, 0.2037*'Aqueous Species Options'!H548 - 3.0346) ) ) )</f>
        <v/>
      </c>
      <c r="O548" s="1" t="str">
        <f>IF(ISBLANK('Aqueous Species Options'!B548), "", IF('Aqueous Species Options'!K548=0, 'Aqueous Species Options'!I548, IF(OR('Aqueous Species Options'!J548&gt;4,'Aqueous Species Options'!J548&lt;-4), "", IF('Aqueous Species Options'!B548="H+", 0, IF('Aqueous Species Options'!J548=0, -0.038, IF(ISBLANK('Aqueous Species Options'!F548), "", -1514.4*'Aqueous Species Options'!F548*0.00001 + SUM(({4,3,2,1,-1,-2,-3,-4}='Aqueous Species Options'!J548)*{2.1764,1.5793,1.0579,0.5517,1.6291,3.2127,4.8115,6.486}) ) ) ) ) ) )</f>
        <v/>
      </c>
      <c r="P548" s="1" t="str">
        <f>IF(ISBLANK('Aqueous Species Options'!J548), "", 'Aqueous Species Options'!J548)</f>
        <v/>
      </c>
      <c r="Q548" s="184" t="str">
        <f>IF(ISBLANK('Aqueous Species Options'!T548), "", 'Aqueous Species Options'!T548)</f>
        <v/>
      </c>
    </row>
    <row r="549" spans="2:17" ht="16" x14ac:dyDescent="0.2">
      <c r="B549" t="str">
        <f>IF(ISBLANK('Aqueous Species Options'!B549), "", 'Aqueous Species Options'!B549)</f>
        <v/>
      </c>
      <c r="C549" s="1" t="str">
        <f>IF(ISBLANK('Aqueous Species Options'!C549), "", 'Aqueous Species Options'!C549)</f>
        <v/>
      </c>
      <c r="D549" s="1" t="str">
        <f>IF(ISBLANK('Aqueous Species Options'!D549), "", 'Aqueous Species Options'!D549)</f>
        <v/>
      </c>
      <c r="E549" s="1" t="str">
        <f>IF(ISBLANK('Aqueous Species Options'!E549), "", 'Aqueous Species Options'!E549)</f>
        <v/>
      </c>
      <c r="F549" s="139" t="str">
        <f>IF(ISBLANK('Aqueous Species Options'!F549), "", 'Aqueous Species Options'!F549)</f>
        <v/>
      </c>
      <c r="G549" s="29" t="str">
        <f>IF(ISBLANK('Aqueous Species Options'!B549), "", IF('Aqueous Species Options'!L549 = 1, IF(ISBLANK('Aqueous Species Options'!G549), "", 'Aqueous Species Options'!G549), ('Aqueous Species Table'!I549/10 + ('Aqueous Species Table'!J549*100)/(Calculations!$C$12+Calculations!$C$9) + ('Aqueous Species Table'!K549 + ('Aqueous Species Table'!L549*10000)/(Calculations!$C$12+Calculations!$C$9))*(1/(Calculations!$C$8-Calculations!$C$13)) - 'Aqueous Species Table'!O549*100000*0.0000005903)*41.8393))</f>
        <v/>
      </c>
      <c r="H549" s="29" t="str">
        <f>IF(ISBLANK('Aqueous Species Options'!B549), "", IF('Aqueous Species Options'!L549 = 1, IF(ISBLANK('Aqueous Species Options'!H549), "", 'Aqueous Species Options'!H549), 'Aqueous Species Table'!M549 + 'Aqueous Species Table'!N549*10000*(1/(Calculations!$C$8-Calculations!$C$13))^2 + 'Aqueous Species Table'!O549*100000*Calculations!$C$8*Calculations!$C$7))</f>
        <v/>
      </c>
      <c r="I549" s="1" t="str">
        <f>IF(ISBLANK('Aqueous Species Options'!B549), "", IF('Aqueous Species Options'!L549=0, 'Aqueous Species Options'!N549, IF(OR(ISBLANK('Aqueous Species Options'!G549),'Aqueous Species Table'!O549="", 'Aqueous Species Table'!P549=""), "", IF('Aqueous Species Options'!B549="H+", 0, (CHOOSE('Aqueous Species Options'!M549+1,'Aqueous Species Options'!$V$4*ABS('Aqueous Species Table'!P549)+'Aqueous Species Options'!$W$4,'Aqueous Species Options'!$Z$4)*('Aqueous Species Options'!G549 + 'Aqueous Species Table'!O549*100000*0.0000005903*41.8393) + CHOOSE('Aqueous Species Options'!M549+1,'Aqueous Species Options'!$X$4*ABS('Aqueous Species Table'!P549)+'Aqueous Species Options'!$Y$4,'Aqueous Species Options'!$AA$4))*10 ) ) ) )</f>
        <v/>
      </c>
      <c r="J549" s="1" t="str">
        <f>IF(ISBLANK('Aqueous Species Options'!B549), "", IF('Aqueous Species Options'!L549 = 0, 'Aqueous Species Options'!O549, IF('Aqueous Species Table'!I549="", "", IF('Aqueous Species Options'!B549="H+", 0, ((1.11*('Aqueous Species Options'!G549 + 'Aqueous Species Table'!O549*100000*0.0000005903*41.8393)+1.8)/41.8393 - 'Aqueous Species Table'!I549/10)*26.01 ) ) ) )</f>
        <v/>
      </c>
      <c r="K549" s="1" t="str">
        <f>IF(ISBLANK('Aqueous Species Options'!B549), "", IF('Aqueous Species Options'!L549 = 0, 'Aqueous Species Options'!P549, IF('Aqueous Species Table'!I549="", "", IF('Aqueous Species Options'!B549="H+", 0, ('Aqueous Species Options'!G549/41.8393 + 'Aqueous Species Table'!O549*100000*0.0000005903 - 'Aqueous Species Table'!I549/10 - 'Aqueous Species Table'!J549*100/2601)*(298.15-228) - ('Aqueous Species Table'!L549*10000/2601) ) ) ) )</f>
        <v/>
      </c>
      <c r="L549" s="1" t="str">
        <f>IF(ISBLANK('Aqueous Species Options'!B549), "", IF('Aqueous Species Options'!L549 = 0, 'Aqueous Species Options'!Q549, IF('Aqueous Species Table'!J549="", "", IF('Aqueous Species Options'!B549="H+", 0, (-4.134*'Aqueous Species Table'!J549*100 - 27790)*0.0001) ) ) )</f>
        <v/>
      </c>
      <c r="M549" s="1" t="str">
        <f>IF(ISBLANK('Aqueous Species Options'!B549), "", IF('Aqueous Species Options'!L549=0, 'Aqueous Species Options'!R549, IF('Aqueous Species Table'!N549="", "", IF('Aqueous Species Options'!B549="H+", 0, 'Aqueous Species Options'!H549 - 'Aqueous Species Table'!O549*100000*(-0.000000309)*298.15 - 'Aqueous Species Table'!N549*10000/(298.15-228)^2 ) ) ) )</f>
        <v/>
      </c>
      <c r="N549" s="1" t="str">
        <f>IF(ISBLANK('Aqueous Species Options'!B549), "", IF('Aqueous Species Options'!L549=0, 'Aqueous Species Options'!S549, IF(OR(ISBLANK('Aqueous Species Options'!H549), 'Aqueous Species Table'!O549=""), "", IF('Aqueous Species Options'!B549="H+", 0, 0.2037*'Aqueous Species Options'!H549 - 3.0346) ) ) )</f>
        <v/>
      </c>
      <c r="O549" s="1" t="str">
        <f>IF(ISBLANK('Aqueous Species Options'!B549), "", IF('Aqueous Species Options'!K549=0, 'Aqueous Species Options'!I549, IF(OR('Aqueous Species Options'!J549&gt;4,'Aqueous Species Options'!J549&lt;-4), "", IF('Aqueous Species Options'!B549="H+", 0, IF('Aqueous Species Options'!J549=0, -0.038, IF(ISBLANK('Aqueous Species Options'!F549), "", -1514.4*'Aqueous Species Options'!F549*0.00001 + SUM(({4,3,2,1,-1,-2,-3,-4}='Aqueous Species Options'!J549)*{2.1764,1.5793,1.0579,0.5517,1.6291,3.2127,4.8115,6.486}) ) ) ) ) ) )</f>
        <v/>
      </c>
      <c r="P549" s="1" t="str">
        <f>IF(ISBLANK('Aqueous Species Options'!J549), "", 'Aqueous Species Options'!J549)</f>
        <v/>
      </c>
      <c r="Q549" s="184" t="str">
        <f>IF(ISBLANK('Aqueous Species Options'!T549), "", 'Aqueous Species Options'!T549)</f>
        <v/>
      </c>
    </row>
    <row r="550" spans="2:17" ht="16" x14ac:dyDescent="0.2">
      <c r="B550" t="str">
        <f>IF(ISBLANK('Aqueous Species Options'!B550), "", 'Aqueous Species Options'!B550)</f>
        <v/>
      </c>
      <c r="C550" s="1" t="str">
        <f>IF(ISBLANK('Aqueous Species Options'!C550), "", 'Aqueous Species Options'!C550)</f>
        <v/>
      </c>
      <c r="D550" s="1" t="str">
        <f>IF(ISBLANK('Aqueous Species Options'!D550), "", 'Aqueous Species Options'!D550)</f>
        <v/>
      </c>
      <c r="E550" s="1" t="str">
        <f>IF(ISBLANK('Aqueous Species Options'!E550), "", 'Aqueous Species Options'!E550)</f>
        <v/>
      </c>
      <c r="F550" s="139" t="str">
        <f>IF(ISBLANK('Aqueous Species Options'!F550), "", 'Aqueous Species Options'!F550)</f>
        <v/>
      </c>
      <c r="G550" s="29" t="str">
        <f>IF(ISBLANK('Aqueous Species Options'!B550), "", IF('Aqueous Species Options'!L550 = 1, IF(ISBLANK('Aqueous Species Options'!G550), "", 'Aqueous Species Options'!G550), ('Aqueous Species Table'!I550/10 + ('Aqueous Species Table'!J550*100)/(Calculations!$C$12+Calculations!$C$9) + ('Aqueous Species Table'!K550 + ('Aqueous Species Table'!L550*10000)/(Calculations!$C$12+Calculations!$C$9))*(1/(Calculations!$C$8-Calculations!$C$13)) - 'Aqueous Species Table'!O550*100000*0.0000005903)*41.8393))</f>
        <v/>
      </c>
      <c r="H550" s="29" t="str">
        <f>IF(ISBLANK('Aqueous Species Options'!B550), "", IF('Aqueous Species Options'!L550 = 1, IF(ISBLANK('Aqueous Species Options'!H550), "", 'Aqueous Species Options'!H550), 'Aqueous Species Table'!M550 + 'Aqueous Species Table'!N550*10000*(1/(Calculations!$C$8-Calculations!$C$13))^2 + 'Aqueous Species Table'!O550*100000*Calculations!$C$8*Calculations!$C$7))</f>
        <v/>
      </c>
      <c r="I550" s="1" t="str">
        <f>IF(ISBLANK('Aqueous Species Options'!B550), "", IF('Aqueous Species Options'!L550=0, 'Aqueous Species Options'!N550, IF(OR(ISBLANK('Aqueous Species Options'!G550),'Aqueous Species Table'!O550="", 'Aqueous Species Table'!P550=""), "", IF('Aqueous Species Options'!B550="H+", 0, (CHOOSE('Aqueous Species Options'!M550+1,'Aqueous Species Options'!$V$4*ABS('Aqueous Species Table'!P550)+'Aqueous Species Options'!$W$4,'Aqueous Species Options'!$Z$4)*('Aqueous Species Options'!G550 + 'Aqueous Species Table'!O550*100000*0.0000005903*41.8393) + CHOOSE('Aqueous Species Options'!M550+1,'Aqueous Species Options'!$X$4*ABS('Aqueous Species Table'!P550)+'Aqueous Species Options'!$Y$4,'Aqueous Species Options'!$AA$4))*10 ) ) ) )</f>
        <v/>
      </c>
      <c r="J550" s="1" t="str">
        <f>IF(ISBLANK('Aqueous Species Options'!B550), "", IF('Aqueous Species Options'!L550 = 0, 'Aqueous Species Options'!O550, IF('Aqueous Species Table'!I550="", "", IF('Aqueous Species Options'!B550="H+", 0, ((1.11*('Aqueous Species Options'!G550 + 'Aqueous Species Table'!O550*100000*0.0000005903*41.8393)+1.8)/41.8393 - 'Aqueous Species Table'!I550/10)*26.01 ) ) ) )</f>
        <v/>
      </c>
      <c r="K550" s="1" t="str">
        <f>IF(ISBLANK('Aqueous Species Options'!B550), "", IF('Aqueous Species Options'!L550 = 0, 'Aqueous Species Options'!P550, IF('Aqueous Species Table'!I550="", "", IF('Aqueous Species Options'!B550="H+", 0, ('Aqueous Species Options'!G550/41.8393 + 'Aqueous Species Table'!O550*100000*0.0000005903 - 'Aqueous Species Table'!I550/10 - 'Aqueous Species Table'!J550*100/2601)*(298.15-228) - ('Aqueous Species Table'!L550*10000/2601) ) ) ) )</f>
        <v/>
      </c>
      <c r="L550" s="1" t="str">
        <f>IF(ISBLANK('Aqueous Species Options'!B550), "", IF('Aqueous Species Options'!L550 = 0, 'Aqueous Species Options'!Q550, IF('Aqueous Species Table'!J550="", "", IF('Aqueous Species Options'!B550="H+", 0, (-4.134*'Aqueous Species Table'!J550*100 - 27790)*0.0001) ) ) )</f>
        <v/>
      </c>
      <c r="M550" s="1" t="str">
        <f>IF(ISBLANK('Aqueous Species Options'!B550), "", IF('Aqueous Species Options'!L550=0, 'Aqueous Species Options'!R550, IF('Aqueous Species Table'!N550="", "", IF('Aqueous Species Options'!B550="H+", 0, 'Aqueous Species Options'!H550 - 'Aqueous Species Table'!O550*100000*(-0.000000309)*298.15 - 'Aqueous Species Table'!N550*10000/(298.15-228)^2 ) ) ) )</f>
        <v/>
      </c>
      <c r="N550" s="1" t="str">
        <f>IF(ISBLANK('Aqueous Species Options'!B550), "", IF('Aqueous Species Options'!L550=0, 'Aqueous Species Options'!S550, IF(OR(ISBLANK('Aqueous Species Options'!H550), 'Aqueous Species Table'!O550=""), "", IF('Aqueous Species Options'!B550="H+", 0, 0.2037*'Aqueous Species Options'!H550 - 3.0346) ) ) )</f>
        <v/>
      </c>
      <c r="O550" s="1" t="str">
        <f>IF(ISBLANK('Aqueous Species Options'!B550), "", IF('Aqueous Species Options'!K550=0, 'Aqueous Species Options'!I550, IF(OR('Aqueous Species Options'!J550&gt;4,'Aqueous Species Options'!J550&lt;-4), "", IF('Aqueous Species Options'!B550="H+", 0, IF('Aqueous Species Options'!J550=0, -0.038, IF(ISBLANK('Aqueous Species Options'!F550), "", -1514.4*'Aqueous Species Options'!F550*0.00001 + SUM(({4,3,2,1,-1,-2,-3,-4}='Aqueous Species Options'!J550)*{2.1764,1.5793,1.0579,0.5517,1.6291,3.2127,4.8115,6.486}) ) ) ) ) ) )</f>
        <v/>
      </c>
      <c r="P550" s="1" t="str">
        <f>IF(ISBLANK('Aqueous Species Options'!J550), "", 'Aqueous Species Options'!J550)</f>
        <v/>
      </c>
      <c r="Q550" s="184" t="str">
        <f>IF(ISBLANK('Aqueous Species Options'!T550), "", 'Aqueous Species Options'!T550)</f>
        <v/>
      </c>
    </row>
    <row r="551" spans="2:17" ht="16" x14ac:dyDescent="0.2">
      <c r="B551" t="str">
        <f>IF(ISBLANK('Aqueous Species Options'!B551), "", 'Aqueous Species Options'!B551)</f>
        <v/>
      </c>
      <c r="C551" s="1" t="str">
        <f>IF(ISBLANK('Aqueous Species Options'!C551), "", 'Aqueous Species Options'!C551)</f>
        <v/>
      </c>
      <c r="D551" s="1" t="str">
        <f>IF(ISBLANK('Aqueous Species Options'!D551), "", 'Aqueous Species Options'!D551)</f>
        <v/>
      </c>
      <c r="E551" s="1" t="str">
        <f>IF(ISBLANK('Aqueous Species Options'!E551), "", 'Aqueous Species Options'!E551)</f>
        <v/>
      </c>
      <c r="F551" s="139" t="str">
        <f>IF(ISBLANK('Aqueous Species Options'!F551), "", 'Aqueous Species Options'!F551)</f>
        <v/>
      </c>
      <c r="G551" s="29" t="str">
        <f>IF(ISBLANK('Aqueous Species Options'!B551), "", IF('Aqueous Species Options'!L551 = 1, IF(ISBLANK('Aqueous Species Options'!G551), "", 'Aqueous Species Options'!G551), ('Aqueous Species Table'!I551/10 + ('Aqueous Species Table'!J551*100)/(Calculations!$C$12+Calculations!$C$9) + ('Aqueous Species Table'!K551 + ('Aqueous Species Table'!L551*10000)/(Calculations!$C$12+Calculations!$C$9))*(1/(Calculations!$C$8-Calculations!$C$13)) - 'Aqueous Species Table'!O551*100000*0.0000005903)*41.8393))</f>
        <v/>
      </c>
      <c r="H551" s="29" t="str">
        <f>IF(ISBLANK('Aqueous Species Options'!B551), "", IF('Aqueous Species Options'!L551 = 1, IF(ISBLANK('Aqueous Species Options'!H551), "", 'Aqueous Species Options'!H551), 'Aqueous Species Table'!M551 + 'Aqueous Species Table'!N551*10000*(1/(Calculations!$C$8-Calculations!$C$13))^2 + 'Aqueous Species Table'!O551*100000*Calculations!$C$8*Calculations!$C$7))</f>
        <v/>
      </c>
      <c r="I551" s="1" t="str">
        <f>IF(ISBLANK('Aqueous Species Options'!B551), "", IF('Aqueous Species Options'!L551=0, 'Aqueous Species Options'!N551, IF(OR(ISBLANK('Aqueous Species Options'!G551),'Aqueous Species Table'!O551="", 'Aqueous Species Table'!P551=""), "", IF('Aqueous Species Options'!B551="H+", 0, (CHOOSE('Aqueous Species Options'!M551+1,'Aqueous Species Options'!$V$4*ABS('Aqueous Species Table'!P551)+'Aqueous Species Options'!$W$4,'Aqueous Species Options'!$Z$4)*('Aqueous Species Options'!G551 + 'Aqueous Species Table'!O551*100000*0.0000005903*41.8393) + CHOOSE('Aqueous Species Options'!M551+1,'Aqueous Species Options'!$X$4*ABS('Aqueous Species Table'!P551)+'Aqueous Species Options'!$Y$4,'Aqueous Species Options'!$AA$4))*10 ) ) ) )</f>
        <v/>
      </c>
      <c r="J551" s="1" t="str">
        <f>IF(ISBLANK('Aqueous Species Options'!B551), "", IF('Aqueous Species Options'!L551 = 0, 'Aqueous Species Options'!O551, IF('Aqueous Species Table'!I551="", "", IF('Aqueous Species Options'!B551="H+", 0, ((1.11*('Aqueous Species Options'!G551 + 'Aqueous Species Table'!O551*100000*0.0000005903*41.8393)+1.8)/41.8393 - 'Aqueous Species Table'!I551/10)*26.01 ) ) ) )</f>
        <v/>
      </c>
      <c r="K551" s="1" t="str">
        <f>IF(ISBLANK('Aqueous Species Options'!B551), "", IF('Aqueous Species Options'!L551 = 0, 'Aqueous Species Options'!P551, IF('Aqueous Species Table'!I551="", "", IF('Aqueous Species Options'!B551="H+", 0, ('Aqueous Species Options'!G551/41.8393 + 'Aqueous Species Table'!O551*100000*0.0000005903 - 'Aqueous Species Table'!I551/10 - 'Aqueous Species Table'!J551*100/2601)*(298.15-228) - ('Aqueous Species Table'!L551*10000/2601) ) ) ) )</f>
        <v/>
      </c>
      <c r="L551" s="1" t="str">
        <f>IF(ISBLANK('Aqueous Species Options'!B551), "", IF('Aqueous Species Options'!L551 = 0, 'Aqueous Species Options'!Q551, IF('Aqueous Species Table'!J551="", "", IF('Aqueous Species Options'!B551="H+", 0, (-4.134*'Aqueous Species Table'!J551*100 - 27790)*0.0001) ) ) )</f>
        <v/>
      </c>
      <c r="M551" s="1" t="str">
        <f>IF(ISBLANK('Aqueous Species Options'!B551), "", IF('Aqueous Species Options'!L551=0, 'Aqueous Species Options'!R551, IF('Aqueous Species Table'!N551="", "", IF('Aqueous Species Options'!B551="H+", 0, 'Aqueous Species Options'!H551 - 'Aqueous Species Table'!O551*100000*(-0.000000309)*298.15 - 'Aqueous Species Table'!N551*10000/(298.15-228)^2 ) ) ) )</f>
        <v/>
      </c>
      <c r="N551" s="1" t="str">
        <f>IF(ISBLANK('Aqueous Species Options'!B551), "", IF('Aqueous Species Options'!L551=0, 'Aqueous Species Options'!S551, IF(OR(ISBLANK('Aqueous Species Options'!H551), 'Aqueous Species Table'!O551=""), "", IF('Aqueous Species Options'!B551="H+", 0, 0.2037*'Aqueous Species Options'!H551 - 3.0346) ) ) )</f>
        <v/>
      </c>
      <c r="O551" s="1" t="str">
        <f>IF(ISBLANK('Aqueous Species Options'!B551), "", IF('Aqueous Species Options'!K551=0, 'Aqueous Species Options'!I551, IF(OR('Aqueous Species Options'!J551&gt;4,'Aqueous Species Options'!J551&lt;-4), "", IF('Aqueous Species Options'!B551="H+", 0, IF('Aqueous Species Options'!J551=0, -0.038, IF(ISBLANK('Aqueous Species Options'!F551), "", -1514.4*'Aqueous Species Options'!F551*0.00001 + SUM(({4,3,2,1,-1,-2,-3,-4}='Aqueous Species Options'!J551)*{2.1764,1.5793,1.0579,0.5517,1.6291,3.2127,4.8115,6.486}) ) ) ) ) ) )</f>
        <v/>
      </c>
      <c r="P551" s="1" t="str">
        <f>IF(ISBLANK('Aqueous Species Options'!J551), "", 'Aqueous Species Options'!J551)</f>
        <v/>
      </c>
      <c r="Q551" s="184" t="str">
        <f>IF(ISBLANK('Aqueous Species Options'!T551), "", 'Aqueous Species Options'!T551)</f>
        <v/>
      </c>
    </row>
    <row r="552" spans="2:17" ht="16" x14ac:dyDescent="0.2">
      <c r="B552" t="str">
        <f>IF(ISBLANK('Aqueous Species Options'!B552), "", 'Aqueous Species Options'!B552)</f>
        <v/>
      </c>
      <c r="C552" s="1" t="str">
        <f>IF(ISBLANK('Aqueous Species Options'!C552), "", 'Aqueous Species Options'!C552)</f>
        <v/>
      </c>
      <c r="D552" s="1" t="str">
        <f>IF(ISBLANK('Aqueous Species Options'!D552), "", 'Aqueous Species Options'!D552)</f>
        <v/>
      </c>
      <c r="E552" s="1" t="str">
        <f>IF(ISBLANK('Aqueous Species Options'!E552), "", 'Aqueous Species Options'!E552)</f>
        <v/>
      </c>
      <c r="F552" s="139" t="str">
        <f>IF(ISBLANK('Aqueous Species Options'!F552), "", 'Aqueous Species Options'!F552)</f>
        <v/>
      </c>
      <c r="G552" s="29" t="str">
        <f>IF(ISBLANK('Aqueous Species Options'!B552), "", IF('Aqueous Species Options'!L552 = 1, IF(ISBLANK('Aqueous Species Options'!G552), "", 'Aqueous Species Options'!G552), ('Aqueous Species Table'!I552/10 + ('Aqueous Species Table'!J552*100)/(Calculations!$C$12+Calculations!$C$9) + ('Aqueous Species Table'!K552 + ('Aqueous Species Table'!L552*10000)/(Calculations!$C$12+Calculations!$C$9))*(1/(Calculations!$C$8-Calculations!$C$13)) - 'Aqueous Species Table'!O552*100000*0.0000005903)*41.8393))</f>
        <v/>
      </c>
      <c r="H552" s="29" t="str">
        <f>IF(ISBLANK('Aqueous Species Options'!B552), "", IF('Aqueous Species Options'!L552 = 1, IF(ISBLANK('Aqueous Species Options'!H552), "", 'Aqueous Species Options'!H552), 'Aqueous Species Table'!M552 + 'Aqueous Species Table'!N552*10000*(1/(Calculations!$C$8-Calculations!$C$13))^2 + 'Aqueous Species Table'!O552*100000*Calculations!$C$8*Calculations!$C$7))</f>
        <v/>
      </c>
      <c r="I552" s="1" t="str">
        <f>IF(ISBLANK('Aqueous Species Options'!B552), "", IF('Aqueous Species Options'!L552=0, 'Aqueous Species Options'!N552, IF(OR(ISBLANK('Aqueous Species Options'!G552),'Aqueous Species Table'!O552="", 'Aqueous Species Table'!P552=""), "", IF('Aqueous Species Options'!B552="H+", 0, (CHOOSE('Aqueous Species Options'!M552+1,'Aqueous Species Options'!$V$4*ABS('Aqueous Species Table'!P552)+'Aqueous Species Options'!$W$4,'Aqueous Species Options'!$Z$4)*('Aqueous Species Options'!G552 + 'Aqueous Species Table'!O552*100000*0.0000005903*41.8393) + CHOOSE('Aqueous Species Options'!M552+1,'Aqueous Species Options'!$X$4*ABS('Aqueous Species Table'!P552)+'Aqueous Species Options'!$Y$4,'Aqueous Species Options'!$AA$4))*10 ) ) ) )</f>
        <v/>
      </c>
      <c r="J552" s="1" t="str">
        <f>IF(ISBLANK('Aqueous Species Options'!B552), "", IF('Aqueous Species Options'!L552 = 0, 'Aqueous Species Options'!O552, IF('Aqueous Species Table'!I552="", "", IF('Aqueous Species Options'!B552="H+", 0, ((1.11*('Aqueous Species Options'!G552 + 'Aqueous Species Table'!O552*100000*0.0000005903*41.8393)+1.8)/41.8393 - 'Aqueous Species Table'!I552/10)*26.01 ) ) ) )</f>
        <v/>
      </c>
      <c r="K552" s="1" t="str">
        <f>IF(ISBLANK('Aqueous Species Options'!B552), "", IF('Aqueous Species Options'!L552 = 0, 'Aqueous Species Options'!P552, IF('Aqueous Species Table'!I552="", "", IF('Aqueous Species Options'!B552="H+", 0, ('Aqueous Species Options'!G552/41.8393 + 'Aqueous Species Table'!O552*100000*0.0000005903 - 'Aqueous Species Table'!I552/10 - 'Aqueous Species Table'!J552*100/2601)*(298.15-228) - ('Aqueous Species Table'!L552*10000/2601) ) ) ) )</f>
        <v/>
      </c>
      <c r="L552" s="1" t="str">
        <f>IF(ISBLANK('Aqueous Species Options'!B552), "", IF('Aqueous Species Options'!L552 = 0, 'Aqueous Species Options'!Q552, IF('Aqueous Species Table'!J552="", "", IF('Aqueous Species Options'!B552="H+", 0, (-4.134*'Aqueous Species Table'!J552*100 - 27790)*0.0001) ) ) )</f>
        <v/>
      </c>
      <c r="M552" s="1" t="str">
        <f>IF(ISBLANK('Aqueous Species Options'!B552), "", IF('Aqueous Species Options'!L552=0, 'Aqueous Species Options'!R552, IF('Aqueous Species Table'!N552="", "", IF('Aqueous Species Options'!B552="H+", 0, 'Aqueous Species Options'!H552 - 'Aqueous Species Table'!O552*100000*(-0.000000309)*298.15 - 'Aqueous Species Table'!N552*10000/(298.15-228)^2 ) ) ) )</f>
        <v/>
      </c>
      <c r="N552" s="1" t="str">
        <f>IF(ISBLANK('Aqueous Species Options'!B552), "", IF('Aqueous Species Options'!L552=0, 'Aqueous Species Options'!S552, IF(OR(ISBLANK('Aqueous Species Options'!H552), 'Aqueous Species Table'!O552=""), "", IF('Aqueous Species Options'!B552="H+", 0, 0.2037*'Aqueous Species Options'!H552 - 3.0346) ) ) )</f>
        <v/>
      </c>
      <c r="O552" s="1" t="str">
        <f>IF(ISBLANK('Aqueous Species Options'!B552), "", IF('Aqueous Species Options'!K552=0, 'Aqueous Species Options'!I552, IF(OR('Aqueous Species Options'!J552&gt;4,'Aqueous Species Options'!J552&lt;-4), "", IF('Aqueous Species Options'!B552="H+", 0, IF('Aqueous Species Options'!J552=0, -0.038, IF(ISBLANK('Aqueous Species Options'!F552), "", -1514.4*'Aqueous Species Options'!F552*0.00001 + SUM(({4,3,2,1,-1,-2,-3,-4}='Aqueous Species Options'!J552)*{2.1764,1.5793,1.0579,0.5517,1.6291,3.2127,4.8115,6.486}) ) ) ) ) ) )</f>
        <v/>
      </c>
      <c r="P552" s="1" t="str">
        <f>IF(ISBLANK('Aqueous Species Options'!J552), "", 'Aqueous Species Options'!J552)</f>
        <v/>
      </c>
      <c r="Q552" s="184" t="str">
        <f>IF(ISBLANK('Aqueous Species Options'!T552), "", 'Aqueous Species Options'!T552)</f>
        <v/>
      </c>
    </row>
    <row r="553" spans="2:17" ht="16" x14ac:dyDescent="0.2">
      <c r="B553" t="str">
        <f>IF(ISBLANK('Aqueous Species Options'!B553), "", 'Aqueous Species Options'!B553)</f>
        <v/>
      </c>
      <c r="C553" s="1" t="str">
        <f>IF(ISBLANK('Aqueous Species Options'!C553), "", 'Aqueous Species Options'!C553)</f>
        <v/>
      </c>
      <c r="D553" s="1" t="str">
        <f>IF(ISBLANK('Aqueous Species Options'!D553), "", 'Aqueous Species Options'!D553)</f>
        <v/>
      </c>
      <c r="E553" s="1" t="str">
        <f>IF(ISBLANK('Aqueous Species Options'!E553), "", 'Aqueous Species Options'!E553)</f>
        <v/>
      </c>
      <c r="F553" s="139" t="str">
        <f>IF(ISBLANK('Aqueous Species Options'!F553), "", 'Aqueous Species Options'!F553)</f>
        <v/>
      </c>
      <c r="G553" s="29" t="str">
        <f>IF(ISBLANK('Aqueous Species Options'!B553), "", IF('Aqueous Species Options'!L553 = 1, IF(ISBLANK('Aqueous Species Options'!G553), "", 'Aqueous Species Options'!G553), ('Aqueous Species Table'!I553/10 + ('Aqueous Species Table'!J553*100)/(Calculations!$C$12+Calculations!$C$9) + ('Aqueous Species Table'!K553 + ('Aqueous Species Table'!L553*10000)/(Calculations!$C$12+Calculations!$C$9))*(1/(Calculations!$C$8-Calculations!$C$13)) - 'Aqueous Species Table'!O553*100000*0.0000005903)*41.8393))</f>
        <v/>
      </c>
      <c r="H553" s="29" t="str">
        <f>IF(ISBLANK('Aqueous Species Options'!B553), "", IF('Aqueous Species Options'!L553 = 1, IF(ISBLANK('Aqueous Species Options'!H553), "", 'Aqueous Species Options'!H553), 'Aqueous Species Table'!M553 + 'Aqueous Species Table'!N553*10000*(1/(Calculations!$C$8-Calculations!$C$13))^2 + 'Aqueous Species Table'!O553*100000*Calculations!$C$8*Calculations!$C$7))</f>
        <v/>
      </c>
      <c r="I553" s="1" t="str">
        <f>IF(ISBLANK('Aqueous Species Options'!B553), "", IF('Aqueous Species Options'!L553=0, 'Aqueous Species Options'!N553, IF(OR(ISBLANK('Aqueous Species Options'!G553),'Aqueous Species Table'!O553="", 'Aqueous Species Table'!P553=""), "", IF('Aqueous Species Options'!B553="H+", 0, (CHOOSE('Aqueous Species Options'!M553+1,'Aqueous Species Options'!$V$4*ABS('Aqueous Species Table'!P553)+'Aqueous Species Options'!$W$4,'Aqueous Species Options'!$Z$4)*('Aqueous Species Options'!G553 + 'Aqueous Species Table'!O553*100000*0.0000005903*41.8393) + CHOOSE('Aqueous Species Options'!M553+1,'Aqueous Species Options'!$X$4*ABS('Aqueous Species Table'!P553)+'Aqueous Species Options'!$Y$4,'Aqueous Species Options'!$AA$4))*10 ) ) ) )</f>
        <v/>
      </c>
      <c r="J553" s="1" t="str">
        <f>IF(ISBLANK('Aqueous Species Options'!B553), "", IF('Aqueous Species Options'!L553 = 0, 'Aqueous Species Options'!O553, IF('Aqueous Species Table'!I553="", "", IF('Aqueous Species Options'!B553="H+", 0, ((1.11*('Aqueous Species Options'!G553 + 'Aqueous Species Table'!O553*100000*0.0000005903*41.8393)+1.8)/41.8393 - 'Aqueous Species Table'!I553/10)*26.01 ) ) ) )</f>
        <v/>
      </c>
      <c r="K553" s="1" t="str">
        <f>IF(ISBLANK('Aqueous Species Options'!B553), "", IF('Aqueous Species Options'!L553 = 0, 'Aqueous Species Options'!P553, IF('Aqueous Species Table'!I553="", "", IF('Aqueous Species Options'!B553="H+", 0, ('Aqueous Species Options'!G553/41.8393 + 'Aqueous Species Table'!O553*100000*0.0000005903 - 'Aqueous Species Table'!I553/10 - 'Aqueous Species Table'!J553*100/2601)*(298.15-228) - ('Aqueous Species Table'!L553*10000/2601) ) ) ) )</f>
        <v/>
      </c>
      <c r="L553" s="1" t="str">
        <f>IF(ISBLANK('Aqueous Species Options'!B553), "", IF('Aqueous Species Options'!L553 = 0, 'Aqueous Species Options'!Q553, IF('Aqueous Species Table'!J553="", "", IF('Aqueous Species Options'!B553="H+", 0, (-4.134*'Aqueous Species Table'!J553*100 - 27790)*0.0001) ) ) )</f>
        <v/>
      </c>
      <c r="M553" s="1" t="str">
        <f>IF(ISBLANK('Aqueous Species Options'!B553), "", IF('Aqueous Species Options'!L553=0, 'Aqueous Species Options'!R553, IF('Aqueous Species Table'!N553="", "", IF('Aqueous Species Options'!B553="H+", 0, 'Aqueous Species Options'!H553 - 'Aqueous Species Table'!O553*100000*(-0.000000309)*298.15 - 'Aqueous Species Table'!N553*10000/(298.15-228)^2 ) ) ) )</f>
        <v/>
      </c>
      <c r="N553" s="1" t="str">
        <f>IF(ISBLANK('Aqueous Species Options'!B553), "", IF('Aqueous Species Options'!L553=0, 'Aqueous Species Options'!S553, IF(OR(ISBLANK('Aqueous Species Options'!H553), 'Aqueous Species Table'!O553=""), "", IF('Aqueous Species Options'!B553="H+", 0, 0.2037*'Aqueous Species Options'!H553 - 3.0346) ) ) )</f>
        <v/>
      </c>
      <c r="O553" s="1" t="str">
        <f>IF(ISBLANK('Aqueous Species Options'!B553), "", IF('Aqueous Species Options'!K553=0, 'Aqueous Species Options'!I553, IF(OR('Aqueous Species Options'!J553&gt;4,'Aqueous Species Options'!J553&lt;-4), "", IF('Aqueous Species Options'!B553="H+", 0, IF('Aqueous Species Options'!J553=0, -0.038, IF(ISBLANK('Aqueous Species Options'!F553), "", -1514.4*'Aqueous Species Options'!F553*0.00001 + SUM(({4,3,2,1,-1,-2,-3,-4}='Aqueous Species Options'!J553)*{2.1764,1.5793,1.0579,0.5517,1.6291,3.2127,4.8115,6.486}) ) ) ) ) ) )</f>
        <v/>
      </c>
      <c r="P553" s="1" t="str">
        <f>IF(ISBLANK('Aqueous Species Options'!J553), "", 'Aqueous Species Options'!J553)</f>
        <v/>
      </c>
      <c r="Q553" s="184" t="str">
        <f>IF(ISBLANK('Aqueous Species Options'!T553), "", 'Aqueous Species Options'!T553)</f>
        <v/>
      </c>
    </row>
    <row r="554" spans="2:17" ht="16" x14ac:dyDescent="0.2">
      <c r="B554" t="str">
        <f>IF(ISBLANK('Aqueous Species Options'!B554), "", 'Aqueous Species Options'!B554)</f>
        <v/>
      </c>
      <c r="C554" s="1" t="str">
        <f>IF(ISBLANK('Aqueous Species Options'!C554), "", 'Aqueous Species Options'!C554)</f>
        <v/>
      </c>
      <c r="D554" s="1" t="str">
        <f>IF(ISBLANK('Aqueous Species Options'!D554), "", 'Aqueous Species Options'!D554)</f>
        <v/>
      </c>
      <c r="E554" s="1" t="str">
        <f>IF(ISBLANK('Aqueous Species Options'!E554), "", 'Aqueous Species Options'!E554)</f>
        <v/>
      </c>
      <c r="F554" s="139" t="str">
        <f>IF(ISBLANK('Aqueous Species Options'!F554), "", 'Aqueous Species Options'!F554)</f>
        <v/>
      </c>
      <c r="G554" s="29" t="str">
        <f>IF(ISBLANK('Aqueous Species Options'!B554), "", IF('Aqueous Species Options'!L554 = 1, IF(ISBLANK('Aqueous Species Options'!G554), "", 'Aqueous Species Options'!G554), ('Aqueous Species Table'!I554/10 + ('Aqueous Species Table'!J554*100)/(Calculations!$C$12+Calculations!$C$9) + ('Aqueous Species Table'!K554 + ('Aqueous Species Table'!L554*10000)/(Calculations!$C$12+Calculations!$C$9))*(1/(Calculations!$C$8-Calculations!$C$13)) - 'Aqueous Species Table'!O554*100000*0.0000005903)*41.8393))</f>
        <v/>
      </c>
      <c r="H554" s="29" t="str">
        <f>IF(ISBLANK('Aqueous Species Options'!B554), "", IF('Aqueous Species Options'!L554 = 1, IF(ISBLANK('Aqueous Species Options'!H554), "", 'Aqueous Species Options'!H554), 'Aqueous Species Table'!M554 + 'Aqueous Species Table'!N554*10000*(1/(Calculations!$C$8-Calculations!$C$13))^2 + 'Aqueous Species Table'!O554*100000*Calculations!$C$8*Calculations!$C$7))</f>
        <v/>
      </c>
      <c r="I554" s="1" t="str">
        <f>IF(ISBLANK('Aqueous Species Options'!B554), "", IF('Aqueous Species Options'!L554=0, 'Aqueous Species Options'!N554, IF(OR(ISBLANK('Aqueous Species Options'!G554),'Aqueous Species Table'!O554="", 'Aqueous Species Table'!P554=""), "", IF('Aqueous Species Options'!B554="H+", 0, (CHOOSE('Aqueous Species Options'!M554+1,'Aqueous Species Options'!$V$4*ABS('Aqueous Species Table'!P554)+'Aqueous Species Options'!$W$4,'Aqueous Species Options'!$Z$4)*('Aqueous Species Options'!G554 + 'Aqueous Species Table'!O554*100000*0.0000005903*41.8393) + CHOOSE('Aqueous Species Options'!M554+1,'Aqueous Species Options'!$X$4*ABS('Aqueous Species Table'!P554)+'Aqueous Species Options'!$Y$4,'Aqueous Species Options'!$AA$4))*10 ) ) ) )</f>
        <v/>
      </c>
      <c r="J554" s="1" t="str">
        <f>IF(ISBLANK('Aqueous Species Options'!B554), "", IF('Aqueous Species Options'!L554 = 0, 'Aqueous Species Options'!O554, IF('Aqueous Species Table'!I554="", "", IF('Aqueous Species Options'!B554="H+", 0, ((1.11*('Aqueous Species Options'!G554 + 'Aqueous Species Table'!O554*100000*0.0000005903*41.8393)+1.8)/41.8393 - 'Aqueous Species Table'!I554/10)*26.01 ) ) ) )</f>
        <v/>
      </c>
      <c r="K554" s="1" t="str">
        <f>IF(ISBLANK('Aqueous Species Options'!B554), "", IF('Aqueous Species Options'!L554 = 0, 'Aqueous Species Options'!P554, IF('Aqueous Species Table'!I554="", "", IF('Aqueous Species Options'!B554="H+", 0, ('Aqueous Species Options'!G554/41.8393 + 'Aqueous Species Table'!O554*100000*0.0000005903 - 'Aqueous Species Table'!I554/10 - 'Aqueous Species Table'!J554*100/2601)*(298.15-228) - ('Aqueous Species Table'!L554*10000/2601) ) ) ) )</f>
        <v/>
      </c>
      <c r="L554" s="1" t="str">
        <f>IF(ISBLANK('Aqueous Species Options'!B554), "", IF('Aqueous Species Options'!L554 = 0, 'Aqueous Species Options'!Q554, IF('Aqueous Species Table'!J554="", "", IF('Aqueous Species Options'!B554="H+", 0, (-4.134*'Aqueous Species Table'!J554*100 - 27790)*0.0001) ) ) )</f>
        <v/>
      </c>
      <c r="M554" s="1" t="str">
        <f>IF(ISBLANK('Aqueous Species Options'!B554), "", IF('Aqueous Species Options'!L554=0, 'Aqueous Species Options'!R554, IF('Aqueous Species Table'!N554="", "", IF('Aqueous Species Options'!B554="H+", 0, 'Aqueous Species Options'!H554 - 'Aqueous Species Table'!O554*100000*(-0.000000309)*298.15 - 'Aqueous Species Table'!N554*10000/(298.15-228)^2 ) ) ) )</f>
        <v/>
      </c>
      <c r="N554" s="1" t="str">
        <f>IF(ISBLANK('Aqueous Species Options'!B554), "", IF('Aqueous Species Options'!L554=0, 'Aqueous Species Options'!S554, IF(OR(ISBLANK('Aqueous Species Options'!H554), 'Aqueous Species Table'!O554=""), "", IF('Aqueous Species Options'!B554="H+", 0, 0.2037*'Aqueous Species Options'!H554 - 3.0346) ) ) )</f>
        <v/>
      </c>
      <c r="O554" s="1" t="str">
        <f>IF(ISBLANK('Aqueous Species Options'!B554), "", IF('Aqueous Species Options'!K554=0, 'Aqueous Species Options'!I554, IF(OR('Aqueous Species Options'!J554&gt;4,'Aqueous Species Options'!J554&lt;-4), "", IF('Aqueous Species Options'!B554="H+", 0, IF('Aqueous Species Options'!J554=0, -0.038, IF(ISBLANK('Aqueous Species Options'!F554), "", -1514.4*'Aqueous Species Options'!F554*0.00001 + SUM(({4,3,2,1,-1,-2,-3,-4}='Aqueous Species Options'!J554)*{2.1764,1.5793,1.0579,0.5517,1.6291,3.2127,4.8115,6.486}) ) ) ) ) ) )</f>
        <v/>
      </c>
      <c r="P554" s="1" t="str">
        <f>IF(ISBLANK('Aqueous Species Options'!J554), "", 'Aqueous Species Options'!J554)</f>
        <v/>
      </c>
      <c r="Q554" s="184" t="str">
        <f>IF(ISBLANK('Aqueous Species Options'!T554), "", 'Aqueous Species Options'!T554)</f>
        <v/>
      </c>
    </row>
    <row r="555" spans="2:17" ht="16" x14ac:dyDescent="0.2">
      <c r="B555" t="str">
        <f>IF(ISBLANK('Aqueous Species Options'!B555), "", 'Aqueous Species Options'!B555)</f>
        <v/>
      </c>
      <c r="C555" s="1" t="str">
        <f>IF(ISBLANK('Aqueous Species Options'!C555), "", 'Aqueous Species Options'!C555)</f>
        <v/>
      </c>
      <c r="D555" s="1" t="str">
        <f>IF(ISBLANK('Aqueous Species Options'!D555), "", 'Aqueous Species Options'!D555)</f>
        <v/>
      </c>
      <c r="E555" s="1" t="str">
        <f>IF(ISBLANK('Aqueous Species Options'!E555), "", 'Aqueous Species Options'!E555)</f>
        <v/>
      </c>
      <c r="F555" s="139" t="str">
        <f>IF(ISBLANK('Aqueous Species Options'!F555), "", 'Aqueous Species Options'!F555)</f>
        <v/>
      </c>
      <c r="G555" s="29" t="str">
        <f>IF(ISBLANK('Aqueous Species Options'!B555), "", IF('Aqueous Species Options'!L555 = 1, IF(ISBLANK('Aqueous Species Options'!G555), "", 'Aqueous Species Options'!G555), ('Aqueous Species Table'!I555/10 + ('Aqueous Species Table'!J555*100)/(Calculations!$C$12+Calculations!$C$9) + ('Aqueous Species Table'!K555 + ('Aqueous Species Table'!L555*10000)/(Calculations!$C$12+Calculations!$C$9))*(1/(Calculations!$C$8-Calculations!$C$13)) - 'Aqueous Species Table'!O555*100000*0.0000005903)*41.8393))</f>
        <v/>
      </c>
      <c r="H555" s="29" t="str">
        <f>IF(ISBLANK('Aqueous Species Options'!B555), "", IF('Aqueous Species Options'!L555 = 1, IF(ISBLANK('Aqueous Species Options'!H555), "", 'Aqueous Species Options'!H555), 'Aqueous Species Table'!M555 + 'Aqueous Species Table'!N555*10000*(1/(Calculations!$C$8-Calculations!$C$13))^2 + 'Aqueous Species Table'!O555*100000*Calculations!$C$8*Calculations!$C$7))</f>
        <v/>
      </c>
      <c r="I555" s="1" t="str">
        <f>IF(ISBLANK('Aqueous Species Options'!B555), "", IF('Aqueous Species Options'!L555=0, 'Aqueous Species Options'!N555, IF(OR(ISBLANK('Aqueous Species Options'!G555),'Aqueous Species Table'!O555="", 'Aqueous Species Table'!P555=""), "", IF('Aqueous Species Options'!B555="H+", 0, (CHOOSE('Aqueous Species Options'!M555+1,'Aqueous Species Options'!$V$4*ABS('Aqueous Species Table'!P555)+'Aqueous Species Options'!$W$4,'Aqueous Species Options'!$Z$4)*('Aqueous Species Options'!G555 + 'Aqueous Species Table'!O555*100000*0.0000005903*41.8393) + CHOOSE('Aqueous Species Options'!M555+1,'Aqueous Species Options'!$X$4*ABS('Aqueous Species Table'!P555)+'Aqueous Species Options'!$Y$4,'Aqueous Species Options'!$AA$4))*10 ) ) ) )</f>
        <v/>
      </c>
      <c r="J555" s="1" t="str">
        <f>IF(ISBLANK('Aqueous Species Options'!B555), "", IF('Aqueous Species Options'!L555 = 0, 'Aqueous Species Options'!O555, IF('Aqueous Species Table'!I555="", "", IF('Aqueous Species Options'!B555="H+", 0, ((1.11*('Aqueous Species Options'!G555 + 'Aqueous Species Table'!O555*100000*0.0000005903*41.8393)+1.8)/41.8393 - 'Aqueous Species Table'!I555/10)*26.01 ) ) ) )</f>
        <v/>
      </c>
      <c r="K555" s="1" t="str">
        <f>IF(ISBLANK('Aqueous Species Options'!B555), "", IF('Aqueous Species Options'!L555 = 0, 'Aqueous Species Options'!P555, IF('Aqueous Species Table'!I555="", "", IF('Aqueous Species Options'!B555="H+", 0, ('Aqueous Species Options'!G555/41.8393 + 'Aqueous Species Table'!O555*100000*0.0000005903 - 'Aqueous Species Table'!I555/10 - 'Aqueous Species Table'!J555*100/2601)*(298.15-228) - ('Aqueous Species Table'!L555*10000/2601) ) ) ) )</f>
        <v/>
      </c>
      <c r="L555" s="1" t="str">
        <f>IF(ISBLANK('Aqueous Species Options'!B555), "", IF('Aqueous Species Options'!L555 = 0, 'Aqueous Species Options'!Q555, IF('Aqueous Species Table'!J555="", "", IF('Aqueous Species Options'!B555="H+", 0, (-4.134*'Aqueous Species Table'!J555*100 - 27790)*0.0001) ) ) )</f>
        <v/>
      </c>
      <c r="M555" s="1" t="str">
        <f>IF(ISBLANK('Aqueous Species Options'!B555), "", IF('Aqueous Species Options'!L555=0, 'Aqueous Species Options'!R555, IF('Aqueous Species Table'!N555="", "", IF('Aqueous Species Options'!B555="H+", 0, 'Aqueous Species Options'!H555 - 'Aqueous Species Table'!O555*100000*(-0.000000309)*298.15 - 'Aqueous Species Table'!N555*10000/(298.15-228)^2 ) ) ) )</f>
        <v/>
      </c>
      <c r="N555" s="1" t="str">
        <f>IF(ISBLANK('Aqueous Species Options'!B555), "", IF('Aqueous Species Options'!L555=0, 'Aqueous Species Options'!S555, IF(OR(ISBLANK('Aqueous Species Options'!H555), 'Aqueous Species Table'!O555=""), "", IF('Aqueous Species Options'!B555="H+", 0, 0.2037*'Aqueous Species Options'!H555 - 3.0346) ) ) )</f>
        <v/>
      </c>
      <c r="O555" s="1" t="str">
        <f>IF(ISBLANK('Aqueous Species Options'!B555), "", IF('Aqueous Species Options'!K555=0, 'Aqueous Species Options'!I555, IF(OR('Aqueous Species Options'!J555&gt;4,'Aqueous Species Options'!J555&lt;-4), "", IF('Aqueous Species Options'!B555="H+", 0, IF('Aqueous Species Options'!J555=0, -0.038, IF(ISBLANK('Aqueous Species Options'!F555), "", -1514.4*'Aqueous Species Options'!F555*0.00001 + SUM(({4,3,2,1,-1,-2,-3,-4}='Aqueous Species Options'!J555)*{2.1764,1.5793,1.0579,0.5517,1.6291,3.2127,4.8115,6.486}) ) ) ) ) ) )</f>
        <v/>
      </c>
      <c r="P555" s="1" t="str">
        <f>IF(ISBLANK('Aqueous Species Options'!J555), "", 'Aqueous Species Options'!J555)</f>
        <v/>
      </c>
      <c r="Q555" s="184" t="str">
        <f>IF(ISBLANK('Aqueous Species Options'!T555), "", 'Aqueous Species Options'!T555)</f>
        <v/>
      </c>
    </row>
    <row r="556" spans="2:17" ht="16" x14ac:dyDescent="0.2">
      <c r="B556" t="str">
        <f>IF(ISBLANK('Aqueous Species Options'!B556), "", 'Aqueous Species Options'!B556)</f>
        <v/>
      </c>
      <c r="C556" s="1" t="str">
        <f>IF(ISBLANK('Aqueous Species Options'!C556), "", 'Aqueous Species Options'!C556)</f>
        <v/>
      </c>
      <c r="D556" s="1" t="str">
        <f>IF(ISBLANK('Aqueous Species Options'!D556), "", 'Aqueous Species Options'!D556)</f>
        <v/>
      </c>
      <c r="E556" s="1" t="str">
        <f>IF(ISBLANK('Aqueous Species Options'!E556), "", 'Aqueous Species Options'!E556)</f>
        <v/>
      </c>
      <c r="F556" s="139" t="str">
        <f>IF(ISBLANK('Aqueous Species Options'!F556), "", 'Aqueous Species Options'!F556)</f>
        <v/>
      </c>
      <c r="G556" s="29" t="str">
        <f>IF(ISBLANK('Aqueous Species Options'!B556), "", IF('Aqueous Species Options'!L556 = 1, IF(ISBLANK('Aqueous Species Options'!G556), "", 'Aqueous Species Options'!G556), ('Aqueous Species Table'!I556/10 + ('Aqueous Species Table'!J556*100)/(Calculations!$C$12+Calculations!$C$9) + ('Aqueous Species Table'!K556 + ('Aqueous Species Table'!L556*10000)/(Calculations!$C$12+Calculations!$C$9))*(1/(Calculations!$C$8-Calculations!$C$13)) - 'Aqueous Species Table'!O556*100000*0.0000005903)*41.8393))</f>
        <v/>
      </c>
      <c r="H556" s="29" t="str">
        <f>IF(ISBLANK('Aqueous Species Options'!B556), "", IF('Aqueous Species Options'!L556 = 1, IF(ISBLANK('Aqueous Species Options'!H556), "", 'Aqueous Species Options'!H556), 'Aqueous Species Table'!M556 + 'Aqueous Species Table'!N556*10000*(1/(Calculations!$C$8-Calculations!$C$13))^2 + 'Aqueous Species Table'!O556*100000*Calculations!$C$8*Calculations!$C$7))</f>
        <v/>
      </c>
      <c r="I556" s="1" t="str">
        <f>IF(ISBLANK('Aqueous Species Options'!B556), "", IF('Aqueous Species Options'!L556=0, 'Aqueous Species Options'!N556, IF(OR(ISBLANK('Aqueous Species Options'!G556),'Aqueous Species Table'!O556="", 'Aqueous Species Table'!P556=""), "", IF('Aqueous Species Options'!B556="H+", 0, (CHOOSE('Aqueous Species Options'!M556+1,'Aqueous Species Options'!$V$4*ABS('Aqueous Species Table'!P556)+'Aqueous Species Options'!$W$4,'Aqueous Species Options'!$Z$4)*('Aqueous Species Options'!G556 + 'Aqueous Species Table'!O556*100000*0.0000005903*41.8393) + CHOOSE('Aqueous Species Options'!M556+1,'Aqueous Species Options'!$X$4*ABS('Aqueous Species Table'!P556)+'Aqueous Species Options'!$Y$4,'Aqueous Species Options'!$AA$4))*10 ) ) ) )</f>
        <v/>
      </c>
      <c r="J556" s="1" t="str">
        <f>IF(ISBLANK('Aqueous Species Options'!B556), "", IF('Aqueous Species Options'!L556 = 0, 'Aqueous Species Options'!O556, IF('Aqueous Species Table'!I556="", "", IF('Aqueous Species Options'!B556="H+", 0, ((1.11*('Aqueous Species Options'!G556 + 'Aqueous Species Table'!O556*100000*0.0000005903*41.8393)+1.8)/41.8393 - 'Aqueous Species Table'!I556/10)*26.01 ) ) ) )</f>
        <v/>
      </c>
      <c r="K556" s="1" t="str">
        <f>IF(ISBLANK('Aqueous Species Options'!B556), "", IF('Aqueous Species Options'!L556 = 0, 'Aqueous Species Options'!P556, IF('Aqueous Species Table'!I556="", "", IF('Aqueous Species Options'!B556="H+", 0, ('Aqueous Species Options'!G556/41.8393 + 'Aqueous Species Table'!O556*100000*0.0000005903 - 'Aqueous Species Table'!I556/10 - 'Aqueous Species Table'!J556*100/2601)*(298.15-228) - ('Aqueous Species Table'!L556*10000/2601) ) ) ) )</f>
        <v/>
      </c>
      <c r="L556" s="1" t="str">
        <f>IF(ISBLANK('Aqueous Species Options'!B556), "", IF('Aqueous Species Options'!L556 = 0, 'Aqueous Species Options'!Q556, IF('Aqueous Species Table'!J556="", "", IF('Aqueous Species Options'!B556="H+", 0, (-4.134*'Aqueous Species Table'!J556*100 - 27790)*0.0001) ) ) )</f>
        <v/>
      </c>
      <c r="M556" s="1" t="str">
        <f>IF(ISBLANK('Aqueous Species Options'!B556), "", IF('Aqueous Species Options'!L556=0, 'Aqueous Species Options'!R556, IF('Aqueous Species Table'!N556="", "", IF('Aqueous Species Options'!B556="H+", 0, 'Aqueous Species Options'!H556 - 'Aqueous Species Table'!O556*100000*(-0.000000309)*298.15 - 'Aqueous Species Table'!N556*10000/(298.15-228)^2 ) ) ) )</f>
        <v/>
      </c>
      <c r="N556" s="1" t="str">
        <f>IF(ISBLANK('Aqueous Species Options'!B556), "", IF('Aqueous Species Options'!L556=0, 'Aqueous Species Options'!S556, IF(OR(ISBLANK('Aqueous Species Options'!H556), 'Aqueous Species Table'!O556=""), "", IF('Aqueous Species Options'!B556="H+", 0, 0.2037*'Aqueous Species Options'!H556 - 3.0346) ) ) )</f>
        <v/>
      </c>
      <c r="O556" s="1" t="str">
        <f>IF(ISBLANK('Aqueous Species Options'!B556), "", IF('Aqueous Species Options'!K556=0, 'Aqueous Species Options'!I556, IF(OR('Aqueous Species Options'!J556&gt;4,'Aqueous Species Options'!J556&lt;-4), "", IF('Aqueous Species Options'!B556="H+", 0, IF('Aqueous Species Options'!J556=0, -0.038, IF(ISBLANK('Aqueous Species Options'!F556), "", -1514.4*'Aqueous Species Options'!F556*0.00001 + SUM(({4,3,2,1,-1,-2,-3,-4}='Aqueous Species Options'!J556)*{2.1764,1.5793,1.0579,0.5517,1.6291,3.2127,4.8115,6.486}) ) ) ) ) ) )</f>
        <v/>
      </c>
      <c r="P556" s="1" t="str">
        <f>IF(ISBLANK('Aqueous Species Options'!J556), "", 'Aqueous Species Options'!J556)</f>
        <v/>
      </c>
      <c r="Q556" s="184" t="str">
        <f>IF(ISBLANK('Aqueous Species Options'!T556), "", 'Aqueous Species Options'!T556)</f>
        <v/>
      </c>
    </row>
    <row r="557" spans="2:17" ht="16" x14ac:dyDescent="0.2">
      <c r="B557" t="str">
        <f>IF(ISBLANK('Aqueous Species Options'!B557), "", 'Aqueous Species Options'!B557)</f>
        <v/>
      </c>
      <c r="C557" s="1" t="str">
        <f>IF(ISBLANK('Aqueous Species Options'!C557), "", 'Aqueous Species Options'!C557)</f>
        <v/>
      </c>
      <c r="D557" s="1" t="str">
        <f>IF(ISBLANK('Aqueous Species Options'!D557), "", 'Aqueous Species Options'!D557)</f>
        <v/>
      </c>
      <c r="E557" s="1" t="str">
        <f>IF(ISBLANK('Aqueous Species Options'!E557), "", 'Aqueous Species Options'!E557)</f>
        <v/>
      </c>
      <c r="F557" s="139" t="str">
        <f>IF(ISBLANK('Aqueous Species Options'!F557), "", 'Aqueous Species Options'!F557)</f>
        <v/>
      </c>
      <c r="G557" s="29" t="str">
        <f>IF(ISBLANK('Aqueous Species Options'!B557), "", IF('Aqueous Species Options'!L557 = 1, IF(ISBLANK('Aqueous Species Options'!G557), "", 'Aqueous Species Options'!G557), ('Aqueous Species Table'!I557/10 + ('Aqueous Species Table'!J557*100)/(Calculations!$C$12+Calculations!$C$9) + ('Aqueous Species Table'!K557 + ('Aqueous Species Table'!L557*10000)/(Calculations!$C$12+Calculations!$C$9))*(1/(Calculations!$C$8-Calculations!$C$13)) - 'Aqueous Species Table'!O557*100000*0.0000005903)*41.8393))</f>
        <v/>
      </c>
      <c r="H557" s="29" t="str">
        <f>IF(ISBLANK('Aqueous Species Options'!B557), "", IF('Aqueous Species Options'!L557 = 1, IF(ISBLANK('Aqueous Species Options'!H557), "", 'Aqueous Species Options'!H557), 'Aqueous Species Table'!M557 + 'Aqueous Species Table'!N557*10000*(1/(Calculations!$C$8-Calculations!$C$13))^2 + 'Aqueous Species Table'!O557*100000*Calculations!$C$8*Calculations!$C$7))</f>
        <v/>
      </c>
      <c r="I557" s="1" t="str">
        <f>IF(ISBLANK('Aqueous Species Options'!B557), "", IF('Aqueous Species Options'!L557=0, 'Aqueous Species Options'!N557, IF(OR(ISBLANK('Aqueous Species Options'!G557),'Aqueous Species Table'!O557="", 'Aqueous Species Table'!P557=""), "", IF('Aqueous Species Options'!B557="H+", 0, (CHOOSE('Aqueous Species Options'!M557+1,'Aqueous Species Options'!$V$4*ABS('Aqueous Species Table'!P557)+'Aqueous Species Options'!$W$4,'Aqueous Species Options'!$Z$4)*('Aqueous Species Options'!G557 + 'Aqueous Species Table'!O557*100000*0.0000005903*41.8393) + CHOOSE('Aqueous Species Options'!M557+1,'Aqueous Species Options'!$X$4*ABS('Aqueous Species Table'!P557)+'Aqueous Species Options'!$Y$4,'Aqueous Species Options'!$AA$4))*10 ) ) ) )</f>
        <v/>
      </c>
      <c r="J557" s="1" t="str">
        <f>IF(ISBLANK('Aqueous Species Options'!B557), "", IF('Aqueous Species Options'!L557 = 0, 'Aqueous Species Options'!O557, IF('Aqueous Species Table'!I557="", "", IF('Aqueous Species Options'!B557="H+", 0, ((1.11*('Aqueous Species Options'!G557 + 'Aqueous Species Table'!O557*100000*0.0000005903*41.8393)+1.8)/41.8393 - 'Aqueous Species Table'!I557/10)*26.01 ) ) ) )</f>
        <v/>
      </c>
      <c r="K557" s="1" t="str">
        <f>IF(ISBLANK('Aqueous Species Options'!B557), "", IF('Aqueous Species Options'!L557 = 0, 'Aqueous Species Options'!P557, IF('Aqueous Species Table'!I557="", "", IF('Aqueous Species Options'!B557="H+", 0, ('Aqueous Species Options'!G557/41.8393 + 'Aqueous Species Table'!O557*100000*0.0000005903 - 'Aqueous Species Table'!I557/10 - 'Aqueous Species Table'!J557*100/2601)*(298.15-228) - ('Aqueous Species Table'!L557*10000/2601) ) ) ) )</f>
        <v/>
      </c>
      <c r="L557" s="1" t="str">
        <f>IF(ISBLANK('Aqueous Species Options'!B557), "", IF('Aqueous Species Options'!L557 = 0, 'Aqueous Species Options'!Q557, IF('Aqueous Species Table'!J557="", "", IF('Aqueous Species Options'!B557="H+", 0, (-4.134*'Aqueous Species Table'!J557*100 - 27790)*0.0001) ) ) )</f>
        <v/>
      </c>
      <c r="M557" s="1" t="str">
        <f>IF(ISBLANK('Aqueous Species Options'!B557), "", IF('Aqueous Species Options'!L557=0, 'Aqueous Species Options'!R557, IF('Aqueous Species Table'!N557="", "", IF('Aqueous Species Options'!B557="H+", 0, 'Aqueous Species Options'!H557 - 'Aqueous Species Table'!O557*100000*(-0.000000309)*298.15 - 'Aqueous Species Table'!N557*10000/(298.15-228)^2 ) ) ) )</f>
        <v/>
      </c>
      <c r="N557" s="1" t="str">
        <f>IF(ISBLANK('Aqueous Species Options'!B557), "", IF('Aqueous Species Options'!L557=0, 'Aqueous Species Options'!S557, IF(OR(ISBLANK('Aqueous Species Options'!H557), 'Aqueous Species Table'!O557=""), "", IF('Aqueous Species Options'!B557="H+", 0, 0.2037*'Aqueous Species Options'!H557 - 3.0346) ) ) )</f>
        <v/>
      </c>
      <c r="O557" s="1" t="str">
        <f>IF(ISBLANK('Aqueous Species Options'!B557), "", IF('Aqueous Species Options'!K557=0, 'Aqueous Species Options'!I557, IF(OR('Aqueous Species Options'!J557&gt;4,'Aqueous Species Options'!J557&lt;-4), "", IF('Aqueous Species Options'!B557="H+", 0, IF('Aqueous Species Options'!J557=0, -0.038, IF(ISBLANK('Aqueous Species Options'!F557), "", -1514.4*'Aqueous Species Options'!F557*0.00001 + SUM(({4,3,2,1,-1,-2,-3,-4}='Aqueous Species Options'!J557)*{2.1764,1.5793,1.0579,0.5517,1.6291,3.2127,4.8115,6.486}) ) ) ) ) ) )</f>
        <v/>
      </c>
      <c r="P557" s="1" t="str">
        <f>IF(ISBLANK('Aqueous Species Options'!J557), "", 'Aqueous Species Options'!J557)</f>
        <v/>
      </c>
      <c r="Q557" s="184" t="str">
        <f>IF(ISBLANK('Aqueous Species Options'!T557), "", 'Aqueous Species Options'!T557)</f>
        <v/>
      </c>
    </row>
    <row r="558" spans="2:17" ht="16" x14ac:dyDescent="0.2">
      <c r="B558" t="str">
        <f>IF(ISBLANK('Aqueous Species Options'!B558), "", 'Aqueous Species Options'!B558)</f>
        <v/>
      </c>
      <c r="C558" s="1" t="str">
        <f>IF(ISBLANK('Aqueous Species Options'!C558), "", 'Aqueous Species Options'!C558)</f>
        <v/>
      </c>
      <c r="D558" s="1" t="str">
        <f>IF(ISBLANK('Aqueous Species Options'!D558), "", 'Aqueous Species Options'!D558)</f>
        <v/>
      </c>
      <c r="E558" s="1" t="str">
        <f>IF(ISBLANK('Aqueous Species Options'!E558), "", 'Aqueous Species Options'!E558)</f>
        <v/>
      </c>
      <c r="F558" s="139" t="str">
        <f>IF(ISBLANK('Aqueous Species Options'!F558), "", 'Aqueous Species Options'!F558)</f>
        <v/>
      </c>
      <c r="G558" s="29" t="str">
        <f>IF(ISBLANK('Aqueous Species Options'!B558), "", IF('Aqueous Species Options'!L558 = 1, IF(ISBLANK('Aqueous Species Options'!G558), "", 'Aqueous Species Options'!G558), ('Aqueous Species Table'!I558/10 + ('Aqueous Species Table'!J558*100)/(Calculations!$C$12+Calculations!$C$9) + ('Aqueous Species Table'!K558 + ('Aqueous Species Table'!L558*10000)/(Calculations!$C$12+Calculations!$C$9))*(1/(Calculations!$C$8-Calculations!$C$13)) - 'Aqueous Species Table'!O558*100000*0.0000005903)*41.8393))</f>
        <v/>
      </c>
      <c r="H558" s="29" t="str">
        <f>IF(ISBLANK('Aqueous Species Options'!B558), "", IF('Aqueous Species Options'!L558 = 1, IF(ISBLANK('Aqueous Species Options'!H558), "", 'Aqueous Species Options'!H558), 'Aqueous Species Table'!M558 + 'Aqueous Species Table'!N558*10000*(1/(Calculations!$C$8-Calculations!$C$13))^2 + 'Aqueous Species Table'!O558*100000*Calculations!$C$8*Calculations!$C$7))</f>
        <v/>
      </c>
      <c r="I558" s="1" t="str">
        <f>IF(ISBLANK('Aqueous Species Options'!B558), "", IF('Aqueous Species Options'!L558=0, 'Aqueous Species Options'!N558, IF(OR(ISBLANK('Aqueous Species Options'!G558),'Aqueous Species Table'!O558="", 'Aqueous Species Table'!P558=""), "", IF('Aqueous Species Options'!B558="H+", 0, (CHOOSE('Aqueous Species Options'!M558+1,'Aqueous Species Options'!$V$4*ABS('Aqueous Species Table'!P558)+'Aqueous Species Options'!$W$4,'Aqueous Species Options'!$Z$4)*('Aqueous Species Options'!G558 + 'Aqueous Species Table'!O558*100000*0.0000005903*41.8393) + CHOOSE('Aqueous Species Options'!M558+1,'Aqueous Species Options'!$X$4*ABS('Aqueous Species Table'!P558)+'Aqueous Species Options'!$Y$4,'Aqueous Species Options'!$AA$4))*10 ) ) ) )</f>
        <v/>
      </c>
      <c r="J558" s="1" t="str">
        <f>IF(ISBLANK('Aqueous Species Options'!B558), "", IF('Aqueous Species Options'!L558 = 0, 'Aqueous Species Options'!O558, IF('Aqueous Species Table'!I558="", "", IF('Aqueous Species Options'!B558="H+", 0, ((1.11*('Aqueous Species Options'!G558 + 'Aqueous Species Table'!O558*100000*0.0000005903*41.8393)+1.8)/41.8393 - 'Aqueous Species Table'!I558/10)*26.01 ) ) ) )</f>
        <v/>
      </c>
      <c r="K558" s="1" t="str">
        <f>IF(ISBLANK('Aqueous Species Options'!B558), "", IF('Aqueous Species Options'!L558 = 0, 'Aqueous Species Options'!P558, IF('Aqueous Species Table'!I558="", "", IF('Aqueous Species Options'!B558="H+", 0, ('Aqueous Species Options'!G558/41.8393 + 'Aqueous Species Table'!O558*100000*0.0000005903 - 'Aqueous Species Table'!I558/10 - 'Aqueous Species Table'!J558*100/2601)*(298.15-228) - ('Aqueous Species Table'!L558*10000/2601) ) ) ) )</f>
        <v/>
      </c>
      <c r="L558" s="1" t="str">
        <f>IF(ISBLANK('Aqueous Species Options'!B558), "", IF('Aqueous Species Options'!L558 = 0, 'Aqueous Species Options'!Q558, IF('Aqueous Species Table'!J558="", "", IF('Aqueous Species Options'!B558="H+", 0, (-4.134*'Aqueous Species Table'!J558*100 - 27790)*0.0001) ) ) )</f>
        <v/>
      </c>
      <c r="M558" s="1" t="str">
        <f>IF(ISBLANK('Aqueous Species Options'!B558), "", IF('Aqueous Species Options'!L558=0, 'Aqueous Species Options'!R558, IF('Aqueous Species Table'!N558="", "", IF('Aqueous Species Options'!B558="H+", 0, 'Aqueous Species Options'!H558 - 'Aqueous Species Table'!O558*100000*(-0.000000309)*298.15 - 'Aqueous Species Table'!N558*10000/(298.15-228)^2 ) ) ) )</f>
        <v/>
      </c>
      <c r="N558" s="1" t="str">
        <f>IF(ISBLANK('Aqueous Species Options'!B558), "", IF('Aqueous Species Options'!L558=0, 'Aqueous Species Options'!S558, IF(OR(ISBLANK('Aqueous Species Options'!H558), 'Aqueous Species Table'!O558=""), "", IF('Aqueous Species Options'!B558="H+", 0, 0.2037*'Aqueous Species Options'!H558 - 3.0346) ) ) )</f>
        <v/>
      </c>
      <c r="O558" s="1" t="str">
        <f>IF(ISBLANK('Aqueous Species Options'!B558), "", IF('Aqueous Species Options'!K558=0, 'Aqueous Species Options'!I558, IF(OR('Aqueous Species Options'!J558&gt;4,'Aqueous Species Options'!J558&lt;-4), "", IF('Aqueous Species Options'!B558="H+", 0, IF('Aqueous Species Options'!J558=0, -0.038, IF(ISBLANK('Aqueous Species Options'!F558), "", -1514.4*'Aqueous Species Options'!F558*0.00001 + SUM(({4,3,2,1,-1,-2,-3,-4}='Aqueous Species Options'!J558)*{2.1764,1.5793,1.0579,0.5517,1.6291,3.2127,4.8115,6.486}) ) ) ) ) ) )</f>
        <v/>
      </c>
      <c r="P558" s="1" t="str">
        <f>IF(ISBLANK('Aqueous Species Options'!J558), "", 'Aqueous Species Options'!J558)</f>
        <v/>
      </c>
      <c r="Q558" s="184" t="str">
        <f>IF(ISBLANK('Aqueous Species Options'!T558), "", 'Aqueous Species Options'!T558)</f>
        <v/>
      </c>
    </row>
    <row r="559" spans="2:17" ht="16" x14ac:dyDescent="0.2">
      <c r="B559" t="str">
        <f>IF(ISBLANK('Aqueous Species Options'!B559), "", 'Aqueous Species Options'!B559)</f>
        <v/>
      </c>
      <c r="C559" s="1" t="str">
        <f>IF(ISBLANK('Aqueous Species Options'!C559), "", 'Aqueous Species Options'!C559)</f>
        <v/>
      </c>
      <c r="D559" s="1" t="str">
        <f>IF(ISBLANK('Aqueous Species Options'!D559), "", 'Aqueous Species Options'!D559)</f>
        <v/>
      </c>
      <c r="E559" s="1" t="str">
        <f>IF(ISBLANK('Aqueous Species Options'!E559), "", 'Aqueous Species Options'!E559)</f>
        <v/>
      </c>
      <c r="F559" s="139" t="str">
        <f>IF(ISBLANK('Aqueous Species Options'!F559), "", 'Aqueous Species Options'!F559)</f>
        <v/>
      </c>
      <c r="G559" s="29" t="str">
        <f>IF(ISBLANK('Aqueous Species Options'!B559), "", IF('Aqueous Species Options'!L559 = 1, IF(ISBLANK('Aqueous Species Options'!G559), "", 'Aqueous Species Options'!G559), ('Aqueous Species Table'!I559/10 + ('Aqueous Species Table'!J559*100)/(Calculations!$C$12+Calculations!$C$9) + ('Aqueous Species Table'!K559 + ('Aqueous Species Table'!L559*10000)/(Calculations!$C$12+Calculations!$C$9))*(1/(Calculations!$C$8-Calculations!$C$13)) - 'Aqueous Species Table'!O559*100000*0.0000005903)*41.8393))</f>
        <v/>
      </c>
      <c r="H559" s="29" t="str">
        <f>IF(ISBLANK('Aqueous Species Options'!B559), "", IF('Aqueous Species Options'!L559 = 1, IF(ISBLANK('Aqueous Species Options'!H559), "", 'Aqueous Species Options'!H559), 'Aqueous Species Table'!M559 + 'Aqueous Species Table'!N559*10000*(1/(Calculations!$C$8-Calculations!$C$13))^2 + 'Aqueous Species Table'!O559*100000*Calculations!$C$8*Calculations!$C$7))</f>
        <v/>
      </c>
      <c r="I559" s="1" t="str">
        <f>IF(ISBLANK('Aqueous Species Options'!B559), "", IF('Aqueous Species Options'!L559=0, 'Aqueous Species Options'!N559, IF(OR(ISBLANK('Aqueous Species Options'!G559),'Aqueous Species Table'!O559="", 'Aqueous Species Table'!P559=""), "", IF('Aqueous Species Options'!B559="H+", 0, (CHOOSE('Aqueous Species Options'!M559+1,'Aqueous Species Options'!$V$4*ABS('Aqueous Species Table'!P559)+'Aqueous Species Options'!$W$4,'Aqueous Species Options'!$Z$4)*('Aqueous Species Options'!G559 + 'Aqueous Species Table'!O559*100000*0.0000005903*41.8393) + CHOOSE('Aqueous Species Options'!M559+1,'Aqueous Species Options'!$X$4*ABS('Aqueous Species Table'!P559)+'Aqueous Species Options'!$Y$4,'Aqueous Species Options'!$AA$4))*10 ) ) ) )</f>
        <v/>
      </c>
      <c r="J559" s="1" t="str">
        <f>IF(ISBLANK('Aqueous Species Options'!B559), "", IF('Aqueous Species Options'!L559 = 0, 'Aqueous Species Options'!O559, IF('Aqueous Species Table'!I559="", "", IF('Aqueous Species Options'!B559="H+", 0, ((1.11*('Aqueous Species Options'!G559 + 'Aqueous Species Table'!O559*100000*0.0000005903*41.8393)+1.8)/41.8393 - 'Aqueous Species Table'!I559/10)*26.01 ) ) ) )</f>
        <v/>
      </c>
      <c r="K559" s="1" t="str">
        <f>IF(ISBLANK('Aqueous Species Options'!B559), "", IF('Aqueous Species Options'!L559 = 0, 'Aqueous Species Options'!P559, IF('Aqueous Species Table'!I559="", "", IF('Aqueous Species Options'!B559="H+", 0, ('Aqueous Species Options'!G559/41.8393 + 'Aqueous Species Table'!O559*100000*0.0000005903 - 'Aqueous Species Table'!I559/10 - 'Aqueous Species Table'!J559*100/2601)*(298.15-228) - ('Aqueous Species Table'!L559*10000/2601) ) ) ) )</f>
        <v/>
      </c>
      <c r="L559" s="1" t="str">
        <f>IF(ISBLANK('Aqueous Species Options'!B559), "", IF('Aqueous Species Options'!L559 = 0, 'Aqueous Species Options'!Q559, IF('Aqueous Species Table'!J559="", "", IF('Aqueous Species Options'!B559="H+", 0, (-4.134*'Aqueous Species Table'!J559*100 - 27790)*0.0001) ) ) )</f>
        <v/>
      </c>
      <c r="M559" s="1" t="str">
        <f>IF(ISBLANK('Aqueous Species Options'!B559), "", IF('Aqueous Species Options'!L559=0, 'Aqueous Species Options'!R559, IF('Aqueous Species Table'!N559="", "", IF('Aqueous Species Options'!B559="H+", 0, 'Aqueous Species Options'!H559 - 'Aqueous Species Table'!O559*100000*(-0.000000309)*298.15 - 'Aqueous Species Table'!N559*10000/(298.15-228)^2 ) ) ) )</f>
        <v/>
      </c>
      <c r="N559" s="1" t="str">
        <f>IF(ISBLANK('Aqueous Species Options'!B559), "", IF('Aqueous Species Options'!L559=0, 'Aqueous Species Options'!S559, IF(OR(ISBLANK('Aqueous Species Options'!H559), 'Aqueous Species Table'!O559=""), "", IF('Aqueous Species Options'!B559="H+", 0, 0.2037*'Aqueous Species Options'!H559 - 3.0346) ) ) )</f>
        <v/>
      </c>
      <c r="O559" s="1" t="str">
        <f>IF(ISBLANK('Aqueous Species Options'!B559), "", IF('Aqueous Species Options'!K559=0, 'Aqueous Species Options'!I559, IF(OR('Aqueous Species Options'!J559&gt;4,'Aqueous Species Options'!J559&lt;-4), "", IF('Aqueous Species Options'!B559="H+", 0, IF('Aqueous Species Options'!J559=0, -0.038, IF(ISBLANK('Aqueous Species Options'!F559), "", -1514.4*'Aqueous Species Options'!F559*0.00001 + SUM(({4,3,2,1,-1,-2,-3,-4}='Aqueous Species Options'!J559)*{2.1764,1.5793,1.0579,0.5517,1.6291,3.2127,4.8115,6.486}) ) ) ) ) ) )</f>
        <v/>
      </c>
      <c r="P559" s="1" t="str">
        <f>IF(ISBLANK('Aqueous Species Options'!J559), "", 'Aqueous Species Options'!J559)</f>
        <v/>
      </c>
      <c r="Q559" s="184" t="str">
        <f>IF(ISBLANK('Aqueous Species Options'!T559), "", 'Aqueous Species Options'!T559)</f>
        <v/>
      </c>
    </row>
    <row r="560" spans="2:17" ht="16" x14ac:dyDescent="0.2">
      <c r="B560" t="str">
        <f>IF(ISBLANK('Aqueous Species Options'!B560), "", 'Aqueous Species Options'!B560)</f>
        <v/>
      </c>
      <c r="C560" s="1" t="str">
        <f>IF(ISBLANK('Aqueous Species Options'!C560), "", 'Aqueous Species Options'!C560)</f>
        <v/>
      </c>
      <c r="D560" s="1" t="str">
        <f>IF(ISBLANK('Aqueous Species Options'!D560), "", 'Aqueous Species Options'!D560)</f>
        <v/>
      </c>
      <c r="E560" s="1" t="str">
        <f>IF(ISBLANK('Aqueous Species Options'!E560), "", 'Aqueous Species Options'!E560)</f>
        <v/>
      </c>
      <c r="F560" s="139" t="str">
        <f>IF(ISBLANK('Aqueous Species Options'!F560), "", 'Aqueous Species Options'!F560)</f>
        <v/>
      </c>
      <c r="G560" s="29" t="str">
        <f>IF(ISBLANK('Aqueous Species Options'!B560), "", IF('Aqueous Species Options'!L560 = 1, IF(ISBLANK('Aqueous Species Options'!G560), "", 'Aqueous Species Options'!G560), ('Aqueous Species Table'!I560/10 + ('Aqueous Species Table'!J560*100)/(Calculations!$C$12+Calculations!$C$9) + ('Aqueous Species Table'!K560 + ('Aqueous Species Table'!L560*10000)/(Calculations!$C$12+Calculations!$C$9))*(1/(Calculations!$C$8-Calculations!$C$13)) - 'Aqueous Species Table'!O560*100000*0.0000005903)*41.8393))</f>
        <v/>
      </c>
      <c r="H560" s="29" t="str">
        <f>IF(ISBLANK('Aqueous Species Options'!B560), "", IF('Aqueous Species Options'!L560 = 1, IF(ISBLANK('Aqueous Species Options'!H560), "", 'Aqueous Species Options'!H560), 'Aqueous Species Table'!M560 + 'Aqueous Species Table'!N560*10000*(1/(Calculations!$C$8-Calculations!$C$13))^2 + 'Aqueous Species Table'!O560*100000*Calculations!$C$8*Calculations!$C$7))</f>
        <v/>
      </c>
      <c r="I560" s="1" t="str">
        <f>IF(ISBLANK('Aqueous Species Options'!B560), "", IF('Aqueous Species Options'!L560=0, 'Aqueous Species Options'!N560, IF(OR(ISBLANK('Aqueous Species Options'!G560),'Aqueous Species Table'!O560="", 'Aqueous Species Table'!P560=""), "", IF('Aqueous Species Options'!B560="H+", 0, (CHOOSE('Aqueous Species Options'!M560+1,'Aqueous Species Options'!$V$4*ABS('Aqueous Species Table'!P560)+'Aqueous Species Options'!$W$4,'Aqueous Species Options'!$Z$4)*('Aqueous Species Options'!G560 + 'Aqueous Species Table'!O560*100000*0.0000005903*41.8393) + CHOOSE('Aqueous Species Options'!M560+1,'Aqueous Species Options'!$X$4*ABS('Aqueous Species Table'!P560)+'Aqueous Species Options'!$Y$4,'Aqueous Species Options'!$AA$4))*10 ) ) ) )</f>
        <v/>
      </c>
      <c r="J560" s="1" t="str">
        <f>IF(ISBLANK('Aqueous Species Options'!B560), "", IF('Aqueous Species Options'!L560 = 0, 'Aqueous Species Options'!O560, IF('Aqueous Species Table'!I560="", "", IF('Aqueous Species Options'!B560="H+", 0, ((1.11*('Aqueous Species Options'!G560 + 'Aqueous Species Table'!O560*100000*0.0000005903*41.8393)+1.8)/41.8393 - 'Aqueous Species Table'!I560/10)*26.01 ) ) ) )</f>
        <v/>
      </c>
      <c r="K560" s="1" t="str">
        <f>IF(ISBLANK('Aqueous Species Options'!B560), "", IF('Aqueous Species Options'!L560 = 0, 'Aqueous Species Options'!P560, IF('Aqueous Species Table'!I560="", "", IF('Aqueous Species Options'!B560="H+", 0, ('Aqueous Species Options'!G560/41.8393 + 'Aqueous Species Table'!O560*100000*0.0000005903 - 'Aqueous Species Table'!I560/10 - 'Aqueous Species Table'!J560*100/2601)*(298.15-228) - ('Aqueous Species Table'!L560*10000/2601) ) ) ) )</f>
        <v/>
      </c>
      <c r="L560" s="1" t="str">
        <f>IF(ISBLANK('Aqueous Species Options'!B560), "", IF('Aqueous Species Options'!L560 = 0, 'Aqueous Species Options'!Q560, IF('Aqueous Species Table'!J560="", "", IF('Aqueous Species Options'!B560="H+", 0, (-4.134*'Aqueous Species Table'!J560*100 - 27790)*0.0001) ) ) )</f>
        <v/>
      </c>
      <c r="M560" s="1" t="str">
        <f>IF(ISBLANK('Aqueous Species Options'!B560), "", IF('Aqueous Species Options'!L560=0, 'Aqueous Species Options'!R560, IF('Aqueous Species Table'!N560="", "", IF('Aqueous Species Options'!B560="H+", 0, 'Aqueous Species Options'!H560 - 'Aqueous Species Table'!O560*100000*(-0.000000309)*298.15 - 'Aqueous Species Table'!N560*10000/(298.15-228)^2 ) ) ) )</f>
        <v/>
      </c>
      <c r="N560" s="1" t="str">
        <f>IF(ISBLANK('Aqueous Species Options'!B560), "", IF('Aqueous Species Options'!L560=0, 'Aqueous Species Options'!S560, IF(OR(ISBLANK('Aqueous Species Options'!H560), 'Aqueous Species Table'!O560=""), "", IF('Aqueous Species Options'!B560="H+", 0, 0.2037*'Aqueous Species Options'!H560 - 3.0346) ) ) )</f>
        <v/>
      </c>
      <c r="O560" s="1" t="str">
        <f>IF(ISBLANK('Aqueous Species Options'!B560), "", IF('Aqueous Species Options'!K560=0, 'Aqueous Species Options'!I560, IF(OR('Aqueous Species Options'!J560&gt;4,'Aqueous Species Options'!J560&lt;-4), "", IF('Aqueous Species Options'!B560="H+", 0, IF('Aqueous Species Options'!J560=0, -0.038, IF(ISBLANK('Aqueous Species Options'!F560), "", -1514.4*'Aqueous Species Options'!F560*0.00001 + SUM(({4,3,2,1,-1,-2,-3,-4}='Aqueous Species Options'!J560)*{2.1764,1.5793,1.0579,0.5517,1.6291,3.2127,4.8115,6.486}) ) ) ) ) ) )</f>
        <v/>
      </c>
      <c r="P560" s="1" t="str">
        <f>IF(ISBLANK('Aqueous Species Options'!J560), "", 'Aqueous Species Options'!J560)</f>
        <v/>
      </c>
      <c r="Q560" s="184" t="str">
        <f>IF(ISBLANK('Aqueous Species Options'!T560), "", 'Aqueous Species Options'!T560)</f>
        <v/>
      </c>
    </row>
    <row r="561" spans="2:17" ht="16" x14ac:dyDescent="0.2">
      <c r="B561" t="str">
        <f>IF(ISBLANK('Aqueous Species Options'!B561), "", 'Aqueous Species Options'!B561)</f>
        <v/>
      </c>
      <c r="C561" s="1" t="str">
        <f>IF(ISBLANK('Aqueous Species Options'!C561), "", 'Aqueous Species Options'!C561)</f>
        <v/>
      </c>
      <c r="D561" s="1" t="str">
        <f>IF(ISBLANK('Aqueous Species Options'!D561), "", 'Aqueous Species Options'!D561)</f>
        <v/>
      </c>
      <c r="E561" s="1" t="str">
        <f>IF(ISBLANK('Aqueous Species Options'!E561), "", 'Aqueous Species Options'!E561)</f>
        <v/>
      </c>
      <c r="F561" s="139" t="str">
        <f>IF(ISBLANK('Aqueous Species Options'!F561), "", 'Aqueous Species Options'!F561)</f>
        <v/>
      </c>
      <c r="G561" s="29" t="str">
        <f>IF(ISBLANK('Aqueous Species Options'!B561), "", IF('Aqueous Species Options'!L561 = 1, IF(ISBLANK('Aqueous Species Options'!G561), "", 'Aqueous Species Options'!G561), ('Aqueous Species Table'!I561/10 + ('Aqueous Species Table'!J561*100)/(Calculations!$C$12+Calculations!$C$9) + ('Aqueous Species Table'!K561 + ('Aqueous Species Table'!L561*10000)/(Calculations!$C$12+Calculations!$C$9))*(1/(Calculations!$C$8-Calculations!$C$13)) - 'Aqueous Species Table'!O561*100000*0.0000005903)*41.8393))</f>
        <v/>
      </c>
      <c r="H561" s="29" t="str">
        <f>IF(ISBLANK('Aqueous Species Options'!B561), "", IF('Aqueous Species Options'!L561 = 1, IF(ISBLANK('Aqueous Species Options'!H561), "", 'Aqueous Species Options'!H561), 'Aqueous Species Table'!M561 + 'Aqueous Species Table'!N561*10000*(1/(Calculations!$C$8-Calculations!$C$13))^2 + 'Aqueous Species Table'!O561*100000*Calculations!$C$8*Calculations!$C$7))</f>
        <v/>
      </c>
      <c r="I561" s="1" t="str">
        <f>IF(ISBLANK('Aqueous Species Options'!B561), "", IF('Aqueous Species Options'!L561=0, 'Aqueous Species Options'!N561, IF(OR(ISBLANK('Aqueous Species Options'!G561),'Aqueous Species Table'!O561="", 'Aqueous Species Table'!P561=""), "", IF('Aqueous Species Options'!B561="H+", 0, (CHOOSE('Aqueous Species Options'!M561+1,'Aqueous Species Options'!$V$4*ABS('Aqueous Species Table'!P561)+'Aqueous Species Options'!$W$4,'Aqueous Species Options'!$Z$4)*('Aqueous Species Options'!G561 + 'Aqueous Species Table'!O561*100000*0.0000005903*41.8393) + CHOOSE('Aqueous Species Options'!M561+1,'Aqueous Species Options'!$X$4*ABS('Aqueous Species Table'!P561)+'Aqueous Species Options'!$Y$4,'Aqueous Species Options'!$AA$4))*10 ) ) ) )</f>
        <v/>
      </c>
      <c r="J561" s="1" t="str">
        <f>IF(ISBLANK('Aqueous Species Options'!B561), "", IF('Aqueous Species Options'!L561 = 0, 'Aqueous Species Options'!O561, IF('Aqueous Species Table'!I561="", "", IF('Aqueous Species Options'!B561="H+", 0, ((1.11*('Aqueous Species Options'!G561 + 'Aqueous Species Table'!O561*100000*0.0000005903*41.8393)+1.8)/41.8393 - 'Aqueous Species Table'!I561/10)*26.01 ) ) ) )</f>
        <v/>
      </c>
      <c r="K561" s="1" t="str">
        <f>IF(ISBLANK('Aqueous Species Options'!B561), "", IF('Aqueous Species Options'!L561 = 0, 'Aqueous Species Options'!P561, IF('Aqueous Species Table'!I561="", "", IF('Aqueous Species Options'!B561="H+", 0, ('Aqueous Species Options'!G561/41.8393 + 'Aqueous Species Table'!O561*100000*0.0000005903 - 'Aqueous Species Table'!I561/10 - 'Aqueous Species Table'!J561*100/2601)*(298.15-228) - ('Aqueous Species Table'!L561*10000/2601) ) ) ) )</f>
        <v/>
      </c>
      <c r="L561" s="1" t="str">
        <f>IF(ISBLANK('Aqueous Species Options'!B561), "", IF('Aqueous Species Options'!L561 = 0, 'Aqueous Species Options'!Q561, IF('Aqueous Species Table'!J561="", "", IF('Aqueous Species Options'!B561="H+", 0, (-4.134*'Aqueous Species Table'!J561*100 - 27790)*0.0001) ) ) )</f>
        <v/>
      </c>
      <c r="M561" s="1" t="str">
        <f>IF(ISBLANK('Aqueous Species Options'!B561), "", IF('Aqueous Species Options'!L561=0, 'Aqueous Species Options'!R561, IF('Aqueous Species Table'!N561="", "", IF('Aqueous Species Options'!B561="H+", 0, 'Aqueous Species Options'!H561 - 'Aqueous Species Table'!O561*100000*(-0.000000309)*298.15 - 'Aqueous Species Table'!N561*10000/(298.15-228)^2 ) ) ) )</f>
        <v/>
      </c>
      <c r="N561" s="1" t="str">
        <f>IF(ISBLANK('Aqueous Species Options'!B561), "", IF('Aqueous Species Options'!L561=0, 'Aqueous Species Options'!S561, IF(OR(ISBLANK('Aqueous Species Options'!H561), 'Aqueous Species Table'!O561=""), "", IF('Aqueous Species Options'!B561="H+", 0, 0.2037*'Aqueous Species Options'!H561 - 3.0346) ) ) )</f>
        <v/>
      </c>
      <c r="O561" s="1" t="str">
        <f>IF(ISBLANK('Aqueous Species Options'!B561), "", IF('Aqueous Species Options'!K561=0, 'Aqueous Species Options'!I561, IF(OR('Aqueous Species Options'!J561&gt;4,'Aqueous Species Options'!J561&lt;-4), "", IF('Aqueous Species Options'!B561="H+", 0, IF('Aqueous Species Options'!J561=0, -0.038, IF(ISBLANK('Aqueous Species Options'!F561), "", -1514.4*'Aqueous Species Options'!F561*0.00001 + SUM(({4,3,2,1,-1,-2,-3,-4}='Aqueous Species Options'!J561)*{2.1764,1.5793,1.0579,0.5517,1.6291,3.2127,4.8115,6.486}) ) ) ) ) ) )</f>
        <v/>
      </c>
      <c r="P561" s="1" t="str">
        <f>IF(ISBLANK('Aqueous Species Options'!J561), "", 'Aqueous Species Options'!J561)</f>
        <v/>
      </c>
      <c r="Q561" s="184" t="str">
        <f>IF(ISBLANK('Aqueous Species Options'!T561), "", 'Aqueous Species Options'!T561)</f>
        <v/>
      </c>
    </row>
    <row r="562" spans="2:17" ht="16" x14ac:dyDescent="0.2">
      <c r="B562" t="str">
        <f>IF(ISBLANK('Aqueous Species Options'!B562), "", 'Aqueous Species Options'!B562)</f>
        <v/>
      </c>
      <c r="C562" s="1" t="str">
        <f>IF(ISBLANK('Aqueous Species Options'!C562), "", 'Aqueous Species Options'!C562)</f>
        <v/>
      </c>
      <c r="D562" s="1" t="str">
        <f>IF(ISBLANK('Aqueous Species Options'!D562), "", 'Aqueous Species Options'!D562)</f>
        <v/>
      </c>
      <c r="E562" s="1" t="str">
        <f>IF(ISBLANK('Aqueous Species Options'!E562), "", 'Aqueous Species Options'!E562)</f>
        <v/>
      </c>
      <c r="F562" s="139" t="str">
        <f>IF(ISBLANK('Aqueous Species Options'!F562), "", 'Aqueous Species Options'!F562)</f>
        <v/>
      </c>
      <c r="G562" s="29" t="str">
        <f>IF(ISBLANK('Aqueous Species Options'!B562), "", IF('Aqueous Species Options'!L562 = 1, IF(ISBLANK('Aqueous Species Options'!G562), "", 'Aqueous Species Options'!G562), ('Aqueous Species Table'!I562/10 + ('Aqueous Species Table'!J562*100)/(Calculations!$C$12+Calculations!$C$9) + ('Aqueous Species Table'!K562 + ('Aqueous Species Table'!L562*10000)/(Calculations!$C$12+Calculations!$C$9))*(1/(Calculations!$C$8-Calculations!$C$13)) - 'Aqueous Species Table'!O562*100000*0.0000005903)*41.8393))</f>
        <v/>
      </c>
      <c r="H562" s="29" t="str">
        <f>IF(ISBLANK('Aqueous Species Options'!B562), "", IF('Aqueous Species Options'!L562 = 1, IF(ISBLANK('Aqueous Species Options'!H562), "", 'Aqueous Species Options'!H562), 'Aqueous Species Table'!M562 + 'Aqueous Species Table'!N562*10000*(1/(Calculations!$C$8-Calculations!$C$13))^2 + 'Aqueous Species Table'!O562*100000*Calculations!$C$8*Calculations!$C$7))</f>
        <v/>
      </c>
      <c r="I562" s="1" t="str">
        <f>IF(ISBLANK('Aqueous Species Options'!B562), "", IF('Aqueous Species Options'!L562=0, 'Aqueous Species Options'!N562, IF(OR(ISBLANK('Aqueous Species Options'!G562),'Aqueous Species Table'!O562="", 'Aqueous Species Table'!P562=""), "", IF('Aqueous Species Options'!B562="H+", 0, (CHOOSE('Aqueous Species Options'!M562+1,'Aqueous Species Options'!$V$4*ABS('Aqueous Species Table'!P562)+'Aqueous Species Options'!$W$4,'Aqueous Species Options'!$Z$4)*('Aqueous Species Options'!G562 + 'Aqueous Species Table'!O562*100000*0.0000005903*41.8393) + CHOOSE('Aqueous Species Options'!M562+1,'Aqueous Species Options'!$X$4*ABS('Aqueous Species Table'!P562)+'Aqueous Species Options'!$Y$4,'Aqueous Species Options'!$AA$4))*10 ) ) ) )</f>
        <v/>
      </c>
      <c r="J562" s="1" t="str">
        <f>IF(ISBLANK('Aqueous Species Options'!B562), "", IF('Aqueous Species Options'!L562 = 0, 'Aqueous Species Options'!O562, IF('Aqueous Species Table'!I562="", "", IF('Aqueous Species Options'!B562="H+", 0, ((1.11*('Aqueous Species Options'!G562 + 'Aqueous Species Table'!O562*100000*0.0000005903*41.8393)+1.8)/41.8393 - 'Aqueous Species Table'!I562/10)*26.01 ) ) ) )</f>
        <v/>
      </c>
      <c r="K562" s="1" t="str">
        <f>IF(ISBLANK('Aqueous Species Options'!B562), "", IF('Aqueous Species Options'!L562 = 0, 'Aqueous Species Options'!P562, IF('Aqueous Species Table'!I562="", "", IF('Aqueous Species Options'!B562="H+", 0, ('Aqueous Species Options'!G562/41.8393 + 'Aqueous Species Table'!O562*100000*0.0000005903 - 'Aqueous Species Table'!I562/10 - 'Aqueous Species Table'!J562*100/2601)*(298.15-228) - ('Aqueous Species Table'!L562*10000/2601) ) ) ) )</f>
        <v/>
      </c>
      <c r="L562" s="1" t="str">
        <f>IF(ISBLANK('Aqueous Species Options'!B562), "", IF('Aqueous Species Options'!L562 = 0, 'Aqueous Species Options'!Q562, IF('Aqueous Species Table'!J562="", "", IF('Aqueous Species Options'!B562="H+", 0, (-4.134*'Aqueous Species Table'!J562*100 - 27790)*0.0001) ) ) )</f>
        <v/>
      </c>
      <c r="M562" s="1" t="str">
        <f>IF(ISBLANK('Aqueous Species Options'!B562), "", IF('Aqueous Species Options'!L562=0, 'Aqueous Species Options'!R562, IF('Aqueous Species Table'!N562="", "", IF('Aqueous Species Options'!B562="H+", 0, 'Aqueous Species Options'!H562 - 'Aqueous Species Table'!O562*100000*(-0.000000309)*298.15 - 'Aqueous Species Table'!N562*10000/(298.15-228)^2 ) ) ) )</f>
        <v/>
      </c>
      <c r="N562" s="1" t="str">
        <f>IF(ISBLANK('Aqueous Species Options'!B562), "", IF('Aqueous Species Options'!L562=0, 'Aqueous Species Options'!S562, IF(OR(ISBLANK('Aqueous Species Options'!H562), 'Aqueous Species Table'!O562=""), "", IF('Aqueous Species Options'!B562="H+", 0, 0.2037*'Aqueous Species Options'!H562 - 3.0346) ) ) )</f>
        <v/>
      </c>
      <c r="O562" s="1" t="str">
        <f>IF(ISBLANK('Aqueous Species Options'!B562), "", IF('Aqueous Species Options'!K562=0, 'Aqueous Species Options'!I562, IF(OR('Aqueous Species Options'!J562&gt;4,'Aqueous Species Options'!J562&lt;-4), "", IF('Aqueous Species Options'!B562="H+", 0, IF('Aqueous Species Options'!J562=0, -0.038, IF(ISBLANK('Aqueous Species Options'!F562), "", -1514.4*'Aqueous Species Options'!F562*0.00001 + SUM(({4,3,2,1,-1,-2,-3,-4}='Aqueous Species Options'!J562)*{2.1764,1.5793,1.0579,0.5517,1.6291,3.2127,4.8115,6.486}) ) ) ) ) ) )</f>
        <v/>
      </c>
      <c r="P562" s="1" t="str">
        <f>IF(ISBLANK('Aqueous Species Options'!J562), "", 'Aqueous Species Options'!J562)</f>
        <v/>
      </c>
      <c r="Q562" s="184" t="str">
        <f>IF(ISBLANK('Aqueous Species Options'!T562), "", 'Aqueous Species Options'!T562)</f>
        <v/>
      </c>
    </row>
    <row r="563" spans="2:17" ht="16" x14ac:dyDescent="0.2">
      <c r="B563" t="str">
        <f>IF(ISBLANK('Aqueous Species Options'!B563), "", 'Aqueous Species Options'!B563)</f>
        <v/>
      </c>
      <c r="C563" s="1" t="str">
        <f>IF(ISBLANK('Aqueous Species Options'!C563), "", 'Aqueous Species Options'!C563)</f>
        <v/>
      </c>
      <c r="D563" s="1" t="str">
        <f>IF(ISBLANK('Aqueous Species Options'!D563), "", 'Aqueous Species Options'!D563)</f>
        <v/>
      </c>
      <c r="E563" s="1" t="str">
        <f>IF(ISBLANK('Aqueous Species Options'!E563), "", 'Aqueous Species Options'!E563)</f>
        <v/>
      </c>
      <c r="F563" s="139" t="str">
        <f>IF(ISBLANK('Aqueous Species Options'!F563), "", 'Aqueous Species Options'!F563)</f>
        <v/>
      </c>
      <c r="G563" s="29" t="str">
        <f>IF(ISBLANK('Aqueous Species Options'!B563), "", IF('Aqueous Species Options'!L563 = 1, IF(ISBLANK('Aqueous Species Options'!G563), "", 'Aqueous Species Options'!G563), ('Aqueous Species Table'!I563/10 + ('Aqueous Species Table'!J563*100)/(Calculations!$C$12+Calculations!$C$9) + ('Aqueous Species Table'!K563 + ('Aqueous Species Table'!L563*10000)/(Calculations!$C$12+Calculations!$C$9))*(1/(Calculations!$C$8-Calculations!$C$13)) - 'Aqueous Species Table'!O563*100000*0.0000005903)*41.8393))</f>
        <v/>
      </c>
      <c r="H563" s="29" t="str">
        <f>IF(ISBLANK('Aqueous Species Options'!B563), "", IF('Aqueous Species Options'!L563 = 1, IF(ISBLANK('Aqueous Species Options'!H563), "", 'Aqueous Species Options'!H563), 'Aqueous Species Table'!M563 + 'Aqueous Species Table'!N563*10000*(1/(Calculations!$C$8-Calculations!$C$13))^2 + 'Aqueous Species Table'!O563*100000*Calculations!$C$8*Calculations!$C$7))</f>
        <v/>
      </c>
      <c r="I563" s="1" t="str">
        <f>IF(ISBLANK('Aqueous Species Options'!B563), "", IF('Aqueous Species Options'!L563=0, 'Aqueous Species Options'!N563, IF(OR(ISBLANK('Aqueous Species Options'!G563),'Aqueous Species Table'!O563="", 'Aqueous Species Table'!P563=""), "", IF('Aqueous Species Options'!B563="H+", 0, (CHOOSE('Aqueous Species Options'!M563+1,'Aqueous Species Options'!$V$4*ABS('Aqueous Species Table'!P563)+'Aqueous Species Options'!$W$4,'Aqueous Species Options'!$Z$4)*('Aqueous Species Options'!G563 + 'Aqueous Species Table'!O563*100000*0.0000005903*41.8393) + CHOOSE('Aqueous Species Options'!M563+1,'Aqueous Species Options'!$X$4*ABS('Aqueous Species Table'!P563)+'Aqueous Species Options'!$Y$4,'Aqueous Species Options'!$AA$4))*10 ) ) ) )</f>
        <v/>
      </c>
      <c r="J563" s="1" t="str">
        <f>IF(ISBLANK('Aqueous Species Options'!B563), "", IF('Aqueous Species Options'!L563 = 0, 'Aqueous Species Options'!O563, IF('Aqueous Species Table'!I563="", "", IF('Aqueous Species Options'!B563="H+", 0, ((1.11*('Aqueous Species Options'!G563 + 'Aqueous Species Table'!O563*100000*0.0000005903*41.8393)+1.8)/41.8393 - 'Aqueous Species Table'!I563/10)*26.01 ) ) ) )</f>
        <v/>
      </c>
      <c r="K563" s="1" t="str">
        <f>IF(ISBLANK('Aqueous Species Options'!B563), "", IF('Aqueous Species Options'!L563 = 0, 'Aqueous Species Options'!P563, IF('Aqueous Species Table'!I563="", "", IF('Aqueous Species Options'!B563="H+", 0, ('Aqueous Species Options'!G563/41.8393 + 'Aqueous Species Table'!O563*100000*0.0000005903 - 'Aqueous Species Table'!I563/10 - 'Aqueous Species Table'!J563*100/2601)*(298.15-228) - ('Aqueous Species Table'!L563*10000/2601) ) ) ) )</f>
        <v/>
      </c>
      <c r="L563" s="1" t="str">
        <f>IF(ISBLANK('Aqueous Species Options'!B563), "", IF('Aqueous Species Options'!L563 = 0, 'Aqueous Species Options'!Q563, IF('Aqueous Species Table'!J563="", "", IF('Aqueous Species Options'!B563="H+", 0, (-4.134*'Aqueous Species Table'!J563*100 - 27790)*0.0001) ) ) )</f>
        <v/>
      </c>
      <c r="M563" s="1" t="str">
        <f>IF(ISBLANK('Aqueous Species Options'!B563), "", IF('Aqueous Species Options'!L563=0, 'Aqueous Species Options'!R563, IF('Aqueous Species Table'!N563="", "", IF('Aqueous Species Options'!B563="H+", 0, 'Aqueous Species Options'!H563 - 'Aqueous Species Table'!O563*100000*(-0.000000309)*298.15 - 'Aqueous Species Table'!N563*10000/(298.15-228)^2 ) ) ) )</f>
        <v/>
      </c>
      <c r="N563" s="1" t="str">
        <f>IF(ISBLANK('Aqueous Species Options'!B563), "", IF('Aqueous Species Options'!L563=0, 'Aqueous Species Options'!S563, IF(OR(ISBLANK('Aqueous Species Options'!H563), 'Aqueous Species Table'!O563=""), "", IF('Aqueous Species Options'!B563="H+", 0, 0.2037*'Aqueous Species Options'!H563 - 3.0346) ) ) )</f>
        <v/>
      </c>
      <c r="O563" s="1" t="str">
        <f>IF(ISBLANK('Aqueous Species Options'!B563), "", IF('Aqueous Species Options'!K563=0, 'Aqueous Species Options'!I563, IF(OR('Aqueous Species Options'!J563&gt;4,'Aqueous Species Options'!J563&lt;-4), "", IF('Aqueous Species Options'!B563="H+", 0, IF('Aqueous Species Options'!J563=0, -0.038, IF(ISBLANK('Aqueous Species Options'!F563), "", -1514.4*'Aqueous Species Options'!F563*0.00001 + SUM(({4,3,2,1,-1,-2,-3,-4}='Aqueous Species Options'!J563)*{2.1764,1.5793,1.0579,0.5517,1.6291,3.2127,4.8115,6.486}) ) ) ) ) ) )</f>
        <v/>
      </c>
      <c r="P563" s="1" t="str">
        <f>IF(ISBLANK('Aqueous Species Options'!J563), "", 'Aqueous Species Options'!J563)</f>
        <v/>
      </c>
      <c r="Q563" s="184" t="str">
        <f>IF(ISBLANK('Aqueous Species Options'!T563), "", 'Aqueous Species Options'!T563)</f>
        <v/>
      </c>
    </row>
    <row r="564" spans="2:17" ht="16" x14ac:dyDescent="0.2">
      <c r="B564" t="str">
        <f>IF(ISBLANK('Aqueous Species Options'!B564), "", 'Aqueous Species Options'!B564)</f>
        <v/>
      </c>
      <c r="C564" s="1" t="str">
        <f>IF(ISBLANK('Aqueous Species Options'!C564), "", 'Aqueous Species Options'!C564)</f>
        <v/>
      </c>
      <c r="D564" s="1" t="str">
        <f>IF(ISBLANK('Aqueous Species Options'!D564), "", 'Aqueous Species Options'!D564)</f>
        <v/>
      </c>
      <c r="E564" s="1" t="str">
        <f>IF(ISBLANK('Aqueous Species Options'!E564), "", 'Aqueous Species Options'!E564)</f>
        <v/>
      </c>
      <c r="F564" s="139" t="str">
        <f>IF(ISBLANK('Aqueous Species Options'!F564), "", 'Aqueous Species Options'!F564)</f>
        <v/>
      </c>
      <c r="G564" s="29" t="str">
        <f>IF(ISBLANK('Aqueous Species Options'!B564), "", IF('Aqueous Species Options'!L564 = 1, IF(ISBLANK('Aqueous Species Options'!G564), "", 'Aqueous Species Options'!G564), ('Aqueous Species Table'!I564/10 + ('Aqueous Species Table'!J564*100)/(Calculations!$C$12+Calculations!$C$9) + ('Aqueous Species Table'!K564 + ('Aqueous Species Table'!L564*10000)/(Calculations!$C$12+Calculations!$C$9))*(1/(Calculations!$C$8-Calculations!$C$13)) - 'Aqueous Species Table'!O564*100000*0.0000005903)*41.8393))</f>
        <v/>
      </c>
      <c r="H564" s="29" t="str">
        <f>IF(ISBLANK('Aqueous Species Options'!B564), "", IF('Aqueous Species Options'!L564 = 1, IF(ISBLANK('Aqueous Species Options'!H564), "", 'Aqueous Species Options'!H564), 'Aqueous Species Table'!M564 + 'Aqueous Species Table'!N564*10000*(1/(Calculations!$C$8-Calculations!$C$13))^2 + 'Aqueous Species Table'!O564*100000*Calculations!$C$8*Calculations!$C$7))</f>
        <v/>
      </c>
      <c r="I564" s="1" t="str">
        <f>IF(ISBLANK('Aqueous Species Options'!B564), "", IF('Aqueous Species Options'!L564=0, 'Aqueous Species Options'!N564, IF(OR(ISBLANK('Aqueous Species Options'!G564),'Aqueous Species Table'!O564="", 'Aqueous Species Table'!P564=""), "", IF('Aqueous Species Options'!B564="H+", 0, (CHOOSE('Aqueous Species Options'!M564+1,'Aqueous Species Options'!$V$4*ABS('Aqueous Species Table'!P564)+'Aqueous Species Options'!$W$4,'Aqueous Species Options'!$Z$4)*('Aqueous Species Options'!G564 + 'Aqueous Species Table'!O564*100000*0.0000005903*41.8393) + CHOOSE('Aqueous Species Options'!M564+1,'Aqueous Species Options'!$X$4*ABS('Aqueous Species Table'!P564)+'Aqueous Species Options'!$Y$4,'Aqueous Species Options'!$AA$4))*10 ) ) ) )</f>
        <v/>
      </c>
      <c r="J564" s="1" t="str">
        <f>IF(ISBLANK('Aqueous Species Options'!B564), "", IF('Aqueous Species Options'!L564 = 0, 'Aqueous Species Options'!O564, IF('Aqueous Species Table'!I564="", "", IF('Aqueous Species Options'!B564="H+", 0, ((1.11*('Aqueous Species Options'!G564 + 'Aqueous Species Table'!O564*100000*0.0000005903*41.8393)+1.8)/41.8393 - 'Aqueous Species Table'!I564/10)*26.01 ) ) ) )</f>
        <v/>
      </c>
      <c r="K564" s="1" t="str">
        <f>IF(ISBLANK('Aqueous Species Options'!B564), "", IF('Aqueous Species Options'!L564 = 0, 'Aqueous Species Options'!P564, IF('Aqueous Species Table'!I564="", "", IF('Aqueous Species Options'!B564="H+", 0, ('Aqueous Species Options'!G564/41.8393 + 'Aqueous Species Table'!O564*100000*0.0000005903 - 'Aqueous Species Table'!I564/10 - 'Aqueous Species Table'!J564*100/2601)*(298.15-228) - ('Aqueous Species Table'!L564*10000/2601) ) ) ) )</f>
        <v/>
      </c>
      <c r="L564" s="1" t="str">
        <f>IF(ISBLANK('Aqueous Species Options'!B564), "", IF('Aqueous Species Options'!L564 = 0, 'Aqueous Species Options'!Q564, IF('Aqueous Species Table'!J564="", "", IF('Aqueous Species Options'!B564="H+", 0, (-4.134*'Aqueous Species Table'!J564*100 - 27790)*0.0001) ) ) )</f>
        <v/>
      </c>
      <c r="M564" s="1" t="str">
        <f>IF(ISBLANK('Aqueous Species Options'!B564), "", IF('Aqueous Species Options'!L564=0, 'Aqueous Species Options'!R564, IF('Aqueous Species Table'!N564="", "", IF('Aqueous Species Options'!B564="H+", 0, 'Aqueous Species Options'!H564 - 'Aqueous Species Table'!O564*100000*(-0.000000309)*298.15 - 'Aqueous Species Table'!N564*10000/(298.15-228)^2 ) ) ) )</f>
        <v/>
      </c>
      <c r="N564" s="1" t="str">
        <f>IF(ISBLANK('Aqueous Species Options'!B564), "", IF('Aqueous Species Options'!L564=0, 'Aqueous Species Options'!S564, IF(OR(ISBLANK('Aqueous Species Options'!H564), 'Aqueous Species Table'!O564=""), "", IF('Aqueous Species Options'!B564="H+", 0, 0.2037*'Aqueous Species Options'!H564 - 3.0346) ) ) )</f>
        <v/>
      </c>
      <c r="O564" s="1" t="str">
        <f>IF(ISBLANK('Aqueous Species Options'!B564), "", IF('Aqueous Species Options'!K564=0, 'Aqueous Species Options'!I564, IF(OR('Aqueous Species Options'!J564&gt;4,'Aqueous Species Options'!J564&lt;-4), "", IF('Aqueous Species Options'!B564="H+", 0, IF('Aqueous Species Options'!J564=0, -0.038, IF(ISBLANK('Aqueous Species Options'!F564), "", -1514.4*'Aqueous Species Options'!F564*0.00001 + SUM(({4,3,2,1,-1,-2,-3,-4}='Aqueous Species Options'!J564)*{2.1764,1.5793,1.0579,0.5517,1.6291,3.2127,4.8115,6.486}) ) ) ) ) ) )</f>
        <v/>
      </c>
      <c r="P564" s="1" t="str">
        <f>IF(ISBLANK('Aqueous Species Options'!J564), "", 'Aqueous Species Options'!J564)</f>
        <v/>
      </c>
      <c r="Q564" s="184" t="str">
        <f>IF(ISBLANK('Aqueous Species Options'!T564), "", 'Aqueous Species Options'!T564)</f>
        <v/>
      </c>
    </row>
    <row r="565" spans="2:17" ht="16" x14ac:dyDescent="0.2">
      <c r="B565" t="str">
        <f>IF(ISBLANK('Aqueous Species Options'!B565), "", 'Aqueous Species Options'!B565)</f>
        <v/>
      </c>
      <c r="C565" s="1" t="str">
        <f>IF(ISBLANK('Aqueous Species Options'!C565), "", 'Aqueous Species Options'!C565)</f>
        <v/>
      </c>
      <c r="D565" s="1" t="str">
        <f>IF(ISBLANK('Aqueous Species Options'!D565), "", 'Aqueous Species Options'!D565)</f>
        <v/>
      </c>
      <c r="E565" s="1" t="str">
        <f>IF(ISBLANK('Aqueous Species Options'!E565), "", 'Aqueous Species Options'!E565)</f>
        <v/>
      </c>
      <c r="F565" s="139" t="str">
        <f>IF(ISBLANK('Aqueous Species Options'!F565), "", 'Aqueous Species Options'!F565)</f>
        <v/>
      </c>
      <c r="G565" s="29" t="str">
        <f>IF(ISBLANK('Aqueous Species Options'!B565), "", IF('Aqueous Species Options'!L565 = 1, IF(ISBLANK('Aqueous Species Options'!G565), "", 'Aqueous Species Options'!G565), ('Aqueous Species Table'!I565/10 + ('Aqueous Species Table'!J565*100)/(Calculations!$C$12+Calculations!$C$9) + ('Aqueous Species Table'!K565 + ('Aqueous Species Table'!L565*10000)/(Calculations!$C$12+Calculations!$C$9))*(1/(Calculations!$C$8-Calculations!$C$13)) - 'Aqueous Species Table'!O565*100000*0.0000005903)*41.8393))</f>
        <v/>
      </c>
      <c r="H565" s="29" t="str">
        <f>IF(ISBLANK('Aqueous Species Options'!B565), "", IF('Aqueous Species Options'!L565 = 1, IF(ISBLANK('Aqueous Species Options'!H565), "", 'Aqueous Species Options'!H565), 'Aqueous Species Table'!M565 + 'Aqueous Species Table'!N565*10000*(1/(Calculations!$C$8-Calculations!$C$13))^2 + 'Aqueous Species Table'!O565*100000*Calculations!$C$8*Calculations!$C$7))</f>
        <v/>
      </c>
      <c r="I565" s="1" t="str">
        <f>IF(ISBLANK('Aqueous Species Options'!B565), "", IF('Aqueous Species Options'!L565=0, 'Aqueous Species Options'!N565, IF(OR(ISBLANK('Aqueous Species Options'!G565),'Aqueous Species Table'!O565="", 'Aqueous Species Table'!P565=""), "", IF('Aqueous Species Options'!B565="H+", 0, (CHOOSE('Aqueous Species Options'!M565+1,'Aqueous Species Options'!$V$4*ABS('Aqueous Species Table'!P565)+'Aqueous Species Options'!$W$4,'Aqueous Species Options'!$Z$4)*('Aqueous Species Options'!G565 + 'Aqueous Species Table'!O565*100000*0.0000005903*41.8393) + CHOOSE('Aqueous Species Options'!M565+1,'Aqueous Species Options'!$X$4*ABS('Aqueous Species Table'!P565)+'Aqueous Species Options'!$Y$4,'Aqueous Species Options'!$AA$4))*10 ) ) ) )</f>
        <v/>
      </c>
      <c r="J565" s="1" t="str">
        <f>IF(ISBLANK('Aqueous Species Options'!B565), "", IF('Aqueous Species Options'!L565 = 0, 'Aqueous Species Options'!O565, IF('Aqueous Species Table'!I565="", "", IF('Aqueous Species Options'!B565="H+", 0, ((1.11*('Aqueous Species Options'!G565 + 'Aqueous Species Table'!O565*100000*0.0000005903*41.8393)+1.8)/41.8393 - 'Aqueous Species Table'!I565/10)*26.01 ) ) ) )</f>
        <v/>
      </c>
      <c r="K565" s="1" t="str">
        <f>IF(ISBLANK('Aqueous Species Options'!B565), "", IF('Aqueous Species Options'!L565 = 0, 'Aqueous Species Options'!P565, IF('Aqueous Species Table'!I565="", "", IF('Aqueous Species Options'!B565="H+", 0, ('Aqueous Species Options'!G565/41.8393 + 'Aqueous Species Table'!O565*100000*0.0000005903 - 'Aqueous Species Table'!I565/10 - 'Aqueous Species Table'!J565*100/2601)*(298.15-228) - ('Aqueous Species Table'!L565*10000/2601) ) ) ) )</f>
        <v/>
      </c>
      <c r="L565" s="1" t="str">
        <f>IF(ISBLANK('Aqueous Species Options'!B565), "", IF('Aqueous Species Options'!L565 = 0, 'Aqueous Species Options'!Q565, IF('Aqueous Species Table'!J565="", "", IF('Aqueous Species Options'!B565="H+", 0, (-4.134*'Aqueous Species Table'!J565*100 - 27790)*0.0001) ) ) )</f>
        <v/>
      </c>
      <c r="M565" s="1" t="str">
        <f>IF(ISBLANK('Aqueous Species Options'!B565), "", IF('Aqueous Species Options'!L565=0, 'Aqueous Species Options'!R565, IF('Aqueous Species Table'!N565="", "", IF('Aqueous Species Options'!B565="H+", 0, 'Aqueous Species Options'!H565 - 'Aqueous Species Table'!O565*100000*(-0.000000309)*298.15 - 'Aqueous Species Table'!N565*10000/(298.15-228)^2 ) ) ) )</f>
        <v/>
      </c>
      <c r="N565" s="1" t="str">
        <f>IF(ISBLANK('Aqueous Species Options'!B565), "", IF('Aqueous Species Options'!L565=0, 'Aqueous Species Options'!S565, IF(OR(ISBLANK('Aqueous Species Options'!H565), 'Aqueous Species Table'!O565=""), "", IF('Aqueous Species Options'!B565="H+", 0, 0.2037*'Aqueous Species Options'!H565 - 3.0346) ) ) )</f>
        <v/>
      </c>
      <c r="O565" s="1" t="str">
        <f>IF(ISBLANK('Aqueous Species Options'!B565), "", IF('Aqueous Species Options'!K565=0, 'Aqueous Species Options'!I565, IF(OR('Aqueous Species Options'!J565&gt;4,'Aqueous Species Options'!J565&lt;-4), "", IF('Aqueous Species Options'!B565="H+", 0, IF('Aqueous Species Options'!J565=0, -0.038, IF(ISBLANK('Aqueous Species Options'!F565), "", -1514.4*'Aqueous Species Options'!F565*0.00001 + SUM(({4,3,2,1,-1,-2,-3,-4}='Aqueous Species Options'!J565)*{2.1764,1.5793,1.0579,0.5517,1.6291,3.2127,4.8115,6.486}) ) ) ) ) ) )</f>
        <v/>
      </c>
      <c r="P565" s="1" t="str">
        <f>IF(ISBLANK('Aqueous Species Options'!J565), "", 'Aqueous Species Options'!J565)</f>
        <v/>
      </c>
      <c r="Q565" s="184" t="str">
        <f>IF(ISBLANK('Aqueous Species Options'!T565), "", 'Aqueous Species Options'!T565)</f>
        <v/>
      </c>
    </row>
    <row r="566" spans="2:17" ht="16" x14ac:dyDescent="0.2">
      <c r="B566" t="str">
        <f>IF(ISBLANK('Aqueous Species Options'!B566), "", 'Aqueous Species Options'!B566)</f>
        <v/>
      </c>
      <c r="C566" s="1" t="str">
        <f>IF(ISBLANK('Aqueous Species Options'!C566), "", 'Aqueous Species Options'!C566)</f>
        <v/>
      </c>
      <c r="D566" s="1" t="str">
        <f>IF(ISBLANK('Aqueous Species Options'!D566), "", 'Aqueous Species Options'!D566)</f>
        <v/>
      </c>
      <c r="E566" s="1" t="str">
        <f>IF(ISBLANK('Aqueous Species Options'!E566), "", 'Aqueous Species Options'!E566)</f>
        <v/>
      </c>
      <c r="F566" s="139" t="str">
        <f>IF(ISBLANK('Aqueous Species Options'!F566), "", 'Aqueous Species Options'!F566)</f>
        <v/>
      </c>
      <c r="G566" s="29" t="str">
        <f>IF(ISBLANK('Aqueous Species Options'!B566), "", IF('Aqueous Species Options'!L566 = 1, IF(ISBLANK('Aqueous Species Options'!G566), "", 'Aqueous Species Options'!G566), ('Aqueous Species Table'!I566/10 + ('Aqueous Species Table'!J566*100)/(Calculations!$C$12+Calculations!$C$9) + ('Aqueous Species Table'!K566 + ('Aqueous Species Table'!L566*10000)/(Calculations!$C$12+Calculations!$C$9))*(1/(Calculations!$C$8-Calculations!$C$13)) - 'Aqueous Species Table'!O566*100000*0.0000005903)*41.8393))</f>
        <v/>
      </c>
      <c r="H566" s="29" t="str">
        <f>IF(ISBLANK('Aqueous Species Options'!B566), "", IF('Aqueous Species Options'!L566 = 1, IF(ISBLANK('Aqueous Species Options'!H566), "", 'Aqueous Species Options'!H566), 'Aqueous Species Table'!M566 + 'Aqueous Species Table'!N566*10000*(1/(Calculations!$C$8-Calculations!$C$13))^2 + 'Aqueous Species Table'!O566*100000*Calculations!$C$8*Calculations!$C$7))</f>
        <v/>
      </c>
      <c r="I566" s="1" t="str">
        <f>IF(ISBLANK('Aqueous Species Options'!B566), "", IF('Aqueous Species Options'!L566=0, 'Aqueous Species Options'!N566, IF(OR(ISBLANK('Aqueous Species Options'!G566),'Aqueous Species Table'!O566="", 'Aqueous Species Table'!P566=""), "", IF('Aqueous Species Options'!B566="H+", 0, (CHOOSE('Aqueous Species Options'!M566+1,'Aqueous Species Options'!$V$4*ABS('Aqueous Species Table'!P566)+'Aqueous Species Options'!$W$4,'Aqueous Species Options'!$Z$4)*('Aqueous Species Options'!G566 + 'Aqueous Species Table'!O566*100000*0.0000005903*41.8393) + CHOOSE('Aqueous Species Options'!M566+1,'Aqueous Species Options'!$X$4*ABS('Aqueous Species Table'!P566)+'Aqueous Species Options'!$Y$4,'Aqueous Species Options'!$AA$4))*10 ) ) ) )</f>
        <v/>
      </c>
      <c r="J566" s="1" t="str">
        <f>IF(ISBLANK('Aqueous Species Options'!B566), "", IF('Aqueous Species Options'!L566 = 0, 'Aqueous Species Options'!O566, IF('Aqueous Species Table'!I566="", "", IF('Aqueous Species Options'!B566="H+", 0, ((1.11*('Aqueous Species Options'!G566 + 'Aqueous Species Table'!O566*100000*0.0000005903*41.8393)+1.8)/41.8393 - 'Aqueous Species Table'!I566/10)*26.01 ) ) ) )</f>
        <v/>
      </c>
      <c r="K566" s="1" t="str">
        <f>IF(ISBLANK('Aqueous Species Options'!B566), "", IF('Aqueous Species Options'!L566 = 0, 'Aqueous Species Options'!P566, IF('Aqueous Species Table'!I566="", "", IF('Aqueous Species Options'!B566="H+", 0, ('Aqueous Species Options'!G566/41.8393 + 'Aqueous Species Table'!O566*100000*0.0000005903 - 'Aqueous Species Table'!I566/10 - 'Aqueous Species Table'!J566*100/2601)*(298.15-228) - ('Aqueous Species Table'!L566*10000/2601) ) ) ) )</f>
        <v/>
      </c>
      <c r="L566" s="1" t="str">
        <f>IF(ISBLANK('Aqueous Species Options'!B566), "", IF('Aqueous Species Options'!L566 = 0, 'Aqueous Species Options'!Q566, IF('Aqueous Species Table'!J566="", "", IF('Aqueous Species Options'!B566="H+", 0, (-4.134*'Aqueous Species Table'!J566*100 - 27790)*0.0001) ) ) )</f>
        <v/>
      </c>
      <c r="M566" s="1" t="str">
        <f>IF(ISBLANK('Aqueous Species Options'!B566), "", IF('Aqueous Species Options'!L566=0, 'Aqueous Species Options'!R566, IF('Aqueous Species Table'!N566="", "", IF('Aqueous Species Options'!B566="H+", 0, 'Aqueous Species Options'!H566 - 'Aqueous Species Table'!O566*100000*(-0.000000309)*298.15 - 'Aqueous Species Table'!N566*10000/(298.15-228)^2 ) ) ) )</f>
        <v/>
      </c>
      <c r="N566" s="1" t="str">
        <f>IF(ISBLANK('Aqueous Species Options'!B566), "", IF('Aqueous Species Options'!L566=0, 'Aqueous Species Options'!S566, IF(OR(ISBLANK('Aqueous Species Options'!H566), 'Aqueous Species Table'!O566=""), "", IF('Aqueous Species Options'!B566="H+", 0, 0.2037*'Aqueous Species Options'!H566 - 3.0346) ) ) )</f>
        <v/>
      </c>
      <c r="O566" s="1" t="str">
        <f>IF(ISBLANK('Aqueous Species Options'!B566), "", IF('Aqueous Species Options'!K566=0, 'Aqueous Species Options'!I566, IF(OR('Aqueous Species Options'!J566&gt;4,'Aqueous Species Options'!J566&lt;-4), "", IF('Aqueous Species Options'!B566="H+", 0, IF('Aqueous Species Options'!J566=0, -0.038, IF(ISBLANK('Aqueous Species Options'!F566), "", -1514.4*'Aqueous Species Options'!F566*0.00001 + SUM(({4,3,2,1,-1,-2,-3,-4}='Aqueous Species Options'!J566)*{2.1764,1.5793,1.0579,0.5517,1.6291,3.2127,4.8115,6.486}) ) ) ) ) ) )</f>
        <v/>
      </c>
      <c r="P566" s="1" t="str">
        <f>IF(ISBLANK('Aqueous Species Options'!J566), "", 'Aqueous Species Options'!J566)</f>
        <v/>
      </c>
      <c r="Q566" s="184" t="str">
        <f>IF(ISBLANK('Aqueous Species Options'!T566), "", 'Aqueous Species Options'!T566)</f>
        <v/>
      </c>
    </row>
    <row r="567" spans="2:17" ht="16" x14ac:dyDescent="0.2">
      <c r="B567" t="str">
        <f>IF(ISBLANK('Aqueous Species Options'!B567), "", 'Aqueous Species Options'!B567)</f>
        <v/>
      </c>
      <c r="C567" s="1" t="str">
        <f>IF(ISBLANK('Aqueous Species Options'!C567), "", 'Aqueous Species Options'!C567)</f>
        <v/>
      </c>
      <c r="D567" s="1" t="str">
        <f>IF(ISBLANK('Aqueous Species Options'!D567), "", 'Aqueous Species Options'!D567)</f>
        <v/>
      </c>
      <c r="E567" s="1" t="str">
        <f>IF(ISBLANK('Aqueous Species Options'!E567), "", 'Aqueous Species Options'!E567)</f>
        <v/>
      </c>
      <c r="F567" s="139" t="str">
        <f>IF(ISBLANK('Aqueous Species Options'!F567), "", 'Aqueous Species Options'!F567)</f>
        <v/>
      </c>
      <c r="G567" s="29" t="str">
        <f>IF(ISBLANK('Aqueous Species Options'!B567), "", IF('Aqueous Species Options'!L567 = 1, IF(ISBLANK('Aqueous Species Options'!G567), "", 'Aqueous Species Options'!G567), ('Aqueous Species Table'!I567/10 + ('Aqueous Species Table'!J567*100)/(Calculations!$C$12+Calculations!$C$9) + ('Aqueous Species Table'!K567 + ('Aqueous Species Table'!L567*10000)/(Calculations!$C$12+Calculations!$C$9))*(1/(Calculations!$C$8-Calculations!$C$13)) - 'Aqueous Species Table'!O567*100000*0.0000005903)*41.8393))</f>
        <v/>
      </c>
      <c r="H567" s="29" t="str">
        <f>IF(ISBLANK('Aqueous Species Options'!B567), "", IF('Aqueous Species Options'!L567 = 1, IF(ISBLANK('Aqueous Species Options'!H567), "", 'Aqueous Species Options'!H567), 'Aqueous Species Table'!M567 + 'Aqueous Species Table'!N567*10000*(1/(Calculations!$C$8-Calculations!$C$13))^2 + 'Aqueous Species Table'!O567*100000*Calculations!$C$8*Calculations!$C$7))</f>
        <v/>
      </c>
      <c r="I567" s="1" t="str">
        <f>IF(ISBLANK('Aqueous Species Options'!B567), "", IF('Aqueous Species Options'!L567=0, 'Aqueous Species Options'!N567, IF(OR(ISBLANK('Aqueous Species Options'!G567),'Aqueous Species Table'!O567="", 'Aqueous Species Table'!P567=""), "", IF('Aqueous Species Options'!B567="H+", 0, (CHOOSE('Aqueous Species Options'!M567+1,'Aqueous Species Options'!$V$4*ABS('Aqueous Species Table'!P567)+'Aqueous Species Options'!$W$4,'Aqueous Species Options'!$Z$4)*('Aqueous Species Options'!G567 + 'Aqueous Species Table'!O567*100000*0.0000005903*41.8393) + CHOOSE('Aqueous Species Options'!M567+1,'Aqueous Species Options'!$X$4*ABS('Aqueous Species Table'!P567)+'Aqueous Species Options'!$Y$4,'Aqueous Species Options'!$AA$4))*10 ) ) ) )</f>
        <v/>
      </c>
      <c r="J567" s="1" t="str">
        <f>IF(ISBLANK('Aqueous Species Options'!B567), "", IF('Aqueous Species Options'!L567 = 0, 'Aqueous Species Options'!O567, IF('Aqueous Species Table'!I567="", "", IF('Aqueous Species Options'!B567="H+", 0, ((1.11*('Aqueous Species Options'!G567 + 'Aqueous Species Table'!O567*100000*0.0000005903*41.8393)+1.8)/41.8393 - 'Aqueous Species Table'!I567/10)*26.01 ) ) ) )</f>
        <v/>
      </c>
      <c r="K567" s="1" t="str">
        <f>IF(ISBLANK('Aqueous Species Options'!B567), "", IF('Aqueous Species Options'!L567 = 0, 'Aqueous Species Options'!P567, IF('Aqueous Species Table'!I567="", "", IF('Aqueous Species Options'!B567="H+", 0, ('Aqueous Species Options'!G567/41.8393 + 'Aqueous Species Table'!O567*100000*0.0000005903 - 'Aqueous Species Table'!I567/10 - 'Aqueous Species Table'!J567*100/2601)*(298.15-228) - ('Aqueous Species Table'!L567*10000/2601) ) ) ) )</f>
        <v/>
      </c>
      <c r="L567" s="1" t="str">
        <f>IF(ISBLANK('Aqueous Species Options'!B567), "", IF('Aqueous Species Options'!L567 = 0, 'Aqueous Species Options'!Q567, IF('Aqueous Species Table'!J567="", "", IF('Aqueous Species Options'!B567="H+", 0, (-4.134*'Aqueous Species Table'!J567*100 - 27790)*0.0001) ) ) )</f>
        <v/>
      </c>
      <c r="M567" s="1" t="str">
        <f>IF(ISBLANK('Aqueous Species Options'!B567), "", IF('Aqueous Species Options'!L567=0, 'Aqueous Species Options'!R567, IF('Aqueous Species Table'!N567="", "", IF('Aqueous Species Options'!B567="H+", 0, 'Aqueous Species Options'!H567 - 'Aqueous Species Table'!O567*100000*(-0.000000309)*298.15 - 'Aqueous Species Table'!N567*10000/(298.15-228)^2 ) ) ) )</f>
        <v/>
      </c>
      <c r="N567" s="1" t="str">
        <f>IF(ISBLANK('Aqueous Species Options'!B567), "", IF('Aqueous Species Options'!L567=0, 'Aqueous Species Options'!S567, IF(OR(ISBLANK('Aqueous Species Options'!H567), 'Aqueous Species Table'!O567=""), "", IF('Aqueous Species Options'!B567="H+", 0, 0.2037*'Aqueous Species Options'!H567 - 3.0346) ) ) )</f>
        <v/>
      </c>
      <c r="O567" s="1" t="str">
        <f>IF(ISBLANK('Aqueous Species Options'!B567), "", IF('Aqueous Species Options'!K567=0, 'Aqueous Species Options'!I567, IF(OR('Aqueous Species Options'!J567&gt;4,'Aqueous Species Options'!J567&lt;-4), "", IF('Aqueous Species Options'!B567="H+", 0, IF('Aqueous Species Options'!J567=0, -0.038, IF(ISBLANK('Aqueous Species Options'!F567), "", -1514.4*'Aqueous Species Options'!F567*0.00001 + SUM(({4,3,2,1,-1,-2,-3,-4}='Aqueous Species Options'!J567)*{2.1764,1.5793,1.0579,0.5517,1.6291,3.2127,4.8115,6.486}) ) ) ) ) ) )</f>
        <v/>
      </c>
      <c r="P567" s="1" t="str">
        <f>IF(ISBLANK('Aqueous Species Options'!J567), "", 'Aqueous Species Options'!J567)</f>
        <v/>
      </c>
      <c r="Q567" s="184" t="str">
        <f>IF(ISBLANK('Aqueous Species Options'!T567), "", 'Aqueous Species Options'!T567)</f>
        <v/>
      </c>
    </row>
    <row r="568" spans="2:17" ht="16" x14ac:dyDescent="0.2">
      <c r="B568" t="str">
        <f>IF(ISBLANK('Aqueous Species Options'!B568), "", 'Aqueous Species Options'!B568)</f>
        <v/>
      </c>
      <c r="C568" s="1" t="str">
        <f>IF(ISBLANK('Aqueous Species Options'!C568), "", 'Aqueous Species Options'!C568)</f>
        <v/>
      </c>
      <c r="D568" s="1" t="str">
        <f>IF(ISBLANK('Aqueous Species Options'!D568), "", 'Aqueous Species Options'!D568)</f>
        <v/>
      </c>
      <c r="E568" s="1" t="str">
        <f>IF(ISBLANK('Aqueous Species Options'!E568), "", 'Aqueous Species Options'!E568)</f>
        <v/>
      </c>
      <c r="F568" s="139" t="str">
        <f>IF(ISBLANK('Aqueous Species Options'!F568), "", 'Aqueous Species Options'!F568)</f>
        <v/>
      </c>
      <c r="G568" s="29" t="str">
        <f>IF(ISBLANK('Aqueous Species Options'!B568), "", IF('Aqueous Species Options'!L568 = 1, IF(ISBLANK('Aqueous Species Options'!G568), "", 'Aqueous Species Options'!G568), ('Aqueous Species Table'!I568/10 + ('Aqueous Species Table'!J568*100)/(Calculations!$C$12+Calculations!$C$9) + ('Aqueous Species Table'!K568 + ('Aqueous Species Table'!L568*10000)/(Calculations!$C$12+Calculations!$C$9))*(1/(Calculations!$C$8-Calculations!$C$13)) - 'Aqueous Species Table'!O568*100000*0.0000005903)*41.8393))</f>
        <v/>
      </c>
      <c r="H568" s="29" t="str">
        <f>IF(ISBLANK('Aqueous Species Options'!B568), "", IF('Aqueous Species Options'!L568 = 1, IF(ISBLANK('Aqueous Species Options'!H568), "", 'Aqueous Species Options'!H568), 'Aqueous Species Table'!M568 + 'Aqueous Species Table'!N568*10000*(1/(Calculations!$C$8-Calculations!$C$13))^2 + 'Aqueous Species Table'!O568*100000*Calculations!$C$8*Calculations!$C$7))</f>
        <v/>
      </c>
      <c r="I568" s="1" t="str">
        <f>IF(ISBLANK('Aqueous Species Options'!B568), "", IF('Aqueous Species Options'!L568=0, 'Aqueous Species Options'!N568, IF(OR(ISBLANK('Aqueous Species Options'!G568),'Aqueous Species Table'!O568="", 'Aqueous Species Table'!P568=""), "", IF('Aqueous Species Options'!B568="H+", 0, (CHOOSE('Aqueous Species Options'!M568+1,'Aqueous Species Options'!$V$4*ABS('Aqueous Species Table'!P568)+'Aqueous Species Options'!$W$4,'Aqueous Species Options'!$Z$4)*('Aqueous Species Options'!G568 + 'Aqueous Species Table'!O568*100000*0.0000005903*41.8393) + CHOOSE('Aqueous Species Options'!M568+1,'Aqueous Species Options'!$X$4*ABS('Aqueous Species Table'!P568)+'Aqueous Species Options'!$Y$4,'Aqueous Species Options'!$AA$4))*10 ) ) ) )</f>
        <v/>
      </c>
      <c r="J568" s="1" t="str">
        <f>IF(ISBLANK('Aqueous Species Options'!B568), "", IF('Aqueous Species Options'!L568 = 0, 'Aqueous Species Options'!O568, IF('Aqueous Species Table'!I568="", "", IF('Aqueous Species Options'!B568="H+", 0, ((1.11*('Aqueous Species Options'!G568 + 'Aqueous Species Table'!O568*100000*0.0000005903*41.8393)+1.8)/41.8393 - 'Aqueous Species Table'!I568/10)*26.01 ) ) ) )</f>
        <v/>
      </c>
      <c r="K568" s="1" t="str">
        <f>IF(ISBLANK('Aqueous Species Options'!B568), "", IF('Aqueous Species Options'!L568 = 0, 'Aqueous Species Options'!P568, IF('Aqueous Species Table'!I568="", "", IF('Aqueous Species Options'!B568="H+", 0, ('Aqueous Species Options'!G568/41.8393 + 'Aqueous Species Table'!O568*100000*0.0000005903 - 'Aqueous Species Table'!I568/10 - 'Aqueous Species Table'!J568*100/2601)*(298.15-228) - ('Aqueous Species Table'!L568*10000/2601) ) ) ) )</f>
        <v/>
      </c>
      <c r="L568" s="1" t="str">
        <f>IF(ISBLANK('Aqueous Species Options'!B568), "", IF('Aqueous Species Options'!L568 = 0, 'Aqueous Species Options'!Q568, IF('Aqueous Species Table'!J568="", "", IF('Aqueous Species Options'!B568="H+", 0, (-4.134*'Aqueous Species Table'!J568*100 - 27790)*0.0001) ) ) )</f>
        <v/>
      </c>
      <c r="M568" s="1" t="str">
        <f>IF(ISBLANK('Aqueous Species Options'!B568), "", IF('Aqueous Species Options'!L568=0, 'Aqueous Species Options'!R568, IF('Aqueous Species Table'!N568="", "", IF('Aqueous Species Options'!B568="H+", 0, 'Aqueous Species Options'!H568 - 'Aqueous Species Table'!O568*100000*(-0.000000309)*298.15 - 'Aqueous Species Table'!N568*10000/(298.15-228)^2 ) ) ) )</f>
        <v/>
      </c>
      <c r="N568" s="1" t="str">
        <f>IF(ISBLANK('Aqueous Species Options'!B568), "", IF('Aqueous Species Options'!L568=0, 'Aqueous Species Options'!S568, IF(OR(ISBLANK('Aqueous Species Options'!H568), 'Aqueous Species Table'!O568=""), "", IF('Aqueous Species Options'!B568="H+", 0, 0.2037*'Aqueous Species Options'!H568 - 3.0346) ) ) )</f>
        <v/>
      </c>
      <c r="O568" s="1" t="str">
        <f>IF(ISBLANK('Aqueous Species Options'!B568), "", IF('Aqueous Species Options'!K568=0, 'Aqueous Species Options'!I568, IF(OR('Aqueous Species Options'!J568&gt;4,'Aqueous Species Options'!J568&lt;-4), "", IF('Aqueous Species Options'!B568="H+", 0, IF('Aqueous Species Options'!J568=0, -0.038, IF(ISBLANK('Aqueous Species Options'!F568), "", -1514.4*'Aqueous Species Options'!F568*0.00001 + SUM(({4,3,2,1,-1,-2,-3,-4}='Aqueous Species Options'!J568)*{2.1764,1.5793,1.0579,0.5517,1.6291,3.2127,4.8115,6.486}) ) ) ) ) ) )</f>
        <v/>
      </c>
      <c r="P568" s="1" t="str">
        <f>IF(ISBLANK('Aqueous Species Options'!J568), "", 'Aqueous Species Options'!J568)</f>
        <v/>
      </c>
      <c r="Q568" s="184" t="str">
        <f>IF(ISBLANK('Aqueous Species Options'!T568), "", 'Aqueous Species Options'!T568)</f>
        <v/>
      </c>
    </row>
    <row r="569" spans="2:17" ht="16" x14ac:dyDescent="0.2">
      <c r="B569" t="str">
        <f>IF(ISBLANK('Aqueous Species Options'!B569), "", 'Aqueous Species Options'!B569)</f>
        <v/>
      </c>
      <c r="C569" s="1" t="str">
        <f>IF(ISBLANK('Aqueous Species Options'!C569), "", 'Aqueous Species Options'!C569)</f>
        <v/>
      </c>
      <c r="D569" s="1" t="str">
        <f>IF(ISBLANK('Aqueous Species Options'!D569), "", 'Aqueous Species Options'!D569)</f>
        <v/>
      </c>
      <c r="E569" s="1" t="str">
        <f>IF(ISBLANK('Aqueous Species Options'!E569), "", 'Aqueous Species Options'!E569)</f>
        <v/>
      </c>
      <c r="F569" s="139" t="str">
        <f>IF(ISBLANK('Aqueous Species Options'!F569), "", 'Aqueous Species Options'!F569)</f>
        <v/>
      </c>
      <c r="G569" s="29" t="str">
        <f>IF(ISBLANK('Aqueous Species Options'!B569), "", IF('Aqueous Species Options'!L569 = 1, IF(ISBLANK('Aqueous Species Options'!G569), "", 'Aqueous Species Options'!G569), ('Aqueous Species Table'!I569/10 + ('Aqueous Species Table'!J569*100)/(Calculations!$C$12+Calculations!$C$9) + ('Aqueous Species Table'!K569 + ('Aqueous Species Table'!L569*10000)/(Calculations!$C$12+Calculations!$C$9))*(1/(Calculations!$C$8-Calculations!$C$13)) - 'Aqueous Species Table'!O569*100000*0.0000005903)*41.8393))</f>
        <v/>
      </c>
      <c r="H569" s="29" t="str">
        <f>IF(ISBLANK('Aqueous Species Options'!B569), "", IF('Aqueous Species Options'!L569 = 1, IF(ISBLANK('Aqueous Species Options'!H569), "", 'Aqueous Species Options'!H569), 'Aqueous Species Table'!M569 + 'Aqueous Species Table'!N569*10000*(1/(Calculations!$C$8-Calculations!$C$13))^2 + 'Aqueous Species Table'!O569*100000*Calculations!$C$8*Calculations!$C$7))</f>
        <v/>
      </c>
      <c r="I569" s="1" t="str">
        <f>IF(ISBLANK('Aqueous Species Options'!B569), "", IF('Aqueous Species Options'!L569=0, 'Aqueous Species Options'!N569, IF(OR(ISBLANK('Aqueous Species Options'!G569),'Aqueous Species Table'!O569="", 'Aqueous Species Table'!P569=""), "", IF('Aqueous Species Options'!B569="H+", 0, (CHOOSE('Aqueous Species Options'!M569+1,'Aqueous Species Options'!$V$4*ABS('Aqueous Species Table'!P569)+'Aqueous Species Options'!$W$4,'Aqueous Species Options'!$Z$4)*('Aqueous Species Options'!G569 + 'Aqueous Species Table'!O569*100000*0.0000005903*41.8393) + CHOOSE('Aqueous Species Options'!M569+1,'Aqueous Species Options'!$X$4*ABS('Aqueous Species Table'!P569)+'Aqueous Species Options'!$Y$4,'Aqueous Species Options'!$AA$4))*10 ) ) ) )</f>
        <v/>
      </c>
      <c r="J569" s="1" t="str">
        <f>IF(ISBLANK('Aqueous Species Options'!B569), "", IF('Aqueous Species Options'!L569 = 0, 'Aqueous Species Options'!O569, IF('Aqueous Species Table'!I569="", "", IF('Aqueous Species Options'!B569="H+", 0, ((1.11*('Aqueous Species Options'!G569 + 'Aqueous Species Table'!O569*100000*0.0000005903*41.8393)+1.8)/41.8393 - 'Aqueous Species Table'!I569/10)*26.01 ) ) ) )</f>
        <v/>
      </c>
      <c r="K569" s="1" t="str">
        <f>IF(ISBLANK('Aqueous Species Options'!B569), "", IF('Aqueous Species Options'!L569 = 0, 'Aqueous Species Options'!P569, IF('Aqueous Species Table'!I569="", "", IF('Aqueous Species Options'!B569="H+", 0, ('Aqueous Species Options'!G569/41.8393 + 'Aqueous Species Table'!O569*100000*0.0000005903 - 'Aqueous Species Table'!I569/10 - 'Aqueous Species Table'!J569*100/2601)*(298.15-228) - ('Aqueous Species Table'!L569*10000/2601) ) ) ) )</f>
        <v/>
      </c>
      <c r="L569" s="1" t="str">
        <f>IF(ISBLANK('Aqueous Species Options'!B569), "", IF('Aqueous Species Options'!L569 = 0, 'Aqueous Species Options'!Q569, IF('Aqueous Species Table'!J569="", "", IF('Aqueous Species Options'!B569="H+", 0, (-4.134*'Aqueous Species Table'!J569*100 - 27790)*0.0001) ) ) )</f>
        <v/>
      </c>
      <c r="M569" s="1" t="str">
        <f>IF(ISBLANK('Aqueous Species Options'!B569), "", IF('Aqueous Species Options'!L569=0, 'Aqueous Species Options'!R569, IF('Aqueous Species Table'!N569="", "", IF('Aqueous Species Options'!B569="H+", 0, 'Aqueous Species Options'!H569 - 'Aqueous Species Table'!O569*100000*(-0.000000309)*298.15 - 'Aqueous Species Table'!N569*10000/(298.15-228)^2 ) ) ) )</f>
        <v/>
      </c>
      <c r="N569" s="1" t="str">
        <f>IF(ISBLANK('Aqueous Species Options'!B569), "", IF('Aqueous Species Options'!L569=0, 'Aqueous Species Options'!S569, IF(OR(ISBLANK('Aqueous Species Options'!H569), 'Aqueous Species Table'!O569=""), "", IF('Aqueous Species Options'!B569="H+", 0, 0.2037*'Aqueous Species Options'!H569 - 3.0346) ) ) )</f>
        <v/>
      </c>
      <c r="O569" s="1" t="str">
        <f>IF(ISBLANK('Aqueous Species Options'!B569), "", IF('Aqueous Species Options'!K569=0, 'Aqueous Species Options'!I569, IF(OR('Aqueous Species Options'!J569&gt;4,'Aqueous Species Options'!J569&lt;-4), "", IF('Aqueous Species Options'!B569="H+", 0, IF('Aqueous Species Options'!J569=0, -0.038, IF(ISBLANK('Aqueous Species Options'!F569), "", -1514.4*'Aqueous Species Options'!F569*0.00001 + SUM(({4,3,2,1,-1,-2,-3,-4}='Aqueous Species Options'!J569)*{2.1764,1.5793,1.0579,0.5517,1.6291,3.2127,4.8115,6.486}) ) ) ) ) ) )</f>
        <v/>
      </c>
      <c r="P569" s="1" t="str">
        <f>IF(ISBLANK('Aqueous Species Options'!J569), "", 'Aqueous Species Options'!J569)</f>
        <v/>
      </c>
      <c r="Q569" s="184" t="str">
        <f>IF(ISBLANK('Aqueous Species Options'!T569), "", 'Aqueous Species Options'!T569)</f>
        <v/>
      </c>
    </row>
    <row r="570" spans="2:17" ht="16" x14ac:dyDescent="0.2">
      <c r="B570" t="str">
        <f>IF(ISBLANK('Aqueous Species Options'!B570), "", 'Aqueous Species Options'!B570)</f>
        <v/>
      </c>
      <c r="C570" s="1" t="str">
        <f>IF(ISBLANK('Aqueous Species Options'!C570), "", 'Aqueous Species Options'!C570)</f>
        <v/>
      </c>
      <c r="D570" s="1" t="str">
        <f>IF(ISBLANK('Aqueous Species Options'!D570), "", 'Aqueous Species Options'!D570)</f>
        <v/>
      </c>
      <c r="E570" s="1" t="str">
        <f>IF(ISBLANK('Aqueous Species Options'!E570), "", 'Aqueous Species Options'!E570)</f>
        <v/>
      </c>
      <c r="F570" s="139" t="str">
        <f>IF(ISBLANK('Aqueous Species Options'!F570), "", 'Aqueous Species Options'!F570)</f>
        <v/>
      </c>
      <c r="G570" s="29" t="str">
        <f>IF(ISBLANK('Aqueous Species Options'!B570), "", IF('Aqueous Species Options'!L570 = 1, IF(ISBLANK('Aqueous Species Options'!G570), "", 'Aqueous Species Options'!G570), ('Aqueous Species Table'!I570/10 + ('Aqueous Species Table'!J570*100)/(Calculations!$C$12+Calculations!$C$9) + ('Aqueous Species Table'!K570 + ('Aqueous Species Table'!L570*10000)/(Calculations!$C$12+Calculations!$C$9))*(1/(Calculations!$C$8-Calculations!$C$13)) - 'Aqueous Species Table'!O570*100000*0.0000005903)*41.8393))</f>
        <v/>
      </c>
      <c r="H570" s="29" t="str">
        <f>IF(ISBLANK('Aqueous Species Options'!B570), "", IF('Aqueous Species Options'!L570 = 1, IF(ISBLANK('Aqueous Species Options'!H570), "", 'Aqueous Species Options'!H570), 'Aqueous Species Table'!M570 + 'Aqueous Species Table'!N570*10000*(1/(Calculations!$C$8-Calculations!$C$13))^2 + 'Aqueous Species Table'!O570*100000*Calculations!$C$8*Calculations!$C$7))</f>
        <v/>
      </c>
      <c r="I570" s="1" t="str">
        <f>IF(ISBLANK('Aqueous Species Options'!B570), "", IF('Aqueous Species Options'!L570=0, 'Aqueous Species Options'!N570, IF(OR(ISBLANK('Aqueous Species Options'!G570),'Aqueous Species Table'!O570="", 'Aqueous Species Table'!P570=""), "", IF('Aqueous Species Options'!B570="H+", 0, (CHOOSE('Aqueous Species Options'!M570+1,'Aqueous Species Options'!$V$4*ABS('Aqueous Species Table'!P570)+'Aqueous Species Options'!$W$4,'Aqueous Species Options'!$Z$4)*('Aqueous Species Options'!G570 + 'Aqueous Species Table'!O570*100000*0.0000005903*41.8393) + CHOOSE('Aqueous Species Options'!M570+1,'Aqueous Species Options'!$X$4*ABS('Aqueous Species Table'!P570)+'Aqueous Species Options'!$Y$4,'Aqueous Species Options'!$AA$4))*10 ) ) ) )</f>
        <v/>
      </c>
      <c r="J570" s="1" t="str">
        <f>IF(ISBLANK('Aqueous Species Options'!B570), "", IF('Aqueous Species Options'!L570 = 0, 'Aqueous Species Options'!O570, IF('Aqueous Species Table'!I570="", "", IF('Aqueous Species Options'!B570="H+", 0, ((1.11*('Aqueous Species Options'!G570 + 'Aqueous Species Table'!O570*100000*0.0000005903*41.8393)+1.8)/41.8393 - 'Aqueous Species Table'!I570/10)*26.01 ) ) ) )</f>
        <v/>
      </c>
      <c r="K570" s="1" t="str">
        <f>IF(ISBLANK('Aqueous Species Options'!B570), "", IF('Aqueous Species Options'!L570 = 0, 'Aqueous Species Options'!P570, IF('Aqueous Species Table'!I570="", "", IF('Aqueous Species Options'!B570="H+", 0, ('Aqueous Species Options'!G570/41.8393 + 'Aqueous Species Table'!O570*100000*0.0000005903 - 'Aqueous Species Table'!I570/10 - 'Aqueous Species Table'!J570*100/2601)*(298.15-228) - ('Aqueous Species Table'!L570*10000/2601) ) ) ) )</f>
        <v/>
      </c>
      <c r="L570" s="1" t="str">
        <f>IF(ISBLANK('Aqueous Species Options'!B570), "", IF('Aqueous Species Options'!L570 = 0, 'Aqueous Species Options'!Q570, IF('Aqueous Species Table'!J570="", "", IF('Aqueous Species Options'!B570="H+", 0, (-4.134*'Aqueous Species Table'!J570*100 - 27790)*0.0001) ) ) )</f>
        <v/>
      </c>
      <c r="M570" s="1" t="str">
        <f>IF(ISBLANK('Aqueous Species Options'!B570), "", IF('Aqueous Species Options'!L570=0, 'Aqueous Species Options'!R570, IF('Aqueous Species Table'!N570="", "", IF('Aqueous Species Options'!B570="H+", 0, 'Aqueous Species Options'!H570 - 'Aqueous Species Table'!O570*100000*(-0.000000309)*298.15 - 'Aqueous Species Table'!N570*10000/(298.15-228)^2 ) ) ) )</f>
        <v/>
      </c>
      <c r="N570" s="1" t="str">
        <f>IF(ISBLANK('Aqueous Species Options'!B570), "", IF('Aqueous Species Options'!L570=0, 'Aqueous Species Options'!S570, IF(OR(ISBLANK('Aqueous Species Options'!H570), 'Aqueous Species Table'!O570=""), "", IF('Aqueous Species Options'!B570="H+", 0, 0.2037*'Aqueous Species Options'!H570 - 3.0346) ) ) )</f>
        <v/>
      </c>
      <c r="O570" s="1" t="str">
        <f>IF(ISBLANK('Aqueous Species Options'!B570), "", IF('Aqueous Species Options'!K570=0, 'Aqueous Species Options'!I570, IF(OR('Aqueous Species Options'!J570&gt;4,'Aqueous Species Options'!J570&lt;-4), "", IF('Aqueous Species Options'!B570="H+", 0, IF('Aqueous Species Options'!J570=0, -0.038, IF(ISBLANK('Aqueous Species Options'!F570), "", -1514.4*'Aqueous Species Options'!F570*0.00001 + SUM(({4,3,2,1,-1,-2,-3,-4}='Aqueous Species Options'!J570)*{2.1764,1.5793,1.0579,0.5517,1.6291,3.2127,4.8115,6.486}) ) ) ) ) ) )</f>
        <v/>
      </c>
      <c r="P570" s="1" t="str">
        <f>IF(ISBLANK('Aqueous Species Options'!J570), "", 'Aqueous Species Options'!J570)</f>
        <v/>
      </c>
      <c r="Q570" s="184" t="str">
        <f>IF(ISBLANK('Aqueous Species Options'!T570), "", 'Aqueous Species Options'!T570)</f>
        <v/>
      </c>
    </row>
    <row r="571" spans="2:17" ht="16" x14ac:dyDescent="0.2">
      <c r="B571" t="str">
        <f>IF(ISBLANK('Aqueous Species Options'!B571), "", 'Aqueous Species Options'!B571)</f>
        <v/>
      </c>
      <c r="C571" s="1" t="str">
        <f>IF(ISBLANK('Aqueous Species Options'!C571), "", 'Aqueous Species Options'!C571)</f>
        <v/>
      </c>
      <c r="D571" s="1" t="str">
        <f>IF(ISBLANK('Aqueous Species Options'!D571), "", 'Aqueous Species Options'!D571)</f>
        <v/>
      </c>
      <c r="E571" s="1" t="str">
        <f>IF(ISBLANK('Aqueous Species Options'!E571), "", 'Aqueous Species Options'!E571)</f>
        <v/>
      </c>
      <c r="F571" s="139" t="str">
        <f>IF(ISBLANK('Aqueous Species Options'!F571), "", 'Aqueous Species Options'!F571)</f>
        <v/>
      </c>
      <c r="G571" s="29" t="str">
        <f>IF(ISBLANK('Aqueous Species Options'!B571), "", IF('Aqueous Species Options'!L571 = 1, IF(ISBLANK('Aqueous Species Options'!G571), "", 'Aqueous Species Options'!G571), ('Aqueous Species Table'!I571/10 + ('Aqueous Species Table'!J571*100)/(Calculations!$C$12+Calculations!$C$9) + ('Aqueous Species Table'!K571 + ('Aqueous Species Table'!L571*10000)/(Calculations!$C$12+Calculations!$C$9))*(1/(Calculations!$C$8-Calculations!$C$13)) - 'Aqueous Species Table'!O571*100000*0.0000005903)*41.8393))</f>
        <v/>
      </c>
      <c r="H571" s="29" t="str">
        <f>IF(ISBLANK('Aqueous Species Options'!B571), "", IF('Aqueous Species Options'!L571 = 1, IF(ISBLANK('Aqueous Species Options'!H571), "", 'Aqueous Species Options'!H571), 'Aqueous Species Table'!M571 + 'Aqueous Species Table'!N571*10000*(1/(Calculations!$C$8-Calculations!$C$13))^2 + 'Aqueous Species Table'!O571*100000*Calculations!$C$8*Calculations!$C$7))</f>
        <v/>
      </c>
      <c r="I571" s="1" t="str">
        <f>IF(ISBLANK('Aqueous Species Options'!B571), "", IF('Aqueous Species Options'!L571=0, 'Aqueous Species Options'!N571, IF(OR(ISBLANK('Aqueous Species Options'!G571),'Aqueous Species Table'!O571="", 'Aqueous Species Table'!P571=""), "", IF('Aqueous Species Options'!B571="H+", 0, (CHOOSE('Aqueous Species Options'!M571+1,'Aqueous Species Options'!$V$4*ABS('Aqueous Species Table'!P571)+'Aqueous Species Options'!$W$4,'Aqueous Species Options'!$Z$4)*('Aqueous Species Options'!G571 + 'Aqueous Species Table'!O571*100000*0.0000005903*41.8393) + CHOOSE('Aqueous Species Options'!M571+1,'Aqueous Species Options'!$X$4*ABS('Aqueous Species Table'!P571)+'Aqueous Species Options'!$Y$4,'Aqueous Species Options'!$AA$4))*10 ) ) ) )</f>
        <v/>
      </c>
      <c r="J571" s="1" t="str">
        <f>IF(ISBLANK('Aqueous Species Options'!B571), "", IF('Aqueous Species Options'!L571 = 0, 'Aqueous Species Options'!O571, IF('Aqueous Species Table'!I571="", "", IF('Aqueous Species Options'!B571="H+", 0, ((1.11*('Aqueous Species Options'!G571 + 'Aqueous Species Table'!O571*100000*0.0000005903*41.8393)+1.8)/41.8393 - 'Aqueous Species Table'!I571/10)*26.01 ) ) ) )</f>
        <v/>
      </c>
      <c r="K571" s="1" t="str">
        <f>IF(ISBLANK('Aqueous Species Options'!B571), "", IF('Aqueous Species Options'!L571 = 0, 'Aqueous Species Options'!P571, IF('Aqueous Species Table'!I571="", "", IF('Aqueous Species Options'!B571="H+", 0, ('Aqueous Species Options'!G571/41.8393 + 'Aqueous Species Table'!O571*100000*0.0000005903 - 'Aqueous Species Table'!I571/10 - 'Aqueous Species Table'!J571*100/2601)*(298.15-228) - ('Aqueous Species Table'!L571*10000/2601) ) ) ) )</f>
        <v/>
      </c>
      <c r="L571" s="1" t="str">
        <f>IF(ISBLANK('Aqueous Species Options'!B571), "", IF('Aqueous Species Options'!L571 = 0, 'Aqueous Species Options'!Q571, IF('Aqueous Species Table'!J571="", "", IF('Aqueous Species Options'!B571="H+", 0, (-4.134*'Aqueous Species Table'!J571*100 - 27790)*0.0001) ) ) )</f>
        <v/>
      </c>
      <c r="M571" s="1" t="str">
        <f>IF(ISBLANK('Aqueous Species Options'!B571), "", IF('Aqueous Species Options'!L571=0, 'Aqueous Species Options'!R571, IF('Aqueous Species Table'!N571="", "", IF('Aqueous Species Options'!B571="H+", 0, 'Aqueous Species Options'!H571 - 'Aqueous Species Table'!O571*100000*(-0.000000309)*298.15 - 'Aqueous Species Table'!N571*10000/(298.15-228)^2 ) ) ) )</f>
        <v/>
      </c>
      <c r="N571" s="1" t="str">
        <f>IF(ISBLANK('Aqueous Species Options'!B571), "", IF('Aqueous Species Options'!L571=0, 'Aqueous Species Options'!S571, IF(OR(ISBLANK('Aqueous Species Options'!H571), 'Aqueous Species Table'!O571=""), "", IF('Aqueous Species Options'!B571="H+", 0, 0.2037*'Aqueous Species Options'!H571 - 3.0346) ) ) )</f>
        <v/>
      </c>
      <c r="O571" s="1" t="str">
        <f>IF(ISBLANK('Aqueous Species Options'!B571), "", IF('Aqueous Species Options'!K571=0, 'Aqueous Species Options'!I571, IF(OR('Aqueous Species Options'!J571&gt;4,'Aqueous Species Options'!J571&lt;-4), "", IF('Aqueous Species Options'!B571="H+", 0, IF('Aqueous Species Options'!J571=0, -0.038, IF(ISBLANK('Aqueous Species Options'!F571), "", -1514.4*'Aqueous Species Options'!F571*0.00001 + SUM(({4,3,2,1,-1,-2,-3,-4}='Aqueous Species Options'!J571)*{2.1764,1.5793,1.0579,0.5517,1.6291,3.2127,4.8115,6.486}) ) ) ) ) ) )</f>
        <v/>
      </c>
      <c r="P571" s="1" t="str">
        <f>IF(ISBLANK('Aqueous Species Options'!J571), "", 'Aqueous Species Options'!J571)</f>
        <v/>
      </c>
      <c r="Q571" s="184" t="str">
        <f>IF(ISBLANK('Aqueous Species Options'!T571), "", 'Aqueous Species Options'!T571)</f>
        <v/>
      </c>
    </row>
    <row r="572" spans="2:17" ht="16" x14ac:dyDescent="0.2">
      <c r="B572" t="str">
        <f>IF(ISBLANK('Aqueous Species Options'!B572), "", 'Aqueous Species Options'!B572)</f>
        <v/>
      </c>
      <c r="C572" s="1" t="str">
        <f>IF(ISBLANK('Aqueous Species Options'!C572), "", 'Aqueous Species Options'!C572)</f>
        <v/>
      </c>
      <c r="D572" s="1" t="str">
        <f>IF(ISBLANK('Aqueous Species Options'!D572), "", 'Aqueous Species Options'!D572)</f>
        <v/>
      </c>
      <c r="E572" s="1" t="str">
        <f>IF(ISBLANK('Aqueous Species Options'!E572), "", 'Aqueous Species Options'!E572)</f>
        <v/>
      </c>
      <c r="F572" s="139" t="str">
        <f>IF(ISBLANK('Aqueous Species Options'!F572), "", 'Aqueous Species Options'!F572)</f>
        <v/>
      </c>
      <c r="G572" s="29" t="str">
        <f>IF(ISBLANK('Aqueous Species Options'!B572), "", IF('Aqueous Species Options'!L572 = 1, IF(ISBLANK('Aqueous Species Options'!G572), "", 'Aqueous Species Options'!G572), ('Aqueous Species Table'!I572/10 + ('Aqueous Species Table'!J572*100)/(Calculations!$C$12+Calculations!$C$9) + ('Aqueous Species Table'!K572 + ('Aqueous Species Table'!L572*10000)/(Calculations!$C$12+Calculations!$C$9))*(1/(Calculations!$C$8-Calculations!$C$13)) - 'Aqueous Species Table'!O572*100000*0.0000005903)*41.8393))</f>
        <v/>
      </c>
      <c r="H572" s="29" t="str">
        <f>IF(ISBLANK('Aqueous Species Options'!B572), "", IF('Aqueous Species Options'!L572 = 1, IF(ISBLANK('Aqueous Species Options'!H572), "", 'Aqueous Species Options'!H572), 'Aqueous Species Table'!M572 + 'Aqueous Species Table'!N572*10000*(1/(Calculations!$C$8-Calculations!$C$13))^2 + 'Aqueous Species Table'!O572*100000*Calculations!$C$8*Calculations!$C$7))</f>
        <v/>
      </c>
      <c r="I572" s="1" t="str">
        <f>IF(ISBLANK('Aqueous Species Options'!B572), "", IF('Aqueous Species Options'!L572=0, 'Aqueous Species Options'!N572, IF(OR(ISBLANK('Aqueous Species Options'!G572),'Aqueous Species Table'!O572="", 'Aqueous Species Table'!P572=""), "", IF('Aqueous Species Options'!B572="H+", 0, (CHOOSE('Aqueous Species Options'!M572+1,'Aqueous Species Options'!$V$4*ABS('Aqueous Species Table'!P572)+'Aqueous Species Options'!$W$4,'Aqueous Species Options'!$Z$4)*('Aqueous Species Options'!G572 + 'Aqueous Species Table'!O572*100000*0.0000005903*41.8393) + CHOOSE('Aqueous Species Options'!M572+1,'Aqueous Species Options'!$X$4*ABS('Aqueous Species Table'!P572)+'Aqueous Species Options'!$Y$4,'Aqueous Species Options'!$AA$4))*10 ) ) ) )</f>
        <v/>
      </c>
      <c r="J572" s="1" t="str">
        <f>IF(ISBLANK('Aqueous Species Options'!B572), "", IF('Aqueous Species Options'!L572 = 0, 'Aqueous Species Options'!O572, IF('Aqueous Species Table'!I572="", "", IF('Aqueous Species Options'!B572="H+", 0, ((1.11*('Aqueous Species Options'!G572 + 'Aqueous Species Table'!O572*100000*0.0000005903*41.8393)+1.8)/41.8393 - 'Aqueous Species Table'!I572/10)*26.01 ) ) ) )</f>
        <v/>
      </c>
      <c r="K572" s="1" t="str">
        <f>IF(ISBLANK('Aqueous Species Options'!B572), "", IF('Aqueous Species Options'!L572 = 0, 'Aqueous Species Options'!P572, IF('Aqueous Species Table'!I572="", "", IF('Aqueous Species Options'!B572="H+", 0, ('Aqueous Species Options'!G572/41.8393 + 'Aqueous Species Table'!O572*100000*0.0000005903 - 'Aqueous Species Table'!I572/10 - 'Aqueous Species Table'!J572*100/2601)*(298.15-228) - ('Aqueous Species Table'!L572*10000/2601) ) ) ) )</f>
        <v/>
      </c>
      <c r="L572" s="1" t="str">
        <f>IF(ISBLANK('Aqueous Species Options'!B572), "", IF('Aqueous Species Options'!L572 = 0, 'Aqueous Species Options'!Q572, IF('Aqueous Species Table'!J572="", "", IF('Aqueous Species Options'!B572="H+", 0, (-4.134*'Aqueous Species Table'!J572*100 - 27790)*0.0001) ) ) )</f>
        <v/>
      </c>
      <c r="M572" s="1" t="str">
        <f>IF(ISBLANK('Aqueous Species Options'!B572), "", IF('Aqueous Species Options'!L572=0, 'Aqueous Species Options'!R572, IF('Aqueous Species Table'!N572="", "", IF('Aqueous Species Options'!B572="H+", 0, 'Aqueous Species Options'!H572 - 'Aqueous Species Table'!O572*100000*(-0.000000309)*298.15 - 'Aqueous Species Table'!N572*10000/(298.15-228)^2 ) ) ) )</f>
        <v/>
      </c>
      <c r="N572" s="1" t="str">
        <f>IF(ISBLANK('Aqueous Species Options'!B572), "", IF('Aqueous Species Options'!L572=0, 'Aqueous Species Options'!S572, IF(OR(ISBLANK('Aqueous Species Options'!H572), 'Aqueous Species Table'!O572=""), "", IF('Aqueous Species Options'!B572="H+", 0, 0.2037*'Aqueous Species Options'!H572 - 3.0346) ) ) )</f>
        <v/>
      </c>
      <c r="O572" s="1" t="str">
        <f>IF(ISBLANK('Aqueous Species Options'!B572), "", IF('Aqueous Species Options'!K572=0, 'Aqueous Species Options'!I572, IF(OR('Aqueous Species Options'!J572&gt;4,'Aqueous Species Options'!J572&lt;-4), "", IF('Aqueous Species Options'!B572="H+", 0, IF('Aqueous Species Options'!J572=0, -0.038, IF(ISBLANK('Aqueous Species Options'!F572), "", -1514.4*'Aqueous Species Options'!F572*0.00001 + SUM(({4,3,2,1,-1,-2,-3,-4}='Aqueous Species Options'!J572)*{2.1764,1.5793,1.0579,0.5517,1.6291,3.2127,4.8115,6.486}) ) ) ) ) ) )</f>
        <v/>
      </c>
      <c r="P572" s="1" t="str">
        <f>IF(ISBLANK('Aqueous Species Options'!J572), "", 'Aqueous Species Options'!J572)</f>
        <v/>
      </c>
      <c r="Q572" s="184" t="str">
        <f>IF(ISBLANK('Aqueous Species Options'!T572), "", 'Aqueous Species Options'!T572)</f>
        <v/>
      </c>
    </row>
    <row r="573" spans="2:17" ht="16" x14ac:dyDescent="0.2">
      <c r="B573" t="str">
        <f>IF(ISBLANK('Aqueous Species Options'!B573), "", 'Aqueous Species Options'!B573)</f>
        <v/>
      </c>
      <c r="C573" s="1" t="str">
        <f>IF(ISBLANK('Aqueous Species Options'!C573), "", 'Aqueous Species Options'!C573)</f>
        <v/>
      </c>
      <c r="D573" s="1" t="str">
        <f>IF(ISBLANK('Aqueous Species Options'!D573), "", 'Aqueous Species Options'!D573)</f>
        <v/>
      </c>
      <c r="E573" s="1" t="str">
        <f>IF(ISBLANK('Aqueous Species Options'!E573), "", 'Aqueous Species Options'!E573)</f>
        <v/>
      </c>
      <c r="F573" s="139" t="str">
        <f>IF(ISBLANK('Aqueous Species Options'!F573), "", 'Aqueous Species Options'!F573)</f>
        <v/>
      </c>
      <c r="G573" s="29" t="str">
        <f>IF(ISBLANK('Aqueous Species Options'!B573), "", IF('Aqueous Species Options'!L573 = 1, IF(ISBLANK('Aqueous Species Options'!G573), "", 'Aqueous Species Options'!G573), ('Aqueous Species Table'!I573/10 + ('Aqueous Species Table'!J573*100)/(Calculations!$C$12+Calculations!$C$9) + ('Aqueous Species Table'!K573 + ('Aqueous Species Table'!L573*10000)/(Calculations!$C$12+Calculations!$C$9))*(1/(Calculations!$C$8-Calculations!$C$13)) - 'Aqueous Species Table'!O573*100000*0.0000005903)*41.8393))</f>
        <v/>
      </c>
      <c r="H573" s="29" t="str">
        <f>IF(ISBLANK('Aqueous Species Options'!B573), "", IF('Aqueous Species Options'!L573 = 1, IF(ISBLANK('Aqueous Species Options'!H573), "", 'Aqueous Species Options'!H573), 'Aqueous Species Table'!M573 + 'Aqueous Species Table'!N573*10000*(1/(Calculations!$C$8-Calculations!$C$13))^2 + 'Aqueous Species Table'!O573*100000*Calculations!$C$8*Calculations!$C$7))</f>
        <v/>
      </c>
      <c r="I573" s="1" t="str">
        <f>IF(ISBLANK('Aqueous Species Options'!B573), "", IF('Aqueous Species Options'!L573=0, 'Aqueous Species Options'!N573, IF(OR(ISBLANK('Aqueous Species Options'!G573),'Aqueous Species Table'!O573="", 'Aqueous Species Table'!P573=""), "", IF('Aqueous Species Options'!B573="H+", 0, (CHOOSE('Aqueous Species Options'!M573+1,'Aqueous Species Options'!$V$4*ABS('Aqueous Species Table'!P573)+'Aqueous Species Options'!$W$4,'Aqueous Species Options'!$Z$4)*('Aqueous Species Options'!G573 + 'Aqueous Species Table'!O573*100000*0.0000005903*41.8393) + CHOOSE('Aqueous Species Options'!M573+1,'Aqueous Species Options'!$X$4*ABS('Aqueous Species Table'!P573)+'Aqueous Species Options'!$Y$4,'Aqueous Species Options'!$AA$4))*10 ) ) ) )</f>
        <v/>
      </c>
      <c r="J573" s="1" t="str">
        <f>IF(ISBLANK('Aqueous Species Options'!B573), "", IF('Aqueous Species Options'!L573 = 0, 'Aqueous Species Options'!O573, IF('Aqueous Species Table'!I573="", "", IF('Aqueous Species Options'!B573="H+", 0, ((1.11*('Aqueous Species Options'!G573 + 'Aqueous Species Table'!O573*100000*0.0000005903*41.8393)+1.8)/41.8393 - 'Aqueous Species Table'!I573/10)*26.01 ) ) ) )</f>
        <v/>
      </c>
      <c r="K573" s="1" t="str">
        <f>IF(ISBLANK('Aqueous Species Options'!B573), "", IF('Aqueous Species Options'!L573 = 0, 'Aqueous Species Options'!P573, IF('Aqueous Species Table'!I573="", "", IF('Aqueous Species Options'!B573="H+", 0, ('Aqueous Species Options'!G573/41.8393 + 'Aqueous Species Table'!O573*100000*0.0000005903 - 'Aqueous Species Table'!I573/10 - 'Aqueous Species Table'!J573*100/2601)*(298.15-228) - ('Aqueous Species Table'!L573*10000/2601) ) ) ) )</f>
        <v/>
      </c>
      <c r="L573" s="1" t="str">
        <f>IF(ISBLANK('Aqueous Species Options'!B573), "", IF('Aqueous Species Options'!L573 = 0, 'Aqueous Species Options'!Q573, IF('Aqueous Species Table'!J573="", "", IF('Aqueous Species Options'!B573="H+", 0, (-4.134*'Aqueous Species Table'!J573*100 - 27790)*0.0001) ) ) )</f>
        <v/>
      </c>
      <c r="M573" s="1" t="str">
        <f>IF(ISBLANK('Aqueous Species Options'!B573), "", IF('Aqueous Species Options'!L573=0, 'Aqueous Species Options'!R573, IF('Aqueous Species Table'!N573="", "", IF('Aqueous Species Options'!B573="H+", 0, 'Aqueous Species Options'!H573 - 'Aqueous Species Table'!O573*100000*(-0.000000309)*298.15 - 'Aqueous Species Table'!N573*10000/(298.15-228)^2 ) ) ) )</f>
        <v/>
      </c>
      <c r="N573" s="1" t="str">
        <f>IF(ISBLANK('Aqueous Species Options'!B573), "", IF('Aqueous Species Options'!L573=0, 'Aqueous Species Options'!S573, IF(OR(ISBLANK('Aqueous Species Options'!H573), 'Aqueous Species Table'!O573=""), "", IF('Aqueous Species Options'!B573="H+", 0, 0.2037*'Aqueous Species Options'!H573 - 3.0346) ) ) )</f>
        <v/>
      </c>
      <c r="O573" s="1" t="str">
        <f>IF(ISBLANK('Aqueous Species Options'!B573), "", IF('Aqueous Species Options'!K573=0, 'Aqueous Species Options'!I573, IF(OR('Aqueous Species Options'!J573&gt;4,'Aqueous Species Options'!J573&lt;-4), "", IF('Aqueous Species Options'!B573="H+", 0, IF('Aqueous Species Options'!J573=0, -0.038, IF(ISBLANK('Aqueous Species Options'!F573), "", -1514.4*'Aqueous Species Options'!F573*0.00001 + SUM(({4,3,2,1,-1,-2,-3,-4}='Aqueous Species Options'!J573)*{2.1764,1.5793,1.0579,0.5517,1.6291,3.2127,4.8115,6.486}) ) ) ) ) ) )</f>
        <v/>
      </c>
      <c r="P573" s="1" t="str">
        <f>IF(ISBLANK('Aqueous Species Options'!J573), "", 'Aqueous Species Options'!J573)</f>
        <v/>
      </c>
      <c r="Q573" s="184" t="str">
        <f>IF(ISBLANK('Aqueous Species Options'!T573), "", 'Aqueous Species Options'!T573)</f>
        <v/>
      </c>
    </row>
    <row r="574" spans="2:17" ht="16" x14ac:dyDescent="0.2">
      <c r="B574" t="str">
        <f>IF(ISBLANK('Aqueous Species Options'!B574), "", 'Aqueous Species Options'!B574)</f>
        <v/>
      </c>
      <c r="C574" s="1" t="str">
        <f>IF(ISBLANK('Aqueous Species Options'!C574), "", 'Aqueous Species Options'!C574)</f>
        <v/>
      </c>
      <c r="D574" s="1" t="str">
        <f>IF(ISBLANK('Aqueous Species Options'!D574), "", 'Aqueous Species Options'!D574)</f>
        <v/>
      </c>
      <c r="E574" s="1" t="str">
        <f>IF(ISBLANK('Aqueous Species Options'!E574), "", 'Aqueous Species Options'!E574)</f>
        <v/>
      </c>
      <c r="F574" s="139" t="str">
        <f>IF(ISBLANK('Aqueous Species Options'!F574), "", 'Aqueous Species Options'!F574)</f>
        <v/>
      </c>
      <c r="G574" s="29" t="str">
        <f>IF(ISBLANK('Aqueous Species Options'!B574), "", IF('Aqueous Species Options'!L574 = 1, IF(ISBLANK('Aqueous Species Options'!G574), "", 'Aqueous Species Options'!G574), ('Aqueous Species Table'!I574/10 + ('Aqueous Species Table'!J574*100)/(Calculations!$C$12+Calculations!$C$9) + ('Aqueous Species Table'!K574 + ('Aqueous Species Table'!L574*10000)/(Calculations!$C$12+Calculations!$C$9))*(1/(Calculations!$C$8-Calculations!$C$13)) - 'Aqueous Species Table'!O574*100000*0.0000005903)*41.8393))</f>
        <v/>
      </c>
      <c r="H574" s="29" t="str">
        <f>IF(ISBLANK('Aqueous Species Options'!B574), "", IF('Aqueous Species Options'!L574 = 1, IF(ISBLANK('Aqueous Species Options'!H574), "", 'Aqueous Species Options'!H574), 'Aqueous Species Table'!M574 + 'Aqueous Species Table'!N574*10000*(1/(Calculations!$C$8-Calculations!$C$13))^2 + 'Aqueous Species Table'!O574*100000*Calculations!$C$8*Calculations!$C$7))</f>
        <v/>
      </c>
      <c r="I574" s="1" t="str">
        <f>IF(ISBLANK('Aqueous Species Options'!B574), "", IF('Aqueous Species Options'!L574=0, 'Aqueous Species Options'!N574, IF(OR(ISBLANK('Aqueous Species Options'!G574),'Aqueous Species Table'!O574="", 'Aqueous Species Table'!P574=""), "", IF('Aqueous Species Options'!B574="H+", 0, (CHOOSE('Aqueous Species Options'!M574+1,'Aqueous Species Options'!$V$4*ABS('Aqueous Species Table'!P574)+'Aqueous Species Options'!$W$4,'Aqueous Species Options'!$Z$4)*('Aqueous Species Options'!G574 + 'Aqueous Species Table'!O574*100000*0.0000005903*41.8393) + CHOOSE('Aqueous Species Options'!M574+1,'Aqueous Species Options'!$X$4*ABS('Aqueous Species Table'!P574)+'Aqueous Species Options'!$Y$4,'Aqueous Species Options'!$AA$4))*10 ) ) ) )</f>
        <v/>
      </c>
      <c r="J574" s="1" t="str">
        <f>IF(ISBLANK('Aqueous Species Options'!B574), "", IF('Aqueous Species Options'!L574 = 0, 'Aqueous Species Options'!O574, IF('Aqueous Species Table'!I574="", "", IF('Aqueous Species Options'!B574="H+", 0, ((1.11*('Aqueous Species Options'!G574 + 'Aqueous Species Table'!O574*100000*0.0000005903*41.8393)+1.8)/41.8393 - 'Aqueous Species Table'!I574/10)*26.01 ) ) ) )</f>
        <v/>
      </c>
      <c r="K574" s="1" t="str">
        <f>IF(ISBLANK('Aqueous Species Options'!B574), "", IF('Aqueous Species Options'!L574 = 0, 'Aqueous Species Options'!P574, IF('Aqueous Species Table'!I574="", "", IF('Aqueous Species Options'!B574="H+", 0, ('Aqueous Species Options'!G574/41.8393 + 'Aqueous Species Table'!O574*100000*0.0000005903 - 'Aqueous Species Table'!I574/10 - 'Aqueous Species Table'!J574*100/2601)*(298.15-228) - ('Aqueous Species Table'!L574*10000/2601) ) ) ) )</f>
        <v/>
      </c>
      <c r="L574" s="1" t="str">
        <f>IF(ISBLANK('Aqueous Species Options'!B574), "", IF('Aqueous Species Options'!L574 = 0, 'Aqueous Species Options'!Q574, IF('Aqueous Species Table'!J574="", "", IF('Aqueous Species Options'!B574="H+", 0, (-4.134*'Aqueous Species Table'!J574*100 - 27790)*0.0001) ) ) )</f>
        <v/>
      </c>
      <c r="M574" s="1" t="str">
        <f>IF(ISBLANK('Aqueous Species Options'!B574), "", IF('Aqueous Species Options'!L574=0, 'Aqueous Species Options'!R574, IF('Aqueous Species Table'!N574="", "", IF('Aqueous Species Options'!B574="H+", 0, 'Aqueous Species Options'!H574 - 'Aqueous Species Table'!O574*100000*(-0.000000309)*298.15 - 'Aqueous Species Table'!N574*10000/(298.15-228)^2 ) ) ) )</f>
        <v/>
      </c>
      <c r="N574" s="1" t="str">
        <f>IF(ISBLANK('Aqueous Species Options'!B574), "", IF('Aqueous Species Options'!L574=0, 'Aqueous Species Options'!S574, IF(OR(ISBLANK('Aqueous Species Options'!H574), 'Aqueous Species Table'!O574=""), "", IF('Aqueous Species Options'!B574="H+", 0, 0.2037*'Aqueous Species Options'!H574 - 3.0346) ) ) )</f>
        <v/>
      </c>
      <c r="O574" s="1" t="str">
        <f>IF(ISBLANK('Aqueous Species Options'!B574), "", IF('Aqueous Species Options'!K574=0, 'Aqueous Species Options'!I574, IF(OR('Aqueous Species Options'!J574&gt;4,'Aqueous Species Options'!J574&lt;-4), "", IF('Aqueous Species Options'!B574="H+", 0, IF('Aqueous Species Options'!J574=0, -0.038, IF(ISBLANK('Aqueous Species Options'!F574), "", -1514.4*'Aqueous Species Options'!F574*0.00001 + SUM(({4,3,2,1,-1,-2,-3,-4}='Aqueous Species Options'!J574)*{2.1764,1.5793,1.0579,0.5517,1.6291,3.2127,4.8115,6.486}) ) ) ) ) ) )</f>
        <v/>
      </c>
      <c r="P574" s="1" t="str">
        <f>IF(ISBLANK('Aqueous Species Options'!J574), "", 'Aqueous Species Options'!J574)</f>
        <v/>
      </c>
      <c r="Q574" s="184" t="str">
        <f>IF(ISBLANK('Aqueous Species Options'!T574), "", 'Aqueous Species Options'!T574)</f>
        <v/>
      </c>
    </row>
    <row r="575" spans="2:17" ht="16" x14ac:dyDescent="0.2">
      <c r="B575" t="str">
        <f>IF(ISBLANK('Aqueous Species Options'!B575), "", 'Aqueous Species Options'!B575)</f>
        <v/>
      </c>
      <c r="C575" s="1" t="str">
        <f>IF(ISBLANK('Aqueous Species Options'!C575), "", 'Aqueous Species Options'!C575)</f>
        <v/>
      </c>
      <c r="D575" s="1" t="str">
        <f>IF(ISBLANK('Aqueous Species Options'!D575), "", 'Aqueous Species Options'!D575)</f>
        <v/>
      </c>
      <c r="E575" s="1" t="str">
        <f>IF(ISBLANK('Aqueous Species Options'!E575), "", 'Aqueous Species Options'!E575)</f>
        <v/>
      </c>
      <c r="F575" s="139" t="str">
        <f>IF(ISBLANK('Aqueous Species Options'!F575), "", 'Aqueous Species Options'!F575)</f>
        <v/>
      </c>
      <c r="G575" s="29" t="str">
        <f>IF(ISBLANK('Aqueous Species Options'!B575), "", IF('Aqueous Species Options'!L575 = 1, IF(ISBLANK('Aqueous Species Options'!G575), "", 'Aqueous Species Options'!G575), ('Aqueous Species Table'!I575/10 + ('Aqueous Species Table'!J575*100)/(Calculations!$C$12+Calculations!$C$9) + ('Aqueous Species Table'!K575 + ('Aqueous Species Table'!L575*10000)/(Calculations!$C$12+Calculations!$C$9))*(1/(Calculations!$C$8-Calculations!$C$13)) - 'Aqueous Species Table'!O575*100000*0.0000005903)*41.8393))</f>
        <v/>
      </c>
      <c r="H575" s="29" t="str">
        <f>IF(ISBLANK('Aqueous Species Options'!B575), "", IF('Aqueous Species Options'!L575 = 1, IF(ISBLANK('Aqueous Species Options'!H575), "", 'Aqueous Species Options'!H575), 'Aqueous Species Table'!M575 + 'Aqueous Species Table'!N575*10000*(1/(Calculations!$C$8-Calculations!$C$13))^2 + 'Aqueous Species Table'!O575*100000*Calculations!$C$8*Calculations!$C$7))</f>
        <v/>
      </c>
      <c r="I575" s="1" t="str">
        <f>IF(ISBLANK('Aqueous Species Options'!B575), "", IF('Aqueous Species Options'!L575=0, 'Aqueous Species Options'!N575, IF(OR(ISBLANK('Aqueous Species Options'!G575),'Aqueous Species Table'!O575="", 'Aqueous Species Table'!P575=""), "", IF('Aqueous Species Options'!B575="H+", 0, (CHOOSE('Aqueous Species Options'!M575+1,'Aqueous Species Options'!$V$4*ABS('Aqueous Species Table'!P575)+'Aqueous Species Options'!$W$4,'Aqueous Species Options'!$Z$4)*('Aqueous Species Options'!G575 + 'Aqueous Species Table'!O575*100000*0.0000005903*41.8393) + CHOOSE('Aqueous Species Options'!M575+1,'Aqueous Species Options'!$X$4*ABS('Aqueous Species Table'!P575)+'Aqueous Species Options'!$Y$4,'Aqueous Species Options'!$AA$4))*10 ) ) ) )</f>
        <v/>
      </c>
      <c r="J575" s="1" t="str">
        <f>IF(ISBLANK('Aqueous Species Options'!B575), "", IF('Aqueous Species Options'!L575 = 0, 'Aqueous Species Options'!O575, IF('Aqueous Species Table'!I575="", "", IF('Aqueous Species Options'!B575="H+", 0, ((1.11*('Aqueous Species Options'!G575 + 'Aqueous Species Table'!O575*100000*0.0000005903*41.8393)+1.8)/41.8393 - 'Aqueous Species Table'!I575/10)*26.01 ) ) ) )</f>
        <v/>
      </c>
      <c r="K575" s="1" t="str">
        <f>IF(ISBLANK('Aqueous Species Options'!B575), "", IF('Aqueous Species Options'!L575 = 0, 'Aqueous Species Options'!P575, IF('Aqueous Species Table'!I575="", "", IF('Aqueous Species Options'!B575="H+", 0, ('Aqueous Species Options'!G575/41.8393 + 'Aqueous Species Table'!O575*100000*0.0000005903 - 'Aqueous Species Table'!I575/10 - 'Aqueous Species Table'!J575*100/2601)*(298.15-228) - ('Aqueous Species Table'!L575*10000/2601) ) ) ) )</f>
        <v/>
      </c>
      <c r="L575" s="1" t="str">
        <f>IF(ISBLANK('Aqueous Species Options'!B575), "", IF('Aqueous Species Options'!L575 = 0, 'Aqueous Species Options'!Q575, IF('Aqueous Species Table'!J575="", "", IF('Aqueous Species Options'!B575="H+", 0, (-4.134*'Aqueous Species Table'!J575*100 - 27790)*0.0001) ) ) )</f>
        <v/>
      </c>
      <c r="M575" s="1" t="str">
        <f>IF(ISBLANK('Aqueous Species Options'!B575), "", IF('Aqueous Species Options'!L575=0, 'Aqueous Species Options'!R575, IF('Aqueous Species Table'!N575="", "", IF('Aqueous Species Options'!B575="H+", 0, 'Aqueous Species Options'!H575 - 'Aqueous Species Table'!O575*100000*(-0.000000309)*298.15 - 'Aqueous Species Table'!N575*10000/(298.15-228)^2 ) ) ) )</f>
        <v/>
      </c>
      <c r="N575" s="1" t="str">
        <f>IF(ISBLANK('Aqueous Species Options'!B575), "", IF('Aqueous Species Options'!L575=0, 'Aqueous Species Options'!S575, IF(OR(ISBLANK('Aqueous Species Options'!H575), 'Aqueous Species Table'!O575=""), "", IF('Aqueous Species Options'!B575="H+", 0, 0.2037*'Aqueous Species Options'!H575 - 3.0346) ) ) )</f>
        <v/>
      </c>
      <c r="O575" s="1" t="str">
        <f>IF(ISBLANK('Aqueous Species Options'!B575), "", IF('Aqueous Species Options'!K575=0, 'Aqueous Species Options'!I575, IF(OR('Aqueous Species Options'!J575&gt;4,'Aqueous Species Options'!J575&lt;-4), "", IF('Aqueous Species Options'!B575="H+", 0, IF('Aqueous Species Options'!J575=0, -0.038, IF(ISBLANK('Aqueous Species Options'!F575), "", -1514.4*'Aqueous Species Options'!F575*0.00001 + SUM(({4,3,2,1,-1,-2,-3,-4}='Aqueous Species Options'!J575)*{2.1764,1.5793,1.0579,0.5517,1.6291,3.2127,4.8115,6.486}) ) ) ) ) ) )</f>
        <v/>
      </c>
      <c r="P575" s="1" t="str">
        <f>IF(ISBLANK('Aqueous Species Options'!J575), "", 'Aqueous Species Options'!J575)</f>
        <v/>
      </c>
      <c r="Q575" s="184" t="str">
        <f>IF(ISBLANK('Aqueous Species Options'!T575), "", 'Aqueous Species Options'!T575)</f>
        <v/>
      </c>
    </row>
    <row r="576" spans="2:17" ht="16" x14ac:dyDescent="0.2">
      <c r="B576" t="str">
        <f>IF(ISBLANK('Aqueous Species Options'!B576), "", 'Aqueous Species Options'!B576)</f>
        <v/>
      </c>
      <c r="C576" s="1" t="str">
        <f>IF(ISBLANK('Aqueous Species Options'!C576), "", 'Aqueous Species Options'!C576)</f>
        <v/>
      </c>
      <c r="D576" s="1" t="str">
        <f>IF(ISBLANK('Aqueous Species Options'!D576), "", 'Aqueous Species Options'!D576)</f>
        <v/>
      </c>
      <c r="E576" s="1" t="str">
        <f>IF(ISBLANK('Aqueous Species Options'!E576), "", 'Aqueous Species Options'!E576)</f>
        <v/>
      </c>
      <c r="F576" s="139" t="str">
        <f>IF(ISBLANK('Aqueous Species Options'!F576), "", 'Aqueous Species Options'!F576)</f>
        <v/>
      </c>
      <c r="G576" s="29" t="str">
        <f>IF(ISBLANK('Aqueous Species Options'!B576), "", IF('Aqueous Species Options'!L576 = 1, IF(ISBLANK('Aqueous Species Options'!G576), "", 'Aqueous Species Options'!G576), ('Aqueous Species Table'!I576/10 + ('Aqueous Species Table'!J576*100)/(Calculations!$C$12+Calculations!$C$9) + ('Aqueous Species Table'!K576 + ('Aqueous Species Table'!L576*10000)/(Calculations!$C$12+Calculations!$C$9))*(1/(Calculations!$C$8-Calculations!$C$13)) - 'Aqueous Species Table'!O576*100000*0.0000005903)*41.8393))</f>
        <v/>
      </c>
      <c r="H576" s="29" t="str">
        <f>IF(ISBLANK('Aqueous Species Options'!B576), "", IF('Aqueous Species Options'!L576 = 1, IF(ISBLANK('Aqueous Species Options'!H576), "", 'Aqueous Species Options'!H576), 'Aqueous Species Table'!M576 + 'Aqueous Species Table'!N576*10000*(1/(Calculations!$C$8-Calculations!$C$13))^2 + 'Aqueous Species Table'!O576*100000*Calculations!$C$8*Calculations!$C$7))</f>
        <v/>
      </c>
      <c r="I576" s="1" t="str">
        <f>IF(ISBLANK('Aqueous Species Options'!B576), "", IF('Aqueous Species Options'!L576=0, 'Aqueous Species Options'!N576, IF(OR(ISBLANK('Aqueous Species Options'!G576),'Aqueous Species Table'!O576="", 'Aqueous Species Table'!P576=""), "", IF('Aqueous Species Options'!B576="H+", 0, (CHOOSE('Aqueous Species Options'!M576+1,'Aqueous Species Options'!$V$4*ABS('Aqueous Species Table'!P576)+'Aqueous Species Options'!$W$4,'Aqueous Species Options'!$Z$4)*('Aqueous Species Options'!G576 + 'Aqueous Species Table'!O576*100000*0.0000005903*41.8393) + CHOOSE('Aqueous Species Options'!M576+1,'Aqueous Species Options'!$X$4*ABS('Aqueous Species Table'!P576)+'Aqueous Species Options'!$Y$4,'Aqueous Species Options'!$AA$4))*10 ) ) ) )</f>
        <v/>
      </c>
      <c r="J576" s="1" t="str">
        <f>IF(ISBLANK('Aqueous Species Options'!B576), "", IF('Aqueous Species Options'!L576 = 0, 'Aqueous Species Options'!O576, IF('Aqueous Species Table'!I576="", "", IF('Aqueous Species Options'!B576="H+", 0, ((1.11*('Aqueous Species Options'!G576 + 'Aqueous Species Table'!O576*100000*0.0000005903*41.8393)+1.8)/41.8393 - 'Aqueous Species Table'!I576/10)*26.01 ) ) ) )</f>
        <v/>
      </c>
      <c r="K576" s="1" t="str">
        <f>IF(ISBLANK('Aqueous Species Options'!B576), "", IF('Aqueous Species Options'!L576 = 0, 'Aqueous Species Options'!P576, IF('Aqueous Species Table'!I576="", "", IF('Aqueous Species Options'!B576="H+", 0, ('Aqueous Species Options'!G576/41.8393 + 'Aqueous Species Table'!O576*100000*0.0000005903 - 'Aqueous Species Table'!I576/10 - 'Aqueous Species Table'!J576*100/2601)*(298.15-228) - ('Aqueous Species Table'!L576*10000/2601) ) ) ) )</f>
        <v/>
      </c>
      <c r="L576" s="1" t="str">
        <f>IF(ISBLANK('Aqueous Species Options'!B576), "", IF('Aqueous Species Options'!L576 = 0, 'Aqueous Species Options'!Q576, IF('Aqueous Species Table'!J576="", "", IF('Aqueous Species Options'!B576="H+", 0, (-4.134*'Aqueous Species Table'!J576*100 - 27790)*0.0001) ) ) )</f>
        <v/>
      </c>
      <c r="M576" s="1" t="str">
        <f>IF(ISBLANK('Aqueous Species Options'!B576), "", IF('Aqueous Species Options'!L576=0, 'Aqueous Species Options'!R576, IF('Aqueous Species Table'!N576="", "", IF('Aqueous Species Options'!B576="H+", 0, 'Aqueous Species Options'!H576 - 'Aqueous Species Table'!O576*100000*(-0.000000309)*298.15 - 'Aqueous Species Table'!N576*10000/(298.15-228)^2 ) ) ) )</f>
        <v/>
      </c>
      <c r="N576" s="1" t="str">
        <f>IF(ISBLANK('Aqueous Species Options'!B576), "", IF('Aqueous Species Options'!L576=0, 'Aqueous Species Options'!S576, IF(OR(ISBLANK('Aqueous Species Options'!H576), 'Aqueous Species Table'!O576=""), "", IF('Aqueous Species Options'!B576="H+", 0, 0.2037*'Aqueous Species Options'!H576 - 3.0346) ) ) )</f>
        <v/>
      </c>
      <c r="O576" s="1" t="str">
        <f>IF(ISBLANK('Aqueous Species Options'!B576), "", IF('Aqueous Species Options'!K576=0, 'Aqueous Species Options'!I576, IF(OR('Aqueous Species Options'!J576&gt;4,'Aqueous Species Options'!J576&lt;-4), "", IF('Aqueous Species Options'!B576="H+", 0, IF('Aqueous Species Options'!J576=0, -0.038, IF(ISBLANK('Aqueous Species Options'!F576), "", -1514.4*'Aqueous Species Options'!F576*0.00001 + SUM(({4,3,2,1,-1,-2,-3,-4}='Aqueous Species Options'!J576)*{2.1764,1.5793,1.0579,0.5517,1.6291,3.2127,4.8115,6.486}) ) ) ) ) ) )</f>
        <v/>
      </c>
      <c r="P576" s="1" t="str">
        <f>IF(ISBLANK('Aqueous Species Options'!J576), "", 'Aqueous Species Options'!J576)</f>
        <v/>
      </c>
      <c r="Q576" s="184" t="str">
        <f>IF(ISBLANK('Aqueous Species Options'!T576), "", 'Aqueous Species Options'!T576)</f>
        <v/>
      </c>
    </row>
    <row r="577" spans="2:17" ht="16" x14ac:dyDescent="0.2">
      <c r="B577" t="str">
        <f>IF(ISBLANK('Aqueous Species Options'!B577), "", 'Aqueous Species Options'!B577)</f>
        <v/>
      </c>
      <c r="C577" s="1" t="str">
        <f>IF(ISBLANK('Aqueous Species Options'!C577), "", 'Aqueous Species Options'!C577)</f>
        <v/>
      </c>
      <c r="D577" s="1" t="str">
        <f>IF(ISBLANK('Aqueous Species Options'!D577), "", 'Aqueous Species Options'!D577)</f>
        <v/>
      </c>
      <c r="E577" s="1" t="str">
        <f>IF(ISBLANK('Aqueous Species Options'!E577), "", 'Aqueous Species Options'!E577)</f>
        <v/>
      </c>
      <c r="F577" s="139" t="str">
        <f>IF(ISBLANK('Aqueous Species Options'!F577), "", 'Aqueous Species Options'!F577)</f>
        <v/>
      </c>
      <c r="G577" s="29" t="str">
        <f>IF(ISBLANK('Aqueous Species Options'!B577), "", IF('Aqueous Species Options'!L577 = 1, IF(ISBLANK('Aqueous Species Options'!G577), "", 'Aqueous Species Options'!G577), ('Aqueous Species Table'!I577/10 + ('Aqueous Species Table'!J577*100)/(Calculations!$C$12+Calculations!$C$9) + ('Aqueous Species Table'!K577 + ('Aqueous Species Table'!L577*10000)/(Calculations!$C$12+Calculations!$C$9))*(1/(Calculations!$C$8-Calculations!$C$13)) - 'Aqueous Species Table'!O577*100000*0.0000005903)*41.8393))</f>
        <v/>
      </c>
      <c r="H577" s="29" t="str">
        <f>IF(ISBLANK('Aqueous Species Options'!B577), "", IF('Aqueous Species Options'!L577 = 1, IF(ISBLANK('Aqueous Species Options'!H577), "", 'Aqueous Species Options'!H577), 'Aqueous Species Table'!M577 + 'Aqueous Species Table'!N577*10000*(1/(Calculations!$C$8-Calculations!$C$13))^2 + 'Aqueous Species Table'!O577*100000*Calculations!$C$8*Calculations!$C$7))</f>
        <v/>
      </c>
      <c r="I577" s="1" t="str">
        <f>IF(ISBLANK('Aqueous Species Options'!B577), "", IF('Aqueous Species Options'!L577=0, 'Aqueous Species Options'!N577, IF(OR(ISBLANK('Aqueous Species Options'!G577),'Aqueous Species Table'!O577="", 'Aqueous Species Table'!P577=""), "", IF('Aqueous Species Options'!B577="H+", 0, (CHOOSE('Aqueous Species Options'!M577+1,'Aqueous Species Options'!$V$4*ABS('Aqueous Species Table'!P577)+'Aqueous Species Options'!$W$4,'Aqueous Species Options'!$Z$4)*('Aqueous Species Options'!G577 + 'Aqueous Species Table'!O577*100000*0.0000005903*41.8393) + CHOOSE('Aqueous Species Options'!M577+1,'Aqueous Species Options'!$X$4*ABS('Aqueous Species Table'!P577)+'Aqueous Species Options'!$Y$4,'Aqueous Species Options'!$AA$4))*10 ) ) ) )</f>
        <v/>
      </c>
      <c r="J577" s="1" t="str">
        <f>IF(ISBLANK('Aqueous Species Options'!B577), "", IF('Aqueous Species Options'!L577 = 0, 'Aqueous Species Options'!O577, IF('Aqueous Species Table'!I577="", "", IF('Aqueous Species Options'!B577="H+", 0, ((1.11*('Aqueous Species Options'!G577 + 'Aqueous Species Table'!O577*100000*0.0000005903*41.8393)+1.8)/41.8393 - 'Aqueous Species Table'!I577/10)*26.01 ) ) ) )</f>
        <v/>
      </c>
      <c r="K577" s="1" t="str">
        <f>IF(ISBLANK('Aqueous Species Options'!B577), "", IF('Aqueous Species Options'!L577 = 0, 'Aqueous Species Options'!P577, IF('Aqueous Species Table'!I577="", "", IF('Aqueous Species Options'!B577="H+", 0, ('Aqueous Species Options'!G577/41.8393 + 'Aqueous Species Table'!O577*100000*0.0000005903 - 'Aqueous Species Table'!I577/10 - 'Aqueous Species Table'!J577*100/2601)*(298.15-228) - ('Aqueous Species Table'!L577*10000/2601) ) ) ) )</f>
        <v/>
      </c>
      <c r="L577" s="1" t="str">
        <f>IF(ISBLANK('Aqueous Species Options'!B577), "", IF('Aqueous Species Options'!L577 = 0, 'Aqueous Species Options'!Q577, IF('Aqueous Species Table'!J577="", "", IF('Aqueous Species Options'!B577="H+", 0, (-4.134*'Aqueous Species Table'!J577*100 - 27790)*0.0001) ) ) )</f>
        <v/>
      </c>
      <c r="M577" s="1" t="str">
        <f>IF(ISBLANK('Aqueous Species Options'!B577), "", IF('Aqueous Species Options'!L577=0, 'Aqueous Species Options'!R577, IF('Aqueous Species Table'!N577="", "", IF('Aqueous Species Options'!B577="H+", 0, 'Aqueous Species Options'!H577 - 'Aqueous Species Table'!O577*100000*(-0.000000309)*298.15 - 'Aqueous Species Table'!N577*10000/(298.15-228)^2 ) ) ) )</f>
        <v/>
      </c>
      <c r="N577" s="1" t="str">
        <f>IF(ISBLANK('Aqueous Species Options'!B577), "", IF('Aqueous Species Options'!L577=0, 'Aqueous Species Options'!S577, IF(OR(ISBLANK('Aqueous Species Options'!H577), 'Aqueous Species Table'!O577=""), "", IF('Aqueous Species Options'!B577="H+", 0, 0.2037*'Aqueous Species Options'!H577 - 3.0346) ) ) )</f>
        <v/>
      </c>
      <c r="O577" s="1" t="str">
        <f>IF(ISBLANK('Aqueous Species Options'!B577), "", IF('Aqueous Species Options'!K577=0, 'Aqueous Species Options'!I577, IF(OR('Aqueous Species Options'!J577&gt;4,'Aqueous Species Options'!J577&lt;-4), "", IF('Aqueous Species Options'!B577="H+", 0, IF('Aqueous Species Options'!J577=0, -0.038, IF(ISBLANK('Aqueous Species Options'!F577), "", -1514.4*'Aqueous Species Options'!F577*0.00001 + SUM(({4,3,2,1,-1,-2,-3,-4}='Aqueous Species Options'!J577)*{2.1764,1.5793,1.0579,0.5517,1.6291,3.2127,4.8115,6.486}) ) ) ) ) ) )</f>
        <v/>
      </c>
      <c r="P577" s="1" t="str">
        <f>IF(ISBLANK('Aqueous Species Options'!J577), "", 'Aqueous Species Options'!J577)</f>
        <v/>
      </c>
      <c r="Q577" s="184" t="str">
        <f>IF(ISBLANK('Aqueous Species Options'!T577), "", 'Aqueous Species Options'!T577)</f>
        <v/>
      </c>
    </row>
    <row r="578" spans="2:17" ht="16" x14ac:dyDescent="0.2">
      <c r="B578" t="str">
        <f>IF(ISBLANK('Aqueous Species Options'!B578), "", 'Aqueous Species Options'!B578)</f>
        <v/>
      </c>
      <c r="C578" s="1" t="str">
        <f>IF(ISBLANK('Aqueous Species Options'!C578), "", 'Aqueous Species Options'!C578)</f>
        <v/>
      </c>
      <c r="D578" s="1" t="str">
        <f>IF(ISBLANK('Aqueous Species Options'!D578), "", 'Aqueous Species Options'!D578)</f>
        <v/>
      </c>
      <c r="E578" s="1" t="str">
        <f>IF(ISBLANK('Aqueous Species Options'!E578), "", 'Aqueous Species Options'!E578)</f>
        <v/>
      </c>
      <c r="F578" s="139" t="str">
        <f>IF(ISBLANK('Aqueous Species Options'!F578), "", 'Aqueous Species Options'!F578)</f>
        <v/>
      </c>
      <c r="G578" s="29" t="str">
        <f>IF(ISBLANK('Aqueous Species Options'!B578), "", IF('Aqueous Species Options'!L578 = 1, IF(ISBLANK('Aqueous Species Options'!G578), "", 'Aqueous Species Options'!G578), ('Aqueous Species Table'!I578/10 + ('Aqueous Species Table'!J578*100)/(Calculations!$C$12+Calculations!$C$9) + ('Aqueous Species Table'!K578 + ('Aqueous Species Table'!L578*10000)/(Calculations!$C$12+Calculations!$C$9))*(1/(Calculations!$C$8-Calculations!$C$13)) - 'Aqueous Species Table'!O578*100000*0.0000005903)*41.8393))</f>
        <v/>
      </c>
      <c r="H578" s="29" t="str">
        <f>IF(ISBLANK('Aqueous Species Options'!B578), "", IF('Aqueous Species Options'!L578 = 1, IF(ISBLANK('Aqueous Species Options'!H578), "", 'Aqueous Species Options'!H578), 'Aqueous Species Table'!M578 + 'Aqueous Species Table'!N578*10000*(1/(Calculations!$C$8-Calculations!$C$13))^2 + 'Aqueous Species Table'!O578*100000*Calculations!$C$8*Calculations!$C$7))</f>
        <v/>
      </c>
      <c r="I578" s="1" t="str">
        <f>IF(ISBLANK('Aqueous Species Options'!B578), "", IF('Aqueous Species Options'!L578=0, 'Aqueous Species Options'!N578, IF(OR(ISBLANK('Aqueous Species Options'!G578),'Aqueous Species Table'!O578="", 'Aqueous Species Table'!P578=""), "", IF('Aqueous Species Options'!B578="H+", 0, (CHOOSE('Aqueous Species Options'!M578+1,'Aqueous Species Options'!$V$4*ABS('Aqueous Species Table'!P578)+'Aqueous Species Options'!$W$4,'Aqueous Species Options'!$Z$4)*('Aqueous Species Options'!G578 + 'Aqueous Species Table'!O578*100000*0.0000005903*41.8393) + CHOOSE('Aqueous Species Options'!M578+1,'Aqueous Species Options'!$X$4*ABS('Aqueous Species Table'!P578)+'Aqueous Species Options'!$Y$4,'Aqueous Species Options'!$AA$4))*10 ) ) ) )</f>
        <v/>
      </c>
      <c r="J578" s="1" t="str">
        <f>IF(ISBLANK('Aqueous Species Options'!B578), "", IF('Aqueous Species Options'!L578 = 0, 'Aqueous Species Options'!O578, IF('Aqueous Species Table'!I578="", "", IF('Aqueous Species Options'!B578="H+", 0, ((1.11*('Aqueous Species Options'!G578 + 'Aqueous Species Table'!O578*100000*0.0000005903*41.8393)+1.8)/41.8393 - 'Aqueous Species Table'!I578/10)*26.01 ) ) ) )</f>
        <v/>
      </c>
      <c r="K578" s="1" t="str">
        <f>IF(ISBLANK('Aqueous Species Options'!B578), "", IF('Aqueous Species Options'!L578 = 0, 'Aqueous Species Options'!P578, IF('Aqueous Species Table'!I578="", "", IF('Aqueous Species Options'!B578="H+", 0, ('Aqueous Species Options'!G578/41.8393 + 'Aqueous Species Table'!O578*100000*0.0000005903 - 'Aqueous Species Table'!I578/10 - 'Aqueous Species Table'!J578*100/2601)*(298.15-228) - ('Aqueous Species Table'!L578*10000/2601) ) ) ) )</f>
        <v/>
      </c>
      <c r="L578" s="1" t="str">
        <f>IF(ISBLANK('Aqueous Species Options'!B578), "", IF('Aqueous Species Options'!L578 = 0, 'Aqueous Species Options'!Q578, IF('Aqueous Species Table'!J578="", "", IF('Aqueous Species Options'!B578="H+", 0, (-4.134*'Aqueous Species Table'!J578*100 - 27790)*0.0001) ) ) )</f>
        <v/>
      </c>
      <c r="M578" s="1" t="str">
        <f>IF(ISBLANK('Aqueous Species Options'!B578), "", IF('Aqueous Species Options'!L578=0, 'Aqueous Species Options'!R578, IF('Aqueous Species Table'!N578="", "", IF('Aqueous Species Options'!B578="H+", 0, 'Aqueous Species Options'!H578 - 'Aqueous Species Table'!O578*100000*(-0.000000309)*298.15 - 'Aqueous Species Table'!N578*10000/(298.15-228)^2 ) ) ) )</f>
        <v/>
      </c>
      <c r="N578" s="1" t="str">
        <f>IF(ISBLANK('Aqueous Species Options'!B578), "", IF('Aqueous Species Options'!L578=0, 'Aqueous Species Options'!S578, IF(OR(ISBLANK('Aqueous Species Options'!H578), 'Aqueous Species Table'!O578=""), "", IF('Aqueous Species Options'!B578="H+", 0, 0.2037*'Aqueous Species Options'!H578 - 3.0346) ) ) )</f>
        <v/>
      </c>
      <c r="O578" s="1" t="str">
        <f>IF(ISBLANK('Aqueous Species Options'!B578), "", IF('Aqueous Species Options'!K578=0, 'Aqueous Species Options'!I578, IF(OR('Aqueous Species Options'!J578&gt;4,'Aqueous Species Options'!J578&lt;-4), "", IF('Aqueous Species Options'!B578="H+", 0, IF('Aqueous Species Options'!J578=0, -0.038, IF(ISBLANK('Aqueous Species Options'!F578), "", -1514.4*'Aqueous Species Options'!F578*0.00001 + SUM(({4,3,2,1,-1,-2,-3,-4}='Aqueous Species Options'!J578)*{2.1764,1.5793,1.0579,0.5517,1.6291,3.2127,4.8115,6.486}) ) ) ) ) ) )</f>
        <v/>
      </c>
      <c r="P578" s="1" t="str">
        <f>IF(ISBLANK('Aqueous Species Options'!J578), "", 'Aqueous Species Options'!J578)</f>
        <v/>
      </c>
      <c r="Q578" s="184" t="str">
        <f>IF(ISBLANK('Aqueous Species Options'!T578), "", 'Aqueous Species Options'!T578)</f>
        <v/>
      </c>
    </row>
    <row r="579" spans="2:17" ht="16" x14ac:dyDescent="0.2">
      <c r="B579" t="str">
        <f>IF(ISBLANK('Aqueous Species Options'!B579), "", 'Aqueous Species Options'!B579)</f>
        <v/>
      </c>
      <c r="C579" s="1" t="str">
        <f>IF(ISBLANK('Aqueous Species Options'!C579), "", 'Aqueous Species Options'!C579)</f>
        <v/>
      </c>
      <c r="D579" s="1" t="str">
        <f>IF(ISBLANK('Aqueous Species Options'!D579), "", 'Aqueous Species Options'!D579)</f>
        <v/>
      </c>
      <c r="E579" s="1" t="str">
        <f>IF(ISBLANK('Aqueous Species Options'!E579), "", 'Aqueous Species Options'!E579)</f>
        <v/>
      </c>
      <c r="F579" s="139" t="str">
        <f>IF(ISBLANK('Aqueous Species Options'!F579), "", 'Aqueous Species Options'!F579)</f>
        <v/>
      </c>
      <c r="G579" s="29" t="str">
        <f>IF(ISBLANK('Aqueous Species Options'!B579), "", IF('Aqueous Species Options'!L579 = 1, IF(ISBLANK('Aqueous Species Options'!G579), "", 'Aqueous Species Options'!G579), ('Aqueous Species Table'!I579/10 + ('Aqueous Species Table'!J579*100)/(Calculations!$C$12+Calculations!$C$9) + ('Aqueous Species Table'!K579 + ('Aqueous Species Table'!L579*10000)/(Calculations!$C$12+Calculations!$C$9))*(1/(Calculations!$C$8-Calculations!$C$13)) - 'Aqueous Species Table'!O579*100000*0.0000005903)*41.8393))</f>
        <v/>
      </c>
      <c r="H579" s="29" t="str">
        <f>IF(ISBLANK('Aqueous Species Options'!B579), "", IF('Aqueous Species Options'!L579 = 1, IF(ISBLANK('Aqueous Species Options'!H579), "", 'Aqueous Species Options'!H579), 'Aqueous Species Table'!M579 + 'Aqueous Species Table'!N579*10000*(1/(Calculations!$C$8-Calculations!$C$13))^2 + 'Aqueous Species Table'!O579*100000*Calculations!$C$8*Calculations!$C$7))</f>
        <v/>
      </c>
      <c r="I579" s="1" t="str">
        <f>IF(ISBLANK('Aqueous Species Options'!B579), "", IF('Aqueous Species Options'!L579=0, 'Aqueous Species Options'!N579, IF(OR(ISBLANK('Aqueous Species Options'!G579),'Aqueous Species Table'!O579="", 'Aqueous Species Table'!P579=""), "", IF('Aqueous Species Options'!B579="H+", 0, (CHOOSE('Aqueous Species Options'!M579+1,'Aqueous Species Options'!$V$4*ABS('Aqueous Species Table'!P579)+'Aqueous Species Options'!$W$4,'Aqueous Species Options'!$Z$4)*('Aqueous Species Options'!G579 + 'Aqueous Species Table'!O579*100000*0.0000005903*41.8393) + CHOOSE('Aqueous Species Options'!M579+1,'Aqueous Species Options'!$X$4*ABS('Aqueous Species Table'!P579)+'Aqueous Species Options'!$Y$4,'Aqueous Species Options'!$AA$4))*10 ) ) ) )</f>
        <v/>
      </c>
      <c r="J579" s="1" t="str">
        <f>IF(ISBLANK('Aqueous Species Options'!B579), "", IF('Aqueous Species Options'!L579 = 0, 'Aqueous Species Options'!O579, IF('Aqueous Species Table'!I579="", "", IF('Aqueous Species Options'!B579="H+", 0, ((1.11*('Aqueous Species Options'!G579 + 'Aqueous Species Table'!O579*100000*0.0000005903*41.8393)+1.8)/41.8393 - 'Aqueous Species Table'!I579/10)*26.01 ) ) ) )</f>
        <v/>
      </c>
      <c r="K579" s="1" t="str">
        <f>IF(ISBLANK('Aqueous Species Options'!B579), "", IF('Aqueous Species Options'!L579 = 0, 'Aqueous Species Options'!P579, IF('Aqueous Species Table'!I579="", "", IF('Aqueous Species Options'!B579="H+", 0, ('Aqueous Species Options'!G579/41.8393 + 'Aqueous Species Table'!O579*100000*0.0000005903 - 'Aqueous Species Table'!I579/10 - 'Aqueous Species Table'!J579*100/2601)*(298.15-228) - ('Aqueous Species Table'!L579*10000/2601) ) ) ) )</f>
        <v/>
      </c>
      <c r="L579" s="1" t="str">
        <f>IF(ISBLANK('Aqueous Species Options'!B579), "", IF('Aqueous Species Options'!L579 = 0, 'Aqueous Species Options'!Q579, IF('Aqueous Species Table'!J579="", "", IF('Aqueous Species Options'!B579="H+", 0, (-4.134*'Aqueous Species Table'!J579*100 - 27790)*0.0001) ) ) )</f>
        <v/>
      </c>
      <c r="M579" s="1" t="str">
        <f>IF(ISBLANK('Aqueous Species Options'!B579), "", IF('Aqueous Species Options'!L579=0, 'Aqueous Species Options'!R579, IF('Aqueous Species Table'!N579="", "", IF('Aqueous Species Options'!B579="H+", 0, 'Aqueous Species Options'!H579 - 'Aqueous Species Table'!O579*100000*(-0.000000309)*298.15 - 'Aqueous Species Table'!N579*10000/(298.15-228)^2 ) ) ) )</f>
        <v/>
      </c>
      <c r="N579" s="1" t="str">
        <f>IF(ISBLANK('Aqueous Species Options'!B579), "", IF('Aqueous Species Options'!L579=0, 'Aqueous Species Options'!S579, IF(OR(ISBLANK('Aqueous Species Options'!H579), 'Aqueous Species Table'!O579=""), "", IF('Aqueous Species Options'!B579="H+", 0, 0.2037*'Aqueous Species Options'!H579 - 3.0346) ) ) )</f>
        <v/>
      </c>
      <c r="O579" s="1" t="str">
        <f>IF(ISBLANK('Aqueous Species Options'!B579), "", IF('Aqueous Species Options'!K579=0, 'Aqueous Species Options'!I579, IF(OR('Aqueous Species Options'!J579&gt;4,'Aqueous Species Options'!J579&lt;-4), "", IF('Aqueous Species Options'!B579="H+", 0, IF('Aqueous Species Options'!J579=0, -0.038, IF(ISBLANK('Aqueous Species Options'!F579), "", -1514.4*'Aqueous Species Options'!F579*0.00001 + SUM(({4,3,2,1,-1,-2,-3,-4}='Aqueous Species Options'!J579)*{2.1764,1.5793,1.0579,0.5517,1.6291,3.2127,4.8115,6.486}) ) ) ) ) ) )</f>
        <v/>
      </c>
      <c r="P579" s="1" t="str">
        <f>IF(ISBLANK('Aqueous Species Options'!J579), "", 'Aqueous Species Options'!J579)</f>
        <v/>
      </c>
      <c r="Q579" s="184" t="str">
        <f>IF(ISBLANK('Aqueous Species Options'!T579), "", 'Aqueous Species Options'!T579)</f>
        <v/>
      </c>
    </row>
    <row r="580" spans="2:17" ht="16" x14ac:dyDescent="0.2">
      <c r="B580" t="str">
        <f>IF(ISBLANK('Aqueous Species Options'!B580), "", 'Aqueous Species Options'!B580)</f>
        <v/>
      </c>
      <c r="C580" s="1" t="str">
        <f>IF(ISBLANK('Aqueous Species Options'!C580), "", 'Aqueous Species Options'!C580)</f>
        <v/>
      </c>
      <c r="D580" s="1" t="str">
        <f>IF(ISBLANK('Aqueous Species Options'!D580), "", 'Aqueous Species Options'!D580)</f>
        <v/>
      </c>
      <c r="E580" s="1" t="str">
        <f>IF(ISBLANK('Aqueous Species Options'!E580), "", 'Aqueous Species Options'!E580)</f>
        <v/>
      </c>
      <c r="F580" s="139" t="str">
        <f>IF(ISBLANK('Aqueous Species Options'!F580), "", 'Aqueous Species Options'!F580)</f>
        <v/>
      </c>
      <c r="G580" s="29" t="str">
        <f>IF(ISBLANK('Aqueous Species Options'!B580), "", IF('Aqueous Species Options'!L580 = 1, IF(ISBLANK('Aqueous Species Options'!G580), "", 'Aqueous Species Options'!G580), ('Aqueous Species Table'!I580/10 + ('Aqueous Species Table'!J580*100)/(Calculations!$C$12+Calculations!$C$9) + ('Aqueous Species Table'!K580 + ('Aqueous Species Table'!L580*10000)/(Calculations!$C$12+Calculations!$C$9))*(1/(Calculations!$C$8-Calculations!$C$13)) - 'Aqueous Species Table'!O580*100000*0.0000005903)*41.8393))</f>
        <v/>
      </c>
      <c r="H580" s="29" t="str">
        <f>IF(ISBLANK('Aqueous Species Options'!B580), "", IF('Aqueous Species Options'!L580 = 1, IF(ISBLANK('Aqueous Species Options'!H580), "", 'Aqueous Species Options'!H580), 'Aqueous Species Table'!M580 + 'Aqueous Species Table'!N580*10000*(1/(Calculations!$C$8-Calculations!$C$13))^2 + 'Aqueous Species Table'!O580*100000*Calculations!$C$8*Calculations!$C$7))</f>
        <v/>
      </c>
      <c r="I580" s="1" t="str">
        <f>IF(ISBLANK('Aqueous Species Options'!B580), "", IF('Aqueous Species Options'!L580=0, 'Aqueous Species Options'!N580, IF(OR(ISBLANK('Aqueous Species Options'!G580),'Aqueous Species Table'!O580="", 'Aqueous Species Table'!P580=""), "", IF('Aqueous Species Options'!B580="H+", 0, (CHOOSE('Aqueous Species Options'!M580+1,'Aqueous Species Options'!$V$4*ABS('Aqueous Species Table'!P580)+'Aqueous Species Options'!$W$4,'Aqueous Species Options'!$Z$4)*('Aqueous Species Options'!G580 + 'Aqueous Species Table'!O580*100000*0.0000005903*41.8393) + CHOOSE('Aqueous Species Options'!M580+1,'Aqueous Species Options'!$X$4*ABS('Aqueous Species Table'!P580)+'Aqueous Species Options'!$Y$4,'Aqueous Species Options'!$AA$4))*10 ) ) ) )</f>
        <v/>
      </c>
      <c r="J580" s="1" t="str">
        <f>IF(ISBLANK('Aqueous Species Options'!B580), "", IF('Aqueous Species Options'!L580 = 0, 'Aqueous Species Options'!O580, IF('Aqueous Species Table'!I580="", "", IF('Aqueous Species Options'!B580="H+", 0, ((1.11*('Aqueous Species Options'!G580 + 'Aqueous Species Table'!O580*100000*0.0000005903*41.8393)+1.8)/41.8393 - 'Aqueous Species Table'!I580/10)*26.01 ) ) ) )</f>
        <v/>
      </c>
      <c r="K580" s="1" t="str">
        <f>IF(ISBLANK('Aqueous Species Options'!B580), "", IF('Aqueous Species Options'!L580 = 0, 'Aqueous Species Options'!P580, IF('Aqueous Species Table'!I580="", "", IF('Aqueous Species Options'!B580="H+", 0, ('Aqueous Species Options'!G580/41.8393 + 'Aqueous Species Table'!O580*100000*0.0000005903 - 'Aqueous Species Table'!I580/10 - 'Aqueous Species Table'!J580*100/2601)*(298.15-228) - ('Aqueous Species Table'!L580*10000/2601) ) ) ) )</f>
        <v/>
      </c>
      <c r="L580" s="1" t="str">
        <f>IF(ISBLANK('Aqueous Species Options'!B580), "", IF('Aqueous Species Options'!L580 = 0, 'Aqueous Species Options'!Q580, IF('Aqueous Species Table'!J580="", "", IF('Aqueous Species Options'!B580="H+", 0, (-4.134*'Aqueous Species Table'!J580*100 - 27790)*0.0001) ) ) )</f>
        <v/>
      </c>
      <c r="M580" s="1" t="str">
        <f>IF(ISBLANK('Aqueous Species Options'!B580), "", IF('Aqueous Species Options'!L580=0, 'Aqueous Species Options'!R580, IF('Aqueous Species Table'!N580="", "", IF('Aqueous Species Options'!B580="H+", 0, 'Aqueous Species Options'!H580 - 'Aqueous Species Table'!O580*100000*(-0.000000309)*298.15 - 'Aqueous Species Table'!N580*10000/(298.15-228)^2 ) ) ) )</f>
        <v/>
      </c>
      <c r="N580" s="1" t="str">
        <f>IF(ISBLANK('Aqueous Species Options'!B580), "", IF('Aqueous Species Options'!L580=0, 'Aqueous Species Options'!S580, IF(OR(ISBLANK('Aqueous Species Options'!H580), 'Aqueous Species Table'!O580=""), "", IF('Aqueous Species Options'!B580="H+", 0, 0.2037*'Aqueous Species Options'!H580 - 3.0346) ) ) )</f>
        <v/>
      </c>
      <c r="O580" s="1" t="str">
        <f>IF(ISBLANK('Aqueous Species Options'!B580), "", IF('Aqueous Species Options'!K580=0, 'Aqueous Species Options'!I580, IF(OR('Aqueous Species Options'!J580&gt;4,'Aqueous Species Options'!J580&lt;-4), "", IF('Aqueous Species Options'!B580="H+", 0, IF('Aqueous Species Options'!J580=0, -0.038, IF(ISBLANK('Aqueous Species Options'!F580), "", -1514.4*'Aqueous Species Options'!F580*0.00001 + SUM(({4,3,2,1,-1,-2,-3,-4}='Aqueous Species Options'!J580)*{2.1764,1.5793,1.0579,0.5517,1.6291,3.2127,4.8115,6.486}) ) ) ) ) ) )</f>
        <v/>
      </c>
      <c r="P580" s="1" t="str">
        <f>IF(ISBLANK('Aqueous Species Options'!J580), "", 'Aqueous Species Options'!J580)</f>
        <v/>
      </c>
      <c r="Q580" s="184" t="str">
        <f>IF(ISBLANK('Aqueous Species Options'!T580), "", 'Aqueous Species Options'!T580)</f>
        <v/>
      </c>
    </row>
    <row r="581" spans="2:17" ht="16" x14ac:dyDescent="0.2">
      <c r="B581" t="str">
        <f>IF(ISBLANK('Aqueous Species Options'!B581), "", 'Aqueous Species Options'!B581)</f>
        <v/>
      </c>
      <c r="C581" s="1" t="str">
        <f>IF(ISBLANK('Aqueous Species Options'!C581), "", 'Aqueous Species Options'!C581)</f>
        <v/>
      </c>
      <c r="D581" s="1" t="str">
        <f>IF(ISBLANK('Aqueous Species Options'!D581), "", 'Aqueous Species Options'!D581)</f>
        <v/>
      </c>
      <c r="E581" s="1" t="str">
        <f>IF(ISBLANK('Aqueous Species Options'!E581), "", 'Aqueous Species Options'!E581)</f>
        <v/>
      </c>
      <c r="F581" s="139" t="str">
        <f>IF(ISBLANK('Aqueous Species Options'!F581), "", 'Aqueous Species Options'!F581)</f>
        <v/>
      </c>
      <c r="G581" s="29" t="str">
        <f>IF(ISBLANK('Aqueous Species Options'!B581), "", IF('Aqueous Species Options'!L581 = 1, IF(ISBLANK('Aqueous Species Options'!G581), "", 'Aqueous Species Options'!G581), ('Aqueous Species Table'!I581/10 + ('Aqueous Species Table'!J581*100)/(Calculations!$C$12+Calculations!$C$9) + ('Aqueous Species Table'!K581 + ('Aqueous Species Table'!L581*10000)/(Calculations!$C$12+Calculations!$C$9))*(1/(Calculations!$C$8-Calculations!$C$13)) - 'Aqueous Species Table'!O581*100000*0.0000005903)*41.8393))</f>
        <v/>
      </c>
      <c r="H581" s="29" t="str">
        <f>IF(ISBLANK('Aqueous Species Options'!B581), "", IF('Aqueous Species Options'!L581 = 1, IF(ISBLANK('Aqueous Species Options'!H581), "", 'Aqueous Species Options'!H581), 'Aqueous Species Table'!M581 + 'Aqueous Species Table'!N581*10000*(1/(Calculations!$C$8-Calculations!$C$13))^2 + 'Aqueous Species Table'!O581*100000*Calculations!$C$8*Calculations!$C$7))</f>
        <v/>
      </c>
      <c r="I581" s="1" t="str">
        <f>IF(ISBLANK('Aqueous Species Options'!B581), "", IF('Aqueous Species Options'!L581=0, 'Aqueous Species Options'!N581, IF(OR(ISBLANK('Aqueous Species Options'!G581),'Aqueous Species Table'!O581="", 'Aqueous Species Table'!P581=""), "", IF('Aqueous Species Options'!B581="H+", 0, (CHOOSE('Aqueous Species Options'!M581+1,'Aqueous Species Options'!$V$4*ABS('Aqueous Species Table'!P581)+'Aqueous Species Options'!$W$4,'Aqueous Species Options'!$Z$4)*('Aqueous Species Options'!G581 + 'Aqueous Species Table'!O581*100000*0.0000005903*41.8393) + CHOOSE('Aqueous Species Options'!M581+1,'Aqueous Species Options'!$X$4*ABS('Aqueous Species Table'!P581)+'Aqueous Species Options'!$Y$4,'Aqueous Species Options'!$AA$4))*10 ) ) ) )</f>
        <v/>
      </c>
      <c r="J581" s="1" t="str">
        <f>IF(ISBLANK('Aqueous Species Options'!B581), "", IF('Aqueous Species Options'!L581 = 0, 'Aqueous Species Options'!O581, IF('Aqueous Species Table'!I581="", "", IF('Aqueous Species Options'!B581="H+", 0, ((1.11*('Aqueous Species Options'!G581 + 'Aqueous Species Table'!O581*100000*0.0000005903*41.8393)+1.8)/41.8393 - 'Aqueous Species Table'!I581/10)*26.01 ) ) ) )</f>
        <v/>
      </c>
      <c r="K581" s="1" t="str">
        <f>IF(ISBLANK('Aqueous Species Options'!B581), "", IF('Aqueous Species Options'!L581 = 0, 'Aqueous Species Options'!P581, IF('Aqueous Species Table'!I581="", "", IF('Aqueous Species Options'!B581="H+", 0, ('Aqueous Species Options'!G581/41.8393 + 'Aqueous Species Table'!O581*100000*0.0000005903 - 'Aqueous Species Table'!I581/10 - 'Aqueous Species Table'!J581*100/2601)*(298.15-228) - ('Aqueous Species Table'!L581*10000/2601) ) ) ) )</f>
        <v/>
      </c>
      <c r="L581" s="1" t="str">
        <f>IF(ISBLANK('Aqueous Species Options'!B581), "", IF('Aqueous Species Options'!L581 = 0, 'Aqueous Species Options'!Q581, IF('Aqueous Species Table'!J581="", "", IF('Aqueous Species Options'!B581="H+", 0, (-4.134*'Aqueous Species Table'!J581*100 - 27790)*0.0001) ) ) )</f>
        <v/>
      </c>
      <c r="M581" s="1" t="str">
        <f>IF(ISBLANK('Aqueous Species Options'!B581), "", IF('Aqueous Species Options'!L581=0, 'Aqueous Species Options'!R581, IF('Aqueous Species Table'!N581="", "", IF('Aqueous Species Options'!B581="H+", 0, 'Aqueous Species Options'!H581 - 'Aqueous Species Table'!O581*100000*(-0.000000309)*298.15 - 'Aqueous Species Table'!N581*10000/(298.15-228)^2 ) ) ) )</f>
        <v/>
      </c>
      <c r="N581" s="1" t="str">
        <f>IF(ISBLANK('Aqueous Species Options'!B581), "", IF('Aqueous Species Options'!L581=0, 'Aqueous Species Options'!S581, IF(OR(ISBLANK('Aqueous Species Options'!H581), 'Aqueous Species Table'!O581=""), "", IF('Aqueous Species Options'!B581="H+", 0, 0.2037*'Aqueous Species Options'!H581 - 3.0346) ) ) )</f>
        <v/>
      </c>
      <c r="O581" s="1" t="str">
        <f>IF(ISBLANK('Aqueous Species Options'!B581), "", IF('Aqueous Species Options'!K581=0, 'Aqueous Species Options'!I581, IF(OR('Aqueous Species Options'!J581&gt;4,'Aqueous Species Options'!J581&lt;-4), "", IF('Aqueous Species Options'!B581="H+", 0, IF('Aqueous Species Options'!J581=0, -0.038, IF(ISBLANK('Aqueous Species Options'!F581), "", -1514.4*'Aqueous Species Options'!F581*0.00001 + SUM(({4,3,2,1,-1,-2,-3,-4}='Aqueous Species Options'!J581)*{2.1764,1.5793,1.0579,0.5517,1.6291,3.2127,4.8115,6.486}) ) ) ) ) ) )</f>
        <v/>
      </c>
      <c r="P581" s="1" t="str">
        <f>IF(ISBLANK('Aqueous Species Options'!J581), "", 'Aqueous Species Options'!J581)</f>
        <v/>
      </c>
      <c r="Q581" s="184" t="str">
        <f>IF(ISBLANK('Aqueous Species Options'!T581), "", 'Aqueous Species Options'!T581)</f>
        <v/>
      </c>
    </row>
    <row r="582" spans="2:17" ht="16" x14ac:dyDescent="0.2">
      <c r="B582" t="str">
        <f>IF(ISBLANK('Aqueous Species Options'!B582), "", 'Aqueous Species Options'!B582)</f>
        <v/>
      </c>
      <c r="C582" s="1" t="str">
        <f>IF(ISBLANK('Aqueous Species Options'!C582), "", 'Aqueous Species Options'!C582)</f>
        <v/>
      </c>
      <c r="D582" s="1" t="str">
        <f>IF(ISBLANK('Aqueous Species Options'!D582), "", 'Aqueous Species Options'!D582)</f>
        <v/>
      </c>
      <c r="E582" s="1" t="str">
        <f>IF(ISBLANK('Aqueous Species Options'!E582), "", 'Aqueous Species Options'!E582)</f>
        <v/>
      </c>
      <c r="F582" s="139" t="str">
        <f>IF(ISBLANK('Aqueous Species Options'!F582), "", 'Aqueous Species Options'!F582)</f>
        <v/>
      </c>
      <c r="G582" s="29" t="str">
        <f>IF(ISBLANK('Aqueous Species Options'!B582), "", IF('Aqueous Species Options'!L582 = 1, IF(ISBLANK('Aqueous Species Options'!G582), "", 'Aqueous Species Options'!G582), ('Aqueous Species Table'!I582/10 + ('Aqueous Species Table'!J582*100)/(Calculations!$C$12+Calculations!$C$9) + ('Aqueous Species Table'!K582 + ('Aqueous Species Table'!L582*10000)/(Calculations!$C$12+Calculations!$C$9))*(1/(Calculations!$C$8-Calculations!$C$13)) - 'Aqueous Species Table'!O582*100000*0.0000005903)*41.8393))</f>
        <v/>
      </c>
      <c r="H582" s="29" t="str">
        <f>IF(ISBLANK('Aqueous Species Options'!B582), "", IF('Aqueous Species Options'!L582 = 1, IF(ISBLANK('Aqueous Species Options'!H582), "", 'Aqueous Species Options'!H582), 'Aqueous Species Table'!M582 + 'Aqueous Species Table'!N582*10000*(1/(Calculations!$C$8-Calculations!$C$13))^2 + 'Aqueous Species Table'!O582*100000*Calculations!$C$8*Calculations!$C$7))</f>
        <v/>
      </c>
      <c r="I582" s="1" t="str">
        <f>IF(ISBLANK('Aqueous Species Options'!B582), "", IF('Aqueous Species Options'!L582=0, 'Aqueous Species Options'!N582, IF(OR(ISBLANK('Aqueous Species Options'!G582),'Aqueous Species Table'!O582="", 'Aqueous Species Table'!P582=""), "", IF('Aqueous Species Options'!B582="H+", 0, (CHOOSE('Aqueous Species Options'!M582+1,'Aqueous Species Options'!$V$4*ABS('Aqueous Species Table'!P582)+'Aqueous Species Options'!$W$4,'Aqueous Species Options'!$Z$4)*('Aqueous Species Options'!G582 + 'Aqueous Species Table'!O582*100000*0.0000005903*41.8393) + CHOOSE('Aqueous Species Options'!M582+1,'Aqueous Species Options'!$X$4*ABS('Aqueous Species Table'!P582)+'Aqueous Species Options'!$Y$4,'Aqueous Species Options'!$AA$4))*10 ) ) ) )</f>
        <v/>
      </c>
      <c r="J582" s="1" t="str">
        <f>IF(ISBLANK('Aqueous Species Options'!B582), "", IF('Aqueous Species Options'!L582 = 0, 'Aqueous Species Options'!O582, IF('Aqueous Species Table'!I582="", "", IF('Aqueous Species Options'!B582="H+", 0, ((1.11*('Aqueous Species Options'!G582 + 'Aqueous Species Table'!O582*100000*0.0000005903*41.8393)+1.8)/41.8393 - 'Aqueous Species Table'!I582/10)*26.01 ) ) ) )</f>
        <v/>
      </c>
      <c r="K582" s="1" t="str">
        <f>IF(ISBLANK('Aqueous Species Options'!B582), "", IF('Aqueous Species Options'!L582 = 0, 'Aqueous Species Options'!P582, IF('Aqueous Species Table'!I582="", "", IF('Aqueous Species Options'!B582="H+", 0, ('Aqueous Species Options'!G582/41.8393 + 'Aqueous Species Table'!O582*100000*0.0000005903 - 'Aqueous Species Table'!I582/10 - 'Aqueous Species Table'!J582*100/2601)*(298.15-228) - ('Aqueous Species Table'!L582*10000/2601) ) ) ) )</f>
        <v/>
      </c>
      <c r="L582" s="1" t="str">
        <f>IF(ISBLANK('Aqueous Species Options'!B582), "", IF('Aqueous Species Options'!L582 = 0, 'Aqueous Species Options'!Q582, IF('Aqueous Species Table'!J582="", "", IF('Aqueous Species Options'!B582="H+", 0, (-4.134*'Aqueous Species Table'!J582*100 - 27790)*0.0001) ) ) )</f>
        <v/>
      </c>
      <c r="M582" s="1" t="str">
        <f>IF(ISBLANK('Aqueous Species Options'!B582), "", IF('Aqueous Species Options'!L582=0, 'Aqueous Species Options'!R582, IF('Aqueous Species Table'!N582="", "", IF('Aqueous Species Options'!B582="H+", 0, 'Aqueous Species Options'!H582 - 'Aqueous Species Table'!O582*100000*(-0.000000309)*298.15 - 'Aqueous Species Table'!N582*10000/(298.15-228)^2 ) ) ) )</f>
        <v/>
      </c>
      <c r="N582" s="1" t="str">
        <f>IF(ISBLANK('Aqueous Species Options'!B582), "", IF('Aqueous Species Options'!L582=0, 'Aqueous Species Options'!S582, IF(OR(ISBLANK('Aqueous Species Options'!H582), 'Aqueous Species Table'!O582=""), "", IF('Aqueous Species Options'!B582="H+", 0, 0.2037*'Aqueous Species Options'!H582 - 3.0346) ) ) )</f>
        <v/>
      </c>
      <c r="O582" s="1" t="str">
        <f>IF(ISBLANK('Aqueous Species Options'!B582), "", IF('Aqueous Species Options'!K582=0, 'Aqueous Species Options'!I582, IF(OR('Aqueous Species Options'!J582&gt;4,'Aqueous Species Options'!J582&lt;-4), "", IF('Aqueous Species Options'!B582="H+", 0, IF('Aqueous Species Options'!J582=0, -0.038, IF(ISBLANK('Aqueous Species Options'!F582), "", -1514.4*'Aqueous Species Options'!F582*0.00001 + SUM(({4,3,2,1,-1,-2,-3,-4}='Aqueous Species Options'!J582)*{2.1764,1.5793,1.0579,0.5517,1.6291,3.2127,4.8115,6.486}) ) ) ) ) ) )</f>
        <v/>
      </c>
      <c r="P582" s="1" t="str">
        <f>IF(ISBLANK('Aqueous Species Options'!J582), "", 'Aqueous Species Options'!J582)</f>
        <v/>
      </c>
      <c r="Q582" s="184" t="str">
        <f>IF(ISBLANK('Aqueous Species Options'!T582), "", 'Aqueous Species Options'!T582)</f>
        <v/>
      </c>
    </row>
    <row r="583" spans="2:17" ht="16" x14ac:dyDescent="0.2">
      <c r="B583" t="str">
        <f>IF(ISBLANK('Aqueous Species Options'!B583), "", 'Aqueous Species Options'!B583)</f>
        <v/>
      </c>
      <c r="C583" s="1" t="str">
        <f>IF(ISBLANK('Aqueous Species Options'!C583), "", 'Aqueous Species Options'!C583)</f>
        <v/>
      </c>
      <c r="D583" s="1" t="str">
        <f>IF(ISBLANK('Aqueous Species Options'!D583), "", 'Aqueous Species Options'!D583)</f>
        <v/>
      </c>
      <c r="E583" s="1" t="str">
        <f>IF(ISBLANK('Aqueous Species Options'!E583), "", 'Aqueous Species Options'!E583)</f>
        <v/>
      </c>
      <c r="F583" s="139" t="str">
        <f>IF(ISBLANK('Aqueous Species Options'!F583), "", 'Aqueous Species Options'!F583)</f>
        <v/>
      </c>
      <c r="G583" s="29" t="str">
        <f>IF(ISBLANK('Aqueous Species Options'!B583), "", IF('Aqueous Species Options'!L583 = 1, IF(ISBLANK('Aqueous Species Options'!G583), "", 'Aqueous Species Options'!G583), ('Aqueous Species Table'!I583/10 + ('Aqueous Species Table'!J583*100)/(Calculations!$C$12+Calculations!$C$9) + ('Aqueous Species Table'!K583 + ('Aqueous Species Table'!L583*10000)/(Calculations!$C$12+Calculations!$C$9))*(1/(Calculations!$C$8-Calculations!$C$13)) - 'Aqueous Species Table'!O583*100000*0.0000005903)*41.8393))</f>
        <v/>
      </c>
      <c r="H583" s="29" t="str">
        <f>IF(ISBLANK('Aqueous Species Options'!B583), "", IF('Aqueous Species Options'!L583 = 1, IF(ISBLANK('Aqueous Species Options'!H583), "", 'Aqueous Species Options'!H583), 'Aqueous Species Table'!M583 + 'Aqueous Species Table'!N583*10000*(1/(Calculations!$C$8-Calculations!$C$13))^2 + 'Aqueous Species Table'!O583*100000*Calculations!$C$8*Calculations!$C$7))</f>
        <v/>
      </c>
      <c r="I583" s="1" t="str">
        <f>IF(ISBLANK('Aqueous Species Options'!B583), "", IF('Aqueous Species Options'!L583=0, 'Aqueous Species Options'!N583, IF(OR(ISBLANK('Aqueous Species Options'!G583),'Aqueous Species Table'!O583="", 'Aqueous Species Table'!P583=""), "", IF('Aqueous Species Options'!B583="H+", 0, (CHOOSE('Aqueous Species Options'!M583+1,'Aqueous Species Options'!$V$4*ABS('Aqueous Species Table'!P583)+'Aqueous Species Options'!$W$4,'Aqueous Species Options'!$Z$4)*('Aqueous Species Options'!G583 + 'Aqueous Species Table'!O583*100000*0.0000005903*41.8393) + CHOOSE('Aqueous Species Options'!M583+1,'Aqueous Species Options'!$X$4*ABS('Aqueous Species Table'!P583)+'Aqueous Species Options'!$Y$4,'Aqueous Species Options'!$AA$4))*10 ) ) ) )</f>
        <v/>
      </c>
      <c r="J583" s="1" t="str">
        <f>IF(ISBLANK('Aqueous Species Options'!B583), "", IF('Aqueous Species Options'!L583 = 0, 'Aqueous Species Options'!O583, IF('Aqueous Species Table'!I583="", "", IF('Aqueous Species Options'!B583="H+", 0, ((1.11*('Aqueous Species Options'!G583 + 'Aqueous Species Table'!O583*100000*0.0000005903*41.8393)+1.8)/41.8393 - 'Aqueous Species Table'!I583/10)*26.01 ) ) ) )</f>
        <v/>
      </c>
      <c r="K583" s="1" t="str">
        <f>IF(ISBLANK('Aqueous Species Options'!B583), "", IF('Aqueous Species Options'!L583 = 0, 'Aqueous Species Options'!P583, IF('Aqueous Species Table'!I583="", "", IF('Aqueous Species Options'!B583="H+", 0, ('Aqueous Species Options'!G583/41.8393 + 'Aqueous Species Table'!O583*100000*0.0000005903 - 'Aqueous Species Table'!I583/10 - 'Aqueous Species Table'!J583*100/2601)*(298.15-228) - ('Aqueous Species Table'!L583*10000/2601) ) ) ) )</f>
        <v/>
      </c>
      <c r="L583" s="1" t="str">
        <f>IF(ISBLANK('Aqueous Species Options'!B583), "", IF('Aqueous Species Options'!L583 = 0, 'Aqueous Species Options'!Q583, IF('Aqueous Species Table'!J583="", "", IF('Aqueous Species Options'!B583="H+", 0, (-4.134*'Aqueous Species Table'!J583*100 - 27790)*0.0001) ) ) )</f>
        <v/>
      </c>
      <c r="M583" s="1" t="str">
        <f>IF(ISBLANK('Aqueous Species Options'!B583), "", IF('Aqueous Species Options'!L583=0, 'Aqueous Species Options'!R583, IF('Aqueous Species Table'!N583="", "", IF('Aqueous Species Options'!B583="H+", 0, 'Aqueous Species Options'!H583 - 'Aqueous Species Table'!O583*100000*(-0.000000309)*298.15 - 'Aqueous Species Table'!N583*10000/(298.15-228)^2 ) ) ) )</f>
        <v/>
      </c>
      <c r="N583" s="1" t="str">
        <f>IF(ISBLANK('Aqueous Species Options'!B583), "", IF('Aqueous Species Options'!L583=0, 'Aqueous Species Options'!S583, IF(OR(ISBLANK('Aqueous Species Options'!H583), 'Aqueous Species Table'!O583=""), "", IF('Aqueous Species Options'!B583="H+", 0, 0.2037*'Aqueous Species Options'!H583 - 3.0346) ) ) )</f>
        <v/>
      </c>
      <c r="O583" s="1" t="str">
        <f>IF(ISBLANK('Aqueous Species Options'!B583), "", IF('Aqueous Species Options'!K583=0, 'Aqueous Species Options'!I583, IF(OR('Aqueous Species Options'!J583&gt;4,'Aqueous Species Options'!J583&lt;-4), "", IF('Aqueous Species Options'!B583="H+", 0, IF('Aqueous Species Options'!J583=0, -0.038, IF(ISBLANK('Aqueous Species Options'!F583), "", -1514.4*'Aqueous Species Options'!F583*0.00001 + SUM(({4,3,2,1,-1,-2,-3,-4}='Aqueous Species Options'!J583)*{2.1764,1.5793,1.0579,0.5517,1.6291,3.2127,4.8115,6.486}) ) ) ) ) ) )</f>
        <v/>
      </c>
      <c r="P583" s="1" t="str">
        <f>IF(ISBLANK('Aqueous Species Options'!J583), "", 'Aqueous Species Options'!J583)</f>
        <v/>
      </c>
      <c r="Q583" s="184" t="str">
        <f>IF(ISBLANK('Aqueous Species Options'!T583), "", 'Aqueous Species Options'!T583)</f>
        <v/>
      </c>
    </row>
    <row r="584" spans="2:17" ht="16" x14ac:dyDescent="0.2">
      <c r="B584" t="str">
        <f>IF(ISBLANK('Aqueous Species Options'!B584), "", 'Aqueous Species Options'!B584)</f>
        <v/>
      </c>
      <c r="C584" s="1" t="str">
        <f>IF(ISBLANK('Aqueous Species Options'!C584), "", 'Aqueous Species Options'!C584)</f>
        <v/>
      </c>
      <c r="D584" s="1" t="str">
        <f>IF(ISBLANK('Aqueous Species Options'!D584), "", 'Aqueous Species Options'!D584)</f>
        <v/>
      </c>
      <c r="E584" s="1" t="str">
        <f>IF(ISBLANK('Aqueous Species Options'!E584), "", 'Aqueous Species Options'!E584)</f>
        <v/>
      </c>
      <c r="F584" s="139" t="str">
        <f>IF(ISBLANK('Aqueous Species Options'!F584), "", 'Aqueous Species Options'!F584)</f>
        <v/>
      </c>
      <c r="G584" s="29" t="str">
        <f>IF(ISBLANK('Aqueous Species Options'!B584), "", IF('Aqueous Species Options'!L584 = 1, IF(ISBLANK('Aqueous Species Options'!G584), "", 'Aqueous Species Options'!G584), ('Aqueous Species Table'!I584/10 + ('Aqueous Species Table'!J584*100)/(Calculations!$C$12+Calculations!$C$9) + ('Aqueous Species Table'!K584 + ('Aqueous Species Table'!L584*10000)/(Calculations!$C$12+Calculations!$C$9))*(1/(Calculations!$C$8-Calculations!$C$13)) - 'Aqueous Species Table'!O584*100000*0.0000005903)*41.8393))</f>
        <v/>
      </c>
      <c r="H584" s="29" t="str">
        <f>IF(ISBLANK('Aqueous Species Options'!B584), "", IF('Aqueous Species Options'!L584 = 1, IF(ISBLANK('Aqueous Species Options'!H584), "", 'Aqueous Species Options'!H584), 'Aqueous Species Table'!M584 + 'Aqueous Species Table'!N584*10000*(1/(Calculations!$C$8-Calculations!$C$13))^2 + 'Aqueous Species Table'!O584*100000*Calculations!$C$8*Calculations!$C$7))</f>
        <v/>
      </c>
      <c r="I584" s="1" t="str">
        <f>IF(ISBLANK('Aqueous Species Options'!B584), "", IF('Aqueous Species Options'!L584=0, 'Aqueous Species Options'!N584, IF(OR(ISBLANK('Aqueous Species Options'!G584),'Aqueous Species Table'!O584="", 'Aqueous Species Table'!P584=""), "", IF('Aqueous Species Options'!B584="H+", 0, (CHOOSE('Aqueous Species Options'!M584+1,'Aqueous Species Options'!$V$4*ABS('Aqueous Species Table'!P584)+'Aqueous Species Options'!$W$4,'Aqueous Species Options'!$Z$4)*('Aqueous Species Options'!G584 + 'Aqueous Species Table'!O584*100000*0.0000005903*41.8393) + CHOOSE('Aqueous Species Options'!M584+1,'Aqueous Species Options'!$X$4*ABS('Aqueous Species Table'!P584)+'Aqueous Species Options'!$Y$4,'Aqueous Species Options'!$AA$4))*10 ) ) ) )</f>
        <v/>
      </c>
      <c r="J584" s="1" t="str">
        <f>IF(ISBLANK('Aqueous Species Options'!B584), "", IF('Aqueous Species Options'!L584 = 0, 'Aqueous Species Options'!O584, IF('Aqueous Species Table'!I584="", "", IF('Aqueous Species Options'!B584="H+", 0, ((1.11*('Aqueous Species Options'!G584 + 'Aqueous Species Table'!O584*100000*0.0000005903*41.8393)+1.8)/41.8393 - 'Aqueous Species Table'!I584/10)*26.01 ) ) ) )</f>
        <v/>
      </c>
      <c r="K584" s="1" t="str">
        <f>IF(ISBLANK('Aqueous Species Options'!B584), "", IF('Aqueous Species Options'!L584 = 0, 'Aqueous Species Options'!P584, IF('Aqueous Species Table'!I584="", "", IF('Aqueous Species Options'!B584="H+", 0, ('Aqueous Species Options'!G584/41.8393 + 'Aqueous Species Table'!O584*100000*0.0000005903 - 'Aqueous Species Table'!I584/10 - 'Aqueous Species Table'!J584*100/2601)*(298.15-228) - ('Aqueous Species Table'!L584*10000/2601) ) ) ) )</f>
        <v/>
      </c>
      <c r="L584" s="1" t="str">
        <f>IF(ISBLANK('Aqueous Species Options'!B584), "", IF('Aqueous Species Options'!L584 = 0, 'Aqueous Species Options'!Q584, IF('Aqueous Species Table'!J584="", "", IF('Aqueous Species Options'!B584="H+", 0, (-4.134*'Aqueous Species Table'!J584*100 - 27790)*0.0001) ) ) )</f>
        <v/>
      </c>
      <c r="M584" s="1" t="str">
        <f>IF(ISBLANK('Aqueous Species Options'!B584), "", IF('Aqueous Species Options'!L584=0, 'Aqueous Species Options'!R584, IF('Aqueous Species Table'!N584="", "", IF('Aqueous Species Options'!B584="H+", 0, 'Aqueous Species Options'!H584 - 'Aqueous Species Table'!O584*100000*(-0.000000309)*298.15 - 'Aqueous Species Table'!N584*10000/(298.15-228)^2 ) ) ) )</f>
        <v/>
      </c>
      <c r="N584" s="1" t="str">
        <f>IF(ISBLANK('Aqueous Species Options'!B584), "", IF('Aqueous Species Options'!L584=0, 'Aqueous Species Options'!S584, IF(OR(ISBLANK('Aqueous Species Options'!H584), 'Aqueous Species Table'!O584=""), "", IF('Aqueous Species Options'!B584="H+", 0, 0.2037*'Aqueous Species Options'!H584 - 3.0346) ) ) )</f>
        <v/>
      </c>
      <c r="O584" s="1" t="str">
        <f>IF(ISBLANK('Aqueous Species Options'!B584), "", IF('Aqueous Species Options'!K584=0, 'Aqueous Species Options'!I584, IF(OR('Aqueous Species Options'!J584&gt;4,'Aqueous Species Options'!J584&lt;-4), "", IF('Aqueous Species Options'!B584="H+", 0, IF('Aqueous Species Options'!J584=0, -0.038, IF(ISBLANK('Aqueous Species Options'!F584), "", -1514.4*'Aqueous Species Options'!F584*0.00001 + SUM(({4,3,2,1,-1,-2,-3,-4}='Aqueous Species Options'!J584)*{2.1764,1.5793,1.0579,0.5517,1.6291,3.2127,4.8115,6.486}) ) ) ) ) ) )</f>
        <v/>
      </c>
      <c r="P584" s="1" t="str">
        <f>IF(ISBLANK('Aqueous Species Options'!J584), "", 'Aqueous Species Options'!J584)</f>
        <v/>
      </c>
      <c r="Q584" s="184" t="str">
        <f>IF(ISBLANK('Aqueous Species Options'!T584), "", 'Aqueous Species Options'!T584)</f>
        <v/>
      </c>
    </row>
    <row r="585" spans="2:17" ht="16" x14ac:dyDescent="0.2">
      <c r="B585" t="str">
        <f>IF(ISBLANK('Aqueous Species Options'!B585), "", 'Aqueous Species Options'!B585)</f>
        <v/>
      </c>
      <c r="C585" s="1" t="str">
        <f>IF(ISBLANK('Aqueous Species Options'!C585), "", 'Aqueous Species Options'!C585)</f>
        <v/>
      </c>
      <c r="D585" s="1" t="str">
        <f>IF(ISBLANK('Aqueous Species Options'!D585), "", 'Aqueous Species Options'!D585)</f>
        <v/>
      </c>
      <c r="E585" s="1" t="str">
        <f>IF(ISBLANK('Aqueous Species Options'!E585), "", 'Aqueous Species Options'!E585)</f>
        <v/>
      </c>
      <c r="F585" s="139" t="str">
        <f>IF(ISBLANK('Aqueous Species Options'!F585), "", 'Aqueous Species Options'!F585)</f>
        <v/>
      </c>
      <c r="G585" s="29" t="str">
        <f>IF(ISBLANK('Aqueous Species Options'!B585), "", IF('Aqueous Species Options'!L585 = 1, IF(ISBLANK('Aqueous Species Options'!G585), "", 'Aqueous Species Options'!G585), ('Aqueous Species Table'!I585/10 + ('Aqueous Species Table'!J585*100)/(Calculations!$C$12+Calculations!$C$9) + ('Aqueous Species Table'!K585 + ('Aqueous Species Table'!L585*10000)/(Calculations!$C$12+Calculations!$C$9))*(1/(Calculations!$C$8-Calculations!$C$13)) - 'Aqueous Species Table'!O585*100000*0.0000005903)*41.8393))</f>
        <v/>
      </c>
      <c r="H585" s="29" t="str">
        <f>IF(ISBLANK('Aqueous Species Options'!B585), "", IF('Aqueous Species Options'!L585 = 1, IF(ISBLANK('Aqueous Species Options'!H585), "", 'Aqueous Species Options'!H585), 'Aqueous Species Table'!M585 + 'Aqueous Species Table'!N585*10000*(1/(Calculations!$C$8-Calculations!$C$13))^2 + 'Aqueous Species Table'!O585*100000*Calculations!$C$8*Calculations!$C$7))</f>
        <v/>
      </c>
      <c r="I585" s="1" t="str">
        <f>IF(ISBLANK('Aqueous Species Options'!B585), "", IF('Aqueous Species Options'!L585=0, 'Aqueous Species Options'!N585, IF(OR(ISBLANK('Aqueous Species Options'!G585),'Aqueous Species Table'!O585="", 'Aqueous Species Table'!P585=""), "", IF('Aqueous Species Options'!B585="H+", 0, (CHOOSE('Aqueous Species Options'!M585+1,'Aqueous Species Options'!$V$4*ABS('Aqueous Species Table'!P585)+'Aqueous Species Options'!$W$4,'Aqueous Species Options'!$Z$4)*('Aqueous Species Options'!G585 + 'Aqueous Species Table'!O585*100000*0.0000005903*41.8393) + CHOOSE('Aqueous Species Options'!M585+1,'Aqueous Species Options'!$X$4*ABS('Aqueous Species Table'!P585)+'Aqueous Species Options'!$Y$4,'Aqueous Species Options'!$AA$4))*10 ) ) ) )</f>
        <v/>
      </c>
      <c r="J585" s="1" t="str">
        <f>IF(ISBLANK('Aqueous Species Options'!B585), "", IF('Aqueous Species Options'!L585 = 0, 'Aqueous Species Options'!O585, IF('Aqueous Species Table'!I585="", "", IF('Aqueous Species Options'!B585="H+", 0, ((1.11*('Aqueous Species Options'!G585 + 'Aqueous Species Table'!O585*100000*0.0000005903*41.8393)+1.8)/41.8393 - 'Aqueous Species Table'!I585/10)*26.01 ) ) ) )</f>
        <v/>
      </c>
      <c r="K585" s="1" t="str">
        <f>IF(ISBLANK('Aqueous Species Options'!B585), "", IF('Aqueous Species Options'!L585 = 0, 'Aqueous Species Options'!P585, IF('Aqueous Species Table'!I585="", "", IF('Aqueous Species Options'!B585="H+", 0, ('Aqueous Species Options'!G585/41.8393 + 'Aqueous Species Table'!O585*100000*0.0000005903 - 'Aqueous Species Table'!I585/10 - 'Aqueous Species Table'!J585*100/2601)*(298.15-228) - ('Aqueous Species Table'!L585*10000/2601) ) ) ) )</f>
        <v/>
      </c>
      <c r="L585" s="1" t="str">
        <f>IF(ISBLANK('Aqueous Species Options'!B585), "", IF('Aqueous Species Options'!L585 = 0, 'Aqueous Species Options'!Q585, IF('Aqueous Species Table'!J585="", "", IF('Aqueous Species Options'!B585="H+", 0, (-4.134*'Aqueous Species Table'!J585*100 - 27790)*0.0001) ) ) )</f>
        <v/>
      </c>
      <c r="M585" s="1" t="str">
        <f>IF(ISBLANK('Aqueous Species Options'!B585), "", IF('Aqueous Species Options'!L585=0, 'Aqueous Species Options'!R585, IF('Aqueous Species Table'!N585="", "", IF('Aqueous Species Options'!B585="H+", 0, 'Aqueous Species Options'!H585 - 'Aqueous Species Table'!O585*100000*(-0.000000309)*298.15 - 'Aqueous Species Table'!N585*10000/(298.15-228)^2 ) ) ) )</f>
        <v/>
      </c>
      <c r="N585" s="1" t="str">
        <f>IF(ISBLANK('Aqueous Species Options'!B585), "", IF('Aqueous Species Options'!L585=0, 'Aqueous Species Options'!S585, IF(OR(ISBLANK('Aqueous Species Options'!H585), 'Aqueous Species Table'!O585=""), "", IF('Aqueous Species Options'!B585="H+", 0, 0.2037*'Aqueous Species Options'!H585 - 3.0346) ) ) )</f>
        <v/>
      </c>
      <c r="O585" s="1" t="str">
        <f>IF(ISBLANK('Aqueous Species Options'!B585), "", IF('Aqueous Species Options'!K585=0, 'Aqueous Species Options'!I585, IF(OR('Aqueous Species Options'!J585&gt;4,'Aqueous Species Options'!J585&lt;-4), "", IF('Aqueous Species Options'!B585="H+", 0, IF('Aqueous Species Options'!J585=0, -0.038, IF(ISBLANK('Aqueous Species Options'!F585), "", -1514.4*'Aqueous Species Options'!F585*0.00001 + SUM(({4,3,2,1,-1,-2,-3,-4}='Aqueous Species Options'!J585)*{2.1764,1.5793,1.0579,0.5517,1.6291,3.2127,4.8115,6.486}) ) ) ) ) ) )</f>
        <v/>
      </c>
      <c r="P585" s="1" t="str">
        <f>IF(ISBLANK('Aqueous Species Options'!J585), "", 'Aqueous Species Options'!J585)</f>
        <v/>
      </c>
      <c r="Q585" s="184" t="str">
        <f>IF(ISBLANK('Aqueous Species Options'!T585), "", 'Aqueous Species Options'!T585)</f>
        <v/>
      </c>
    </row>
    <row r="586" spans="2:17" ht="16" x14ac:dyDescent="0.2">
      <c r="B586" t="str">
        <f>IF(ISBLANK('Aqueous Species Options'!B586), "", 'Aqueous Species Options'!B586)</f>
        <v/>
      </c>
      <c r="C586" s="1" t="str">
        <f>IF(ISBLANK('Aqueous Species Options'!C586), "", 'Aqueous Species Options'!C586)</f>
        <v/>
      </c>
      <c r="D586" s="1" t="str">
        <f>IF(ISBLANK('Aqueous Species Options'!D586), "", 'Aqueous Species Options'!D586)</f>
        <v/>
      </c>
      <c r="E586" s="1" t="str">
        <f>IF(ISBLANK('Aqueous Species Options'!E586), "", 'Aqueous Species Options'!E586)</f>
        <v/>
      </c>
      <c r="F586" s="139" t="str">
        <f>IF(ISBLANK('Aqueous Species Options'!F586), "", 'Aqueous Species Options'!F586)</f>
        <v/>
      </c>
      <c r="G586" s="29" t="str">
        <f>IF(ISBLANK('Aqueous Species Options'!B586), "", IF('Aqueous Species Options'!L586 = 1, IF(ISBLANK('Aqueous Species Options'!G586), "", 'Aqueous Species Options'!G586), ('Aqueous Species Table'!I586/10 + ('Aqueous Species Table'!J586*100)/(Calculations!$C$12+Calculations!$C$9) + ('Aqueous Species Table'!K586 + ('Aqueous Species Table'!L586*10000)/(Calculations!$C$12+Calculations!$C$9))*(1/(Calculations!$C$8-Calculations!$C$13)) - 'Aqueous Species Table'!O586*100000*0.0000005903)*41.8393))</f>
        <v/>
      </c>
      <c r="H586" s="29" t="str">
        <f>IF(ISBLANK('Aqueous Species Options'!B586), "", IF('Aqueous Species Options'!L586 = 1, IF(ISBLANK('Aqueous Species Options'!H586), "", 'Aqueous Species Options'!H586), 'Aqueous Species Table'!M586 + 'Aqueous Species Table'!N586*10000*(1/(Calculations!$C$8-Calculations!$C$13))^2 + 'Aqueous Species Table'!O586*100000*Calculations!$C$8*Calculations!$C$7))</f>
        <v/>
      </c>
      <c r="I586" s="1" t="str">
        <f>IF(ISBLANK('Aqueous Species Options'!B586), "", IF('Aqueous Species Options'!L586=0, 'Aqueous Species Options'!N586, IF(OR(ISBLANK('Aqueous Species Options'!G586),'Aqueous Species Table'!O586="", 'Aqueous Species Table'!P586=""), "", IF('Aqueous Species Options'!B586="H+", 0, (CHOOSE('Aqueous Species Options'!M586+1,'Aqueous Species Options'!$V$4*ABS('Aqueous Species Table'!P586)+'Aqueous Species Options'!$W$4,'Aqueous Species Options'!$Z$4)*('Aqueous Species Options'!G586 + 'Aqueous Species Table'!O586*100000*0.0000005903*41.8393) + CHOOSE('Aqueous Species Options'!M586+1,'Aqueous Species Options'!$X$4*ABS('Aqueous Species Table'!P586)+'Aqueous Species Options'!$Y$4,'Aqueous Species Options'!$AA$4))*10 ) ) ) )</f>
        <v/>
      </c>
      <c r="J586" s="1" t="str">
        <f>IF(ISBLANK('Aqueous Species Options'!B586), "", IF('Aqueous Species Options'!L586 = 0, 'Aqueous Species Options'!O586, IF('Aqueous Species Table'!I586="", "", IF('Aqueous Species Options'!B586="H+", 0, ((1.11*('Aqueous Species Options'!G586 + 'Aqueous Species Table'!O586*100000*0.0000005903*41.8393)+1.8)/41.8393 - 'Aqueous Species Table'!I586/10)*26.01 ) ) ) )</f>
        <v/>
      </c>
      <c r="K586" s="1" t="str">
        <f>IF(ISBLANK('Aqueous Species Options'!B586), "", IF('Aqueous Species Options'!L586 = 0, 'Aqueous Species Options'!P586, IF('Aqueous Species Table'!I586="", "", IF('Aqueous Species Options'!B586="H+", 0, ('Aqueous Species Options'!G586/41.8393 + 'Aqueous Species Table'!O586*100000*0.0000005903 - 'Aqueous Species Table'!I586/10 - 'Aqueous Species Table'!J586*100/2601)*(298.15-228) - ('Aqueous Species Table'!L586*10000/2601) ) ) ) )</f>
        <v/>
      </c>
      <c r="L586" s="1" t="str">
        <f>IF(ISBLANK('Aqueous Species Options'!B586), "", IF('Aqueous Species Options'!L586 = 0, 'Aqueous Species Options'!Q586, IF('Aqueous Species Table'!J586="", "", IF('Aqueous Species Options'!B586="H+", 0, (-4.134*'Aqueous Species Table'!J586*100 - 27790)*0.0001) ) ) )</f>
        <v/>
      </c>
      <c r="M586" s="1" t="str">
        <f>IF(ISBLANK('Aqueous Species Options'!B586), "", IF('Aqueous Species Options'!L586=0, 'Aqueous Species Options'!R586, IF('Aqueous Species Table'!N586="", "", IF('Aqueous Species Options'!B586="H+", 0, 'Aqueous Species Options'!H586 - 'Aqueous Species Table'!O586*100000*(-0.000000309)*298.15 - 'Aqueous Species Table'!N586*10000/(298.15-228)^2 ) ) ) )</f>
        <v/>
      </c>
      <c r="N586" s="1" t="str">
        <f>IF(ISBLANK('Aqueous Species Options'!B586), "", IF('Aqueous Species Options'!L586=0, 'Aqueous Species Options'!S586, IF(OR(ISBLANK('Aqueous Species Options'!H586), 'Aqueous Species Table'!O586=""), "", IF('Aqueous Species Options'!B586="H+", 0, 0.2037*'Aqueous Species Options'!H586 - 3.0346) ) ) )</f>
        <v/>
      </c>
      <c r="O586" s="1" t="str">
        <f>IF(ISBLANK('Aqueous Species Options'!B586), "", IF('Aqueous Species Options'!K586=0, 'Aqueous Species Options'!I586, IF(OR('Aqueous Species Options'!J586&gt;4,'Aqueous Species Options'!J586&lt;-4), "", IF('Aqueous Species Options'!B586="H+", 0, IF('Aqueous Species Options'!J586=0, -0.038, IF(ISBLANK('Aqueous Species Options'!F586), "", -1514.4*'Aqueous Species Options'!F586*0.00001 + SUM(({4,3,2,1,-1,-2,-3,-4}='Aqueous Species Options'!J586)*{2.1764,1.5793,1.0579,0.5517,1.6291,3.2127,4.8115,6.486}) ) ) ) ) ) )</f>
        <v/>
      </c>
      <c r="P586" s="1" t="str">
        <f>IF(ISBLANK('Aqueous Species Options'!J586), "", 'Aqueous Species Options'!J586)</f>
        <v/>
      </c>
      <c r="Q586" s="184" t="str">
        <f>IF(ISBLANK('Aqueous Species Options'!T586), "", 'Aqueous Species Options'!T586)</f>
        <v/>
      </c>
    </row>
    <row r="587" spans="2:17" ht="16" x14ac:dyDescent="0.2">
      <c r="B587" t="str">
        <f>IF(ISBLANK('Aqueous Species Options'!B587), "", 'Aqueous Species Options'!B587)</f>
        <v/>
      </c>
      <c r="C587" s="1" t="str">
        <f>IF(ISBLANK('Aqueous Species Options'!C587), "", 'Aqueous Species Options'!C587)</f>
        <v/>
      </c>
      <c r="D587" s="1" t="str">
        <f>IF(ISBLANK('Aqueous Species Options'!D587), "", 'Aqueous Species Options'!D587)</f>
        <v/>
      </c>
      <c r="E587" s="1" t="str">
        <f>IF(ISBLANK('Aqueous Species Options'!E587), "", 'Aqueous Species Options'!E587)</f>
        <v/>
      </c>
      <c r="F587" s="139" t="str">
        <f>IF(ISBLANK('Aqueous Species Options'!F587), "", 'Aqueous Species Options'!F587)</f>
        <v/>
      </c>
      <c r="G587" s="29" t="str">
        <f>IF(ISBLANK('Aqueous Species Options'!B587), "", IF('Aqueous Species Options'!L587 = 1, IF(ISBLANK('Aqueous Species Options'!G587), "", 'Aqueous Species Options'!G587), ('Aqueous Species Table'!I587/10 + ('Aqueous Species Table'!J587*100)/(Calculations!$C$12+Calculations!$C$9) + ('Aqueous Species Table'!K587 + ('Aqueous Species Table'!L587*10000)/(Calculations!$C$12+Calculations!$C$9))*(1/(Calculations!$C$8-Calculations!$C$13)) - 'Aqueous Species Table'!O587*100000*0.0000005903)*41.8393))</f>
        <v/>
      </c>
      <c r="H587" s="29" t="str">
        <f>IF(ISBLANK('Aqueous Species Options'!B587), "", IF('Aqueous Species Options'!L587 = 1, IF(ISBLANK('Aqueous Species Options'!H587), "", 'Aqueous Species Options'!H587), 'Aqueous Species Table'!M587 + 'Aqueous Species Table'!N587*10000*(1/(Calculations!$C$8-Calculations!$C$13))^2 + 'Aqueous Species Table'!O587*100000*Calculations!$C$8*Calculations!$C$7))</f>
        <v/>
      </c>
      <c r="I587" s="1" t="str">
        <f>IF(ISBLANK('Aqueous Species Options'!B587), "", IF('Aqueous Species Options'!L587=0, 'Aqueous Species Options'!N587, IF(OR(ISBLANK('Aqueous Species Options'!G587),'Aqueous Species Table'!O587="", 'Aqueous Species Table'!P587=""), "", IF('Aqueous Species Options'!B587="H+", 0, (CHOOSE('Aqueous Species Options'!M587+1,'Aqueous Species Options'!$V$4*ABS('Aqueous Species Table'!P587)+'Aqueous Species Options'!$W$4,'Aqueous Species Options'!$Z$4)*('Aqueous Species Options'!G587 + 'Aqueous Species Table'!O587*100000*0.0000005903*41.8393) + CHOOSE('Aqueous Species Options'!M587+1,'Aqueous Species Options'!$X$4*ABS('Aqueous Species Table'!P587)+'Aqueous Species Options'!$Y$4,'Aqueous Species Options'!$AA$4))*10 ) ) ) )</f>
        <v/>
      </c>
      <c r="J587" s="1" t="str">
        <f>IF(ISBLANK('Aqueous Species Options'!B587), "", IF('Aqueous Species Options'!L587 = 0, 'Aqueous Species Options'!O587, IF('Aqueous Species Table'!I587="", "", IF('Aqueous Species Options'!B587="H+", 0, ((1.11*('Aqueous Species Options'!G587 + 'Aqueous Species Table'!O587*100000*0.0000005903*41.8393)+1.8)/41.8393 - 'Aqueous Species Table'!I587/10)*26.01 ) ) ) )</f>
        <v/>
      </c>
      <c r="K587" s="1" t="str">
        <f>IF(ISBLANK('Aqueous Species Options'!B587), "", IF('Aqueous Species Options'!L587 = 0, 'Aqueous Species Options'!P587, IF('Aqueous Species Table'!I587="", "", IF('Aqueous Species Options'!B587="H+", 0, ('Aqueous Species Options'!G587/41.8393 + 'Aqueous Species Table'!O587*100000*0.0000005903 - 'Aqueous Species Table'!I587/10 - 'Aqueous Species Table'!J587*100/2601)*(298.15-228) - ('Aqueous Species Table'!L587*10000/2601) ) ) ) )</f>
        <v/>
      </c>
      <c r="L587" s="1" t="str">
        <f>IF(ISBLANK('Aqueous Species Options'!B587), "", IF('Aqueous Species Options'!L587 = 0, 'Aqueous Species Options'!Q587, IF('Aqueous Species Table'!J587="", "", IF('Aqueous Species Options'!B587="H+", 0, (-4.134*'Aqueous Species Table'!J587*100 - 27790)*0.0001) ) ) )</f>
        <v/>
      </c>
      <c r="M587" s="1" t="str">
        <f>IF(ISBLANK('Aqueous Species Options'!B587), "", IF('Aqueous Species Options'!L587=0, 'Aqueous Species Options'!R587, IF('Aqueous Species Table'!N587="", "", IF('Aqueous Species Options'!B587="H+", 0, 'Aqueous Species Options'!H587 - 'Aqueous Species Table'!O587*100000*(-0.000000309)*298.15 - 'Aqueous Species Table'!N587*10000/(298.15-228)^2 ) ) ) )</f>
        <v/>
      </c>
      <c r="N587" s="1" t="str">
        <f>IF(ISBLANK('Aqueous Species Options'!B587), "", IF('Aqueous Species Options'!L587=0, 'Aqueous Species Options'!S587, IF(OR(ISBLANK('Aqueous Species Options'!H587), 'Aqueous Species Table'!O587=""), "", IF('Aqueous Species Options'!B587="H+", 0, 0.2037*'Aqueous Species Options'!H587 - 3.0346) ) ) )</f>
        <v/>
      </c>
      <c r="O587" s="1" t="str">
        <f>IF(ISBLANK('Aqueous Species Options'!B587), "", IF('Aqueous Species Options'!K587=0, 'Aqueous Species Options'!I587, IF(OR('Aqueous Species Options'!J587&gt;4,'Aqueous Species Options'!J587&lt;-4), "", IF('Aqueous Species Options'!B587="H+", 0, IF('Aqueous Species Options'!J587=0, -0.038, IF(ISBLANK('Aqueous Species Options'!F587), "", -1514.4*'Aqueous Species Options'!F587*0.00001 + SUM(({4,3,2,1,-1,-2,-3,-4}='Aqueous Species Options'!J587)*{2.1764,1.5793,1.0579,0.5517,1.6291,3.2127,4.8115,6.486}) ) ) ) ) ) )</f>
        <v/>
      </c>
      <c r="P587" s="1" t="str">
        <f>IF(ISBLANK('Aqueous Species Options'!J587), "", 'Aqueous Species Options'!J587)</f>
        <v/>
      </c>
      <c r="Q587" s="184" t="str">
        <f>IF(ISBLANK('Aqueous Species Options'!T587), "", 'Aqueous Species Options'!T587)</f>
        <v/>
      </c>
    </row>
    <row r="588" spans="2:17" ht="16" x14ac:dyDescent="0.2">
      <c r="B588" t="str">
        <f>IF(ISBLANK('Aqueous Species Options'!B588), "", 'Aqueous Species Options'!B588)</f>
        <v/>
      </c>
      <c r="C588" s="1" t="str">
        <f>IF(ISBLANK('Aqueous Species Options'!C588), "", 'Aqueous Species Options'!C588)</f>
        <v/>
      </c>
      <c r="D588" s="1" t="str">
        <f>IF(ISBLANK('Aqueous Species Options'!D588), "", 'Aqueous Species Options'!D588)</f>
        <v/>
      </c>
      <c r="E588" s="1" t="str">
        <f>IF(ISBLANK('Aqueous Species Options'!E588), "", 'Aqueous Species Options'!E588)</f>
        <v/>
      </c>
      <c r="F588" s="139" t="str">
        <f>IF(ISBLANK('Aqueous Species Options'!F588), "", 'Aqueous Species Options'!F588)</f>
        <v/>
      </c>
      <c r="G588" s="29" t="str">
        <f>IF(ISBLANK('Aqueous Species Options'!B588), "", IF('Aqueous Species Options'!L588 = 1, IF(ISBLANK('Aqueous Species Options'!G588), "", 'Aqueous Species Options'!G588), ('Aqueous Species Table'!I588/10 + ('Aqueous Species Table'!J588*100)/(Calculations!$C$12+Calculations!$C$9) + ('Aqueous Species Table'!K588 + ('Aqueous Species Table'!L588*10000)/(Calculations!$C$12+Calculations!$C$9))*(1/(Calculations!$C$8-Calculations!$C$13)) - 'Aqueous Species Table'!O588*100000*0.0000005903)*41.8393))</f>
        <v/>
      </c>
      <c r="H588" s="29" t="str">
        <f>IF(ISBLANK('Aqueous Species Options'!B588), "", IF('Aqueous Species Options'!L588 = 1, IF(ISBLANK('Aqueous Species Options'!H588), "", 'Aqueous Species Options'!H588), 'Aqueous Species Table'!M588 + 'Aqueous Species Table'!N588*10000*(1/(Calculations!$C$8-Calculations!$C$13))^2 + 'Aqueous Species Table'!O588*100000*Calculations!$C$8*Calculations!$C$7))</f>
        <v/>
      </c>
      <c r="I588" s="1" t="str">
        <f>IF(ISBLANK('Aqueous Species Options'!B588), "", IF('Aqueous Species Options'!L588=0, 'Aqueous Species Options'!N588, IF(OR(ISBLANK('Aqueous Species Options'!G588),'Aqueous Species Table'!O588="", 'Aqueous Species Table'!P588=""), "", IF('Aqueous Species Options'!B588="H+", 0, (CHOOSE('Aqueous Species Options'!M588+1,'Aqueous Species Options'!$V$4*ABS('Aqueous Species Table'!P588)+'Aqueous Species Options'!$W$4,'Aqueous Species Options'!$Z$4)*('Aqueous Species Options'!G588 + 'Aqueous Species Table'!O588*100000*0.0000005903*41.8393) + CHOOSE('Aqueous Species Options'!M588+1,'Aqueous Species Options'!$X$4*ABS('Aqueous Species Table'!P588)+'Aqueous Species Options'!$Y$4,'Aqueous Species Options'!$AA$4))*10 ) ) ) )</f>
        <v/>
      </c>
      <c r="J588" s="1" t="str">
        <f>IF(ISBLANK('Aqueous Species Options'!B588), "", IF('Aqueous Species Options'!L588 = 0, 'Aqueous Species Options'!O588, IF('Aqueous Species Table'!I588="", "", IF('Aqueous Species Options'!B588="H+", 0, ((1.11*('Aqueous Species Options'!G588 + 'Aqueous Species Table'!O588*100000*0.0000005903*41.8393)+1.8)/41.8393 - 'Aqueous Species Table'!I588/10)*26.01 ) ) ) )</f>
        <v/>
      </c>
      <c r="K588" s="1" t="str">
        <f>IF(ISBLANK('Aqueous Species Options'!B588), "", IF('Aqueous Species Options'!L588 = 0, 'Aqueous Species Options'!P588, IF('Aqueous Species Table'!I588="", "", IF('Aqueous Species Options'!B588="H+", 0, ('Aqueous Species Options'!G588/41.8393 + 'Aqueous Species Table'!O588*100000*0.0000005903 - 'Aqueous Species Table'!I588/10 - 'Aqueous Species Table'!J588*100/2601)*(298.15-228) - ('Aqueous Species Table'!L588*10000/2601) ) ) ) )</f>
        <v/>
      </c>
      <c r="L588" s="1" t="str">
        <f>IF(ISBLANK('Aqueous Species Options'!B588), "", IF('Aqueous Species Options'!L588 = 0, 'Aqueous Species Options'!Q588, IF('Aqueous Species Table'!J588="", "", IF('Aqueous Species Options'!B588="H+", 0, (-4.134*'Aqueous Species Table'!J588*100 - 27790)*0.0001) ) ) )</f>
        <v/>
      </c>
      <c r="M588" s="1" t="str">
        <f>IF(ISBLANK('Aqueous Species Options'!B588), "", IF('Aqueous Species Options'!L588=0, 'Aqueous Species Options'!R588, IF('Aqueous Species Table'!N588="", "", IF('Aqueous Species Options'!B588="H+", 0, 'Aqueous Species Options'!H588 - 'Aqueous Species Table'!O588*100000*(-0.000000309)*298.15 - 'Aqueous Species Table'!N588*10000/(298.15-228)^2 ) ) ) )</f>
        <v/>
      </c>
      <c r="N588" s="1" t="str">
        <f>IF(ISBLANK('Aqueous Species Options'!B588), "", IF('Aqueous Species Options'!L588=0, 'Aqueous Species Options'!S588, IF(OR(ISBLANK('Aqueous Species Options'!H588), 'Aqueous Species Table'!O588=""), "", IF('Aqueous Species Options'!B588="H+", 0, 0.2037*'Aqueous Species Options'!H588 - 3.0346) ) ) )</f>
        <v/>
      </c>
      <c r="O588" s="1" t="str">
        <f>IF(ISBLANK('Aqueous Species Options'!B588), "", IF('Aqueous Species Options'!K588=0, 'Aqueous Species Options'!I588, IF(OR('Aqueous Species Options'!J588&gt;4,'Aqueous Species Options'!J588&lt;-4), "", IF('Aqueous Species Options'!B588="H+", 0, IF('Aqueous Species Options'!J588=0, -0.038, IF(ISBLANK('Aqueous Species Options'!F588), "", -1514.4*'Aqueous Species Options'!F588*0.00001 + SUM(({4,3,2,1,-1,-2,-3,-4}='Aqueous Species Options'!J588)*{2.1764,1.5793,1.0579,0.5517,1.6291,3.2127,4.8115,6.486}) ) ) ) ) ) )</f>
        <v/>
      </c>
      <c r="P588" s="1" t="str">
        <f>IF(ISBLANK('Aqueous Species Options'!J588), "", 'Aqueous Species Options'!J588)</f>
        <v/>
      </c>
      <c r="Q588" s="184" t="str">
        <f>IF(ISBLANK('Aqueous Species Options'!T588), "", 'Aqueous Species Options'!T588)</f>
        <v/>
      </c>
    </row>
    <row r="589" spans="2:17" ht="16" x14ac:dyDescent="0.2">
      <c r="B589" t="str">
        <f>IF(ISBLANK('Aqueous Species Options'!B589), "", 'Aqueous Species Options'!B589)</f>
        <v/>
      </c>
      <c r="C589" s="1" t="str">
        <f>IF(ISBLANK('Aqueous Species Options'!C589), "", 'Aqueous Species Options'!C589)</f>
        <v/>
      </c>
      <c r="D589" s="1" t="str">
        <f>IF(ISBLANK('Aqueous Species Options'!D589), "", 'Aqueous Species Options'!D589)</f>
        <v/>
      </c>
      <c r="E589" s="1" t="str">
        <f>IF(ISBLANK('Aqueous Species Options'!E589), "", 'Aqueous Species Options'!E589)</f>
        <v/>
      </c>
      <c r="F589" s="139" t="str">
        <f>IF(ISBLANK('Aqueous Species Options'!F589), "", 'Aqueous Species Options'!F589)</f>
        <v/>
      </c>
      <c r="G589" s="29" t="str">
        <f>IF(ISBLANK('Aqueous Species Options'!B589), "", IF('Aqueous Species Options'!L589 = 1, IF(ISBLANK('Aqueous Species Options'!G589), "", 'Aqueous Species Options'!G589), ('Aqueous Species Table'!I589/10 + ('Aqueous Species Table'!J589*100)/(Calculations!$C$12+Calculations!$C$9) + ('Aqueous Species Table'!K589 + ('Aqueous Species Table'!L589*10000)/(Calculations!$C$12+Calculations!$C$9))*(1/(Calculations!$C$8-Calculations!$C$13)) - 'Aqueous Species Table'!O589*100000*0.0000005903)*41.8393))</f>
        <v/>
      </c>
      <c r="H589" s="29" t="str">
        <f>IF(ISBLANK('Aqueous Species Options'!B589), "", IF('Aqueous Species Options'!L589 = 1, IF(ISBLANK('Aqueous Species Options'!H589), "", 'Aqueous Species Options'!H589), 'Aqueous Species Table'!M589 + 'Aqueous Species Table'!N589*10000*(1/(Calculations!$C$8-Calculations!$C$13))^2 + 'Aqueous Species Table'!O589*100000*Calculations!$C$8*Calculations!$C$7))</f>
        <v/>
      </c>
      <c r="I589" s="1" t="str">
        <f>IF(ISBLANK('Aqueous Species Options'!B589), "", IF('Aqueous Species Options'!L589=0, 'Aqueous Species Options'!N589, IF(OR(ISBLANK('Aqueous Species Options'!G589),'Aqueous Species Table'!O589="", 'Aqueous Species Table'!P589=""), "", IF('Aqueous Species Options'!B589="H+", 0, (CHOOSE('Aqueous Species Options'!M589+1,'Aqueous Species Options'!$V$4*ABS('Aqueous Species Table'!P589)+'Aqueous Species Options'!$W$4,'Aqueous Species Options'!$Z$4)*('Aqueous Species Options'!G589 + 'Aqueous Species Table'!O589*100000*0.0000005903*41.8393) + CHOOSE('Aqueous Species Options'!M589+1,'Aqueous Species Options'!$X$4*ABS('Aqueous Species Table'!P589)+'Aqueous Species Options'!$Y$4,'Aqueous Species Options'!$AA$4))*10 ) ) ) )</f>
        <v/>
      </c>
      <c r="J589" s="1" t="str">
        <f>IF(ISBLANK('Aqueous Species Options'!B589), "", IF('Aqueous Species Options'!L589 = 0, 'Aqueous Species Options'!O589, IF('Aqueous Species Table'!I589="", "", IF('Aqueous Species Options'!B589="H+", 0, ((1.11*('Aqueous Species Options'!G589 + 'Aqueous Species Table'!O589*100000*0.0000005903*41.8393)+1.8)/41.8393 - 'Aqueous Species Table'!I589/10)*26.01 ) ) ) )</f>
        <v/>
      </c>
      <c r="K589" s="1" t="str">
        <f>IF(ISBLANK('Aqueous Species Options'!B589), "", IF('Aqueous Species Options'!L589 = 0, 'Aqueous Species Options'!P589, IF('Aqueous Species Table'!I589="", "", IF('Aqueous Species Options'!B589="H+", 0, ('Aqueous Species Options'!G589/41.8393 + 'Aqueous Species Table'!O589*100000*0.0000005903 - 'Aqueous Species Table'!I589/10 - 'Aqueous Species Table'!J589*100/2601)*(298.15-228) - ('Aqueous Species Table'!L589*10000/2601) ) ) ) )</f>
        <v/>
      </c>
      <c r="L589" s="1" t="str">
        <f>IF(ISBLANK('Aqueous Species Options'!B589), "", IF('Aqueous Species Options'!L589 = 0, 'Aqueous Species Options'!Q589, IF('Aqueous Species Table'!J589="", "", IF('Aqueous Species Options'!B589="H+", 0, (-4.134*'Aqueous Species Table'!J589*100 - 27790)*0.0001) ) ) )</f>
        <v/>
      </c>
      <c r="M589" s="1" t="str">
        <f>IF(ISBLANK('Aqueous Species Options'!B589), "", IF('Aqueous Species Options'!L589=0, 'Aqueous Species Options'!R589, IF('Aqueous Species Table'!N589="", "", IF('Aqueous Species Options'!B589="H+", 0, 'Aqueous Species Options'!H589 - 'Aqueous Species Table'!O589*100000*(-0.000000309)*298.15 - 'Aqueous Species Table'!N589*10000/(298.15-228)^2 ) ) ) )</f>
        <v/>
      </c>
      <c r="N589" s="1" t="str">
        <f>IF(ISBLANK('Aqueous Species Options'!B589), "", IF('Aqueous Species Options'!L589=0, 'Aqueous Species Options'!S589, IF(OR(ISBLANK('Aqueous Species Options'!H589), 'Aqueous Species Table'!O589=""), "", IF('Aqueous Species Options'!B589="H+", 0, 0.2037*'Aqueous Species Options'!H589 - 3.0346) ) ) )</f>
        <v/>
      </c>
      <c r="O589" s="1" t="str">
        <f>IF(ISBLANK('Aqueous Species Options'!B589), "", IF('Aqueous Species Options'!K589=0, 'Aqueous Species Options'!I589, IF(OR('Aqueous Species Options'!J589&gt;4,'Aqueous Species Options'!J589&lt;-4), "", IF('Aqueous Species Options'!B589="H+", 0, IF('Aqueous Species Options'!J589=0, -0.038, IF(ISBLANK('Aqueous Species Options'!F589), "", -1514.4*'Aqueous Species Options'!F589*0.00001 + SUM(({4,3,2,1,-1,-2,-3,-4}='Aqueous Species Options'!J589)*{2.1764,1.5793,1.0579,0.5517,1.6291,3.2127,4.8115,6.486}) ) ) ) ) ) )</f>
        <v/>
      </c>
      <c r="P589" s="1" t="str">
        <f>IF(ISBLANK('Aqueous Species Options'!J589), "", 'Aqueous Species Options'!J589)</f>
        <v/>
      </c>
      <c r="Q589" s="184" t="str">
        <f>IF(ISBLANK('Aqueous Species Options'!T589), "", 'Aqueous Species Options'!T589)</f>
        <v/>
      </c>
    </row>
    <row r="590" spans="2:17" ht="16" x14ac:dyDescent="0.2">
      <c r="B590" t="str">
        <f>IF(ISBLANK('Aqueous Species Options'!B590), "", 'Aqueous Species Options'!B590)</f>
        <v/>
      </c>
      <c r="C590" s="1" t="str">
        <f>IF(ISBLANK('Aqueous Species Options'!C590), "", 'Aqueous Species Options'!C590)</f>
        <v/>
      </c>
      <c r="D590" s="1" t="str">
        <f>IF(ISBLANK('Aqueous Species Options'!D590), "", 'Aqueous Species Options'!D590)</f>
        <v/>
      </c>
      <c r="E590" s="1" t="str">
        <f>IF(ISBLANK('Aqueous Species Options'!E590), "", 'Aqueous Species Options'!E590)</f>
        <v/>
      </c>
      <c r="F590" s="139" t="str">
        <f>IF(ISBLANK('Aqueous Species Options'!F590), "", 'Aqueous Species Options'!F590)</f>
        <v/>
      </c>
      <c r="G590" s="29" t="str">
        <f>IF(ISBLANK('Aqueous Species Options'!B590), "", IF('Aqueous Species Options'!L590 = 1, IF(ISBLANK('Aqueous Species Options'!G590), "", 'Aqueous Species Options'!G590), ('Aqueous Species Table'!I590/10 + ('Aqueous Species Table'!J590*100)/(Calculations!$C$12+Calculations!$C$9) + ('Aqueous Species Table'!K590 + ('Aqueous Species Table'!L590*10000)/(Calculations!$C$12+Calculations!$C$9))*(1/(Calculations!$C$8-Calculations!$C$13)) - 'Aqueous Species Table'!O590*100000*0.0000005903)*41.8393))</f>
        <v/>
      </c>
      <c r="H590" s="29" t="str">
        <f>IF(ISBLANK('Aqueous Species Options'!B590), "", IF('Aqueous Species Options'!L590 = 1, IF(ISBLANK('Aqueous Species Options'!H590), "", 'Aqueous Species Options'!H590), 'Aqueous Species Table'!M590 + 'Aqueous Species Table'!N590*10000*(1/(Calculations!$C$8-Calculations!$C$13))^2 + 'Aqueous Species Table'!O590*100000*Calculations!$C$8*Calculations!$C$7))</f>
        <v/>
      </c>
      <c r="I590" s="1" t="str">
        <f>IF(ISBLANK('Aqueous Species Options'!B590), "", IF('Aqueous Species Options'!L590=0, 'Aqueous Species Options'!N590, IF(OR(ISBLANK('Aqueous Species Options'!G590),'Aqueous Species Table'!O590="", 'Aqueous Species Table'!P590=""), "", IF('Aqueous Species Options'!B590="H+", 0, (CHOOSE('Aqueous Species Options'!M590+1,'Aqueous Species Options'!$V$4*ABS('Aqueous Species Table'!P590)+'Aqueous Species Options'!$W$4,'Aqueous Species Options'!$Z$4)*('Aqueous Species Options'!G590 + 'Aqueous Species Table'!O590*100000*0.0000005903*41.8393) + CHOOSE('Aqueous Species Options'!M590+1,'Aqueous Species Options'!$X$4*ABS('Aqueous Species Table'!P590)+'Aqueous Species Options'!$Y$4,'Aqueous Species Options'!$AA$4))*10 ) ) ) )</f>
        <v/>
      </c>
      <c r="J590" s="1" t="str">
        <f>IF(ISBLANK('Aqueous Species Options'!B590), "", IF('Aqueous Species Options'!L590 = 0, 'Aqueous Species Options'!O590, IF('Aqueous Species Table'!I590="", "", IF('Aqueous Species Options'!B590="H+", 0, ((1.11*('Aqueous Species Options'!G590 + 'Aqueous Species Table'!O590*100000*0.0000005903*41.8393)+1.8)/41.8393 - 'Aqueous Species Table'!I590/10)*26.01 ) ) ) )</f>
        <v/>
      </c>
      <c r="K590" s="1" t="str">
        <f>IF(ISBLANK('Aqueous Species Options'!B590), "", IF('Aqueous Species Options'!L590 = 0, 'Aqueous Species Options'!P590, IF('Aqueous Species Table'!I590="", "", IF('Aqueous Species Options'!B590="H+", 0, ('Aqueous Species Options'!G590/41.8393 + 'Aqueous Species Table'!O590*100000*0.0000005903 - 'Aqueous Species Table'!I590/10 - 'Aqueous Species Table'!J590*100/2601)*(298.15-228) - ('Aqueous Species Table'!L590*10000/2601) ) ) ) )</f>
        <v/>
      </c>
      <c r="L590" s="1" t="str">
        <f>IF(ISBLANK('Aqueous Species Options'!B590), "", IF('Aqueous Species Options'!L590 = 0, 'Aqueous Species Options'!Q590, IF('Aqueous Species Table'!J590="", "", IF('Aqueous Species Options'!B590="H+", 0, (-4.134*'Aqueous Species Table'!J590*100 - 27790)*0.0001) ) ) )</f>
        <v/>
      </c>
      <c r="M590" s="1" t="str">
        <f>IF(ISBLANK('Aqueous Species Options'!B590), "", IF('Aqueous Species Options'!L590=0, 'Aqueous Species Options'!R590, IF('Aqueous Species Table'!N590="", "", IF('Aqueous Species Options'!B590="H+", 0, 'Aqueous Species Options'!H590 - 'Aqueous Species Table'!O590*100000*(-0.000000309)*298.15 - 'Aqueous Species Table'!N590*10000/(298.15-228)^2 ) ) ) )</f>
        <v/>
      </c>
      <c r="N590" s="1" t="str">
        <f>IF(ISBLANK('Aqueous Species Options'!B590), "", IF('Aqueous Species Options'!L590=0, 'Aqueous Species Options'!S590, IF(OR(ISBLANK('Aqueous Species Options'!H590), 'Aqueous Species Table'!O590=""), "", IF('Aqueous Species Options'!B590="H+", 0, 0.2037*'Aqueous Species Options'!H590 - 3.0346) ) ) )</f>
        <v/>
      </c>
      <c r="O590" s="1" t="str">
        <f>IF(ISBLANK('Aqueous Species Options'!B590), "", IF('Aqueous Species Options'!K590=0, 'Aqueous Species Options'!I590, IF(OR('Aqueous Species Options'!J590&gt;4,'Aqueous Species Options'!J590&lt;-4), "", IF('Aqueous Species Options'!B590="H+", 0, IF('Aqueous Species Options'!J590=0, -0.038, IF(ISBLANK('Aqueous Species Options'!F590), "", -1514.4*'Aqueous Species Options'!F590*0.00001 + SUM(({4,3,2,1,-1,-2,-3,-4}='Aqueous Species Options'!J590)*{2.1764,1.5793,1.0579,0.5517,1.6291,3.2127,4.8115,6.486}) ) ) ) ) ) )</f>
        <v/>
      </c>
      <c r="P590" s="1" t="str">
        <f>IF(ISBLANK('Aqueous Species Options'!J590), "", 'Aqueous Species Options'!J590)</f>
        <v/>
      </c>
      <c r="Q590" s="184" t="str">
        <f>IF(ISBLANK('Aqueous Species Options'!T590), "", 'Aqueous Species Options'!T590)</f>
        <v/>
      </c>
    </row>
    <row r="591" spans="2:17" ht="16" x14ac:dyDescent="0.2">
      <c r="B591" t="str">
        <f>IF(ISBLANK('Aqueous Species Options'!B591), "", 'Aqueous Species Options'!B591)</f>
        <v/>
      </c>
      <c r="C591" s="1" t="str">
        <f>IF(ISBLANK('Aqueous Species Options'!C591), "", 'Aqueous Species Options'!C591)</f>
        <v/>
      </c>
      <c r="D591" s="1" t="str">
        <f>IF(ISBLANK('Aqueous Species Options'!D591), "", 'Aqueous Species Options'!D591)</f>
        <v/>
      </c>
      <c r="E591" s="1" t="str">
        <f>IF(ISBLANK('Aqueous Species Options'!E591), "", 'Aqueous Species Options'!E591)</f>
        <v/>
      </c>
      <c r="F591" s="139" t="str">
        <f>IF(ISBLANK('Aqueous Species Options'!F591), "", 'Aqueous Species Options'!F591)</f>
        <v/>
      </c>
      <c r="G591" s="29" t="str">
        <f>IF(ISBLANK('Aqueous Species Options'!B591), "", IF('Aqueous Species Options'!L591 = 1, IF(ISBLANK('Aqueous Species Options'!G591), "", 'Aqueous Species Options'!G591), ('Aqueous Species Table'!I591/10 + ('Aqueous Species Table'!J591*100)/(Calculations!$C$12+Calculations!$C$9) + ('Aqueous Species Table'!K591 + ('Aqueous Species Table'!L591*10000)/(Calculations!$C$12+Calculations!$C$9))*(1/(Calculations!$C$8-Calculations!$C$13)) - 'Aqueous Species Table'!O591*100000*0.0000005903)*41.8393))</f>
        <v/>
      </c>
      <c r="H591" s="29" t="str">
        <f>IF(ISBLANK('Aqueous Species Options'!B591), "", IF('Aqueous Species Options'!L591 = 1, IF(ISBLANK('Aqueous Species Options'!H591), "", 'Aqueous Species Options'!H591), 'Aqueous Species Table'!M591 + 'Aqueous Species Table'!N591*10000*(1/(Calculations!$C$8-Calculations!$C$13))^2 + 'Aqueous Species Table'!O591*100000*Calculations!$C$8*Calculations!$C$7))</f>
        <v/>
      </c>
      <c r="I591" s="1" t="str">
        <f>IF(ISBLANK('Aqueous Species Options'!B591), "", IF('Aqueous Species Options'!L591=0, 'Aqueous Species Options'!N591, IF(OR(ISBLANK('Aqueous Species Options'!G591),'Aqueous Species Table'!O591="", 'Aqueous Species Table'!P591=""), "", IF('Aqueous Species Options'!B591="H+", 0, (CHOOSE('Aqueous Species Options'!M591+1,'Aqueous Species Options'!$V$4*ABS('Aqueous Species Table'!P591)+'Aqueous Species Options'!$W$4,'Aqueous Species Options'!$Z$4)*('Aqueous Species Options'!G591 + 'Aqueous Species Table'!O591*100000*0.0000005903*41.8393) + CHOOSE('Aqueous Species Options'!M591+1,'Aqueous Species Options'!$X$4*ABS('Aqueous Species Table'!P591)+'Aqueous Species Options'!$Y$4,'Aqueous Species Options'!$AA$4))*10 ) ) ) )</f>
        <v/>
      </c>
      <c r="J591" s="1" t="str">
        <f>IF(ISBLANK('Aqueous Species Options'!B591), "", IF('Aqueous Species Options'!L591 = 0, 'Aqueous Species Options'!O591, IF('Aqueous Species Table'!I591="", "", IF('Aqueous Species Options'!B591="H+", 0, ((1.11*('Aqueous Species Options'!G591 + 'Aqueous Species Table'!O591*100000*0.0000005903*41.8393)+1.8)/41.8393 - 'Aqueous Species Table'!I591/10)*26.01 ) ) ) )</f>
        <v/>
      </c>
      <c r="K591" s="1" t="str">
        <f>IF(ISBLANK('Aqueous Species Options'!B591), "", IF('Aqueous Species Options'!L591 = 0, 'Aqueous Species Options'!P591, IF('Aqueous Species Table'!I591="", "", IF('Aqueous Species Options'!B591="H+", 0, ('Aqueous Species Options'!G591/41.8393 + 'Aqueous Species Table'!O591*100000*0.0000005903 - 'Aqueous Species Table'!I591/10 - 'Aqueous Species Table'!J591*100/2601)*(298.15-228) - ('Aqueous Species Table'!L591*10000/2601) ) ) ) )</f>
        <v/>
      </c>
      <c r="L591" s="1" t="str">
        <f>IF(ISBLANK('Aqueous Species Options'!B591), "", IF('Aqueous Species Options'!L591 = 0, 'Aqueous Species Options'!Q591, IF('Aqueous Species Table'!J591="", "", IF('Aqueous Species Options'!B591="H+", 0, (-4.134*'Aqueous Species Table'!J591*100 - 27790)*0.0001) ) ) )</f>
        <v/>
      </c>
      <c r="M591" s="1" t="str">
        <f>IF(ISBLANK('Aqueous Species Options'!B591), "", IF('Aqueous Species Options'!L591=0, 'Aqueous Species Options'!R591, IF('Aqueous Species Table'!N591="", "", IF('Aqueous Species Options'!B591="H+", 0, 'Aqueous Species Options'!H591 - 'Aqueous Species Table'!O591*100000*(-0.000000309)*298.15 - 'Aqueous Species Table'!N591*10000/(298.15-228)^2 ) ) ) )</f>
        <v/>
      </c>
      <c r="N591" s="1" t="str">
        <f>IF(ISBLANK('Aqueous Species Options'!B591), "", IF('Aqueous Species Options'!L591=0, 'Aqueous Species Options'!S591, IF(OR(ISBLANK('Aqueous Species Options'!H591), 'Aqueous Species Table'!O591=""), "", IF('Aqueous Species Options'!B591="H+", 0, 0.2037*'Aqueous Species Options'!H591 - 3.0346) ) ) )</f>
        <v/>
      </c>
      <c r="O591" s="1" t="str">
        <f>IF(ISBLANK('Aqueous Species Options'!B591), "", IF('Aqueous Species Options'!K591=0, 'Aqueous Species Options'!I591, IF(OR('Aqueous Species Options'!J591&gt;4,'Aqueous Species Options'!J591&lt;-4), "", IF('Aqueous Species Options'!B591="H+", 0, IF('Aqueous Species Options'!J591=0, -0.038, IF(ISBLANK('Aqueous Species Options'!F591), "", -1514.4*'Aqueous Species Options'!F591*0.00001 + SUM(({4,3,2,1,-1,-2,-3,-4}='Aqueous Species Options'!J591)*{2.1764,1.5793,1.0579,0.5517,1.6291,3.2127,4.8115,6.486}) ) ) ) ) ) )</f>
        <v/>
      </c>
      <c r="P591" s="1" t="str">
        <f>IF(ISBLANK('Aqueous Species Options'!J591), "", 'Aqueous Species Options'!J591)</f>
        <v/>
      </c>
      <c r="Q591" s="184" t="str">
        <f>IF(ISBLANK('Aqueous Species Options'!T591), "", 'Aqueous Species Options'!T591)</f>
        <v/>
      </c>
    </row>
    <row r="592" spans="2:17" ht="16" x14ac:dyDescent="0.2">
      <c r="B592" t="str">
        <f>IF(ISBLANK('Aqueous Species Options'!B592), "", 'Aqueous Species Options'!B592)</f>
        <v/>
      </c>
      <c r="C592" s="1" t="str">
        <f>IF(ISBLANK('Aqueous Species Options'!C592), "", 'Aqueous Species Options'!C592)</f>
        <v/>
      </c>
      <c r="D592" s="1" t="str">
        <f>IF(ISBLANK('Aqueous Species Options'!D592), "", 'Aqueous Species Options'!D592)</f>
        <v/>
      </c>
      <c r="E592" s="1" t="str">
        <f>IF(ISBLANK('Aqueous Species Options'!E592), "", 'Aqueous Species Options'!E592)</f>
        <v/>
      </c>
      <c r="F592" s="139" t="str">
        <f>IF(ISBLANK('Aqueous Species Options'!F592), "", 'Aqueous Species Options'!F592)</f>
        <v/>
      </c>
      <c r="G592" s="29" t="str">
        <f>IF(ISBLANK('Aqueous Species Options'!B592), "", IF('Aqueous Species Options'!L592 = 1, IF(ISBLANK('Aqueous Species Options'!G592), "", 'Aqueous Species Options'!G592), ('Aqueous Species Table'!I592/10 + ('Aqueous Species Table'!J592*100)/(Calculations!$C$12+Calculations!$C$9) + ('Aqueous Species Table'!K592 + ('Aqueous Species Table'!L592*10000)/(Calculations!$C$12+Calculations!$C$9))*(1/(Calculations!$C$8-Calculations!$C$13)) - 'Aqueous Species Table'!O592*100000*0.0000005903)*41.8393))</f>
        <v/>
      </c>
      <c r="H592" s="29" t="str">
        <f>IF(ISBLANK('Aqueous Species Options'!B592), "", IF('Aqueous Species Options'!L592 = 1, IF(ISBLANK('Aqueous Species Options'!H592), "", 'Aqueous Species Options'!H592), 'Aqueous Species Table'!M592 + 'Aqueous Species Table'!N592*10000*(1/(Calculations!$C$8-Calculations!$C$13))^2 + 'Aqueous Species Table'!O592*100000*Calculations!$C$8*Calculations!$C$7))</f>
        <v/>
      </c>
      <c r="I592" s="1" t="str">
        <f>IF(ISBLANK('Aqueous Species Options'!B592), "", IF('Aqueous Species Options'!L592=0, 'Aqueous Species Options'!N592, IF(OR(ISBLANK('Aqueous Species Options'!G592),'Aqueous Species Table'!O592="", 'Aqueous Species Table'!P592=""), "", IF('Aqueous Species Options'!B592="H+", 0, (CHOOSE('Aqueous Species Options'!M592+1,'Aqueous Species Options'!$V$4*ABS('Aqueous Species Table'!P592)+'Aqueous Species Options'!$W$4,'Aqueous Species Options'!$Z$4)*('Aqueous Species Options'!G592 + 'Aqueous Species Table'!O592*100000*0.0000005903*41.8393) + CHOOSE('Aqueous Species Options'!M592+1,'Aqueous Species Options'!$X$4*ABS('Aqueous Species Table'!P592)+'Aqueous Species Options'!$Y$4,'Aqueous Species Options'!$AA$4))*10 ) ) ) )</f>
        <v/>
      </c>
      <c r="J592" s="1" t="str">
        <f>IF(ISBLANK('Aqueous Species Options'!B592), "", IF('Aqueous Species Options'!L592 = 0, 'Aqueous Species Options'!O592, IF('Aqueous Species Table'!I592="", "", IF('Aqueous Species Options'!B592="H+", 0, ((1.11*('Aqueous Species Options'!G592 + 'Aqueous Species Table'!O592*100000*0.0000005903*41.8393)+1.8)/41.8393 - 'Aqueous Species Table'!I592/10)*26.01 ) ) ) )</f>
        <v/>
      </c>
      <c r="K592" s="1" t="str">
        <f>IF(ISBLANK('Aqueous Species Options'!B592), "", IF('Aqueous Species Options'!L592 = 0, 'Aqueous Species Options'!P592, IF('Aqueous Species Table'!I592="", "", IF('Aqueous Species Options'!B592="H+", 0, ('Aqueous Species Options'!G592/41.8393 + 'Aqueous Species Table'!O592*100000*0.0000005903 - 'Aqueous Species Table'!I592/10 - 'Aqueous Species Table'!J592*100/2601)*(298.15-228) - ('Aqueous Species Table'!L592*10000/2601) ) ) ) )</f>
        <v/>
      </c>
      <c r="L592" s="1" t="str">
        <f>IF(ISBLANK('Aqueous Species Options'!B592), "", IF('Aqueous Species Options'!L592 = 0, 'Aqueous Species Options'!Q592, IF('Aqueous Species Table'!J592="", "", IF('Aqueous Species Options'!B592="H+", 0, (-4.134*'Aqueous Species Table'!J592*100 - 27790)*0.0001) ) ) )</f>
        <v/>
      </c>
      <c r="M592" s="1" t="str">
        <f>IF(ISBLANK('Aqueous Species Options'!B592), "", IF('Aqueous Species Options'!L592=0, 'Aqueous Species Options'!R592, IF('Aqueous Species Table'!N592="", "", IF('Aqueous Species Options'!B592="H+", 0, 'Aqueous Species Options'!H592 - 'Aqueous Species Table'!O592*100000*(-0.000000309)*298.15 - 'Aqueous Species Table'!N592*10000/(298.15-228)^2 ) ) ) )</f>
        <v/>
      </c>
      <c r="N592" s="1" t="str">
        <f>IF(ISBLANK('Aqueous Species Options'!B592), "", IF('Aqueous Species Options'!L592=0, 'Aqueous Species Options'!S592, IF(OR(ISBLANK('Aqueous Species Options'!H592), 'Aqueous Species Table'!O592=""), "", IF('Aqueous Species Options'!B592="H+", 0, 0.2037*'Aqueous Species Options'!H592 - 3.0346) ) ) )</f>
        <v/>
      </c>
      <c r="O592" s="1" t="str">
        <f>IF(ISBLANK('Aqueous Species Options'!B592), "", IF('Aqueous Species Options'!K592=0, 'Aqueous Species Options'!I592, IF(OR('Aqueous Species Options'!J592&gt;4,'Aqueous Species Options'!J592&lt;-4), "", IF('Aqueous Species Options'!B592="H+", 0, IF('Aqueous Species Options'!J592=0, -0.038, IF(ISBLANK('Aqueous Species Options'!F592), "", -1514.4*'Aqueous Species Options'!F592*0.00001 + SUM(({4,3,2,1,-1,-2,-3,-4}='Aqueous Species Options'!J592)*{2.1764,1.5793,1.0579,0.5517,1.6291,3.2127,4.8115,6.486}) ) ) ) ) ) )</f>
        <v/>
      </c>
      <c r="P592" s="1" t="str">
        <f>IF(ISBLANK('Aqueous Species Options'!J592), "", 'Aqueous Species Options'!J592)</f>
        <v/>
      </c>
      <c r="Q592" s="184" t="str">
        <f>IF(ISBLANK('Aqueous Species Options'!T592), "", 'Aqueous Species Options'!T592)</f>
        <v/>
      </c>
    </row>
    <row r="593" spans="2:17" ht="16" x14ac:dyDescent="0.2">
      <c r="B593" t="str">
        <f>IF(ISBLANK('Aqueous Species Options'!B593), "", 'Aqueous Species Options'!B593)</f>
        <v/>
      </c>
      <c r="C593" s="1" t="str">
        <f>IF(ISBLANK('Aqueous Species Options'!C593), "", 'Aqueous Species Options'!C593)</f>
        <v/>
      </c>
      <c r="D593" s="1" t="str">
        <f>IF(ISBLANK('Aqueous Species Options'!D593), "", 'Aqueous Species Options'!D593)</f>
        <v/>
      </c>
      <c r="E593" s="1" t="str">
        <f>IF(ISBLANK('Aqueous Species Options'!E593), "", 'Aqueous Species Options'!E593)</f>
        <v/>
      </c>
      <c r="F593" s="139" t="str">
        <f>IF(ISBLANK('Aqueous Species Options'!F593), "", 'Aqueous Species Options'!F593)</f>
        <v/>
      </c>
      <c r="G593" s="29" t="str">
        <f>IF(ISBLANK('Aqueous Species Options'!B593), "", IF('Aqueous Species Options'!L593 = 1, IF(ISBLANK('Aqueous Species Options'!G593), "", 'Aqueous Species Options'!G593), ('Aqueous Species Table'!I593/10 + ('Aqueous Species Table'!J593*100)/(Calculations!$C$12+Calculations!$C$9) + ('Aqueous Species Table'!K593 + ('Aqueous Species Table'!L593*10000)/(Calculations!$C$12+Calculations!$C$9))*(1/(Calculations!$C$8-Calculations!$C$13)) - 'Aqueous Species Table'!O593*100000*0.0000005903)*41.8393))</f>
        <v/>
      </c>
      <c r="H593" s="29" t="str">
        <f>IF(ISBLANK('Aqueous Species Options'!B593), "", IF('Aqueous Species Options'!L593 = 1, IF(ISBLANK('Aqueous Species Options'!H593), "", 'Aqueous Species Options'!H593), 'Aqueous Species Table'!M593 + 'Aqueous Species Table'!N593*10000*(1/(Calculations!$C$8-Calculations!$C$13))^2 + 'Aqueous Species Table'!O593*100000*Calculations!$C$8*Calculations!$C$7))</f>
        <v/>
      </c>
      <c r="I593" s="1" t="str">
        <f>IF(ISBLANK('Aqueous Species Options'!B593), "", IF('Aqueous Species Options'!L593=0, 'Aqueous Species Options'!N593, IF(OR(ISBLANK('Aqueous Species Options'!G593),'Aqueous Species Table'!O593="", 'Aqueous Species Table'!P593=""), "", IF('Aqueous Species Options'!B593="H+", 0, (CHOOSE('Aqueous Species Options'!M593+1,'Aqueous Species Options'!$V$4*ABS('Aqueous Species Table'!P593)+'Aqueous Species Options'!$W$4,'Aqueous Species Options'!$Z$4)*('Aqueous Species Options'!G593 + 'Aqueous Species Table'!O593*100000*0.0000005903*41.8393) + CHOOSE('Aqueous Species Options'!M593+1,'Aqueous Species Options'!$X$4*ABS('Aqueous Species Table'!P593)+'Aqueous Species Options'!$Y$4,'Aqueous Species Options'!$AA$4))*10 ) ) ) )</f>
        <v/>
      </c>
      <c r="J593" s="1" t="str">
        <f>IF(ISBLANK('Aqueous Species Options'!B593), "", IF('Aqueous Species Options'!L593 = 0, 'Aqueous Species Options'!O593, IF('Aqueous Species Table'!I593="", "", IF('Aqueous Species Options'!B593="H+", 0, ((1.11*('Aqueous Species Options'!G593 + 'Aqueous Species Table'!O593*100000*0.0000005903*41.8393)+1.8)/41.8393 - 'Aqueous Species Table'!I593/10)*26.01 ) ) ) )</f>
        <v/>
      </c>
      <c r="K593" s="1" t="str">
        <f>IF(ISBLANK('Aqueous Species Options'!B593), "", IF('Aqueous Species Options'!L593 = 0, 'Aqueous Species Options'!P593, IF('Aqueous Species Table'!I593="", "", IF('Aqueous Species Options'!B593="H+", 0, ('Aqueous Species Options'!G593/41.8393 + 'Aqueous Species Table'!O593*100000*0.0000005903 - 'Aqueous Species Table'!I593/10 - 'Aqueous Species Table'!J593*100/2601)*(298.15-228) - ('Aqueous Species Table'!L593*10000/2601) ) ) ) )</f>
        <v/>
      </c>
      <c r="L593" s="1" t="str">
        <f>IF(ISBLANK('Aqueous Species Options'!B593), "", IF('Aqueous Species Options'!L593 = 0, 'Aqueous Species Options'!Q593, IF('Aqueous Species Table'!J593="", "", IF('Aqueous Species Options'!B593="H+", 0, (-4.134*'Aqueous Species Table'!J593*100 - 27790)*0.0001) ) ) )</f>
        <v/>
      </c>
      <c r="M593" s="1" t="str">
        <f>IF(ISBLANK('Aqueous Species Options'!B593), "", IF('Aqueous Species Options'!L593=0, 'Aqueous Species Options'!R593, IF('Aqueous Species Table'!N593="", "", IF('Aqueous Species Options'!B593="H+", 0, 'Aqueous Species Options'!H593 - 'Aqueous Species Table'!O593*100000*(-0.000000309)*298.15 - 'Aqueous Species Table'!N593*10000/(298.15-228)^2 ) ) ) )</f>
        <v/>
      </c>
      <c r="N593" s="1" t="str">
        <f>IF(ISBLANK('Aqueous Species Options'!B593), "", IF('Aqueous Species Options'!L593=0, 'Aqueous Species Options'!S593, IF(OR(ISBLANK('Aqueous Species Options'!H593), 'Aqueous Species Table'!O593=""), "", IF('Aqueous Species Options'!B593="H+", 0, 0.2037*'Aqueous Species Options'!H593 - 3.0346) ) ) )</f>
        <v/>
      </c>
      <c r="O593" s="1" t="str">
        <f>IF(ISBLANK('Aqueous Species Options'!B593), "", IF('Aqueous Species Options'!K593=0, 'Aqueous Species Options'!I593, IF(OR('Aqueous Species Options'!J593&gt;4,'Aqueous Species Options'!J593&lt;-4), "", IF('Aqueous Species Options'!B593="H+", 0, IF('Aqueous Species Options'!J593=0, -0.038, IF(ISBLANK('Aqueous Species Options'!F593), "", -1514.4*'Aqueous Species Options'!F593*0.00001 + SUM(({4,3,2,1,-1,-2,-3,-4}='Aqueous Species Options'!J593)*{2.1764,1.5793,1.0579,0.5517,1.6291,3.2127,4.8115,6.486}) ) ) ) ) ) )</f>
        <v/>
      </c>
      <c r="P593" s="1" t="str">
        <f>IF(ISBLANK('Aqueous Species Options'!J593), "", 'Aqueous Species Options'!J593)</f>
        <v/>
      </c>
      <c r="Q593" s="184" t="str">
        <f>IF(ISBLANK('Aqueous Species Options'!T593), "", 'Aqueous Species Options'!T593)</f>
        <v/>
      </c>
    </row>
    <row r="594" spans="2:17" ht="16" x14ac:dyDescent="0.2">
      <c r="B594" t="str">
        <f>IF(ISBLANK('Aqueous Species Options'!B594), "", 'Aqueous Species Options'!B594)</f>
        <v/>
      </c>
      <c r="C594" s="1" t="str">
        <f>IF(ISBLANK('Aqueous Species Options'!C594), "", 'Aqueous Species Options'!C594)</f>
        <v/>
      </c>
      <c r="D594" s="1" t="str">
        <f>IF(ISBLANK('Aqueous Species Options'!D594), "", 'Aqueous Species Options'!D594)</f>
        <v/>
      </c>
      <c r="E594" s="1" t="str">
        <f>IF(ISBLANK('Aqueous Species Options'!E594), "", 'Aqueous Species Options'!E594)</f>
        <v/>
      </c>
      <c r="F594" s="139" t="str">
        <f>IF(ISBLANK('Aqueous Species Options'!F594), "", 'Aqueous Species Options'!F594)</f>
        <v/>
      </c>
      <c r="G594" s="29" t="str">
        <f>IF(ISBLANK('Aqueous Species Options'!B594), "", IF('Aqueous Species Options'!L594 = 1, IF(ISBLANK('Aqueous Species Options'!G594), "", 'Aqueous Species Options'!G594), ('Aqueous Species Table'!I594/10 + ('Aqueous Species Table'!J594*100)/(Calculations!$C$12+Calculations!$C$9) + ('Aqueous Species Table'!K594 + ('Aqueous Species Table'!L594*10000)/(Calculations!$C$12+Calculations!$C$9))*(1/(Calculations!$C$8-Calculations!$C$13)) - 'Aqueous Species Table'!O594*100000*0.0000005903)*41.8393))</f>
        <v/>
      </c>
      <c r="H594" s="29" t="str">
        <f>IF(ISBLANK('Aqueous Species Options'!B594), "", IF('Aqueous Species Options'!L594 = 1, IF(ISBLANK('Aqueous Species Options'!H594), "", 'Aqueous Species Options'!H594), 'Aqueous Species Table'!M594 + 'Aqueous Species Table'!N594*10000*(1/(Calculations!$C$8-Calculations!$C$13))^2 + 'Aqueous Species Table'!O594*100000*Calculations!$C$8*Calculations!$C$7))</f>
        <v/>
      </c>
      <c r="I594" s="1" t="str">
        <f>IF(ISBLANK('Aqueous Species Options'!B594), "", IF('Aqueous Species Options'!L594=0, 'Aqueous Species Options'!N594, IF(OR(ISBLANK('Aqueous Species Options'!G594),'Aqueous Species Table'!O594="", 'Aqueous Species Table'!P594=""), "", IF('Aqueous Species Options'!B594="H+", 0, (CHOOSE('Aqueous Species Options'!M594+1,'Aqueous Species Options'!$V$4*ABS('Aqueous Species Table'!P594)+'Aqueous Species Options'!$W$4,'Aqueous Species Options'!$Z$4)*('Aqueous Species Options'!G594 + 'Aqueous Species Table'!O594*100000*0.0000005903*41.8393) + CHOOSE('Aqueous Species Options'!M594+1,'Aqueous Species Options'!$X$4*ABS('Aqueous Species Table'!P594)+'Aqueous Species Options'!$Y$4,'Aqueous Species Options'!$AA$4))*10 ) ) ) )</f>
        <v/>
      </c>
      <c r="J594" s="1" t="str">
        <f>IF(ISBLANK('Aqueous Species Options'!B594), "", IF('Aqueous Species Options'!L594 = 0, 'Aqueous Species Options'!O594, IF('Aqueous Species Table'!I594="", "", IF('Aqueous Species Options'!B594="H+", 0, ((1.11*('Aqueous Species Options'!G594 + 'Aqueous Species Table'!O594*100000*0.0000005903*41.8393)+1.8)/41.8393 - 'Aqueous Species Table'!I594/10)*26.01 ) ) ) )</f>
        <v/>
      </c>
      <c r="K594" s="1" t="str">
        <f>IF(ISBLANK('Aqueous Species Options'!B594), "", IF('Aqueous Species Options'!L594 = 0, 'Aqueous Species Options'!P594, IF('Aqueous Species Table'!I594="", "", IF('Aqueous Species Options'!B594="H+", 0, ('Aqueous Species Options'!G594/41.8393 + 'Aqueous Species Table'!O594*100000*0.0000005903 - 'Aqueous Species Table'!I594/10 - 'Aqueous Species Table'!J594*100/2601)*(298.15-228) - ('Aqueous Species Table'!L594*10000/2601) ) ) ) )</f>
        <v/>
      </c>
      <c r="L594" s="1" t="str">
        <f>IF(ISBLANK('Aqueous Species Options'!B594), "", IF('Aqueous Species Options'!L594 = 0, 'Aqueous Species Options'!Q594, IF('Aqueous Species Table'!J594="", "", IF('Aqueous Species Options'!B594="H+", 0, (-4.134*'Aqueous Species Table'!J594*100 - 27790)*0.0001) ) ) )</f>
        <v/>
      </c>
      <c r="M594" s="1" t="str">
        <f>IF(ISBLANK('Aqueous Species Options'!B594), "", IF('Aqueous Species Options'!L594=0, 'Aqueous Species Options'!R594, IF('Aqueous Species Table'!N594="", "", IF('Aqueous Species Options'!B594="H+", 0, 'Aqueous Species Options'!H594 - 'Aqueous Species Table'!O594*100000*(-0.000000309)*298.15 - 'Aqueous Species Table'!N594*10000/(298.15-228)^2 ) ) ) )</f>
        <v/>
      </c>
      <c r="N594" s="1" t="str">
        <f>IF(ISBLANK('Aqueous Species Options'!B594), "", IF('Aqueous Species Options'!L594=0, 'Aqueous Species Options'!S594, IF(OR(ISBLANK('Aqueous Species Options'!H594), 'Aqueous Species Table'!O594=""), "", IF('Aqueous Species Options'!B594="H+", 0, 0.2037*'Aqueous Species Options'!H594 - 3.0346) ) ) )</f>
        <v/>
      </c>
      <c r="O594" s="1" t="str">
        <f>IF(ISBLANK('Aqueous Species Options'!B594), "", IF('Aqueous Species Options'!K594=0, 'Aqueous Species Options'!I594, IF(OR('Aqueous Species Options'!J594&gt;4,'Aqueous Species Options'!J594&lt;-4), "", IF('Aqueous Species Options'!B594="H+", 0, IF('Aqueous Species Options'!J594=0, -0.038, IF(ISBLANK('Aqueous Species Options'!F594), "", -1514.4*'Aqueous Species Options'!F594*0.00001 + SUM(({4,3,2,1,-1,-2,-3,-4}='Aqueous Species Options'!J594)*{2.1764,1.5793,1.0579,0.5517,1.6291,3.2127,4.8115,6.486}) ) ) ) ) ) )</f>
        <v/>
      </c>
      <c r="P594" s="1" t="str">
        <f>IF(ISBLANK('Aqueous Species Options'!J594), "", 'Aqueous Species Options'!J594)</f>
        <v/>
      </c>
      <c r="Q594" s="184" t="str">
        <f>IF(ISBLANK('Aqueous Species Options'!T594), "", 'Aqueous Species Options'!T594)</f>
        <v/>
      </c>
    </row>
    <row r="595" spans="2:17" ht="16" x14ac:dyDescent="0.2">
      <c r="B595" t="str">
        <f>IF(ISBLANK('Aqueous Species Options'!B595), "", 'Aqueous Species Options'!B595)</f>
        <v/>
      </c>
      <c r="C595" s="1" t="str">
        <f>IF(ISBLANK('Aqueous Species Options'!C595), "", 'Aqueous Species Options'!C595)</f>
        <v/>
      </c>
      <c r="D595" s="1" t="str">
        <f>IF(ISBLANK('Aqueous Species Options'!D595), "", 'Aqueous Species Options'!D595)</f>
        <v/>
      </c>
      <c r="E595" s="1" t="str">
        <f>IF(ISBLANK('Aqueous Species Options'!E595), "", 'Aqueous Species Options'!E595)</f>
        <v/>
      </c>
      <c r="F595" s="139" t="str">
        <f>IF(ISBLANK('Aqueous Species Options'!F595), "", 'Aqueous Species Options'!F595)</f>
        <v/>
      </c>
      <c r="G595" s="29" t="str">
        <f>IF(ISBLANK('Aqueous Species Options'!B595), "", IF('Aqueous Species Options'!L595 = 1, IF(ISBLANK('Aqueous Species Options'!G595), "", 'Aqueous Species Options'!G595), ('Aqueous Species Table'!I595/10 + ('Aqueous Species Table'!J595*100)/(Calculations!$C$12+Calculations!$C$9) + ('Aqueous Species Table'!K595 + ('Aqueous Species Table'!L595*10000)/(Calculations!$C$12+Calculations!$C$9))*(1/(Calculations!$C$8-Calculations!$C$13)) - 'Aqueous Species Table'!O595*100000*0.0000005903)*41.8393))</f>
        <v/>
      </c>
      <c r="H595" s="29" t="str">
        <f>IF(ISBLANK('Aqueous Species Options'!B595), "", IF('Aqueous Species Options'!L595 = 1, IF(ISBLANK('Aqueous Species Options'!H595), "", 'Aqueous Species Options'!H595), 'Aqueous Species Table'!M595 + 'Aqueous Species Table'!N595*10000*(1/(Calculations!$C$8-Calculations!$C$13))^2 + 'Aqueous Species Table'!O595*100000*Calculations!$C$8*Calculations!$C$7))</f>
        <v/>
      </c>
      <c r="I595" s="1" t="str">
        <f>IF(ISBLANK('Aqueous Species Options'!B595), "", IF('Aqueous Species Options'!L595=0, 'Aqueous Species Options'!N595, IF(OR(ISBLANK('Aqueous Species Options'!G595),'Aqueous Species Table'!O595="", 'Aqueous Species Table'!P595=""), "", IF('Aqueous Species Options'!B595="H+", 0, (CHOOSE('Aqueous Species Options'!M595+1,'Aqueous Species Options'!$V$4*ABS('Aqueous Species Table'!P595)+'Aqueous Species Options'!$W$4,'Aqueous Species Options'!$Z$4)*('Aqueous Species Options'!G595 + 'Aqueous Species Table'!O595*100000*0.0000005903*41.8393) + CHOOSE('Aqueous Species Options'!M595+1,'Aqueous Species Options'!$X$4*ABS('Aqueous Species Table'!P595)+'Aqueous Species Options'!$Y$4,'Aqueous Species Options'!$AA$4))*10 ) ) ) )</f>
        <v/>
      </c>
      <c r="J595" s="1" t="str">
        <f>IF(ISBLANK('Aqueous Species Options'!B595), "", IF('Aqueous Species Options'!L595 = 0, 'Aqueous Species Options'!O595, IF('Aqueous Species Table'!I595="", "", IF('Aqueous Species Options'!B595="H+", 0, ((1.11*('Aqueous Species Options'!G595 + 'Aqueous Species Table'!O595*100000*0.0000005903*41.8393)+1.8)/41.8393 - 'Aqueous Species Table'!I595/10)*26.01 ) ) ) )</f>
        <v/>
      </c>
      <c r="K595" s="1" t="str">
        <f>IF(ISBLANK('Aqueous Species Options'!B595), "", IF('Aqueous Species Options'!L595 = 0, 'Aqueous Species Options'!P595, IF('Aqueous Species Table'!I595="", "", IF('Aqueous Species Options'!B595="H+", 0, ('Aqueous Species Options'!G595/41.8393 + 'Aqueous Species Table'!O595*100000*0.0000005903 - 'Aqueous Species Table'!I595/10 - 'Aqueous Species Table'!J595*100/2601)*(298.15-228) - ('Aqueous Species Table'!L595*10000/2601) ) ) ) )</f>
        <v/>
      </c>
      <c r="L595" s="1" t="str">
        <f>IF(ISBLANK('Aqueous Species Options'!B595), "", IF('Aqueous Species Options'!L595 = 0, 'Aqueous Species Options'!Q595, IF('Aqueous Species Table'!J595="", "", IF('Aqueous Species Options'!B595="H+", 0, (-4.134*'Aqueous Species Table'!J595*100 - 27790)*0.0001) ) ) )</f>
        <v/>
      </c>
      <c r="M595" s="1" t="str">
        <f>IF(ISBLANK('Aqueous Species Options'!B595), "", IF('Aqueous Species Options'!L595=0, 'Aqueous Species Options'!R595, IF('Aqueous Species Table'!N595="", "", IF('Aqueous Species Options'!B595="H+", 0, 'Aqueous Species Options'!H595 - 'Aqueous Species Table'!O595*100000*(-0.000000309)*298.15 - 'Aqueous Species Table'!N595*10000/(298.15-228)^2 ) ) ) )</f>
        <v/>
      </c>
      <c r="N595" s="1" t="str">
        <f>IF(ISBLANK('Aqueous Species Options'!B595), "", IF('Aqueous Species Options'!L595=0, 'Aqueous Species Options'!S595, IF(OR(ISBLANK('Aqueous Species Options'!H595), 'Aqueous Species Table'!O595=""), "", IF('Aqueous Species Options'!B595="H+", 0, 0.2037*'Aqueous Species Options'!H595 - 3.0346) ) ) )</f>
        <v/>
      </c>
      <c r="O595" s="1" t="str">
        <f>IF(ISBLANK('Aqueous Species Options'!B595), "", IF('Aqueous Species Options'!K595=0, 'Aqueous Species Options'!I595, IF(OR('Aqueous Species Options'!J595&gt;4,'Aqueous Species Options'!J595&lt;-4), "", IF('Aqueous Species Options'!B595="H+", 0, IF('Aqueous Species Options'!J595=0, -0.038, IF(ISBLANK('Aqueous Species Options'!F595), "", -1514.4*'Aqueous Species Options'!F595*0.00001 + SUM(({4,3,2,1,-1,-2,-3,-4}='Aqueous Species Options'!J595)*{2.1764,1.5793,1.0579,0.5517,1.6291,3.2127,4.8115,6.486}) ) ) ) ) ) )</f>
        <v/>
      </c>
      <c r="P595" s="1" t="str">
        <f>IF(ISBLANK('Aqueous Species Options'!J595), "", 'Aqueous Species Options'!J595)</f>
        <v/>
      </c>
      <c r="Q595" s="184" t="str">
        <f>IF(ISBLANK('Aqueous Species Options'!T595), "", 'Aqueous Species Options'!T595)</f>
        <v/>
      </c>
    </row>
    <row r="596" spans="2:17" ht="16" x14ac:dyDescent="0.2">
      <c r="B596" t="str">
        <f>IF(ISBLANK('Aqueous Species Options'!B596), "", 'Aqueous Species Options'!B596)</f>
        <v/>
      </c>
      <c r="C596" s="1" t="str">
        <f>IF(ISBLANK('Aqueous Species Options'!C596), "", 'Aqueous Species Options'!C596)</f>
        <v/>
      </c>
      <c r="D596" s="1" t="str">
        <f>IF(ISBLANK('Aqueous Species Options'!D596), "", 'Aqueous Species Options'!D596)</f>
        <v/>
      </c>
      <c r="E596" s="1" t="str">
        <f>IF(ISBLANK('Aqueous Species Options'!E596), "", 'Aqueous Species Options'!E596)</f>
        <v/>
      </c>
      <c r="F596" s="139" t="str">
        <f>IF(ISBLANK('Aqueous Species Options'!F596), "", 'Aqueous Species Options'!F596)</f>
        <v/>
      </c>
      <c r="G596" s="29" t="str">
        <f>IF(ISBLANK('Aqueous Species Options'!B596), "", IF('Aqueous Species Options'!L596 = 1, IF(ISBLANK('Aqueous Species Options'!G596), "", 'Aqueous Species Options'!G596), ('Aqueous Species Table'!I596/10 + ('Aqueous Species Table'!J596*100)/(Calculations!$C$12+Calculations!$C$9) + ('Aqueous Species Table'!K596 + ('Aqueous Species Table'!L596*10000)/(Calculations!$C$12+Calculations!$C$9))*(1/(Calculations!$C$8-Calculations!$C$13)) - 'Aqueous Species Table'!O596*100000*0.0000005903)*41.8393))</f>
        <v/>
      </c>
      <c r="H596" s="29" t="str">
        <f>IF(ISBLANK('Aqueous Species Options'!B596), "", IF('Aqueous Species Options'!L596 = 1, IF(ISBLANK('Aqueous Species Options'!H596), "", 'Aqueous Species Options'!H596), 'Aqueous Species Table'!M596 + 'Aqueous Species Table'!N596*10000*(1/(Calculations!$C$8-Calculations!$C$13))^2 + 'Aqueous Species Table'!O596*100000*Calculations!$C$8*Calculations!$C$7))</f>
        <v/>
      </c>
      <c r="I596" s="1" t="str">
        <f>IF(ISBLANK('Aqueous Species Options'!B596), "", IF('Aqueous Species Options'!L596=0, 'Aqueous Species Options'!N596, IF(OR(ISBLANK('Aqueous Species Options'!G596),'Aqueous Species Table'!O596="", 'Aqueous Species Table'!P596=""), "", IF('Aqueous Species Options'!B596="H+", 0, (CHOOSE('Aqueous Species Options'!M596+1,'Aqueous Species Options'!$V$4*ABS('Aqueous Species Table'!P596)+'Aqueous Species Options'!$W$4,'Aqueous Species Options'!$Z$4)*('Aqueous Species Options'!G596 + 'Aqueous Species Table'!O596*100000*0.0000005903*41.8393) + CHOOSE('Aqueous Species Options'!M596+1,'Aqueous Species Options'!$X$4*ABS('Aqueous Species Table'!P596)+'Aqueous Species Options'!$Y$4,'Aqueous Species Options'!$AA$4))*10 ) ) ) )</f>
        <v/>
      </c>
      <c r="J596" s="1" t="str">
        <f>IF(ISBLANK('Aqueous Species Options'!B596), "", IF('Aqueous Species Options'!L596 = 0, 'Aqueous Species Options'!O596, IF('Aqueous Species Table'!I596="", "", IF('Aqueous Species Options'!B596="H+", 0, ((1.11*('Aqueous Species Options'!G596 + 'Aqueous Species Table'!O596*100000*0.0000005903*41.8393)+1.8)/41.8393 - 'Aqueous Species Table'!I596/10)*26.01 ) ) ) )</f>
        <v/>
      </c>
      <c r="K596" s="1" t="str">
        <f>IF(ISBLANK('Aqueous Species Options'!B596), "", IF('Aqueous Species Options'!L596 = 0, 'Aqueous Species Options'!P596, IF('Aqueous Species Table'!I596="", "", IF('Aqueous Species Options'!B596="H+", 0, ('Aqueous Species Options'!G596/41.8393 + 'Aqueous Species Table'!O596*100000*0.0000005903 - 'Aqueous Species Table'!I596/10 - 'Aqueous Species Table'!J596*100/2601)*(298.15-228) - ('Aqueous Species Table'!L596*10000/2601) ) ) ) )</f>
        <v/>
      </c>
      <c r="L596" s="1" t="str">
        <f>IF(ISBLANK('Aqueous Species Options'!B596), "", IF('Aqueous Species Options'!L596 = 0, 'Aqueous Species Options'!Q596, IF('Aqueous Species Table'!J596="", "", IF('Aqueous Species Options'!B596="H+", 0, (-4.134*'Aqueous Species Table'!J596*100 - 27790)*0.0001) ) ) )</f>
        <v/>
      </c>
      <c r="M596" s="1" t="str">
        <f>IF(ISBLANK('Aqueous Species Options'!B596), "", IF('Aqueous Species Options'!L596=0, 'Aqueous Species Options'!R596, IF('Aqueous Species Table'!N596="", "", IF('Aqueous Species Options'!B596="H+", 0, 'Aqueous Species Options'!H596 - 'Aqueous Species Table'!O596*100000*(-0.000000309)*298.15 - 'Aqueous Species Table'!N596*10000/(298.15-228)^2 ) ) ) )</f>
        <v/>
      </c>
      <c r="N596" s="1" t="str">
        <f>IF(ISBLANK('Aqueous Species Options'!B596), "", IF('Aqueous Species Options'!L596=0, 'Aqueous Species Options'!S596, IF(OR(ISBLANK('Aqueous Species Options'!H596), 'Aqueous Species Table'!O596=""), "", IF('Aqueous Species Options'!B596="H+", 0, 0.2037*'Aqueous Species Options'!H596 - 3.0346) ) ) )</f>
        <v/>
      </c>
      <c r="O596" s="1" t="str">
        <f>IF(ISBLANK('Aqueous Species Options'!B596), "", IF('Aqueous Species Options'!K596=0, 'Aqueous Species Options'!I596, IF(OR('Aqueous Species Options'!J596&gt;4,'Aqueous Species Options'!J596&lt;-4), "", IF('Aqueous Species Options'!B596="H+", 0, IF('Aqueous Species Options'!J596=0, -0.038, IF(ISBLANK('Aqueous Species Options'!F596), "", -1514.4*'Aqueous Species Options'!F596*0.00001 + SUM(({4,3,2,1,-1,-2,-3,-4}='Aqueous Species Options'!J596)*{2.1764,1.5793,1.0579,0.5517,1.6291,3.2127,4.8115,6.486}) ) ) ) ) ) )</f>
        <v/>
      </c>
      <c r="P596" s="1" t="str">
        <f>IF(ISBLANK('Aqueous Species Options'!J596), "", 'Aqueous Species Options'!J596)</f>
        <v/>
      </c>
      <c r="Q596" s="184" t="str">
        <f>IF(ISBLANK('Aqueous Species Options'!T596), "", 'Aqueous Species Options'!T596)</f>
        <v/>
      </c>
    </row>
    <row r="597" spans="2:17" ht="16" x14ac:dyDescent="0.2">
      <c r="B597" t="str">
        <f>IF(ISBLANK('Aqueous Species Options'!B597), "", 'Aqueous Species Options'!B597)</f>
        <v/>
      </c>
      <c r="C597" s="1" t="str">
        <f>IF(ISBLANK('Aqueous Species Options'!C597), "", 'Aqueous Species Options'!C597)</f>
        <v/>
      </c>
      <c r="D597" s="1" t="str">
        <f>IF(ISBLANK('Aqueous Species Options'!D597), "", 'Aqueous Species Options'!D597)</f>
        <v/>
      </c>
      <c r="E597" s="1" t="str">
        <f>IF(ISBLANK('Aqueous Species Options'!E597), "", 'Aqueous Species Options'!E597)</f>
        <v/>
      </c>
      <c r="F597" s="139" t="str">
        <f>IF(ISBLANK('Aqueous Species Options'!F597), "", 'Aqueous Species Options'!F597)</f>
        <v/>
      </c>
      <c r="G597" s="29" t="str">
        <f>IF(ISBLANK('Aqueous Species Options'!B597), "", IF('Aqueous Species Options'!L597 = 1, IF(ISBLANK('Aqueous Species Options'!G597), "", 'Aqueous Species Options'!G597), ('Aqueous Species Table'!I597/10 + ('Aqueous Species Table'!J597*100)/(Calculations!$C$12+Calculations!$C$9) + ('Aqueous Species Table'!K597 + ('Aqueous Species Table'!L597*10000)/(Calculations!$C$12+Calculations!$C$9))*(1/(Calculations!$C$8-Calculations!$C$13)) - 'Aqueous Species Table'!O597*100000*0.0000005903)*41.8393))</f>
        <v/>
      </c>
      <c r="H597" s="29" t="str">
        <f>IF(ISBLANK('Aqueous Species Options'!B597), "", IF('Aqueous Species Options'!L597 = 1, IF(ISBLANK('Aqueous Species Options'!H597), "", 'Aqueous Species Options'!H597), 'Aqueous Species Table'!M597 + 'Aqueous Species Table'!N597*10000*(1/(Calculations!$C$8-Calculations!$C$13))^2 + 'Aqueous Species Table'!O597*100000*Calculations!$C$8*Calculations!$C$7))</f>
        <v/>
      </c>
      <c r="I597" s="1" t="str">
        <f>IF(ISBLANK('Aqueous Species Options'!B597), "", IF('Aqueous Species Options'!L597=0, 'Aqueous Species Options'!N597, IF(OR(ISBLANK('Aqueous Species Options'!G597),'Aqueous Species Table'!O597="", 'Aqueous Species Table'!P597=""), "", IF('Aqueous Species Options'!B597="H+", 0, (CHOOSE('Aqueous Species Options'!M597+1,'Aqueous Species Options'!$V$4*ABS('Aqueous Species Table'!P597)+'Aqueous Species Options'!$W$4,'Aqueous Species Options'!$Z$4)*('Aqueous Species Options'!G597 + 'Aqueous Species Table'!O597*100000*0.0000005903*41.8393) + CHOOSE('Aqueous Species Options'!M597+1,'Aqueous Species Options'!$X$4*ABS('Aqueous Species Table'!P597)+'Aqueous Species Options'!$Y$4,'Aqueous Species Options'!$AA$4))*10 ) ) ) )</f>
        <v/>
      </c>
      <c r="J597" s="1" t="str">
        <f>IF(ISBLANK('Aqueous Species Options'!B597), "", IF('Aqueous Species Options'!L597 = 0, 'Aqueous Species Options'!O597, IF('Aqueous Species Table'!I597="", "", IF('Aqueous Species Options'!B597="H+", 0, ((1.11*('Aqueous Species Options'!G597 + 'Aqueous Species Table'!O597*100000*0.0000005903*41.8393)+1.8)/41.8393 - 'Aqueous Species Table'!I597/10)*26.01 ) ) ) )</f>
        <v/>
      </c>
      <c r="K597" s="1" t="str">
        <f>IF(ISBLANK('Aqueous Species Options'!B597), "", IF('Aqueous Species Options'!L597 = 0, 'Aqueous Species Options'!P597, IF('Aqueous Species Table'!I597="", "", IF('Aqueous Species Options'!B597="H+", 0, ('Aqueous Species Options'!G597/41.8393 + 'Aqueous Species Table'!O597*100000*0.0000005903 - 'Aqueous Species Table'!I597/10 - 'Aqueous Species Table'!J597*100/2601)*(298.15-228) - ('Aqueous Species Table'!L597*10000/2601) ) ) ) )</f>
        <v/>
      </c>
      <c r="L597" s="1" t="str">
        <f>IF(ISBLANK('Aqueous Species Options'!B597), "", IF('Aqueous Species Options'!L597 = 0, 'Aqueous Species Options'!Q597, IF('Aqueous Species Table'!J597="", "", IF('Aqueous Species Options'!B597="H+", 0, (-4.134*'Aqueous Species Table'!J597*100 - 27790)*0.0001) ) ) )</f>
        <v/>
      </c>
      <c r="M597" s="1" t="str">
        <f>IF(ISBLANK('Aqueous Species Options'!B597), "", IF('Aqueous Species Options'!L597=0, 'Aqueous Species Options'!R597, IF('Aqueous Species Table'!N597="", "", IF('Aqueous Species Options'!B597="H+", 0, 'Aqueous Species Options'!H597 - 'Aqueous Species Table'!O597*100000*(-0.000000309)*298.15 - 'Aqueous Species Table'!N597*10000/(298.15-228)^2 ) ) ) )</f>
        <v/>
      </c>
      <c r="N597" s="1" t="str">
        <f>IF(ISBLANK('Aqueous Species Options'!B597), "", IF('Aqueous Species Options'!L597=0, 'Aqueous Species Options'!S597, IF(OR(ISBLANK('Aqueous Species Options'!H597), 'Aqueous Species Table'!O597=""), "", IF('Aqueous Species Options'!B597="H+", 0, 0.2037*'Aqueous Species Options'!H597 - 3.0346) ) ) )</f>
        <v/>
      </c>
      <c r="O597" s="1" t="str">
        <f>IF(ISBLANK('Aqueous Species Options'!B597), "", IF('Aqueous Species Options'!K597=0, 'Aqueous Species Options'!I597, IF(OR('Aqueous Species Options'!J597&gt;4,'Aqueous Species Options'!J597&lt;-4), "", IF('Aqueous Species Options'!B597="H+", 0, IF('Aqueous Species Options'!J597=0, -0.038, IF(ISBLANK('Aqueous Species Options'!F597), "", -1514.4*'Aqueous Species Options'!F597*0.00001 + SUM(({4,3,2,1,-1,-2,-3,-4}='Aqueous Species Options'!J597)*{2.1764,1.5793,1.0579,0.5517,1.6291,3.2127,4.8115,6.486}) ) ) ) ) ) )</f>
        <v/>
      </c>
      <c r="P597" s="1" t="str">
        <f>IF(ISBLANK('Aqueous Species Options'!J597), "", 'Aqueous Species Options'!J597)</f>
        <v/>
      </c>
      <c r="Q597" s="184" t="str">
        <f>IF(ISBLANK('Aqueous Species Options'!T597), "", 'Aqueous Species Options'!T597)</f>
        <v/>
      </c>
    </row>
    <row r="598" spans="2:17" ht="16" x14ac:dyDescent="0.2">
      <c r="B598" t="str">
        <f>IF(ISBLANK('Aqueous Species Options'!B598), "", 'Aqueous Species Options'!B598)</f>
        <v/>
      </c>
      <c r="C598" s="1" t="str">
        <f>IF(ISBLANK('Aqueous Species Options'!C598), "", 'Aqueous Species Options'!C598)</f>
        <v/>
      </c>
      <c r="D598" s="1" t="str">
        <f>IF(ISBLANK('Aqueous Species Options'!D598), "", 'Aqueous Species Options'!D598)</f>
        <v/>
      </c>
      <c r="E598" s="1" t="str">
        <f>IF(ISBLANK('Aqueous Species Options'!E598), "", 'Aqueous Species Options'!E598)</f>
        <v/>
      </c>
      <c r="F598" s="139" t="str">
        <f>IF(ISBLANK('Aqueous Species Options'!F598), "", 'Aqueous Species Options'!F598)</f>
        <v/>
      </c>
      <c r="G598" s="29" t="str">
        <f>IF(ISBLANK('Aqueous Species Options'!B598), "", IF('Aqueous Species Options'!L598 = 1, IF(ISBLANK('Aqueous Species Options'!G598), "", 'Aqueous Species Options'!G598), ('Aqueous Species Table'!I598/10 + ('Aqueous Species Table'!J598*100)/(Calculations!$C$12+Calculations!$C$9) + ('Aqueous Species Table'!K598 + ('Aqueous Species Table'!L598*10000)/(Calculations!$C$12+Calculations!$C$9))*(1/(Calculations!$C$8-Calculations!$C$13)) - 'Aqueous Species Table'!O598*100000*0.0000005903)*41.8393))</f>
        <v/>
      </c>
      <c r="H598" s="29" t="str">
        <f>IF(ISBLANK('Aqueous Species Options'!B598), "", IF('Aqueous Species Options'!L598 = 1, IF(ISBLANK('Aqueous Species Options'!H598), "", 'Aqueous Species Options'!H598), 'Aqueous Species Table'!M598 + 'Aqueous Species Table'!N598*10000*(1/(Calculations!$C$8-Calculations!$C$13))^2 + 'Aqueous Species Table'!O598*100000*Calculations!$C$8*Calculations!$C$7))</f>
        <v/>
      </c>
      <c r="I598" s="1" t="str">
        <f>IF(ISBLANK('Aqueous Species Options'!B598), "", IF('Aqueous Species Options'!L598=0, 'Aqueous Species Options'!N598, IF(OR(ISBLANK('Aqueous Species Options'!G598),'Aqueous Species Table'!O598="", 'Aqueous Species Table'!P598=""), "", IF('Aqueous Species Options'!B598="H+", 0, (CHOOSE('Aqueous Species Options'!M598+1,'Aqueous Species Options'!$V$4*ABS('Aqueous Species Table'!P598)+'Aqueous Species Options'!$W$4,'Aqueous Species Options'!$Z$4)*('Aqueous Species Options'!G598 + 'Aqueous Species Table'!O598*100000*0.0000005903*41.8393) + CHOOSE('Aqueous Species Options'!M598+1,'Aqueous Species Options'!$X$4*ABS('Aqueous Species Table'!P598)+'Aqueous Species Options'!$Y$4,'Aqueous Species Options'!$AA$4))*10 ) ) ) )</f>
        <v/>
      </c>
      <c r="J598" s="1" t="str">
        <f>IF(ISBLANK('Aqueous Species Options'!B598), "", IF('Aqueous Species Options'!L598 = 0, 'Aqueous Species Options'!O598, IF('Aqueous Species Table'!I598="", "", IF('Aqueous Species Options'!B598="H+", 0, ((1.11*('Aqueous Species Options'!G598 + 'Aqueous Species Table'!O598*100000*0.0000005903*41.8393)+1.8)/41.8393 - 'Aqueous Species Table'!I598/10)*26.01 ) ) ) )</f>
        <v/>
      </c>
      <c r="K598" s="1" t="str">
        <f>IF(ISBLANK('Aqueous Species Options'!B598), "", IF('Aqueous Species Options'!L598 = 0, 'Aqueous Species Options'!P598, IF('Aqueous Species Table'!I598="", "", IF('Aqueous Species Options'!B598="H+", 0, ('Aqueous Species Options'!G598/41.8393 + 'Aqueous Species Table'!O598*100000*0.0000005903 - 'Aqueous Species Table'!I598/10 - 'Aqueous Species Table'!J598*100/2601)*(298.15-228) - ('Aqueous Species Table'!L598*10000/2601) ) ) ) )</f>
        <v/>
      </c>
      <c r="L598" s="1" t="str">
        <f>IF(ISBLANK('Aqueous Species Options'!B598), "", IF('Aqueous Species Options'!L598 = 0, 'Aqueous Species Options'!Q598, IF('Aqueous Species Table'!J598="", "", IF('Aqueous Species Options'!B598="H+", 0, (-4.134*'Aqueous Species Table'!J598*100 - 27790)*0.0001) ) ) )</f>
        <v/>
      </c>
      <c r="M598" s="1" t="str">
        <f>IF(ISBLANK('Aqueous Species Options'!B598), "", IF('Aqueous Species Options'!L598=0, 'Aqueous Species Options'!R598, IF('Aqueous Species Table'!N598="", "", IF('Aqueous Species Options'!B598="H+", 0, 'Aqueous Species Options'!H598 - 'Aqueous Species Table'!O598*100000*(-0.000000309)*298.15 - 'Aqueous Species Table'!N598*10000/(298.15-228)^2 ) ) ) )</f>
        <v/>
      </c>
      <c r="N598" s="1" t="str">
        <f>IF(ISBLANK('Aqueous Species Options'!B598), "", IF('Aqueous Species Options'!L598=0, 'Aqueous Species Options'!S598, IF(OR(ISBLANK('Aqueous Species Options'!H598), 'Aqueous Species Table'!O598=""), "", IF('Aqueous Species Options'!B598="H+", 0, 0.2037*'Aqueous Species Options'!H598 - 3.0346) ) ) )</f>
        <v/>
      </c>
      <c r="O598" s="1" t="str">
        <f>IF(ISBLANK('Aqueous Species Options'!B598), "", IF('Aqueous Species Options'!K598=0, 'Aqueous Species Options'!I598, IF(OR('Aqueous Species Options'!J598&gt;4,'Aqueous Species Options'!J598&lt;-4), "", IF('Aqueous Species Options'!B598="H+", 0, IF('Aqueous Species Options'!J598=0, -0.038, IF(ISBLANK('Aqueous Species Options'!F598), "", -1514.4*'Aqueous Species Options'!F598*0.00001 + SUM(({4,3,2,1,-1,-2,-3,-4}='Aqueous Species Options'!J598)*{2.1764,1.5793,1.0579,0.5517,1.6291,3.2127,4.8115,6.486}) ) ) ) ) ) )</f>
        <v/>
      </c>
      <c r="P598" s="1" t="str">
        <f>IF(ISBLANK('Aqueous Species Options'!J598), "", 'Aqueous Species Options'!J598)</f>
        <v/>
      </c>
      <c r="Q598" s="184" t="str">
        <f>IF(ISBLANK('Aqueous Species Options'!T598), "", 'Aqueous Species Options'!T598)</f>
        <v/>
      </c>
    </row>
    <row r="599" spans="2:17" ht="16" x14ac:dyDescent="0.2">
      <c r="B599" t="str">
        <f>IF(ISBLANK('Aqueous Species Options'!B599), "", 'Aqueous Species Options'!B599)</f>
        <v/>
      </c>
      <c r="C599" s="1" t="str">
        <f>IF(ISBLANK('Aqueous Species Options'!C599), "", 'Aqueous Species Options'!C599)</f>
        <v/>
      </c>
      <c r="D599" s="1" t="str">
        <f>IF(ISBLANK('Aqueous Species Options'!D599), "", 'Aqueous Species Options'!D599)</f>
        <v/>
      </c>
      <c r="E599" s="1" t="str">
        <f>IF(ISBLANK('Aqueous Species Options'!E599), "", 'Aqueous Species Options'!E599)</f>
        <v/>
      </c>
      <c r="F599" s="139" t="str">
        <f>IF(ISBLANK('Aqueous Species Options'!F599), "", 'Aqueous Species Options'!F599)</f>
        <v/>
      </c>
      <c r="G599" s="29" t="str">
        <f>IF(ISBLANK('Aqueous Species Options'!B599), "", IF('Aqueous Species Options'!L599 = 1, IF(ISBLANK('Aqueous Species Options'!G599), "", 'Aqueous Species Options'!G599), ('Aqueous Species Table'!I599/10 + ('Aqueous Species Table'!J599*100)/(Calculations!$C$12+Calculations!$C$9) + ('Aqueous Species Table'!K599 + ('Aqueous Species Table'!L599*10000)/(Calculations!$C$12+Calculations!$C$9))*(1/(Calculations!$C$8-Calculations!$C$13)) - 'Aqueous Species Table'!O599*100000*0.0000005903)*41.8393))</f>
        <v/>
      </c>
      <c r="H599" s="29" t="str">
        <f>IF(ISBLANK('Aqueous Species Options'!B599), "", IF('Aqueous Species Options'!L599 = 1, IF(ISBLANK('Aqueous Species Options'!H599), "", 'Aqueous Species Options'!H599), 'Aqueous Species Table'!M599 + 'Aqueous Species Table'!N599*10000*(1/(Calculations!$C$8-Calculations!$C$13))^2 + 'Aqueous Species Table'!O599*100000*Calculations!$C$8*Calculations!$C$7))</f>
        <v/>
      </c>
      <c r="I599" s="1" t="str">
        <f>IF(ISBLANK('Aqueous Species Options'!B599), "", IF('Aqueous Species Options'!L599=0, 'Aqueous Species Options'!N599, IF(OR(ISBLANK('Aqueous Species Options'!G599),'Aqueous Species Table'!O599="", 'Aqueous Species Table'!P599=""), "", IF('Aqueous Species Options'!B599="H+", 0, (CHOOSE('Aqueous Species Options'!M599+1,'Aqueous Species Options'!$V$4*ABS('Aqueous Species Table'!P599)+'Aqueous Species Options'!$W$4,'Aqueous Species Options'!$Z$4)*('Aqueous Species Options'!G599 + 'Aqueous Species Table'!O599*100000*0.0000005903*41.8393) + CHOOSE('Aqueous Species Options'!M599+1,'Aqueous Species Options'!$X$4*ABS('Aqueous Species Table'!P599)+'Aqueous Species Options'!$Y$4,'Aqueous Species Options'!$AA$4))*10 ) ) ) )</f>
        <v/>
      </c>
      <c r="J599" s="1" t="str">
        <f>IF(ISBLANK('Aqueous Species Options'!B599), "", IF('Aqueous Species Options'!L599 = 0, 'Aqueous Species Options'!O599, IF('Aqueous Species Table'!I599="", "", IF('Aqueous Species Options'!B599="H+", 0, ((1.11*('Aqueous Species Options'!G599 + 'Aqueous Species Table'!O599*100000*0.0000005903*41.8393)+1.8)/41.8393 - 'Aqueous Species Table'!I599/10)*26.01 ) ) ) )</f>
        <v/>
      </c>
      <c r="K599" s="1" t="str">
        <f>IF(ISBLANK('Aqueous Species Options'!B599), "", IF('Aqueous Species Options'!L599 = 0, 'Aqueous Species Options'!P599, IF('Aqueous Species Table'!I599="", "", IF('Aqueous Species Options'!B599="H+", 0, ('Aqueous Species Options'!G599/41.8393 + 'Aqueous Species Table'!O599*100000*0.0000005903 - 'Aqueous Species Table'!I599/10 - 'Aqueous Species Table'!J599*100/2601)*(298.15-228) - ('Aqueous Species Table'!L599*10000/2601) ) ) ) )</f>
        <v/>
      </c>
      <c r="L599" s="1" t="str">
        <f>IF(ISBLANK('Aqueous Species Options'!B599), "", IF('Aqueous Species Options'!L599 = 0, 'Aqueous Species Options'!Q599, IF('Aqueous Species Table'!J599="", "", IF('Aqueous Species Options'!B599="H+", 0, (-4.134*'Aqueous Species Table'!J599*100 - 27790)*0.0001) ) ) )</f>
        <v/>
      </c>
      <c r="M599" s="1" t="str">
        <f>IF(ISBLANK('Aqueous Species Options'!B599), "", IF('Aqueous Species Options'!L599=0, 'Aqueous Species Options'!R599, IF('Aqueous Species Table'!N599="", "", IF('Aqueous Species Options'!B599="H+", 0, 'Aqueous Species Options'!H599 - 'Aqueous Species Table'!O599*100000*(-0.000000309)*298.15 - 'Aqueous Species Table'!N599*10000/(298.15-228)^2 ) ) ) )</f>
        <v/>
      </c>
      <c r="N599" s="1" t="str">
        <f>IF(ISBLANK('Aqueous Species Options'!B599), "", IF('Aqueous Species Options'!L599=0, 'Aqueous Species Options'!S599, IF(OR(ISBLANK('Aqueous Species Options'!H599), 'Aqueous Species Table'!O599=""), "", IF('Aqueous Species Options'!B599="H+", 0, 0.2037*'Aqueous Species Options'!H599 - 3.0346) ) ) )</f>
        <v/>
      </c>
      <c r="O599" s="1" t="str">
        <f>IF(ISBLANK('Aqueous Species Options'!B599), "", IF('Aqueous Species Options'!K599=0, 'Aqueous Species Options'!I599, IF(OR('Aqueous Species Options'!J599&gt;4,'Aqueous Species Options'!J599&lt;-4), "", IF('Aqueous Species Options'!B599="H+", 0, IF('Aqueous Species Options'!J599=0, -0.038, IF(ISBLANK('Aqueous Species Options'!F599), "", -1514.4*'Aqueous Species Options'!F599*0.00001 + SUM(({4,3,2,1,-1,-2,-3,-4}='Aqueous Species Options'!J599)*{2.1764,1.5793,1.0579,0.5517,1.6291,3.2127,4.8115,6.486}) ) ) ) ) ) )</f>
        <v/>
      </c>
      <c r="P599" s="1" t="str">
        <f>IF(ISBLANK('Aqueous Species Options'!J599), "", 'Aqueous Species Options'!J599)</f>
        <v/>
      </c>
      <c r="Q599" s="184" t="str">
        <f>IF(ISBLANK('Aqueous Species Options'!T599), "", 'Aqueous Species Options'!T599)</f>
        <v/>
      </c>
    </row>
    <row r="600" spans="2:17" ht="16" x14ac:dyDescent="0.2">
      <c r="B600" t="str">
        <f>IF(ISBLANK('Aqueous Species Options'!B600), "", 'Aqueous Species Options'!B600)</f>
        <v/>
      </c>
      <c r="C600" s="1" t="str">
        <f>IF(ISBLANK('Aqueous Species Options'!C600), "", 'Aqueous Species Options'!C600)</f>
        <v/>
      </c>
      <c r="D600" s="1" t="str">
        <f>IF(ISBLANK('Aqueous Species Options'!D600), "", 'Aqueous Species Options'!D600)</f>
        <v/>
      </c>
      <c r="E600" s="1" t="str">
        <f>IF(ISBLANK('Aqueous Species Options'!E600), "", 'Aqueous Species Options'!E600)</f>
        <v/>
      </c>
      <c r="F600" s="139" t="str">
        <f>IF(ISBLANK('Aqueous Species Options'!F600), "", 'Aqueous Species Options'!F600)</f>
        <v/>
      </c>
      <c r="G600" s="29" t="str">
        <f>IF(ISBLANK('Aqueous Species Options'!B600), "", IF('Aqueous Species Options'!L600 = 1, IF(ISBLANK('Aqueous Species Options'!G600), "", 'Aqueous Species Options'!G600), ('Aqueous Species Table'!I600/10 + ('Aqueous Species Table'!J600*100)/(Calculations!$C$12+Calculations!$C$9) + ('Aqueous Species Table'!K600 + ('Aqueous Species Table'!L600*10000)/(Calculations!$C$12+Calculations!$C$9))*(1/(Calculations!$C$8-Calculations!$C$13)) - 'Aqueous Species Table'!O600*100000*0.0000005903)*41.8393))</f>
        <v/>
      </c>
      <c r="H600" s="29" t="str">
        <f>IF(ISBLANK('Aqueous Species Options'!B600), "", IF('Aqueous Species Options'!L600 = 1, IF(ISBLANK('Aqueous Species Options'!H600), "", 'Aqueous Species Options'!H600), 'Aqueous Species Table'!M600 + 'Aqueous Species Table'!N600*10000*(1/(Calculations!$C$8-Calculations!$C$13))^2 + 'Aqueous Species Table'!O600*100000*Calculations!$C$8*Calculations!$C$7))</f>
        <v/>
      </c>
      <c r="I600" s="1" t="str">
        <f>IF(ISBLANK('Aqueous Species Options'!B600), "", IF('Aqueous Species Options'!L600=0, 'Aqueous Species Options'!N600, IF(OR(ISBLANK('Aqueous Species Options'!G600),'Aqueous Species Table'!O600="", 'Aqueous Species Table'!P600=""), "", IF('Aqueous Species Options'!B600="H+", 0, (CHOOSE('Aqueous Species Options'!M600+1,'Aqueous Species Options'!$V$4*ABS('Aqueous Species Table'!P600)+'Aqueous Species Options'!$W$4,'Aqueous Species Options'!$Z$4)*('Aqueous Species Options'!G600 + 'Aqueous Species Table'!O600*100000*0.0000005903*41.8393) + CHOOSE('Aqueous Species Options'!M600+1,'Aqueous Species Options'!$X$4*ABS('Aqueous Species Table'!P600)+'Aqueous Species Options'!$Y$4,'Aqueous Species Options'!$AA$4))*10 ) ) ) )</f>
        <v/>
      </c>
      <c r="J600" s="1" t="str">
        <f>IF(ISBLANK('Aqueous Species Options'!B600), "", IF('Aqueous Species Options'!L600 = 0, 'Aqueous Species Options'!O600, IF('Aqueous Species Table'!I600="", "", IF('Aqueous Species Options'!B600="H+", 0, ((1.11*('Aqueous Species Options'!G600 + 'Aqueous Species Table'!O600*100000*0.0000005903*41.8393)+1.8)/41.8393 - 'Aqueous Species Table'!I600/10)*26.01 ) ) ) )</f>
        <v/>
      </c>
      <c r="K600" s="1" t="str">
        <f>IF(ISBLANK('Aqueous Species Options'!B600), "", IF('Aqueous Species Options'!L600 = 0, 'Aqueous Species Options'!P600, IF('Aqueous Species Table'!I600="", "", IF('Aqueous Species Options'!B600="H+", 0, ('Aqueous Species Options'!G600/41.8393 + 'Aqueous Species Table'!O600*100000*0.0000005903 - 'Aqueous Species Table'!I600/10 - 'Aqueous Species Table'!J600*100/2601)*(298.15-228) - ('Aqueous Species Table'!L600*10000/2601) ) ) ) )</f>
        <v/>
      </c>
      <c r="L600" s="1" t="str">
        <f>IF(ISBLANK('Aqueous Species Options'!B600), "", IF('Aqueous Species Options'!L600 = 0, 'Aqueous Species Options'!Q600, IF('Aqueous Species Table'!J600="", "", IF('Aqueous Species Options'!B600="H+", 0, (-4.134*'Aqueous Species Table'!J600*100 - 27790)*0.0001) ) ) )</f>
        <v/>
      </c>
      <c r="M600" s="1" t="str">
        <f>IF(ISBLANK('Aqueous Species Options'!B600), "", IF('Aqueous Species Options'!L600=0, 'Aqueous Species Options'!R600, IF('Aqueous Species Table'!N600="", "", IF('Aqueous Species Options'!B600="H+", 0, 'Aqueous Species Options'!H600 - 'Aqueous Species Table'!O600*100000*(-0.000000309)*298.15 - 'Aqueous Species Table'!N600*10000/(298.15-228)^2 ) ) ) )</f>
        <v/>
      </c>
      <c r="N600" s="1" t="str">
        <f>IF(ISBLANK('Aqueous Species Options'!B600), "", IF('Aqueous Species Options'!L600=0, 'Aqueous Species Options'!S600, IF(OR(ISBLANK('Aqueous Species Options'!H600), 'Aqueous Species Table'!O600=""), "", IF('Aqueous Species Options'!B600="H+", 0, 0.2037*'Aqueous Species Options'!H600 - 3.0346) ) ) )</f>
        <v/>
      </c>
      <c r="O600" s="1" t="str">
        <f>IF(ISBLANK('Aqueous Species Options'!B600), "", IF('Aqueous Species Options'!K600=0, 'Aqueous Species Options'!I600, IF(OR('Aqueous Species Options'!J600&gt;4,'Aqueous Species Options'!J600&lt;-4), "", IF('Aqueous Species Options'!B600="H+", 0, IF('Aqueous Species Options'!J600=0, -0.038, IF(ISBLANK('Aqueous Species Options'!F600), "", -1514.4*'Aqueous Species Options'!F600*0.00001 + SUM(({4,3,2,1,-1,-2,-3,-4}='Aqueous Species Options'!J600)*{2.1764,1.5793,1.0579,0.5517,1.6291,3.2127,4.8115,6.486}) ) ) ) ) ) )</f>
        <v/>
      </c>
      <c r="P600" s="1" t="str">
        <f>IF(ISBLANK('Aqueous Species Options'!J600), "", 'Aqueous Species Options'!J600)</f>
        <v/>
      </c>
      <c r="Q600" s="184" t="str">
        <f>IF(ISBLANK('Aqueous Species Options'!T600), "", 'Aqueous Species Options'!T600)</f>
        <v/>
      </c>
    </row>
    <row r="601" spans="2:17" ht="16" x14ac:dyDescent="0.2">
      <c r="B601" t="str">
        <f>IF(ISBLANK('Aqueous Species Options'!B601), "", 'Aqueous Species Options'!B601)</f>
        <v/>
      </c>
      <c r="C601" s="1" t="str">
        <f>IF(ISBLANK('Aqueous Species Options'!C601), "", 'Aqueous Species Options'!C601)</f>
        <v/>
      </c>
      <c r="D601" s="1" t="str">
        <f>IF(ISBLANK('Aqueous Species Options'!D601), "", 'Aqueous Species Options'!D601)</f>
        <v/>
      </c>
      <c r="E601" s="1" t="str">
        <f>IF(ISBLANK('Aqueous Species Options'!E601), "", 'Aqueous Species Options'!E601)</f>
        <v/>
      </c>
      <c r="F601" s="139" t="str">
        <f>IF(ISBLANK('Aqueous Species Options'!F601), "", 'Aqueous Species Options'!F601)</f>
        <v/>
      </c>
      <c r="G601" s="29" t="str">
        <f>IF(ISBLANK('Aqueous Species Options'!B601), "", IF('Aqueous Species Options'!L601 = 1, IF(ISBLANK('Aqueous Species Options'!G601), "", 'Aqueous Species Options'!G601), ('Aqueous Species Table'!I601/10 + ('Aqueous Species Table'!J601*100)/(Calculations!$C$12+Calculations!$C$9) + ('Aqueous Species Table'!K601 + ('Aqueous Species Table'!L601*10000)/(Calculations!$C$12+Calculations!$C$9))*(1/(Calculations!$C$8-Calculations!$C$13)) - 'Aqueous Species Table'!O601*100000*0.0000005903)*41.8393))</f>
        <v/>
      </c>
      <c r="H601" s="29" t="str">
        <f>IF(ISBLANK('Aqueous Species Options'!B601), "", IF('Aqueous Species Options'!L601 = 1, IF(ISBLANK('Aqueous Species Options'!H601), "", 'Aqueous Species Options'!H601), 'Aqueous Species Table'!M601 + 'Aqueous Species Table'!N601*10000*(1/(Calculations!$C$8-Calculations!$C$13))^2 + 'Aqueous Species Table'!O601*100000*Calculations!$C$8*Calculations!$C$7))</f>
        <v/>
      </c>
      <c r="I601" s="1" t="str">
        <f>IF(ISBLANK('Aqueous Species Options'!B601), "", IF('Aqueous Species Options'!L601=0, 'Aqueous Species Options'!N601, IF(OR(ISBLANK('Aqueous Species Options'!G601),'Aqueous Species Table'!O601="", 'Aqueous Species Table'!P601=""), "", IF('Aqueous Species Options'!B601="H+", 0, (CHOOSE('Aqueous Species Options'!M601+1,'Aqueous Species Options'!$V$4*ABS('Aqueous Species Table'!P601)+'Aqueous Species Options'!$W$4,'Aqueous Species Options'!$Z$4)*('Aqueous Species Options'!G601 + 'Aqueous Species Table'!O601*100000*0.0000005903*41.8393) + CHOOSE('Aqueous Species Options'!M601+1,'Aqueous Species Options'!$X$4*ABS('Aqueous Species Table'!P601)+'Aqueous Species Options'!$Y$4,'Aqueous Species Options'!$AA$4))*10 ) ) ) )</f>
        <v/>
      </c>
      <c r="J601" s="1" t="str">
        <f>IF(ISBLANK('Aqueous Species Options'!B601), "", IF('Aqueous Species Options'!L601 = 0, 'Aqueous Species Options'!O601, IF('Aqueous Species Table'!I601="", "", IF('Aqueous Species Options'!B601="H+", 0, ((1.11*('Aqueous Species Options'!G601 + 'Aqueous Species Table'!O601*100000*0.0000005903*41.8393)+1.8)/41.8393 - 'Aqueous Species Table'!I601/10)*26.01 ) ) ) )</f>
        <v/>
      </c>
      <c r="K601" s="1" t="str">
        <f>IF(ISBLANK('Aqueous Species Options'!B601), "", IF('Aqueous Species Options'!L601 = 0, 'Aqueous Species Options'!P601, IF('Aqueous Species Table'!I601="", "", IF('Aqueous Species Options'!B601="H+", 0, ('Aqueous Species Options'!G601/41.8393 + 'Aqueous Species Table'!O601*100000*0.0000005903 - 'Aqueous Species Table'!I601/10 - 'Aqueous Species Table'!J601*100/2601)*(298.15-228) - ('Aqueous Species Table'!L601*10000/2601) ) ) ) )</f>
        <v/>
      </c>
      <c r="L601" s="1" t="str">
        <f>IF(ISBLANK('Aqueous Species Options'!B601), "", IF('Aqueous Species Options'!L601 = 0, 'Aqueous Species Options'!Q601, IF('Aqueous Species Table'!J601="", "", IF('Aqueous Species Options'!B601="H+", 0, (-4.134*'Aqueous Species Table'!J601*100 - 27790)*0.0001) ) ) )</f>
        <v/>
      </c>
      <c r="M601" s="1" t="str">
        <f>IF(ISBLANK('Aqueous Species Options'!B601), "", IF('Aqueous Species Options'!L601=0, 'Aqueous Species Options'!R601, IF('Aqueous Species Table'!N601="", "", IF('Aqueous Species Options'!B601="H+", 0, 'Aqueous Species Options'!H601 - 'Aqueous Species Table'!O601*100000*(-0.000000309)*298.15 - 'Aqueous Species Table'!N601*10000/(298.15-228)^2 ) ) ) )</f>
        <v/>
      </c>
      <c r="N601" s="1" t="str">
        <f>IF(ISBLANK('Aqueous Species Options'!B601), "", IF('Aqueous Species Options'!L601=0, 'Aqueous Species Options'!S601, IF(OR(ISBLANK('Aqueous Species Options'!H601), 'Aqueous Species Table'!O601=""), "", IF('Aqueous Species Options'!B601="H+", 0, 0.2037*'Aqueous Species Options'!H601 - 3.0346) ) ) )</f>
        <v/>
      </c>
      <c r="O601" s="1" t="str">
        <f>IF(ISBLANK('Aqueous Species Options'!B601), "", IF('Aqueous Species Options'!K601=0, 'Aqueous Species Options'!I601, IF(OR('Aqueous Species Options'!J601&gt;4,'Aqueous Species Options'!J601&lt;-4), "", IF('Aqueous Species Options'!B601="H+", 0, IF('Aqueous Species Options'!J601=0, -0.038, IF(ISBLANK('Aqueous Species Options'!F601), "", -1514.4*'Aqueous Species Options'!F601*0.00001 + SUM(({4,3,2,1,-1,-2,-3,-4}='Aqueous Species Options'!J601)*{2.1764,1.5793,1.0579,0.5517,1.6291,3.2127,4.8115,6.486}) ) ) ) ) ) )</f>
        <v/>
      </c>
      <c r="P601" s="1" t="str">
        <f>IF(ISBLANK('Aqueous Species Options'!J601), "", 'Aqueous Species Options'!J601)</f>
        <v/>
      </c>
      <c r="Q601" s="184" t="str">
        <f>IF(ISBLANK('Aqueous Species Options'!T601), "", 'Aqueous Species Options'!T601)</f>
        <v/>
      </c>
    </row>
    <row r="602" spans="2:17" ht="16" x14ac:dyDescent="0.2">
      <c r="B602" t="str">
        <f>IF(ISBLANK('Aqueous Species Options'!B602), "", 'Aqueous Species Options'!B602)</f>
        <v/>
      </c>
      <c r="C602" s="1" t="str">
        <f>IF(ISBLANK('Aqueous Species Options'!C602), "", 'Aqueous Species Options'!C602)</f>
        <v/>
      </c>
      <c r="D602" s="1" t="str">
        <f>IF(ISBLANK('Aqueous Species Options'!D602), "", 'Aqueous Species Options'!D602)</f>
        <v/>
      </c>
      <c r="E602" s="1" t="str">
        <f>IF(ISBLANK('Aqueous Species Options'!E602), "", 'Aqueous Species Options'!E602)</f>
        <v/>
      </c>
      <c r="F602" s="139" t="str">
        <f>IF(ISBLANK('Aqueous Species Options'!F602), "", 'Aqueous Species Options'!F602)</f>
        <v/>
      </c>
      <c r="G602" s="29" t="str">
        <f>IF(ISBLANK('Aqueous Species Options'!B602), "", IF('Aqueous Species Options'!L602 = 1, IF(ISBLANK('Aqueous Species Options'!G602), "", 'Aqueous Species Options'!G602), ('Aqueous Species Table'!I602/10 + ('Aqueous Species Table'!J602*100)/(Calculations!$C$12+Calculations!$C$9) + ('Aqueous Species Table'!K602 + ('Aqueous Species Table'!L602*10000)/(Calculations!$C$12+Calculations!$C$9))*(1/(Calculations!$C$8-Calculations!$C$13)) - 'Aqueous Species Table'!O602*100000*0.0000005903)*41.8393))</f>
        <v/>
      </c>
      <c r="H602" s="29" t="str">
        <f>IF(ISBLANK('Aqueous Species Options'!B602), "", IF('Aqueous Species Options'!L602 = 1, IF(ISBLANK('Aqueous Species Options'!H602), "", 'Aqueous Species Options'!H602), 'Aqueous Species Table'!M602 + 'Aqueous Species Table'!N602*10000*(1/(Calculations!$C$8-Calculations!$C$13))^2 + 'Aqueous Species Table'!O602*100000*Calculations!$C$8*Calculations!$C$7))</f>
        <v/>
      </c>
      <c r="I602" s="1" t="str">
        <f>IF(ISBLANK('Aqueous Species Options'!B602), "", IF('Aqueous Species Options'!L602=0, 'Aqueous Species Options'!N602, IF(OR(ISBLANK('Aqueous Species Options'!G602),'Aqueous Species Table'!O602="", 'Aqueous Species Table'!P602=""), "", IF('Aqueous Species Options'!B602="H+", 0, (CHOOSE('Aqueous Species Options'!M602+1,'Aqueous Species Options'!$V$4*ABS('Aqueous Species Table'!P602)+'Aqueous Species Options'!$W$4,'Aqueous Species Options'!$Z$4)*('Aqueous Species Options'!G602 + 'Aqueous Species Table'!O602*100000*0.0000005903*41.8393) + CHOOSE('Aqueous Species Options'!M602+1,'Aqueous Species Options'!$X$4*ABS('Aqueous Species Table'!P602)+'Aqueous Species Options'!$Y$4,'Aqueous Species Options'!$AA$4))*10 ) ) ) )</f>
        <v/>
      </c>
      <c r="J602" s="1" t="str">
        <f>IF(ISBLANK('Aqueous Species Options'!B602), "", IF('Aqueous Species Options'!L602 = 0, 'Aqueous Species Options'!O602, IF('Aqueous Species Table'!I602="", "", IF('Aqueous Species Options'!B602="H+", 0, ((1.11*('Aqueous Species Options'!G602 + 'Aqueous Species Table'!O602*100000*0.0000005903*41.8393)+1.8)/41.8393 - 'Aqueous Species Table'!I602/10)*26.01 ) ) ) )</f>
        <v/>
      </c>
      <c r="K602" s="1" t="str">
        <f>IF(ISBLANK('Aqueous Species Options'!B602), "", IF('Aqueous Species Options'!L602 = 0, 'Aqueous Species Options'!P602, IF('Aqueous Species Table'!I602="", "", IF('Aqueous Species Options'!B602="H+", 0, ('Aqueous Species Options'!G602/41.8393 + 'Aqueous Species Table'!O602*100000*0.0000005903 - 'Aqueous Species Table'!I602/10 - 'Aqueous Species Table'!J602*100/2601)*(298.15-228) - ('Aqueous Species Table'!L602*10000/2601) ) ) ) )</f>
        <v/>
      </c>
      <c r="L602" s="1" t="str">
        <f>IF(ISBLANK('Aqueous Species Options'!B602), "", IF('Aqueous Species Options'!L602 = 0, 'Aqueous Species Options'!Q602, IF('Aqueous Species Table'!J602="", "", IF('Aqueous Species Options'!B602="H+", 0, (-4.134*'Aqueous Species Table'!J602*100 - 27790)*0.0001) ) ) )</f>
        <v/>
      </c>
      <c r="M602" s="1" t="str">
        <f>IF(ISBLANK('Aqueous Species Options'!B602), "", IF('Aqueous Species Options'!L602=0, 'Aqueous Species Options'!R602, IF('Aqueous Species Table'!N602="", "", IF('Aqueous Species Options'!B602="H+", 0, 'Aqueous Species Options'!H602 - 'Aqueous Species Table'!O602*100000*(-0.000000309)*298.15 - 'Aqueous Species Table'!N602*10000/(298.15-228)^2 ) ) ) )</f>
        <v/>
      </c>
      <c r="N602" s="1" t="str">
        <f>IF(ISBLANK('Aqueous Species Options'!B602), "", IF('Aqueous Species Options'!L602=0, 'Aqueous Species Options'!S602, IF(OR(ISBLANK('Aqueous Species Options'!H602), 'Aqueous Species Table'!O602=""), "", IF('Aqueous Species Options'!B602="H+", 0, 0.2037*'Aqueous Species Options'!H602 - 3.0346) ) ) )</f>
        <v/>
      </c>
      <c r="O602" s="1" t="str">
        <f>IF(ISBLANK('Aqueous Species Options'!B602), "", IF('Aqueous Species Options'!K602=0, 'Aqueous Species Options'!I602, IF(OR('Aqueous Species Options'!J602&gt;4,'Aqueous Species Options'!J602&lt;-4), "", IF('Aqueous Species Options'!B602="H+", 0, IF('Aqueous Species Options'!J602=0, -0.038, IF(ISBLANK('Aqueous Species Options'!F602), "", -1514.4*'Aqueous Species Options'!F602*0.00001 + SUM(({4,3,2,1,-1,-2,-3,-4}='Aqueous Species Options'!J602)*{2.1764,1.5793,1.0579,0.5517,1.6291,3.2127,4.8115,6.486}) ) ) ) ) ) )</f>
        <v/>
      </c>
      <c r="P602" s="1" t="str">
        <f>IF(ISBLANK('Aqueous Species Options'!J602), "", 'Aqueous Species Options'!J602)</f>
        <v/>
      </c>
      <c r="Q602" s="184" t="str">
        <f>IF(ISBLANK('Aqueous Species Options'!T602), "", 'Aqueous Species Options'!T602)</f>
        <v/>
      </c>
    </row>
    <row r="603" spans="2:17" ht="16" x14ac:dyDescent="0.2">
      <c r="B603" t="str">
        <f>IF(ISBLANK('Aqueous Species Options'!B603), "", 'Aqueous Species Options'!B603)</f>
        <v/>
      </c>
      <c r="C603" s="1" t="str">
        <f>IF(ISBLANK('Aqueous Species Options'!C603), "", 'Aqueous Species Options'!C603)</f>
        <v/>
      </c>
      <c r="D603" s="1" t="str">
        <f>IF(ISBLANK('Aqueous Species Options'!D603), "", 'Aqueous Species Options'!D603)</f>
        <v/>
      </c>
      <c r="E603" s="1" t="str">
        <f>IF(ISBLANK('Aqueous Species Options'!E603), "", 'Aqueous Species Options'!E603)</f>
        <v/>
      </c>
      <c r="F603" s="139" t="str">
        <f>IF(ISBLANK('Aqueous Species Options'!F603), "", 'Aqueous Species Options'!F603)</f>
        <v/>
      </c>
      <c r="G603" s="29" t="str">
        <f>IF(ISBLANK('Aqueous Species Options'!B603), "", IF('Aqueous Species Options'!L603 = 1, IF(ISBLANK('Aqueous Species Options'!G603), "", 'Aqueous Species Options'!G603), ('Aqueous Species Table'!I603/10 + ('Aqueous Species Table'!J603*100)/(Calculations!$C$12+Calculations!$C$9) + ('Aqueous Species Table'!K603 + ('Aqueous Species Table'!L603*10000)/(Calculations!$C$12+Calculations!$C$9))*(1/(Calculations!$C$8-Calculations!$C$13)) - 'Aqueous Species Table'!O603*100000*0.0000005903)*41.8393))</f>
        <v/>
      </c>
      <c r="H603" s="29" t="str">
        <f>IF(ISBLANK('Aqueous Species Options'!B603), "", IF('Aqueous Species Options'!L603 = 1, IF(ISBLANK('Aqueous Species Options'!H603), "", 'Aqueous Species Options'!H603), 'Aqueous Species Table'!M603 + 'Aqueous Species Table'!N603*10000*(1/(Calculations!$C$8-Calculations!$C$13))^2 + 'Aqueous Species Table'!O603*100000*Calculations!$C$8*Calculations!$C$7))</f>
        <v/>
      </c>
      <c r="I603" s="1" t="str">
        <f>IF(ISBLANK('Aqueous Species Options'!B603), "", IF('Aqueous Species Options'!L603=0, 'Aqueous Species Options'!N603, IF(OR(ISBLANK('Aqueous Species Options'!G603),'Aqueous Species Table'!O603="", 'Aqueous Species Table'!P603=""), "", IF('Aqueous Species Options'!B603="H+", 0, (CHOOSE('Aqueous Species Options'!M603+1,'Aqueous Species Options'!$V$4*ABS('Aqueous Species Table'!P603)+'Aqueous Species Options'!$W$4,'Aqueous Species Options'!$Z$4)*('Aqueous Species Options'!G603 + 'Aqueous Species Table'!O603*100000*0.0000005903*41.8393) + CHOOSE('Aqueous Species Options'!M603+1,'Aqueous Species Options'!$X$4*ABS('Aqueous Species Table'!P603)+'Aqueous Species Options'!$Y$4,'Aqueous Species Options'!$AA$4))*10 ) ) ) )</f>
        <v/>
      </c>
      <c r="J603" s="1" t="str">
        <f>IF(ISBLANK('Aqueous Species Options'!B603), "", IF('Aqueous Species Options'!L603 = 0, 'Aqueous Species Options'!O603, IF('Aqueous Species Table'!I603="", "", IF('Aqueous Species Options'!B603="H+", 0, ((1.11*('Aqueous Species Options'!G603 + 'Aqueous Species Table'!O603*100000*0.0000005903*41.8393)+1.8)/41.8393 - 'Aqueous Species Table'!I603/10)*26.01 ) ) ) )</f>
        <v/>
      </c>
      <c r="K603" s="1" t="str">
        <f>IF(ISBLANK('Aqueous Species Options'!B603), "", IF('Aqueous Species Options'!L603 = 0, 'Aqueous Species Options'!P603, IF('Aqueous Species Table'!I603="", "", IF('Aqueous Species Options'!B603="H+", 0, ('Aqueous Species Options'!G603/41.8393 + 'Aqueous Species Table'!O603*100000*0.0000005903 - 'Aqueous Species Table'!I603/10 - 'Aqueous Species Table'!J603*100/2601)*(298.15-228) - ('Aqueous Species Table'!L603*10000/2601) ) ) ) )</f>
        <v/>
      </c>
      <c r="L603" s="1" t="str">
        <f>IF(ISBLANK('Aqueous Species Options'!B603), "", IF('Aqueous Species Options'!L603 = 0, 'Aqueous Species Options'!Q603, IF('Aqueous Species Table'!J603="", "", IF('Aqueous Species Options'!B603="H+", 0, (-4.134*'Aqueous Species Table'!J603*100 - 27790)*0.0001) ) ) )</f>
        <v/>
      </c>
      <c r="M603" s="1" t="str">
        <f>IF(ISBLANK('Aqueous Species Options'!B603), "", IF('Aqueous Species Options'!L603=0, 'Aqueous Species Options'!R603, IF('Aqueous Species Table'!N603="", "", IF('Aqueous Species Options'!B603="H+", 0, 'Aqueous Species Options'!H603 - 'Aqueous Species Table'!O603*100000*(-0.000000309)*298.15 - 'Aqueous Species Table'!N603*10000/(298.15-228)^2 ) ) ) )</f>
        <v/>
      </c>
      <c r="N603" s="1" t="str">
        <f>IF(ISBLANK('Aqueous Species Options'!B603), "", IF('Aqueous Species Options'!L603=0, 'Aqueous Species Options'!S603, IF(OR(ISBLANK('Aqueous Species Options'!H603), 'Aqueous Species Table'!O603=""), "", IF('Aqueous Species Options'!B603="H+", 0, 0.2037*'Aqueous Species Options'!H603 - 3.0346) ) ) )</f>
        <v/>
      </c>
      <c r="O603" s="1" t="str">
        <f>IF(ISBLANK('Aqueous Species Options'!B603), "", IF('Aqueous Species Options'!K603=0, 'Aqueous Species Options'!I603, IF(OR('Aqueous Species Options'!J603&gt;4,'Aqueous Species Options'!J603&lt;-4), "", IF('Aqueous Species Options'!B603="H+", 0, IF('Aqueous Species Options'!J603=0, -0.038, IF(ISBLANK('Aqueous Species Options'!F603), "", -1514.4*'Aqueous Species Options'!F603*0.00001 + SUM(({4,3,2,1,-1,-2,-3,-4}='Aqueous Species Options'!J603)*{2.1764,1.5793,1.0579,0.5517,1.6291,3.2127,4.8115,6.486}) ) ) ) ) ) )</f>
        <v/>
      </c>
      <c r="P603" s="1" t="str">
        <f>IF(ISBLANK('Aqueous Species Options'!J603), "", 'Aqueous Species Options'!J603)</f>
        <v/>
      </c>
      <c r="Q603" s="184" t="str">
        <f>IF(ISBLANK('Aqueous Species Options'!T603), "", 'Aqueous Species Options'!T603)</f>
        <v/>
      </c>
    </row>
    <row r="604" spans="2:17" ht="16" x14ac:dyDescent="0.2">
      <c r="B604" t="str">
        <f>IF(ISBLANK('Aqueous Species Options'!B604), "", 'Aqueous Species Options'!B604)</f>
        <v/>
      </c>
      <c r="C604" s="1" t="str">
        <f>IF(ISBLANK('Aqueous Species Options'!C604), "", 'Aqueous Species Options'!C604)</f>
        <v/>
      </c>
      <c r="D604" s="1" t="str">
        <f>IF(ISBLANK('Aqueous Species Options'!D604), "", 'Aqueous Species Options'!D604)</f>
        <v/>
      </c>
      <c r="E604" s="1" t="str">
        <f>IF(ISBLANK('Aqueous Species Options'!E604), "", 'Aqueous Species Options'!E604)</f>
        <v/>
      </c>
      <c r="F604" s="139" t="str">
        <f>IF(ISBLANK('Aqueous Species Options'!F604), "", 'Aqueous Species Options'!F604)</f>
        <v/>
      </c>
      <c r="G604" s="29" t="str">
        <f>IF(ISBLANK('Aqueous Species Options'!B604), "", IF('Aqueous Species Options'!L604 = 1, IF(ISBLANK('Aqueous Species Options'!G604), "", 'Aqueous Species Options'!G604), ('Aqueous Species Table'!I604/10 + ('Aqueous Species Table'!J604*100)/(Calculations!$C$12+Calculations!$C$9) + ('Aqueous Species Table'!K604 + ('Aqueous Species Table'!L604*10000)/(Calculations!$C$12+Calculations!$C$9))*(1/(Calculations!$C$8-Calculations!$C$13)) - 'Aqueous Species Table'!O604*100000*0.0000005903)*41.8393))</f>
        <v/>
      </c>
      <c r="H604" s="29" t="str">
        <f>IF(ISBLANK('Aqueous Species Options'!B604), "", IF('Aqueous Species Options'!L604 = 1, IF(ISBLANK('Aqueous Species Options'!H604), "", 'Aqueous Species Options'!H604), 'Aqueous Species Table'!M604 + 'Aqueous Species Table'!N604*10000*(1/(Calculations!$C$8-Calculations!$C$13))^2 + 'Aqueous Species Table'!O604*100000*Calculations!$C$8*Calculations!$C$7))</f>
        <v/>
      </c>
      <c r="I604" s="1" t="str">
        <f>IF(ISBLANK('Aqueous Species Options'!B604), "", IF('Aqueous Species Options'!L604=0, 'Aqueous Species Options'!N604, IF(OR(ISBLANK('Aqueous Species Options'!G604),'Aqueous Species Table'!O604="", 'Aqueous Species Table'!P604=""), "", IF('Aqueous Species Options'!B604="H+", 0, (CHOOSE('Aqueous Species Options'!M604+1,'Aqueous Species Options'!$V$4*ABS('Aqueous Species Table'!P604)+'Aqueous Species Options'!$W$4,'Aqueous Species Options'!$Z$4)*('Aqueous Species Options'!G604 + 'Aqueous Species Table'!O604*100000*0.0000005903*41.8393) + CHOOSE('Aqueous Species Options'!M604+1,'Aqueous Species Options'!$X$4*ABS('Aqueous Species Table'!P604)+'Aqueous Species Options'!$Y$4,'Aqueous Species Options'!$AA$4))*10 ) ) ) )</f>
        <v/>
      </c>
      <c r="J604" s="1" t="str">
        <f>IF(ISBLANK('Aqueous Species Options'!B604), "", IF('Aqueous Species Options'!L604 = 0, 'Aqueous Species Options'!O604, IF('Aqueous Species Table'!I604="", "", IF('Aqueous Species Options'!B604="H+", 0, ((1.11*('Aqueous Species Options'!G604 + 'Aqueous Species Table'!O604*100000*0.0000005903*41.8393)+1.8)/41.8393 - 'Aqueous Species Table'!I604/10)*26.01 ) ) ) )</f>
        <v/>
      </c>
      <c r="K604" s="1" t="str">
        <f>IF(ISBLANK('Aqueous Species Options'!B604), "", IF('Aqueous Species Options'!L604 = 0, 'Aqueous Species Options'!P604, IF('Aqueous Species Table'!I604="", "", IF('Aqueous Species Options'!B604="H+", 0, ('Aqueous Species Options'!G604/41.8393 + 'Aqueous Species Table'!O604*100000*0.0000005903 - 'Aqueous Species Table'!I604/10 - 'Aqueous Species Table'!J604*100/2601)*(298.15-228) - ('Aqueous Species Table'!L604*10000/2601) ) ) ) )</f>
        <v/>
      </c>
      <c r="L604" s="1" t="str">
        <f>IF(ISBLANK('Aqueous Species Options'!B604), "", IF('Aqueous Species Options'!L604 = 0, 'Aqueous Species Options'!Q604, IF('Aqueous Species Table'!J604="", "", IF('Aqueous Species Options'!B604="H+", 0, (-4.134*'Aqueous Species Table'!J604*100 - 27790)*0.0001) ) ) )</f>
        <v/>
      </c>
      <c r="M604" s="1" t="str">
        <f>IF(ISBLANK('Aqueous Species Options'!B604), "", IF('Aqueous Species Options'!L604=0, 'Aqueous Species Options'!R604, IF('Aqueous Species Table'!N604="", "", IF('Aqueous Species Options'!B604="H+", 0, 'Aqueous Species Options'!H604 - 'Aqueous Species Table'!O604*100000*(-0.000000309)*298.15 - 'Aqueous Species Table'!N604*10000/(298.15-228)^2 ) ) ) )</f>
        <v/>
      </c>
      <c r="N604" s="1" t="str">
        <f>IF(ISBLANK('Aqueous Species Options'!B604), "", IF('Aqueous Species Options'!L604=0, 'Aqueous Species Options'!S604, IF(OR(ISBLANK('Aqueous Species Options'!H604), 'Aqueous Species Table'!O604=""), "", IF('Aqueous Species Options'!B604="H+", 0, 0.2037*'Aqueous Species Options'!H604 - 3.0346) ) ) )</f>
        <v/>
      </c>
      <c r="O604" s="1" t="str">
        <f>IF(ISBLANK('Aqueous Species Options'!B604), "", IF('Aqueous Species Options'!K604=0, 'Aqueous Species Options'!I604, IF(OR('Aqueous Species Options'!J604&gt;4,'Aqueous Species Options'!J604&lt;-4), "", IF('Aqueous Species Options'!B604="H+", 0, IF('Aqueous Species Options'!J604=0, -0.038, IF(ISBLANK('Aqueous Species Options'!F604), "", -1514.4*'Aqueous Species Options'!F604*0.00001 + SUM(({4,3,2,1,-1,-2,-3,-4}='Aqueous Species Options'!J604)*{2.1764,1.5793,1.0579,0.5517,1.6291,3.2127,4.8115,6.486}) ) ) ) ) ) )</f>
        <v/>
      </c>
      <c r="P604" s="1" t="str">
        <f>IF(ISBLANK('Aqueous Species Options'!J604), "", 'Aqueous Species Options'!J604)</f>
        <v/>
      </c>
      <c r="Q604" s="184" t="str">
        <f>IF(ISBLANK('Aqueous Species Options'!T604), "", 'Aqueous Species Options'!T604)</f>
        <v/>
      </c>
    </row>
    <row r="605" spans="2:17" ht="16" x14ac:dyDescent="0.2">
      <c r="B605" t="str">
        <f>IF(ISBLANK('Aqueous Species Options'!B605), "", 'Aqueous Species Options'!B605)</f>
        <v/>
      </c>
      <c r="C605" s="1" t="str">
        <f>IF(ISBLANK('Aqueous Species Options'!C605), "", 'Aqueous Species Options'!C605)</f>
        <v/>
      </c>
      <c r="D605" s="1" t="str">
        <f>IF(ISBLANK('Aqueous Species Options'!D605), "", 'Aqueous Species Options'!D605)</f>
        <v/>
      </c>
      <c r="E605" s="1" t="str">
        <f>IF(ISBLANK('Aqueous Species Options'!E605), "", 'Aqueous Species Options'!E605)</f>
        <v/>
      </c>
      <c r="F605" s="139" t="str">
        <f>IF(ISBLANK('Aqueous Species Options'!F605), "", 'Aqueous Species Options'!F605)</f>
        <v/>
      </c>
      <c r="G605" s="29" t="str">
        <f>IF(ISBLANK('Aqueous Species Options'!B605), "", IF('Aqueous Species Options'!L605 = 1, IF(ISBLANK('Aqueous Species Options'!G605), "", 'Aqueous Species Options'!G605), ('Aqueous Species Table'!I605/10 + ('Aqueous Species Table'!J605*100)/(Calculations!$C$12+Calculations!$C$9) + ('Aqueous Species Table'!K605 + ('Aqueous Species Table'!L605*10000)/(Calculations!$C$12+Calculations!$C$9))*(1/(Calculations!$C$8-Calculations!$C$13)) - 'Aqueous Species Table'!O605*100000*0.0000005903)*41.8393))</f>
        <v/>
      </c>
      <c r="H605" s="29" t="str">
        <f>IF(ISBLANK('Aqueous Species Options'!B605), "", IF('Aqueous Species Options'!L605 = 1, IF(ISBLANK('Aqueous Species Options'!H605), "", 'Aqueous Species Options'!H605), 'Aqueous Species Table'!M605 + 'Aqueous Species Table'!N605*10000*(1/(Calculations!$C$8-Calculations!$C$13))^2 + 'Aqueous Species Table'!O605*100000*Calculations!$C$8*Calculations!$C$7))</f>
        <v/>
      </c>
      <c r="I605" s="1" t="str">
        <f>IF(ISBLANK('Aqueous Species Options'!B605), "", IF('Aqueous Species Options'!L605=0, 'Aqueous Species Options'!N605, IF(OR(ISBLANK('Aqueous Species Options'!G605),'Aqueous Species Table'!O605="", 'Aqueous Species Table'!P605=""), "", IF('Aqueous Species Options'!B605="H+", 0, (CHOOSE('Aqueous Species Options'!M605+1,'Aqueous Species Options'!$V$4*ABS('Aqueous Species Table'!P605)+'Aqueous Species Options'!$W$4,'Aqueous Species Options'!$Z$4)*('Aqueous Species Options'!G605 + 'Aqueous Species Table'!O605*100000*0.0000005903*41.8393) + CHOOSE('Aqueous Species Options'!M605+1,'Aqueous Species Options'!$X$4*ABS('Aqueous Species Table'!P605)+'Aqueous Species Options'!$Y$4,'Aqueous Species Options'!$AA$4))*10 ) ) ) )</f>
        <v/>
      </c>
      <c r="J605" s="1" t="str">
        <f>IF(ISBLANK('Aqueous Species Options'!B605), "", IF('Aqueous Species Options'!L605 = 0, 'Aqueous Species Options'!O605, IF('Aqueous Species Table'!I605="", "", IF('Aqueous Species Options'!B605="H+", 0, ((1.11*('Aqueous Species Options'!G605 + 'Aqueous Species Table'!O605*100000*0.0000005903*41.8393)+1.8)/41.8393 - 'Aqueous Species Table'!I605/10)*26.01 ) ) ) )</f>
        <v/>
      </c>
      <c r="K605" s="1" t="str">
        <f>IF(ISBLANK('Aqueous Species Options'!B605), "", IF('Aqueous Species Options'!L605 = 0, 'Aqueous Species Options'!P605, IF('Aqueous Species Table'!I605="", "", IF('Aqueous Species Options'!B605="H+", 0, ('Aqueous Species Options'!G605/41.8393 + 'Aqueous Species Table'!O605*100000*0.0000005903 - 'Aqueous Species Table'!I605/10 - 'Aqueous Species Table'!J605*100/2601)*(298.15-228) - ('Aqueous Species Table'!L605*10000/2601) ) ) ) )</f>
        <v/>
      </c>
      <c r="L605" s="1" t="str">
        <f>IF(ISBLANK('Aqueous Species Options'!B605), "", IF('Aqueous Species Options'!L605 = 0, 'Aqueous Species Options'!Q605, IF('Aqueous Species Table'!J605="", "", IF('Aqueous Species Options'!B605="H+", 0, (-4.134*'Aqueous Species Table'!J605*100 - 27790)*0.0001) ) ) )</f>
        <v/>
      </c>
      <c r="M605" s="1" t="str">
        <f>IF(ISBLANK('Aqueous Species Options'!B605), "", IF('Aqueous Species Options'!L605=0, 'Aqueous Species Options'!R605, IF('Aqueous Species Table'!N605="", "", IF('Aqueous Species Options'!B605="H+", 0, 'Aqueous Species Options'!H605 - 'Aqueous Species Table'!O605*100000*(-0.000000309)*298.15 - 'Aqueous Species Table'!N605*10000/(298.15-228)^2 ) ) ) )</f>
        <v/>
      </c>
      <c r="N605" s="1" t="str">
        <f>IF(ISBLANK('Aqueous Species Options'!B605), "", IF('Aqueous Species Options'!L605=0, 'Aqueous Species Options'!S605, IF(OR(ISBLANK('Aqueous Species Options'!H605), 'Aqueous Species Table'!O605=""), "", IF('Aqueous Species Options'!B605="H+", 0, 0.2037*'Aqueous Species Options'!H605 - 3.0346) ) ) )</f>
        <v/>
      </c>
      <c r="O605" s="1" t="str">
        <f>IF(ISBLANK('Aqueous Species Options'!B605), "", IF('Aqueous Species Options'!K605=0, 'Aqueous Species Options'!I605, IF(OR('Aqueous Species Options'!J605&gt;4,'Aqueous Species Options'!J605&lt;-4), "", IF('Aqueous Species Options'!B605="H+", 0, IF('Aqueous Species Options'!J605=0, -0.038, IF(ISBLANK('Aqueous Species Options'!F605), "", -1514.4*'Aqueous Species Options'!F605*0.00001 + SUM(({4,3,2,1,-1,-2,-3,-4}='Aqueous Species Options'!J605)*{2.1764,1.5793,1.0579,0.5517,1.6291,3.2127,4.8115,6.486}) ) ) ) ) ) )</f>
        <v/>
      </c>
      <c r="P605" s="1" t="str">
        <f>IF(ISBLANK('Aqueous Species Options'!J605), "", 'Aqueous Species Options'!J605)</f>
        <v/>
      </c>
      <c r="Q605" s="184" t="str">
        <f>IF(ISBLANK('Aqueous Species Options'!T605), "", 'Aqueous Species Options'!T605)</f>
        <v/>
      </c>
    </row>
    <row r="606" spans="2:17" ht="16" x14ac:dyDescent="0.2">
      <c r="B606" t="str">
        <f>IF(ISBLANK('Aqueous Species Options'!B606), "", 'Aqueous Species Options'!B606)</f>
        <v/>
      </c>
      <c r="C606" s="1" t="str">
        <f>IF(ISBLANK('Aqueous Species Options'!C606), "", 'Aqueous Species Options'!C606)</f>
        <v/>
      </c>
      <c r="D606" s="1" t="str">
        <f>IF(ISBLANK('Aqueous Species Options'!D606), "", 'Aqueous Species Options'!D606)</f>
        <v/>
      </c>
      <c r="E606" s="1" t="str">
        <f>IF(ISBLANK('Aqueous Species Options'!E606), "", 'Aqueous Species Options'!E606)</f>
        <v/>
      </c>
      <c r="F606" s="139" t="str">
        <f>IF(ISBLANK('Aqueous Species Options'!F606), "", 'Aqueous Species Options'!F606)</f>
        <v/>
      </c>
      <c r="G606" s="29" t="str">
        <f>IF(ISBLANK('Aqueous Species Options'!B606), "", IF('Aqueous Species Options'!L606 = 1, IF(ISBLANK('Aqueous Species Options'!G606), "", 'Aqueous Species Options'!G606), ('Aqueous Species Table'!I606/10 + ('Aqueous Species Table'!J606*100)/(Calculations!$C$12+Calculations!$C$9) + ('Aqueous Species Table'!K606 + ('Aqueous Species Table'!L606*10000)/(Calculations!$C$12+Calculations!$C$9))*(1/(Calculations!$C$8-Calculations!$C$13)) - 'Aqueous Species Table'!O606*100000*0.0000005903)*41.8393))</f>
        <v/>
      </c>
      <c r="H606" s="29" t="str">
        <f>IF(ISBLANK('Aqueous Species Options'!B606), "", IF('Aqueous Species Options'!L606 = 1, IF(ISBLANK('Aqueous Species Options'!H606), "", 'Aqueous Species Options'!H606), 'Aqueous Species Table'!M606 + 'Aqueous Species Table'!N606*10000*(1/(Calculations!$C$8-Calculations!$C$13))^2 + 'Aqueous Species Table'!O606*100000*Calculations!$C$8*Calculations!$C$7))</f>
        <v/>
      </c>
      <c r="I606" s="1" t="str">
        <f>IF(ISBLANK('Aqueous Species Options'!B606), "", IF('Aqueous Species Options'!L606=0, 'Aqueous Species Options'!N606, IF(OR(ISBLANK('Aqueous Species Options'!G606),'Aqueous Species Table'!O606="", 'Aqueous Species Table'!P606=""), "", IF('Aqueous Species Options'!B606="H+", 0, (CHOOSE('Aqueous Species Options'!M606+1,'Aqueous Species Options'!$V$4*ABS('Aqueous Species Table'!P606)+'Aqueous Species Options'!$W$4,'Aqueous Species Options'!$Z$4)*('Aqueous Species Options'!G606 + 'Aqueous Species Table'!O606*100000*0.0000005903*41.8393) + CHOOSE('Aqueous Species Options'!M606+1,'Aqueous Species Options'!$X$4*ABS('Aqueous Species Table'!P606)+'Aqueous Species Options'!$Y$4,'Aqueous Species Options'!$AA$4))*10 ) ) ) )</f>
        <v/>
      </c>
      <c r="J606" s="1" t="str">
        <f>IF(ISBLANK('Aqueous Species Options'!B606), "", IF('Aqueous Species Options'!L606 = 0, 'Aqueous Species Options'!O606, IF('Aqueous Species Table'!I606="", "", IF('Aqueous Species Options'!B606="H+", 0, ((1.11*('Aqueous Species Options'!G606 + 'Aqueous Species Table'!O606*100000*0.0000005903*41.8393)+1.8)/41.8393 - 'Aqueous Species Table'!I606/10)*26.01 ) ) ) )</f>
        <v/>
      </c>
      <c r="K606" s="1" t="str">
        <f>IF(ISBLANK('Aqueous Species Options'!B606), "", IF('Aqueous Species Options'!L606 = 0, 'Aqueous Species Options'!P606, IF('Aqueous Species Table'!I606="", "", IF('Aqueous Species Options'!B606="H+", 0, ('Aqueous Species Options'!G606/41.8393 + 'Aqueous Species Table'!O606*100000*0.0000005903 - 'Aqueous Species Table'!I606/10 - 'Aqueous Species Table'!J606*100/2601)*(298.15-228) - ('Aqueous Species Table'!L606*10000/2601) ) ) ) )</f>
        <v/>
      </c>
      <c r="L606" s="1" t="str">
        <f>IF(ISBLANK('Aqueous Species Options'!B606), "", IF('Aqueous Species Options'!L606 = 0, 'Aqueous Species Options'!Q606, IF('Aqueous Species Table'!J606="", "", IF('Aqueous Species Options'!B606="H+", 0, (-4.134*'Aqueous Species Table'!J606*100 - 27790)*0.0001) ) ) )</f>
        <v/>
      </c>
      <c r="M606" s="1" t="str">
        <f>IF(ISBLANK('Aqueous Species Options'!B606), "", IF('Aqueous Species Options'!L606=0, 'Aqueous Species Options'!R606, IF('Aqueous Species Table'!N606="", "", IF('Aqueous Species Options'!B606="H+", 0, 'Aqueous Species Options'!H606 - 'Aqueous Species Table'!O606*100000*(-0.000000309)*298.15 - 'Aqueous Species Table'!N606*10000/(298.15-228)^2 ) ) ) )</f>
        <v/>
      </c>
      <c r="N606" s="1" t="str">
        <f>IF(ISBLANK('Aqueous Species Options'!B606), "", IF('Aqueous Species Options'!L606=0, 'Aqueous Species Options'!S606, IF(OR(ISBLANK('Aqueous Species Options'!H606), 'Aqueous Species Table'!O606=""), "", IF('Aqueous Species Options'!B606="H+", 0, 0.2037*'Aqueous Species Options'!H606 - 3.0346) ) ) )</f>
        <v/>
      </c>
      <c r="O606" s="1" t="str">
        <f>IF(ISBLANK('Aqueous Species Options'!B606), "", IF('Aqueous Species Options'!K606=0, 'Aqueous Species Options'!I606, IF(OR('Aqueous Species Options'!J606&gt;4,'Aqueous Species Options'!J606&lt;-4), "", IF('Aqueous Species Options'!B606="H+", 0, IF('Aqueous Species Options'!J606=0, -0.038, IF(ISBLANK('Aqueous Species Options'!F606), "", -1514.4*'Aqueous Species Options'!F606*0.00001 + SUM(({4,3,2,1,-1,-2,-3,-4}='Aqueous Species Options'!J606)*{2.1764,1.5793,1.0579,0.5517,1.6291,3.2127,4.8115,6.486}) ) ) ) ) ) )</f>
        <v/>
      </c>
      <c r="P606" s="1" t="str">
        <f>IF(ISBLANK('Aqueous Species Options'!J606), "", 'Aqueous Species Options'!J606)</f>
        <v/>
      </c>
      <c r="Q606" s="184" t="str">
        <f>IF(ISBLANK('Aqueous Species Options'!T606), "", 'Aqueous Species Options'!T606)</f>
        <v/>
      </c>
    </row>
    <row r="607" spans="2:17" ht="16" x14ac:dyDescent="0.2">
      <c r="B607" t="str">
        <f>IF(ISBLANK('Aqueous Species Options'!B607), "", 'Aqueous Species Options'!B607)</f>
        <v/>
      </c>
      <c r="C607" s="1" t="str">
        <f>IF(ISBLANK('Aqueous Species Options'!C607), "", 'Aqueous Species Options'!C607)</f>
        <v/>
      </c>
      <c r="D607" s="1" t="str">
        <f>IF(ISBLANK('Aqueous Species Options'!D607), "", 'Aqueous Species Options'!D607)</f>
        <v/>
      </c>
      <c r="E607" s="1" t="str">
        <f>IF(ISBLANK('Aqueous Species Options'!E607), "", 'Aqueous Species Options'!E607)</f>
        <v/>
      </c>
      <c r="F607" s="139" t="str">
        <f>IF(ISBLANK('Aqueous Species Options'!F607), "", 'Aqueous Species Options'!F607)</f>
        <v/>
      </c>
      <c r="G607" s="29" t="str">
        <f>IF(ISBLANK('Aqueous Species Options'!B607), "", IF('Aqueous Species Options'!L607 = 1, IF(ISBLANK('Aqueous Species Options'!G607), "", 'Aqueous Species Options'!G607), ('Aqueous Species Table'!I607/10 + ('Aqueous Species Table'!J607*100)/(Calculations!$C$12+Calculations!$C$9) + ('Aqueous Species Table'!K607 + ('Aqueous Species Table'!L607*10000)/(Calculations!$C$12+Calculations!$C$9))*(1/(Calculations!$C$8-Calculations!$C$13)) - 'Aqueous Species Table'!O607*100000*0.0000005903)*41.8393))</f>
        <v/>
      </c>
      <c r="H607" s="29" t="str">
        <f>IF(ISBLANK('Aqueous Species Options'!B607), "", IF('Aqueous Species Options'!L607 = 1, IF(ISBLANK('Aqueous Species Options'!H607), "", 'Aqueous Species Options'!H607), 'Aqueous Species Table'!M607 + 'Aqueous Species Table'!N607*10000*(1/(Calculations!$C$8-Calculations!$C$13))^2 + 'Aqueous Species Table'!O607*100000*Calculations!$C$8*Calculations!$C$7))</f>
        <v/>
      </c>
      <c r="I607" s="1" t="str">
        <f>IF(ISBLANK('Aqueous Species Options'!B607), "", IF('Aqueous Species Options'!L607=0, 'Aqueous Species Options'!N607, IF(OR(ISBLANK('Aqueous Species Options'!G607),'Aqueous Species Table'!O607="", 'Aqueous Species Table'!P607=""), "", IF('Aqueous Species Options'!B607="H+", 0, (CHOOSE('Aqueous Species Options'!M607+1,'Aqueous Species Options'!$V$4*ABS('Aqueous Species Table'!P607)+'Aqueous Species Options'!$W$4,'Aqueous Species Options'!$Z$4)*('Aqueous Species Options'!G607 + 'Aqueous Species Table'!O607*100000*0.0000005903*41.8393) + CHOOSE('Aqueous Species Options'!M607+1,'Aqueous Species Options'!$X$4*ABS('Aqueous Species Table'!P607)+'Aqueous Species Options'!$Y$4,'Aqueous Species Options'!$AA$4))*10 ) ) ) )</f>
        <v/>
      </c>
      <c r="J607" s="1" t="str">
        <f>IF(ISBLANK('Aqueous Species Options'!B607), "", IF('Aqueous Species Options'!L607 = 0, 'Aqueous Species Options'!O607, IF('Aqueous Species Table'!I607="", "", IF('Aqueous Species Options'!B607="H+", 0, ((1.11*('Aqueous Species Options'!G607 + 'Aqueous Species Table'!O607*100000*0.0000005903*41.8393)+1.8)/41.8393 - 'Aqueous Species Table'!I607/10)*26.01 ) ) ) )</f>
        <v/>
      </c>
      <c r="K607" s="1" t="str">
        <f>IF(ISBLANK('Aqueous Species Options'!B607), "", IF('Aqueous Species Options'!L607 = 0, 'Aqueous Species Options'!P607, IF('Aqueous Species Table'!I607="", "", IF('Aqueous Species Options'!B607="H+", 0, ('Aqueous Species Options'!G607/41.8393 + 'Aqueous Species Table'!O607*100000*0.0000005903 - 'Aqueous Species Table'!I607/10 - 'Aqueous Species Table'!J607*100/2601)*(298.15-228) - ('Aqueous Species Table'!L607*10000/2601) ) ) ) )</f>
        <v/>
      </c>
      <c r="L607" s="1" t="str">
        <f>IF(ISBLANK('Aqueous Species Options'!B607), "", IF('Aqueous Species Options'!L607 = 0, 'Aqueous Species Options'!Q607, IF('Aqueous Species Table'!J607="", "", IF('Aqueous Species Options'!B607="H+", 0, (-4.134*'Aqueous Species Table'!J607*100 - 27790)*0.0001) ) ) )</f>
        <v/>
      </c>
      <c r="M607" s="1" t="str">
        <f>IF(ISBLANK('Aqueous Species Options'!B607), "", IF('Aqueous Species Options'!L607=0, 'Aqueous Species Options'!R607, IF('Aqueous Species Table'!N607="", "", IF('Aqueous Species Options'!B607="H+", 0, 'Aqueous Species Options'!H607 - 'Aqueous Species Table'!O607*100000*(-0.000000309)*298.15 - 'Aqueous Species Table'!N607*10000/(298.15-228)^2 ) ) ) )</f>
        <v/>
      </c>
      <c r="N607" s="1" t="str">
        <f>IF(ISBLANK('Aqueous Species Options'!B607), "", IF('Aqueous Species Options'!L607=0, 'Aqueous Species Options'!S607, IF(OR(ISBLANK('Aqueous Species Options'!H607), 'Aqueous Species Table'!O607=""), "", IF('Aqueous Species Options'!B607="H+", 0, 0.2037*'Aqueous Species Options'!H607 - 3.0346) ) ) )</f>
        <v/>
      </c>
      <c r="O607" s="1" t="str">
        <f>IF(ISBLANK('Aqueous Species Options'!B607), "", IF('Aqueous Species Options'!K607=0, 'Aqueous Species Options'!I607, IF(OR('Aqueous Species Options'!J607&gt;4,'Aqueous Species Options'!J607&lt;-4), "", IF('Aqueous Species Options'!B607="H+", 0, IF('Aqueous Species Options'!J607=0, -0.038, IF(ISBLANK('Aqueous Species Options'!F607), "", -1514.4*'Aqueous Species Options'!F607*0.00001 + SUM(({4,3,2,1,-1,-2,-3,-4}='Aqueous Species Options'!J607)*{2.1764,1.5793,1.0579,0.5517,1.6291,3.2127,4.8115,6.486}) ) ) ) ) ) )</f>
        <v/>
      </c>
      <c r="P607" s="1" t="str">
        <f>IF(ISBLANK('Aqueous Species Options'!J607), "", 'Aqueous Species Options'!J607)</f>
        <v/>
      </c>
      <c r="Q607" s="184" t="str">
        <f>IF(ISBLANK('Aqueous Species Options'!T607), "", 'Aqueous Species Options'!T607)</f>
        <v/>
      </c>
    </row>
    <row r="608" spans="2:17" ht="16" x14ac:dyDescent="0.2">
      <c r="B608" t="str">
        <f>IF(ISBLANK('Aqueous Species Options'!B608), "", 'Aqueous Species Options'!B608)</f>
        <v/>
      </c>
      <c r="C608" s="1" t="str">
        <f>IF(ISBLANK('Aqueous Species Options'!C608), "", 'Aqueous Species Options'!C608)</f>
        <v/>
      </c>
      <c r="D608" s="1" t="str">
        <f>IF(ISBLANK('Aqueous Species Options'!D608), "", 'Aqueous Species Options'!D608)</f>
        <v/>
      </c>
      <c r="E608" s="1" t="str">
        <f>IF(ISBLANK('Aqueous Species Options'!E608), "", 'Aqueous Species Options'!E608)</f>
        <v/>
      </c>
      <c r="F608" s="139" t="str">
        <f>IF(ISBLANK('Aqueous Species Options'!F608), "", 'Aqueous Species Options'!F608)</f>
        <v/>
      </c>
      <c r="G608" s="29" t="str">
        <f>IF(ISBLANK('Aqueous Species Options'!B608), "", IF('Aqueous Species Options'!L608 = 1, IF(ISBLANK('Aqueous Species Options'!G608), "", 'Aqueous Species Options'!G608), ('Aqueous Species Table'!I608/10 + ('Aqueous Species Table'!J608*100)/(Calculations!$C$12+Calculations!$C$9) + ('Aqueous Species Table'!K608 + ('Aqueous Species Table'!L608*10000)/(Calculations!$C$12+Calculations!$C$9))*(1/(Calculations!$C$8-Calculations!$C$13)) - 'Aqueous Species Table'!O608*100000*0.0000005903)*41.8393))</f>
        <v/>
      </c>
      <c r="H608" s="29" t="str">
        <f>IF(ISBLANK('Aqueous Species Options'!B608), "", IF('Aqueous Species Options'!L608 = 1, IF(ISBLANK('Aqueous Species Options'!H608), "", 'Aqueous Species Options'!H608), 'Aqueous Species Table'!M608 + 'Aqueous Species Table'!N608*10000*(1/(Calculations!$C$8-Calculations!$C$13))^2 + 'Aqueous Species Table'!O608*100000*Calculations!$C$8*Calculations!$C$7))</f>
        <v/>
      </c>
      <c r="I608" s="1" t="str">
        <f>IF(ISBLANK('Aqueous Species Options'!B608), "", IF('Aqueous Species Options'!L608=0, 'Aqueous Species Options'!N608, IF(OR(ISBLANK('Aqueous Species Options'!G608),'Aqueous Species Table'!O608="", 'Aqueous Species Table'!P608=""), "", IF('Aqueous Species Options'!B608="H+", 0, (CHOOSE('Aqueous Species Options'!M608+1,'Aqueous Species Options'!$V$4*ABS('Aqueous Species Table'!P608)+'Aqueous Species Options'!$W$4,'Aqueous Species Options'!$Z$4)*('Aqueous Species Options'!G608 + 'Aqueous Species Table'!O608*100000*0.0000005903*41.8393) + CHOOSE('Aqueous Species Options'!M608+1,'Aqueous Species Options'!$X$4*ABS('Aqueous Species Table'!P608)+'Aqueous Species Options'!$Y$4,'Aqueous Species Options'!$AA$4))*10 ) ) ) )</f>
        <v/>
      </c>
      <c r="J608" s="1" t="str">
        <f>IF(ISBLANK('Aqueous Species Options'!B608), "", IF('Aqueous Species Options'!L608 = 0, 'Aqueous Species Options'!O608, IF('Aqueous Species Table'!I608="", "", IF('Aqueous Species Options'!B608="H+", 0, ((1.11*('Aqueous Species Options'!G608 + 'Aqueous Species Table'!O608*100000*0.0000005903*41.8393)+1.8)/41.8393 - 'Aqueous Species Table'!I608/10)*26.01 ) ) ) )</f>
        <v/>
      </c>
      <c r="K608" s="1" t="str">
        <f>IF(ISBLANK('Aqueous Species Options'!B608), "", IF('Aqueous Species Options'!L608 = 0, 'Aqueous Species Options'!P608, IF('Aqueous Species Table'!I608="", "", IF('Aqueous Species Options'!B608="H+", 0, ('Aqueous Species Options'!G608/41.8393 + 'Aqueous Species Table'!O608*100000*0.0000005903 - 'Aqueous Species Table'!I608/10 - 'Aqueous Species Table'!J608*100/2601)*(298.15-228) - ('Aqueous Species Table'!L608*10000/2601) ) ) ) )</f>
        <v/>
      </c>
      <c r="L608" s="1" t="str">
        <f>IF(ISBLANK('Aqueous Species Options'!B608), "", IF('Aqueous Species Options'!L608 = 0, 'Aqueous Species Options'!Q608, IF('Aqueous Species Table'!J608="", "", IF('Aqueous Species Options'!B608="H+", 0, (-4.134*'Aqueous Species Table'!J608*100 - 27790)*0.0001) ) ) )</f>
        <v/>
      </c>
      <c r="M608" s="1" t="str">
        <f>IF(ISBLANK('Aqueous Species Options'!B608), "", IF('Aqueous Species Options'!L608=0, 'Aqueous Species Options'!R608, IF('Aqueous Species Table'!N608="", "", IF('Aqueous Species Options'!B608="H+", 0, 'Aqueous Species Options'!H608 - 'Aqueous Species Table'!O608*100000*(-0.000000309)*298.15 - 'Aqueous Species Table'!N608*10000/(298.15-228)^2 ) ) ) )</f>
        <v/>
      </c>
      <c r="N608" s="1" t="str">
        <f>IF(ISBLANK('Aqueous Species Options'!B608), "", IF('Aqueous Species Options'!L608=0, 'Aqueous Species Options'!S608, IF(OR(ISBLANK('Aqueous Species Options'!H608), 'Aqueous Species Table'!O608=""), "", IF('Aqueous Species Options'!B608="H+", 0, 0.2037*'Aqueous Species Options'!H608 - 3.0346) ) ) )</f>
        <v/>
      </c>
      <c r="O608" s="1" t="str">
        <f>IF(ISBLANK('Aqueous Species Options'!B608), "", IF('Aqueous Species Options'!K608=0, 'Aqueous Species Options'!I608, IF(OR('Aqueous Species Options'!J608&gt;4,'Aqueous Species Options'!J608&lt;-4), "", IF('Aqueous Species Options'!B608="H+", 0, IF('Aqueous Species Options'!J608=0, -0.038, IF(ISBLANK('Aqueous Species Options'!F608), "", -1514.4*'Aqueous Species Options'!F608*0.00001 + SUM(({4,3,2,1,-1,-2,-3,-4}='Aqueous Species Options'!J608)*{2.1764,1.5793,1.0579,0.5517,1.6291,3.2127,4.8115,6.486}) ) ) ) ) ) )</f>
        <v/>
      </c>
      <c r="P608" s="1" t="str">
        <f>IF(ISBLANK('Aqueous Species Options'!J608), "", 'Aqueous Species Options'!J608)</f>
        <v/>
      </c>
      <c r="Q608" s="184" t="str">
        <f>IF(ISBLANK('Aqueous Species Options'!T608), "", 'Aqueous Species Options'!T608)</f>
        <v/>
      </c>
    </row>
    <row r="609" spans="2:17" ht="16" x14ac:dyDescent="0.2">
      <c r="B609" t="str">
        <f>IF(ISBLANK('Aqueous Species Options'!B609), "", 'Aqueous Species Options'!B609)</f>
        <v/>
      </c>
      <c r="C609" s="1" t="str">
        <f>IF(ISBLANK('Aqueous Species Options'!C609), "", 'Aqueous Species Options'!C609)</f>
        <v/>
      </c>
      <c r="D609" s="1" t="str">
        <f>IF(ISBLANK('Aqueous Species Options'!D609), "", 'Aqueous Species Options'!D609)</f>
        <v/>
      </c>
      <c r="E609" s="1" t="str">
        <f>IF(ISBLANK('Aqueous Species Options'!E609), "", 'Aqueous Species Options'!E609)</f>
        <v/>
      </c>
      <c r="F609" s="139" t="str">
        <f>IF(ISBLANK('Aqueous Species Options'!F609), "", 'Aqueous Species Options'!F609)</f>
        <v/>
      </c>
      <c r="G609" s="29" t="str">
        <f>IF(ISBLANK('Aqueous Species Options'!B609), "", IF('Aqueous Species Options'!L609 = 1, IF(ISBLANK('Aqueous Species Options'!G609), "", 'Aqueous Species Options'!G609), ('Aqueous Species Table'!I609/10 + ('Aqueous Species Table'!J609*100)/(Calculations!$C$12+Calculations!$C$9) + ('Aqueous Species Table'!K609 + ('Aqueous Species Table'!L609*10000)/(Calculations!$C$12+Calculations!$C$9))*(1/(Calculations!$C$8-Calculations!$C$13)) - 'Aqueous Species Table'!O609*100000*0.0000005903)*41.8393))</f>
        <v/>
      </c>
      <c r="H609" s="29" t="str">
        <f>IF(ISBLANK('Aqueous Species Options'!B609), "", IF('Aqueous Species Options'!L609 = 1, IF(ISBLANK('Aqueous Species Options'!H609), "", 'Aqueous Species Options'!H609), 'Aqueous Species Table'!M609 + 'Aqueous Species Table'!N609*10000*(1/(Calculations!$C$8-Calculations!$C$13))^2 + 'Aqueous Species Table'!O609*100000*Calculations!$C$8*Calculations!$C$7))</f>
        <v/>
      </c>
      <c r="I609" s="1" t="str">
        <f>IF(ISBLANK('Aqueous Species Options'!B609), "", IF('Aqueous Species Options'!L609=0, 'Aqueous Species Options'!N609, IF(OR(ISBLANK('Aqueous Species Options'!G609),'Aqueous Species Table'!O609="", 'Aqueous Species Table'!P609=""), "", IF('Aqueous Species Options'!B609="H+", 0, (CHOOSE('Aqueous Species Options'!M609+1,'Aqueous Species Options'!$V$4*ABS('Aqueous Species Table'!P609)+'Aqueous Species Options'!$W$4,'Aqueous Species Options'!$Z$4)*('Aqueous Species Options'!G609 + 'Aqueous Species Table'!O609*100000*0.0000005903*41.8393) + CHOOSE('Aqueous Species Options'!M609+1,'Aqueous Species Options'!$X$4*ABS('Aqueous Species Table'!P609)+'Aqueous Species Options'!$Y$4,'Aqueous Species Options'!$AA$4))*10 ) ) ) )</f>
        <v/>
      </c>
      <c r="J609" s="1" t="str">
        <f>IF(ISBLANK('Aqueous Species Options'!B609), "", IF('Aqueous Species Options'!L609 = 0, 'Aqueous Species Options'!O609, IF('Aqueous Species Table'!I609="", "", IF('Aqueous Species Options'!B609="H+", 0, ((1.11*('Aqueous Species Options'!G609 + 'Aqueous Species Table'!O609*100000*0.0000005903*41.8393)+1.8)/41.8393 - 'Aqueous Species Table'!I609/10)*26.01 ) ) ) )</f>
        <v/>
      </c>
      <c r="K609" s="1" t="str">
        <f>IF(ISBLANK('Aqueous Species Options'!B609), "", IF('Aqueous Species Options'!L609 = 0, 'Aqueous Species Options'!P609, IF('Aqueous Species Table'!I609="", "", IF('Aqueous Species Options'!B609="H+", 0, ('Aqueous Species Options'!G609/41.8393 + 'Aqueous Species Table'!O609*100000*0.0000005903 - 'Aqueous Species Table'!I609/10 - 'Aqueous Species Table'!J609*100/2601)*(298.15-228) - ('Aqueous Species Table'!L609*10000/2601) ) ) ) )</f>
        <v/>
      </c>
      <c r="L609" s="1" t="str">
        <f>IF(ISBLANK('Aqueous Species Options'!B609), "", IF('Aqueous Species Options'!L609 = 0, 'Aqueous Species Options'!Q609, IF('Aqueous Species Table'!J609="", "", IF('Aqueous Species Options'!B609="H+", 0, (-4.134*'Aqueous Species Table'!J609*100 - 27790)*0.0001) ) ) )</f>
        <v/>
      </c>
      <c r="M609" s="1" t="str">
        <f>IF(ISBLANK('Aqueous Species Options'!B609), "", IF('Aqueous Species Options'!L609=0, 'Aqueous Species Options'!R609, IF('Aqueous Species Table'!N609="", "", IF('Aqueous Species Options'!B609="H+", 0, 'Aqueous Species Options'!H609 - 'Aqueous Species Table'!O609*100000*(-0.000000309)*298.15 - 'Aqueous Species Table'!N609*10000/(298.15-228)^2 ) ) ) )</f>
        <v/>
      </c>
      <c r="N609" s="1" t="str">
        <f>IF(ISBLANK('Aqueous Species Options'!B609), "", IF('Aqueous Species Options'!L609=0, 'Aqueous Species Options'!S609, IF(OR(ISBLANK('Aqueous Species Options'!H609), 'Aqueous Species Table'!O609=""), "", IF('Aqueous Species Options'!B609="H+", 0, 0.2037*'Aqueous Species Options'!H609 - 3.0346) ) ) )</f>
        <v/>
      </c>
      <c r="O609" s="1" t="str">
        <f>IF(ISBLANK('Aqueous Species Options'!B609), "", IF('Aqueous Species Options'!K609=0, 'Aqueous Species Options'!I609, IF(OR('Aqueous Species Options'!J609&gt;4,'Aqueous Species Options'!J609&lt;-4), "", IF('Aqueous Species Options'!B609="H+", 0, IF('Aqueous Species Options'!J609=0, -0.038, IF(ISBLANK('Aqueous Species Options'!F609), "", -1514.4*'Aqueous Species Options'!F609*0.00001 + SUM(({4,3,2,1,-1,-2,-3,-4}='Aqueous Species Options'!J609)*{2.1764,1.5793,1.0579,0.5517,1.6291,3.2127,4.8115,6.486}) ) ) ) ) ) )</f>
        <v/>
      </c>
      <c r="P609" s="1" t="str">
        <f>IF(ISBLANK('Aqueous Species Options'!J609), "", 'Aqueous Species Options'!J609)</f>
        <v/>
      </c>
      <c r="Q609" s="184" t="str">
        <f>IF(ISBLANK('Aqueous Species Options'!T609), "", 'Aqueous Species Options'!T609)</f>
        <v/>
      </c>
    </row>
    <row r="610" spans="2:17" ht="16" x14ac:dyDescent="0.2">
      <c r="B610" t="str">
        <f>IF(ISBLANK('Aqueous Species Options'!B610), "", 'Aqueous Species Options'!B610)</f>
        <v/>
      </c>
      <c r="C610" s="1" t="str">
        <f>IF(ISBLANK('Aqueous Species Options'!C610), "", 'Aqueous Species Options'!C610)</f>
        <v/>
      </c>
      <c r="D610" s="1" t="str">
        <f>IF(ISBLANK('Aqueous Species Options'!D610), "", 'Aqueous Species Options'!D610)</f>
        <v/>
      </c>
      <c r="E610" s="1" t="str">
        <f>IF(ISBLANK('Aqueous Species Options'!E610), "", 'Aqueous Species Options'!E610)</f>
        <v/>
      </c>
      <c r="F610" s="139" t="str">
        <f>IF(ISBLANK('Aqueous Species Options'!F610), "", 'Aqueous Species Options'!F610)</f>
        <v/>
      </c>
      <c r="G610" s="29" t="str">
        <f>IF(ISBLANK('Aqueous Species Options'!B610), "", IF('Aqueous Species Options'!L610 = 1, IF(ISBLANK('Aqueous Species Options'!G610), "", 'Aqueous Species Options'!G610), ('Aqueous Species Table'!I610/10 + ('Aqueous Species Table'!J610*100)/(Calculations!$C$12+Calculations!$C$9) + ('Aqueous Species Table'!K610 + ('Aqueous Species Table'!L610*10000)/(Calculations!$C$12+Calculations!$C$9))*(1/(Calculations!$C$8-Calculations!$C$13)) - 'Aqueous Species Table'!O610*100000*0.0000005903)*41.8393))</f>
        <v/>
      </c>
      <c r="H610" s="29" t="str">
        <f>IF(ISBLANK('Aqueous Species Options'!B610), "", IF('Aqueous Species Options'!L610 = 1, IF(ISBLANK('Aqueous Species Options'!H610), "", 'Aqueous Species Options'!H610), 'Aqueous Species Table'!M610 + 'Aqueous Species Table'!N610*10000*(1/(Calculations!$C$8-Calculations!$C$13))^2 + 'Aqueous Species Table'!O610*100000*Calculations!$C$8*Calculations!$C$7))</f>
        <v/>
      </c>
      <c r="I610" s="1" t="str">
        <f>IF(ISBLANK('Aqueous Species Options'!B610), "", IF('Aqueous Species Options'!L610=0, 'Aqueous Species Options'!N610, IF(OR(ISBLANK('Aqueous Species Options'!G610),'Aqueous Species Table'!O610="", 'Aqueous Species Table'!P610=""), "", IF('Aqueous Species Options'!B610="H+", 0, (CHOOSE('Aqueous Species Options'!M610+1,'Aqueous Species Options'!$V$4*ABS('Aqueous Species Table'!P610)+'Aqueous Species Options'!$W$4,'Aqueous Species Options'!$Z$4)*('Aqueous Species Options'!G610 + 'Aqueous Species Table'!O610*100000*0.0000005903*41.8393) + CHOOSE('Aqueous Species Options'!M610+1,'Aqueous Species Options'!$X$4*ABS('Aqueous Species Table'!P610)+'Aqueous Species Options'!$Y$4,'Aqueous Species Options'!$AA$4))*10 ) ) ) )</f>
        <v/>
      </c>
      <c r="J610" s="1" t="str">
        <f>IF(ISBLANK('Aqueous Species Options'!B610), "", IF('Aqueous Species Options'!L610 = 0, 'Aqueous Species Options'!O610, IF('Aqueous Species Table'!I610="", "", IF('Aqueous Species Options'!B610="H+", 0, ((1.11*('Aqueous Species Options'!G610 + 'Aqueous Species Table'!O610*100000*0.0000005903*41.8393)+1.8)/41.8393 - 'Aqueous Species Table'!I610/10)*26.01 ) ) ) )</f>
        <v/>
      </c>
      <c r="K610" s="1" t="str">
        <f>IF(ISBLANK('Aqueous Species Options'!B610), "", IF('Aqueous Species Options'!L610 = 0, 'Aqueous Species Options'!P610, IF('Aqueous Species Table'!I610="", "", IF('Aqueous Species Options'!B610="H+", 0, ('Aqueous Species Options'!G610/41.8393 + 'Aqueous Species Table'!O610*100000*0.0000005903 - 'Aqueous Species Table'!I610/10 - 'Aqueous Species Table'!J610*100/2601)*(298.15-228) - ('Aqueous Species Table'!L610*10000/2601) ) ) ) )</f>
        <v/>
      </c>
      <c r="L610" s="1" t="str">
        <f>IF(ISBLANK('Aqueous Species Options'!B610), "", IF('Aqueous Species Options'!L610 = 0, 'Aqueous Species Options'!Q610, IF('Aqueous Species Table'!J610="", "", IF('Aqueous Species Options'!B610="H+", 0, (-4.134*'Aqueous Species Table'!J610*100 - 27790)*0.0001) ) ) )</f>
        <v/>
      </c>
      <c r="M610" s="1" t="str">
        <f>IF(ISBLANK('Aqueous Species Options'!B610), "", IF('Aqueous Species Options'!L610=0, 'Aqueous Species Options'!R610, IF('Aqueous Species Table'!N610="", "", IF('Aqueous Species Options'!B610="H+", 0, 'Aqueous Species Options'!H610 - 'Aqueous Species Table'!O610*100000*(-0.000000309)*298.15 - 'Aqueous Species Table'!N610*10000/(298.15-228)^2 ) ) ) )</f>
        <v/>
      </c>
      <c r="N610" s="1" t="str">
        <f>IF(ISBLANK('Aqueous Species Options'!B610), "", IF('Aqueous Species Options'!L610=0, 'Aqueous Species Options'!S610, IF(OR(ISBLANK('Aqueous Species Options'!H610), 'Aqueous Species Table'!O610=""), "", IF('Aqueous Species Options'!B610="H+", 0, 0.2037*'Aqueous Species Options'!H610 - 3.0346) ) ) )</f>
        <v/>
      </c>
      <c r="O610" s="1" t="str">
        <f>IF(ISBLANK('Aqueous Species Options'!B610), "", IF('Aqueous Species Options'!K610=0, 'Aqueous Species Options'!I610, IF(OR('Aqueous Species Options'!J610&gt;4,'Aqueous Species Options'!J610&lt;-4), "", IF('Aqueous Species Options'!B610="H+", 0, IF('Aqueous Species Options'!J610=0, -0.038, IF(ISBLANK('Aqueous Species Options'!F610), "", -1514.4*'Aqueous Species Options'!F610*0.00001 + SUM(({4,3,2,1,-1,-2,-3,-4}='Aqueous Species Options'!J610)*{2.1764,1.5793,1.0579,0.5517,1.6291,3.2127,4.8115,6.486}) ) ) ) ) ) )</f>
        <v/>
      </c>
      <c r="P610" s="1" t="str">
        <f>IF(ISBLANK('Aqueous Species Options'!J610), "", 'Aqueous Species Options'!J610)</f>
        <v/>
      </c>
      <c r="Q610" s="184" t="str">
        <f>IF(ISBLANK('Aqueous Species Options'!T610), "", 'Aqueous Species Options'!T610)</f>
        <v/>
      </c>
    </row>
    <row r="611" spans="2:17" ht="16" x14ac:dyDescent="0.2">
      <c r="B611" t="str">
        <f>IF(ISBLANK('Aqueous Species Options'!B611), "", 'Aqueous Species Options'!B611)</f>
        <v/>
      </c>
      <c r="C611" s="1" t="str">
        <f>IF(ISBLANK('Aqueous Species Options'!C611), "", 'Aqueous Species Options'!C611)</f>
        <v/>
      </c>
      <c r="D611" s="1" t="str">
        <f>IF(ISBLANK('Aqueous Species Options'!D611), "", 'Aqueous Species Options'!D611)</f>
        <v/>
      </c>
      <c r="E611" s="1" t="str">
        <f>IF(ISBLANK('Aqueous Species Options'!E611), "", 'Aqueous Species Options'!E611)</f>
        <v/>
      </c>
      <c r="F611" s="139" t="str">
        <f>IF(ISBLANK('Aqueous Species Options'!F611), "", 'Aqueous Species Options'!F611)</f>
        <v/>
      </c>
      <c r="G611" s="29" t="str">
        <f>IF(ISBLANK('Aqueous Species Options'!B611), "", IF('Aqueous Species Options'!L611 = 1, IF(ISBLANK('Aqueous Species Options'!G611), "", 'Aqueous Species Options'!G611), ('Aqueous Species Table'!I611/10 + ('Aqueous Species Table'!J611*100)/(Calculations!$C$12+Calculations!$C$9) + ('Aqueous Species Table'!K611 + ('Aqueous Species Table'!L611*10000)/(Calculations!$C$12+Calculations!$C$9))*(1/(Calculations!$C$8-Calculations!$C$13)) - 'Aqueous Species Table'!O611*100000*0.0000005903)*41.8393))</f>
        <v/>
      </c>
      <c r="H611" s="29" t="str">
        <f>IF(ISBLANK('Aqueous Species Options'!B611), "", IF('Aqueous Species Options'!L611 = 1, IF(ISBLANK('Aqueous Species Options'!H611), "", 'Aqueous Species Options'!H611), 'Aqueous Species Table'!M611 + 'Aqueous Species Table'!N611*10000*(1/(Calculations!$C$8-Calculations!$C$13))^2 + 'Aqueous Species Table'!O611*100000*Calculations!$C$8*Calculations!$C$7))</f>
        <v/>
      </c>
      <c r="I611" s="1" t="str">
        <f>IF(ISBLANK('Aqueous Species Options'!B611), "", IF('Aqueous Species Options'!L611=0, 'Aqueous Species Options'!N611, IF(OR(ISBLANK('Aqueous Species Options'!G611),'Aqueous Species Table'!O611="", 'Aqueous Species Table'!P611=""), "", IF('Aqueous Species Options'!B611="H+", 0, (CHOOSE('Aqueous Species Options'!M611+1,'Aqueous Species Options'!$V$4*ABS('Aqueous Species Table'!P611)+'Aqueous Species Options'!$W$4,'Aqueous Species Options'!$Z$4)*('Aqueous Species Options'!G611 + 'Aqueous Species Table'!O611*100000*0.0000005903*41.8393) + CHOOSE('Aqueous Species Options'!M611+1,'Aqueous Species Options'!$X$4*ABS('Aqueous Species Table'!P611)+'Aqueous Species Options'!$Y$4,'Aqueous Species Options'!$AA$4))*10 ) ) ) )</f>
        <v/>
      </c>
      <c r="J611" s="1" t="str">
        <f>IF(ISBLANK('Aqueous Species Options'!B611), "", IF('Aqueous Species Options'!L611 = 0, 'Aqueous Species Options'!O611, IF('Aqueous Species Table'!I611="", "", IF('Aqueous Species Options'!B611="H+", 0, ((1.11*('Aqueous Species Options'!G611 + 'Aqueous Species Table'!O611*100000*0.0000005903*41.8393)+1.8)/41.8393 - 'Aqueous Species Table'!I611/10)*26.01 ) ) ) )</f>
        <v/>
      </c>
      <c r="K611" s="1" t="str">
        <f>IF(ISBLANK('Aqueous Species Options'!B611), "", IF('Aqueous Species Options'!L611 = 0, 'Aqueous Species Options'!P611, IF('Aqueous Species Table'!I611="", "", IF('Aqueous Species Options'!B611="H+", 0, ('Aqueous Species Options'!G611/41.8393 + 'Aqueous Species Table'!O611*100000*0.0000005903 - 'Aqueous Species Table'!I611/10 - 'Aqueous Species Table'!J611*100/2601)*(298.15-228) - ('Aqueous Species Table'!L611*10000/2601) ) ) ) )</f>
        <v/>
      </c>
      <c r="L611" s="1" t="str">
        <f>IF(ISBLANK('Aqueous Species Options'!B611), "", IF('Aqueous Species Options'!L611 = 0, 'Aqueous Species Options'!Q611, IF('Aqueous Species Table'!J611="", "", IF('Aqueous Species Options'!B611="H+", 0, (-4.134*'Aqueous Species Table'!J611*100 - 27790)*0.0001) ) ) )</f>
        <v/>
      </c>
      <c r="M611" s="1" t="str">
        <f>IF(ISBLANK('Aqueous Species Options'!B611), "", IF('Aqueous Species Options'!L611=0, 'Aqueous Species Options'!R611, IF('Aqueous Species Table'!N611="", "", IF('Aqueous Species Options'!B611="H+", 0, 'Aqueous Species Options'!H611 - 'Aqueous Species Table'!O611*100000*(-0.000000309)*298.15 - 'Aqueous Species Table'!N611*10000/(298.15-228)^2 ) ) ) )</f>
        <v/>
      </c>
      <c r="N611" s="1" t="str">
        <f>IF(ISBLANK('Aqueous Species Options'!B611), "", IF('Aqueous Species Options'!L611=0, 'Aqueous Species Options'!S611, IF(OR(ISBLANK('Aqueous Species Options'!H611), 'Aqueous Species Table'!O611=""), "", IF('Aqueous Species Options'!B611="H+", 0, 0.2037*'Aqueous Species Options'!H611 - 3.0346) ) ) )</f>
        <v/>
      </c>
      <c r="O611" s="1" t="str">
        <f>IF(ISBLANK('Aqueous Species Options'!B611), "", IF('Aqueous Species Options'!K611=0, 'Aqueous Species Options'!I611, IF(OR('Aqueous Species Options'!J611&gt;4,'Aqueous Species Options'!J611&lt;-4), "", IF('Aqueous Species Options'!B611="H+", 0, IF('Aqueous Species Options'!J611=0, -0.038, IF(ISBLANK('Aqueous Species Options'!F611), "", -1514.4*'Aqueous Species Options'!F611*0.00001 + SUM(({4,3,2,1,-1,-2,-3,-4}='Aqueous Species Options'!J611)*{2.1764,1.5793,1.0579,0.5517,1.6291,3.2127,4.8115,6.486}) ) ) ) ) ) )</f>
        <v/>
      </c>
      <c r="P611" s="1" t="str">
        <f>IF(ISBLANK('Aqueous Species Options'!J611), "", 'Aqueous Species Options'!J611)</f>
        <v/>
      </c>
      <c r="Q611" s="184" t="str">
        <f>IF(ISBLANK('Aqueous Species Options'!T611), "", 'Aqueous Species Options'!T611)</f>
        <v/>
      </c>
    </row>
    <row r="612" spans="2:17" ht="16" x14ac:dyDescent="0.2">
      <c r="B612" t="str">
        <f>IF(ISBLANK('Aqueous Species Options'!B612), "", 'Aqueous Species Options'!B612)</f>
        <v/>
      </c>
      <c r="C612" s="1" t="str">
        <f>IF(ISBLANK('Aqueous Species Options'!C612), "", 'Aqueous Species Options'!C612)</f>
        <v/>
      </c>
      <c r="D612" s="1" t="str">
        <f>IF(ISBLANK('Aqueous Species Options'!D612), "", 'Aqueous Species Options'!D612)</f>
        <v/>
      </c>
      <c r="E612" s="1" t="str">
        <f>IF(ISBLANK('Aqueous Species Options'!E612), "", 'Aqueous Species Options'!E612)</f>
        <v/>
      </c>
      <c r="F612" s="139" t="str">
        <f>IF(ISBLANK('Aqueous Species Options'!F612), "", 'Aqueous Species Options'!F612)</f>
        <v/>
      </c>
      <c r="G612" s="29" t="str">
        <f>IF(ISBLANK('Aqueous Species Options'!B612), "", IF('Aqueous Species Options'!L612 = 1, IF(ISBLANK('Aqueous Species Options'!G612), "", 'Aqueous Species Options'!G612), ('Aqueous Species Table'!I612/10 + ('Aqueous Species Table'!J612*100)/(Calculations!$C$12+Calculations!$C$9) + ('Aqueous Species Table'!K612 + ('Aqueous Species Table'!L612*10000)/(Calculations!$C$12+Calculations!$C$9))*(1/(Calculations!$C$8-Calculations!$C$13)) - 'Aqueous Species Table'!O612*100000*0.0000005903)*41.8393))</f>
        <v/>
      </c>
      <c r="H612" s="29" t="str">
        <f>IF(ISBLANK('Aqueous Species Options'!B612), "", IF('Aqueous Species Options'!L612 = 1, IF(ISBLANK('Aqueous Species Options'!H612), "", 'Aqueous Species Options'!H612), 'Aqueous Species Table'!M612 + 'Aqueous Species Table'!N612*10000*(1/(Calculations!$C$8-Calculations!$C$13))^2 + 'Aqueous Species Table'!O612*100000*Calculations!$C$8*Calculations!$C$7))</f>
        <v/>
      </c>
      <c r="I612" s="1" t="str">
        <f>IF(ISBLANK('Aqueous Species Options'!B612), "", IF('Aqueous Species Options'!L612=0, 'Aqueous Species Options'!N612, IF(OR(ISBLANK('Aqueous Species Options'!G612),'Aqueous Species Table'!O612="", 'Aqueous Species Table'!P612=""), "", IF('Aqueous Species Options'!B612="H+", 0, (CHOOSE('Aqueous Species Options'!M612+1,'Aqueous Species Options'!$V$4*ABS('Aqueous Species Table'!P612)+'Aqueous Species Options'!$W$4,'Aqueous Species Options'!$Z$4)*('Aqueous Species Options'!G612 + 'Aqueous Species Table'!O612*100000*0.0000005903*41.8393) + CHOOSE('Aqueous Species Options'!M612+1,'Aqueous Species Options'!$X$4*ABS('Aqueous Species Table'!P612)+'Aqueous Species Options'!$Y$4,'Aqueous Species Options'!$AA$4))*10 ) ) ) )</f>
        <v/>
      </c>
      <c r="J612" s="1" t="str">
        <f>IF(ISBLANK('Aqueous Species Options'!B612), "", IF('Aqueous Species Options'!L612 = 0, 'Aqueous Species Options'!O612, IF('Aqueous Species Table'!I612="", "", IF('Aqueous Species Options'!B612="H+", 0, ((1.11*('Aqueous Species Options'!G612 + 'Aqueous Species Table'!O612*100000*0.0000005903*41.8393)+1.8)/41.8393 - 'Aqueous Species Table'!I612/10)*26.01 ) ) ) )</f>
        <v/>
      </c>
      <c r="K612" s="1" t="str">
        <f>IF(ISBLANK('Aqueous Species Options'!B612), "", IF('Aqueous Species Options'!L612 = 0, 'Aqueous Species Options'!P612, IF('Aqueous Species Table'!I612="", "", IF('Aqueous Species Options'!B612="H+", 0, ('Aqueous Species Options'!G612/41.8393 + 'Aqueous Species Table'!O612*100000*0.0000005903 - 'Aqueous Species Table'!I612/10 - 'Aqueous Species Table'!J612*100/2601)*(298.15-228) - ('Aqueous Species Table'!L612*10000/2601) ) ) ) )</f>
        <v/>
      </c>
      <c r="L612" s="1" t="str">
        <f>IF(ISBLANK('Aqueous Species Options'!B612), "", IF('Aqueous Species Options'!L612 = 0, 'Aqueous Species Options'!Q612, IF('Aqueous Species Table'!J612="", "", IF('Aqueous Species Options'!B612="H+", 0, (-4.134*'Aqueous Species Table'!J612*100 - 27790)*0.0001) ) ) )</f>
        <v/>
      </c>
      <c r="M612" s="1" t="str">
        <f>IF(ISBLANK('Aqueous Species Options'!B612), "", IF('Aqueous Species Options'!L612=0, 'Aqueous Species Options'!R612, IF('Aqueous Species Table'!N612="", "", IF('Aqueous Species Options'!B612="H+", 0, 'Aqueous Species Options'!H612 - 'Aqueous Species Table'!O612*100000*(-0.000000309)*298.15 - 'Aqueous Species Table'!N612*10000/(298.15-228)^2 ) ) ) )</f>
        <v/>
      </c>
      <c r="N612" s="1" t="str">
        <f>IF(ISBLANK('Aqueous Species Options'!B612), "", IF('Aqueous Species Options'!L612=0, 'Aqueous Species Options'!S612, IF(OR(ISBLANK('Aqueous Species Options'!H612), 'Aqueous Species Table'!O612=""), "", IF('Aqueous Species Options'!B612="H+", 0, 0.2037*'Aqueous Species Options'!H612 - 3.0346) ) ) )</f>
        <v/>
      </c>
      <c r="O612" s="1" t="str">
        <f>IF(ISBLANK('Aqueous Species Options'!B612), "", IF('Aqueous Species Options'!K612=0, 'Aqueous Species Options'!I612, IF(OR('Aqueous Species Options'!J612&gt;4,'Aqueous Species Options'!J612&lt;-4), "", IF('Aqueous Species Options'!B612="H+", 0, IF('Aqueous Species Options'!J612=0, -0.038, IF(ISBLANK('Aqueous Species Options'!F612), "", -1514.4*'Aqueous Species Options'!F612*0.00001 + SUM(({4,3,2,1,-1,-2,-3,-4}='Aqueous Species Options'!J612)*{2.1764,1.5793,1.0579,0.5517,1.6291,3.2127,4.8115,6.486}) ) ) ) ) ) )</f>
        <v/>
      </c>
      <c r="P612" s="1" t="str">
        <f>IF(ISBLANK('Aqueous Species Options'!J612), "", 'Aqueous Species Options'!J612)</f>
        <v/>
      </c>
      <c r="Q612" s="184" t="str">
        <f>IF(ISBLANK('Aqueous Species Options'!T612), "", 'Aqueous Species Options'!T612)</f>
        <v/>
      </c>
    </row>
    <row r="613" spans="2:17" ht="16" x14ac:dyDescent="0.2">
      <c r="B613" t="str">
        <f>IF(ISBLANK('Aqueous Species Options'!B613), "", 'Aqueous Species Options'!B613)</f>
        <v/>
      </c>
      <c r="C613" s="1" t="str">
        <f>IF(ISBLANK('Aqueous Species Options'!C613), "", 'Aqueous Species Options'!C613)</f>
        <v/>
      </c>
      <c r="D613" s="1" t="str">
        <f>IF(ISBLANK('Aqueous Species Options'!D613), "", 'Aqueous Species Options'!D613)</f>
        <v/>
      </c>
      <c r="E613" s="1" t="str">
        <f>IF(ISBLANK('Aqueous Species Options'!E613), "", 'Aqueous Species Options'!E613)</f>
        <v/>
      </c>
      <c r="F613" s="139" t="str">
        <f>IF(ISBLANK('Aqueous Species Options'!F613), "", 'Aqueous Species Options'!F613)</f>
        <v/>
      </c>
      <c r="G613" s="29" t="str">
        <f>IF(ISBLANK('Aqueous Species Options'!B613), "", IF('Aqueous Species Options'!L613 = 1, IF(ISBLANK('Aqueous Species Options'!G613), "", 'Aqueous Species Options'!G613), ('Aqueous Species Table'!I613/10 + ('Aqueous Species Table'!J613*100)/(Calculations!$C$12+Calculations!$C$9) + ('Aqueous Species Table'!K613 + ('Aqueous Species Table'!L613*10000)/(Calculations!$C$12+Calculations!$C$9))*(1/(Calculations!$C$8-Calculations!$C$13)) - 'Aqueous Species Table'!O613*100000*0.0000005903)*41.8393))</f>
        <v/>
      </c>
      <c r="H613" s="29" t="str">
        <f>IF(ISBLANK('Aqueous Species Options'!B613), "", IF('Aqueous Species Options'!L613 = 1, IF(ISBLANK('Aqueous Species Options'!H613), "", 'Aqueous Species Options'!H613), 'Aqueous Species Table'!M613 + 'Aqueous Species Table'!N613*10000*(1/(Calculations!$C$8-Calculations!$C$13))^2 + 'Aqueous Species Table'!O613*100000*Calculations!$C$8*Calculations!$C$7))</f>
        <v/>
      </c>
      <c r="I613" s="1" t="str">
        <f>IF(ISBLANK('Aqueous Species Options'!B613), "", IF('Aqueous Species Options'!L613=0, 'Aqueous Species Options'!N613, IF(OR(ISBLANK('Aqueous Species Options'!G613),'Aqueous Species Table'!O613="", 'Aqueous Species Table'!P613=""), "", IF('Aqueous Species Options'!B613="H+", 0, (CHOOSE('Aqueous Species Options'!M613+1,'Aqueous Species Options'!$V$4*ABS('Aqueous Species Table'!P613)+'Aqueous Species Options'!$W$4,'Aqueous Species Options'!$Z$4)*('Aqueous Species Options'!G613 + 'Aqueous Species Table'!O613*100000*0.0000005903*41.8393) + CHOOSE('Aqueous Species Options'!M613+1,'Aqueous Species Options'!$X$4*ABS('Aqueous Species Table'!P613)+'Aqueous Species Options'!$Y$4,'Aqueous Species Options'!$AA$4))*10 ) ) ) )</f>
        <v/>
      </c>
      <c r="J613" s="1" t="str">
        <f>IF(ISBLANK('Aqueous Species Options'!B613), "", IF('Aqueous Species Options'!L613 = 0, 'Aqueous Species Options'!O613, IF('Aqueous Species Table'!I613="", "", IF('Aqueous Species Options'!B613="H+", 0, ((1.11*('Aqueous Species Options'!G613 + 'Aqueous Species Table'!O613*100000*0.0000005903*41.8393)+1.8)/41.8393 - 'Aqueous Species Table'!I613/10)*26.01 ) ) ) )</f>
        <v/>
      </c>
      <c r="K613" s="1" t="str">
        <f>IF(ISBLANK('Aqueous Species Options'!B613), "", IF('Aqueous Species Options'!L613 = 0, 'Aqueous Species Options'!P613, IF('Aqueous Species Table'!I613="", "", IF('Aqueous Species Options'!B613="H+", 0, ('Aqueous Species Options'!G613/41.8393 + 'Aqueous Species Table'!O613*100000*0.0000005903 - 'Aqueous Species Table'!I613/10 - 'Aqueous Species Table'!J613*100/2601)*(298.15-228) - ('Aqueous Species Table'!L613*10000/2601) ) ) ) )</f>
        <v/>
      </c>
      <c r="L613" s="1" t="str">
        <f>IF(ISBLANK('Aqueous Species Options'!B613), "", IF('Aqueous Species Options'!L613 = 0, 'Aqueous Species Options'!Q613, IF('Aqueous Species Table'!J613="", "", IF('Aqueous Species Options'!B613="H+", 0, (-4.134*'Aqueous Species Table'!J613*100 - 27790)*0.0001) ) ) )</f>
        <v/>
      </c>
      <c r="M613" s="1" t="str">
        <f>IF(ISBLANK('Aqueous Species Options'!B613), "", IF('Aqueous Species Options'!L613=0, 'Aqueous Species Options'!R613, IF('Aqueous Species Table'!N613="", "", IF('Aqueous Species Options'!B613="H+", 0, 'Aqueous Species Options'!H613 - 'Aqueous Species Table'!O613*100000*(-0.000000309)*298.15 - 'Aqueous Species Table'!N613*10000/(298.15-228)^2 ) ) ) )</f>
        <v/>
      </c>
      <c r="N613" s="1" t="str">
        <f>IF(ISBLANK('Aqueous Species Options'!B613), "", IF('Aqueous Species Options'!L613=0, 'Aqueous Species Options'!S613, IF(OR(ISBLANK('Aqueous Species Options'!H613), 'Aqueous Species Table'!O613=""), "", IF('Aqueous Species Options'!B613="H+", 0, 0.2037*'Aqueous Species Options'!H613 - 3.0346) ) ) )</f>
        <v/>
      </c>
      <c r="O613" s="1" t="str">
        <f>IF(ISBLANK('Aqueous Species Options'!B613), "", IF('Aqueous Species Options'!K613=0, 'Aqueous Species Options'!I613, IF(OR('Aqueous Species Options'!J613&gt;4,'Aqueous Species Options'!J613&lt;-4), "", IF('Aqueous Species Options'!B613="H+", 0, IF('Aqueous Species Options'!J613=0, -0.038, IF(ISBLANK('Aqueous Species Options'!F613), "", -1514.4*'Aqueous Species Options'!F613*0.00001 + SUM(({4,3,2,1,-1,-2,-3,-4}='Aqueous Species Options'!J613)*{2.1764,1.5793,1.0579,0.5517,1.6291,3.2127,4.8115,6.486}) ) ) ) ) ) )</f>
        <v/>
      </c>
      <c r="P613" s="1" t="str">
        <f>IF(ISBLANK('Aqueous Species Options'!J613), "", 'Aqueous Species Options'!J613)</f>
        <v/>
      </c>
      <c r="Q613" s="184" t="str">
        <f>IF(ISBLANK('Aqueous Species Options'!T613), "", 'Aqueous Species Options'!T613)</f>
        <v/>
      </c>
    </row>
    <row r="614" spans="2:17" ht="16" x14ac:dyDescent="0.2">
      <c r="B614" t="str">
        <f>IF(ISBLANK('Aqueous Species Options'!B614), "", 'Aqueous Species Options'!B614)</f>
        <v/>
      </c>
      <c r="C614" s="1" t="str">
        <f>IF(ISBLANK('Aqueous Species Options'!C614), "", 'Aqueous Species Options'!C614)</f>
        <v/>
      </c>
      <c r="D614" s="1" t="str">
        <f>IF(ISBLANK('Aqueous Species Options'!D614), "", 'Aqueous Species Options'!D614)</f>
        <v/>
      </c>
      <c r="E614" s="1" t="str">
        <f>IF(ISBLANK('Aqueous Species Options'!E614), "", 'Aqueous Species Options'!E614)</f>
        <v/>
      </c>
      <c r="F614" s="139" t="str">
        <f>IF(ISBLANK('Aqueous Species Options'!F614), "", 'Aqueous Species Options'!F614)</f>
        <v/>
      </c>
      <c r="G614" s="29" t="str">
        <f>IF(ISBLANK('Aqueous Species Options'!B614), "", IF('Aqueous Species Options'!L614 = 1, IF(ISBLANK('Aqueous Species Options'!G614), "", 'Aqueous Species Options'!G614), ('Aqueous Species Table'!I614/10 + ('Aqueous Species Table'!J614*100)/(Calculations!$C$12+Calculations!$C$9) + ('Aqueous Species Table'!K614 + ('Aqueous Species Table'!L614*10000)/(Calculations!$C$12+Calculations!$C$9))*(1/(Calculations!$C$8-Calculations!$C$13)) - 'Aqueous Species Table'!O614*100000*0.0000005903)*41.8393))</f>
        <v/>
      </c>
      <c r="H614" s="29" t="str">
        <f>IF(ISBLANK('Aqueous Species Options'!B614), "", IF('Aqueous Species Options'!L614 = 1, IF(ISBLANK('Aqueous Species Options'!H614), "", 'Aqueous Species Options'!H614), 'Aqueous Species Table'!M614 + 'Aqueous Species Table'!N614*10000*(1/(Calculations!$C$8-Calculations!$C$13))^2 + 'Aqueous Species Table'!O614*100000*Calculations!$C$8*Calculations!$C$7))</f>
        <v/>
      </c>
      <c r="I614" s="1" t="str">
        <f>IF(ISBLANK('Aqueous Species Options'!B614), "", IF('Aqueous Species Options'!L614=0, 'Aqueous Species Options'!N614, IF(OR(ISBLANK('Aqueous Species Options'!G614),'Aqueous Species Table'!O614="", 'Aqueous Species Table'!P614=""), "", IF('Aqueous Species Options'!B614="H+", 0, (CHOOSE('Aqueous Species Options'!M614+1,'Aqueous Species Options'!$V$4*ABS('Aqueous Species Table'!P614)+'Aqueous Species Options'!$W$4,'Aqueous Species Options'!$Z$4)*('Aqueous Species Options'!G614 + 'Aqueous Species Table'!O614*100000*0.0000005903*41.8393) + CHOOSE('Aqueous Species Options'!M614+1,'Aqueous Species Options'!$X$4*ABS('Aqueous Species Table'!P614)+'Aqueous Species Options'!$Y$4,'Aqueous Species Options'!$AA$4))*10 ) ) ) )</f>
        <v/>
      </c>
      <c r="J614" s="1" t="str">
        <f>IF(ISBLANK('Aqueous Species Options'!B614), "", IF('Aqueous Species Options'!L614 = 0, 'Aqueous Species Options'!O614, IF('Aqueous Species Table'!I614="", "", IF('Aqueous Species Options'!B614="H+", 0, ((1.11*('Aqueous Species Options'!G614 + 'Aqueous Species Table'!O614*100000*0.0000005903*41.8393)+1.8)/41.8393 - 'Aqueous Species Table'!I614/10)*26.01 ) ) ) )</f>
        <v/>
      </c>
      <c r="K614" s="1" t="str">
        <f>IF(ISBLANK('Aqueous Species Options'!B614), "", IF('Aqueous Species Options'!L614 = 0, 'Aqueous Species Options'!P614, IF('Aqueous Species Table'!I614="", "", IF('Aqueous Species Options'!B614="H+", 0, ('Aqueous Species Options'!G614/41.8393 + 'Aqueous Species Table'!O614*100000*0.0000005903 - 'Aqueous Species Table'!I614/10 - 'Aqueous Species Table'!J614*100/2601)*(298.15-228) - ('Aqueous Species Table'!L614*10000/2601) ) ) ) )</f>
        <v/>
      </c>
      <c r="L614" s="1" t="str">
        <f>IF(ISBLANK('Aqueous Species Options'!B614), "", IF('Aqueous Species Options'!L614 = 0, 'Aqueous Species Options'!Q614, IF('Aqueous Species Table'!J614="", "", IF('Aqueous Species Options'!B614="H+", 0, (-4.134*'Aqueous Species Table'!J614*100 - 27790)*0.0001) ) ) )</f>
        <v/>
      </c>
      <c r="M614" s="1" t="str">
        <f>IF(ISBLANK('Aqueous Species Options'!B614), "", IF('Aqueous Species Options'!L614=0, 'Aqueous Species Options'!R614, IF('Aqueous Species Table'!N614="", "", IF('Aqueous Species Options'!B614="H+", 0, 'Aqueous Species Options'!H614 - 'Aqueous Species Table'!O614*100000*(-0.000000309)*298.15 - 'Aqueous Species Table'!N614*10000/(298.15-228)^2 ) ) ) )</f>
        <v/>
      </c>
      <c r="N614" s="1" t="str">
        <f>IF(ISBLANK('Aqueous Species Options'!B614), "", IF('Aqueous Species Options'!L614=0, 'Aqueous Species Options'!S614, IF(OR(ISBLANK('Aqueous Species Options'!H614), 'Aqueous Species Table'!O614=""), "", IF('Aqueous Species Options'!B614="H+", 0, 0.2037*'Aqueous Species Options'!H614 - 3.0346) ) ) )</f>
        <v/>
      </c>
      <c r="O614" s="1" t="str">
        <f>IF(ISBLANK('Aqueous Species Options'!B614), "", IF('Aqueous Species Options'!K614=0, 'Aqueous Species Options'!I614, IF(OR('Aqueous Species Options'!J614&gt;4,'Aqueous Species Options'!J614&lt;-4), "", IF('Aqueous Species Options'!B614="H+", 0, IF('Aqueous Species Options'!J614=0, -0.038, IF(ISBLANK('Aqueous Species Options'!F614), "", -1514.4*'Aqueous Species Options'!F614*0.00001 + SUM(({4,3,2,1,-1,-2,-3,-4}='Aqueous Species Options'!J614)*{2.1764,1.5793,1.0579,0.5517,1.6291,3.2127,4.8115,6.486}) ) ) ) ) ) )</f>
        <v/>
      </c>
      <c r="P614" s="1" t="str">
        <f>IF(ISBLANK('Aqueous Species Options'!J614), "", 'Aqueous Species Options'!J614)</f>
        <v/>
      </c>
      <c r="Q614" s="184" t="str">
        <f>IF(ISBLANK('Aqueous Species Options'!T614), "", 'Aqueous Species Options'!T614)</f>
        <v/>
      </c>
    </row>
    <row r="615" spans="2:17" ht="16" x14ac:dyDescent="0.2">
      <c r="B615" t="str">
        <f>IF(ISBLANK('Aqueous Species Options'!B615), "", 'Aqueous Species Options'!B615)</f>
        <v/>
      </c>
      <c r="C615" s="1" t="str">
        <f>IF(ISBLANK('Aqueous Species Options'!C615), "", 'Aqueous Species Options'!C615)</f>
        <v/>
      </c>
      <c r="D615" s="1" t="str">
        <f>IF(ISBLANK('Aqueous Species Options'!D615), "", 'Aqueous Species Options'!D615)</f>
        <v/>
      </c>
      <c r="E615" s="1" t="str">
        <f>IF(ISBLANK('Aqueous Species Options'!E615), "", 'Aqueous Species Options'!E615)</f>
        <v/>
      </c>
      <c r="F615" s="139" t="str">
        <f>IF(ISBLANK('Aqueous Species Options'!F615), "", 'Aqueous Species Options'!F615)</f>
        <v/>
      </c>
      <c r="G615" s="29" t="str">
        <f>IF(ISBLANK('Aqueous Species Options'!B615), "", IF('Aqueous Species Options'!L615 = 1, IF(ISBLANK('Aqueous Species Options'!G615), "", 'Aqueous Species Options'!G615), ('Aqueous Species Table'!I615/10 + ('Aqueous Species Table'!J615*100)/(Calculations!$C$12+Calculations!$C$9) + ('Aqueous Species Table'!K615 + ('Aqueous Species Table'!L615*10000)/(Calculations!$C$12+Calculations!$C$9))*(1/(Calculations!$C$8-Calculations!$C$13)) - 'Aqueous Species Table'!O615*100000*0.0000005903)*41.8393))</f>
        <v/>
      </c>
      <c r="H615" s="29" t="str">
        <f>IF(ISBLANK('Aqueous Species Options'!B615), "", IF('Aqueous Species Options'!L615 = 1, IF(ISBLANK('Aqueous Species Options'!H615), "", 'Aqueous Species Options'!H615), 'Aqueous Species Table'!M615 + 'Aqueous Species Table'!N615*10000*(1/(Calculations!$C$8-Calculations!$C$13))^2 + 'Aqueous Species Table'!O615*100000*Calculations!$C$8*Calculations!$C$7))</f>
        <v/>
      </c>
      <c r="I615" s="1" t="str">
        <f>IF(ISBLANK('Aqueous Species Options'!B615), "", IF('Aqueous Species Options'!L615=0, 'Aqueous Species Options'!N615, IF(OR(ISBLANK('Aqueous Species Options'!G615),'Aqueous Species Table'!O615="", 'Aqueous Species Table'!P615=""), "", IF('Aqueous Species Options'!B615="H+", 0, (CHOOSE('Aqueous Species Options'!M615+1,'Aqueous Species Options'!$V$4*ABS('Aqueous Species Table'!P615)+'Aqueous Species Options'!$W$4,'Aqueous Species Options'!$Z$4)*('Aqueous Species Options'!G615 + 'Aqueous Species Table'!O615*100000*0.0000005903*41.8393) + CHOOSE('Aqueous Species Options'!M615+1,'Aqueous Species Options'!$X$4*ABS('Aqueous Species Table'!P615)+'Aqueous Species Options'!$Y$4,'Aqueous Species Options'!$AA$4))*10 ) ) ) )</f>
        <v/>
      </c>
      <c r="J615" s="1" t="str">
        <f>IF(ISBLANK('Aqueous Species Options'!B615), "", IF('Aqueous Species Options'!L615 = 0, 'Aqueous Species Options'!O615, IF('Aqueous Species Table'!I615="", "", IF('Aqueous Species Options'!B615="H+", 0, ((1.11*('Aqueous Species Options'!G615 + 'Aqueous Species Table'!O615*100000*0.0000005903*41.8393)+1.8)/41.8393 - 'Aqueous Species Table'!I615/10)*26.01 ) ) ) )</f>
        <v/>
      </c>
      <c r="K615" s="1" t="str">
        <f>IF(ISBLANK('Aqueous Species Options'!B615), "", IF('Aqueous Species Options'!L615 = 0, 'Aqueous Species Options'!P615, IF('Aqueous Species Table'!I615="", "", IF('Aqueous Species Options'!B615="H+", 0, ('Aqueous Species Options'!G615/41.8393 + 'Aqueous Species Table'!O615*100000*0.0000005903 - 'Aqueous Species Table'!I615/10 - 'Aqueous Species Table'!J615*100/2601)*(298.15-228) - ('Aqueous Species Table'!L615*10000/2601) ) ) ) )</f>
        <v/>
      </c>
      <c r="L615" s="1" t="str">
        <f>IF(ISBLANK('Aqueous Species Options'!B615), "", IF('Aqueous Species Options'!L615 = 0, 'Aqueous Species Options'!Q615, IF('Aqueous Species Table'!J615="", "", IF('Aqueous Species Options'!B615="H+", 0, (-4.134*'Aqueous Species Table'!J615*100 - 27790)*0.0001) ) ) )</f>
        <v/>
      </c>
      <c r="M615" s="1" t="str">
        <f>IF(ISBLANK('Aqueous Species Options'!B615), "", IF('Aqueous Species Options'!L615=0, 'Aqueous Species Options'!R615, IF('Aqueous Species Table'!N615="", "", IF('Aqueous Species Options'!B615="H+", 0, 'Aqueous Species Options'!H615 - 'Aqueous Species Table'!O615*100000*(-0.000000309)*298.15 - 'Aqueous Species Table'!N615*10000/(298.15-228)^2 ) ) ) )</f>
        <v/>
      </c>
      <c r="N615" s="1" t="str">
        <f>IF(ISBLANK('Aqueous Species Options'!B615), "", IF('Aqueous Species Options'!L615=0, 'Aqueous Species Options'!S615, IF(OR(ISBLANK('Aqueous Species Options'!H615), 'Aqueous Species Table'!O615=""), "", IF('Aqueous Species Options'!B615="H+", 0, 0.2037*'Aqueous Species Options'!H615 - 3.0346) ) ) )</f>
        <v/>
      </c>
      <c r="O615" s="1" t="str">
        <f>IF(ISBLANK('Aqueous Species Options'!B615), "", IF('Aqueous Species Options'!K615=0, 'Aqueous Species Options'!I615, IF(OR('Aqueous Species Options'!J615&gt;4,'Aqueous Species Options'!J615&lt;-4), "", IF('Aqueous Species Options'!B615="H+", 0, IF('Aqueous Species Options'!J615=0, -0.038, IF(ISBLANK('Aqueous Species Options'!F615), "", -1514.4*'Aqueous Species Options'!F615*0.00001 + SUM(({4,3,2,1,-1,-2,-3,-4}='Aqueous Species Options'!J615)*{2.1764,1.5793,1.0579,0.5517,1.6291,3.2127,4.8115,6.486}) ) ) ) ) ) )</f>
        <v/>
      </c>
      <c r="P615" s="1" t="str">
        <f>IF(ISBLANK('Aqueous Species Options'!J615), "", 'Aqueous Species Options'!J615)</f>
        <v/>
      </c>
      <c r="Q615" s="184" t="str">
        <f>IF(ISBLANK('Aqueous Species Options'!T615), "", 'Aqueous Species Options'!T615)</f>
        <v/>
      </c>
    </row>
    <row r="616" spans="2:17" ht="16" x14ac:dyDescent="0.2">
      <c r="B616" t="str">
        <f>IF(ISBLANK('Aqueous Species Options'!B616), "", 'Aqueous Species Options'!B616)</f>
        <v/>
      </c>
      <c r="C616" s="1" t="str">
        <f>IF(ISBLANK('Aqueous Species Options'!C616), "", 'Aqueous Species Options'!C616)</f>
        <v/>
      </c>
      <c r="D616" s="1" t="str">
        <f>IF(ISBLANK('Aqueous Species Options'!D616), "", 'Aqueous Species Options'!D616)</f>
        <v/>
      </c>
      <c r="E616" s="1" t="str">
        <f>IF(ISBLANK('Aqueous Species Options'!E616), "", 'Aqueous Species Options'!E616)</f>
        <v/>
      </c>
      <c r="F616" s="139" t="str">
        <f>IF(ISBLANK('Aqueous Species Options'!F616), "", 'Aqueous Species Options'!F616)</f>
        <v/>
      </c>
      <c r="G616" s="29" t="str">
        <f>IF(ISBLANK('Aqueous Species Options'!B616), "", IF('Aqueous Species Options'!L616 = 1, IF(ISBLANK('Aqueous Species Options'!G616), "", 'Aqueous Species Options'!G616), ('Aqueous Species Table'!I616/10 + ('Aqueous Species Table'!J616*100)/(Calculations!$C$12+Calculations!$C$9) + ('Aqueous Species Table'!K616 + ('Aqueous Species Table'!L616*10000)/(Calculations!$C$12+Calculations!$C$9))*(1/(Calculations!$C$8-Calculations!$C$13)) - 'Aqueous Species Table'!O616*100000*0.0000005903)*41.8393))</f>
        <v/>
      </c>
      <c r="H616" s="29" t="str">
        <f>IF(ISBLANK('Aqueous Species Options'!B616), "", IF('Aqueous Species Options'!L616 = 1, IF(ISBLANK('Aqueous Species Options'!H616), "", 'Aqueous Species Options'!H616), 'Aqueous Species Table'!M616 + 'Aqueous Species Table'!N616*10000*(1/(Calculations!$C$8-Calculations!$C$13))^2 + 'Aqueous Species Table'!O616*100000*Calculations!$C$8*Calculations!$C$7))</f>
        <v/>
      </c>
      <c r="I616" s="1" t="str">
        <f>IF(ISBLANK('Aqueous Species Options'!B616), "", IF('Aqueous Species Options'!L616=0, 'Aqueous Species Options'!N616, IF(OR(ISBLANK('Aqueous Species Options'!G616),'Aqueous Species Table'!O616="", 'Aqueous Species Table'!P616=""), "", IF('Aqueous Species Options'!B616="H+", 0, (CHOOSE('Aqueous Species Options'!M616+1,'Aqueous Species Options'!$V$4*ABS('Aqueous Species Table'!P616)+'Aqueous Species Options'!$W$4,'Aqueous Species Options'!$Z$4)*('Aqueous Species Options'!G616 + 'Aqueous Species Table'!O616*100000*0.0000005903*41.8393) + CHOOSE('Aqueous Species Options'!M616+1,'Aqueous Species Options'!$X$4*ABS('Aqueous Species Table'!P616)+'Aqueous Species Options'!$Y$4,'Aqueous Species Options'!$AA$4))*10 ) ) ) )</f>
        <v/>
      </c>
      <c r="J616" s="1" t="str">
        <f>IF(ISBLANK('Aqueous Species Options'!B616), "", IF('Aqueous Species Options'!L616 = 0, 'Aqueous Species Options'!O616, IF('Aqueous Species Table'!I616="", "", IF('Aqueous Species Options'!B616="H+", 0, ((1.11*('Aqueous Species Options'!G616 + 'Aqueous Species Table'!O616*100000*0.0000005903*41.8393)+1.8)/41.8393 - 'Aqueous Species Table'!I616/10)*26.01 ) ) ) )</f>
        <v/>
      </c>
      <c r="K616" s="1" t="str">
        <f>IF(ISBLANK('Aqueous Species Options'!B616), "", IF('Aqueous Species Options'!L616 = 0, 'Aqueous Species Options'!P616, IF('Aqueous Species Table'!I616="", "", IF('Aqueous Species Options'!B616="H+", 0, ('Aqueous Species Options'!G616/41.8393 + 'Aqueous Species Table'!O616*100000*0.0000005903 - 'Aqueous Species Table'!I616/10 - 'Aqueous Species Table'!J616*100/2601)*(298.15-228) - ('Aqueous Species Table'!L616*10000/2601) ) ) ) )</f>
        <v/>
      </c>
      <c r="L616" s="1" t="str">
        <f>IF(ISBLANK('Aqueous Species Options'!B616), "", IF('Aqueous Species Options'!L616 = 0, 'Aqueous Species Options'!Q616, IF('Aqueous Species Table'!J616="", "", IF('Aqueous Species Options'!B616="H+", 0, (-4.134*'Aqueous Species Table'!J616*100 - 27790)*0.0001) ) ) )</f>
        <v/>
      </c>
      <c r="M616" s="1" t="str">
        <f>IF(ISBLANK('Aqueous Species Options'!B616), "", IF('Aqueous Species Options'!L616=0, 'Aqueous Species Options'!R616, IF('Aqueous Species Table'!N616="", "", IF('Aqueous Species Options'!B616="H+", 0, 'Aqueous Species Options'!H616 - 'Aqueous Species Table'!O616*100000*(-0.000000309)*298.15 - 'Aqueous Species Table'!N616*10000/(298.15-228)^2 ) ) ) )</f>
        <v/>
      </c>
      <c r="N616" s="1" t="str">
        <f>IF(ISBLANK('Aqueous Species Options'!B616), "", IF('Aqueous Species Options'!L616=0, 'Aqueous Species Options'!S616, IF(OR(ISBLANK('Aqueous Species Options'!H616), 'Aqueous Species Table'!O616=""), "", IF('Aqueous Species Options'!B616="H+", 0, 0.2037*'Aqueous Species Options'!H616 - 3.0346) ) ) )</f>
        <v/>
      </c>
      <c r="O616" s="1" t="str">
        <f>IF(ISBLANK('Aqueous Species Options'!B616), "", IF('Aqueous Species Options'!K616=0, 'Aqueous Species Options'!I616, IF(OR('Aqueous Species Options'!J616&gt;4,'Aqueous Species Options'!J616&lt;-4), "", IF('Aqueous Species Options'!B616="H+", 0, IF('Aqueous Species Options'!J616=0, -0.038, IF(ISBLANK('Aqueous Species Options'!F616), "", -1514.4*'Aqueous Species Options'!F616*0.00001 + SUM(({4,3,2,1,-1,-2,-3,-4}='Aqueous Species Options'!J616)*{2.1764,1.5793,1.0579,0.5517,1.6291,3.2127,4.8115,6.486}) ) ) ) ) ) )</f>
        <v/>
      </c>
      <c r="P616" s="1" t="str">
        <f>IF(ISBLANK('Aqueous Species Options'!J616), "", 'Aqueous Species Options'!J616)</f>
        <v/>
      </c>
      <c r="Q616" s="184" t="str">
        <f>IF(ISBLANK('Aqueous Species Options'!T616), "", 'Aqueous Species Options'!T616)</f>
        <v/>
      </c>
    </row>
    <row r="617" spans="2:17" ht="16" x14ac:dyDescent="0.2">
      <c r="B617" t="str">
        <f>IF(ISBLANK('Aqueous Species Options'!B617), "", 'Aqueous Species Options'!B617)</f>
        <v/>
      </c>
      <c r="C617" s="1" t="str">
        <f>IF(ISBLANK('Aqueous Species Options'!C617), "", 'Aqueous Species Options'!C617)</f>
        <v/>
      </c>
      <c r="D617" s="1" t="str">
        <f>IF(ISBLANK('Aqueous Species Options'!D617), "", 'Aqueous Species Options'!D617)</f>
        <v/>
      </c>
      <c r="E617" s="1" t="str">
        <f>IF(ISBLANK('Aqueous Species Options'!E617), "", 'Aqueous Species Options'!E617)</f>
        <v/>
      </c>
      <c r="F617" s="139" t="str">
        <f>IF(ISBLANK('Aqueous Species Options'!F617), "", 'Aqueous Species Options'!F617)</f>
        <v/>
      </c>
      <c r="G617" s="29" t="str">
        <f>IF(ISBLANK('Aqueous Species Options'!B617), "", IF('Aqueous Species Options'!L617 = 1, IF(ISBLANK('Aqueous Species Options'!G617), "", 'Aqueous Species Options'!G617), ('Aqueous Species Table'!I617/10 + ('Aqueous Species Table'!J617*100)/(Calculations!$C$12+Calculations!$C$9) + ('Aqueous Species Table'!K617 + ('Aqueous Species Table'!L617*10000)/(Calculations!$C$12+Calculations!$C$9))*(1/(Calculations!$C$8-Calculations!$C$13)) - 'Aqueous Species Table'!O617*100000*0.0000005903)*41.8393))</f>
        <v/>
      </c>
      <c r="H617" s="29" t="str">
        <f>IF(ISBLANK('Aqueous Species Options'!B617), "", IF('Aqueous Species Options'!L617 = 1, IF(ISBLANK('Aqueous Species Options'!H617), "", 'Aqueous Species Options'!H617), 'Aqueous Species Table'!M617 + 'Aqueous Species Table'!N617*10000*(1/(Calculations!$C$8-Calculations!$C$13))^2 + 'Aqueous Species Table'!O617*100000*Calculations!$C$8*Calculations!$C$7))</f>
        <v/>
      </c>
      <c r="I617" s="1" t="str">
        <f>IF(ISBLANK('Aqueous Species Options'!B617), "", IF('Aqueous Species Options'!L617=0, 'Aqueous Species Options'!N617, IF(OR(ISBLANK('Aqueous Species Options'!G617),'Aqueous Species Table'!O617="", 'Aqueous Species Table'!P617=""), "", IF('Aqueous Species Options'!B617="H+", 0, (CHOOSE('Aqueous Species Options'!M617+1,'Aqueous Species Options'!$V$4*ABS('Aqueous Species Table'!P617)+'Aqueous Species Options'!$W$4,'Aqueous Species Options'!$Z$4)*('Aqueous Species Options'!G617 + 'Aqueous Species Table'!O617*100000*0.0000005903*41.8393) + CHOOSE('Aqueous Species Options'!M617+1,'Aqueous Species Options'!$X$4*ABS('Aqueous Species Table'!P617)+'Aqueous Species Options'!$Y$4,'Aqueous Species Options'!$AA$4))*10 ) ) ) )</f>
        <v/>
      </c>
      <c r="J617" s="1" t="str">
        <f>IF(ISBLANK('Aqueous Species Options'!B617), "", IF('Aqueous Species Options'!L617 = 0, 'Aqueous Species Options'!O617, IF('Aqueous Species Table'!I617="", "", IF('Aqueous Species Options'!B617="H+", 0, ((1.11*('Aqueous Species Options'!G617 + 'Aqueous Species Table'!O617*100000*0.0000005903*41.8393)+1.8)/41.8393 - 'Aqueous Species Table'!I617/10)*26.01 ) ) ) )</f>
        <v/>
      </c>
      <c r="K617" s="1" t="str">
        <f>IF(ISBLANK('Aqueous Species Options'!B617), "", IF('Aqueous Species Options'!L617 = 0, 'Aqueous Species Options'!P617, IF('Aqueous Species Table'!I617="", "", IF('Aqueous Species Options'!B617="H+", 0, ('Aqueous Species Options'!G617/41.8393 + 'Aqueous Species Table'!O617*100000*0.0000005903 - 'Aqueous Species Table'!I617/10 - 'Aqueous Species Table'!J617*100/2601)*(298.15-228) - ('Aqueous Species Table'!L617*10000/2601) ) ) ) )</f>
        <v/>
      </c>
      <c r="L617" s="1" t="str">
        <f>IF(ISBLANK('Aqueous Species Options'!B617), "", IF('Aqueous Species Options'!L617 = 0, 'Aqueous Species Options'!Q617, IF('Aqueous Species Table'!J617="", "", IF('Aqueous Species Options'!B617="H+", 0, (-4.134*'Aqueous Species Table'!J617*100 - 27790)*0.0001) ) ) )</f>
        <v/>
      </c>
      <c r="M617" s="1" t="str">
        <f>IF(ISBLANK('Aqueous Species Options'!B617), "", IF('Aqueous Species Options'!L617=0, 'Aqueous Species Options'!R617, IF('Aqueous Species Table'!N617="", "", IF('Aqueous Species Options'!B617="H+", 0, 'Aqueous Species Options'!H617 - 'Aqueous Species Table'!O617*100000*(-0.000000309)*298.15 - 'Aqueous Species Table'!N617*10000/(298.15-228)^2 ) ) ) )</f>
        <v/>
      </c>
      <c r="N617" s="1" t="str">
        <f>IF(ISBLANK('Aqueous Species Options'!B617), "", IF('Aqueous Species Options'!L617=0, 'Aqueous Species Options'!S617, IF(OR(ISBLANK('Aqueous Species Options'!H617), 'Aqueous Species Table'!O617=""), "", IF('Aqueous Species Options'!B617="H+", 0, 0.2037*'Aqueous Species Options'!H617 - 3.0346) ) ) )</f>
        <v/>
      </c>
      <c r="O617" s="1" t="str">
        <f>IF(ISBLANK('Aqueous Species Options'!B617), "", IF('Aqueous Species Options'!K617=0, 'Aqueous Species Options'!I617, IF(OR('Aqueous Species Options'!J617&gt;4,'Aqueous Species Options'!J617&lt;-4), "", IF('Aqueous Species Options'!B617="H+", 0, IF('Aqueous Species Options'!J617=0, -0.038, IF(ISBLANK('Aqueous Species Options'!F617), "", -1514.4*'Aqueous Species Options'!F617*0.00001 + SUM(({4,3,2,1,-1,-2,-3,-4}='Aqueous Species Options'!J617)*{2.1764,1.5793,1.0579,0.5517,1.6291,3.2127,4.8115,6.486}) ) ) ) ) ) )</f>
        <v/>
      </c>
      <c r="P617" s="1" t="str">
        <f>IF(ISBLANK('Aqueous Species Options'!J617), "", 'Aqueous Species Options'!J617)</f>
        <v/>
      </c>
      <c r="Q617" s="184" t="str">
        <f>IF(ISBLANK('Aqueous Species Options'!T617), "", 'Aqueous Species Options'!T617)</f>
        <v/>
      </c>
    </row>
    <row r="618" spans="2:17" ht="16" x14ac:dyDescent="0.2">
      <c r="B618" t="str">
        <f>IF(ISBLANK('Aqueous Species Options'!B618), "", 'Aqueous Species Options'!B618)</f>
        <v/>
      </c>
      <c r="C618" s="1" t="str">
        <f>IF(ISBLANK('Aqueous Species Options'!C618), "", 'Aqueous Species Options'!C618)</f>
        <v/>
      </c>
      <c r="D618" s="1" t="str">
        <f>IF(ISBLANK('Aqueous Species Options'!D618), "", 'Aqueous Species Options'!D618)</f>
        <v/>
      </c>
      <c r="E618" s="1" t="str">
        <f>IF(ISBLANK('Aqueous Species Options'!E618), "", 'Aqueous Species Options'!E618)</f>
        <v/>
      </c>
      <c r="F618" s="139" t="str">
        <f>IF(ISBLANK('Aqueous Species Options'!F618), "", 'Aqueous Species Options'!F618)</f>
        <v/>
      </c>
      <c r="G618" s="29" t="str">
        <f>IF(ISBLANK('Aqueous Species Options'!B618), "", IF('Aqueous Species Options'!L618 = 1, IF(ISBLANK('Aqueous Species Options'!G618), "", 'Aqueous Species Options'!G618), ('Aqueous Species Table'!I618/10 + ('Aqueous Species Table'!J618*100)/(Calculations!$C$12+Calculations!$C$9) + ('Aqueous Species Table'!K618 + ('Aqueous Species Table'!L618*10000)/(Calculations!$C$12+Calculations!$C$9))*(1/(Calculations!$C$8-Calculations!$C$13)) - 'Aqueous Species Table'!O618*100000*0.0000005903)*41.8393))</f>
        <v/>
      </c>
      <c r="H618" s="29" t="str">
        <f>IF(ISBLANK('Aqueous Species Options'!B618), "", IF('Aqueous Species Options'!L618 = 1, IF(ISBLANK('Aqueous Species Options'!H618), "", 'Aqueous Species Options'!H618), 'Aqueous Species Table'!M618 + 'Aqueous Species Table'!N618*10000*(1/(Calculations!$C$8-Calculations!$C$13))^2 + 'Aqueous Species Table'!O618*100000*Calculations!$C$8*Calculations!$C$7))</f>
        <v/>
      </c>
      <c r="I618" s="1" t="str">
        <f>IF(ISBLANK('Aqueous Species Options'!B618), "", IF('Aqueous Species Options'!L618=0, 'Aqueous Species Options'!N618, IF(OR(ISBLANK('Aqueous Species Options'!G618),'Aqueous Species Table'!O618="", 'Aqueous Species Table'!P618=""), "", IF('Aqueous Species Options'!B618="H+", 0, (CHOOSE('Aqueous Species Options'!M618+1,'Aqueous Species Options'!$V$4*ABS('Aqueous Species Table'!P618)+'Aqueous Species Options'!$W$4,'Aqueous Species Options'!$Z$4)*('Aqueous Species Options'!G618 + 'Aqueous Species Table'!O618*100000*0.0000005903*41.8393) + CHOOSE('Aqueous Species Options'!M618+1,'Aqueous Species Options'!$X$4*ABS('Aqueous Species Table'!P618)+'Aqueous Species Options'!$Y$4,'Aqueous Species Options'!$AA$4))*10 ) ) ) )</f>
        <v/>
      </c>
      <c r="J618" s="1" t="str">
        <f>IF(ISBLANK('Aqueous Species Options'!B618), "", IF('Aqueous Species Options'!L618 = 0, 'Aqueous Species Options'!O618, IF('Aqueous Species Table'!I618="", "", IF('Aqueous Species Options'!B618="H+", 0, ((1.11*('Aqueous Species Options'!G618 + 'Aqueous Species Table'!O618*100000*0.0000005903*41.8393)+1.8)/41.8393 - 'Aqueous Species Table'!I618/10)*26.01 ) ) ) )</f>
        <v/>
      </c>
      <c r="K618" s="1" t="str">
        <f>IF(ISBLANK('Aqueous Species Options'!B618), "", IF('Aqueous Species Options'!L618 = 0, 'Aqueous Species Options'!P618, IF('Aqueous Species Table'!I618="", "", IF('Aqueous Species Options'!B618="H+", 0, ('Aqueous Species Options'!G618/41.8393 + 'Aqueous Species Table'!O618*100000*0.0000005903 - 'Aqueous Species Table'!I618/10 - 'Aqueous Species Table'!J618*100/2601)*(298.15-228) - ('Aqueous Species Table'!L618*10000/2601) ) ) ) )</f>
        <v/>
      </c>
      <c r="L618" s="1" t="str">
        <f>IF(ISBLANK('Aqueous Species Options'!B618), "", IF('Aqueous Species Options'!L618 = 0, 'Aqueous Species Options'!Q618, IF('Aqueous Species Table'!J618="", "", IF('Aqueous Species Options'!B618="H+", 0, (-4.134*'Aqueous Species Table'!J618*100 - 27790)*0.0001) ) ) )</f>
        <v/>
      </c>
      <c r="M618" s="1" t="str">
        <f>IF(ISBLANK('Aqueous Species Options'!B618), "", IF('Aqueous Species Options'!L618=0, 'Aqueous Species Options'!R618, IF('Aqueous Species Table'!N618="", "", IF('Aqueous Species Options'!B618="H+", 0, 'Aqueous Species Options'!H618 - 'Aqueous Species Table'!O618*100000*(-0.000000309)*298.15 - 'Aqueous Species Table'!N618*10000/(298.15-228)^2 ) ) ) )</f>
        <v/>
      </c>
      <c r="N618" s="1" t="str">
        <f>IF(ISBLANK('Aqueous Species Options'!B618), "", IF('Aqueous Species Options'!L618=0, 'Aqueous Species Options'!S618, IF(OR(ISBLANK('Aqueous Species Options'!H618), 'Aqueous Species Table'!O618=""), "", IF('Aqueous Species Options'!B618="H+", 0, 0.2037*'Aqueous Species Options'!H618 - 3.0346) ) ) )</f>
        <v/>
      </c>
      <c r="O618" s="1" t="str">
        <f>IF(ISBLANK('Aqueous Species Options'!B618), "", IF('Aqueous Species Options'!K618=0, 'Aqueous Species Options'!I618, IF(OR('Aqueous Species Options'!J618&gt;4,'Aqueous Species Options'!J618&lt;-4), "", IF('Aqueous Species Options'!B618="H+", 0, IF('Aqueous Species Options'!J618=0, -0.038, IF(ISBLANK('Aqueous Species Options'!F618), "", -1514.4*'Aqueous Species Options'!F618*0.00001 + SUM(({4,3,2,1,-1,-2,-3,-4}='Aqueous Species Options'!J618)*{2.1764,1.5793,1.0579,0.5517,1.6291,3.2127,4.8115,6.486}) ) ) ) ) ) )</f>
        <v/>
      </c>
      <c r="P618" s="1" t="str">
        <f>IF(ISBLANK('Aqueous Species Options'!J618), "", 'Aqueous Species Options'!J618)</f>
        <v/>
      </c>
      <c r="Q618" s="184" t="str">
        <f>IF(ISBLANK('Aqueous Species Options'!T618), "", 'Aqueous Species Options'!T618)</f>
        <v/>
      </c>
    </row>
    <row r="619" spans="2:17" ht="16" x14ac:dyDescent="0.2">
      <c r="B619" t="str">
        <f>IF(ISBLANK('Aqueous Species Options'!B619), "", 'Aqueous Species Options'!B619)</f>
        <v/>
      </c>
      <c r="C619" s="1" t="str">
        <f>IF(ISBLANK('Aqueous Species Options'!C619), "", 'Aqueous Species Options'!C619)</f>
        <v/>
      </c>
      <c r="D619" s="1" t="str">
        <f>IF(ISBLANK('Aqueous Species Options'!D619), "", 'Aqueous Species Options'!D619)</f>
        <v/>
      </c>
      <c r="E619" s="1" t="str">
        <f>IF(ISBLANK('Aqueous Species Options'!E619), "", 'Aqueous Species Options'!E619)</f>
        <v/>
      </c>
      <c r="F619" s="139" t="str">
        <f>IF(ISBLANK('Aqueous Species Options'!F619), "", 'Aqueous Species Options'!F619)</f>
        <v/>
      </c>
      <c r="G619" s="29" t="str">
        <f>IF(ISBLANK('Aqueous Species Options'!B619), "", IF('Aqueous Species Options'!L619 = 1, IF(ISBLANK('Aqueous Species Options'!G619), "", 'Aqueous Species Options'!G619), ('Aqueous Species Table'!I619/10 + ('Aqueous Species Table'!J619*100)/(Calculations!$C$12+Calculations!$C$9) + ('Aqueous Species Table'!K619 + ('Aqueous Species Table'!L619*10000)/(Calculations!$C$12+Calculations!$C$9))*(1/(Calculations!$C$8-Calculations!$C$13)) - 'Aqueous Species Table'!O619*100000*0.0000005903)*41.8393))</f>
        <v/>
      </c>
      <c r="H619" s="29" t="str">
        <f>IF(ISBLANK('Aqueous Species Options'!B619), "", IF('Aqueous Species Options'!L619 = 1, IF(ISBLANK('Aqueous Species Options'!H619), "", 'Aqueous Species Options'!H619), 'Aqueous Species Table'!M619 + 'Aqueous Species Table'!N619*10000*(1/(Calculations!$C$8-Calculations!$C$13))^2 + 'Aqueous Species Table'!O619*100000*Calculations!$C$8*Calculations!$C$7))</f>
        <v/>
      </c>
      <c r="I619" s="1" t="str">
        <f>IF(ISBLANK('Aqueous Species Options'!B619), "", IF('Aqueous Species Options'!L619=0, 'Aqueous Species Options'!N619, IF(OR(ISBLANK('Aqueous Species Options'!G619),'Aqueous Species Table'!O619="", 'Aqueous Species Table'!P619=""), "", IF('Aqueous Species Options'!B619="H+", 0, (CHOOSE('Aqueous Species Options'!M619+1,'Aqueous Species Options'!$V$4*ABS('Aqueous Species Table'!P619)+'Aqueous Species Options'!$W$4,'Aqueous Species Options'!$Z$4)*('Aqueous Species Options'!G619 + 'Aqueous Species Table'!O619*100000*0.0000005903*41.8393) + CHOOSE('Aqueous Species Options'!M619+1,'Aqueous Species Options'!$X$4*ABS('Aqueous Species Table'!P619)+'Aqueous Species Options'!$Y$4,'Aqueous Species Options'!$AA$4))*10 ) ) ) )</f>
        <v/>
      </c>
      <c r="J619" s="1" t="str">
        <f>IF(ISBLANK('Aqueous Species Options'!B619), "", IF('Aqueous Species Options'!L619 = 0, 'Aqueous Species Options'!O619, IF('Aqueous Species Table'!I619="", "", IF('Aqueous Species Options'!B619="H+", 0, ((1.11*('Aqueous Species Options'!G619 + 'Aqueous Species Table'!O619*100000*0.0000005903*41.8393)+1.8)/41.8393 - 'Aqueous Species Table'!I619/10)*26.01 ) ) ) )</f>
        <v/>
      </c>
      <c r="K619" s="1" t="str">
        <f>IF(ISBLANK('Aqueous Species Options'!B619), "", IF('Aqueous Species Options'!L619 = 0, 'Aqueous Species Options'!P619, IF('Aqueous Species Table'!I619="", "", IF('Aqueous Species Options'!B619="H+", 0, ('Aqueous Species Options'!G619/41.8393 + 'Aqueous Species Table'!O619*100000*0.0000005903 - 'Aqueous Species Table'!I619/10 - 'Aqueous Species Table'!J619*100/2601)*(298.15-228) - ('Aqueous Species Table'!L619*10000/2601) ) ) ) )</f>
        <v/>
      </c>
      <c r="L619" s="1" t="str">
        <f>IF(ISBLANK('Aqueous Species Options'!B619), "", IF('Aqueous Species Options'!L619 = 0, 'Aqueous Species Options'!Q619, IF('Aqueous Species Table'!J619="", "", IF('Aqueous Species Options'!B619="H+", 0, (-4.134*'Aqueous Species Table'!J619*100 - 27790)*0.0001) ) ) )</f>
        <v/>
      </c>
      <c r="M619" s="1" t="str">
        <f>IF(ISBLANK('Aqueous Species Options'!B619), "", IF('Aqueous Species Options'!L619=0, 'Aqueous Species Options'!R619, IF('Aqueous Species Table'!N619="", "", IF('Aqueous Species Options'!B619="H+", 0, 'Aqueous Species Options'!H619 - 'Aqueous Species Table'!O619*100000*(-0.000000309)*298.15 - 'Aqueous Species Table'!N619*10000/(298.15-228)^2 ) ) ) )</f>
        <v/>
      </c>
      <c r="N619" s="1" t="str">
        <f>IF(ISBLANK('Aqueous Species Options'!B619), "", IF('Aqueous Species Options'!L619=0, 'Aqueous Species Options'!S619, IF(OR(ISBLANK('Aqueous Species Options'!H619), 'Aqueous Species Table'!O619=""), "", IF('Aqueous Species Options'!B619="H+", 0, 0.2037*'Aqueous Species Options'!H619 - 3.0346) ) ) )</f>
        <v/>
      </c>
      <c r="O619" s="1" t="str">
        <f>IF(ISBLANK('Aqueous Species Options'!B619), "", IF('Aqueous Species Options'!K619=0, 'Aqueous Species Options'!I619, IF(OR('Aqueous Species Options'!J619&gt;4,'Aqueous Species Options'!J619&lt;-4), "", IF('Aqueous Species Options'!B619="H+", 0, IF('Aqueous Species Options'!J619=0, -0.038, IF(ISBLANK('Aqueous Species Options'!F619), "", -1514.4*'Aqueous Species Options'!F619*0.00001 + SUM(({4,3,2,1,-1,-2,-3,-4}='Aqueous Species Options'!J619)*{2.1764,1.5793,1.0579,0.5517,1.6291,3.2127,4.8115,6.486}) ) ) ) ) ) )</f>
        <v/>
      </c>
      <c r="P619" s="1" t="str">
        <f>IF(ISBLANK('Aqueous Species Options'!J619), "", 'Aqueous Species Options'!J619)</f>
        <v/>
      </c>
      <c r="Q619" s="184" t="str">
        <f>IF(ISBLANK('Aqueous Species Options'!T619), "", 'Aqueous Species Options'!T619)</f>
        <v/>
      </c>
    </row>
    <row r="620" spans="2:17" ht="16" x14ac:dyDescent="0.2">
      <c r="B620" t="str">
        <f>IF(ISBLANK('Aqueous Species Options'!B620), "", 'Aqueous Species Options'!B620)</f>
        <v/>
      </c>
      <c r="C620" s="1" t="str">
        <f>IF(ISBLANK('Aqueous Species Options'!C620), "", 'Aqueous Species Options'!C620)</f>
        <v/>
      </c>
      <c r="D620" s="1" t="str">
        <f>IF(ISBLANK('Aqueous Species Options'!D620), "", 'Aqueous Species Options'!D620)</f>
        <v/>
      </c>
      <c r="E620" s="1" t="str">
        <f>IF(ISBLANK('Aqueous Species Options'!E620), "", 'Aqueous Species Options'!E620)</f>
        <v/>
      </c>
      <c r="F620" s="139" t="str">
        <f>IF(ISBLANK('Aqueous Species Options'!F620), "", 'Aqueous Species Options'!F620)</f>
        <v/>
      </c>
      <c r="G620" s="29" t="str">
        <f>IF(ISBLANK('Aqueous Species Options'!B620), "", IF('Aqueous Species Options'!L620 = 1, IF(ISBLANK('Aqueous Species Options'!G620), "", 'Aqueous Species Options'!G620), ('Aqueous Species Table'!I620/10 + ('Aqueous Species Table'!J620*100)/(Calculations!$C$12+Calculations!$C$9) + ('Aqueous Species Table'!K620 + ('Aqueous Species Table'!L620*10000)/(Calculations!$C$12+Calculations!$C$9))*(1/(Calculations!$C$8-Calculations!$C$13)) - 'Aqueous Species Table'!O620*100000*0.0000005903)*41.8393))</f>
        <v/>
      </c>
      <c r="H620" s="29" t="str">
        <f>IF(ISBLANK('Aqueous Species Options'!B620), "", IF('Aqueous Species Options'!L620 = 1, IF(ISBLANK('Aqueous Species Options'!H620), "", 'Aqueous Species Options'!H620), 'Aqueous Species Table'!M620 + 'Aqueous Species Table'!N620*10000*(1/(Calculations!$C$8-Calculations!$C$13))^2 + 'Aqueous Species Table'!O620*100000*Calculations!$C$8*Calculations!$C$7))</f>
        <v/>
      </c>
      <c r="I620" s="1" t="str">
        <f>IF(ISBLANK('Aqueous Species Options'!B620), "", IF('Aqueous Species Options'!L620=0, 'Aqueous Species Options'!N620, IF(OR(ISBLANK('Aqueous Species Options'!G620),'Aqueous Species Table'!O620="", 'Aqueous Species Table'!P620=""), "", IF('Aqueous Species Options'!B620="H+", 0, (CHOOSE('Aqueous Species Options'!M620+1,'Aqueous Species Options'!$V$4*ABS('Aqueous Species Table'!P620)+'Aqueous Species Options'!$W$4,'Aqueous Species Options'!$Z$4)*('Aqueous Species Options'!G620 + 'Aqueous Species Table'!O620*100000*0.0000005903*41.8393) + CHOOSE('Aqueous Species Options'!M620+1,'Aqueous Species Options'!$X$4*ABS('Aqueous Species Table'!P620)+'Aqueous Species Options'!$Y$4,'Aqueous Species Options'!$AA$4))*10 ) ) ) )</f>
        <v/>
      </c>
      <c r="J620" s="1" t="str">
        <f>IF(ISBLANK('Aqueous Species Options'!B620), "", IF('Aqueous Species Options'!L620 = 0, 'Aqueous Species Options'!O620, IF('Aqueous Species Table'!I620="", "", IF('Aqueous Species Options'!B620="H+", 0, ((1.11*('Aqueous Species Options'!G620 + 'Aqueous Species Table'!O620*100000*0.0000005903*41.8393)+1.8)/41.8393 - 'Aqueous Species Table'!I620/10)*26.01 ) ) ) )</f>
        <v/>
      </c>
      <c r="K620" s="1" t="str">
        <f>IF(ISBLANK('Aqueous Species Options'!B620), "", IF('Aqueous Species Options'!L620 = 0, 'Aqueous Species Options'!P620, IF('Aqueous Species Table'!I620="", "", IF('Aqueous Species Options'!B620="H+", 0, ('Aqueous Species Options'!G620/41.8393 + 'Aqueous Species Table'!O620*100000*0.0000005903 - 'Aqueous Species Table'!I620/10 - 'Aqueous Species Table'!J620*100/2601)*(298.15-228) - ('Aqueous Species Table'!L620*10000/2601) ) ) ) )</f>
        <v/>
      </c>
      <c r="L620" s="1" t="str">
        <f>IF(ISBLANK('Aqueous Species Options'!B620), "", IF('Aqueous Species Options'!L620 = 0, 'Aqueous Species Options'!Q620, IF('Aqueous Species Table'!J620="", "", IF('Aqueous Species Options'!B620="H+", 0, (-4.134*'Aqueous Species Table'!J620*100 - 27790)*0.0001) ) ) )</f>
        <v/>
      </c>
      <c r="M620" s="1" t="str">
        <f>IF(ISBLANK('Aqueous Species Options'!B620), "", IF('Aqueous Species Options'!L620=0, 'Aqueous Species Options'!R620, IF('Aqueous Species Table'!N620="", "", IF('Aqueous Species Options'!B620="H+", 0, 'Aqueous Species Options'!H620 - 'Aqueous Species Table'!O620*100000*(-0.000000309)*298.15 - 'Aqueous Species Table'!N620*10000/(298.15-228)^2 ) ) ) )</f>
        <v/>
      </c>
      <c r="N620" s="1" t="str">
        <f>IF(ISBLANK('Aqueous Species Options'!B620), "", IF('Aqueous Species Options'!L620=0, 'Aqueous Species Options'!S620, IF(OR(ISBLANK('Aqueous Species Options'!H620), 'Aqueous Species Table'!O620=""), "", IF('Aqueous Species Options'!B620="H+", 0, 0.2037*'Aqueous Species Options'!H620 - 3.0346) ) ) )</f>
        <v/>
      </c>
      <c r="O620" s="1" t="str">
        <f>IF(ISBLANK('Aqueous Species Options'!B620), "", IF('Aqueous Species Options'!K620=0, 'Aqueous Species Options'!I620, IF(OR('Aqueous Species Options'!J620&gt;4,'Aqueous Species Options'!J620&lt;-4), "", IF('Aqueous Species Options'!B620="H+", 0, IF('Aqueous Species Options'!J620=0, -0.038, IF(ISBLANK('Aqueous Species Options'!F620), "", -1514.4*'Aqueous Species Options'!F620*0.00001 + SUM(({4,3,2,1,-1,-2,-3,-4}='Aqueous Species Options'!J620)*{2.1764,1.5793,1.0579,0.5517,1.6291,3.2127,4.8115,6.486}) ) ) ) ) ) )</f>
        <v/>
      </c>
      <c r="P620" s="1" t="str">
        <f>IF(ISBLANK('Aqueous Species Options'!J620), "", 'Aqueous Species Options'!J620)</f>
        <v/>
      </c>
      <c r="Q620" s="184" t="str">
        <f>IF(ISBLANK('Aqueous Species Options'!T620), "", 'Aqueous Species Options'!T620)</f>
        <v/>
      </c>
    </row>
    <row r="621" spans="2:17" ht="16" x14ac:dyDescent="0.2">
      <c r="B621" t="str">
        <f>IF(ISBLANK('Aqueous Species Options'!B621), "", 'Aqueous Species Options'!B621)</f>
        <v/>
      </c>
      <c r="C621" s="1" t="str">
        <f>IF(ISBLANK('Aqueous Species Options'!C621), "", 'Aqueous Species Options'!C621)</f>
        <v/>
      </c>
      <c r="D621" s="1" t="str">
        <f>IF(ISBLANK('Aqueous Species Options'!D621), "", 'Aqueous Species Options'!D621)</f>
        <v/>
      </c>
      <c r="E621" s="1" t="str">
        <f>IF(ISBLANK('Aqueous Species Options'!E621), "", 'Aqueous Species Options'!E621)</f>
        <v/>
      </c>
      <c r="F621" s="139" t="str">
        <f>IF(ISBLANK('Aqueous Species Options'!F621), "", 'Aqueous Species Options'!F621)</f>
        <v/>
      </c>
      <c r="G621" s="29" t="str">
        <f>IF(ISBLANK('Aqueous Species Options'!B621), "", IF('Aqueous Species Options'!L621 = 1, IF(ISBLANK('Aqueous Species Options'!G621), "", 'Aqueous Species Options'!G621), ('Aqueous Species Table'!I621/10 + ('Aqueous Species Table'!J621*100)/(Calculations!$C$12+Calculations!$C$9) + ('Aqueous Species Table'!K621 + ('Aqueous Species Table'!L621*10000)/(Calculations!$C$12+Calculations!$C$9))*(1/(Calculations!$C$8-Calculations!$C$13)) - 'Aqueous Species Table'!O621*100000*0.0000005903)*41.8393))</f>
        <v/>
      </c>
      <c r="H621" s="29" t="str">
        <f>IF(ISBLANK('Aqueous Species Options'!B621), "", IF('Aqueous Species Options'!L621 = 1, IF(ISBLANK('Aqueous Species Options'!H621), "", 'Aqueous Species Options'!H621), 'Aqueous Species Table'!M621 + 'Aqueous Species Table'!N621*10000*(1/(Calculations!$C$8-Calculations!$C$13))^2 + 'Aqueous Species Table'!O621*100000*Calculations!$C$8*Calculations!$C$7))</f>
        <v/>
      </c>
      <c r="I621" s="1" t="str">
        <f>IF(ISBLANK('Aqueous Species Options'!B621), "", IF('Aqueous Species Options'!L621=0, 'Aqueous Species Options'!N621, IF(OR(ISBLANK('Aqueous Species Options'!G621),'Aqueous Species Table'!O621="", 'Aqueous Species Table'!P621=""), "", IF('Aqueous Species Options'!B621="H+", 0, (CHOOSE('Aqueous Species Options'!M621+1,'Aqueous Species Options'!$V$4*ABS('Aqueous Species Table'!P621)+'Aqueous Species Options'!$W$4,'Aqueous Species Options'!$Z$4)*('Aqueous Species Options'!G621 + 'Aqueous Species Table'!O621*100000*0.0000005903*41.8393) + CHOOSE('Aqueous Species Options'!M621+1,'Aqueous Species Options'!$X$4*ABS('Aqueous Species Table'!P621)+'Aqueous Species Options'!$Y$4,'Aqueous Species Options'!$AA$4))*10 ) ) ) )</f>
        <v/>
      </c>
      <c r="J621" s="1" t="str">
        <f>IF(ISBLANK('Aqueous Species Options'!B621), "", IF('Aqueous Species Options'!L621 = 0, 'Aqueous Species Options'!O621, IF('Aqueous Species Table'!I621="", "", IF('Aqueous Species Options'!B621="H+", 0, ((1.11*('Aqueous Species Options'!G621 + 'Aqueous Species Table'!O621*100000*0.0000005903*41.8393)+1.8)/41.8393 - 'Aqueous Species Table'!I621/10)*26.01 ) ) ) )</f>
        <v/>
      </c>
      <c r="K621" s="1" t="str">
        <f>IF(ISBLANK('Aqueous Species Options'!B621), "", IF('Aqueous Species Options'!L621 = 0, 'Aqueous Species Options'!P621, IF('Aqueous Species Table'!I621="", "", IF('Aqueous Species Options'!B621="H+", 0, ('Aqueous Species Options'!G621/41.8393 + 'Aqueous Species Table'!O621*100000*0.0000005903 - 'Aqueous Species Table'!I621/10 - 'Aqueous Species Table'!J621*100/2601)*(298.15-228) - ('Aqueous Species Table'!L621*10000/2601) ) ) ) )</f>
        <v/>
      </c>
      <c r="L621" s="1" t="str">
        <f>IF(ISBLANK('Aqueous Species Options'!B621), "", IF('Aqueous Species Options'!L621 = 0, 'Aqueous Species Options'!Q621, IF('Aqueous Species Table'!J621="", "", IF('Aqueous Species Options'!B621="H+", 0, (-4.134*'Aqueous Species Table'!J621*100 - 27790)*0.0001) ) ) )</f>
        <v/>
      </c>
      <c r="M621" s="1" t="str">
        <f>IF(ISBLANK('Aqueous Species Options'!B621), "", IF('Aqueous Species Options'!L621=0, 'Aqueous Species Options'!R621, IF('Aqueous Species Table'!N621="", "", IF('Aqueous Species Options'!B621="H+", 0, 'Aqueous Species Options'!H621 - 'Aqueous Species Table'!O621*100000*(-0.000000309)*298.15 - 'Aqueous Species Table'!N621*10000/(298.15-228)^2 ) ) ) )</f>
        <v/>
      </c>
      <c r="N621" s="1" t="str">
        <f>IF(ISBLANK('Aqueous Species Options'!B621), "", IF('Aqueous Species Options'!L621=0, 'Aqueous Species Options'!S621, IF(OR(ISBLANK('Aqueous Species Options'!H621), 'Aqueous Species Table'!O621=""), "", IF('Aqueous Species Options'!B621="H+", 0, 0.2037*'Aqueous Species Options'!H621 - 3.0346) ) ) )</f>
        <v/>
      </c>
      <c r="O621" s="1" t="str">
        <f>IF(ISBLANK('Aqueous Species Options'!B621), "", IF('Aqueous Species Options'!K621=0, 'Aqueous Species Options'!I621, IF(OR('Aqueous Species Options'!J621&gt;4,'Aqueous Species Options'!J621&lt;-4), "", IF('Aqueous Species Options'!B621="H+", 0, IF('Aqueous Species Options'!J621=0, -0.038, IF(ISBLANK('Aqueous Species Options'!F621), "", -1514.4*'Aqueous Species Options'!F621*0.00001 + SUM(({4,3,2,1,-1,-2,-3,-4}='Aqueous Species Options'!J621)*{2.1764,1.5793,1.0579,0.5517,1.6291,3.2127,4.8115,6.486}) ) ) ) ) ) )</f>
        <v/>
      </c>
      <c r="P621" s="1" t="str">
        <f>IF(ISBLANK('Aqueous Species Options'!J621), "", 'Aqueous Species Options'!J621)</f>
        <v/>
      </c>
      <c r="Q621" s="184" t="str">
        <f>IF(ISBLANK('Aqueous Species Options'!T621), "", 'Aqueous Species Options'!T621)</f>
        <v/>
      </c>
    </row>
    <row r="622" spans="2:17" ht="16" x14ac:dyDescent="0.2">
      <c r="B622" t="str">
        <f>IF(ISBLANK('Aqueous Species Options'!B622), "", 'Aqueous Species Options'!B622)</f>
        <v/>
      </c>
      <c r="C622" s="1" t="str">
        <f>IF(ISBLANK('Aqueous Species Options'!C622), "", 'Aqueous Species Options'!C622)</f>
        <v/>
      </c>
      <c r="D622" s="1" t="str">
        <f>IF(ISBLANK('Aqueous Species Options'!D622), "", 'Aqueous Species Options'!D622)</f>
        <v/>
      </c>
      <c r="E622" s="1" t="str">
        <f>IF(ISBLANK('Aqueous Species Options'!E622), "", 'Aqueous Species Options'!E622)</f>
        <v/>
      </c>
      <c r="F622" s="139" t="str">
        <f>IF(ISBLANK('Aqueous Species Options'!F622), "", 'Aqueous Species Options'!F622)</f>
        <v/>
      </c>
      <c r="G622" s="29" t="str">
        <f>IF(ISBLANK('Aqueous Species Options'!B622), "", IF('Aqueous Species Options'!L622 = 1, IF(ISBLANK('Aqueous Species Options'!G622), "", 'Aqueous Species Options'!G622), ('Aqueous Species Table'!I622/10 + ('Aqueous Species Table'!J622*100)/(Calculations!$C$12+Calculations!$C$9) + ('Aqueous Species Table'!K622 + ('Aqueous Species Table'!L622*10000)/(Calculations!$C$12+Calculations!$C$9))*(1/(Calculations!$C$8-Calculations!$C$13)) - 'Aqueous Species Table'!O622*100000*0.0000005903)*41.8393))</f>
        <v/>
      </c>
      <c r="H622" s="29" t="str">
        <f>IF(ISBLANK('Aqueous Species Options'!B622), "", IF('Aqueous Species Options'!L622 = 1, IF(ISBLANK('Aqueous Species Options'!H622), "", 'Aqueous Species Options'!H622), 'Aqueous Species Table'!M622 + 'Aqueous Species Table'!N622*10000*(1/(Calculations!$C$8-Calculations!$C$13))^2 + 'Aqueous Species Table'!O622*100000*Calculations!$C$8*Calculations!$C$7))</f>
        <v/>
      </c>
      <c r="I622" s="1" t="str">
        <f>IF(ISBLANK('Aqueous Species Options'!B622), "", IF('Aqueous Species Options'!L622=0, 'Aqueous Species Options'!N622, IF(OR(ISBLANK('Aqueous Species Options'!G622),'Aqueous Species Table'!O622="", 'Aqueous Species Table'!P622=""), "", IF('Aqueous Species Options'!B622="H+", 0, (CHOOSE('Aqueous Species Options'!M622+1,'Aqueous Species Options'!$V$4*ABS('Aqueous Species Table'!P622)+'Aqueous Species Options'!$W$4,'Aqueous Species Options'!$Z$4)*('Aqueous Species Options'!G622 + 'Aqueous Species Table'!O622*100000*0.0000005903*41.8393) + CHOOSE('Aqueous Species Options'!M622+1,'Aqueous Species Options'!$X$4*ABS('Aqueous Species Table'!P622)+'Aqueous Species Options'!$Y$4,'Aqueous Species Options'!$AA$4))*10 ) ) ) )</f>
        <v/>
      </c>
      <c r="J622" s="1" t="str">
        <f>IF(ISBLANK('Aqueous Species Options'!B622), "", IF('Aqueous Species Options'!L622 = 0, 'Aqueous Species Options'!O622, IF('Aqueous Species Table'!I622="", "", IF('Aqueous Species Options'!B622="H+", 0, ((1.11*('Aqueous Species Options'!G622 + 'Aqueous Species Table'!O622*100000*0.0000005903*41.8393)+1.8)/41.8393 - 'Aqueous Species Table'!I622/10)*26.01 ) ) ) )</f>
        <v/>
      </c>
      <c r="K622" s="1" t="str">
        <f>IF(ISBLANK('Aqueous Species Options'!B622), "", IF('Aqueous Species Options'!L622 = 0, 'Aqueous Species Options'!P622, IF('Aqueous Species Table'!I622="", "", IF('Aqueous Species Options'!B622="H+", 0, ('Aqueous Species Options'!G622/41.8393 + 'Aqueous Species Table'!O622*100000*0.0000005903 - 'Aqueous Species Table'!I622/10 - 'Aqueous Species Table'!J622*100/2601)*(298.15-228) - ('Aqueous Species Table'!L622*10000/2601) ) ) ) )</f>
        <v/>
      </c>
      <c r="L622" s="1" t="str">
        <f>IF(ISBLANK('Aqueous Species Options'!B622), "", IF('Aqueous Species Options'!L622 = 0, 'Aqueous Species Options'!Q622, IF('Aqueous Species Table'!J622="", "", IF('Aqueous Species Options'!B622="H+", 0, (-4.134*'Aqueous Species Table'!J622*100 - 27790)*0.0001) ) ) )</f>
        <v/>
      </c>
      <c r="M622" s="1" t="str">
        <f>IF(ISBLANK('Aqueous Species Options'!B622), "", IF('Aqueous Species Options'!L622=0, 'Aqueous Species Options'!R622, IF('Aqueous Species Table'!N622="", "", IF('Aqueous Species Options'!B622="H+", 0, 'Aqueous Species Options'!H622 - 'Aqueous Species Table'!O622*100000*(-0.000000309)*298.15 - 'Aqueous Species Table'!N622*10000/(298.15-228)^2 ) ) ) )</f>
        <v/>
      </c>
      <c r="N622" s="1" t="str">
        <f>IF(ISBLANK('Aqueous Species Options'!B622), "", IF('Aqueous Species Options'!L622=0, 'Aqueous Species Options'!S622, IF(OR(ISBLANK('Aqueous Species Options'!H622), 'Aqueous Species Table'!O622=""), "", IF('Aqueous Species Options'!B622="H+", 0, 0.2037*'Aqueous Species Options'!H622 - 3.0346) ) ) )</f>
        <v/>
      </c>
      <c r="O622" s="1" t="str">
        <f>IF(ISBLANK('Aqueous Species Options'!B622), "", IF('Aqueous Species Options'!K622=0, 'Aqueous Species Options'!I622, IF(OR('Aqueous Species Options'!J622&gt;4,'Aqueous Species Options'!J622&lt;-4), "", IF('Aqueous Species Options'!B622="H+", 0, IF('Aqueous Species Options'!J622=0, -0.038, IF(ISBLANK('Aqueous Species Options'!F622), "", -1514.4*'Aqueous Species Options'!F622*0.00001 + SUM(({4,3,2,1,-1,-2,-3,-4}='Aqueous Species Options'!J622)*{2.1764,1.5793,1.0579,0.5517,1.6291,3.2127,4.8115,6.486}) ) ) ) ) ) )</f>
        <v/>
      </c>
      <c r="P622" s="1" t="str">
        <f>IF(ISBLANK('Aqueous Species Options'!J622), "", 'Aqueous Species Options'!J622)</f>
        <v/>
      </c>
      <c r="Q622" s="184" t="str">
        <f>IF(ISBLANK('Aqueous Species Options'!T622), "", 'Aqueous Species Options'!T622)</f>
        <v/>
      </c>
    </row>
    <row r="623" spans="2:17" ht="16" x14ac:dyDescent="0.2">
      <c r="B623" t="str">
        <f>IF(ISBLANK('Aqueous Species Options'!B623), "", 'Aqueous Species Options'!B623)</f>
        <v/>
      </c>
      <c r="C623" s="1" t="str">
        <f>IF(ISBLANK('Aqueous Species Options'!C623), "", 'Aqueous Species Options'!C623)</f>
        <v/>
      </c>
      <c r="D623" s="1" t="str">
        <f>IF(ISBLANK('Aqueous Species Options'!D623), "", 'Aqueous Species Options'!D623)</f>
        <v/>
      </c>
      <c r="E623" s="1" t="str">
        <f>IF(ISBLANK('Aqueous Species Options'!E623), "", 'Aqueous Species Options'!E623)</f>
        <v/>
      </c>
      <c r="F623" s="139" t="str">
        <f>IF(ISBLANK('Aqueous Species Options'!F623), "", 'Aqueous Species Options'!F623)</f>
        <v/>
      </c>
      <c r="G623" s="29" t="str">
        <f>IF(ISBLANK('Aqueous Species Options'!B623), "", IF('Aqueous Species Options'!L623 = 1, IF(ISBLANK('Aqueous Species Options'!G623), "", 'Aqueous Species Options'!G623), ('Aqueous Species Table'!I623/10 + ('Aqueous Species Table'!J623*100)/(Calculations!$C$12+Calculations!$C$9) + ('Aqueous Species Table'!K623 + ('Aqueous Species Table'!L623*10000)/(Calculations!$C$12+Calculations!$C$9))*(1/(Calculations!$C$8-Calculations!$C$13)) - 'Aqueous Species Table'!O623*100000*0.0000005903)*41.8393))</f>
        <v/>
      </c>
      <c r="H623" s="29" t="str">
        <f>IF(ISBLANK('Aqueous Species Options'!B623), "", IF('Aqueous Species Options'!L623 = 1, IF(ISBLANK('Aqueous Species Options'!H623), "", 'Aqueous Species Options'!H623), 'Aqueous Species Table'!M623 + 'Aqueous Species Table'!N623*10000*(1/(Calculations!$C$8-Calculations!$C$13))^2 + 'Aqueous Species Table'!O623*100000*Calculations!$C$8*Calculations!$C$7))</f>
        <v/>
      </c>
      <c r="I623" s="1" t="str">
        <f>IF(ISBLANK('Aqueous Species Options'!B623), "", IF('Aqueous Species Options'!L623=0, 'Aqueous Species Options'!N623, IF(OR(ISBLANK('Aqueous Species Options'!G623),'Aqueous Species Table'!O623="", 'Aqueous Species Table'!P623=""), "", IF('Aqueous Species Options'!B623="H+", 0, (CHOOSE('Aqueous Species Options'!M623+1,'Aqueous Species Options'!$V$4*ABS('Aqueous Species Table'!P623)+'Aqueous Species Options'!$W$4,'Aqueous Species Options'!$Z$4)*('Aqueous Species Options'!G623 + 'Aqueous Species Table'!O623*100000*0.0000005903*41.8393) + CHOOSE('Aqueous Species Options'!M623+1,'Aqueous Species Options'!$X$4*ABS('Aqueous Species Table'!P623)+'Aqueous Species Options'!$Y$4,'Aqueous Species Options'!$AA$4))*10 ) ) ) )</f>
        <v/>
      </c>
      <c r="J623" s="1" t="str">
        <f>IF(ISBLANK('Aqueous Species Options'!B623), "", IF('Aqueous Species Options'!L623 = 0, 'Aqueous Species Options'!O623, IF('Aqueous Species Table'!I623="", "", IF('Aqueous Species Options'!B623="H+", 0, ((1.11*('Aqueous Species Options'!G623 + 'Aqueous Species Table'!O623*100000*0.0000005903*41.8393)+1.8)/41.8393 - 'Aqueous Species Table'!I623/10)*26.01 ) ) ) )</f>
        <v/>
      </c>
      <c r="K623" s="1" t="str">
        <f>IF(ISBLANK('Aqueous Species Options'!B623), "", IF('Aqueous Species Options'!L623 = 0, 'Aqueous Species Options'!P623, IF('Aqueous Species Table'!I623="", "", IF('Aqueous Species Options'!B623="H+", 0, ('Aqueous Species Options'!G623/41.8393 + 'Aqueous Species Table'!O623*100000*0.0000005903 - 'Aqueous Species Table'!I623/10 - 'Aqueous Species Table'!J623*100/2601)*(298.15-228) - ('Aqueous Species Table'!L623*10000/2601) ) ) ) )</f>
        <v/>
      </c>
      <c r="L623" s="1" t="str">
        <f>IF(ISBLANK('Aqueous Species Options'!B623), "", IF('Aqueous Species Options'!L623 = 0, 'Aqueous Species Options'!Q623, IF('Aqueous Species Table'!J623="", "", IF('Aqueous Species Options'!B623="H+", 0, (-4.134*'Aqueous Species Table'!J623*100 - 27790)*0.0001) ) ) )</f>
        <v/>
      </c>
      <c r="M623" s="1" t="str">
        <f>IF(ISBLANK('Aqueous Species Options'!B623), "", IF('Aqueous Species Options'!L623=0, 'Aqueous Species Options'!R623, IF('Aqueous Species Table'!N623="", "", IF('Aqueous Species Options'!B623="H+", 0, 'Aqueous Species Options'!H623 - 'Aqueous Species Table'!O623*100000*(-0.000000309)*298.15 - 'Aqueous Species Table'!N623*10000/(298.15-228)^2 ) ) ) )</f>
        <v/>
      </c>
      <c r="N623" s="1" t="str">
        <f>IF(ISBLANK('Aqueous Species Options'!B623), "", IF('Aqueous Species Options'!L623=0, 'Aqueous Species Options'!S623, IF(OR(ISBLANK('Aqueous Species Options'!H623), 'Aqueous Species Table'!O623=""), "", IF('Aqueous Species Options'!B623="H+", 0, 0.2037*'Aqueous Species Options'!H623 - 3.0346) ) ) )</f>
        <v/>
      </c>
      <c r="O623" s="1" t="str">
        <f>IF(ISBLANK('Aqueous Species Options'!B623), "", IF('Aqueous Species Options'!K623=0, 'Aqueous Species Options'!I623, IF(OR('Aqueous Species Options'!J623&gt;4,'Aqueous Species Options'!J623&lt;-4), "", IF('Aqueous Species Options'!B623="H+", 0, IF('Aqueous Species Options'!J623=0, -0.038, IF(ISBLANK('Aqueous Species Options'!F623), "", -1514.4*'Aqueous Species Options'!F623*0.00001 + SUM(({4,3,2,1,-1,-2,-3,-4}='Aqueous Species Options'!J623)*{2.1764,1.5793,1.0579,0.5517,1.6291,3.2127,4.8115,6.486}) ) ) ) ) ) )</f>
        <v/>
      </c>
      <c r="P623" s="1" t="str">
        <f>IF(ISBLANK('Aqueous Species Options'!J623), "", 'Aqueous Species Options'!J623)</f>
        <v/>
      </c>
      <c r="Q623" s="184" t="str">
        <f>IF(ISBLANK('Aqueous Species Options'!T623), "", 'Aqueous Species Options'!T623)</f>
        <v/>
      </c>
    </row>
    <row r="624" spans="2:17" ht="16" x14ac:dyDescent="0.2">
      <c r="B624" t="str">
        <f>IF(ISBLANK('Aqueous Species Options'!B624), "", 'Aqueous Species Options'!B624)</f>
        <v/>
      </c>
      <c r="C624" s="1" t="str">
        <f>IF(ISBLANK('Aqueous Species Options'!C624), "", 'Aqueous Species Options'!C624)</f>
        <v/>
      </c>
      <c r="D624" s="1" t="str">
        <f>IF(ISBLANK('Aqueous Species Options'!D624), "", 'Aqueous Species Options'!D624)</f>
        <v/>
      </c>
      <c r="E624" s="1" t="str">
        <f>IF(ISBLANK('Aqueous Species Options'!E624), "", 'Aqueous Species Options'!E624)</f>
        <v/>
      </c>
      <c r="F624" s="139" t="str">
        <f>IF(ISBLANK('Aqueous Species Options'!F624), "", 'Aqueous Species Options'!F624)</f>
        <v/>
      </c>
      <c r="G624" s="29" t="str">
        <f>IF(ISBLANK('Aqueous Species Options'!B624), "", IF('Aqueous Species Options'!L624 = 1, IF(ISBLANK('Aqueous Species Options'!G624), "", 'Aqueous Species Options'!G624), ('Aqueous Species Table'!I624/10 + ('Aqueous Species Table'!J624*100)/(Calculations!$C$12+Calculations!$C$9) + ('Aqueous Species Table'!K624 + ('Aqueous Species Table'!L624*10000)/(Calculations!$C$12+Calculations!$C$9))*(1/(Calculations!$C$8-Calculations!$C$13)) - 'Aqueous Species Table'!O624*100000*0.0000005903)*41.8393))</f>
        <v/>
      </c>
      <c r="H624" s="29" t="str">
        <f>IF(ISBLANK('Aqueous Species Options'!B624), "", IF('Aqueous Species Options'!L624 = 1, IF(ISBLANK('Aqueous Species Options'!H624), "", 'Aqueous Species Options'!H624), 'Aqueous Species Table'!M624 + 'Aqueous Species Table'!N624*10000*(1/(Calculations!$C$8-Calculations!$C$13))^2 + 'Aqueous Species Table'!O624*100000*Calculations!$C$8*Calculations!$C$7))</f>
        <v/>
      </c>
      <c r="I624" s="1" t="str">
        <f>IF(ISBLANK('Aqueous Species Options'!B624), "", IF('Aqueous Species Options'!L624=0, 'Aqueous Species Options'!N624, IF(OR(ISBLANK('Aqueous Species Options'!G624),'Aqueous Species Table'!O624="", 'Aqueous Species Table'!P624=""), "", IF('Aqueous Species Options'!B624="H+", 0, (CHOOSE('Aqueous Species Options'!M624+1,'Aqueous Species Options'!$V$4*ABS('Aqueous Species Table'!P624)+'Aqueous Species Options'!$W$4,'Aqueous Species Options'!$Z$4)*('Aqueous Species Options'!G624 + 'Aqueous Species Table'!O624*100000*0.0000005903*41.8393) + CHOOSE('Aqueous Species Options'!M624+1,'Aqueous Species Options'!$X$4*ABS('Aqueous Species Table'!P624)+'Aqueous Species Options'!$Y$4,'Aqueous Species Options'!$AA$4))*10 ) ) ) )</f>
        <v/>
      </c>
      <c r="J624" s="1" t="str">
        <f>IF(ISBLANK('Aqueous Species Options'!B624), "", IF('Aqueous Species Options'!L624 = 0, 'Aqueous Species Options'!O624, IF('Aqueous Species Table'!I624="", "", IF('Aqueous Species Options'!B624="H+", 0, ((1.11*('Aqueous Species Options'!G624 + 'Aqueous Species Table'!O624*100000*0.0000005903*41.8393)+1.8)/41.8393 - 'Aqueous Species Table'!I624/10)*26.01 ) ) ) )</f>
        <v/>
      </c>
      <c r="K624" s="1" t="str">
        <f>IF(ISBLANK('Aqueous Species Options'!B624), "", IF('Aqueous Species Options'!L624 = 0, 'Aqueous Species Options'!P624, IF('Aqueous Species Table'!I624="", "", IF('Aqueous Species Options'!B624="H+", 0, ('Aqueous Species Options'!G624/41.8393 + 'Aqueous Species Table'!O624*100000*0.0000005903 - 'Aqueous Species Table'!I624/10 - 'Aqueous Species Table'!J624*100/2601)*(298.15-228) - ('Aqueous Species Table'!L624*10000/2601) ) ) ) )</f>
        <v/>
      </c>
      <c r="L624" s="1" t="str">
        <f>IF(ISBLANK('Aqueous Species Options'!B624), "", IF('Aqueous Species Options'!L624 = 0, 'Aqueous Species Options'!Q624, IF('Aqueous Species Table'!J624="", "", IF('Aqueous Species Options'!B624="H+", 0, (-4.134*'Aqueous Species Table'!J624*100 - 27790)*0.0001) ) ) )</f>
        <v/>
      </c>
      <c r="M624" s="1" t="str">
        <f>IF(ISBLANK('Aqueous Species Options'!B624), "", IF('Aqueous Species Options'!L624=0, 'Aqueous Species Options'!R624, IF('Aqueous Species Table'!N624="", "", IF('Aqueous Species Options'!B624="H+", 0, 'Aqueous Species Options'!H624 - 'Aqueous Species Table'!O624*100000*(-0.000000309)*298.15 - 'Aqueous Species Table'!N624*10000/(298.15-228)^2 ) ) ) )</f>
        <v/>
      </c>
      <c r="N624" s="1" t="str">
        <f>IF(ISBLANK('Aqueous Species Options'!B624), "", IF('Aqueous Species Options'!L624=0, 'Aqueous Species Options'!S624, IF(OR(ISBLANK('Aqueous Species Options'!H624), 'Aqueous Species Table'!O624=""), "", IF('Aqueous Species Options'!B624="H+", 0, 0.2037*'Aqueous Species Options'!H624 - 3.0346) ) ) )</f>
        <v/>
      </c>
      <c r="O624" s="1" t="str">
        <f>IF(ISBLANK('Aqueous Species Options'!B624), "", IF('Aqueous Species Options'!K624=0, 'Aqueous Species Options'!I624, IF(OR('Aqueous Species Options'!J624&gt;4,'Aqueous Species Options'!J624&lt;-4), "", IF('Aqueous Species Options'!B624="H+", 0, IF('Aqueous Species Options'!J624=0, -0.038, IF(ISBLANK('Aqueous Species Options'!F624), "", -1514.4*'Aqueous Species Options'!F624*0.00001 + SUM(({4,3,2,1,-1,-2,-3,-4}='Aqueous Species Options'!J624)*{2.1764,1.5793,1.0579,0.5517,1.6291,3.2127,4.8115,6.486}) ) ) ) ) ) )</f>
        <v/>
      </c>
      <c r="P624" s="1" t="str">
        <f>IF(ISBLANK('Aqueous Species Options'!J624), "", 'Aqueous Species Options'!J624)</f>
        <v/>
      </c>
      <c r="Q624" s="184" t="str">
        <f>IF(ISBLANK('Aqueous Species Options'!T624), "", 'Aqueous Species Options'!T624)</f>
        <v/>
      </c>
    </row>
    <row r="625" spans="2:17" ht="16" x14ac:dyDescent="0.2">
      <c r="B625" t="str">
        <f>IF(ISBLANK('Aqueous Species Options'!B625), "", 'Aqueous Species Options'!B625)</f>
        <v/>
      </c>
      <c r="C625" s="1" t="str">
        <f>IF(ISBLANK('Aqueous Species Options'!C625), "", 'Aqueous Species Options'!C625)</f>
        <v/>
      </c>
      <c r="D625" s="1" t="str">
        <f>IF(ISBLANK('Aqueous Species Options'!D625), "", 'Aqueous Species Options'!D625)</f>
        <v/>
      </c>
      <c r="E625" s="1" t="str">
        <f>IF(ISBLANK('Aqueous Species Options'!E625), "", 'Aqueous Species Options'!E625)</f>
        <v/>
      </c>
      <c r="F625" s="139" t="str">
        <f>IF(ISBLANK('Aqueous Species Options'!F625), "", 'Aqueous Species Options'!F625)</f>
        <v/>
      </c>
      <c r="G625" s="29" t="str">
        <f>IF(ISBLANK('Aqueous Species Options'!B625), "", IF('Aqueous Species Options'!L625 = 1, IF(ISBLANK('Aqueous Species Options'!G625), "", 'Aqueous Species Options'!G625), ('Aqueous Species Table'!I625/10 + ('Aqueous Species Table'!J625*100)/(Calculations!$C$12+Calculations!$C$9) + ('Aqueous Species Table'!K625 + ('Aqueous Species Table'!L625*10000)/(Calculations!$C$12+Calculations!$C$9))*(1/(Calculations!$C$8-Calculations!$C$13)) - 'Aqueous Species Table'!O625*100000*0.0000005903)*41.8393))</f>
        <v/>
      </c>
      <c r="H625" s="29" t="str">
        <f>IF(ISBLANK('Aqueous Species Options'!B625), "", IF('Aqueous Species Options'!L625 = 1, IF(ISBLANK('Aqueous Species Options'!H625), "", 'Aqueous Species Options'!H625), 'Aqueous Species Table'!M625 + 'Aqueous Species Table'!N625*10000*(1/(Calculations!$C$8-Calculations!$C$13))^2 + 'Aqueous Species Table'!O625*100000*Calculations!$C$8*Calculations!$C$7))</f>
        <v/>
      </c>
      <c r="I625" s="1" t="str">
        <f>IF(ISBLANK('Aqueous Species Options'!B625), "", IF('Aqueous Species Options'!L625=0, 'Aqueous Species Options'!N625, IF(OR(ISBLANK('Aqueous Species Options'!G625),'Aqueous Species Table'!O625="", 'Aqueous Species Table'!P625=""), "", IF('Aqueous Species Options'!B625="H+", 0, (CHOOSE('Aqueous Species Options'!M625+1,'Aqueous Species Options'!$V$4*ABS('Aqueous Species Table'!P625)+'Aqueous Species Options'!$W$4,'Aqueous Species Options'!$Z$4)*('Aqueous Species Options'!G625 + 'Aqueous Species Table'!O625*100000*0.0000005903*41.8393) + CHOOSE('Aqueous Species Options'!M625+1,'Aqueous Species Options'!$X$4*ABS('Aqueous Species Table'!P625)+'Aqueous Species Options'!$Y$4,'Aqueous Species Options'!$AA$4))*10 ) ) ) )</f>
        <v/>
      </c>
      <c r="J625" s="1" t="str">
        <f>IF(ISBLANK('Aqueous Species Options'!B625), "", IF('Aqueous Species Options'!L625 = 0, 'Aqueous Species Options'!O625, IF('Aqueous Species Table'!I625="", "", IF('Aqueous Species Options'!B625="H+", 0, ((1.11*('Aqueous Species Options'!G625 + 'Aqueous Species Table'!O625*100000*0.0000005903*41.8393)+1.8)/41.8393 - 'Aqueous Species Table'!I625/10)*26.01 ) ) ) )</f>
        <v/>
      </c>
      <c r="K625" s="1" t="str">
        <f>IF(ISBLANK('Aqueous Species Options'!B625), "", IF('Aqueous Species Options'!L625 = 0, 'Aqueous Species Options'!P625, IF('Aqueous Species Table'!I625="", "", IF('Aqueous Species Options'!B625="H+", 0, ('Aqueous Species Options'!G625/41.8393 + 'Aqueous Species Table'!O625*100000*0.0000005903 - 'Aqueous Species Table'!I625/10 - 'Aqueous Species Table'!J625*100/2601)*(298.15-228) - ('Aqueous Species Table'!L625*10000/2601) ) ) ) )</f>
        <v/>
      </c>
      <c r="L625" s="1" t="str">
        <f>IF(ISBLANK('Aqueous Species Options'!B625), "", IF('Aqueous Species Options'!L625 = 0, 'Aqueous Species Options'!Q625, IF('Aqueous Species Table'!J625="", "", IF('Aqueous Species Options'!B625="H+", 0, (-4.134*'Aqueous Species Table'!J625*100 - 27790)*0.0001) ) ) )</f>
        <v/>
      </c>
      <c r="M625" s="1" t="str">
        <f>IF(ISBLANK('Aqueous Species Options'!B625), "", IF('Aqueous Species Options'!L625=0, 'Aqueous Species Options'!R625, IF('Aqueous Species Table'!N625="", "", IF('Aqueous Species Options'!B625="H+", 0, 'Aqueous Species Options'!H625 - 'Aqueous Species Table'!O625*100000*(-0.000000309)*298.15 - 'Aqueous Species Table'!N625*10000/(298.15-228)^2 ) ) ) )</f>
        <v/>
      </c>
      <c r="N625" s="1" t="str">
        <f>IF(ISBLANK('Aqueous Species Options'!B625), "", IF('Aqueous Species Options'!L625=0, 'Aqueous Species Options'!S625, IF(OR(ISBLANK('Aqueous Species Options'!H625), 'Aqueous Species Table'!O625=""), "", IF('Aqueous Species Options'!B625="H+", 0, 0.2037*'Aqueous Species Options'!H625 - 3.0346) ) ) )</f>
        <v/>
      </c>
      <c r="O625" s="1" t="str">
        <f>IF(ISBLANK('Aqueous Species Options'!B625), "", IF('Aqueous Species Options'!K625=0, 'Aqueous Species Options'!I625, IF(OR('Aqueous Species Options'!J625&gt;4,'Aqueous Species Options'!J625&lt;-4), "", IF('Aqueous Species Options'!B625="H+", 0, IF('Aqueous Species Options'!J625=0, -0.038, IF(ISBLANK('Aqueous Species Options'!F625), "", -1514.4*'Aqueous Species Options'!F625*0.00001 + SUM(({4,3,2,1,-1,-2,-3,-4}='Aqueous Species Options'!J625)*{2.1764,1.5793,1.0579,0.5517,1.6291,3.2127,4.8115,6.486}) ) ) ) ) ) )</f>
        <v/>
      </c>
      <c r="P625" s="1" t="str">
        <f>IF(ISBLANK('Aqueous Species Options'!J625), "", 'Aqueous Species Options'!J625)</f>
        <v/>
      </c>
      <c r="Q625" s="184" t="str">
        <f>IF(ISBLANK('Aqueous Species Options'!T625), "", 'Aqueous Species Options'!T625)</f>
        <v/>
      </c>
    </row>
    <row r="626" spans="2:17" ht="16" x14ac:dyDescent="0.2">
      <c r="B626" t="str">
        <f>IF(ISBLANK('Aqueous Species Options'!B626), "", 'Aqueous Species Options'!B626)</f>
        <v/>
      </c>
      <c r="C626" s="1" t="str">
        <f>IF(ISBLANK('Aqueous Species Options'!C626), "", 'Aqueous Species Options'!C626)</f>
        <v/>
      </c>
      <c r="D626" s="1" t="str">
        <f>IF(ISBLANK('Aqueous Species Options'!D626), "", 'Aqueous Species Options'!D626)</f>
        <v/>
      </c>
      <c r="E626" s="1" t="str">
        <f>IF(ISBLANK('Aqueous Species Options'!E626), "", 'Aqueous Species Options'!E626)</f>
        <v/>
      </c>
      <c r="F626" s="139" t="str">
        <f>IF(ISBLANK('Aqueous Species Options'!F626), "", 'Aqueous Species Options'!F626)</f>
        <v/>
      </c>
      <c r="G626" s="29" t="str">
        <f>IF(ISBLANK('Aqueous Species Options'!B626), "", IF('Aqueous Species Options'!L626 = 1, IF(ISBLANK('Aqueous Species Options'!G626), "", 'Aqueous Species Options'!G626), ('Aqueous Species Table'!I626/10 + ('Aqueous Species Table'!J626*100)/(Calculations!$C$12+Calculations!$C$9) + ('Aqueous Species Table'!K626 + ('Aqueous Species Table'!L626*10000)/(Calculations!$C$12+Calculations!$C$9))*(1/(Calculations!$C$8-Calculations!$C$13)) - 'Aqueous Species Table'!O626*100000*0.0000005903)*41.8393))</f>
        <v/>
      </c>
      <c r="H626" s="29" t="str">
        <f>IF(ISBLANK('Aqueous Species Options'!B626), "", IF('Aqueous Species Options'!L626 = 1, IF(ISBLANK('Aqueous Species Options'!H626), "", 'Aqueous Species Options'!H626), 'Aqueous Species Table'!M626 + 'Aqueous Species Table'!N626*10000*(1/(Calculations!$C$8-Calculations!$C$13))^2 + 'Aqueous Species Table'!O626*100000*Calculations!$C$8*Calculations!$C$7))</f>
        <v/>
      </c>
      <c r="I626" s="1" t="str">
        <f>IF(ISBLANK('Aqueous Species Options'!B626), "", IF('Aqueous Species Options'!L626=0, 'Aqueous Species Options'!N626, IF(OR(ISBLANK('Aqueous Species Options'!G626),'Aqueous Species Table'!O626="", 'Aqueous Species Table'!P626=""), "", IF('Aqueous Species Options'!B626="H+", 0, (CHOOSE('Aqueous Species Options'!M626+1,'Aqueous Species Options'!$V$4*ABS('Aqueous Species Table'!P626)+'Aqueous Species Options'!$W$4,'Aqueous Species Options'!$Z$4)*('Aqueous Species Options'!G626 + 'Aqueous Species Table'!O626*100000*0.0000005903*41.8393) + CHOOSE('Aqueous Species Options'!M626+1,'Aqueous Species Options'!$X$4*ABS('Aqueous Species Table'!P626)+'Aqueous Species Options'!$Y$4,'Aqueous Species Options'!$AA$4))*10 ) ) ) )</f>
        <v/>
      </c>
      <c r="J626" s="1" t="str">
        <f>IF(ISBLANK('Aqueous Species Options'!B626), "", IF('Aqueous Species Options'!L626 = 0, 'Aqueous Species Options'!O626, IF('Aqueous Species Table'!I626="", "", IF('Aqueous Species Options'!B626="H+", 0, ((1.11*('Aqueous Species Options'!G626 + 'Aqueous Species Table'!O626*100000*0.0000005903*41.8393)+1.8)/41.8393 - 'Aqueous Species Table'!I626/10)*26.01 ) ) ) )</f>
        <v/>
      </c>
      <c r="K626" s="1" t="str">
        <f>IF(ISBLANK('Aqueous Species Options'!B626), "", IF('Aqueous Species Options'!L626 = 0, 'Aqueous Species Options'!P626, IF('Aqueous Species Table'!I626="", "", IF('Aqueous Species Options'!B626="H+", 0, ('Aqueous Species Options'!G626/41.8393 + 'Aqueous Species Table'!O626*100000*0.0000005903 - 'Aqueous Species Table'!I626/10 - 'Aqueous Species Table'!J626*100/2601)*(298.15-228) - ('Aqueous Species Table'!L626*10000/2601) ) ) ) )</f>
        <v/>
      </c>
      <c r="L626" s="1" t="str">
        <f>IF(ISBLANK('Aqueous Species Options'!B626), "", IF('Aqueous Species Options'!L626 = 0, 'Aqueous Species Options'!Q626, IF('Aqueous Species Table'!J626="", "", IF('Aqueous Species Options'!B626="H+", 0, (-4.134*'Aqueous Species Table'!J626*100 - 27790)*0.0001) ) ) )</f>
        <v/>
      </c>
      <c r="M626" s="1" t="str">
        <f>IF(ISBLANK('Aqueous Species Options'!B626), "", IF('Aqueous Species Options'!L626=0, 'Aqueous Species Options'!R626, IF('Aqueous Species Table'!N626="", "", IF('Aqueous Species Options'!B626="H+", 0, 'Aqueous Species Options'!H626 - 'Aqueous Species Table'!O626*100000*(-0.000000309)*298.15 - 'Aqueous Species Table'!N626*10000/(298.15-228)^2 ) ) ) )</f>
        <v/>
      </c>
      <c r="N626" s="1" t="str">
        <f>IF(ISBLANK('Aqueous Species Options'!B626), "", IF('Aqueous Species Options'!L626=0, 'Aqueous Species Options'!S626, IF(OR(ISBLANK('Aqueous Species Options'!H626), 'Aqueous Species Table'!O626=""), "", IF('Aqueous Species Options'!B626="H+", 0, 0.2037*'Aqueous Species Options'!H626 - 3.0346) ) ) )</f>
        <v/>
      </c>
      <c r="O626" s="1" t="str">
        <f>IF(ISBLANK('Aqueous Species Options'!B626), "", IF('Aqueous Species Options'!K626=0, 'Aqueous Species Options'!I626, IF(OR('Aqueous Species Options'!J626&gt;4,'Aqueous Species Options'!J626&lt;-4), "", IF('Aqueous Species Options'!B626="H+", 0, IF('Aqueous Species Options'!J626=0, -0.038, IF(ISBLANK('Aqueous Species Options'!F626), "", -1514.4*'Aqueous Species Options'!F626*0.00001 + SUM(({4,3,2,1,-1,-2,-3,-4}='Aqueous Species Options'!J626)*{2.1764,1.5793,1.0579,0.5517,1.6291,3.2127,4.8115,6.486}) ) ) ) ) ) )</f>
        <v/>
      </c>
      <c r="P626" s="1" t="str">
        <f>IF(ISBLANK('Aqueous Species Options'!J626), "", 'Aqueous Species Options'!J626)</f>
        <v/>
      </c>
      <c r="Q626" s="184" t="str">
        <f>IF(ISBLANK('Aqueous Species Options'!T626), "", 'Aqueous Species Options'!T626)</f>
        <v/>
      </c>
    </row>
    <row r="627" spans="2:17" ht="16" x14ac:dyDescent="0.2">
      <c r="B627" t="str">
        <f>IF(ISBLANK('Aqueous Species Options'!B627), "", 'Aqueous Species Options'!B627)</f>
        <v/>
      </c>
      <c r="C627" s="1" t="str">
        <f>IF(ISBLANK('Aqueous Species Options'!C627), "", 'Aqueous Species Options'!C627)</f>
        <v/>
      </c>
      <c r="D627" s="1" t="str">
        <f>IF(ISBLANK('Aqueous Species Options'!D627), "", 'Aqueous Species Options'!D627)</f>
        <v/>
      </c>
      <c r="E627" s="1" t="str">
        <f>IF(ISBLANK('Aqueous Species Options'!E627), "", 'Aqueous Species Options'!E627)</f>
        <v/>
      </c>
      <c r="F627" s="139" t="str">
        <f>IF(ISBLANK('Aqueous Species Options'!F627), "", 'Aqueous Species Options'!F627)</f>
        <v/>
      </c>
      <c r="G627" s="29" t="str">
        <f>IF(ISBLANK('Aqueous Species Options'!B627), "", IF('Aqueous Species Options'!L627 = 1, IF(ISBLANK('Aqueous Species Options'!G627), "", 'Aqueous Species Options'!G627), ('Aqueous Species Table'!I627/10 + ('Aqueous Species Table'!J627*100)/(Calculations!$C$12+Calculations!$C$9) + ('Aqueous Species Table'!K627 + ('Aqueous Species Table'!L627*10000)/(Calculations!$C$12+Calculations!$C$9))*(1/(Calculations!$C$8-Calculations!$C$13)) - 'Aqueous Species Table'!O627*100000*0.0000005903)*41.8393))</f>
        <v/>
      </c>
      <c r="H627" s="29" t="str">
        <f>IF(ISBLANK('Aqueous Species Options'!B627), "", IF('Aqueous Species Options'!L627 = 1, IF(ISBLANK('Aqueous Species Options'!H627), "", 'Aqueous Species Options'!H627), 'Aqueous Species Table'!M627 + 'Aqueous Species Table'!N627*10000*(1/(Calculations!$C$8-Calculations!$C$13))^2 + 'Aqueous Species Table'!O627*100000*Calculations!$C$8*Calculations!$C$7))</f>
        <v/>
      </c>
      <c r="I627" s="1" t="str">
        <f>IF(ISBLANK('Aqueous Species Options'!B627), "", IF('Aqueous Species Options'!L627=0, 'Aqueous Species Options'!N627, IF(OR(ISBLANK('Aqueous Species Options'!G627),'Aqueous Species Table'!O627="", 'Aqueous Species Table'!P627=""), "", IF('Aqueous Species Options'!B627="H+", 0, (CHOOSE('Aqueous Species Options'!M627+1,'Aqueous Species Options'!$V$4*ABS('Aqueous Species Table'!P627)+'Aqueous Species Options'!$W$4,'Aqueous Species Options'!$Z$4)*('Aqueous Species Options'!G627 + 'Aqueous Species Table'!O627*100000*0.0000005903*41.8393) + CHOOSE('Aqueous Species Options'!M627+1,'Aqueous Species Options'!$X$4*ABS('Aqueous Species Table'!P627)+'Aqueous Species Options'!$Y$4,'Aqueous Species Options'!$AA$4))*10 ) ) ) )</f>
        <v/>
      </c>
      <c r="J627" s="1" t="str">
        <f>IF(ISBLANK('Aqueous Species Options'!B627), "", IF('Aqueous Species Options'!L627 = 0, 'Aqueous Species Options'!O627, IF('Aqueous Species Table'!I627="", "", IF('Aqueous Species Options'!B627="H+", 0, ((1.11*('Aqueous Species Options'!G627 + 'Aqueous Species Table'!O627*100000*0.0000005903*41.8393)+1.8)/41.8393 - 'Aqueous Species Table'!I627/10)*26.01 ) ) ) )</f>
        <v/>
      </c>
      <c r="K627" s="1" t="str">
        <f>IF(ISBLANK('Aqueous Species Options'!B627), "", IF('Aqueous Species Options'!L627 = 0, 'Aqueous Species Options'!P627, IF('Aqueous Species Table'!I627="", "", IF('Aqueous Species Options'!B627="H+", 0, ('Aqueous Species Options'!G627/41.8393 + 'Aqueous Species Table'!O627*100000*0.0000005903 - 'Aqueous Species Table'!I627/10 - 'Aqueous Species Table'!J627*100/2601)*(298.15-228) - ('Aqueous Species Table'!L627*10000/2601) ) ) ) )</f>
        <v/>
      </c>
      <c r="L627" s="1" t="str">
        <f>IF(ISBLANK('Aqueous Species Options'!B627), "", IF('Aqueous Species Options'!L627 = 0, 'Aqueous Species Options'!Q627, IF('Aqueous Species Table'!J627="", "", IF('Aqueous Species Options'!B627="H+", 0, (-4.134*'Aqueous Species Table'!J627*100 - 27790)*0.0001) ) ) )</f>
        <v/>
      </c>
      <c r="M627" s="1" t="str">
        <f>IF(ISBLANK('Aqueous Species Options'!B627), "", IF('Aqueous Species Options'!L627=0, 'Aqueous Species Options'!R627, IF('Aqueous Species Table'!N627="", "", IF('Aqueous Species Options'!B627="H+", 0, 'Aqueous Species Options'!H627 - 'Aqueous Species Table'!O627*100000*(-0.000000309)*298.15 - 'Aqueous Species Table'!N627*10000/(298.15-228)^2 ) ) ) )</f>
        <v/>
      </c>
      <c r="N627" s="1" t="str">
        <f>IF(ISBLANK('Aqueous Species Options'!B627), "", IF('Aqueous Species Options'!L627=0, 'Aqueous Species Options'!S627, IF(OR(ISBLANK('Aqueous Species Options'!H627), 'Aqueous Species Table'!O627=""), "", IF('Aqueous Species Options'!B627="H+", 0, 0.2037*'Aqueous Species Options'!H627 - 3.0346) ) ) )</f>
        <v/>
      </c>
      <c r="O627" s="1" t="str">
        <f>IF(ISBLANK('Aqueous Species Options'!B627), "", IF('Aqueous Species Options'!K627=0, 'Aqueous Species Options'!I627, IF(OR('Aqueous Species Options'!J627&gt;4,'Aqueous Species Options'!J627&lt;-4), "", IF('Aqueous Species Options'!B627="H+", 0, IF('Aqueous Species Options'!J627=0, -0.038, IF(ISBLANK('Aqueous Species Options'!F627), "", -1514.4*'Aqueous Species Options'!F627*0.00001 + SUM(({4,3,2,1,-1,-2,-3,-4}='Aqueous Species Options'!J627)*{2.1764,1.5793,1.0579,0.5517,1.6291,3.2127,4.8115,6.486}) ) ) ) ) ) )</f>
        <v/>
      </c>
      <c r="P627" s="1" t="str">
        <f>IF(ISBLANK('Aqueous Species Options'!J627), "", 'Aqueous Species Options'!J627)</f>
        <v/>
      </c>
      <c r="Q627" s="184" t="str">
        <f>IF(ISBLANK('Aqueous Species Options'!T627), "", 'Aqueous Species Options'!T627)</f>
        <v/>
      </c>
    </row>
    <row r="628" spans="2:17" ht="16" x14ac:dyDescent="0.2">
      <c r="B628" t="str">
        <f>IF(ISBLANK('Aqueous Species Options'!B628), "", 'Aqueous Species Options'!B628)</f>
        <v/>
      </c>
      <c r="C628" s="1" t="str">
        <f>IF(ISBLANK('Aqueous Species Options'!C628), "", 'Aqueous Species Options'!C628)</f>
        <v/>
      </c>
      <c r="D628" s="1" t="str">
        <f>IF(ISBLANK('Aqueous Species Options'!D628), "", 'Aqueous Species Options'!D628)</f>
        <v/>
      </c>
      <c r="E628" s="1" t="str">
        <f>IF(ISBLANK('Aqueous Species Options'!E628), "", 'Aqueous Species Options'!E628)</f>
        <v/>
      </c>
      <c r="F628" s="139" t="str">
        <f>IF(ISBLANK('Aqueous Species Options'!F628), "", 'Aqueous Species Options'!F628)</f>
        <v/>
      </c>
      <c r="G628" s="29" t="str">
        <f>IF(ISBLANK('Aqueous Species Options'!B628), "", IF('Aqueous Species Options'!L628 = 1, IF(ISBLANK('Aqueous Species Options'!G628), "", 'Aqueous Species Options'!G628), ('Aqueous Species Table'!I628/10 + ('Aqueous Species Table'!J628*100)/(Calculations!$C$12+Calculations!$C$9) + ('Aqueous Species Table'!K628 + ('Aqueous Species Table'!L628*10000)/(Calculations!$C$12+Calculations!$C$9))*(1/(Calculations!$C$8-Calculations!$C$13)) - 'Aqueous Species Table'!O628*100000*0.0000005903)*41.8393))</f>
        <v/>
      </c>
      <c r="H628" s="29" t="str">
        <f>IF(ISBLANK('Aqueous Species Options'!B628), "", IF('Aqueous Species Options'!L628 = 1, IF(ISBLANK('Aqueous Species Options'!H628), "", 'Aqueous Species Options'!H628), 'Aqueous Species Table'!M628 + 'Aqueous Species Table'!N628*10000*(1/(Calculations!$C$8-Calculations!$C$13))^2 + 'Aqueous Species Table'!O628*100000*Calculations!$C$8*Calculations!$C$7))</f>
        <v/>
      </c>
      <c r="I628" s="1" t="str">
        <f>IF(ISBLANK('Aqueous Species Options'!B628), "", IF('Aqueous Species Options'!L628=0, 'Aqueous Species Options'!N628, IF(OR(ISBLANK('Aqueous Species Options'!G628),'Aqueous Species Table'!O628="", 'Aqueous Species Table'!P628=""), "", IF('Aqueous Species Options'!B628="H+", 0, (CHOOSE('Aqueous Species Options'!M628+1,'Aqueous Species Options'!$V$4*ABS('Aqueous Species Table'!P628)+'Aqueous Species Options'!$W$4,'Aqueous Species Options'!$Z$4)*('Aqueous Species Options'!G628 + 'Aqueous Species Table'!O628*100000*0.0000005903*41.8393) + CHOOSE('Aqueous Species Options'!M628+1,'Aqueous Species Options'!$X$4*ABS('Aqueous Species Table'!P628)+'Aqueous Species Options'!$Y$4,'Aqueous Species Options'!$AA$4))*10 ) ) ) )</f>
        <v/>
      </c>
      <c r="J628" s="1" t="str">
        <f>IF(ISBLANK('Aqueous Species Options'!B628), "", IF('Aqueous Species Options'!L628 = 0, 'Aqueous Species Options'!O628, IF('Aqueous Species Table'!I628="", "", IF('Aqueous Species Options'!B628="H+", 0, ((1.11*('Aqueous Species Options'!G628 + 'Aqueous Species Table'!O628*100000*0.0000005903*41.8393)+1.8)/41.8393 - 'Aqueous Species Table'!I628/10)*26.01 ) ) ) )</f>
        <v/>
      </c>
      <c r="K628" s="1" t="str">
        <f>IF(ISBLANK('Aqueous Species Options'!B628), "", IF('Aqueous Species Options'!L628 = 0, 'Aqueous Species Options'!P628, IF('Aqueous Species Table'!I628="", "", IF('Aqueous Species Options'!B628="H+", 0, ('Aqueous Species Options'!G628/41.8393 + 'Aqueous Species Table'!O628*100000*0.0000005903 - 'Aqueous Species Table'!I628/10 - 'Aqueous Species Table'!J628*100/2601)*(298.15-228) - ('Aqueous Species Table'!L628*10000/2601) ) ) ) )</f>
        <v/>
      </c>
      <c r="L628" s="1" t="str">
        <f>IF(ISBLANK('Aqueous Species Options'!B628), "", IF('Aqueous Species Options'!L628 = 0, 'Aqueous Species Options'!Q628, IF('Aqueous Species Table'!J628="", "", IF('Aqueous Species Options'!B628="H+", 0, (-4.134*'Aqueous Species Table'!J628*100 - 27790)*0.0001) ) ) )</f>
        <v/>
      </c>
      <c r="M628" s="1" t="str">
        <f>IF(ISBLANK('Aqueous Species Options'!B628), "", IF('Aqueous Species Options'!L628=0, 'Aqueous Species Options'!R628, IF('Aqueous Species Table'!N628="", "", IF('Aqueous Species Options'!B628="H+", 0, 'Aqueous Species Options'!H628 - 'Aqueous Species Table'!O628*100000*(-0.000000309)*298.15 - 'Aqueous Species Table'!N628*10000/(298.15-228)^2 ) ) ) )</f>
        <v/>
      </c>
      <c r="N628" s="1" t="str">
        <f>IF(ISBLANK('Aqueous Species Options'!B628), "", IF('Aqueous Species Options'!L628=0, 'Aqueous Species Options'!S628, IF(OR(ISBLANK('Aqueous Species Options'!H628), 'Aqueous Species Table'!O628=""), "", IF('Aqueous Species Options'!B628="H+", 0, 0.2037*'Aqueous Species Options'!H628 - 3.0346) ) ) )</f>
        <v/>
      </c>
      <c r="O628" s="1" t="str">
        <f>IF(ISBLANK('Aqueous Species Options'!B628), "", IF('Aqueous Species Options'!K628=0, 'Aqueous Species Options'!I628, IF(OR('Aqueous Species Options'!J628&gt;4,'Aqueous Species Options'!J628&lt;-4), "", IF('Aqueous Species Options'!B628="H+", 0, IF('Aqueous Species Options'!J628=0, -0.038, IF(ISBLANK('Aqueous Species Options'!F628), "", -1514.4*'Aqueous Species Options'!F628*0.00001 + SUM(({4,3,2,1,-1,-2,-3,-4}='Aqueous Species Options'!J628)*{2.1764,1.5793,1.0579,0.5517,1.6291,3.2127,4.8115,6.486}) ) ) ) ) ) )</f>
        <v/>
      </c>
      <c r="P628" s="1" t="str">
        <f>IF(ISBLANK('Aqueous Species Options'!J628), "", 'Aqueous Species Options'!J628)</f>
        <v/>
      </c>
      <c r="Q628" s="184" t="str">
        <f>IF(ISBLANK('Aqueous Species Options'!T628), "", 'Aqueous Species Options'!T628)</f>
        <v/>
      </c>
    </row>
    <row r="629" spans="2:17" ht="16" x14ac:dyDescent="0.2">
      <c r="B629" t="str">
        <f>IF(ISBLANK('Aqueous Species Options'!B629), "", 'Aqueous Species Options'!B629)</f>
        <v/>
      </c>
      <c r="C629" s="1" t="str">
        <f>IF(ISBLANK('Aqueous Species Options'!C629), "", 'Aqueous Species Options'!C629)</f>
        <v/>
      </c>
      <c r="D629" s="1" t="str">
        <f>IF(ISBLANK('Aqueous Species Options'!D629), "", 'Aqueous Species Options'!D629)</f>
        <v/>
      </c>
      <c r="E629" s="1" t="str">
        <f>IF(ISBLANK('Aqueous Species Options'!E629), "", 'Aqueous Species Options'!E629)</f>
        <v/>
      </c>
      <c r="F629" s="139" t="str">
        <f>IF(ISBLANK('Aqueous Species Options'!F629), "", 'Aqueous Species Options'!F629)</f>
        <v/>
      </c>
      <c r="G629" s="29" t="str">
        <f>IF(ISBLANK('Aqueous Species Options'!B629), "", IF('Aqueous Species Options'!L629 = 1, IF(ISBLANK('Aqueous Species Options'!G629), "", 'Aqueous Species Options'!G629), ('Aqueous Species Table'!I629/10 + ('Aqueous Species Table'!J629*100)/(Calculations!$C$12+Calculations!$C$9) + ('Aqueous Species Table'!K629 + ('Aqueous Species Table'!L629*10000)/(Calculations!$C$12+Calculations!$C$9))*(1/(Calculations!$C$8-Calculations!$C$13)) - 'Aqueous Species Table'!O629*100000*0.0000005903)*41.8393))</f>
        <v/>
      </c>
      <c r="H629" s="29" t="str">
        <f>IF(ISBLANK('Aqueous Species Options'!B629), "", IF('Aqueous Species Options'!L629 = 1, IF(ISBLANK('Aqueous Species Options'!H629), "", 'Aqueous Species Options'!H629), 'Aqueous Species Table'!M629 + 'Aqueous Species Table'!N629*10000*(1/(Calculations!$C$8-Calculations!$C$13))^2 + 'Aqueous Species Table'!O629*100000*Calculations!$C$8*Calculations!$C$7))</f>
        <v/>
      </c>
      <c r="I629" s="1" t="str">
        <f>IF(ISBLANK('Aqueous Species Options'!B629), "", IF('Aqueous Species Options'!L629=0, 'Aqueous Species Options'!N629, IF(OR(ISBLANK('Aqueous Species Options'!G629),'Aqueous Species Table'!O629="", 'Aqueous Species Table'!P629=""), "", IF('Aqueous Species Options'!B629="H+", 0, (CHOOSE('Aqueous Species Options'!M629+1,'Aqueous Species Options'!$V$4*ABS('Aqueous Species Table'!P629)+'Aqueous Species Options'!$W$4,'Aqueous Species Options'!$Z$4)*('Aqueous Species Options'!G629 + 'Aqueous Species Table'!O629*100000*0.0000005903*41.8393) + CHOOSE('Aqueous Species Options'!M629+1,'Aqueous Species Options'!$X$4*ABS('Aqueous Species Table'!P629)+'Aqueous Species Options'!$Y$4,'Aqueous Species Options'!$AA$4))*10 ) ) ) )</f>
        <v/>
      </c>
      <c r="J629" s="1" t="str">
        <f>IF(ISBLANK('Aqueous Species Options'!B629), "", IF('Aqueous Species Options'!L629 = 0, 'Aqueous Species Options'!O629, IF('Aqueous Species Table'!I629="", "", IF('Aqueous Species Options'!B629="H+", 0, ((1.11*('Aqueous Species Options'!G629 + 'Aqueous Species Table'!O629*100000*0.0000005903*41.8393)+1.8)/41.8393 - 'Aqueous Species Table'!I629/10)*26.01 ) ) ) )</f>
        <v/>
      </c>
      <c r="K629" s="1" t="str">
        <f>IF(ISBLANK('Aqueous Species Options'!B629), "", IF('Aqueous Species Options'!L629 = 0, 'Aqueous Species Options'!P629, IF('Aqueous Species Table'!I629="", "", IF('Aqueous Species Options'!B629="H+", 0, ('Aqueous Species Options'!G629/41.8393 + 'Aqueous Species Table'!O629*100000*0.0000005903 - 'Aqueous Species Table'!I629/10 - 'Aqueous Species Table'!J629*100/2601)*(298.15-228) - ('Aqueous Species Table'!L629*10000/2601) ) ) ) )</f>
        <v/>
      </c>
      <c r="L629" s="1" t="str">
        <f>IF(ISBLANK('Aqueous Species Options'!B629), "", IF('Aqueous Species Options'!L629 = 0, 'Aqueous Species Options'!Q629, IF('Aqueous Species Table'!J629="", "", IF('Aqueous Species Options'!B629="H+", 0, (-4.134*'Aqueous Species Table'!J629*100 - 27790)*0.0001) ) ) )</f>
        <v/>
      </c>
      <c r="M629" s="1" t="str">
        <f>IF(ISBLANK('Aqueous Species Options'!B629), "", IF('Aqueous Species Options'!L629=0, 'Aqueous Species Options'!R629, IF('Aqueous Species Table'!N629="", "", IF('Aqueous Species Options'!B629="H+", 0, 'Aqueous Species Options'!H629 - 'Aqueous Species Table'!O629*100000*(-0.000000309)*298.15 - 'Aqueous Species Table'!N629*10000/(298.15-228)^2 ) ) ) )</f>
        <v/>
      </c>
      <c r="N629" s="1" t="str">
        <f>IF(ISBLANK('Aqueous Species Options'!B629), "", IF('Aqueous Species Options'!L629=0, 'Aqueous Species Options'!S629, IF(OR(ISBLANK('Aqueous Species Options'!H629), 'Aqueous Species Table'!O629=""), "", IF('Aqueous Species Options'!B629="H+", 0, 0.2037*'Aqueous Species Options'!H629 - 3.0346) ) ) )</f>
        <v/>
      </c>
      <c r="O629" s="1" t="str">
        <f>IF(ISBLANK('Aqueous Species Options'!B629), "", IF('Aqueous Species Options'!K629=0, 'Aqueous Species Options'!I629, IF(OR('Aqueous Species Options'!J629&gt;4,'Aqueous Species Options'!J629&lt;-4), "", IF('Aqueous Species Options'!B629="H+", 0, IF('Aqueous Species Options'!J629=0, -0.038, IF(ISBLANK('Aqueous Species Options'!F629), "", -1514.4*'Aqueous Species Options'!F629*0.00001 + SUM(({4,3,2,1,-1,-2,-3,-4}='Aqueous Species Options'!J629)*{2.1764,1.5793,1.0579,0.5517,1.6291,3.2127,4.8115,6.486}) ) ) ) ) ) )</f>
        <v/>
      </c>
      <c r="P629" s="1" t="str">
        <f>IF(ISBLANK('Aqueous Species Options'!J629), "", 'Aqueous Species Options'!J629)</f>
        <v/>
      </c>
      <c r="Q629" s="184" t="str">
        <f>IF(ISBLANK('Aqueous Species Options'!T629), "", 'Aqueous Species Options'!T629)</f>
        <v/>
      </c>
    </row>
    <row r="630" spans="2:17" ht="16" x14ac:dyDescent="0.2">
      <c r="B630" t="str">
        <f>IF(ISBLANK('Aqueous Species Options'!B630), "", 'Aqueous Species Options'!B630)</f>
        <v/>
      </c>
      <c r="C630" s="1" t="str">
        <f>IF(ISBLANK('Aqueous Species Options'!C630), "", 'Aqueous Species Options'!C630)</f>
        <v/>
      </c>
      <c r="D630" s="1" t="str">
        <f>IF(ISBLANK('Aqueous Species Options'!D630), "", 'Aqueous Species Options'!D630)</f>
        <v/>
      </c>
      <c r="E630" s="1" t="str">
        <f>IF(ISBLANK('Aqueous Species Options'!E630), "", 'Aqueous Species Options'!E630)</f>
        <v/>
      </c>
      <c r="F630" s="139" t="str">
        <f>IF(ISBLANK('Aqueous Species Options'!F630), "", 'Aqueous Species Options'!F630)</f>
        <v/>
      </c>
      <c r="G630" s="29" t="str">
        <f>IF(ISBLANK('Aqueous Species Options'!B630), "", IF('Aqueous Species Options'!L630 = 1, IF(ISBLANK('Aqueous Species Options'!G630), "", 'Aqueous Species Options'!G630), ('Aqueous Species Table'!I630/10 + ('Aqueous Species Table'!J630*100)/(Calculations!$C$12+Calculations!$C$9) + ('Aqueous Species Table'!K630 + ('Aqueous Species Table'!L630*10000)/(Calculations!$C$12+Calculations!$C$9))*(1/(Calculations!$C$8-Calculations!$C$13)) - 'Aqueous Species Table'!O630*100000*0.0000005903)*41.8393))</f>
        <v/>
      </c>
      <c r="H630" s="29" t="str">
        <f>IF(ISBLANK('Aqueous Species Options'!B630), "", IF('Aqueous Species Options'!L630 = 1, IF(ISBLANK('Aqueous Species Options'!H630), "", 'Aqueous Species Options'!H630), 'Aqueous Species Table'!M630 + 'Aqueous Species Table'!N630*10000*(1/(Calculations!$C$8-Calculations!$C$13))^2 + 'Aqueous Species Table'!O630*100000*Calculations!$C$8*Calculations!$C$7))</f>
        <v/>
      </c>
      <c r="I630" s="1" t="str">
        <f>IF(ISBLANK('Aqueous Species Options'!B630), "", IF('Aqueous Species Options'!L630=0, 'Aqueous Species Options'!N630, IF(OR(ISBLANK('Aqueous Species Options'!G630),'Aqueous Species Table'!O630="", 'Aqueous Species Table'!P630=""), "", IF('Aqueous Species Options'!B630="H+", 0, (CHOOSE('Aqueous Species Options'!M630+1,'Aqueous Species Options'!$V$4*ABS('Aqueous Species Table'!P630)+'Aqueous Species Options'!$W$4,'Aqueous Species Options'!$Z$4)*('Aqueous Species Options'!G630 + 'Aqueous Species Table'!O630*100000*0.0000005903*41.8393) + CHOOSE('Aqueous Species Options'!M630+1,'Aqueous Species Options'!$X$4*ABS('Aqueous Species Table'!P630)+'Aqueous Species Options'!$Y$4,'Aqueous Species Options'!$AA$4))*10 ) ) ) )</f>
        <v/>
      </c>
      <c r="J630" s="1" t="str">
        <f>IF(ISBLANK('Aqueous Species Options'!B630), "", IF('Aqueous Species Options'!L630 = 0, 'Aqueous Species Options'!O630, IF('Aqueous Species Table'!I630="", "", IF('Aqueous Species Options'!B630="H+", 0, ((1.11*('Aqueous Species Options'!G630 + 'Aqueous Species Table'!O630*100000*0.0000005903*41.8393)+1.8)/41.8393 - 'Aqueous Species Table'!I630/10)*26.01 ) ) ) )</f>
        <v/>
      </c>
      <c r="K630" s="1" t="str">
        <f>IF(ISBLANK('Aqueous Species Options'!B630), "", IF('Aqueous Species Options'!L630 = 0, 'Aqueous Species Options'!P630, IF('Aqueous Species Table'!I630="", "", IF('Aqueous Species Options'!B630="H+", 0, ('Aqueous Species Options'!G630/41.8393 + 'Aqueous Species Table'!O630*100000*0.0000005903 - 'Aqueous Species Table'!I630/10 - 'Aqueous Species Table'!J630*100/2601)*(298.15-228) - ('Aqueous Species Table'!L630*10000/2601) ) ) ) )</f>
        <v/>
      </c>
      <c r="L630" s="1" t="str">
        <f>IF(ISBLANK('Aqueous Species Options'!B630), "", IF('Aqueous Species Options'!L630 = 0, 'Aqueous Species Options'!Q630, IF('Aqueous Species Table'!J630="", "", IF('Aqueous Species Options'!B630="H+", 0, (-4.134*'Aqueous Species Table'!J630*100 - 27790)*0.0001) ) ) )</f>
        <v/>
      </c>
      <c r="M630" s="1" t="str">
        <f>IF(ISBLANK('Aqueous Species Options'!B630), "", IF('Aqueous Species Options'!L630=0, 'Aqueous Species Options'!R630, IF('Aqueous Species Table'!N630="", "", IF('Aqueous Species Options'!B630="H+", 0, 'Aqueous Species Options'!H630 - 'Aqueous Species Table'!O630*100000*(-0.000000309)*298.15 - 'Aqueous Species Table'!N630*10000/(298.15-228)^2 ) ) ) )</f>
        <v/>
      </c>
      <c r="N630" s="1" t="str">
        <f>IF(ISBLANK('Aqueous Species Options'!B630), "", IF('Aqueous Species Options'!L630=0, 'Aqueous Species Options'!S630, IF(OR(ISBLANK('Aqueous Species Options'!H630), 'Aqueous Species Table'!O630=""), "", IF('Aqueous Species Options'!B630="H+", 0, 0.2037*'Aqueous Species Options'!H630 - 3.0346) ) ) )</f>
        <v/>
      </c>
      <c r="O630" s="1" t="str">
        <f>IF(ISBLANK('Aqueous Species Options'!B630), "", IF('Aqueous Species Options'!K630=0, 'Aqueous Species Options'!I630, IF(OR('Aqueous Species Options'!J630&gt;4,'Aqueous Species Options'!J630&lt;-4), "", IF('Aqueous Species Options'!B630="H+", 0, IF('Aqueous Species Options'!J630=0, -0.038, IF(ISBLANK('Aqueous Species Options'!F630), "", -1514.4*'Aqueous Species Options'!F630*0.00001 + SUM(({4,3,2,1,-1,-2,-3,-4}='Aqueous Species Options'!J630)*{2.1764,1.5793,1.0579,0.5517,1.6291,3.2127,4.8115,6.486}) ) ) ) ) ) )</f>
        <v/>
      </c>
      <c r="P630" s="1" t="str">
        <f>IF(ISBLANK('Aqueous Species Options'!J630), "", 'Aqueous Species Options'!J630)</f>
        <v/>
      </c>
      <c r="Q630" s="184" t="str">
        <f>IF(ISBLANK('Aqueous Species Options'!T630), "", 'Aqueous Species Options'!T630)</f>
        <v/>
      </c>
    </row>
    <row r="631" spans="2:17" ht="16" x14ac:dyDescent="0.2">
      <c r="B631" t="str">
        <f>IF(ISBLANK('Aqueous Species Options'!B631), "", 'Aqueous Species Options'!B631)</f>
        <v/>
      </c>
      <c r="C631" s="1" t="str">
        <f>IF(ISBLANK('Aqueous Species Options'!C631), "", 'Aqueous Species Options'!C631)</f>
        <v/>
      </c>
      <c r="D631" s="1" t="str">
        <f>IF(ISBLANK('Aqueous Species Options'!D631), "", 'Aqueous Species Options'!D631)</f>
        <v/>
      </c>
      <c r="E631" s="1" t="str">
        <f>IF(ISBLANK('Aqueous Species Options'!E631), "", 'Aqueous Species Options'!E631)</f>
        <v/>
      </c>
      <c r="F631" s="139" t="str">
        <f>IF(ISBLANK('Aqueous Species Options'!F631), "", 'Aqueous Species Options'!F631)</f>
        <v/>
      </c>
      <c r="G631" s="29" t="str">
        <f>IF(ISBLANK('Aqueous Species Options'!B631), "", IF('Aqueous Species Options'!L631 = 1, IF(ISBLANK('Aqueous Species Options'!G631), "", 'Aqueous Species Options'!G631), ('Aqueous Species Table'!I631/10 + ('Aqueous Species Table'!J631*100)/(Calculations!$C$12+Calculations!$C$9) + ('Aqueous Species Table'!K631 + ('Aqueous Species Table'!L631*10000)/(Calculations!$C$12+Calculations!$C$9))*(1/(Calculations!$C$8-Calculations!$C$13)) - 'Aqueous Species Table'!O631*100000*0.0000005903)*41.8393))</f>
        <v/>
      </c>
      <c r="H631" s="29" t="str">
        <f>IF(ISBLANK('Aqueous Species Options'!B631), "", IF('Aqueous Species Options'!L631 = 1, IF(ISBLANK('Aqueous Species Options'!H631), "", 'Aqueous Species Options'!H631), 'Aqueous Species Table'!M631 + 'Aqueous Species Table'!N631*10000*(1/(Calculations!$C$8-Calculations!$C$13))^2 + 'Aqueous Species Table'!O631*100000*Calculations!$C$8*Calculations!$C$7))</f>
        <v/>
      </c>
      <c r="I631" s="1" t="str">
        <f>IF(ISBLANK('Aqueous Species Options'!B631), "", IF('Aqueous Species Options'!L631=0, 'Aqueous Species Options'!N631, IF(OR(ISBLANK('Aqueous Species Options'!G631),'Aqueous Species Table'!O631="", 'Aqueous Species Table'!P631=""), "", IF('Aqueous Species Options'!B631="H+", 0, (CHOOSE('Aqueous Species Options'!M631+1,'Aqueous Species Options'!$V$4*ABS('Aqueous Species Table'!P631)+'Aqueous Species Options'!$W$4,'Aqueous Species Options'!$Z$4)*('Aqueous Species Options'!G631 + 'Aqueous Species Table'!O631*100000*0.0000005903*41.8393) + CHOOSE('Aqueous Species Options'!M631+1,'Aqueous Species Options'!$X$4*ABS('Aqueous Species Table'!P631)+'Aqueous Species Options'!$Y$4,'Aqueous Species Options'!$AA$4))*10 ) ) ) )</f>
        <v/>
      </c>
      <c r="J631" s="1" t="str">
        <f>IF(ISBLANK('Aqueous Species Options'!B631), "", IF('Aqueous Species Options'!L631 = 0, 'Aqueous Species Options'!O631, IF('Aqueous Species Table'!I631="", "", IF('Aqueous Species Options'!B631="H+", 0, ((1.11*('Aqueous Species Options'!G631 + 'Aqueous Species Table'!O631*100000*0.0000005903*41.8393)+1.8)/41.8393 - 'Aqueous Species Table'!I631/10)*26.01 ) ) ) )</f>
        <v/>
      </c>
      <c r="K631" s="1" t="str">
        <f>IF(ISBLANK('Aqueous Species Options'!B631), "", IF('Aqueous Species Options'!L631 = 0, 'Aqueous Species Options'!P631, IF('Aqueous Species Table'!I631="", "", IF('Aqueous Species Options'!B631="H+", 0, ('Aqueous Species Options'!G631/41.8393 + 'Aqueous Species Table'!O631*100000*0.0000005903 - 'Aqueous Species Table'!I631/10 - 'Aqueous Species Table'!J631*100/2601)*(298.15-228) - ('Aqueous Species Table'!L631*10000/2601) ) ) ) )</f>
        <v/>
      </c>
      <c r="L631" s="1" t="str">
        <f>IF(ISBLANK('Aqueous Species Options'!B631), "", IF('Aqueous Species Options'!L631 = 0, 'Aqueous Species Options'!Q631, IF('Aqueous Species Table'!J631="", "", IF('Aqueous Species Options'!B631="H+", 0, (-4.134*'Aqueous Species Table'!J631*100 - 27790)*0.0001) ) ) )</f>
        <v/>
      </c>
      <c r="M631" s="1" t="str">
        <f>IF(ISBLANK('Aqueous Species Options'!B631), "", IF('Aqueous Species Options'!L631=0, 'Aqueous Species Options'!R631, IF('Aqueous Species Table'!N631="", "", IF('Aqueous Species Options'!B631="H+", 0, 'Aqueous Species Options'!H631 - 'Aqueous Species Table'!O631*100000*(-0.000000309)*298.15 - 'Aqueous Species Table'!N631*10000/(298.15-228)^2 ) ) ) )</f>
        <v/>
      </c>
      <c r="N631" s="1" t="str">
        <f>IF(ISBLANK('Aqueous Species Options'!B631), "", IF('Aqueous Species Options'!L631=0, 'Aqueous Species Options'!S631, IF(OR(ISBLANK('Aqueous Species Options'!H631), 'Aqueous Species Table'!O631=""), "", IF('Aqueous Species Options'!B631="H+", 0, 0.2037*'Aqueous Species Options'!H631 - 3.0346) ) ) )</f>
        <v/>
      </c>
      <c r="O631" s="1" t="str">
        <f>IF(ISBLANK('Aqueous Species Options'!B631), "", IF('Aqueous Species Options'!K631=0, 'Aqueous Species Options'!I631, IF(OR('Aqueous Species Options'!J631&gt;4,'Aqueous Species Options'!J631&lt;-4), "", IF('Aqueous Species Options'!B631="H+", 0, IF('Aqueous Species Options'!J631=0, -0.038, IF(ISBLANK('Aqueous Species Options'!F631), "", -1514.4*'Aqueous Species Options'!F631*0.00001 + SUM(({4,3,2,1,-1,-2,-3,-4}='Aqueous Species Options'!J631)*{2.1764,1.5793,1.0579,0.5517,1.6291,3.2127,4.8115,6.486}) ) ) ) ) ) )</f>
        <v/>
      </c>
      <c r="P631" s="1" t="str">
        <f>IF(ISBLANK('Aqueous Species Options'!J631), "", 'Aqueous Species Options'!J631)</f>
        <v/>
      </c>
      <c r="Q631" s="184" t="str">
        <f>IF(ISBLANK('Aqueous Species Options'!T631), "", 'Aqueous Species Options'!T631)</f>
        <v/>
      </c>
    </row>
    <row r="632" spans="2:17" ht="16" x14ac:dyDescent="0.2">
      <c r="B632" t="str">
        <f>IF(ISBLANK('Aqueous Species Options'!B632), "", 'Aqueous Species Options'!B632)</f>
        <v/>
      </c>
      <c r="C632" s="1" t="str">
        <f>IF(ISBLANK('Aqueous Species Options'!C632), "", 'Aqueous Species Options'!C632)</f>
        <v/>
      </c>
      <c r="D632" s="1" t="str">
        <f>IF(ISBLANK('Aqueous Species Options'!D632), "", 'Aqueous Species Options'!D632)</f>
        <v/>
      </c>
      <c r="E632" s="1" t="str">
        <f>IF(ISBLANK('Aqueous Species Options'!E632), "", 'Aqueous Species Options'!E632)</f>
        <v/>
      </c>
      <c r="F632" s="139" t="str">
        <f>IF(ISBLANK('Aqueous Species Options'!F632), "", 'Aqueous Species Options'!F632)</f>
        <v/>
      </c>
      <c r="G632" s="29" t="str">
        <f>IF(ISBLANK('Aqueous Species Options'!B632), "", IF('Aqueous Species Options'!L632 = 1, IF(ISBLANK('Aqueous Species Options'!G632), "", 'Aqueous Species Options'!G632), ('Aqueous Species Table'!I632/10 + ('Aqueous Species Table'!J632*100)/(Calculations!$C$12+Calculations!$C$9) + ('Aqueous Species Table'!K632 + ('Aqueous Species Table'!L632*10000)/(Calculations!$C$12+Calculations!$C$9))*(1/(Calculations!$C$8-Calculations!$C$13)) - 'Aqueous Species Table'!O632*100000*0.0000005903)*41.8393))</f>
        <v/>
      </c>
      <c r="H632" s="29" t="str">
        <f>IF(ISBLANK('Aqueous Species Options'!B632), "", IF('Aqueous Species Options'!L632 = 1, IF(ISBLANK('Aqueous Species Options'!H632), "", 'Aqueous Species Options'!H632), 'Aqueous Species Table'!M632 + 'Aqueous Species Table'!N632*10000*(1/(Calculations!$C$8-Calculations!$C$13))^2 + 'Aqueous Species Table'!O632*100000*Calculations!$C$8*Calculations!$C$7))</f>
        <v/>
      </c>
      <c r="I632" s="1" t="str">
        <f>IF(ISBLANK('Aqueous Species Options'!B632), "", IF('Aqueous Species Options'!L632=0, 'Aqueous Species Options'!N632, IF(OR(ISBLANK('Aqueous Species Options'!G632),'Aqueous Species Table'!O632="", 'Aqueous Species Table'!P632=""), "", IF('Aqueous Species Options'!B632="H+", 0, (CHOOSE('Aqueous Species Options'!M632+1,'Aqueous Species Options'!$V$4*ABS('Aqueous Species Table'!P632)+'Aqueous Species Options'!$W$4,'Aqueous Species Options'!$Z$4)*('Aqueous Species Options'!G632 + 'Aqueous Species Table'!O632*100000*0.0000005903*41.8393) + CHOOSE('Aqueous Species Options'!M632+1,'Aqueous Species Options'!$X$4*ABS('Aqueous Species Table'!P632)+'Aqueous Species Options'!$Y$4,'Aqueous Species Options'!$AA$4))*10 ) ) ) )</f>
        <v/>
      </c>
      <c r="J632" s="1" t="str">
        <f>IF(ISBLANK('Aqueous Species Options'!B632), "", IF('Aqueous Species Options'!L632 = 0, 'Aqueous Species Options'!O632, IF('Aqueous Species Table'!I632="", "", IF('Aqueous Species Options'!B632="H+", 0, ((1.11*('Aqueous Species Options'!G632 + 'Aqueous Species Table'!O632*100000*0.0000005903*41.8393)+1.8)/41.8393 - 'Aqueous Species Table'!I632/10)*26.01 ) ) ) )</f>
        <v/>
      </c>
      <c r="K632" s="1" t="str">
        <f>IF(ISBLANK('Aqueous Species Options'!B632), "", IF('Aqueous Species Options'!L632 = 0, 'Aqueous Species Options'!P632, IF('Aqueous Species Table'!I632="", "", IF('Aqueous Species Options'!B632="H+", 0, ('Aqueous Species Options'!G632/41.8393 + 'Aqueous Species Table'!O632*100000*0.0000005903 - 'Aqueous Species Table'!I632/10 - 'Aqueous Species Table'!J632*100/2601)*(298.15-228) - ('Aqueous Species Table'!L632*10000/2601) ) ) ) )</f>
        <v/>
      </c>
      <c r="L632" s="1" t="str">
        <f>IF(ISBLANK('Aqueous Species Options'!B632), "", IF('Aqueous Species Options'!L632 = 0, 'Aqueous Species Options'!Q632, IF('Aqueous Species Table'!J632="", "", IF('Aqueous Species Options'!B632="H+", 0, (-4.134*'Aqueous Species Table'!J632*100 - 27790)*0.0001) ) ) )</f>
        <v/>
      </c>
      <c r="M632" s="1" t="str">
        <f>IF(ISBLANK('Aqueous Species Options'!B632), "", IF('Aqueous Species Options'!L632=0, 'Aqueous Species Options'!R632, IF('Aqueous Species Table'!N632="", "", IF('Aqueous Species Options'!B632="H+", 0, 'Aqueous Species Options'!H632 - 'Aqueous Species Table'!O632*100000*(-0.000000309)*298.15 - 'Aqueous Species Table'!N632*10000/(298.15-228)^2 ) ) ) )</f>
        <v/>
      </c>
      <c r="N632" s="1" t="str">
        <f>IF(ISBLANK('Aqueous Species Options'!B632), "", IF('Aqueous Species Options'!L632=0, 'Aqueous Species Options'!S632, IF(OR(ISBLANK('Aqueous Species Options'!H632), 'Aqueous Species Table'!O632=""), "", IF('Aqueous Species Options'!B632="H+", 0, 0.2037*'Aqueous Species Options'!H632 - 3.0346) ) ) )</f>
        <v/>
      </c>
      <c r="O632" s="1" t="str">
        <f>IF(ISBLANK('Aqueous Species Options'!B632), "", IF('Aqueous Species Options'!K632=0, 'Aqueous Species Options'!I632, IF(OR('Aqueous Species Options'!J632&gt;4,'Aqueous Species Options'!J632&lt;-4), "", IF('Aqueous Species Options'!B632="H+", 0, IF('Aqueous Species Options'!J632=0, -0.038, IF(ISBLANK('Aqueous Species Options'!F632), "", -1514.4*'Aqueous Species Options'!F632*0.00001 + SUM(({4,3,2,1,-1,-2,-3,-4}='Aqueous Species Options'!J632)*{2.1764,1.5793,1.0579,0.5517,1.6291,3.2127,4.8115,6.486}) ) ) ) ) ) )</f>
        <v/>
      </c>
      <c r="P632" s="1" t="str">
        <f>IF(ISBLANK('Aqueous Species Options'!J632), "", 'Aqueous Species Options'!J632)</f>
        <v/>
      </c>
      <c r="Q632" s="184" t="str">
        <f>IF(ISBLANK('Aqueous Species Options'!T632), "", 'Aqueous Species Options'!T632)</f>
        <v/>
      </c>
    </row>
    <row r="633" spans="2:17" ht="16" x14ac:dyDescent="0.2">
      <c r="B633" t="str">
        <f>IF(ISBLANK('Aqueous Species Options'!B633), "", 'Aqueous Species Options'!B633)</f>
        <v/>
      </c>
      <c r="C633" s="1" t="str">
        <f>IF(ISBLANK('Aqueous Species Options'!C633), "", 'Aqueous Species Options'!C633)</f>
        <v/>
      </c>
      <c r="D633" s="1" t="str">
        <f>IF(ISBLANK('Aqueous Species Options'!D633), "", 'Aqueous Species Options'!D633)</f>
        <v/>
      </c>
      <c r="E633" s="1" t="str">
        <f>IF(ISBLANK('Aqueous Species Options'!E633), "", 'Aqueous Species Options'!E633)</f>
        <v/>
      </c>
      <c r="F633" s="139" t="str">
        <f>IF(ISBLANK('Aqueous Species Options'!F633), "", 'Aqueous Species Options'!F633)</f>
        <v/>
      </c>
      <c r="G633" s="29" t="str">
        <f>IF(ISBLANK('Aqueous Species Options'!B633), "", IF('Aqueous Species Options'!L633 = 1, IF(ISBLANK('Aqueous Species Options'!G633), "", 'Aqueous Species Options'!G633), ('Aqueous Species Table'!I633/10 + ('Aqueous Species Table'!J633*100)/(Calculations!$C$12+Calculations!$C$9) + ('Aqueous Species Table'!K633 + ('Aqueous Species Table'!L633*10000)/(Calculations!$C$12+Calculations!$C$9))*(1/(Calculations!$C$8-Calculations!$C$13)) - 'Aqueous Species Table'!O633*100000*0.0000005903)*41.8393))</f>
        <v/>
      </c>
      <c r="H633" s="29" t="str">
        <f>IF(ISBLANK('Aqueous Species Options'!B633), "", IF('Aqueous Species Options'!L633 = 1, IF(ISBLANK('Aqueous Species Options'!H633), "", 'Aqueous Species Options'!H633), 'Aqueous Species Table'!M633 + 'Aqueous Species Table'!N633*10000*(1/(Calculations!$C$8-Calculations!$C$13))^2 + 'Aqueous Species Table'!O633*100000*Calculations!$C$8*Calculations!$C$7))</f>
        <v/>
      </c>
      <c r="I633" s="1" t="str">
        <f>IF(ISBLANK('Aqueous Species Options'!B633), "", IF('Aqueous Species Options'!L633=0, 'Aqueous Species Options'!N633, IF(OR(ISBLANK('Aqueous Species Options'!G633),'Aqueous Species Table'!O633="", 'Aqueous Species Table'!P633=""), "", IF('Aqueous Species Options'!B633="H+", 0, (CHOOSE('Aqueous Species Options'!M633+1,'Aqueous Species Options'!$V$4*ABS('Aqueous Species Table'!P633)+'Aqueous Species Options'!$W$4,'Aqueous Species Options'!$Z$4)*('Aqueous Species Options'!G633 + 'Aqueous Species Table'!O633*100000*0.0000005903*41.8393) + CHOOSE('Aqueous Species Options'!M633+1,'Aqueous Species Options'!$X$4*ABS('Aqueous Species Table'!P633)+'Aqueous Species Options'!$Y$4,'Aqueous Species Options'!$AA$4))*10 ) ) ) )</f>
        <v/>
      </c>
      <c r="J633" s="1" t="str">
        <f>IF(ISBLANK('Aqueous Species Options'!B633), "", IF('Aqueous Species Options'!L633 = 0, 'Aqueous Species Options'!O633, IF('Aqueous Species Table'!I633="", "", IF('Aqueous Species Options'!B633="H+", 0, ((1.11*('Aqueous Species Options'!G633 + 'Aqueous Species Table'!O633*100000*0.0000005903*41.8393)+1.8)/41.8393 - 'Aqueous Species Table'!I633/10)*26.01 ) ) ) )</f>
        <v/>
      </c>
      <c r="K633" s="1" t="str">
        <f>IF(ISBLANK('Aqueous Species Options'!B633), "", IF('Aqueous Species Options'!L633 = 0, 'Aqueous Species Options'!P633, IF('Aqueous Species Table'!I633="", "", IF('Aqueous Species Options'!B633="H+", 0, ('Aqueous Species Options'!G633/41.8393 + 'Aqueous Species Table'!O633*100000*0.0000005903 - 'Aqueous Species Table'!I633/10 - 'Aqueous Species Table'!J633*100/2601)*(298.15-228) - ('Aqueous Species Table'!L633*10000/2601) ) ) ) )</f>
        <v/>
      </c>
      <c r="L633" s="1" t="str">
        <f>IF(ISBLANK('Aqueous Species Options'!B633), "", IF('Aqueous Species Options'!L633 = 0, 'Aqueous Species Options'!Q633, IF('Aqueous Species Table'!J633="", "", IF('Aqueous Species Options'!B633="H+", 0, (-4.134*'Aqueous Species Table'!J633*100 - 27790)*0.0001) ) ) )</f>
        <v/>
      </c>
      <c r="M633" s="1" t="str">
        <f>IF(ISBLANK('Aqueous Species Options'!B633), "", IF('Aqueous Species Options'!L633=0, 'Aqueous Species Options'!R633, IF('Aqueous Species Table'!N633="", "", IF('Aqueous Species Options'!B633="H+", 0, 'Aqueous Species Options'!H633 - 'Aqueous Species Table'!O633*100000*(-0.000000309)*298.15 - 'Aqueous Species Table'!N633*10000/(298.15-228)^2 ) ) ) )</f>
        <v/>
      </c>
      <c r="N633" s="1" t="str">
        <f>IF(ISBLANK('Aqueous Species Options'!B633), "", IF('Aqueous Species Options'!L633=0, 'Aqueous Species Options'!S633, IF(OR(ISBLANK('Aqueous Species Options'!H633), 'Aqueous Species Table'!O633=""), "", IF('Aqueous Species Options'!B633="H+", 0, 0.2037*'Aqueous Species Options'!H633 - 3.0346) ) ) )</f>
        <v/>
      </c>
      <c r="O633" s="1" t="str">
        <f>IF(ISBLANK('Aqueous Species Options'!B633), "", IF('Aqueous Species Options'!K633=0, 'Aqueous Species Options'!I633, IF(OR('Aqueous Species Options'!J633&gt;4,'Aqueous Species Options'!J633&lt;-4), "", IF('Aqueous Species Options'!B633="H+", 0, IF('Aqueous Species Options'!J633=0, -0.038, IF(ISBLANK('Aqueous Species Options'!F633), "", -1514.4*'Aqueous Species Options'!F633*0.00001 + SUM(({4,3,2,1,-1,-2,-3,-4}='Aqueous Species Options'!J633)*{2.1764,1.5793,1.0579,0.5517,1.6291,3.2127,4.8115,6.486}) ) ) ) ) ) )</f>
        <v/>
      </c>
      <c r="P633" s="1" t="str">
        <f>IF(ISBLANK('Aqueous Species Options'!J633), "", 'Aqueous Species Options'!J633)</f>
        <v/>
      </c>
      <c r="Q633" s="184" t="str">
        <f>IF(ISBLANK('Aqueous Species Options'!T633), "", 'Aqueous Species Options'!T633)</f>
        <v/>
      </c>
    </row>
    <row r="634" spans="2:17" ht="16" x14ac:dyDescent="0.2">
      <c r="B634" t="str">
        <f>IF(ISBLANK('Aqueous Species Options'!B634), "", 'Aqueous Species Options'!B634)</f>
        <v/>
      </c>
      <c r="C634" s="1" t="str">
        <f>IF(ISBLANK('Aqueous Species Options'!C634), "", 'Aqueous Species Options'!C634)</f>
        <v/>
      </c>
      <c r="D634" s="1" t="str">
        <f>IF(ISBLANK('Aqueous Species Options'!D634), "", 'Aqueous Species Options'!D634)</f>
        <v/>
      </c>
      <c r="E634" s="1" t="str">
        <f>IF(ISBLANK('Aqueous Species Options'!E634), "", 'Aqueous Species Options'!E634)</f>
        <v/>
      </c>
      <c r="F634" s="139" t="str">
        <f>IF(ISBLANK('Aqueous Species Options'!F634), "", 'Aqueous Species Options'!F634)</f>
        <v/>
      </c>
      <c r="G634" s="29" t="str">
        <f>IF(ISBLANK('Aqueous Species Options'!B634), "", IF('Aqueous Species Options'!L634 = 1, IF(ISBLANK('Aqueous Species Options'!G634), "", 'Aqueous Species Options'!G634), ('Aqueous Species Table'!I634/10 + ('Aqueous Species Table'!J634*100)/(Calculations!$C$12+Calculations!$C$9) + ('Aqueous Species Table'!K634 + ('Aqueous Species Table'!L634*10000)/(Calculations!$C$12+Calculations!$C$9))*(1/(Calculations!$C$8-Calculations!$C$13)) - 'Aqueous Species Table'!O634*100000*0.0000005903)*41.8393))</f>
        <v/>
      </c>
      <c r="H634" s="29" t="str">
        <f>IF(ISBLANK('Aqueous Species Options'!B634), "", IF('Aqueous Species Options'!L634 = 1, IF(ISBLANK('Aqueous Species Options'!H634), "", 'Aqueous Species Options'!H634), 'Aqueous Species Table'!M634 + 'Aqueous Species Table'!N634*10000*(1/(Calculations!$C$8-Calculations!$C$13))^2 + 'Aqueous Species Table'!O634*100000*Calculations!$C$8*Calculations!$C$7))</f>
        <v/>
      </c>
      <c r="I634" s="1" t="str">
        <f>IF(ISBLANK('Aqueous Species Options'!B634), "", IF('Aqueous Species Options'!L634=0, 'Aqueous Species Options'!N634, IF(OR(ISBLANK('Aqueous Species Options'!G634),'Aqueous Species Table'!O634="", 'Aqueous Species Table'!P634=""), "", IF('Aqueous Species Options'!B634="H+", 0, (CHOOSE('Aqueous Species Options'!M634+1,'Aqueous Species Options'!$V$4*ABS('Aqueous Species Table'!P634)+'Aqueous Species Options'!$W$4,'Aqueous Species Options'!$Z$4)*('Aqueous Species Options'!G634 + 'Aqueous Species Table'!O634*100000*0.0000005903*41.8393) + CHOOSE('Aqueous Species Options'!M634+1,'Aqueous Species Options'!$X$4*ABS('Aqueous Species Table'!P634)+'Aqueous Species Options'!$Y$4,'Aqueous Species Options'!$AA$4))*10 ) ) ) )</f>
        <v/>
      </c>
      <c r="J634" s="1" t="str">
        <f>IF(ISBLANK('Aqueous Species Options'!B634), "", IF('Aqueous Species Options'!L634 = 0, 'Aqueous Species Options'!O634, IF('Aqueous Species Table'!I634="", "", IF('Aqueous Species Options'!B634="H+", 0, ((1.11*('Aqueous Species Options'!G634 + 'Aqueous Species Table'!O634*100000*0.0000005903*41.8393)+1.8)/41.8393 - 'Aqueous Species Table'!I634/10)*26.01 ) ) ) )</f>
        <v/>
      </c>
      <c r="K634" s="1" t="str">
        <f>IF(ISBLANK('Aqueous Species Options'!B634), "", IF('Aqueous Species Options'!L634 = 0, 'Aqueous Species Options'!P634, IF('Aqueous Species Table'!I634="", "", IF('Aqueous Species Options'!B634="H+", 0, ('Aqueous Species Options'!G634/41.8393 + 'Aqueous Species Table'!O634*100000*0.0000005903 - 'Aqueous Species Table'!I634/10 - 'Aqueous Species Table'!J634*100/2601)*(298.15-228) - ('Aqueous Species Table'!L634*10000/2601) ) ) ) )</f>
        <v/>
      </c>
      <c r="L634" s="1" t="str">
        <f>IF(ISBLANK('Aqueous Species Options'!B634), "", IF('Aqueous Species Options'!L634 = 0, 'Aqueous Species Options'!Q634, IF('Aqueous Species Table'!J634="", "", IF('Aqueous Species Options'!B634="H+", 0, (-4.134*'Aqueous Species Table'!J634*100 - 27790)*0.0001) ) ) )</f>
        <v/>
      </c>
      <c r="M634" s="1" t="str">
        <f>IF(ISBLANK('Aqueous Species Options'!B634), "", IF('Aqueous Species Options'!L634=0, 'Aqueous Species Options'!R634, IF('Aqueous Species Table'!N634="", "", IF('Aqueous Species Options'!B634="H+", 0, 'Aqueous Species Options'!H634 - 'Aqueous Species Table'!O634*100000*(-0.000000309)*298.15 - 'Aqueous Species Table'!N634*10000/(298.15-228)^2 ) ) ) )</f>
        <v/>
      </c>
      <c r="N634" s="1" t="str">
        <f>IF(ISBLANK('Aqueous Species Options'!B634), "", IF('Aqueous Species Options'!L634=0, 'Aqueous Species Options'!S634, IF(OR(ISBLANK('Aqueous Species Options'!H634), 'Aqueous Species Table'!O634=""), "", IF('Aqueous Species Options'!B634="H+", 0, 0.2037*'Aqueous Species Options'!H634 - 3.0346) ) ) )</f>
        <v/>
      </c>
      <c r="O634" s="1" t="str">
        <f>IF(ISBLANK('Aqueous Species Options'!B634), "", IF('Aqueous Species Options'!K634=0, 'Aqueous Species Options'!I634, IF(OR('Aqueous Species Options'!J634&gt;4,'Aqueous Species Options'!J634&lt;-4), "", IF('Aqueous Species Options'!B634="H+", 0, IF('Aqueous Species Options'!J634=0, -0.038, IF(ISBLANK('Aqueous Species Options'!F634), "", -1514.4*'Aqueous Species Options'!F634*0.00001 + SUM(({4,3,2,1,-1,-2,-3,-4}='Aqueous Species Options'!J634)*{2.1764,1.5793,1.0579,0.5517,1.6291,3.2127,4.8115,6.486}) ) ) ) ) ) )</f>
        <v/>
      </c>
      <c r="P634" s="1" t="str">
        <f>IF(ISBLANK('Aqueous Species Options'!J634), "", 'Aqueous Species Options'!J634)</f>
        <v/>
      </c>
      <c r="Q634" s="184" t="str">
        <f>IF(ISBLANK('Aqueous Species Options'!T634), "", 'Aqueous Species Options'!T634)</f>
        <v/>
      </c>
    </row>
    <row r="635" spans="2:17" ht="16" x14ac:dyDescent="0.2">
      <c r="B635" t="str">
        <f>IF(ISBLANK('Aqueous Species Options'!B635), "", 'Aqueous Species Options'!B635)</f>
        <v/>
      </c>
      <c r="C635" s="1" t="str">
        <f>IF(ISBLANK('Aqueous Species Options'!C635), "", 'Aqueous Species Options'!C635)</f>
        <v/>
      </c>
      <c r="D635" s="1" t="str">
        <f>IF(ISBLANK('Aqueous Species Options'!D635), "", 'Aqueous Species Options'!D635)</f>
        <v/>
      </c>
      <c r="E635" s="1" t="str">
        <f>IF(ISBLANK('Aqueous Species Options'!E635), "", 'Aqueous Species Options'!E635)</f>
        <v/>
      </c>
      <c r="F635" s="139" t="str">
        <f>IF(ISBLANK('Aqueous Species Options'!F635), "", 'Aqueous Species Options'!F635)</f>
        <v/>
      </c>
      <c r="G635" s="29" t="str">
        <f>IF(ISBLANK('Aqueous Species Options'!B635), "", IF('Aqueous Species Options'!L635 = 1, IF(ISBLANK('Aqueous Species Options'!G635), "", 'Aqueous Species Options'!G635), ('Aqueous Species Table'!I635/10 + ('Aqueous Species Table'!J635*100)/(Calculations!$C$12+Calculations!$C$9) + ('Aqueous Species Table'!K635 + ('Aqueous Species Table'!L635*10000)/(Calculations!$C$12+Calculations!$C$9))*(1/(Calculations!$C$8-Calculations!$C$13)) - 'Aqueous Species Table'!O635*100000*0.0000005903)*41.8393))</f>
        <v/>
      </c>
      <c r="H635" s="29" t="str">
        <f>IF(ISBLANK('Aqueous Species Options'!B635), "", IF('Aqueous Species Options'!L635 = 1, IF(ISBLANK('Aqueous Species Options'!H635), "", 'Aqueous Species Options'!H635), 'Aqueous Species Table'!M635 + 'Aqueous Species Table'!N635*10000*(1/(Calculations!$C$8-Calculations!$C$13))^2 + 'Aqueous Species Table'!O635*100000*Calculations!$C$8*Calculations!$C$7))</f>
        <v/>
      </c>
      <c r="I635" s="1" t="str">
        <f>IF(ISBLANK('Aqueous Species Options'!B635), "", IF('Aqueous Species Options'!L635=0, 'Aqueous Species Options'!N635, IF(OR(ISBLANK('Aqueous Species Options'!G635),'Aqueous Species Table'!O635="", 'Aqueous Species Table'!P635=""), "", IF('Aqueous Species Options'!B635="H+", 0, (CHOOSE('Aqueous Species Options'!M635+1,'Aqueous Species Options'!$V$4*ABS('Aqueous Species Table'!P635)+'Aqueous Species Options'!$W$4,'Aqueous Species Options'!$Z$4)*('Aqueous Species Options'!G635 + 'Aqueous Species Table'!O635*100000*0.0000005903*41.8393) + CHOOSE('Aqueous Species Options'!M635+1,'Aqueous Species Options'!$X$4*ABS('Aqueous Species Table'!P635)+'Aqueous Species Options'!$Y$4,'Aqueous Species Options'!$AA$4))*10 ) ) ) )</f>
        <v/>
      </c>
      <c r="J635" s="1" t="str">
        <f>IF(ISBLANK('Aqueous Species Options'!B635), "", IF('Aqueous Species Options'!L635 = 0, 'Aqueous Species Options'!O635, IF('Aqueous Species Table'!I635="", "", IF('Aqueous Species Options'!B635="H+", 0, ((1.11*('Aqueous Species Options'!G635 + 'Aqueous Species Table'!O635*100000*0.0000005903*41.8393)+1.8)/41.8393 - 'Aqueous Species Table'!I635/10)*26.01 ) ) ) )</f>
        <v/>
      </c>
      <c r="K635" s="1" t="str">
        <f>IF(ISBLANK('Aqueous Species Options'!B635), "", IF('Aqueous Species Options'!L635 = 0, 'Aqueous Species Options'!P635, IF('Aqueous Species Table'!I635="", "", IF('Aqueous Species Options'!B635="H+", 0, ('Aqueous Species Options'!G635/41.8393 + 'Aqueous Species Table'!O635*100000*0.0000005903 - 'Aqueous Species Table'!I635/10 - 'Aqueous Species Table'!J635*100/2601)*(298.15-228) - ('Aqueous Species Table'!L635*10000/2601) ) ) ) )</f>
        <v/>
      </c>
      <c r="L635" s="1" t="str">
        <f>IF(ISBLANK('Aqueous Species Options'!B635), "", IF('Aqueous Species Options'!L635 = 0, 'Aqueous Species Options'!Q635, IF('Aqueous Species Table'!J635="", "", IF('Aqueous Species Options'!B635="H+", 0, (-4.134*'Aqueous Species Table'!J635*100 - 27790)*0.0001) ) ) )</f>
        <v/>
      </c>
      <c r="M635" s="1" t="str">
        <f>IF(ISBLANK('Aqueous Species Options'!B635), "", IF('Aqueous Species Options'!L635=0, 'Aqueous Species Options'!R635, IF('Aqueous Species Table'!N635="", "", IF('Aqueous Species Options'!B635="H+", 0, 'Aqueous Species Options'!H635 - 'Aqueous Species Table'!O635*100000*(-0.000000309)*298.15 - 'Aqueous Species Table'!N635*10000/(298.15-228)^2 ) ) ) )</f>
        <v/>
      </c>
      <c r="N635" s="1" t="str">
        <f>IF(ISBLANK('Aqueous Species Options'!B635), "", IF('Aqueous Species Options'!L635=0, 'Aqueous Species Options'!S635, IF(OR(ISBLANK('Aqueous Species Options'!H635), 'Aqueous Species Table'!O635=""), "", IF('Aqueous Species Options'!B635="H+", 0, 0.2037*'Aqueous Species Options'!H635 - 3.0346) ) ) )</f>
        <v/>
      </c>
      <c r="O635" s="1" t="str">
        <f>IF(ISBLANK('Aqueous Species Options'!B635), "", IF('Aqueous Species Options'!K635=0, 'Aqueous Species Options'!I635, IF(OR('Aqueous Species Options'!J635&gt;4,'Aqueous Species Options'!J635&lt;-4), "", IF('Aqueous Species Options'!B635="H+", 0, IF('Aqueous Species Options'!J635=0, -0.038, IF(ISBLANK('Aqueous Species Options'!F635), "", -1514.4*'Aqueous Species Options'!F635*0.00001 + SUM(({4,3,2,1,-1,-2,-3,-4}='Aqueous Species Options'!J635)*{2.1764,1.5793,1.0579,0.5517,1.6291,3.2127,4.8115,6.486}) ) ) ) ) ) )</f>
        <v/>
      </c>
      <c r="P635" s="1" t="str">
        <f>IF(ISBLANK('Aqueous Species Options'!J635), "", 'Aqueous Species Options'!J635)</f>
        <v/>
      </c>
      <c r="Q635" s="184" t="str">
        <f>IF(ISBLANK('Aqueous Species Options'!T635), "", 'Aqueous Species Options'!T635)</f>
        <v/>
      </c>
    </row>
    <row r="636" spans="2:17" ht="16" x14ac:dyDescent="0.2">
      <c r="B636" t="str">
        <f>IF(ISBLANK('Aqueous Species Options'!B636), "", 'Aqueous Species Options'!B636)</f>
        <v/>
      </c>
      <c r="C636" s="1" t="str">
        <f>IF(ISBLANK('Aqueous Species Options'!C636), "", 'Aqueous Species Options'!C636)</f>
        <v/>
      </c>
      <c r="D636" s="1" t="str">
        <f>IF(ISBLANK('Aqueous Species Options'!D636), "", 'Aqueous Species Options'!D636)</f>
        <v/>
      </c>
      <c r="E636" s="1" t="str">
        <f>IF(ISBLANK('Aqueous Species Options'!E636), "", 'Aqueous Species Options'!E636)</f>
        <v/>
      </c>
      <c r="F636" s="139" t="str">
        <f>IF(ISBLANK('Aqueous Species Options'!F636), "", 'Aqueous Species Options'!F636)</f>
        <v/>
      </c>
      <c r="G636" s="29" t="str">
        <f>IF(ISBLANK('Aqueous Species Options'!B636), "", IF('Aqueous Species Options'!L636 = 1, IF(ISBLANK('Aqueous Species Options'!G636), "", 'Aqueous Species Options'!G636), ('Aqueous Species Table'!I636/10 + ('Aqueous Species Table'!J636*100)/(Calculations!$C$12+Calculations!$C$9) + ('Aqueous Species Table'!K636 + ('Aqueous Species Table'!L636*10000)/(Calculations!$C$12+Calculations!$C$9))*(1/(Calculations!$C$8-Calculations!$C$13)) - 'Aqueous Species Table'!O636*100000*0.0000005903)*41.8393))</f>
        <v/>
      </c>
      <c r="H636" s="29" t="str">
        <f>IF(ISBLANK('Aqueous Species Options'!B636), "", IF('Aqueous Species Options'!L636 = 1, IF(ISBLANK('Aqueous Species Options'!H636), "", 'Aqueous Species Options'!H636), 'Aqueous Species Table'!M636 + 'Aqueous Species Table'!N636*10000*(1/(Calculations!$C$8-Calculations!$C$13))^2 + 'Aqueous Species Table'!O636*100000*Calculations!$C$8*Calculations!$C$7))</f>
        <v/>
      </c>
      <c r="I636" s="1" t="str">
        <f>IF(ISBLANK('Aqueous Species Options'!B636), "", IF('Aqueous Species Options'!L636=0, 'Aqueous Species Options'!N636, IF(OR(ISBLANK('Aqueous Species Options'!G636),'Aqueous Species Table'!O636="", 'Aqueous Species Table'!P636=""), "", IF('Aqueous Species Options'!B636="H+", 0, (CHOOSE('Aqueous Species Options'!M636+1,'Aqueous Species Options'!$V$4*ABS('Aqueous Species Table'!P636)+'Aqueous Species Options'!$W$4,'Aqueous Species Options'!$Z$4)*('Aqueous Species Options'!G636 + 'Aqueous Species Table'!O636*100000*0.0000005903*41.8393) + CHOOSE('Aqueous Species Options'!M636+1,'Aqueous Species Options'!$X$4*ABS('Aqueous Species Table'!P636)+'Aqueous Species Options'!$Y$4,'Aqueous Species Options'!$AA$4))*10 ) ) ) )</f>
        <v/>
      </c>
      <c r="J636" s="1" t="str">
        <f>IF(ISBLANK('Aqueous Species Options'!B636), "", IF('Aqueous Species Options'!L636 = 0, 'Aqueous Species Options'!O636, IF('Aqueous Species Table'!I636="", "", IF('Aqueous Species Options'!B636="H+", 0, ((1.11*('Aqueous Species Options'!G636 + 'Aqueous Species Table'!O636*100000*0.0000005903*41.8393)+1.8)/41.8393 - 'Aqueous Species Table'!I636/10)*26.01 ) ) ) )</f>
        <v/>
      </c>
      <c r="K636" s="1" t="str">
        <f>IF(ISBLANK('Aqueous Species Options'!B636), "", IF('Aqueous Species Options'!L636 = 0, 'Aqueous Species Options'!P636, IF('Aqueous Species Table'!I636="", "", IF('Aqueous Species Options'!B636="H+", 0, ('Aqueous Species Options'!G636/41.8393 + 'Aqueous Species Table'!O636*100000*0.0000005903 - 'Aqueous Species Table'!I636/10 - 'Aqueous Species Table'!J636*100/2601)*(298.15-228) - ('Aqueous Species Table'!L636*10000/2601) ) ) ) )</f>
        <v/>
      </c>
      <c r="L636" s="1" t="str">
        <f>IF(ISBLANK('Aqueous Species Options'!B636), "", IF('Aqueous Species Options'!L636 = 0, 'Aqueous Species Options'!Q636, IF('Aqueous Species Table'!J636="", "", IF('Aqueous Species Options'!B636="H+", 0, (-4.134*'Aqueous Species Table'!J636*100 - 27790)*0.0001) ) ) )</f>
        <v/>
      </c>
      <c r="M636" s="1" t="str">
        <f>IF(ISBLANK('Aqueous Species Options'!B636), "", IF('Aqueous Species Options'!L636=0, 'Aqueous Species Options'!R636, IF('Aqueous Species Table'!N636="", "", IF('Aqueous Species Options'!B636="H+", 0, 'Aqueous Species Options'!H636 - 'Aqueous Species Table'!O636*100000*(-0.000000309)*298.15 - 'Aqueous Species Table'!N636*10000/(298.15-228)^2 ) ) ) )</f>
        <v/>
      </c>
      <c r="N636" s="1" t="str">
        <f>IF(ISBLANK('Aqueous Species Options'!B636), "", IF('Aqueous Species Options'!L636=0, 'Aqueous Species Options'!S636, IF(OR(ISBLANK('Aqueous Species Options'!H636), 'Aqueous Species Table'!O636=""), "", IF('Aqueous Species Options'!B636="H+", 0, 0.2037*'Aqueous Species Options'!H636 - 3.0346) ) ) )</f>
        <v/>
      </c>
      <c r="O636" s="1" t="str">
        <f>IF(ISBLANK('Aqueous Species Options'!B636), "", IF('Aqueous Species Options'!K636=0, 'Aqueous Species Options'!I636, IF(OR('Aqueous Species Options'!J636&gt;4,'Aqueous Species Options'!J636&lt;-4), "", IF('Aqueous Species Options'!B636="H+", 0, IF('Aqueous Species Options'!J636=0, -0.038, IF(ISBLANK('Aqueous Species Options'!F636), "", -1514.4*'Aqueous Species Options'!F636*0.00001 + SUM(({4,3,2,1,-1,-2,-3,-4}='Aqueous Species Options'!J636)*{2.1764,1.5793,1.0579,0.5517,1.6291,3.2127,4.8115,6.486}) ) ) ) ) ) )</f>
        <v/>
      </c>
      <c r="P636" s="1" t="str">
        <f>IF(ISBLANK('Aqueous Species Options'!J636), "", 'Aqueous Species Options'!J636)</f>
        <v/>
      </c>
      <c r="Q636" s="184" t="str">
        <f>IF(ISBLANK('Aqueous Species Options'!T636), "", 'Aqueous Species Options'!T636)</f>
        <v/>
      </c>
    </row>
    <row r="637" spans="2:17" ht="16" x14ac:dyDescent="0.2">
      <c r="B637" t="str">
        <f>IF(ISBLANK('Aqueous Species Options'!B637), "", 'Aqueous Species Options'!B637)</f>
        <v/>
      </c>
      <c r="C637" s="1" t="str">
        <f>IF(ISBLANK('Aqueous Species Options'!C637), "", 'Aqueous Species Options'!C637)</f>
        <v/>
      </c>
      <c r="D637" s="1" t="str">
        <f>IF(ISBLANK('Aqueous Species Options'!D637), "", 'Aqueous Species Options'!D637)</f>
        <v/>
      </c>
      <c r="E637" s="1" t="str">
        <f>IF(ISBLANK('Aqueous Species Options'!E637), "", 'Aqueous Species Options'!E637)</f>
        <v/>
      </c>
      <c r="F637" s="139" t="str">
        <f>IF(ISBLANK('Aqueous Species Options'!F637), "", 'Aqueous Species Options'!F637)</f>
        <v/>
      </c>
      <c r="G637" s="29" t="str">
        <f>IF(ISBLANK('Aqueous Species Options'!B637), "", IF('Aqueous Species Options'!L637 = 1, IF(ISBLANK('Aqueous Species Options'!G637), "", 'Aqueous Species Options'!G637), ('Aqueous Species Table'!I637/10 + ('Aqueous Species Table'!J637*100)/(Calculations!$C$12+Calculations!$C$9) + ('Aqueous Species Table'!K637 + ('Aqueous Species Table'!L637*10000)/(Calculations!$C$12+Calculations!$C$9))*(1/(Calculations!$C$8-Calculations!$C$13)) - 'Aqueous Species Table'!O637*100000*0.0000005903)*41.8393))</f>
        <v/>
      </c>
      <c r="H637" s="29" t="str">
        <f>IF(ISBLANK('Aqueous Species Options'!B637), "", IF('Aqueous Species Options'!L637 = 1, IF(ISBLANK('Aqueous Species Options'!H637), "", 'Aqueous Species Options'!H637), 'Aqueous Species Table'!M637 + 'Aqueous Species Table'!N637*10000*(1/(Calculations!$C$8-Calculations!$C$13))^2 + 'Aqueous Species Table'!O637*100000*Calculations!$C$8*Calculations!$C$7))</f>
        <v/>
      </c>
      <c r="I637" s="1" t="str">
        <f>IF(ISBLANK('Aqueous Species Options'!B637), "", IF('Aqueous Species Options'!L637=0, 'Aqueous Species Options'!N637, IF(OR(ISBLANK('Aqueous Species Options'!G637),'Aqueous Species Table'!O637="", 'Aqueous Species Table'!P637=""), "", IF('Aqueous Species Options'!B637="H+", 0, (CHOOSE('Aqueous Species Options'!M637+1,'Aqueous Species Options'!$V$4*ABS('Aqueous Species Table'!P637)+'Aqueous Species Options'!$W$4,'Aqueous Species Options'!$Z$4)*('Aqueous Species Options'!G637 + 'Aqueous Species Table'!O637*100000*0.0000005903*41.8393) + CHOOSE('Aqueous Species Options'!M637+1,'Aqueous Species Options'!$X$4*ABS('Aqueous Species Table'!P637)+'Aqueous Species Options'!$Y$4,'Aqueous Species Options'!$AA$4))*10 ) ) ) )</f>
        <v/>
      </c>
      <c r="J637" s="1" t="str">
        <f>IF(ISBLANK('Aqueous Species Options'!B637), "", IF('Aqueous Species Options'!L637 = 0, 'Aqueous Species Options'!O637, IF('Aqueous Species Table'!I637="", "", IF('Aqueous Species Options'!B637="H+", 0, ((1.11*('Aqueous Species Options'!G637 + 'Aqueous Species Table'!O637*100000*0.0000005903*41.8393)+1.8)/41.8393 - 'Aqueous Species Table'!I637/10)*26.01 ) ) ) )</f>
        <v/>
      </c>
      <c r="K637" s="1" t="str">
        <f>IF(ISBLANK('Aqueous Species Options'!B637), "", IF('Aqueous Species Options'!L637 = 0, 'Aqueous Species Options'!P637, IF('Aqueous Species Table'!I637="", "", IF('Aqueous Species Options'!B637="H+", 0, ('Aqueous Species Options'!G637/41.8393 + 'Aqueous Species Table'!O637*100000*0.0000005903 - 'Aqueous Species Table'!I637/10 - 'Aqueous Species Table'!J637*100/2601)*(298.15-228) - ('Aqueous Species Table'!L637*10000/2601) ) ) ) )</f>
        <v/>
      </c>
      <c r="L637" s="1" t="str">
        <f>IF(ISBLANK('Aqueous Species Options'!B637), "", IF('Aqueous Species Options'!L637 = 0, 'Aqueous Species Options'!Q637, IF('Aqueous Species Table'!J637="", "", IF('Aqueous Species Options'!B637="H+", 0, (-4.134*'Aqueous Species Table'!J637*100 - 27790)*0.0001) ) ) )</f>
        <v/>
      </c>
      <c r="M637" s="1" t="str">
        <f>IF(ISBLANK('Aqueous Species Options'!B637), "", IF('Aqueous Species Options'!L637=0, 'Aqueous Species Options'!R637, IF('Aqueous Species Table'!N637="", "", IF('Aqueous Species Options'!B637="H+", 0, 'Aqueous Species Options'!H637 - 'Aqueous Species Table'!O637*100000*(-0.000000309)*298.15 - 'Aqueous Species Table'!N637*10000/(298.15-228)^2 ) ) ) )</f>
        <v/>
      </c>
      <c r="N637" s="1" t="str">
        <f>IF(ISBLANK('Aqueous Species Options'!B637), "", IF('Aqueous Species Options'!L637=0, 'Aqueous Species Options'!S637, IF(OR(ISBLANK('Aqueous Species Options'!H637), 'Aqueous Species Table'!O637=""), "", IF('Aqueous Species Options'!B637="H+", 0, 0.2037*'Aqueous Species Options'!H637 - 3.0346) ) ) )</f>
        <v/>
      </c>
      <c r="O637" s="1" t="str">
        <f>IF(ISBLANK('Aqueous Species Options'!B637), "", IF('Aqueous Species Options'!K637=0, 'Aqueous Species Options'!I637, IF(OR('Aqueous Species Options'!J637&gt;4,'Aqueous Species Options'!J637&lt;-4), "", IF('Aqueous Species Options'!B637="H+", 0, IF('Aqueous Species Options'!J637=0, -0.038, IF(ISBLANK('Aqueous Species Options'!F637), "", -1514.4*'Aqueous Species Options'!F637*0.00001 + SUM(({4,3,2,1,-1,-2,-3,-4}='Aqueous Species Options'!J637)*{2.1764,1.5793,1.0579,0.5517,1.6291,3.2127,4.8115,6.486}) ) ) ) ) ) )</f>
        <v/>
      </c>
      <c r="P637" s="1" t="str">
        <f>IF(ISBLANK('Aqueous Species Options'!J637), "", 'Aqueous Species Options'!J637)</f>
        <v/>
      </c>
      <c r="Q637" s="184" t="str">
        <f>IF(ISBLANK('Aqueous Species Options'!T637), "", 'Aqueous Species Options'!T637)</f>
        <v/>
      </c>
    </row>
    <row r="638" spans="2:17" ht="16" x14ac:dyDescent="0.2">
      <c r="B638" t="str">
        <f>IF(ISBLANK('Aqueous Species Options'!B638), "", 'Aqueous Species Options'!B638)</f>
        <v/>
      </c>
      <c r="C638" s="1" t="str">
        <f>IF(ISBLANK('Aqueous Species Options'!C638), "", 'Aqueous Species Options'!C638)</f>
        <v/>
      </c>
      <c r="D638" s="1" t="str">
        <f>IF(ISBLANK('Aqueous Species Options'!D638), "", 'Aqueous Species Options'!D638)</f>
        <v/>
      </c>
      <c r="E638" s="1" t="str">
        <f>IF(ISBLANK('Aqueous Species Options'!E638), "", 'Aqueous Species Options'!E638)</f>
        <v/>
      </c>
      <c r="F638" s="139" t="str">
        <f>IF(ISBLANK('Aqueous Species Options'!F638), "", 'Aqueous Species Options'!F638)</f>
        <v/>
      </c>
      <c r="G638" s="29" t="str">
        <f>IF(ISBLANK('Aqueous Species Options'!B638), "", IF('Aqueous Species Options'!L638 = 1, IF(ISBLANK('Aqueous Species Options'!G638), "", 'Aqueous Species Options'!G638), ('Aqueous Species Table'!I638/10 + ('Aqueous Species Table'!J638*100)/(Calculations!$C$12+Calculations!$C$9) + ('Aqueous Species Table'!K638 + ('Aqueous Species Table'!L638*10000)/(Calculations!$C$12+Calculations!$C$9))*(1/(Calculations!$C$8-Calculations!$C$13)) - 'Aqueous Species Table'!O638*100000*0.0000005903)*41.8393))</f>
        <v/>
      </c>
      <c r="H638" s="29" t="str">
        <f>IF(ISBLANK('Aqueous Species Options'!B638), "", IF('Aqueous Species Options'!L638 = 1, IF(ISBLANK('Aqueous Species Options'!H638), "", 'Aqueous Species Options'!H638), 'Aqueous Species Table'!M638 + 'Aqueous Species Table'!N638*10000*(1/(Calculations!$C$8-Calculations!$C$13))^2 + 'Aqueous Species Table'!O638*100000*Calculations!$C$8*Calculations!$C$7))</f>
        <v/>
      </c>
      <c r="I638" s="1" t="str">
        <f>IF(ISBLANK('Aqueous Species Options'!B638), "", IF('Aqueous Species Options'!L638=0, 'Aqueous Species Options'!N638, IF(OR(ISBLANK('Aqueous Species Options'!G638),'Aqueous Species Table'!O638="", 'Aqueous Species Table'!P638=""), "", IF('Aqueous Species Options'!B638="H+", 0, (CHOOSE('Aqueous Species Options'!M638+1,'Aqueous Species Options'!$V$4*ABS('Aqueous Species Table'!P638)+'Aqueous Species Options'!$W$4,'Aqueous Species Options'!$Z$4)*('Aqueous Species Options'!G638 + 'Aqueous Species Table'!O638*100000*0.0000005903*41.8393) + CHOOSE('Aqueous Species Options'!M638+1,'Aqueous Species Options'!$X$4*ABS('Aqueous Species Table'!P638)+'Aqueous Species Options'!$Y$4,'Aqueous Species Options'!$AA$4))*10 ) ) ) )</f>
        <v/>
      </c>
      <c r="J638" s="1" t="str">
        <f>IF(ISBLANK('Aqueous Species Options'!B638), "", IF('Aqueous Species Options'!L638 = 0, 'Aqueous Species Options'!O638, IF('Aqueous Species Table'!I638="", "", IF('Aqueous Species Options'!B638="H+", 0, ((1.11*('Aqueous Species Options'!G638 + 'Aqueous Species Table'!O638*100000*0.0000005903*41.8393)+1.8)/41.8393 - 'Aqueous Species Table'!I638/10)*26.01 ) ) ) )</f>
        <v/>
      </c>
      <c r="K638" s="1" t="str">
        <f>IF(ISBLANK('Aqueous Species Options'!B638), "", IF('Aqueous Species Options'!L638 = 0, 'Aqueous Species Options'!P638, IF('Aqueous Species Table'!I638="", "", IF('Aqueous Species Options'!B638="H+", 0, ('Aqueous Species Options'!G638/41.8393 + 'Aqueous Species Table'!O638*100000*0.0000005903 - 'Aqueous Species Table'!I638/10 - 'Aqueous Species Table'!J638*100/2601)*(298.15-228) - ('Aqueous Species Table'!L638*10000/2601) ) ) ) )</f>
        <v/>
      </c>
      <c r="L638" s="1" t="str">
        <f>IF(ISBLANK('Aqueous Species Options'!B638), "", IF('Aqueous Species Options'!L638 = 0, 'Aqueous Species Options'!Q638, IF('Aqueous Species Table'!J638="", "", IF('Aqueous Species Options'!B638="H+", 0, (-4.134*'Aqueous Species Table'!J638*100 - 27790)*0.0001) ) ) )</f>
        <v/>
      </c>
      <c r="M638" s="1" t="str">
        <f>IF(ISBLANK('Aqueous Species Options'!B638), "", IF('Aqueous Species Options'!L638=0, 'Aqueous Species Options'!R638, IF('Aqueous Species Table'!N638="", "", IF('Aqueous Species Options'!B638="H+", 0, 'Aqueous Species Options'!H638 - 'Aqueous Species Table'!O638*100000*(-0.000000309)*298.15 - 'Aqueous Species Table'!N638*10000/(298.15-228)^2 ) ) ) )</f>
        <v/>
      </c>
      <c r="N638" s="1" t="str">
        <f>IF(ISBLANK('Aqueous Species Options'!B638), "", IF('Aqueous Species Options'!L638=0, 'Aqueous Species Options'!S638, IF(OR(ISBLANK('Aqueous Species Options'!H638), 'Aqueous Species Table'!O638=""), "", IF('Aqueous Species Options'!B638="H+", 0, 0.2037*'Aqueous Species Options'!H638 - 3.0346) ) ) )</f>
        <v/>
      </c>
      <c r="O638" s="1" t="str">
        <f>IF(ISBLANK('Aqueous Species Options'!B638), "", IF('Aqueous Species Options'!K638=0, 'Aqueous Species Options'!I638, IF(OR('Aqueous Species Options'!J638&gt;4,'Aqueous Species Options'!J638&lt;-4), "", IF('Aqueous Species Options'!B638="H+", 0, IF('Aqueous Species Options'!J638=0, -0.038, IF(ISBLANK('Aqueous Species Options'!F638), "", -1514.4*'Aqueous Species Options'!F638*0.00001 + SUM(({4,3,2,1,-1,-2,-3,-4}='Aqueous Species Options'!J638)*{2.1764,1.5793,1.0579,0.5517,1.6291,3.2127,4.8115,6.486}) ) ) ) ) ) )</f>
        <v/>
      </c>
      <c r="P638" s="1" t="str">
        <f>IF(ISBLANK('Aqueous Species Options'!J638), "", 'Aqueous Species Options'!J638)</f>
        <v/>
      </c>
      <c r="Q638" s="184" t="str">
        <f>IF(ISBLANK('Aqueous Species Options'!T638), "", 'Aqueous Species Options'!T638)</f>
        <v/>
      </c>
    </row>
    <row r="639" spans="2:17" ht="16" x14ac:dyDescent="0.2">
      <c r="B639" t="str">
        <f>IF(ISBLANK('Aqueous Species Options'!B639), "", 'Aqueous Species Options'!B639)</f>
        <v/>
      </c>
      <c r="C639" s="1" t="str">
        <f>IF(ISBLANK('Aqueous Species Options'!C639), "", 'Aqueous Species Options'!C639)</f>
        <v/>
      </c>
      <c r="D639" s="1" t="str">
        <f>IF(ISBLANK('Aqueous Species Options'!D639), "", 'Aqueous Species Options'!D639)</f>
        <v/>
      </c>
      <c r="E639" s="1" t="str">
        <f>IF(ISBLANK('Aqueous Species Options'!E639), "", 'Aqueous Species Options'!E639)</f>
        <v/>
      </c>
      <c r="F639" s="139" t="str">
        <f>IF(ISBLANK('Aqueous Species Options'!F639), "", 'Aqueous Species Options'!F639)</f>
        <v/>
      </c>
      <c r="G639" s="29" t="str">
        <f>IF(ISBLANK('Aqueous Species Options'!B639), "", IF('Aqueous Species Options'!L639 = 1, IF(ISBLANK('Aqueous Species Options'!G639), "", 'Aqueous Species Options'!G639), ('Aqueous Species Table'!I639/10 + ('Aqueous Species Table'!J639*100)/(Calculations!$C$12+Calculations!$C$9) + ('Aqueous Species Table'!K639 + ('Aqueous Species Table'!L639*10000)/(Calculations!$C$12+Calculations!$C$9))*(1/(Calculations!$C$8-Calculations!$C$13)) - 'Aqueous Species Table'!O639*100000*0.0000005903)*41.8393))</f>
        <v/>
      </c>
      <c r="H639" s="29" t="str">
        <f>IF(ISBLANK('Aqueous Species Options'!B639), "", IF('Aqueous Species Options'!L639 = 1, IF(ISBLANK('Aqueous Species Options'!H639), "", 'Aqueous Species Options'!H639), 'Aqueous Species Table'!M639 + 'Aqueous Species Table'!N639*10000*(1/(Calculations!$C$8-Calculations!$C$13))^2 + 'Aqueous Species Table'!O639*100000*Calculations!$C$8*Calculations!$C$7))</f>
        <v/>
      </c>
      <c r="I639" s="1" t="str">
        <f>IF(ISBLANK('Aqueous Species Options'!B639), "", IF('Aqueous Species Options'!L639=0, 'Aqueous Species Options'!N639, IF(OR(ISBLANK('Aqueous Species Options'!G639),'Aqueous Species Table'!O639="", 'Aqueous Species Table'!P639=""), "", IF('Aqueous Species Options'!B639="H+", 0, (CHOOSE('Aqueous Species Options'!M639+1,'Aqueous Species Options'!$V$4*ABS('Aqueous Species Table'!P639)+'Aqueous Species Options'!$W$4,'Aqueous Species Options'!$Z$4)*('Aqueous Species Options'!G639 + 'Aqueous Species Table'!O639*100000*0.0000005903*41.8393) + CHOOSE('Aqueous Species Options'!M639+1,'Aqueous Species Options'!$X$4*ABS('Aqueous Species Table'!P639)+'Aqueous Species Options'!$Y$4,'Aqueous Species Options'!$AA$4))*10 ) ) ) )</f>
        <v/>
      </c>
      <c r="J639" s="1" t="str">
        <f>IF(ISBLANK('Aqueous Species Options'!B639), "", IF('Aqueous Species Options'!L639 = 0, 'Aqueous Species Options'!O639, IF('Aqueous Species Table'!I639="", "", IF('Aqueous Species Options'!B639="H+", 0, ((1.11*('Aqueous Species Options'!G639 + 'Aqueous Species Table'!O639*100000*0.0000005903*41.8393)+1.8)/41.8393 - 'Aqueous Species Table'!I639/10)*26.01 ) ) ) )</f>
        <v/>
      </c>
      <c r="K639" s="1" t="str">
        <f>IF(ISBLANK('Aqueous Species Options'!B639), "", IF('Aqueous Species Options'!L639 = 0, 'Aqueous Species Options'!P639, IF('Aqueous Species Table'!I639="", "", IF('Aqueous Species Options'!B639="H+", 0, ('Aqueous Species Options'!G639/41.8393 + 'Aqueous Species Table'!O639*100000*0.0000005903 - 'Aqueous Species Table'!I639/10 - 'Aqueous Species Table'!J639*100/2601)*(298.15-228) - ('Aqueous Species Table'!L639*10000/2601) ) ) ) )</f>
        <v/>
      </c>
      <c r="L639" s="1" t="str">
        <f>IF(ISBLANK('Aqueous Species Options'!B639), "", IF('Aqueous Species Options'!L639 = 0, 'Aqueous Species Options'!Q639, IF('Aqueous Species Table'!J639="", "", IF('Aqueous Species Options'!B639="H+", 0, (-4.134*'Aqueous Species Table'!J639*100 - 27790)*0.0001) ) ) )</f>
        <v/>
      </c>
      <c r="M639" s="1" t="str">
        <f>IF(ISBLANK('Aqueous Species Options'!B639), "", IF('Aqueous Species Options'!L639=0, 'Aqueous Species Options'!R639, IF('Aqueous Species Table'!N639="", "", IF('Aqueous Species Options'!B639="H+", 0, 'Aqueous Species Options'!H639 - 'Aqueous Species Table'!O639*100000*(-0.000000309)*298.15 - 'Aqueous Species Table'!N639*10000/(298.15-228)^2 ) ) ) )</f>
        <v/>
      </c>
      <c r="N639" s="1" t="str">
        <f>IF(ISBLANK('Aqueous Species Options'!B639), "", IF('Aqueous Species Options'!L639=0, 'Aqueous Species Options'!S639, IF(OR(ISBLANK('Aqueous Species Options'!H639), 'Aqueous Species Table'!O639=""), "", IF('Aqueous Species Options'!B639="H+", 0, 0.2037*'Aqueous Species Options'!H639 - 3.0346) ) ) )</f>
        <v/>
      </c>
      <c r="O639" s="1" t="str">
        <f>IF(ISBLANK('Aqueous Species Options'!B639), "", IF('Aqueous Species Options'!K639=0, 'Aqueous Species Options'!I639, IF(OR('Aqueous Species Options'!J639&gt;4,'Aqueous Species Options'!J639&lt;-4), "", IF('Aqueous Species Options'!B639="H+", 0, IF('Aqueous Species Options'!J639=0, -0.038, IF(ISBLANK('Aqueous Species Options'!F639), "", -1514.4*'Aqueous Species Options'!F639*0.00001 + SUM(({4,3,2,1,-1,-2,-3,-4}='Aqueous Species Options'!J639)*{2.1764,1.5793,1.0579,0.5517,1.6291,3.2127,4.8115,6.486}) ) ) ) ) ) )</f>
        <v/>
      </c>
      <c r="P639" s="1" t="str">
        <f>IF(ISBLANK('Aqueous Species Options'!J639), "", 'Aqueous Species Options'!J639)</f>
        <v/>
      </c>
      <c r="Q639" s="184" t="str">
        <f>IF(ISBLANK('Aqueous Species Options'!T639), "", 'Aqueous Species Options'!T639)</f>
        <v/>
      </c>
    </row>
    <row r="640" spans="2:17" ht="16" x14ac:dyDescent="0.2">
      <c r="B640" t="str">
        <f>IF(ISBLANK('Aqueous Species Options'!B640), "", 'Aqueous Species Options'!B640)</f>
        <v/>
      </c>
      <c r="C640" s="1" t="str">
        <f>IF(ISBLANK('Aqueous Species Options'!C640), "", 'Aqueous Species Options'!C640)</f>
        <v/>
      </c>
      <c r="D640" s="1" t="str">
        <f>IF(ISBLANK('Aqueous Species Options'!D640), "", 'Aqueous Species Options'!D640)</f>
        <v/>
      </c>
      <c r="E640" s="1" t="str">
        <f>IF(ISBLANK('Aqueous Species Options'!E640), "", 'Aqueous Species Options'!E640)</f>
        <v/>
      </c>
      <c r="F640" s="139" t="str">
        <f>IF(ISBLANK('Aqueous Species Options'!F640), "", 'Aqueous Species Options'!F640)</f>
        <v/>
      </c>
      <c r="G640" s="29" t="str">
        <f>IF(ISBLANK('Aqueous Species Options'!B640), "", IF('Aqueous Species Options'!L640 = 1, IF(ISBLANK('Aqueous Species Options'!G640), "", 'Aqueous Species Options'!G640), ('Aqueous Species Table'!I640/10 + ('Aqueous Species Table'!J640*100)/(Calculations!$C$12+Calculations!$C$9) + ('Aqueous Species Table'!K640 + ('Aqueous Species Table'!L640*10000)/(Calculations!$C$12+Calculations!$C$9))*(1/(Calculations!$C$8-Calculations!$C$13)) - 'Aqueous Species Table'!O640*100000*0.0000005903)*41.8393))</f>
        <v/>
      </c>
      <c r="H640" s="29" t="str">
        <f>IF(ISBLANK('Aqueous Species Options'!B640), "", IF('Aqueous Species Options'!L640 = 1, IF(ISBLANK('Aqueous Species Options'!H640), "", 'Aqueous Species Options'!H640), 'Aqueous Species Table'!M640 + 'Aqueous Species Table'!N640*10000*(1/(Calculations!$C$8-Calculations!$C$13))^2 + 'Aqueous Species Table'!O640*100000*Calculations!$C$8*Calculations!$C$7))</f>
        <v/>
      </c>
      <c r="I640" s="1" t="str">
        <f>IF(ISBLANK('Aqueous Species Options'!B640), "", IF('Aqueous Species Options'!L640=0, 'Aqueous Species Options'!N640, IF(OR(ISBLANK('Aqueous Species Options'!G640),'Aqueous Species Table'!O640="", 'Aqueous Species Table'!P640=""), "", IF('Aqueous Species Options'!B640="H+", 0, (CHOOSE('Aqueous Species Options'!M640+1,'Aqueous Species Options'!$V$4*ABS('Aqueous Species Table'!P640)+'Aqueous Species Options'!$W$4,'Aqueous Species Options'!$Z$4)*('Aqueous Species Options'!G640 + 'Aqueous Species Table'!O640*100000*0.0000005903*41.8393) + CHOOSE('Aqueous Species Options'!M640+1,'Aqueous Species Options'!$X$4*ABS('Aqueous Species Table'!P640)+'Aqueous Species Options'!$Y$4,'Aqueous Species Options'!$AA$4))*10 ) ) ) )</f>
        <v/>
      </c>
      <c r="J640" s="1" t="str">
        <f>IF(ISBLANK('Aqueous Species Options'!B640), "", IF('Aqueous Species Options'!L640 = 0, 'Aqueous Species Options'!O640, IF('Aqueous Species Table'!I640="", "", IF('Aqueous Species Options'!B640="H+", 0, ((1.11*('Aqueous Species Options'!G640 + 'Aqueous Species Table'!O640*100000*0.0000005903*41.8393)+1.8)/41.8393 - 'Aqueous Species Table'!I640/10)*26.01 ) ) ) )</f>
        <v/>
      </c>
      <c r="K640" s="1" t="str">
        <f>IF(ISBLANK('Aqueous Species Options'!B640), "", IF('Aqueous Species Options'!L640 = 0, 'Aqueous Species Options'!P640, IF('Aqueous Species Table'!I640="", "", IF('Aqueous Species Options'!B640="H+", 0, ('Aqueous Species Options'!G640/41.8393 + 'Aqueous Species Table'!O640*100000*0.0000005903 - 'Aqueous Species Table'!I640/10 - 'Aqueous Species Table'!J640*100/2601)*(298.15-228) - ('Aqueous Species Table'!L640*10000/2601) ) ) ) )</f>
        <v/>
      </c>
      <c r="L640" s="1" t="str">
        <f>IF(ISBLANK('Aqueous Species Options'!B640), "", IF('Aqueous Species Options'!L640 = 0, 'Aqueous Species Options'!Q640, IF('Aqueous Species Table'!J640="", "", IF('Aqueous Species Options'!B640="H+", 0, (-4.134*'Aqueous Species Table'!J640*100 - 27790)*0.0001) ) ) )</f>
        <v/>
      </c>
      <c r="M640" s="1" t="str">
        <f>IF(ISBLANK('Aqueous Species Options'!B640), "", IF('Aqueous Species Options'!L640=0, 'Aqueous Species Options'!R640, IF('Aqueous Species Table'!N640="", "", IF('Aqueous Species Options'!B640="H+", 0, 'Aqueous Species Options'!H640 - 'Aqueous Species Table'!O640*100000*(-0.000000309)*298.15 - 'Aqueous Species Table'!N640*10000/(298.15-228)^2 ) ) ) )</f>
        <v/>
      </c>
      <c r="N640" s="1" t="str">
        <f>IF(ISBLANK('Aqueous Species Options'!B640), "", IF('Aqueous Species Options'!L640=0, 'Aqueous Species Options'!S640, IF(OR(ISBLANK('Aqueous Species Options'!H640), 'Aqueous Species Table'!O640=""), "", IF('Aqueous Species Options'!B640="H+", 0, 0.2037*'Aqueous Species Options'!H640 - 3.0346) ) ) )</f>
        <v/>
      </c>
      <c r="O640" s="1" t="str">
        <f>IF(ISBLANK('Aqueous Species Options'!B640), "", IF('Aqueous Species Options'!K640=0, 'Aqueous Species Options'!I640, IF(OR('Aqueous Species Options'!J640&gt;4,'Aqueous Species Options'!J640&lt;-4), "", IF('Aqueous Species Options'!B640="H+", 0, IF('Aqueous Species Options'!J640=0, -0.038, IF(ISBLANK('Aqueous Species Options'!F640), "", -1514.4*'Aqueous Species Options'!F640*0.00001 + SUM(({4,3,2,1,-1,-2,-3,-4}='Aqueous Species Options'!J640)*{2.1764,1.5793,1.0579,0.5517,1.6291,3.2127,4.8115,6.486}) ) ) ) ) ) )</f>
        <v/>
      </c>
      <c r="P640" s="1" t="str">
        <f>IF(ISBLANK('Aqueous Species Options'!J640), "", 'Aqueous Species Options'!J640)</f>
        <v/>
      </c>
      <c r="Q640" s="184" t="str">
        <f>IF(ISBLANK('Aqueous Species Options'!T640), "", 'Aqueous Species Options'!T640)</f>
        <v/>
      </c>
    </row>
    <row r="641" spans="2:17" ht="16" x14ac:dyDescent="0.2">
      <c r="B641" t="str">
        <f>IF(ISBLANK('Aqueous Species Options'!B641), "", 'Aqueous Species Options'!B641)</f>
        <v/>
      </c>
      <c r="C641" s="1" t="str">
        <f>IF(ISBLANK('Aqueous Species Options'!C641), "", 'Aqueous Species Options'!C641)</f>
        <v/>
      </c>
      <c r="D641" s="1" t="str">
        <f>IF(ISBLANK('Aqueous Species Options'!D641), "", 'Aqueous Species Options'!D641)</f>
        <v/>
      </c>
      <c r="E641" s="1" t="str">
        <f>IF(ISBLANK('Aqueous Species Options'!E641), "", 'Aqueous Species Options'!E641)</f>
        <v/>
      </c>
      <c r="F641" s="139" t="str">
        <f>IF(ISBLANK('Aqueous Species Options'!F641), "", 'Aqueous Species Options'!F641)</f>
        <v/>
      </c>
      <c r="G641" s="29" t="str">
        <f>IF(ISBLANK('Aqueous Species Options'!B641), "", IF('Aqueous Species Options'!L641 = 1, IF(ISBLANK('Aqueous Species Options'!G641), "", 'Aqueous Species Options'!G641), ('Aqueous Species Table'!I641/10 + ('Aqueous Species Table'!J641*100)/(Calculations!$C$12+Calculations!$C$9) + ('Aqueous Species Table'!K641 + ('Aqueous Species Table'!L641*10000)/(Calculations!$C$12+Calculations!$C$9))*(1/(Calculations!$C$8-Calculations!$C$13)) - 'Aqueous Species Table'!O641*100000*0.0000005903)*41.8393))</f>
        <v/>
      </c>
      <c r="H641" s="29" t="str">
        <f>IF(ISBLANK('Aqueous Species Options'!B641), "", IF('Aqueous Species Options'!L641 = 1, IF(ISBLANK('Aqueous Species Options'!H641), "", 'Aqueous Species Options'!H641), 'Aqueous Species Table'!M641 + 'Aqueous Species Table'!N641*10000*(1/(Calculations!$C$8-Calculations!$C$13))^2 + 'Aqueous Species Table'!O641*100000*Calculations!$C$8*Calculations!$C$7))</f>
        <v/>
      </c>
      <c r="I641" s="1" t="str">
        <f>IF(ISBLANK('Aqueous Species Options'!B641), "", IF('Aqueous Species Options'!L641=0, 'Aqueous Species Options'!N641, IF(OR(ISBLANK('Aqueous Species Options'!G641),'Aqueous Species Table'!O641="", 'Aqueous Species Table'!P641=""), "", IF('Aqueous Species Options'!B641="H+", 0, (CHOOSE('Aqueous Species Options'!M641+1,'Aqueous Species Options'!$V$4*ABS('Aqueous Species Table'!P641)+'Aqueous Species Options'!$W$4,'Aqueous Species Options'!$Z$4)*('Aqueous Species Options'!G641 + 'Aqueous Species Table'!O641*100000*0.0000005903*41.8393) + CHOOSE('Aqueous Species Options'!M641+1,'Aqueous Species Options'!$X$4*ABS('Aqueous Species Table'!P641)+'Aqueous Species Options'!$Y$4,'Aqueous Species Options'!$AA$4))*10 ) ) ) )</f>
        <v/>
      </c>
      <c r="J641" s="1" t="str">
        <f>IF(ISBLANK('Aqueous Species Options'!B641), "", IF('Aqueous Species Options'!L641 = 0, 'Aqueous Species Options'!O641, IF('Aqueous Species Table'!I641="", "", IF('Aqueous Species Options'!B641="H+", 0, ((1.11*('Aqueous Species Options'!G641 + 'Aqueous Species Table'!O641*100000*0.0000005903*41.8393)+1.8)/41.8393 - 'Aqueous Species Table'!I641/10)*26.01 ) ) ) )</f>
        <v/>
      </c>
      <c r="K641" s="1" t="str">
        <f>IF(ISBLANK('Aqueous Species Options'!B641), "", IF('Aqueous Species Options'!L641 = 0, 'Aqueous Species Options'!P641, IF('Aqueous Species Table'!I641="", "", IF('Aqueous Species Options'!B641="H+", 0, ('Aqueous Species Options'!G641/41.8393 + 'Aqueous Species Table'!O641*100000*0.0000005903 - 'Aqueous Species Table'!I641/10 - 'Aqueous Species Table'!J641*100/2601)*(298.15-228) - ('Aqueous Species Table'!L641*10000/2601) ) ) ) )</f>
        <v/>
      </c>
      <c r="L641" s="1" t="str">
        <f>IF(ISBLANK('Aqueous Species Options'!B641), "", IF('Aqueous Species Options'!L641 = 0, 'Aqueous Species Options'!Q641, IF('Aqueous Species Table'!J641="", "", IF('Aqueous Species Options'!B641="H+", 0, (-4.134*'Aqueous Species Table'!J641*100 - 27790)*0.0001) ) ) )</f>
        <v/>
      </c>
      <c r="M641" s="1" t="str">
        <f>IF(ISBLANK('Aqueous Species Options'!B641), "", IF('Aqueous Species Options'!L641=0, 'Aqueous Species Options'!R641, IF('Aqueous Species Table'!N641="", "", IF('Aqueous Species Options'!B641="H+", 0, 'Aqueous Species Options'!H641 - 'Aqueous Species Table'!O641*100000*(-0.000000309)*298.15 - 'Aqueous Species Table'!N641*10000/(298.15-228)^2 ) ) ) )</f>
        <v/>
      </c>
      <c r="N641" s="1" t="str">
        <f>IF(ISBLANK('Aqueous Species Options'!B641), "", IF('Aqueous Species Options'!L641=0, 'Aqueous Species Options'!S641, IF(OR(ISBLANK('Aqueous Species Options'!H641), 'Aqueous Species Table'!O641=""), "", IF('Aqueous Species Options'!B641="H+", 0, 0.2037*'Aqueous Species Options'!H641 - 3.0346) ) ) )</f>
        <v/>
      </c>
      <c r="O641" s="1" t="str">
        <f>IF(ISBLANK('Aqueous Species Options'!B641), "", IF('Aqueous Species Options'!K641=0, 'Aqueous Species Options'!I641, IF(OR('Aqueous Species Options'!J641&gt;4,'Aqueous Species Options'!J641&lt;-4), "", IF('Aqueous Species Options'!B641="H+", 0, IF('Aqueous Species Options'!J641=0, -0.038, IF(ISBLANK('Aqueous Species Options'!F641), "", -1514.4*'Aqueous Species Options'!F641*0.00001 + SUM(({4,3,2,1,-1,-2,-3,-4}='Aqueous Species Options'!J641)*{2.1764,1.5793,1.0579,0.5517,1.6291,3.2127,4.8115,6.486}) ) ) ) ) ) )</f>
        <v/>
      </c>
      <c r="P641" s="1" t="str">
        <f>IF(ISBLANK('Aqueous Species Options'!J641), "", 'Aqueous Species Options'!J641)</f>
        <v/>
      </c>
      <c r="Q641" s="184" t="str">
        <f>IF(ISBLANK('Aqueous Species Options'!T641), "", 'Aqueous Species Options'!T641)</f>
        <v/>
      </c>
    </row>
    <row r="642" spans="2:17" ht="16" x14ac:dyDescent="0.2">
      <c r="B642" t="str">
        <f>IF(ISBLANK('Aqueous Species Options'!B642), "", 'Aqueous Species Options'!B642)</f>
        <v/>
      </c>
      <c r="C642" s="1" t="str">
        <f>IF(ISBLANK('Aqueous Species Options'!C642), "", 'Aqueous Species Options'!C642)</f>
        <v/>
      </c>
      <c r="D642" s="1" t="str">
        <f>IF(ISBLANK('Aqueous Species Options'!D642), "", 'Aqueous Species Options'!D642)</f>
        <v/>
      </c>
      <c r="E642" s="1" t="str">
        <f>IF(ISBLANK('Aqueous Species Options'!E642), "", 'Aqueous Species Options'!E642)</f>
        <v/>
      </c>
      <c r="F642" s="139" t="str">
        <f>IF(ISBLANK('Aqueous Species Options'!F642), "", 'Aqueous Species Options'!F642)</f>
        <v/>
      </c>
      <c r="G642" s="29" t="str">
        <f>IF(ISBLANK('Aqueous Species Options'!B642), "", IF('Aqueous Species Options'!L642 = 1, IF(ISBLANK('Aqueous Species Options'!G642), "", 'Aqueous Species Options'!G642), ('Aqueous Species Table'!I642/10 + ('Aqueous Species Table'!J642*100)/(Calculations!$C$12+Calculations!$C$9) + ('Aqueous Species Table'!K642 + ('Aqueous Species Table'!L642*10000)/(Calculations!$C$12+Calculations!$C$9))*(1/(Calculations!$C$8-Calculations!$C$13)) - 'Aqueous Species Table'!O642*100000*0.0000005903)*41.8393))</f>
        <v/>
      </c>
      <c r="H642" s="29" t="str">
        <f>IF(ISBLANK('Aqueous Species Options'!B642), "", IF('Aqueous Species Options'!L642 = 1, IF(ISBLANK('Aqueous Species Options'!H642), "", 'Aqueous Species Options'!H642), 'Aqueous Species Table'!M642 + 'Aqueous Species Table'!N642*10000*(1/(Calculations!$C$8-Calculations!$C$13))^2 + 'Aqueous Species Table'!O642*100000*Calculations!$C$8*Calculations!$C$7))</f>
        <v/>
      </c>
      <c r="I642" s="1" t="str">
        <f>IF(ISBLANK('Aqueous Species Options'!B642), "", IF('Aqueous Species Options'!L642=0, 'Aqueous Species Options'!N642, IF(OR(ISBLANK('Aqueous Species Options'!G642),'Aqueous Species Table'!O642="", 'Aqueous Species Table'!P642=""), "", IF('Aqueous Species Options'!B642="H+", 0, (CHOOSE('Aqueous Species Options'!M642+1,'Aqueous Species Options'!$V$4*ABS('Aqueous Species Table'!P642)+'Aqueous Species Options'!$W$4,'Aqueous Species Options'!$Z$4)*('Aqueous Species Options'!G642 + 'Aqueous Species Table'!O642*100000*0.0000005903*41.8393) + CHOOSE('Aqueous Species Options'!M642+1,'Aqueous Species Options'!$X$4*ABS('Aqueous Species Table'!P642)+'Aqueous Species Options'!$Y$4,'Aqueous Species Options'!$AA$4))*10 ) ) ) )</f>
        <v/>
      </c>
      <c r="J642" s="1" t="str">
        <f>IF(ISBLANK('Aqueous Species Options'!B642), "", IF('Aqueous Species Options'!L642 = 0, 'Aqueous Species Options'!O642, IF('Aqueous Species Table'!I642="", "", IF('Aqueous Species Options'!B642="H+", 0, ((1.11*('Aqueous Species Options'!G642 + 'Aqueous Species Table'!O642*100000*0.0000005903*41.8393)+1.8)/41.8393 - 'Aqueous Species Table'!I642/10)*26.01 ) ) ) )</f>
        <v/>
      </c>
      <c r="K642" s="1" t="str">
        <f>IF(ISBLANK('Aqueous Species Options'!B642), "", IF('Aqueous Species Options'!L642 = 0, 'Aqueous Species Options'!P642, IF('Aqueous Species Table'!I642="", "", IF('Aqueous Species Options'!B642="H+", 0, ('Aqueous Species Options'!G642/41.8393 + 'Aqueous Species Table'!O642*100000*0.0000005903 - 'Aqueous Species Table'!I642/10 - 'Aqueous Species Table'!J642*100/2601)*(298.15-228) - ('Aqueous Species Table'!L642*10000/2601) ) ) ) )</f>
        <v/>
      </c>
      <c r="L642" s="1" t="str">
        <f>IF(ISBLANK('Aqueous Species Options'!B642), "", IF('Aqueous Species Options'!L642 = 0, 'Aqueous Species Options'!Q642, IF('Aqueous Species Table'!J642="", "", IF('Aqueous Species Options'!B642="H+", 0, (-4.134*'Aqueous Species Table'!J642*100 - 27790)*0.0001) ) ) )</f>
        <v/>
      </c>
      <c r="M642" s="1" t="str">
        <f>IF(ISBLANK('Aqueous Species Options'!B642), "", IF('Aqueous Species Options'!L642=0, 'Aqueous Species Options'!R642, IF('Aqueous Species Table'!N642="", "", IF('Aqueous Species Options'!B642="H+", 0, 'Aqueous Species Options'!H642 - 'Aqueous Species Table'!O642*100000*(-0.000000309)*298.15 - 'Aqueous Species Table'!N642*10000/(298.15-228)^2 ) ) ) )</f>
        <v/>
      </c>
      <c r="N642" s="1" t="str">
        <f>IF(ISBLANK('Aqueous Species Options'!B642), "", IF('Aqueous Species Options'!L642=0, 'Aqueous Species Options'!S642, IF(OR(ISBLANK('Aqueous Species Options'!H642), 'Aqueous Species Table'!O642=""), "", IF('Aqueous Species Options'!B642="H+", 0, 0.2037*'Aqueous Species Options'!H642 - 3.0346) ) ) )</f>
        <v/>
      </c>
      <c r="O642" s="1" t="str">
        <f>IF(ISBLANK('Aqueous Species Options'!B642), "", IF('Aqueous Species Options'!K642=0, 'Aqueous Species Options'!I642, IF(OR('Aqueous Species Options'!J642&gt;4,'Aqueous Species Options'!J642&lt;-4), "", IF('Aqueous Species Options'!B642="H+", 0, IF('Aqueous Species Options'!J642=0, -0.038, IF(ISBLANK('Aqueous Species Options'!F642), "", -1514.4*'Aqueous Species Options'!F642*0.00001 + SUM(({4,3,2,1,-1,-2,-3,-4}='Aqueous Species Options'!J642)*{2.1764,1.5793,1.0579,0.5517,1.6291,3.2127,4.8115,6.486}) ) ) ) ) ) )</f>
        <v/>
      </c>
      <c r="P642" s="1" t="str">
        <f>IF(ISBLANK('Aqueous Species Options'!J642), "", 'Aqueous Species Options'!J642)</f>
        <v/>
      </c>
      <c r="Q642" s="184" t="str">
        <f>IF(ISBLANK('Aqueous Species Options'!T642), "", 'Aqueous Species Options'!T642)</f>
        <v/>
      </c>
    </row>
    <row r="643" spans="2:17" ht="16" x14ac:dyDescent="0.2">
      <c r="B643" t="str">
        <f>IF(ISBLANK('Aqueous Species Options'!B643), "", 'Aqueous Species Options'!B643)</f>
        <v/>
      </c>
      <c r="C643" s="1" t="str">
        <f>IF(ISBLANK('Aqueous Species Options'!C643), "", 'Aqueous Species Options'!C643)</f>
        <v/>
      </c>
      <c r="D643" s="1" t="str">
        <f>IF(ISBLANK('Aqueous Species Options'!D643), "", 'Aqueous Species Options'!D643)</f>
        <v/>
      </c>
      <c r="E643" s="1" t="str">
        <f>IF(ISBLANK('Aqueous Species Options'!E643), "", 'Aqueous Species Options'!E643)</f>
        <v/>
      </c>
      <c r="F643" s="139" t="str">
        <f>IF(ISBLANK('Aqueous Species Options'!F643), "", 'Aqueous Species Options'!F643)</f>
        <v/>
      </c>
      <c r="G643" s="29" t="str">
        <f>IF(ISBLANK('Aqueous Species Options'!B643), "", IF('Aqueous Species Options'!L643 = 1, IF(ISBLANK('Aqueous Species Options'!G643), "", 'Aqueous Species Options'!G643), ('Aqueous Species Table'!I643/10 + ('Aqueous Species Table'!J643*100)/(Calculations!$C$12+Calculations!$C$9) + ('Aqueous Species Table'!K643 + ('Aqueous Species Table'!L643*10000)/(Calculations!$C$12+Calculations!$C$9))*(1/(Calculations!$C$8-Calculations!$C$13)) - 'Aqueous Species Table'!O643*100000*0.0000005903)*41.8393))</f>
        <v/>
      </c>
      <c r="H643" s="29" t="str">
        <f>IF(ISBLANK('Aqueous Species Options'!B643), "", IF('Aqueous Species Options'!L643 = 1, IF(ISBLANK('Aqueous Species Options'!H643), "", 'Aqueous Species Options'!H643), 'Aqueous Species Table'!M643 + 'Aqueous Species Table'!N643*10000*(1/(Calculations!$C$8-Calculations!$C$13))^2 + 'Aqueous Species Table'!O643*100000*Calculations!$C$8*Calculations!$C$7))</f>
        <v/>
      </c>
      <c r="I643" s="1" t="str">
        <f>IF(ISBLANK('Aqueous Species Options'!B643), "", IF('Aqueous Species Options'!L643=0, 'Aqueous Species Options'!N643, IF(OR(ISBLANK('Aqueous Species Options'!G643),'Aqueous Species Table'!O643="", 'Aqueous Species Table'!P643=""), "", IF('Aqueous Species Options'!B643="H+", 0, (CHOOSE('Aqueous Species Options'!M643+1,'Aqueous Species Options'!$V$4*ABS('Aqueous Species Table'!P643)+'Aqueous Species Options'!$W$4,'Aqueous Species Options'!$Z$4)*('Aqueous Species Options'!G643 + 'Aqueous Species Table'!O643*100000*0.0000005903*41.8393) + CHOOSE('Aqueous Species Options'!M643+1,'Aqueous Species Options'!$X$4*ABS('Aqueous Species Table'!P643)+'Aqueous Species Options'!$Y$4,'Aqueous Species Options'!$AA$4))*10 ) ) ) )</f>
        <v/>
      </c>
      <c r="J643" s="1" t="str">
        <f>IF(ISBLANK('Aqueous Species Options'!B643), "", IF('Aqueous Species Options'!L643 = 0, 'Aqueous Species Options'!O643, IF('Aqueous Species Table'!I643="", "", IF('Aqueous Species Options'!B643="H+", 0, ((1.11*('Aqueous Species Options'!G643 + 'Aqueous Species Table'!O643*100000*0.0000005903*41.8393)+1.8)/41.8393 - 'Aqueous Species Table'!I643/10)*26.01 ) ) ) )</f>
        <v/>
      </c>
      <c r="K643" s="1" t="str">
        <f>IF(ISBLANK('Aqueous Species Options'!B643), "", IF('Aqueous Species Options'!L643 = 0, 'Aqueous Species Options'!P643, IF('Aqueous Species Table'!I643="", "", IF('Aqueous Species Options'!B643="H+", 0, ('Aqueous Species Options'!G643/41.8393 + 'Aqueous Species Table'!O643*100000*0.0000005903 - 'Aqueous Species Table'!I643/10 - 'Aqueous Species Table'!J643*100/2601)*(298.15-228) - ('Aqueous Species Table'!L643*10000/2601) ) ) ) )</f>
        <v/>
      </c>
      <c r="L643" s="1" t="str">
        <f>IF(ISBLANK('Aqueous Species Options'!B643), "", IF('Aqueous Species Options'!L643 = 0, 'Aqueous Species Options'!Q643, IF('Aqueous Species Table'!J643="", "", IF('Aqueous Species Options'!B643="H+", 0, (-4.134*'Aqueous Species Table'!J643*100 - 27790)*0.0001) ) ) )</f>
        <v/>
      </c>
      <c r="M643" s="1" t="str">
        <f>IF(ISBLANK('Aqueous Species Options'!B643), "", IF('Aqueous Species Options'!L643=0, 'Aqueous Species Options'!R643, IF('Aqueous Species Table'!N643="", "", IF('Aqueous Species Options'!B643="H+", 0, 'Aqueous Species Options'!H643 - 'Aqueous Species Table'!O643*100000*(-0.000000309)*298.15 - 'Aqueous Species Table'!N643*10000/(298.15-228)^2 ) ) ) )</f>
        <v/>
      </c>
      <c r="N643" s="1" t="str">
        <f>IF(ISBLANK('Aqueous Species Options'!B643), "", IF('Aqueous Species Options'!L643=0, 'Aqueous Species Options'!S643, IF(OR(ISBLANK('Aqueous Species Options'!H643), 'Aqueous Species Table'!O643=""), "", IF('Aqueous Species Options'!B643="H+", 0, 0.2037*'Aqueous Species Options'!H643 - 3.0346) ) ) )</f>
        <v/>
      </c>
      <c r="O643" s="1" t="str">
        <f>IF(ISBLANK('Aqueous Species Options'!B643), "", IF('Aqueous Species Options'!K643=0, 'Aqueous Species Options'!I643, IF(OR('Aqueous Species Options'!J643&gt;4,'Aqueous Species Options'!J643&lt;-4), "", IF('Aqueous Species Options'!B643="H+", 0, IF('Aqueous Species Options'!J643=0, -0.038, IF(ISBLANK('Aqueous Species Options'!F643), "", -1514.4*'Aqueous Species Options'!F643*0.00001 + SUM(({4,3,2,1,-1,-2,-3,-4}='Aqueous Species Options'!J643)*{2.1764,1.5793,1.0579,0.5517,1.6291,3.2127,4.8115,6.486}) ) ) ) ) ) )</f>
        <v/>
      </c>
      <c r="P643" s="1" t="str">
        <f>IF(ISBLANK('Aqueous Species Options'!J643), "", 'Aqueous Species Options'!J643)</f>
        <v/>
      </c>
      <c r="Q643" s="184" t="str">
        <f>IF(ISBLANK('Aqueous Species Options'!T643), "", 'Aqueous Species Options'!T643)</f>
        <v/>
      </c>
    </row>
    <row r="644" spans="2:17" ht="16" x14ac:dyDescent="0.2">
      <c r="B644" t="str">
        <f>IF(ISBLANK('Aqueous Species Options'!B644), "", 'Aqueous Species Options'!B644)</f>
        <v/>
      </c>
      <c r="C644" s="1" t="str">
        <f>IF(ISBLANK('Aqueous Species Options'!C644), "", 'Aqueous Species Options'!C644)</f>
        <v/>
      </c>
      <c r="D644" s="1" t="str">
        <f>IF(ISBLANK('Aqueous Species Options'!D644), "", 'Aqueous Species Options'!D644)</f>
        <v/>
      </c>
      <c r="E644" s="1" t="str">
        <f>IF(ISBLANK('Aqueous Species Options'!E644), "", 'Aqueous Species Options'!E644)</f>
        <v/>
      </c>
      <c r="F644" s="139" t="str">
        <f>IF(ISBLANK('Aqueous Species Options'!F644), "", 'Aqueous Species Options'!F644)</f>
        <v/>
      </c>
      <c r="G644" s="29" t="str">
        <f>IF(ISBLANK('Aqueous Species Options'!B644), "", IF('Aqueous Species Options'!L644 = 1, IF(ISBLANK('Aqueous Species Options'!G644), "", 'Aqueous Species Options'!G644), ('Aqueous Species Table'!I644/10 + ('Aqueous Species Table'!J644*100)/(Calculations!$C$12+Calculations!$C$9) + ('Aqueous Species Table'!K644 + ('Aqueous Species Table'!L644*10000)/(Calculations!$C$12+Calculations!$C$9))*(1/(Calculations!$C$8-Calculations!$C$13)) - 'Aqueous Species Table'!O644*100000*0.0000005903)*41.8393))</f>
        <v/>
      </c>
      <c r="H644" s="29" t="str">
        <f>IF(ISBLANK('Aqueous Species Options'!B644), "", IF('Aqueous Species Options'!L644 = 1, IF(ISBLANK('Aqueous Species Options'!H644), "", 'Aqueous Species Options'!H644), 'Aqueous Species Table'!M644 + 'Aqueous Species Table'!N644*10000*(1/(Calculations!$C$8-Calculations!$C$13))^2 + 'Aqueous Species Table'!O644*100000*Calculations!$C$8*Calculations!$C$7))</f>
        <v/>
      </c>
      <c r="I644" s="1" t="str">
        <f>IF(ISBLANK('Aqueous Species Options'!B644), "", IF('Aqueous Species Options'!L644=0, 'Aqueous Species Options'!N644, IF(OR(ISBLANK('Aqueous Species Options'!G644),'Aqueous Species Table'!O644="", 'Aqueous Species Table'!P644=""), "", IF('Aqueous Species Options'!B644="H+", 0, (CHOOSE('Aqueous Species Options'!M644+1,'Aqueous Species Options'!$V$4*ABS('Aqueous Species Table'!P644)+'Aqueous Species Options'!$W$4,'Aqueous Species Options'!$Z$4)*('Aqueous Species Options'!G644 + 'Aqueous Species Table'!O644*100000*0.0000005903*41.8393) + CHOOSE('Aqueous Species Options'!M644+1,'Aqueous Species Options'!$X$4*ABS('Aqueous Species Table'!P644)+'Aqueous Species Options'!$Y$4,'Aqueous Species Options'!$AA$4))*10 ) ) ) )</f>
        <v/>
      </c>
      <c r="J644" s="1" t="str">
        <f>IF(ISBLANK('Aqueous Species Options'!B644), "", IF('Aqueous Species Options'!L644 = 0, 'Aqueous Species Options'!O644, IF('Aqueous Species Table'!I644="", "", IF('Aqueous Species Options'!B644="H+", 0, ((1.11*('Aqueous Species Options'!G644 + 'Aqueous Species Table'!O644*100000*0.0000005903*41.8393)+1.8)/41.8393 - 'Aqueous Species Table'!I644/10)*26.01 ) ) ) )</f>
        <v/>
      </c>
      <c r="K644" s="1" t="str">
        <f>IF(ISBLANK('Aqueous Species Options'!B644), "", IF('Aqueous Species Options'!L644 = 0, 'Aqueous Species Options'!P644, IF('Aqueous Species Table'!I644="", "", IF('Aqueous Species Options'!B644="H+", 0, ('Aqueous Species Options'!G644/41.8393 + 'Aqueous Species Table'!O644*100000*0.0000005903 - 'Aqueous Species Table'!I644/10 - 'Aqueous Species Table'!J644*100/2601)*(298.15-228) - ('Aqueous Species Table'!L644*10000/2601) ) ) ) )</f>
        <v/>
      </c>
      <c r="L644" s="1" t="str">
        <f>IF(ISBLANK('Aqueous Species Options'!B644), "", IF('Aqueous Species Options'!L644 = 0, 'Aqueous Species Options'!Q644, IF('Aqueous Species Table'!J644="", "", IF('Aqueous Species Options'!B644="H+", 0, (-4.134*'Aqueous Species Table'!J644*100 - 27790)*0.0001) ) ) )</f>
        <v/>
      </c>
      <c r="M644" s="1" t="str">
        <f>IF(ISBLANK('Aqueous Species Options'!B644), "", IF('Aqueous Species Options'!L644=0, 'Aqueous Species Options'!R644, IF('Aqueous Species Table'!N644="", "", IF('Aqueous Species Options'!B644="H+", 0, 'Aqueous Species Options'!H644 - 'Aqueous Species Table'!O644*100000*(-0.000000309)*298.15 - 'Aqueous Species Table'!N644*10000/(298.15-228)^2 ) ) ) )</f>
        <v/>
      </c>
      <c r="N644" s="1" t="str">
        <f>IF(ISBLANK('Aqueous Species Options'!B644), "", IF('Aqueous Species Options'!L644=0, 'Aqueous Species Options'!S644, IF(OR(ISBLANK('Aqueous Species Options'!H644), 'Aqueous Species Table'!O644=""), "", IF('Aqueous Species Options'!B644="H+", 0, 0.2037*'Aqueous Species Options'!H644 - 3.0346) ) ) )</f>
        <v/>
      </c>
      <c r="O644" s="1" t="str">
        <f>IF(ISBLANK('Aqueous Species Options'!B644), "", IF('Aqueous Species Options'!K644=0, 'Aqueous Species Options'!I644, IF(OR('Aqueous Species Options'!J644&gt;4,'Aqueous Species Options'!J644&lt;-4), "", IF('Aqueous Species Options'!B644="H+", 0, IF('Aqueous Species Options'!J644=0, -0.038, IF(ISBLANK('Aqueous Species Options'!F644), "", -1514.4*'Aqueous Species Options'!F644*0.00001 + SUM(({4,3,2,1,-1,-2,-3,-4}='Aqueous Species Options'!J644)*{2.1764,1.5793,1.0579,0.5517,1.6291,3.2127,4.8115,6.486}) ) ) ) ) ) )</f>
        <v/>
      </c>
      <c r="P644" s="1" t="str">
        <f>IF(ISBLANK('Aqueous Species Options'!J644), "", 'Aqueous Species Options'!J644)</f>
        <v/>
      </c>
      <c r="Q644" s="184" t="str">
        <f>IF(ISBLANK('Aqueous Species Options'!T644), "", 'Aqueous Species Options'!T644)</f>
        <v/>
      </c>
    </row>
    <row r="645" spans="2:17" ht="16" x14ac:dyDescent="0.2">
      <c r="B645" t="str">
        <f>IF(ISBLANK('Aqueous Species Options'!B645), "", 'Aqueous Species Options'!B645)</f>
        <v/>
      </c>
      <c r="C645" s="1" t="str">
        <f>IF(ISBLANK('Aqueous Species Options'!C645), "", 'Aqueous Species Options'!C645)</f>
        <v/>
      </c>
      <c r="D645" s="1" t="str">
        <f>IF(ISBLANK('Aqueous Species Options'!D645), "", 'Aqueous Species Options'!D645)</f>
        <v/>
      </c>
      <c r="E645" s="1" t="str">
        <f>IF(ISBLANK('Aqueous Species Options'!E645), "", 'Aqueous Species Options'!E645)</f>
        <v/>
      </c>
      <c r="F645" s="139" t="str">
        <f>IF(ISBLANK('Aqueous Species Options'!F645), "", 'Aqueous Species Options'!F645)</f>
        <v/>
      </c>
      <c r="G645" s="29" t="str">
        <f>IF(ISBLANK('Aqueous Species Options'!B645), "", IF('Aqueous Species Options'!L645 = 1, IF(ISBLANK('Aqueous Species Options'!G645), "", 'Aqueous Species Options'!G645), ('Aqueous Species Table'!I645/10 + ('Aqueous Species Table'!J645*100)/(Calculations!$C$12+Calculations!$C$9) + ('Aqueous Species Table'!K645 + ('Aqueous Species Table'!L645*10000)/(Calculations!$C$12+Calculations!$C$9))*(1/(Calculations!$C$8-Calculations!$C$13)) - 'Aqueous Species Table'!O645*100000*0.0000005903)*41.8393))</f>
        <v/>
      </c>
      <c r="H645" s="29" t="str">
        <f>IF(ISBLANK('Aqueous Species Options'!B645), "", IF('Aqueous Species Options'!L645 = 1, IF(ISBLANK('Aqueous Species Options'!H645), "", 'Aqueous Species Options'!H645), 'Aqueous Species Table'!M645 + 'Aqueous Species Table'!N645*10000*(1/(Calculations!$C$8-Calculations!$C$13))^2 + 'Aqueous Species Table'!O645*100000*Calculations!$C$8*Calculations!$C$7))</f>
        <v/>
      </c>
      <c r="I645" s="1" t="str">
        <f>IF(ISBLANK('Aqueous Species Options'!B645), "", IF('Aqueous Species Options'!L645=0, 'Aqueous Species Options'!N645, IF(OR(ISBLANK('Aqueous Species Options'!G645),'Aqueous Species Table'!O645="", 'Aqueous Species Table'!P645=""), "", IF('Aqueous Species Options'!B645="H+", 0, (CHOOSE('Aqueous Species Options'!M645+1,'Aqueous Species Options'!$V$4*ABS('Aqueous Species Table'!P645)+'Aqueous Species Options'!$W$4,'Aqueous Species Options'!$Z$4)*('Aqueous Species Options'!G645 + 'Aqueous Species Table'!O645*100000*0.0000005903*41.8393) + CHOOSE('Aqueous Species Options'!M645+1,'Aqueous Species Options'!$X$4*ABS('Aqueous Species Table'!P645)+'Aqueous Species Options'!$Y$4,'Aqueous Species Options'!$AA$4))*10 ) ) ) )</f>
        <v/>
      </c>
      <c r="J645" s="1" t="str">
        <f>IF(ISBLANK('Aqueous Species Options'!B645), "", IF('Aqueous Species Options'!L645 = 0, 'Aqueous Species Options'!O645, IF('Aqueous Species Table'!I645="", "", IF('Aqueous Species Options'!B645="H+", 0, ((1.11*('Aqueous Species Options'!G645 + 'Aqueous Species Table'!O645*100000*0.0000005903*41.8393)+1.8)/41.8393 - 'Aqueous Species Table'!I645/10)*26.01 ) ) ) )</f>
        <v/>
      </c>
      <c r="K645" s="1" t="str">
        <f>IF(ISBLANK('Aqueous Species Options'!B645), "", IF('Aqueous Species Options'!L645 = 0, 'Aqueous Species Options'!P645, IF('Aqueous Species Table'!I645="", "", IF('Aqueous Species Options'!B645="H+", 0, ('Aqueous Species Options'!G645/41.8393 + 'Aqueous Species Table'!O645*100000*0.0000005903 - 'Aqueous Species Table'!I645/10 - 'Aqueous Species Table'!J645*100/2601)*(298.15-228) - ('Aqueous Species Table'!L645*10000/2601) ) ) ) )</f>
        <v/>
      </c>
      <c r="L645" s="1" t="str">
        <f>IF(ISBLANK('Aqueous Species Options'!B645), "", IF('Aqueous Species Options'!L645 = 0, 'Aqueous Species Options'!Q645, IF('Aqueous Species Table'!J645="", "", IF('Aqueous Species Options'!B645="H+", 0, (-4.134*'Aqueous Species Table'!J645*100 - 27790)*0.0001) ) ) )</f>
        <v/>
      </c>
      <c r="M645" s="1" t="str">
        <f>IF(ISBLANK('Aqueous Species Options'!B645), "", IF('Aqueous Species Options'!L645=0, 'Aqueous Species Options'!R645, IF('Aqueous Species Table'!N645="", "", IF('Aqueous Species Options'!B645="H+", 0, 'Aqueous Species Options'!H645 - 'Aqueous Species Table'!O645*100000*(-0.000000309)*298.15 - 'Aqueous Species Table'!N645*10000/(298.15-228)^2 ) ) ) )</f>
        <v/>
      </c>
      <c r="N645" s="1" t="str">
        <f>IF(ISBLANK('Aqueous Species Options'!B645), "", IF('Aqueous Species Options'!L645=0, 'Aqueous Species Options'!S645, IF(OR(ISBLANK('Aqueous Species Options'!H645), 'Aqueous Species Table'!O645=""), "", IF('Aqueous Species Options'!B645="H+", 0, 0.2037*'Aqueous Species Options'!H645 - 3.0346) ) ) )</f>
        <v/>
      </c>
      <c r="O645" s="1" t="str">
        <f>IF(ISBLANK('Aqueous Species Options'!B645), "", IF('Aqueous Species Options'!K645=0, 'Aqueous Species Options'!I645, IF(OR('Aqueous Species Options'!J645&gt;4,'Aqueous Species Options'!J645&lt;-4), "", IF('Aqueous Species Options'!B645="H+", 0, IF('Aqueous Species Options'!J645=0, -0.038, IF(ISBLANK('Aqueous Species Options'!F645), "", -1514.4*'Aqueous Species Options'!F645*0.00001 + SUM(({4,3,2,1,-1,-2,-3,-4}='Aqueous Species Options'!J645)*{2.1764,1.5793,1.0579,0.5517,1.6291,3.2127,4.8115,6.486}) ) ) ) ) ) )</f>
        <v/>
      </c>
      <c r="P645" s="1" t="str">
        <f>IF(ISBLANK('Aqueous Species Options'!J645), "", 'Aqueous Species Options'!J645)</f>
        <v/>
      </c>
      <c r="Q645" s="184" t="str">
        <f>IF(ISBLANK('Aqueous Species Options'!T645), "", 'Aqueous Species Options'!T645)</f>
        <v/>
      </c>
    </row>
    <row r="646" spans="2:17" ht="16" x14ac:dyDescent="0.2">
      <c r="B646" t="str">
        <f>IF(ISBLANK('Aqueous Species Options'!B646), "", 'Aqueous Species Options'!B646)</f>
        <v/>
      </c>
      <c r="C646" s="1" t="str">
        <f>IF(ISBLANK('Aqueous Species Options'!C646), "", 'Aqueous Species Options'!C646)</f>
        <v/>
      </c>
      <c r="D646" s="1" t="str">
        <f>IF(ISBLANK('Aqueous Species Options'!D646), "", 'Aqueous Species Options'!D646)</f>
        <v/>
      </c>
      <c r="E646" s="1" t="str">
        <f>IF(ISBLANK('Aqueous Species Options'!E646), "", 'Aqueous Species Options'!E646)</f>
        <v/>
      </c>
      <c r="F646" s="139" t="str">
        <f>IF(ISBLANK('Aqueous Species Options'!F646), "", 'Aqueous Species Options'!F646)</f>
        <v/>
      </c>
      <c r="G646" s="29" t="str">
        <f>IF(ISBLANK('Aqueous Species Options'!B646), "", IF('Aqueous Species Options'!L646 = 1, IF(ISBLANK('Aqueous Species Options'!G646), "", 'Aqueous Species Options'!G646), ('Aqueous Species Table'!I646/10 + ('Aqueous Species Table'!J646*100)/(Calculations!$C$12+Calculations!$C$9) + ('Aqueous Species Table'!K646 + ('Aqueous Species Table'!L646*10000)/(Calculations!$C$12+Calculations!$C$9))*(1/(Calculations!$C$8-Calculations!$C$13)) - 'Aqueous Species Table'!O646*100000*0.0000005903)*41.8393))</f>
        <v/>
      </c>
      <c r="H646" s="29" t="str">
        <f>IF(ISBLANK('Aqueous Species Options'!B646), "", IF('Aqueous Species Options'!L646 = 1, IF(ISBLANK('Aqueous Species Options'!H646), "", 'Aqueous Species Options'!H646), 'Aqueous Species Table'!M646 + 'Aqueous Species Table'!N646*10000*(1/(Calculations!$C$8-Calculations!$C$13))^2 + 'Aqueous Species Table'!O646*100000*Calculations!$C$8*Calculations!$C$7))</f>
        <v/>
      </c>
      <c r="I646" s="1" t="str">
        <f>IF(ISBLANK('Aqueous Species Options'!B646), "", IF('Aqueous Species Options'!L646=0, 'Aqueous Species Options'!N646, IF(OR(ISBLANK('Aqueous Species Options'!G646),'Aqueous Species Table'!O646="", 'Aqueous Species Table'!P646=""), "", IF('Aqueous Species Options'!B646="H+", 0, (CHOOSE('Aqueous Species Options'!M646+1,'Aqueous Species Options'!$V$4*ABS('Aqueous Species Table'!P646)+'Aqueous Species Options'!$W$4,'Aqueous Species Options'!$Z$4)*('Aqueous Species Options'!G646 + 'Aqueous Species Table'!O646*100000*0.0000005903*41.8393) + CHOOSE('Aqueous Species Options'!M646+1,'Aqueous Species Options'!$X$4*ABS('Aqueous Species Table'!P646)+'Aqueous Species Options'!$Y$4,'Aqueous Species Options'!$AA$4))*10 ) ) ) )</f>
        <v/>
      </c>
      <c r="J646" s="1" t="str">
        <f>IF(ISBLANK('Aqueous Species Options'!B646), "", IF('Aqueous Species Options'!L646 = 0, 'Aqueous Species Options'!O646, IF('Aqueous Species Table'!I646="", "", IF('Aqueous Species Options'!B646="H+", 0, ((1.11*('Aqueous Species Options'!G646 + 'Aqueous Species Table'!O646*100000*0.0000005903*41.8393)+1.8)/41.8393 - 'Aqueous Species Table'!I646/10)*26.01 ) ) ) )</f>
        <v/>
      </c>
      <c r="K646" s="1" t="str">
        <f>IF(ISBLANK('Aqueous Species Options'!B646), "", IF('Aqueous Species Options'!L646 = 0, 'Aqueous Species Options'!P646, IF('Aqueous Species Table'!I646="", "", IF('Aqueous Species Options'!B646="H+", 0, ('Aqueous Species Options'!G646/41.8393 + 'Aqueous Species Table'!O646*100000*0.0000005903 - 'Aqueous Species Table'!I646/10 - 'Aqueous Species Table'!J646*100/2601)*(298.15-228) - ('Aqueous Species Table'!L646*10000/2601) ) ) ) )</f>
        <v/>
      </c>
      <c r="L646" s="1" t="str">
        <f>IF(ISBLANK('Aqueous Species Options'!B646), "", IF('Aqueous Species Options'!L646 = 0, 'Aqueous Species Options'!Q646, IF('Aqueous Species Table'!J646="", "", IF('Aqueous Species Options'!B646="H+", 0, (-4.134*'Aqueous Species Table'!J646*100 - 27790)*0.0001) ) ) )</f>
        <v/>
      </c>
      <c r="M646" s="1" t="str">
        <f>IF(ISBLANK('Aqueous Species Options'!B646), "", IF('Aqueous Species Options'!L646=0, 'Aqueous Species Options'!R646, IF('Aqueous Species Table'!N646="", "", IF('Aqueous Species Options'!B646="H+", 0, 'Aqueous Species Options'!H646 - 'Aqueous Species Table'!O646*100000*(-0.000000309)*298.15 - 'Aqueous Species Table'!N646*10000/(298.15-228)^2 ) ) ) )</f>
        <v/>
      </c>
      <c r="N646" s="1" t="str">
        <f>IF(ISBLANK('Aqueous Species Options'!B646), "", IF('Aqueous Species Options'!L646=0, 'Aqueous Species Options'!S646, IF(OR(ISBLANK('Aqueous Species Options'!H646), 'Aqueous Species Table'!O646=""), "", IF('Aqueous Species Options'!B646="H+", 0, 0.2037*'Aqueous Species Options'!H646 - 3.0346) ) ) )</f>
        <v/>
      </c>
      <c r="O646" s="1" t="str">
        <f>IF(ISBLANK('Aqueous Species Options'!B646), "", IF('Aqueous Species Options'!K646=0, 'Aqueous Species Options'!I646, IF(OR('Aqueous Species Options'!J646&gt;4,'Aqueous Species Options'!J646&lt;-4), "", IF('Aqueous Species Options'!B646="H+", 0, IF('Aqueous Species Options'!J646=0, -0.038, IF(ISBLANK('Aqueous Species Options'!F646), "", -1514.4*'Aqueous Species Options'!F646*0.00001 + SUM(({4,3,2,1,-1,-2,-3,-4}='Aqueous Species Options'!J646)*{2.1764,1.5793,1.0579,0.5517,1.6291,3.2127,4.8115,6.486}) ) ) ) ) ) )</f>
        <v/>
      </c>
      <c r="P646" s="1" t="str">
        <f>IF(ISBLANK('Aqueous Species Options'!J646), "", 'Aqueous Species Options'!J646)</f>
        <v/>
      </c>
      <c r="Q646" s="184" t="str">
        <f>IF(ISBLANK('Aqueous Species Options'!T646), "", 'Aqueous Species Options'!T646)</f>
        <v/>
      </c>
    </row>
    <row r="647" spans="2:17" ht="16" x14ac:dyDescent="0.2">
      <c r="B647" t="str">
        <f>IF(ISBLANK('Aqueous Species Options'!B647), "", 'Aqueous Species Options'!B647)</f>
        <v/>
      </c>
      <c r="C647" s="1" t="str">
        <f>IF(ISBLANK('Aqueous Species Options'!C647), "", 'Aqueous Species Options'!C647)</f>
        <v/>
      </c>
      <c r="D647" s="1" t="str">
        <f>IF(ISBLANK('Aqueous Species Options'!D647), "", 'Aqueous Species Options'!D647)</f>
        <v/>
      </c>
      <c r="E647" s="1" t="str">
        <f>IF(ISBLANK('Aqueous Species Options'!E647), "", 'Aqueous Species Options'!E647)</f>
        <v/>
      </c>
      <c r="F647" s="139" t="str">
        <f>IF(ISBLANK('Aqueous Species Options'!F647), "", 'Aqueous Species Options'!F647)</f>
        <v/>
      </c>
      <c r="G647" s="29" t="str">
        <f>IF(ISBLANK('Aqueous Species Options'!B647), "", IF('Aqueous Species Options'!L647 = 1, IF(ISBLANK('Aqueous Species Options'!G647), "", 'Aqueous Species Options'!G647), ('Aqueous Species Table'!I647/10 + ('Aqueous Species Table'!J647*100)/(Calculations!$C$12+Calculations!$C$9) + ('Aqueous Species Table'!K647 + ('Aqueous Species Table'!L647*10000)/(Calculations!$C$12+Calculations!$C$9))*(1/(Calculations!$C$8-Calculations!$C$13)) - 'Aqueous Species Table'!O647*100000*0.0000005903)*41.8393))</f>
        <v/>
      </c>
      <c r="H647" s="29" t="str">
        <f>IF(ISBLANK('Aqueous Species Options'!B647), "", IF('Aqueous Species Options'!L647 = 1, IF(ISBLANK('Aqueous Species Options'!H647), "", 'Aqueous Species Options'!H647), 'Aqueous Species Table'!M647 + 'Aqueous Species Table'!N647*10000*(1/(Calculations!$C$8-Calculations!$C$13))^2 + 'Aqueous Species Table'!O647*100000*Calculations!$C$8*Calculations!$C$7))</f>
        <v/>
      </c>
      <c r="I647" s="1" t="str">
        <f>IF(ISBLANK('Aqueous Species Options'!B647), "", IF('Aqueous Species Options'!L647=0, 'Aqueous Species Options'!N647, IF(OR(ISBLANK('Aqueous Species Options'!G647),'Aqueous Species Table'!O647="", 'Aqueous Species Table'!P647=""), "", IF('Aqueous Species Options'!B647="H+", 0, (CHOOSE('Aqueous Species Options'!M647+1,'Aqueous Species Options'!$V$4*ABS('Aqueous Species Table'!P647)+'Aqueous Species Options'!$W$4,'Aqueous Species Options'!$Z$4)*('Aqueous Species Options'!G647 + 'Aqueous Species Table'!O647*100000*0.0000005903*41.8393) + CHOOSE('Aqueous Species Options'!M647+1,'Aqueous Species Options'!$X$4*ABS('Aqueous Species Table'!P647)+'Aqueous Species Options'!$Y$4,'Aqueous Species Options'!$AA$4))*10 ) ) ) )</f>
        <v/>
      </c>
      <c r="J647" s="1" t="str">
        <f>IF(ISBLANK('Aqueous Species Options'!B647), "", IF('Aqueous Species Options'!L647 = 0, 'Aqueous Species Options'!O647, IF('Aqueous Species Table'!I647="", "", IF('Aqueous Species Options'!B647="H+", 0, ((1.11*('Aqueous Species Options'!G647 + 'Aqueous Species Table'!O647*100000*0.0000005903*41.8393)+1.8)/41.8393 - 'Aqueous Species Table'!I647/10)*26.01 ) ) ) )</f>
        <v/>
      </c>
      <c r="K647" s="1" t="str">
        <f>IF(ISBLANK('Aqueous Species Options'!B647), "", IF('Aqueous Species Options'!L647 = 0, 'Aqueous Species Options'!P647, IF('Aqueous Species Table'!I647="", "", IF('Aqueous Species Options'!B647="H+", 0, ('Aqueous Species Options'!G647/41.8393 + 'Aqueous Species Table'!O647*100000*0.0000005903 - 'Aqueous Species Table'!I647/10 - 'Aqueous Species Table'!J647*100/2601)*(298.15-228) - ('Aqueous Species Table'!L647*10000/2601) ) ) ) )</f>
        <v/>
      </c>
      <c r="L647" s="1" t="str">
        <f>IF(ISBLANK('Aqueous Species Options'!B647), "", IF('Aqueous Species Options'!L647 = 0, 'Aqueous Species Options'!Q647, IF('Aqueous Species Table'!J647="", "", IF('Aqueous Species Options'!B647="H+", 0, (-4.134*'Aqueous Species Table'!J647*100 - 27790)*0.0001) ) ) )</f>
        <v/>
      </c>
      <c r="M647" s="1" t="str">
        <f>IF(ISBLANK('Aqueous Species Options'!B647), "", IF('Aqueous Species Options'!L647=0, 'Aqueous Species Options'!R647, IF('Aqueous Species Table'!N647="", "", IF('Aqueous Species Options'!B647="H+", 0, 'Aqueous Species Options'!H647 - 'Aqueous Species Table'!O647*100000*(-0.000000309)*298.15 - 'Aqueous Species Table'!N647*10000/(298.15-228)^2 ) ) ) )</f>
        <v/>
      </c>
      <c r="N647" s="1" t="str">
        <f>IF(ISBLANK('Aqueous Species Options'!B647), "", IF('Aqueous Species Options'!L647=0, 'Aqueous Species Options'!S647, IF(OR(ISBLANK('Aqueous Species Options'!H647), 'Aqueous Species Table'!O647=""), "", IF('Aqueous Species Options'!B647="H+", 0, 0.2037*'Aqueous Species Options'!H647 - 3.0346) ) ) )</f>
        <v/>
      </c>
      <c r="O647" s="1" t="str">
        <f>IF(ISBLANK('Aqueous Species Options'!B647), "", IF('Aqueous Species Options'!K647=0, 'Aqueous Species Options'!I647, IF(OR('Aqueous Species Options'!J647&gt;4,'Aqueous Species Options'!J647&lt;-4), "", IF('Aqueous Species Options'!B647="H+", 0, IF('Aqueous Species Options'!J647=0, -0.038, IF(ISBLANK('Aqueous Species Options'!F647), "", -1514.4*'Aqueous Species Options'!F647*0.00001 + SUM(({4,3,2,1,-1,-2,-3,-4}='Aqueous Species Options'!J647)*{2.1764,1.5793,1.0579,0.5517,1.6291,3.2127,4.8115,6.486}) ) ) ) ) ) )</f>
        <v/>
      </c>
      <c r="P647" s="1" t="str">
        <f>IF(ISBLANK('Aqueous Species Options'!J647), "", 'Aqueous Species Options'!J647)</f>
        <v/>
      </c>
      <c r="Q647" s="184" t="str">
        <f>IF(ISBLANK('Aqueous Species Options'!T647), "", 'Aqueous Species Options'!T647)</f>
        <v/>
      </c>
    </row>
    <row r="648" spans="2:17" ht="16" x14ac:dyDescent="0.2">
      <c r="B648" t="str">
        <f>IF(ISBLANK('Aqueous Species Options'!B648), "", 'Aqueous Species Options'!B648)</f>
        <v/>
      </c>
      <c r="C648" s="1" t="str">
        <f>IF(ISBLANK('Aqueous Species Options'!C648), "", 'Aqueous Species Options'!C648)</f>
        <v/>
      </c>
      <c r="D648" s="1" t="str">
        <f>IF(ISBLANK('Aqueous Species Options'!D648), "", 'Aqueous Species Options'!D648)</f>
        <v/>
      </c>
      <c r="E648" s="1" t="str">
        <f>IF(ISBLANK('Aqueous Species Options'!E648), "", 'Aqueous Species Options'!E648)</f>
        <v/>
      </c>
      <c r="F648" s="139" t="str">
        <f>IF(ISBLANK('Aqueous Species Options'!F648), "", 'Aqueous Species Options'!F648)</f>
        <v/>
      </c>
      <c r="G648" s="29" t="str">
        <f>IF(ISBLANK('Aqueous Species Options'!B648), "", IF('Aqueous Species Options'!L648 = 1, IF(ISBLANK('Aqueous Species Options'!G648), "", 'Aqueous Species Options'!G648), ('Aqueous Species Table'!I648/10 + ('Aqueous Species Table'!J648*100)/(Calculations!$C$12+Calculations!$C$9) + ('Aqueous Species Table'!K648 + ('Aqueous Species Table'!L648*10000)/(Calculations!$C$12+Calculations!$C$9))*(1/(Calculations!$C$8-Calculations!$C$13)) - 'Aqueous Species Table'!O648*100000*0.0000005903)*41.8393))</f>
        <v/>
      </c>
      <c r="H648" s="29" t="str">
        <f>IF(ISBLANK('Aqueous Species Options'!B648), "", IF('Aqueous Species Options'!L648 = 1, IF(ISBLANK('Aqueous Species Options'!H648), "", 'Aqueous Species Options'!H648), 'Aqueous Species Table'!M648 + 'Aqueous Species Table'!N648*10000*(1/(Calculations!$C$8-Calculations!$C$13))^2 + 'Aqueous Species Table'!O648*100000*Calculations!$C$8*Calculations!$C$7))</f>
        <v/>
      </c>
      <c r="I648" s="1" t="str">
        <f>IF(ISBLANK('Aqueous Species Options'!B648), "", IF('Aqueous Species Options'!L648=0, 'Aqueous Species Options'!N648, IF(OR(ISBLANK('Aqueous Species Options'!G648),'Aqueous Species Table'!O648="", 'Aqueous Species Table'!P648=""), "", IF('Aqueous Species Options'!B648="H+", 0, (CHOOSE('Aqueous Species Options'!M648+1,'Aqueous Species Options'!$V$4*ABS('Aqueous Species Table'!P648)+'Aqueous Species Options'!$W$4,'Aqueous Species Options'!$Z$4)*('Aqueous Species Options'!G648 + 'Aqueous Species Table'!O648*100000*0.0000005903*41.8393) + CHOOSE('Aqueous Species Options'!M648+1,'Aqueous Species Options'!$X$4*ABS('Aqueous Species Table'!P648)+'Aqueous Species Options'!$Y$4,'Aqueous Species Options'!$AA$4))*10 ) ) ) )</f>
        <v/>
      </c>
      <c r="J648" s="1" t="str">
        <f>IF(ISBLANK('Aqueous Species Options'!B648), "", IF('Aqueous Species Options'!L648 = 0, 'Aqueous Species Options'!O648, IF('Aqueous Species Table'!I648="", "", IF('Aqueous Species Options'!B648="H+", 0, ((1.11*('Aqueous Species Options'!G648 + 'Aqueous Species Table'!O648*100000*0.0000005903*41.8393)+1.8)/41.8393 - 'Aqueous Species Table'!I648/10)*26.01 ) ) ) )</f>
        <v/>
      </c>
      <c r="K648" s="1" t="str">
        <f>IF(ISBLANK('Aqueous Species Options'!B648), "", IF('Aqueous Species Options'!L648 = 0, 'Aqueous Species Options'!P648, IF('Aqueous Species Table'!I648="", "", IF('Aqueous Species Options'!B648="H+", 0, ('Aqueous Species Options'!G648/41.8393 + 'Aqueous Species Table'!O648*100000*0.0000005903 - 'Aqueous Species Table'!I648/10 - 'Aqueous Species Table'!J648*100/2601)*(298.15-228) - ('Aqueous Species Table'!L648*10000/2601) ) ) ) )</f>
        <v/>
      </c>
      <c r="L648" s="1" t="str">
        <f>IF(ISBLANK('Aqueous Species Options'!B648), "", IF('Aqueous Species Options'!L648 = 0, 'Aqueous Species Options'!Q648, IF('Aqueous Species Table'!J648="", "", IF('Aqueous Species Options'!B648="H+", 0, (-4.134*'Aqueous Species Table'!J648*100 - 27790)*0.0001) ) ) )</f>
        <v/>
      </c>
      <c r="M648" s="1" t="str">
        <f>IF(ISBLANK('Aqueous Species Options'!B648), "", IF('Aqueous Species Options'!L648=0, 'Aqueous Species Options'!R648, IF('Aqueous Species Table'!N648="", "", IF('Aqueous Species Options'!B648="H+", 0, 'Aqueous Species Options'!H648 - 'Aqueous Species Table'!O648*100000*(-0.000000309)*298.15 - 'Aqueous Species Table'!N648*10000/(298.15-228)^2 ) ) ) )</f>
        <v/>
      </c>
      <c r="N648" s="1" t="str">
        <f>IF(ISBLANK('Aqueous Species Options'!B648), "", IF('Aqueous Species Options'!L648=0, 'Aqueous Species Options'!S648, IF(OR(ISBLANK('Aqueous Species Options'!H648), 'Aqueous Species Table'!O648=""), "", IF('Aqueous Species Options'!B648="H+", 0, 0.2037*'Aqueous Species Options'!H648 - 3.0346) ) ) )</f>
        <v/>
      </c>
      <c r="O648" s="1" t="str">
        <f>IF(ISBLANK('Aqueous Species Options'!B648), "", IF('Aqueous Species Options'!K648=0, 'Aqueous Species Options'!I648, IF(OR('Aqueous Species Options'!J648&gt;4,'Aqueous Species Options'!J648&lt;-4), "", IF('Aqueous Species Options'!B648="H+", 0, IF('Aqueous Species Options'!J648=0, -0.038, IF(ISBLANK('Aqueous Species Options'!F648), "", -1514.4*'Aqueous Species Options'!F648*0.00001 + SUM(({4,3,2,1,-1,-2,-3,-4}='Aqueous Species Options'!J648)*{2.1764,1.5793,1.0579,0.5517,1.6291,3.2127,4.8115,6.486}) ) ) ) ) ) )</f>
        <v/>
      </c>
      <c r="P648" s="1" t="str">
        <f>IF(ISBLANK('Aqueous Species Options'!J648), "", 'Aqueous Species Options'!J648)</f>
        <v/>
      </c>
      <c r="Q648" s="184" t="str">
        <f>IF(ISBLANK('Aqueous Species Options'!T648), "", 'Aqueous Species Options'!T648)</f>
        <v/>
      </c>
    </row>
    <row r="649" spans="2:17" ht="16" x14ac:dyDescent="0.2">
      <c r="B649" t="str">
        <f>IF(ISBLANK('Aqueous Species Options'!B649), "", 'Aqueous Species Options'!B649)</f>
        <v/>
      </c>
      <c r="C649" s="1" t="str">
        <f>IF(ISBLANK('Aqueous Species Options'!C649), "", 'Aqueous Species Options'!C649)</f>
        <v/>
      </c>
      <c r="D649" s="1" t="str">
        <f>IF(ISBLANK('Aqueous Species Options'!D649), "", 'Aqueous Species Options'!D649)</f>
        <v/>
      </c>
      <c r="E649" s="1" t="str">
        <f>IF(ISBLANK('Aqueous Species Options'!E649), "", 'Aqueous Species Options'!E649)</f>
        <v/>
      </c>
      <c r="F649" s="139" t="str">
        <f>IF(ISBLANK('Aqueous Species Options'!F649), "", 'Aqueous Species Options'!F649)</f>
        <v/>
      </c>
      <c r="G649" s="29" t="str">
        <f>IF(ISBLANK('Aqueous Species Options'!B649), "", IF('Aqueous Species Options'!L649 = 1, IF(ISBLANK('Aqueous Species Options'!G649), "", 'Aqueous Species Options'!G649), ('Aqueous Species Table'!I649/10 + ('Aqueous Species Table'!J649*100)/(Calculations!$C$12+Calculations!$C$9) + ('Aqueous Species Table'!K649 + ('Aqueous Species Table'!L649*10000)/(Calculations!$C$12+Calculations!$C$9))*(1/(Calculations!$C$8-Calculations!$C$13)) - 'Aqueous Species Table'!O649*100000*0.0000005903)*41.8393))</f>
        <v/>
      </c>
      <c r="H649" s="29" t="str">
        <f>IF(ISBLANK('Aqueous Species Options'!B649), "", IF('Aqueous Species Options'!L649 = 1, IF(ISBLANK('Aqueous Species Options'!H649), "", 'Aqueous Species Options'!H649), 'Aqueous Species Table'!M649 + 'Aqueous Species Table'!N649*10000*(1/(Calculations!$C$8-Calculations!$C$13))^2 + 'Aqueous Species Table'!O649*100000*Calculations!$C$8*Calculations!$C$7))</f>
        <v/>
      </c>
      <c r="I649" s="1" t="str">
        <f>IF(ISBLANK('Aqueous Species Options'!B649), "", IF('Aqueous Species Options'!L649=0, 'Aqueous Species Options'!N649, IF(OR(ISBLANK('Aqueous Species Options'!G649),'Aqueous Species Table'!O649="", 'Aqueous Species Table'!P649=""), "", IF('Aqueous Species Options'!B649="H+", 0, (CHOOSE('Aqueous Species Options'!M649+1,'Aqueous Species Options'!$V$4*ABS('Aqueous Species Table'!P649)+'Aqueous Species Options'!$W$4,'Aqueous Species Options'!$Z$4)*('Aqueous Species Options'!G649 + 'Aqueous Species Table'!O649*100000*0.0000005903*41.8393) + CHOOSE('Aqueous Species Options'!M649+1,'Aqueous Species Options'!$X$4*ABS('Aqueous Species Table'!P649)+'Aqueous Species Options'!$Y$4,'Aqueous Species Options'!$AA$4))*10 ) ) ) )</f>
        <v/>
      </c>
      <c r="J649" s="1" t="str">
        <f>IF(ISBLANK('Aqueous Species Options'!B649), "", IF('Aqueous Species Options'!L649 = 0, 'Aqueous Species Options'!O649, IF('Aqueous Species Table'!I649="", "", IF('Aqueous Species Options'!B649="H+", 0, ((1.11*('Aqueous Species Options'!G649 + 'Aqueous Species Table'!O649*100000*0.0000005903*41.8393)+1.8)/41.8393 - 'Aqueous Species Table'!I649/10)*26.01 ) ) ) )</f>
        <v/>
      </c>
      <c r="K649" s="1" t="str">
        <f>IF(ISBLANK('Aqueous Species Options'!B649), "", IF('Aqueous Species Options'!L649 = 0, 'Aqueous Species Options'!P649, IF('Aqueous Species Table'!I649="", "", IF('Aqueous Species Options'!B649="H+", 0, ('Aqueous Species Options'!G649/41.8393 + 'Aqueous Species Table'!O649*100000*0.0000005903 - 'Aqueous Species Table'!I649/10 - 'Aqueous Species Table'!J649*100/2601)*(298.15-228) - ('Aqueous Species Table'!L649*10000/2601) ) ) ) )</f>
        <v/>
      </c>
      <c r="L649" s="1" t="str">
        <f>IF(ISBLANK('Aqueous Species Options'!B649), "", IF('Aqueous Species Options'!L649 = 0, 'Aqueous Species Options'!Q649, IF('Aqueous Species Table'!J649="", "", IF('Aqueous Species Options'!B649="H+", 0, (-4.134*'Aqueous Species Table'!J649*100 - 27790)*0.0001) ) ) )</f>
        <v/>
      </c>
      <c r="M649" s="1" t="str">
        <f>IF(ISBLANK('Aqueous Species Options'!B649), "", IF('Aqueous Species Options'!L649=0, 'Aqueous Species Options'!R649, IF('Aqueous Species Table'!N649="", "", IF('Aqueous Species Options'!B649="H+", 0, 'Aqueous Species Options'!H649 - 'Aqueous Species Table'!O649*100000*(-0.000000309)*298.15 - 'Aqueous Species Table'!N649*10000/(298.15-228)^2 ) ) ) )</f>
        <v/>
      </c>
      <c r="N649" s="1" t="str">
        <f>IF(ISBLANK('Aqueous Species Options'!B649), "", IF('Aqueous Species Options'!L649=0, 'Aqueous Species Options'!S649, IF(OR(ISBLANK('Aqueous Species Options'!H649), 'Aqueous Species Table'!O649=""), "", IF('Aqueous Species Options'!B649="H+", 0, 0.2037*'Aqueous Species Options'!H649 - 3.0346) ) ) )</f>
        <v/>
      </c>
      <c r="O649" s="1" t="str">
        <f>IF(ISBLANK('Aqueous Species Options'!B649), "", IF('Aqueous Species Options'!K649=0, 'Aqueous Species Options'!I649, IF(OR('Aqueous Species Options'!J649&gt;4,'Aqueous Species Options'!J649&lt;-4), "", IF('Aqueous Species Options'!B649="H+", 0, IF('Aqueous Species Options'!J649=0, -0.038, IF(ISBLANK('Aqueous Species Options'!F649), "", -1514.4*'Aqueous Species Options'!F649*0.00001 + SUM(({4,3,2,1,-1,-2,-3,-4}='Aqueous Species Options'!J649)*{2.1764,1.5793,1.0579,0.5517,1.6291,3.2127,4.8115,6.486}) ) ) ) ) ) )</f>
        <v/>
      </c>
      <c r="P649" s="1" t="str">
        <f>IF(ISBLANK('Aqueous Species Options'!J649), "", 'Aqueous Species Options'!J649)</f>
        <v/>
      </c>
      <c r="Q649" s="184" t="str">
        <f>IF(ISBLANK('Aqueous Species Options'!T649), "", 'Aqueous Species Options'!T649)</f>
        <v/>
      </c>
    </row>
    <row r="650" spans="2:17" ht="16" x14ac:dyDescent="0.2">
      <c r="B650" t="str">
        <f>IF(ISBLANK('Aqueous Species Options'!B650), "", 'Aqueous Species Options'!B650)</f>
        <v/>
      </c>
      <c r="C650" s="1" t="str">
        <f>IF(ISBLANK('Aqueous Species Options'!C650), "", 'Aqueous Species Options'!C650)</f>
        <v/>
      </c>
      <c r="D650" s="1" t="str">
        <f>IF(ISBLANK('Aqueous Species Options'!D650), "", 'Aqueous Species Options'!D650)</f>
        <v/>
      </c>
      <c r="E650" s="1" t="str">
        <f>IF(ISBLANK('Aqueous Species Options'!E650), "", 'Aqueous Species Options'!E650)</f>
        <v/>
      </c>
      <c r="F650" s="139" t="str">
        <f>IF(ISBLANK('Aqueous Species Options'!F650), "", 'Aqueous Species Options'!F650)</f>
        <v/>
      </c>
      <c r="G650" s="29" t="str">
        <f>IF(ISBLANK('Aqueous Species Options'!B650), "", IF('Aqueous Species Options'!L650 = 1, IF(ISBLANK('Aqueous Species Options'!G650), "", 'Aqueous Species Options'!G650), ('Aqueous Species Table'!I650/10 + ('Aqueous Species Table'!J650*100)/(Calculations!$C$12+Calculations!$C$9) + ('Aqueous Species Table'!K650 + ('Aqueous Species Table'!L650*10000)/(Calculations!$C$12+Calculations!$C$9))*(1/(Calculations!$C$8-Calculations!$C$13)) - 'Aqueous Species Table'!O650*100000*0.0000005903)*41.8393))</f>
        <v/>
      </c>
      <c r="H650" s="29" t="str">
        <f>IF(ISBLANK('Aqueous Species Options'!B650), "", IF('Aqueous Species Options'!L650 = 1, IF(ISBLANK('Aqueous Species Options'!H650), "", 'Aqueous Species Options'!H650), 'Aqueous Species Table'!M650 + 'Aqueous Species Table'!N650*10000*(1/(Calculations!$C$8-Calculations!$C$13))^2 + 'Aqueous Species Table'!O650*100000*Calculations!$C$8*Calculations!$C$7))</f>
        <v/>
      </c>
      <c r="I650" s="1" t="str">
        <f>IF(ISBLANK('Aqueous Species Options'!B650), "", IF('Aqueous Species Options'!L650=0, 'Aqueous Species Options'!N650, IF(OR(ISBLANK('Aqueous Species Options'!G650),'Aqueous Species Table'!O650="", 'Aqueous Species Table'!P650=""), "", IF('Aqueous Species Options'!B650="H+", 0, (CHOOSE('Aqueous Species Options'!M650+1,'Aqueous Species Options'!$V$4*ABS('Aqueous Species Table'!P650)+'Aqueous Species Options'!$W$4,'Aqueous Species Options'!$Z$4)*('Aqueous Species Options'!G650 + 'Aqueous Species Table'!O650*100000*0.0000005903*41.8393) + CHOOSE('Aqueous Species Options'!M650+1,'Aqueous Species Options'!$X$4*ABS('Aqueous Species Table'!P650)+'Aqueous Species Options'!$Y$4,'Aqueous Species Options'!$AA$4))*10 ) ) ) )</f>
        <v/>
      </c>
      <c r="J650" s="1" t="str">
        <f>IF(ISBLANK('Aqueous Species Options'!B650), "", IF('Aqueous Species Options'!L650 = 0, 'Aqueous Species Options'!O650, IF('Aqueous Species Table'!I650="", "", IF('Aqueous Species Options'!B650="H+", 0, ((1.11*('Aqueous Species Options'!G650 + 'Aqueous Species Table'!O650*100000*0.0000005903*41.8393)+1.8)/41.8393 - 'Aqueous Species Table'!I650/10)*26.01 ) ) ) )</f>
        <v/>
      </c>
      <c r="K650" s="1" t="str">
        <f>IF(ISBLANK('Aqueous Species Options'!B650), "", IF('Aqueous Species Options'!L650 = 0, 'Aqueous Species Options'!P650, IF('Aqueous Species Table'!I650="", "", IF('Aqueous Species Options'!B650="H+", 0, ('Aqueous Species Options'!G650/41.8393 + 'Aqueous Species Table'!O650*100000*0.0000005903 - 'Aqueous Species Table'!I650/10 - 'Aqueous Species Table'!J650*100/2601)*(298.15-228) - ('Aqueous Species Table'!L650*10000/2601) ) ) ) )</f>
        <v/>
      </c>
      <c r="L650" s="1" t="str">
        <f>IF(ISBLANK('Aqueous Species Options'!B650), "", IF('Aqueous Species Options'!L650 = 0, 'Aqueous Species Options'!Q650, IF('Aqueous Species Table'!J650="", "", IF('Aqueous Species Options'!B650="H+", 0, (-4.134*'Aqueous Species Table'!J650*100 - 27790)*0.0001) ) ) )</f>
        <v/>
      </c>
      <c r="M650" s="1" t="str">
        <f>IF(ISBLANK('Aqueous Species Options'!B650), "", IF('Aqueous Species Options'!L650=0, 'Aqueous Species Options'!R650, IF('Aqueous Species Table'!N650="", "", IF('Aqueous Species Options'!B650="H+", 0, 'Aqueous Species Options'!H650 - 'Aqueous Species Table'!O650*100000*(-0.000000309)*298.15 - 'Aqueous Species Table'!N650*10000/(298.15-228)^2 ) ) ) )</f>
        <v/>
      </c>
      <c r="N650" s="1" t="str">
        <f>IF(ISBLANK('Aqueous Species Options'!B650), "", IF('Aqueous Species Options'!L650=0, 'Aqueous Species Options'!S650, IF(OR(ISBLANK('Aqueous Species Options'!H650), 'Aqueous Species Table'!O650=""), "", IF('Aqueous Species Options'!B650="H+", 0, 0.2037*'Aqueous Species Options'!H650 - 3.0346) ) ) )</f>
        <v/>
      </c>
      <c r="O650" s="1" t="str">
        <f>IF(ISBLANK('Aqueous Species Options'!B650), "", IF('Aqueous Species Options'!K650=0, 'Aqueous Species Options'!I650, IF(OR('Aqueous Species Options'!J650&gt;4,'Aqueous Species Options'!J650&lt;-4), "", IF('Aqueous Species Options'!B650="H+", 0, IF('Aqueous Species Options'!J650=0, -0.038, IF(ISBLANK('Aqueous Species Options'!F650), "", -1514.4*'Aqueous Species Options'!F650*0.00001 + SUM(({4,3,2,1,-1,-2,-3,-4}='Aqueous Species Options'!J650)*{2.1764,1.5793,1.0579,0.5517,1.6291,3.2127,4.8115,6.486}) ) ) ) ) ) )</f>
        <v/>
      </c>
      <c r="P650" s="1" t="str">
        <f>IF(ISBLANK('Aqueous Species Options'!J650), "", 'Aqueous Species Options'!J650)</f>
        <v/>
      </c>
      <c r="Q650" s="184" t="str">
        <f>IF(ISBLANK('Aqueous Species Options'!T650), "", 'Aqueous Species Options'!T650)</f>
        <v/>
      </c>
    </row>
    <row r="651" spans="2:17" ht="16" x14ac:dyDescent="0.2">
      <c r="B651" t="str">
        <f>IF(ISBLANK('Aqueous Species Options'!B651), "", 'Aqueous Species Options'!B651)</f>
        <v/>
      </c>
      <c r="C651" s="1" t="str">
        <f>IF(ISBLANK('Aqueous Species Options'!C651), "", 'Aqueous Species Options'!C651)</f>
        <v/>
      </c>
      <c r="D651" s="1" t="str">
        <f>IF(ISBLANK('Aqueous Species Options'!D651), "", 'Aqueous Species Options'!D651)</f>
        <v/>
      </c>
      <c r="E651" s="1" t="str">
        <f>IF(ISBLANK('Aqueous Species Options'!E651), "", 'Aqueous Species Options'!E651)</f>
        <v/>
      </c>
      <c r="F651" s="139" t="str">
        <f>IF(ISBLANK('Aqueous Species Options'!F651), "", 'Aqueous Species Options'!F651)</f>
        <v/>
      </c>
      <c r="G651" s="29" t="str">
        <f>IF(ISBLANK('Aqueous Species Options'!B651), "", IF('Aqueous Species Options'!L651 = 1, IF(ISBLANK('Aqueous Species Options'!G651), "", 'Aqueous Species Options'!G651), ('Aqueous Species Table'!I651/10 + ('Aqueous Species Table'!J651*100)/(Calculations!$C$12+Calculations!$C$9) + ('Aqueous Species Table'!K651 + ('Aqueous Species Table'!L651*10000)/(Calculations!$C$12+Calculations!$C$9))*(1/(Calculations!$C$8-Calculations!$C$13)) - 'Aqueous Species Table'!O651*100000*0.0000005903)*41.8393))</f>
        <v/>
      </c>
      <c r="H651" s="29" t="str">
        <f>IF(ISBLANK('Aqueous Species Options'!B651), "", IF('Aqueous Species Options'!L651 = 1, IF(ISBLANK('Aqueous Species Options'!H651), "", 'Aqueous Species Options'!H651), 'Aqueous Species Table'!M651 + 'Aqueous Species Table'!N651*10000*(1/(Calculations!$C$8-Calculations!$C$13))^2 + 'Aqueous Species Table'!O651*100000*Calculations!$C$8*Calculations!$C$7))</f>
        <v/>
      </c>
      <c r="I651" s="1" t="str">
        <f>IF(ISBLANK('Aqueous Species Options'!B651), "", IF('Aqueous Species Options'!L651=0, 'Aqueous Species Options'!N651, IF(OR(ISBLANK('Aqueous Species Options'!G651),'Aqueous Species Table'!O651="", 'Aqueous Species Table'!P651=""), "", IF('Aqueous Species Options'!B651="H+", 0, (CHOOSE('Aqueous Species Options'!M651+1,'Aqueous Species Options'!$V$4*ABS('Aqueous Species Table'!P651)+'Aqueous Species Options'!$W$4,'Aqueous Species Options'!$Z$4)*('Aqueous Species Options'!G651 + 'Aqueous Species Table'!O651*100000*0.0000005903*41.8393) + CHOOSE('Aqueous Species Options'!M651+1,'Aqueous Species Options'!$X$4*ABS('Aqueous Species Table'!P651)+'Aqueous Species Options'!$Y$4,'Aqueous Species Options'!$AA$4))*10 ) ) ) )</f>
        <v/>
      </c>
      <c r="J651" s="1" t="str">
        <f>IF(ISBLANK('Aqueous Species Options'!B651), "", IF('Aqueous Species Options'!L651 = 0, 'Aqueous Species Options'!O651, IF('Aqueous Species Table'!I651="", "", IF('Aqueous Species Options'!B651="H+", 0, ((1.11*('Aqueous Species Options'!G651 + 'Aqueous Species Table'!O651*100000*0.0000005903*41.8393)+1.8)/41.8393 - 'Aqueous Species Table'!I651/10)*26.01 ) ) ) )</f>
        <v/>
      </c>
      <c r="K651" s="1" t="str">
        <f>IF(ISBLANK('Aqueous Species Options'!B651), "", IF('Aqueous Species Options'!L651 = 0, 'Aqueous Species Options'!P651, IF('Aqueous Species Table'!I651="", "", IF('Aqueous Species Options'!B651="H+", 0, ('Aqueous Species Options'!G651/41.8393 + 'Aqueous Species Table'!O651*100000*0.0000005903 - 'Aqueous Species Table'!I651/10 - 'Aqueous Species Table'!J651*100/2601)*(298.15-228) - ('Aqueous Species Table'!L651*10000/2601) ) ) ) )</f>
        <v/>
      </c>
      <c r="L651" s="1" t="str">
        <f>IF(ISBLANK('Aqueous Species Options'!B651), "", IF('Aqueous Species Options'!L651 = 0, 'Aqueous Species Options'!Q651, IF('Aqueous Species Table'!J651="", "", IF('Aqueous Species Options'!B651="H+", 0, (-4.134*'Aqueous Species Table'!J651*100 - 27790)*0.0001) ) ) )</f>
        <v/>
      </c>
      <c r="M651" s="1" t="str">
        <f>IF(ISBLANK('Aqueous Species Options'!B651), "", IF('Aqueous Species Options'!L651=0, 'Aqueous Species Options'!R651, IF('Aqueous Species Table'!N651="", "", IF('Aqueous Species Options'!B651="H+", 0, 'Aqueous Species Options'!H651 - 'Aqueous Species Table'!O651*100000*(-0.000000309)*298.15 - 'Aqueous Species Table'!N651*10000/(298.15-228)^2 ) ) ) )</f>
        <v/>
      </c>
      <c r="N651" s="1" t="str">
        <f>IF(ISBLANK('Aqueous Species Options'!B651), "", IF('Aqueous Species Options'!L651=0, 'Aqueous Species Options'!S651, IF(OR(ISBLANK('Aqueous Species Options'!H651), 'Aqueous Species Table'!O651=""), "", IF('Aqueous Species Options'!B651="H+", 0, 0.2037*'Aqueous Species Options'!H651 - 3.0346) ) ) )</f>
        <v/>
      </c>
      <c r="O651" s="1" t="str">
        <f>IF(ISBLANK('Aqueous Species Options'!B651), "", IF('Aqueous Species Options'!K651=0, 'Aqueous Species Options'!I651, IF(OR('Aqueous Species Options'!J651&gt;4,'Aqueous Species Options'!J651&lt;-4), "", IF('Aqueous Species Options'!B651="H+", 0, IF('Aqueous Species Options'!J651=0, -0.038, IF(ISBLANK('Aqueous Species Options'!F651), "", -1514.4*'Aqueous Species Options'!F651*0.00001 + SUM(({4,3,2,1,-1,-2,-3,-4}='Aqueous Species Options'!J651)*{2.1764,1.5793,1.0579,0.5517,1.6291,3.2127,4.8115,6.486}) ) ) ) ) ) )</f>
        <v/>
      </c>
      <c r="P651" s="1" t="str">
        <f>IF(ISBLANK('Aqueous Species Options'!J651), "", 'Aqueous Species Options'!J651)</f>
        <v/>
      </c>
      <c r="Q651" s="184" t="str">
        <f>IF(ISBLANK('Aqueous Species Options'!T651), "", 'Aqueous Species Options'!T651)</f>
        <v/>
      </c>
    </row>
    <row r="652" spans="2:17" ht="16" x14ac:dyDescent="0.2">
      <c r="B652" t="str">
        <f>IF(ISBLANK('Aqueous Species Options'!B652), "", 'Aqueous Species Options'!B652)</f>
        <v/>
      </c>
      <c r="C652" s="1" t="str">
        <f>IF(ISBLANK('Aqueous Species Options'!C652), "", 'Aqueous Species Options'!C652)</f>
        <v/>
      </c>
      <c r="D652" s="1" t="str">
        <f>IF(ISBLANK('Aqueous Species Options'!D652), "", 'Aqueous Species Options'!D652)</f>
        <v/>
      </c>
      <c r="E652" s="1" t="str">
        <f>IF(ISBLANK('Aqueous Species Options'!E652), "", 'Aqueous Species Options'!E652)</f>
        <v/>
      </c>
      <c r="F652" s="139" t="str">
        <f>IF(ISBLANK('Aqueous Species Options'!F652), "", 'Aqueous Species Options'!F652)</f>
        <v/>
      </c>
      <c r="G652" s="29" t="str">
        <f>IF(ISBLANK('Aqueous Species Options'!B652), "", IF('Aqueous Species Options'!L652 = 1, IF(ISBLANK('Aqueous Species Options'!G652), "", 'Aqueous Species Options'!G652), ('Aqueous Species Table'!I652/10 + ('Aqueous Species Table'!J652*100)/(Calculations!$C$12+Calculations!$C$9) + ('Aqueous Species Table'!K652 + ('Aqueous Species Table'!L652*10000)/(Calculations!$C$12+Calculations!$C$9))*(1/(Calculations!$C$8-Calculations!$C$13)) - 'Aqueous Species Table'!O652*100000*0.0000005903)*41.8393))</f>
        <v/>
      </c>
      <c r="H652" s="29" t="str">
        <f>IF(ISBLANK('Aqueous Species Options'!B652), "", IF('Aqueous Species Options'!L652 = 1, IF(ISBLANK('Aqueous Species Options'!H652), "", 'Aqueous Species Options'!H652), 'Aqueous Species Table'!M652 + 'Aqueous Species Table'!N652*10000*(1/(Calculations!$C$8-Calculations!$C$13))^2 + 'Aqueous Species Table'!O652*100000*Calculations!$C$8*Calculations!$C$7))</f>
        <v/>
      </c>
      <c r="I652" s="1" t="str">
        <f>IF(ISBLANK('Aqueous Species Options'!B652), "", IF('Aqueous Species Options'!L652=0, 'Aqueous Species Options'!N652, IF(OR(ISBLANK('Aqueous Species Options'!G652),'Aqueous Species Table'!O652="", 'Aqueous Species Table'!P652=""), "", IF('Aqueous Species Options'!B652="H+", 0, (CHOOSE('Aqueous Species Options'!M652+1,'Aqueous Species Options'!$V$4*ABS('Aqueous Species Table'!P652)+'Aqueous Species Options'!$W$4,'Aqueous Species Options'!$Z$4)*('Aqueous Species Options'!G652 + 'Aqueous Species Table'!O652*100000*0.0000005903*41.8393) + CHOOSE('Aqueous Species Options'!M652+1,'Aqueous Species Options'!$X$4*ABS('Aqueous Species Table'!P652)+'Aqueous Species Options'!$Y$4,'Aqueous Species Options'!$AA$4))*10 ) ) ) )</f>
        <v/>
      </c>
      <c r="J652" s="1" t="str">
        <f>IF(ISBLANK('Aqueous Species Options'!B652), "", IF('Aqueous Species Options'!L652 = 0, 'Aqueous Species Options'!O652, IF('Aqueous Species Table'!I652="", "", IF('Aqueous Species Options'!B652="H+", 0, ((1.11*('Aqueous Species Options'!G652 + 'Aqueous Species Table'!O652*100000*0.0000005903*41.8393)+1.8)/41.8393 - 'Aqueous Species Table'!I652/10)*26.01 ) ) ) )</f>
        <v/>
      </c>
      <c r="K652" s="1" t="str">
        <f>IF(ISBLANK('Aqueous Species Options'!B652), "", IF('Aqueous Species Options'!L652 = 0, 'Aqueous Species Options'!P652, IF('Aqueous Species Table'!I652="", "", IF('Aqueous Species Options'!B652="H+", 0, ('Aqueous Species Options'!G652/41.8393 + 'Aqueous Species Table'!O652*100000*0.0000005903 - 'Aqueous Species Table'!I652/10 - 'Aqueous Species Table'!J652*100/2601)*(298.15-228) - ('Aqueous Species Table'!L652*10000/2601) ) ) ) )</f>
        <v/>
      </c>
      <c r="L652" s="1" t="str">
        <f>IF(ISBLANK('Aqueous Species Options'!B652), "", IF('Aqueous Species Options'!L652 = 0, 'Aqueous Species Options'!Q652, IF('Aqueous Species Table'!J652="", "", IF('Aqueous Species Options'!B652="H+", 0, (-4.134*'Aqueous Species Table'!J652*100 - 27790)*0.0001) ) ) )</f>
        <v/>
      </c>
      <c r="M652" s="1" t="str">
        <f>IF(ISBLANK('Aqueous Species Options'!B652), "", IF('Aqueous Species Options'!L652=0, 'Aqueous Species Options'!R652, IF('Aqueous Species Table'!N652="", "", IF('Aqueous Species Options'!B652="H+", 0, 'Aqueous Species Options'!H652 - 'Aqueous Species Table'!O652*100000*(-0.000000309)*298.15 - 'Aqueous Species Table'!N652*10000/(298.15-228)^2 ) ) ) )</f>
        <v/>
      </c>
      <c r="N652" s="1" t="str">
        <f>IF(ISBLANK('Aqueous Species Options'!B652), "", IF('Aqueous Species Options'!L652=0, 'Aqueous Species Options'!S652, IF(OR(ISBLANK('Aqueous Species Options'!H652), 'Aqueous Species Table'!O652=""), "", IF('Aqueous Species Options'!B652="H+", 0, 0.2037*'Aqueous Species Options'!H652 - 3.0346) ) ) )</f>
        <v/>
      </c>
      <c r="O652" s="1" t="str">
        <f>IF(ISBLANK('Aqueous Species Options'!B652), "", IF('Aqueous Species Options'!K652=0, 'Aqueous Species Options'!I652, IF(OR('Aqueous Species Options'!J652&gt;4,'Aqueous Species Options'!J652&lt;-4), "", IF('Aqueous Species Options'!B652="H+", 0, IF('Aqueous Species Options'!J652=0, -0.038, IF(ISBLANK('Aqueous Species Options'!F652), "", -1514.4*'Aqueous Species Options'!F652*0.00001 + SUM(({4,3,2,1,-1,-2,-3,-4}='Aqueous Species Options'!J652)*{2.1764,1.5793,1.0579,0.5517,1.6291,3.2127,4.8115,6.486}) ) ) ) ) ) )</f>
        <v/>
      </c>
      <c r="P652" s="1" t="str">
        <f>IF(ISBLANK('Aqueous Species Options'!J652), "", 'Aqueous Species Options'!J652)</f>
        <v/>
      </c>
      <c r="Q652" s="184" t="str">
        <f>IF(ISBLANK('Aqueous Species Options'!T652), "", 'Aqueous Species Options'!T652)</f>
        <v/>
      </c>
    </row>
    <row r="653" spans="2:17" ht="16" x14ac:dyDescent="0.2">
      <c r="B653" t="str">
        <f>IF(ISBLANK('Aqueous Species Options'!B653), "", 'Aqueous Species Options'!B653)</f>
        <v/>
      </c>
      <c r="C653" s="1" t="str">
        <f>IF(ISBLANK('Aqueous Species Options'!C653), "", 'Aqueous Species Options'!C653)</f>
        <v/>
      </c>
      <c r="D653" s="1" t="str">
        <f>IF(ISBLANK('Aqueous Species Options'!D653), "", 'Aqueous Species Options'!D653)</f>
        <v/>
      </c>
      <c r="E653" s="1" t="str">
        <f>IF(ISBLANK('Aqueous Species Options'!E653), "", 'Aqueous Species Options'!E653)</f>
        <v/>
      </c>
      <c r="F653" s="139" t="str">
        <f>IF(ISBLANK('Aqueous Species Options'!F653), "", 'Aqueous Species Options'!F653)</f>
        <v/>
      </c>
      <c r="G653" s="29" t="str">
        <f>IF(ISBLANK('Aqueous Species Options'!B653), "", IF('Aqueous Species Options'!L653 = 1, IF(ISBLANK('Aqueous Species Options'!G653), "", 'Aqueous Species Options'!G653), ('Aqueous Species Table'!I653/10 + ('Aqueous Species Table'!J653*100)/(Calculations!$C$12+Calculations!$C$9) + ('Aqueous Species Table'!K653 + ('Aqueous Species Table'!L653*10000)/(Calculations!$C$12+Calculations!$C$9))*(1/(Calculations!$C$8-Calculations!$C$13)) - 'Aqueous Species Table'!O653*100000*0.0000005903)*41.8393))</f>
        <v/>
      </c>
      <c r="H653" s="29" t="str">
        <f>IF(ISBLANK('Aqueous Species Options'!B653), "", IF('Aqueous Species Options'!L653 = 1, IF(ISBLANK('Aqueous Species Options'!H653), "", 'Aqueous Species Options'!H653), 'Aqueous Species Table'!M653 + 'Aqueous Species Table'!N653*10000*(1/(Calculations!$C$8-Calculations!$C$13))^2 + 'Aqueous Species Table'!O653*100000*Calculations!$C$8*Calculations!$C$7))</f>
        <v/>
      </c>
      <c r="I653" s="1" t="str">
        <f>IF(ISBLANK('Aqueous Species Options'!B653), "", IF('Aqueous Species Options'!L653=0, 'Aqueous Species Options'!N653, IF(OR(ISBLANK('Aqueous Species Options'!G653),'Aqueous Species Table'!O653="", 'Aqueous Species Table'!P653=""), "", IF('Aqueous Species Options'!B653="H+", 0, (CHOOSE('Aqueous Species Options'!M653+1,'Aqueous Species Options'!$V$4*ABS('Aqueous Species Table'!P653)+'Aqueous Species Options'!$W$4,'Aqueous Species Options'!$Z$4)*('Aqueous Species Options'!G653 + 'Aqueous Species Table'!O653*100000*0.0000005903*41.8393) + CHOOSE('Aqueous Species Options'!M653+1,'Aqueous Species Options'!$X$4*ABS('Aqueous Species Table'!P653)+'Aqueous Species Options'!$Y$4,'Aqueous Species Options'!$AA$4))*10 ) ) ) )</f>
        <v/>
      </c>
      <c r="J653" s="1" t="str">
        <f>IF(ISBLANK('Aqueous Species Options'!B653), "", IF('Aqueous Species Options'!L653 = 0, 'Aqueous Species Options'!O653, IF('Aqueous Species Table'!I653="", "", IF('Aqueous Species Options'!B653="H+", 0, ((1.11*('Aqueous Species Options'!G653 + 'Aqueous Species Table'!O653*100000*0.0000005903*41.8393)+1.8)/41.8393 - 'Aqueous Species Table'!I653/10)*26.01 ) ) ) )</f>
        <v/>
      </c>
      <c r="K653" s="1" t="str">
        <f>IF(ISBLANK('Aqueous Species Options'!B653), "", IF('Aqueous Species Options'!L653 = 0, 'Aqueous Species Options'!P653, IF('Aqueous Species Table'!I653="", "", IF('Aqueous Species Options'!B653="H+", 0, ('Aqueous Species Options'!G653/41.8393 + 'Aqueous Species Table'!O653*100000*0.0000005903 - 'Aqueous Species Table'!I653/10 - 'Aqueous Species Table'!J653*100/2601)*(298.15-228) - ('Aqueous Species Table'!L653*10000/2601) ) ) ) )</f>
        <v/>
      </c>
      <c r="L653" s="1" t="str">
        <f>IF(ISBLANK('Aqueous Species Options'!B653), "", IF('Aqueous Species Options'!L653 = 0, 'Aqueous Species Options'!Q653, IF('Aqueous Species Table'!J653="", "", IF('Aqueous Species Options'!B653="H+", 0, (-4.134*'Aqueous Species Table'!J653*100 - 27790)*0.0001) ) ) )</f>
        <v/>
      </c>
      <c r="M653" s="1" t="str">
        <f>IF(ISBLANK('Aqueous Species Options'!B653), "", IF('Aqueous Species Options'!L653=0, 'Aqueous Species Options'!R653, IF('Aqueous Species Table'!N653="", "", IF('Aqueous Species Options'!B653="H+", 0, 'Aqueous Species Options'!H653 - 'Aqueous Species Table'!O653*100000*(-0.000000309)*298.15 - 'Aqueous Species Table'!N653*10000/(298.15-228)^2 ) ) ) )</f>
        <v/>
      </c>
      <c r="N653" s="1" t="str">
        <f>IF(ISBLANK('Aqueous Species Options'!B653), "", IF('Aqueous Species Options'!L653=0, 'Aqueous Species Options'!S653, IF(OR(ISBLANK('Aqueous Species Options'!H653), 'Aqueous Species Table'!O653=""), "", IF('Aqueous Species Options'!B653="H+", 0, 0.2037*'Aqueous Species Options'!H653 - 3.0346) ) ) )</f>
        <v/>
      </c>
      <c r="O653" s="1" t="str">
        <f>IF(ISBLANK('Aqueous Species Options'!B653), "", IF('Aqueous Species Options'!K653=0, 'Aqueous Species Options'!I653, IF(OR('Aqueous Species Options'!J653&gt;4,'Aqueous Species Options'!J653&lt;-4), "", IF('Aqueous Species Options'!B653="H+", 0, IF('Aqueous Species Options'!J653=0, -0.038, IF(ISBLANK('Aqueous Species Options'!F653), "", -1514.4*'Aqueous Species Options'!F653*0.00001 + SUM(({4,3,2,1,-1,-2,-3,-4}='Aqueous Species Options'!J653)*{2.1764,1.5793,1.0579,0.5517,1.6291,3.2127,4.8115,6.486}) ) ) ) ) ) )</f>
        <v/>
      </c>
      <c r="P653" s="1" t="str">
        <f>IF(ISBLANK('Aqueous Species Options'!J653), "", 'Aqueous Species Options'!J653)</f>
        <v/>
      </c>
      <c r="Q653" s="184" t="str">
        <f>IF(ISBLANK('Aqueous Species Options'!T653), "", 'Aqueous Species Options'!T653)</f>
        <v/>
      </c>
    </row>
    <row r="654" spans="2:17" ht="16" x14ac:dyDescent="0.2">
      <c r="B654" t="str">
        <f>IF(ISBLANK('Aqueous Species Options'!B654), "", 'Aqueous Species Options'!B654)</f>
        <v/>
      </c>
      <c r="C654" s="1" t="str">
        <f>IF(ISBLANK('Aqueous Species Options'!C654), "", 'Aqueous Species Options'!C654)</f>
        <v/>
      </c>
      <c r="D654" s="1" t="str">
        <f>IF(ISBLANK('Aqueous Species Options'!D654), "", 'Aqueous Species Options'!D654)</f>
        <v/>
      </c>
      <c r="E654" s="1" t="str">
        <f>IF(ISBLANK('Aqueous Species Options'!E654), "", 'Aqueous Species Options'!E654)</f>
        <v/>
      </c>
      <c r="F654" s="139" t="str">
        <f>IF(ISBLANK('Aqueous Species Options'!F654), "", 'Aqueous Species Options'!F654)</f>
        <v/>
      </c>
      <c r="G654" s="29" t="str">
        <f>IF(ISBLANK('Aqueous Species Options'!B654), "", IF('Aqueous Species Options'!L654 = 1, IF(ISBLANK('Aqueous Species Options'!G654), "", 'Aqueous Species Options'!G654), ('Aqueous Species Table'!I654/10 + ('Aqueous Species Table'!J654*100)/(Calculations!$C$12+Calculations!$C$9) + ('Aqueous Species Table'!K654 + ('Aqueous Species Table'!L654*10000)/(Calculations!$C$12+Calculations!$C$9))*(1/(Calculations!$C$8-Calculations!$C$13)) - 'Aqueous Species Table'!O654*100000*0.0000005903)*41.8393))</f>
        <v/>
      </c>
      <c r="H654" s="29" t="str">
        <f>IF(ISBLANK('Aqueous Species Options'!B654), "", IF('Aqueous Species Options'!L654 = 1, IF(ISBLANK('Aqueous Species Options'!H654), "", 'Aqueous Species Options'!H654), 'Aqueous Species Table'!M654 + 'Aqueous Species Table'!N654*10000*(1/(Calculations!$C$8-Calculations!$C$13))^2 + 'Aqueous Species Table'!O654*100000*Calculations!$C$8*Calculations!$C$7))</f>
        <v/>
      </c>
      <c r="I654" s="1" t="str">
        <f>IF(ISBLANK('Aqueous Species Options'!B654), "", IF('Aqueous Species Options'!L654=0, 'Aqueous Species Options'!N654, IF(OR(ISBLANK('Aqueous Species Options'!G654),'Aqueous Species Table'!O654="", 'Aqueous Species Table'!P654=""), "", IF('Aqueous Species Options'!B654="H+", 0, (CHOOSE('Aqueous Species Options'!M654+1,'Aqueous Species Options'!$V$4*ABS('Aqueous Species Table'!P654)+'Aqueous Species Options'!$W$4,'Aqueous Species Options'!$Z$4)*('Aqueous Species Options'!G654 + 'Aqueous Species Table'!O654*100000*0.0000005903*41.8393) + CHOOSE('Aqueous Species Options'!M654+1,'Aqueous Species Options'!$X$4*ABS('Aqueous Species Table'!P654)+'Aqueous Species Options'!$Y$4,'Aqueous Species Options'!$AA$4))*10 ) ) ) )</f>
        <v/>
      </c>
      <c r="J654" s="1" t="str">
        <f>IF(ISBLANK('Aqueous Species Options'!B654), "", IF('Aqueous Species Options'!L654 = 0, 'Aqueous Species Options'!O654, IF('Aqueous Species Table'!I654="", "", IF('Aqueous Species Options'!B654="H+", 0, ((1.11*('Aqueous Species Options'!G654 + 'Aqueous Species Table'!O654*100000*0.0000005903*41.8393)+1.8)/41.8393 - 'Aqueous Species Table'!I654/10)*26.01 ) ) ) )</f>
        <v/>
      </c>
      <c r="K654" s="1" t="str">
        <f>IF(ISBLANK('Aqueous Species Options'!B654), "", IF('Aqueous Species Options'!L654 = 0, 'Aqueous Species Options'!P654, IF('Aqueous Species Table'!I654="", "", IF('Aqueous Species Options'!B654="H+", 0, ('Aqueous Species Options'!G654/41.8393 + 'Aqueous Species Table'!O654*100000*0.0000005903 - 'Aqueous Species Table'!I654/10 - 'Aqueous Species Table'!J654*100/2601)*(298.15-228) - ('Aqueous Species Table'!L654*10000/2601) ) ) ) )</f>
        <v/>
      </c>
      <c r="L654" s="1" t="str">
        <f>IF(ISBLANK('Aqueous Species Options'!B654), "", IF('Aqueous Species Options'!L654 = 0, 'Aqueous Species Options'!Q654, IF('Aqueous Species Table'!J654="", "", IF('Aqueous Species Options'!B654="H+", 0, (-4.134*'Aqueous Species Table'!J654*100 - 27790)*0.0001) ) ) )</f>
        <v/>
      </c>
      <c r="M654" s="1" t="str">
        <f>IF(ISBLANK('Aqueous Species Options'!B654), "", IF('Aqueous Species Options'!L654=0, 'Aqueous Species Options'!R654, IF('Aqueous Species Table'!N654="", "", IF('Aqueous Species Options'!B654="H+", 0, 'Aqueous Species Options'!H654 - 'Aqueous Species Table'!O654*100000*(-0.000000309)*298.15 - 'Aqueous Species Table'!N654*10000/(298.15-228)^2 ) ) ) )</f>
        <v/>
      </c>
      <c r="N654" s="1" t="str">
        <f>IF(ISBLANK('Aqueous Species Options'!B654), "", IF('Aqueous Species Options'!L654=0, 'Aqueous Species Options'!S654, IF(OR(ISBLANK('Aqueous Species Options'!H654), 'Aqueous Species Table'!O654=""), "", IF('Aqueous Species Options'!B654="H+", 0, 0.2037*'Aqueous Species Options'!H654 - 3.0346) ) ) )</f>
        <v/>
      </c>
      <c r="O654" s="1" t="str">
        <f>IF(ISBLANK('Aqueous Species Options'!B654), "", IF('Aqueous Species Options'!K654=0, 'Aqueous Species Options'!I654, IF(OR('Aqueous Species Options'!J654&gt;4,'Aqueous Species Options'!J654&lt;-4), "", IF('Aqueous Species Options'!B654="H+", 0, IF('Aqueous Species Options'!J654=0, -0.038, IF(ISBLANK('Aqueous Species Options'!F654), "", -1514.4*'Aqueous Species Options'!F654*0.00001 + SUM(({4,3,2,1,-1,-2,-3,-4}='Aqueous Species Options'!J654)*{2.1764,1.5793,1.0579,0.5517,1.6291,3.2127,4.8115,6.486}) ) ) ) ) ) )</f>
        <v/>
      </c>
      <c r="P654" s="1" t="str">
        <f>IF(ISBLANK('Aqueous Species Options'!J654), "", 'Aqueous Species Options'!J654)</f>
        <v/>
      </c>
      <c r="Q654" s="184" t="str">
        <f>IF(ISBLANK('Aqueous Species Options'!T654), "", 'Aqueous Species Options'!T654)</f>
        <v/>
      </c>
    </row>
    <row r="655" spans="2:17" ht="16" x14ac:dyDescent="0.2">
      <c r="B655" t="str">
        <f>IF(ISBLANK('Aqueous Species Options'!B655), "", 'Aqueous Species Options'!B655)</f>
        <v/>
      </c>
      <c r="C655" s="1" t="str">
        <f>IF(ISBLANK('Aqueous Species Options'!C655), "", 'Aqueous Species Options'!C655)</f>
        <v/>
      </c>
      <c r="D655" s="1" t="str">
        <f>IF(ISBLANK('Aqueous Species Options'!D655), "", 'Aqueous Species Options'!D655)</f>
        <v/>
      </c>
      <c r="E655" s="1" t="str">
        <f>IF(ISBLANK('Aqueous Species Options'!E655), "", 'Aqueous Species Options'!E655)</f>
        <v/>
      </c>
      <c r="F655" s="139" t="str">
        <f>IF(ISBLANK('Aqueous Species Options'!F655), "", 'Aqueous Species Options'!F655)</f>
        <v/>
      </c>
      <c r="G655" s="29" t="str">
        <f>IF(ISBLANK('Aqueous Species Options'!B655), "", IF('Aqueous Species Options'!L655 = 1, IF(ISBLANK('Aqueous Species Options'!G655), "", 'Aqueous Species Options'!G655), ('Aqueous Species Table'!I655/10 + ('Aqueous Species Table'!J655*100)/(Calculations!$C$12+Calculations!$C$9) + ('Aqueous Species Table'!K655 + ('Aqueous Species Table'!L655*10000)/(Calculations!$C$12+Calculations!$C$9))*(1/(Calculations!$C$8-Calculations!$C$13)) - 'Aqueous Species Table'!O655*100000*0.0000005903)*41.8393))</f>
        <v/>
      </c>
      <c r="H655" s="29" t="str">
        <f>IF(ISBLANK('Aqueous Species Options'!B655), "", IF('Aqueous Species Options'!L655 = 1, IF(ISBLANK('Aqueous Species Options'!H655), "", 'Aqueous Species Options'!H655), 'Aqueous Species Table'!M655 + 'Aqueous Species Table'!N655*10000*(1/(Calculations!$C$8-Calculations!$C$13))^2 + 'Aqueous Species Table'!O655*100000*Calculations!$C$8*Calculations!$C$7))</f>
        <v/>
      </c>
      <c r="I655" s="1" t="str">
        <f>IF(ISBLANK('Aqueous Species Options'!B655), "", IF('Aqueous Species Options'!L655=0, 'Aqueous Species Options'!N655, IF(OR(ISBLANK('Aqueous Species Options'!G655),'Aqueous Species Table'!O655="", 'Aqueous Species Table'!P655=""), "", IF('Aqueous Species Options'!B655="H+", 0, (CHOOSE('Aqueous Species Options'!M655+1,'Aqueous Species Options'!$V$4*ABS('Aqueous Species Table'!P655)+'Aqueous Species Options'!$W$4,'Aqueous Species Options'!$Z$4)*('Aqueous Species Options'!G655 + 'Aqueous Species Table'!O655*100000*0.0000005903*41.8393) + CHOOSE('Aqueous Species Options'!M655+1,'Aqueous Species Options'!$X$4*ABS('Aqueous Species Table'!P655)+'Aqueous Species Options'!$Y$4,'Aqueous Species Options'!$AA$4))*10 ) ) ) )</f>
        <v/>
      </c>
      <c r="J655" s="1" t="str">
        <f>IF(ISBLANK('Aqueous Species Options'!B655), "", IF('Aqueous Species Options'!L655 = 0, 'Aqueous Species Options'!O655, IF('Aqueous Species Table'!I655="", "", IF('Aqueous Species Options'!B655="H+", 0, ((1.11*('Aqueous Species Options'!G655 + 'Aqueous Species Table'!O655*100000*0.0000005903*41.8393)+1.8)/41.8393 - 'Aqueous Species Table'!I655/10)*26.01 ) ) ) )</f>
        <v/>
      </c>
      <c r="K655" s="1" t="str">
        <f>IF(ISBLANK('Aqueous Species Options'!B655), "", IF('Aqueous Species Options'!L655 = 0, 'Aqueous Species Options'!P655, IF('Aqueous Species Table'!I655="", "", IF('Aqueous Species Options'!B655="H+", 0, ('Aqueous Species Options'!G655/41.8393 + 'Aqueous Species Table'!O655*100000*0.0000005903 - 'Aqueous Species Table'!I655/10 - 'Aqueous Species Table'!J655*100/2601)*(298.15-228) - ('Aqueous Species Table'!L655*10000/2601) ) ) ) )</f>
        <v/>
      </c>
      <c r="L655" s="1" t="str">
        <f>IF(ISBLANK('Aqueous Species Options'!B655), "", IF('Aqueous Species Options'!L655 = 0, 'Aqueous Species Options'!Q655, IF('Aqueous Species Table'!J655="", "", IF('Aqueous Species Options'!B655="H+", 0, (-4.134*'Aqueous Species Table'!J655*100 - 27790)*0.0001) ) ) )</f>
        <v/>
      </c>
      <c r="M655" s="1" t="str">
        <f>IF(ISBLANK('Aqueous Species Options'!B655), "", IF('Aqueous Species Options'!L655=0, 'Aqueous Species Options'!R655, IF('Aqueous Species Table'!N655="", "", IF('Aqueous Species Options'!B655="H+", 0, 'Aqueous Species Options'!H655 - 'Aqueous Species Table'!O655*100000*(-0.000000309)*298.15 - 'Aqueous Species Table'!N655*10000/(298.15-228)^2 ) ) ) )</f>
        <v/>
      </c>
      <c r="N655" s="1" t="str">
        <f>IF(ISBLANK('Aqueous Species Options'!B655), "", IF('Aqueous Species Options'!L655=0, 'Aqueous Species Options'!S655, IF(OR(ISBLANK('Aqueous Species Options'!H655), 'Aqueous Species Table'!O655=""), "", IF('Aqueous Species Options'!B655="H+", 0, 0.2037*'Aqueous Species Options'!H655 - 3.0346) ) ) )</f>
        <v/>
      </c>
      <c r="O655" s="1" t="str">
        <f>IF(ISBLANK('Aqueous Species Options'!B655), "", IF('Aqueous Species Options'!K655=0, 'Aqueous Species Options'!I655, IF(OR('Aqueous Species Options'!J655&gt;4,'Aqueous Species Options'!J655&lt;-4), "", IF('Aqueous Species Options'!B655="H+", 0, IF('Aqueous Species Options'!J655=0, -0.038, IF(ISBLANK('Aqueous Species Options'!F655), "", -1514.4*'Aqueous Species Options'!F655*0.00001 + SUM(({4,3,2,1,-1,-2,-3,-4}='Aqueous Species Options'!J655)*{2.1764,1.5793,1.0579,0.5517,1.6291,3.2127,4.8115,6.486}) ) ) ) ) ) )</f>
        <v/>
      </c>
      <c r="P655" s="1" t="str">
        <f>IF(ISBLANK('Aqueous Species Options'!J655), "", 'Aqueous Species Options'!J655)</f>
        <v/>
      </c>
      <c r="Q655" s="184" t="str">
        <f>IF(ISBLANK('Aqueous Species Options'!T655), "", 'Aqueous Species Options'!T655)</f>
        <v/>
      </c>
    </row>
    <row r="656" spans="2:17" ht="16" x14ac:dyDescent="0.2">
      <c r="B656" t="str">
        <f>IF(ISBLANK('Aqueous Species Options'!B656), "", 'Aqueous Species Options'!B656)</f>
        <v/>
      </c>
      <c r="C656" s="1" t="str">
        <f>IF(ISBLANK('Aqueous Species Options'!C656), "", 'Aqueous Species Options'!C656)</f>
        <v/>
      </c>
      <c r="D656" s="1" t="str">
        <f>IF(ISBLANK('Aqueous Species Options'!D656), "", 'Aqueous Species Options'!D656)</f>
        <v/>
      </c>
      <c r="E656" s="1" t="str">
        <f>IF(ISBLANK('Aqueous Species Options'!E656), "", 'Aqueous Species Options'!E656)</f>
        <v/>
      </c>
      <c r="F656" s="139" t="str">
        <f>IF(ISBLANK('Aqueous Species Options'!F656), "", 'Aqueous Species Options'!F656)</f>
        <v/>
      </c>
      <c r="G656" s="29" t="str">
        <f>IF(ISBLANK('Aqueous Species Options'!B656), "", IF('Aqueous Species Options'!L656 = 1, IF(ISBLANK('Aqueous Species Options'!G656), "", 'Aqueous Species Options'!G656), ('Aqueous Species Table'!I656/10 + ('Aqueous Species Table'!J656*100)/(Calculations!$C$12+Calculations!$C$9) + ('Aqueous Species Table'!K656 + ('Aqueous Species Table'!L656*10000)/(Calculations!$C$12+Calculations!$C$9))*(1/(Calculations!$C$8-Calculations!$C$13)) - 'Aqueous Species Table'!O656*100000*0.0000005903)*41.8393))</f>
        <v/>
      </c>
      <c r="H656" s="29" t="str">
        <f>IF(ISBLANK('Aqueous Species Options'!B656), "", IF('Aqueous Species Options'!L656 = 1, IF(ISBLANK('Aqueous Species Options'!H656), "", 'Aqueous Species Options'!H656), 'Aqueous Species Table'!M656 + 'Aqueous Species Table'!N656*10000*(1/(Calculations!$C$8-Calculations!$C$13))^2 + 'Aqueous Species Table'!O656*100000*Calculations!$C$8*Calculations!$C$7))</f>
        <v/>
      </c>
      <c r="I656" s="1" t="str">
        <f>IF(ISBLANK('Aqueous Species Options'!B656), "", IF('Aqueous Species Options'!L656=0, 'Aqueous Species Options'!N656, IF(OR(ISBLANK('Aqueous Species Options'!G656),'Aqueous Species Table'!O656="", 'Aqueous Species Table'!P656=""), "", IF('Aqueous Species Options'!B656="H+", 0, (CHOOSE('Aqueous Species Options'!M656+1,'Aqueous Species Options'!$V$4*ABS('Aqueous Species Table'!P656)+'Aqueous Species Options'!$W$4,'Aqueous Species Options'!$Z$4)*('Aqueous Species Options'!G656 + 'Aqueous Species Table'!O656*100000*0.0000005903*41.8393) + CHOOSE('Aqueous Species Options'!M656+1,'Aqueous Species Options'!$X$4*ABS('Aqueous Species Table'!P656)+'Aqueous Species Options'!$Y$4,'Aqueous Species Options'!$AA$4))*10 ) ) ) )</f>
        <v/>
      </c>
      <c r="J656" s="1" t="str">
        <f>IF(ISBLANK('Aqueous Species Options'!B656), "", IF('Aqueous Species Options'!L656 = 0, 'Aqueous Species Options'!O656, IF('Aqueous Species Table'!I656="", "", IF('Aqueous Species Options'!B656="H+", 0, ((1.11*('Aqueous Species Options'!G656 + 'Aqueous Species Table'!O656*100000*0.0000005903*41.8393)+1.8)/41.8393 - 'Aqueous Species Table'!I656/10)*26.01 ) ) ) )</f>
        <v/>
      </c>
      <c r="K656" s="1" t="str">
        <f>IF(ISBLANK('Aqueous Species Options'!B656), "", IF('Aqueous Species Options'!L656 = 0, 'Aqueous Species Options'!P656, IF('Aqueous Species Table'!I656="", "", IF('Aqueous Species Options'!B656="H+", 0, ('Aqueous Species Options'!G656/41.8393 + 'Aqueous Species Table'!O656*100000*0.0000005903 - 'Aqueous Species Table'!I656/10 - 'Aqueous Species Table'!J656*100/2601)*(298.15-228) - ('Aqueous Species Table'!L656*10000/2601) ) ) ) )</f>
        <v/>
      </c>
      <c r="L656" s="1" t="str">
        <f>IF(ISBLANK('Aqueous Species Options'!B656), "", IF('Aqueous Species Options'!L656 = 0, 'Aqueous Species Options'!Q656, IF('Aqueous Species Table'!J656="", "", IF('Aqueous Species Options'!B656="H+", 0, (-4.134*'Aqueous Species Table'!J656*100 - 27790)*0.0001) ) ) )</f>
        <v/>
      </c>
      <c r="M656" s="1" t="str">
        <f>IF(ISBLANK('Aqueous Species Options'!B656), "", IF('Aqueous Species Options'!L656=0, 'Aqueous Species Options'!R656, IF('Aqueous Species Table'!N656="", "", IF('Aqueous Species Options'!B656="H+", 0, 'Aqueous Species Options'!H656 - 'Aqueous Species Table'!O656*100000*(-0.000000309)*298.15 - 'Aqueous Species Table'!N656*10000/(298.15-228)^2 ) ) ) )</f>
        <v/>
      </c>
      <c r="N656" s="1" t="str">
        <f>IF(ISBLANK('Aqueous Species Options'!B656), "", IF('Aqueous Species Options'!L656=0, 'Aqueous Species Options'!S656, IF(OR(ISBLANK('Aqueous Species Options'!H656), 'Aqueous Species Table'!O656=""), "", IF('Aqueous Species Options'!B656="H+", 0, 0.2037*'Aqueous Species Options'!H656 - 3.0346) ) ) )</f>
        <v/>
      </c>
      <c r="O656" s="1" t="str">
        <f>IF(ISBLANK('Aqueous Species Options'!B656), "", IF('Aqueous Species Options'!K656=0, 'Aqueous Species Options'!I656, IF(OR('Aqueous Species Options'!J656&gt;4,'Aqueous Species Options'!J656&lt;-4), "", IF('Aqueous Species Options'!B656="H+", 0, IF('Aqueous Species Options'!J656=0, -0.038, IF(ISBLANK('Aqueous Species Options'!F656), "", -1514.4*'Aqueous Species Options'!F656*0.00001 + SUM(({4,3,2,1,-1,-2,-3,-4}='Aqueous Species Options'!J656)*{2.1764,1.5793,1.0579,0.5517,1.6291,3.2127,4.8115,6.486}) ) ) ) ) ) )</f>
        <v/>
      </c>
      <c r="P656" s="1" t="str">
        <f>IF(ISBLANK('Aqueous Species Options'!J656), "", 'Aqueous Species Options'!J656)</f>
        <v/>
      </c>
      <c r="Q656" s="184" t="str">
        <f>IF(ISBLANK('Aqueous Species Options'!T656), "", 'Aqueous Species Options'!T656)</f>
        <v/>
      </c>
    </row>
    <row r="657" spans="2:17" ht="16" x14ac:dyDescent="0.2">
      <c r="B657" t="str">
        <f>IF(ISBLANK('Aqueous Species Options'!B657), "", 'Aqueous Species Options'!B657)</f>
        <v/>
      </c>
      <c r="C657" s="1" t="str">
        <f>IF(ISBLANK('Aqueous Species Options'!C657), "", 'Aqueous Species Options'!C657)</f>
        <v/>
      </c>
      <c r="D657" s="1" t="str">
        <f>IF(ISBLANK('Aqueous Species Options'!D657), "", 'Aqueous Species Options'!D657)</f>
        <v/>
      </c>
      <c r="E657" s="1" t="str">
        <f>IF(ISBLANK('Aqueous Species Options'!E657), "", 'Aqueous Species Options'!E657)</f>
        <v/>
      </c>
      <c r="F657" s="139" t="str">
        <f>IF(ISBLANK('Aqueous Species Options'!F657), "", 'Aqueous Species Options'!F657)</f>
        <v/>
      </c>
      <c r="G657" s="29" t="str">
        <f>IF(ISBLANK('Aqueous Species Options'!B657), "", IF('Aqueous Species Options'!L657 = 1, IF(ISBLANK('Aqueous Species Options'!G657), "", 'Aqueous Species Options'!G657), ('Aqueous Species Table'!I657/10 + ('Aqueous Species Table'!J657*100)/(Calculations!$C$12+Calculations!$C$9) + ('Aqueous Species Table'!K657 + ('Aqueous Species Table'!L657*10000)/(Calculations!$C$12+Calculations!$C$9))*(1/(Calculations!$C$8-Calculations!$C$13)) - 'Aqueous Species Table'!O657*100000*0.0000005903)*41.8393))</f>
        <v/>
      </c>
      <c r="H657" s="29" t="str">
        <f>IF(ISBLANK('Aqueous Species Options'!B657), "", IF('Aqueous Species Options'!L657 = 1, IF(ISBLANK('Aqueous Species Options'!H657), "", 'Aqueous Species Options'!H657), 'Aqueous Species Table'!M657 + 'Aqueous Species Table'!N657*10000*(1/(Calculations!$C$8-Calculations!$C$13))^2 + 'Aqueous Species Table'!O657*100000*Calculations!$C$8*Calculations!$C$7))</f>
        <v/>
      </c>
      <c r="I657" s="1" t="str">
        <f>IF(ISBLANK('Aqueous Species Options'!B657), "", IF('Aqueous Species Options'!L657=0, 'Aqueous Species Options'!N657, IF(OR(ISBLANK('Aqueous Species Options'!G657),'Aqueous Species Table'!O657="", 'Aqueous Species Table'!P657=""), "", IF('Aqueous Species Options'!B657="H+", 0, (CHOOSE('Aqueous Species Options'!M657+1,'Aqueous Species Options'!$V$4*ABS('Aqueous Species Table'!P657)+'Aqueous Species Options'!$W$4,'Aqueous Species Options'!$Z$4)*('Aqueous Species Options'!G657 + 'Aqueous Species Table'!O657*100000*0.0000005903*41.8393) + CHOOSE('Aqueous Species Options'!M657+1,'Aqueous Species Options'!$X$4*ABS('Aqueous Species Table'!P657)+'Aqueous Species Options'!$Y$4,'Aqueous Species Options'!$AA$4))*10 ) ) ) )</f>
        <v/>
      </c>
      <c r="J657" s="1" t="str">
        <f>IF(ISBLANK('Aqueous Species Options'!B657), "", IF('Aqueous Species Options'!L657 = 0, 'Aqueous Species Options'!O657, IF('Aqueous Species Table'!I657="", "", IF('Aqueous Species Options'!B657="H+", 0, ((1.11*('Aqueous Species Options'!G657 + 'Aqueous Species Table'!O657*100000*0.0000005903*41.8393)+1.8)/41.8393 - 'Aqueous Species Table'!I657/10)*26.01 ) ) ) )</f>
        <v/>
      </c>
      <c r="K657" s="1" t="str">
        <f>IF(ISBLANK('Aqueous Species Options'!B657), "", IF('Aqueous Species Options'!L657 = 0, 'Aqueous Species Options'!P657, IF('Aqueous Species Table'!I657="", "", IF('Aqueous Species Options'!B657="H+", 0, ('Aqueous Species Options'!G657/41.8393 + 'Aqueous Species Table'!O657*100000*0.0000005903 - 'Aqueous Species Table'!I657/10 - 'Aqueous Species Table'!J657*100/2601)*(298.15-228) - ('Aqueous Species Table'!L657*10000/2601) ) ) ) )</f>
        <v/>
      </c>
      <c r="L657" s="1" t="str">
        <f>IF(ISBLANK('Aqueous Species Options'!B657), "", IF('Aqueous Species Options'!L657 = 0, 'Aqueous Species Options'!Q657, IF('Aqueous Species Table'!J657="", "", IF('Aqueous Species Options'!B657="H+", 0, (-4.134*'Aqueous Species Table'!J657*100 - 27790)*0.0001) ) ) )</f>
        <v/>
      </c>
      <c r="M657" s="1" t="str">
        <f>IF(ISBLANK('Aqueous Species Options'!B657), "", IF('Aqueous Species Options'!L657=0, 'Aqueous Species Options'!R657, IF('Aqueous Species Table'!N657="", "", IF('Aqueous Species Options'!B657="H+", 0, 'Aqueous Species Options'!H657 - 'Aqueous Species Table'!O657*100000*(-0.000000309)*298.15 - 'Aqueous Species Table'!N657*10000/(298.15-228)^2 ) ) ) )</f>
        <v/>
      </c>
      <c r="N657" s="1" t="str">
        <f>IF(ISBLANK('Aqueous Species Options'!B657), "", IF('Aqueous Species Options'!L657=0, 'Aqueous Species Options'!S657, IF(OR(ISBLANK('Aqueous Species Options'!H657), 'Aqueous Species Table'!O657=""), "", IF('Aqueous Species Options'!B657="H+", 0, 0.2037*'Aqueous Species Options'!H657 - 3.0346) ) ) )</f>
        <v/>
      </c>
      <c r="O657" s="1" t="str">
        <f>IF(ISBLANK('Aqueous Species Options'!B657), "", IF('Aqueous Species Options'!K657=0, 'Aqueous Species Options'!I657, IF(OR('Aqueous Species Options'!J657&gt;4,'Aqueous Species Options'!J657&lt;-4), "", IF('Aqueous Species Options'!B657="H+", 0, IF('Aqueous Species Options'!J657=0, -0.038, IF(ISBLANK('Aqueous Species Options'!F657), "", -1514.4*'Aqueous Species Options'!F657*0.00001 + SUM(({4,3,2,1,-1,-2,-3,-4}='Aqueous Species Options'!J657)*{2.1764,1.5793,1.0579,0.5517,1.6291,3.2127,4.8115,6.486}) ) ) ) ) ) )</f>
        <v/>
      </c>
      <c r="P657" s="1" t="str">
        <f>IF(ISBLANK('Aqueous Species Options'!J657), "", 'Aqueous Species Options'!J657)</f>
        <v/>
      </c>
      <c r="Q657" s="184" t="str">
        <f>IF(ISBLANK('Aqueous Species Options'!T657), "", 'Aqueous Species Options'!T657)</f>
        <v/>
      </c>
    </row>
    <row r="658" spans="2:17" ht="16" x14ac:dyDescent="0.2">
      <c r="B658" t="str">
        <f>IF(ISBLANK('Aqueous Species Options'!B658), "", 'Aqueous Species Options'!B658)</f>
        <v/>
      </c>
      <c r="C658" s="1" t="str">
        <f>IF(ISBLANK('Aqueous Species Options'!C658), "", 'Aqueous Species Options'!C658)</f>
        <v/>
      </c>
      <c r="D658" s="1" t="str">
        <f>IF(ISBLANK('Aqueous Species Options'!D658), "", 'Aqueous Species Options'!D658)</f>
        <v/>
      </c>
      <c r="E658" s="1" t="str">
        <f>IF(ISBLANK('Aqueous Species Options'!E658), "", 'Aqueous Species Options'!E658)</f>
        <v/>
      </c>
      <c r="F658" s="139" t="str">
        <f>IF(ISBLANK('Aqueous Species Options'!F658), "", 'Aqueous Species Options'!F658)</f>
        <v/>
      </c>
      <c r="G658" s="29" t="str">
        <f>IF(ISBLANK('Aqueous Species Options'!B658), "", IF('Aqueous Species Options'!L658 = 1, IF(ISBLANK('Aqueous Species Options'!G658), "", 'Aqueous Species Options'!G658), ('Aqueous Species Table'!I658/10 + ('Aqueous Species Table'!J658*100)/(Calculations!$C$12+Calculations!$C$9) + ('Aqueous Species Table'!K658 + ('Aqueous Species Table'!L658*10000)/(Calculations!$C$12+Calculations!$C$9))*(1/(Calculations!$C$8-Calculations!$C$13)) - 'Aqueous Species Table'!O658*100000*0.0000005903)*41.8393))</f>
        <v/>
      </c>
      <c r="H658" s="29" t="str">
        <f>IF(ISBLANK('Aqueous Species Options'!B658), "", IF('Aqueous Species Options'!L658 = 1, IF(ISBLANK('Aqueous Species Options'!H658), "", 'Aqueous Species Options'!H658), 'Aqueous Species Table'!M658 + 'Aqueous Species Table'!N658*10000*(1/(Calculations!$C$8-Calculations!$C$13))^2 + 'Aqueous Species Table'!O658*100000*Calculations!$C$8*Calculations!$C$7))</f>
        <v/>
      </c>
      <c r="I658" s="1" t="str">
        <f>IF(ISBLANK('Aqueous Species Options'!B658), "", IF('Aqueous Species Options'!L658=0, 'Aqueous Species Options'!N658, IF(OR(ISBLANK('Aqueous Species Options'!G658),'Aqueous Species Table'!O658="", 'Aqueous Species Table'!P658=""), "", IF('Aqueous Species Options'!B658="H+", 0, (CHOOSE('Aqueous Species Options'!M658+1,'Aqueous Species Options'!$V$4*ABS('Aqueous Species Table'!P658)+'Aqueous Species Options'!$W$4,'Aqueous Species Options'!$Z$4)*('Aqueous Species Options'!G658 + 'Aqueous Species Table'!O658*100000*0.0000005903*41.8393) + CHOOSE('Aqueous Species Options'!M658+1,'Aqueous Species Options'!$X$4*ABS('Aqueous Species Table'!P658)+'Aqueous Species Options'!$Y$4,'Aqueous Species Options'!$AA$4))*10 ) ) ) )</f>
        <v/>
      </c>
      <c r="J658" s="1" t="str">
        <f>IF(ISBLANK('Aqueous Species Options'!B658), "", IF('Aqueous Species Options'!L658 = 0, 'Aqueous Species Options'!O658, IF('Aqueous Species Table'!I658="", "", IF('Aqueous Species Options'!B658="H+", 0, ((1.11*('Aqueous Species Options'!G658 + 'Aqueous Species Table'!O658*100000*0.0000005903*41.8393)+1.8)/41.8393 - 'Aqueous Species Table'!I658/10)*26.01 ) ) ) )</f>
        <v/>
      </c>
      <c r="K658" s="1" t="str">
        <f>IF(ISBLANK('Aqueous Species Options'!B658), "", IF('Aqueous Species Options'!L658 = 0, 'Aqueous Species Options'!P658, IF('Aqueous Species Table'!I658="", "", IF('Aqueous Species Options'!B658="H+", 0, ('Aqueous Species Options'!G658/41.8393 + 'Aqueous Species Table'!O658*100000*0.0000005903 - 'Aqueous Species Table'!I658/10 - 'Aqueous Species Table'!J658*100/2601)*(298.15-228) - ('Aqueous Species Table'!L658*10000/2601) ) ) ) )</f>
        <v/>
      </c>
      <c r="L658" s="1" t="str">
        <f>IF(ISBLANK('Aqueous Species Options'!B658), "", IF('Aqueous Species Options'!L658 = 0, 'Aqueous Species Options'!Q658, IF('Aqueous Species Table'!J658="", "", IF('Aqueous Species Options'!B658="H+", 0, (-4.134*'Aqueous Species Table'!J658*100 - 27790)*0.0001) ) ) )</f>
        <v/>
      </c>
      <c r="M658" s="1" t="str">
        <f>IF(ISBLANK('Aqueous Species Options'!B658), "", IF('Aqueous Species Options'!L658=0, 'Aqueous Species Options'!R658, IF('Aqueous Species Table'!N658="", "", IF('Aqueous Species Options'!B658="H+", 0, 'Aqueous Species Options'!H658 - 'Aqueous Species Table'!O658*100000*(-0.000000309)*298.15 - 'Aqueous Species Table'!N658*10000/(298.15-228)^2 ) ) ) )</f>
        <v/>
      </c>
      <c r="N658" s="1" t="str">
        <f>IF(ISBLANK('Aqueous Species Options'!B658), "", IF('Aqueous Species Options'!L658=0, 'Aqueous Species Options'!S658, IF(OR(ISBLANK('Aqueous Species Options'!H658), 'Aqueous Species Table'!O658=""), "", IF('Aqueous Species Options'!B658="H+", 0, 0.2037*'Aqueous Species Options'!H658 - 3.0346) ) ) )</f>
        <v/>
      </c>
      <c r="O658" s="1" t="str">
        <f>IF(ISBLANK('Aqueous Species Options'!B658), "", IF('Aqueous Species Options'!K658=0, 'Aqueous Species Options'!I658, IF(OR('Aqueous Species Options'!J658&gt;4,'Aqueous Species Options'!J658&lt;-4), "", IF('Aqueous Species Options'!B658="H+", 0, IF('Aqueous Species Options'!J658=0, -0.038, IF(ISBLANK('Aqueous Species Options'!F658), "", -1514.4*'Aqueous Species Options'!F658*0.00001 + SUM(({4,3,2,1,-1,-2,-3,-4}='Aqueous Species Options'!J658)*{2.1764,1.5793,1.0579,0.5517,1.6291,3.2127,4.8115,6.486}) ) ) ) ) ) )</f>
        <v/>
      </c>
      <c r="P658" s="1" t="str">
        <f>IF(ISBLANK('Aqueous Species Options'!J658), "", 'Aqueous Species Options'!J658)</f>
        <v/>
      </c>
      <c r="Q658" s="184" t="str">
        <f>IF(ISBLANK('Aqueous Species Options'!T658), "", 'Aqueous Species Options'!T658)</f>
        <v/>
      </c>
    </row>
    <row r="659" spans="2:17" ht="16" x14ac:dyDescent="0.2">
      <c r="B659" t="str">
        <f>IF(ISBLANK('Aqueous Species Options'!B659), "", 'Aqueous Species Options'!B659)</f>
        <v/>
      </c>
      <c r="C659" s="1" t="str">
        <f>IF(ISBLANK('Aqueous Species Options'!C659), "", 'Aqueous Species Options'!C659)</f>
        <v/>
      </c>
      <c r="D659" s="1" t="str">
        <f>IF(ISBLANK('Aqueous Species Options'!D659), "", 'Aqueous Species Options'!D659)</f>
        <v/>
      </c>
      <c r="E659" s="1" t="str">
        <f>IF(ISBLANK('Aqueous Species Options'!E659), "", 'Aqueous Species Options'!E659)</f>
        <v/>
      </c>
      <c r="F659" s="139" t="str">
        <f>IF(ISBLANK('Aqueous Species Options'!F659), "", 'Aqueous Species Options'!F659)</f>
        <v/>
      </c>
      <c r="G659" s="29" t="str">
        <f>IF(ISBLANK('Aqueous Species Options'!B659), "", IF('Aqueous Species Options'!L659 = 1, IF(ISBLANK('Aqueous Species Options'!G659), "", 'Aqueous Species Options'!G659), ('Aqueous Species Table'!I659/10 + ('Aqueous Species Table'!J659*100)/(Calculations!$C$12+Calculations!$C$9) + ('Aqueous Species Table'!K659 + ('Aqueous Species Table'!L659*10000)/(Calculations!$C$12+Calculations!$C$9))*(1/(Calculations!$C$8-Calculations!$C$13)) - 'Aqueous Species Table'!O659*100000*0.0000005903)*41.8393))</f>
        <v/>
      </c>
      <c r="H659" s="29" t="str">
        <f>IF(ISBLANK('Aqueous Species Options'!B659), "", IF('Aqueous Species Options'!L659 = 1, IF(ISBLANK('Aqueous Species Options'!H659), "", 'Aqueous Species Options'!H659), 'Aqueous Species Table'!M659 + 'Aqueous Species Table'!N659*10000*(1/(Calculations!$C$8-Calculations!$C$13))^2 + 'Aqueous Species Table'!O659*100000*Calculations!$C$8*Calculations!$C$7))</f>
        <v/>
      </c>
      <c r="I659" s="1" t="str">
        <f>IF(ISBLANK('Aqueous Species Options'!B659), "", IF('Aqueous Species Options'!L659=0, 'Aqueous Species Options'!N659, IF(OR(ISBLANK('Aqueous Species Options'!G659),'Aqueous Species Table'!O659="", 'Aqueous Species Table'!P659=""), "", IF('Aqueous Species Options'!B659="H+", 0, (CHOOSE('Aqueous Species Options'!M659+1,'Aqueous Species Options'!$V$4*ABS('Aqueous Species Table'!P659)+'Aqueous Species Options'!$W$4,'Aqueous Species Options'!$Z$4)*('Aqueous Species Options'!G659 + 'Aqueous Species Table'!O659*100000*0.0000005903*41.8393) + CHOOSE('Aqueous Species Options'!M659+1,'Aqueous Species Options'!$X$4*ABS('Aqueous Species Table'!P659)+'Aqueous Species Options'!$Y$4,'Aqueous Species Options'!$AA$4))*10 ) ) ) )</f>
        <v/>
      </c>
      <c r="J659" s="1" t="str">
        <f>IF(ISBLANK('Aqueous Species Options'!B659), "", IF('Aqueous Species Options'!L659 = 0, 'Aqueous Species Options'!O659, IF('Aqueous Species Table'!I659="", "", IF('Aqueous Species Options'!B659="H+", 0, ((1.11*('Aqueous Species Options'!G659 + 'Aqueous Species Table'!O659*100000*0.0000005903*41.8393)+1.8)/41.8393 - 'Aqueous Species Table'!I659/10)*26.01 ) ) ) )</f>
        <v/>
      </c>
      <c r="K659" s="1" t="str">
        <f>IF(ISBLANK('Aqueous Species Options'!B659), "", IF('Aqueous Species Options'!L659 = 0, 'Aqueous Species Options'!P659, IF('Aqueous Species Table'!I659="", "", IF('Aqueous Species Options'!B659="H+", 0, ('Aqueous Species Options'!G659/41.8393 + 'Aqueous Species Table'!O659*100000*0.0000005903 - 'Aqueous Species Table'!I659/10 - 'Aqueous Species Table'!J659*100/2601)*(298.15-228) - ('Aqueous Species Table'!L659*10000/2601) ) ) ) )</f>
        <v/>
      </c>
      <c r="L659" s="1" t="str">
        <f>IF(ISBLANK('Aqueous Species Options'!B659), "", IF('Aqueous Species Options'!L659 = 0, 'Aqueous Species Options'!Q659, IF('Aqueous Species Table'!J659="", "", IF('Aqueous Species Options'!B659="H+", 0, (-4.134*'Aqueous Species Table'!J659*100 - 27790)*0.0001) ) ) )</f>
        <v/>
      </c>
      <c r="M659" s="1" t="str">
        <f>IF(ISBLANK('Aqueous Species Options'!B659), "", IF('Aqueous Species Options'!L659=0, 'Aqueous Species Options'!R659, IF('Aqueous Species Table'!N659="", "", IF('Aqueous Species Options'!B659="H+", 0, 'Aqueous Species Options'!H659 - 'Aqueous Species Table'!O659*100000*(-0.000000309)*298.15 - 'Aqueous Species Table'!N659*10000/(298.15-228)^2 ) ) ) )</f>
        <v/>
      </c>
      <c r="N659" s="1" t="str">
        <f>IF(ISBLANK('Aqueous Species Options'!B659), "", IF('Aqueous Species Options'!L659=0, 'Aqueous Species Options'!S659, IF(OR(ISBLANK('Aqueous Species Options'!H659), 'Aqueous Species Table'!O659=""), "", IF('Aqueous Species Options'!B659="H+", 0, 0.2037*'Aqueous Species Options'!H659 - 3.0346) ) ) )</f>
        <v/>
      </c>
      <c r="O659" s="1" t="str">
        <f>IF(ISBLANK('Aqueous Species Options'!B659), "", IF('Aqueous Species Options'!K659=0, 'Aqueous Species Options'!I659, IF(OR('Aqueous Species Options'!J659&gt;4,'Aqueous Species Options'!J659&lt;-4), "", IF('Aqueous Species Options'!B659="H+", 0, IF('Aqueous Species Options'!J659=0, -0.038, IF(ISBLANK('Aqueous Species Options'!F659), "", -1514.4*'Aqueous Species Options'!F659*0.00001 + SUM(({4,3,2,1,-1,-2,-3,-4}='Aqueous Species Options'!J659)*{2.1764,1.5793,1.0579,0.5517,1.6291,3.2127,4.8115,6.486}) ) ) ) ) ) )</f>
        <v/>
      </c>
      <c r="P659" s="1" t="str">
        <f>IF(ISBLANK('Aqueous Species Options'!J659), "", 'Aqueous Species Options'!J659)</f>
        <v/>
      </c>
      <c r="Q659" s="184" t="str">
        <f>IF(ISBLANK('Aqueous Species Options'!T659), "", 'Aqueous Species Options'!T659)</f>
        <v/>
      </c>
    </row>
    <row r="660" spans="2:17" ht="16" x14ac:dyDescent="0.2">
      <c r="B660" t="str">
        <f>IF(ISBLANK('Aqueous Species Options'!B660), "", 'Aqueous Species Options'!B660)</f>
        <v/>
      </c>
      <c r="C660" s="1" t="str">
        <f>IF(ISBLANK('Aqueous Species Options'!C660), "", 'Aqueous Species Options'!C660)</f>
        <v/>
      </c>
      <c r="D660" s="1" t="str">
        <f>IF(ISBLANK('Aqueous Species Options'!D660), "", 'Aqueous Species Options'!D660)</f>
        <v/>
      </c>
      <c r="E660" s="1" t="str">
        <f>IF(ISBLANK('Aqueous Species Options'!E660), "", 'Aqueous Species Options'!E660)</f>
        <v/>
      </c>
      <c r="F660" s="139" t="str">
        <f>IF(ISBLANK('Aqueous Species Options'!F660), "", 'Aqueous Species Options'!F660)</f>
        <v/>
      </c>
      <c r="G660" s="29" t="str">
        <f>IF(ISBLANK('Aqueous Species Options'!B660), "", IF('Aqueous Species Options'!L660 = 1, IF(ISBLANK('Aqueous Species Options'!G660), "", 'Aqueous Species Options'!G660), ('Aqueous Species Table'!I660/10 + ('Aqueous Species Table'!J660*100)/(Calculations!$C$12+Calculations!$C$9) + ('Aqueous Species Table'!K660 + ('Aqueous Species Table'!L660*10000)/(Calculations!$C$12+Calculations!$C$9))*(1/(Calculations!$C$8-Calculations!$C$13)) - 'Aqueous Species Table'!O660*100000*0.0000005903)*41.8393))</f>
        <v/>
      </c>
      <c r="H660" s="29" t="str">
        <f>IF(ISBLANK('Aqueous Species Options'!B660), "", IF('Aqueous Species Options'!L660 = 1, IF(ISBLANK('Aqueous Species Options'!H660), "", 'Aqueous Species Options'!H660), 'Aqueous Species Table'!M660 + 'Aqueous Species Table'!N660*10000*(1/(Calculations!$C$8-Calculations!$C$13))^2 + 'Aqueous Species Table'!O660*100000*Calculations!$C$8*Calculations!$C$7))</f>
        <v/>
      </c>
      <c r="I660" s="1" t="str">
        <f>IF(ISBLANK('Aqueous Species Options'!B660), "", IF('Aqueous Species Options'!L660=0, 'Aqueous Species Options'!N660, IF(OR(ISBLANK('Aqueous Species Options'!G660),'Aqueous Species Table'!O660="", 'Aqueous Species Table'!P660=""), "", IF('Aqueous Species Options'!B660="H+", 0, (CHOOSE('Aqueous Species Options'!M660+1,'Aqueous Species Options'!$V$4*ABS('Aqueous Species Table'!P660)+'Aqueous Species Options'!$W$4,'Aqueous Species Options'!$Z$4)*('Aqueous Species Options'!G660 + 'Aqueous Species Table'!O660*100000*0.0000005903*41.8393) + CHOOSE('Aqueous Species Options'!M660+1,'Aqueous Species Options'!$X$4*ABS('Aqueous Species Table'!P660)+'Aqueous Species Options'!$Y$4,'Aqueous Species Options'!$AA$4))*10 ) ) ) )</f>
        <v/>
      </c>
      <c r="J660" s="1" t="str">
        <f>IF(ISBLANK('Aqueous Species Options'!B660), "", IF('Aqueous Species Options'!L660 = 0, 'Aqueous Species Options'!O660, IF('Aqueous Species Table'!I660="", "", IF('Aqueous Species Options'!B660="H+", 0, ((1.11*('Aqueous Species Options'!G660 + 'Aqueous Species Table'!O660*100000*0.0000005903*41.8393)+1.8)/41.8393 - 'Aqueous Species Table'!I660/10)*26.01 ) ) ) )</f>
        <v/>
      </c>
      <c r="K660" s="1" t="str">
        <f>IF(ISBLANK('Aqueous Species Options'!B660), "", IF('Aqueous Species Options'!L660 = 0, 'Aqueous Species Options'!P660, IF('Aqueous Species Table'!I660="", "", IF('Aqueous Species Options'!B660="H+", 0, ('Aqueous Species Options'!G660/41.8393 + 'Aqueous Species Table'!O660*100000*0.0000005903 - 'Aqueous Species Table'!I660/10 - 'Aqueous Species Table'!J660*100/2601)*(298.15-228) - ('Aqueous Species Table'!L660*10000/2601) ) ) ) )</f>
        <v/>
      </c>
      <c r="L660" s="1" t="str">
        <f>IF(ISBLANK('Aqueous Species Options'!B660), "", IF('Aqueous Species Options'!L660 = 0, 'Aqueous Species Options'!Q660, IF('Aqueous Species Table'!J660="", "", IF('Aqueous Species Options'!B660="H+", 0, (-4.134*'Aqueous Species Table'!J660*100 - 27790)*0.0001) ) ) )</f>
        <v/>
      </c>
      <c r="M660" s="1" t="str">
        <f>IF(ISBLANK('Aqueous Species Options'!B660), "", IF('Aqueous Species Options'!L660=0, 'Aqueous Species Options'!R660, IF('Aqueous Species Table'!N660="", "", IF('Aqueous Species Options'!B660="H+", 0, 'Aqueous Species Options'!H660 - 'Aqueous Species Table'!O660*100000*(-0.000000309)*298.15 - 'Aqueous Species Table'!N660*10000/(298.15-228)^2 ) ) ) )</f>
        <v/>
      </c>
      <c r="N660" s="1" t="str">
        <f>IF(ISBLANK('Aqueous Species Options'!B660), "", IF('Aqueous Species Options'!L660=0, 'Aqueous Species Options'!S660, IF(OR(ISBLANK('Aqueous Species Options'!H660), 'Aqueous Species Table'!O660=""), "", IF('Aqueous Species Options'!B660="H+", 0, 0.2037*'Aqueous Species Options'!H660 - 3.0346) ) ) )</f>
        <v/>
      </c>
      <c r="O660" s="1" t="str">
        <f>IF(ISBLANK('Aqueous Species Options'!B660), "", IF('Aqueous Species Options'!K660=0, 'Aqueous Species Options'!I660, IF(OR('Aqueous Species Options'!J660&gt;4,'Aqueous Species Options'!J660&lt;-4), "", IF('Aqueous Species Options'!B660="H+", 0, IF('Aqueous Species Options'!J660=0, -0.038, IF(ISBLANK('Aqueous Species Options'!F660), "", -1514.4*'Aqueous Species Options'!F660*0.00001 + SUM(({4,3,2,1,-1,-2,-3,-4}='Aqueous Species Options'!J660)*{2.1764,1.5793,1.0579,0.5517,1.6291,3.2127,4.8115,6.486}) ) ) ) ) ) )</f>
        <v/>
      </c>
      <c r="P660" s="1" t="str">
        <f>IF(ISBLANK('Aqueous Species Options'!J660), "", 'Aqueous Species Options'!J660)</f>
        <v/>
      </c>
      <c r="Q660" s="184" t="str">
        <f>IF(ISBLANK('Aqueous Species Options'!T660), "", 'Aqueous Species Options'!T660)</f>
        <v/>
      </c>
    </row>
    <row r="661" spans="2:17" ht="16" x14ac:dyDescent="0.2">
      <c r="B661" t="str">
        <f>IF(ISBLANK('Aqueous Species Options'!B661), "", 'Aqueous Species Options'!B661)</f>
        <v/>
      </c>
      <c r="C661" s="1" t="str">
        <f>IF(ISBLANK('Aqueous Species Options'!C661), "", 'Aqueous Species Options'!C661)</f>
        <v/>
      </c>
      <c r="D661" s="1" t="str">
        <f>IF(ISBLANK('Aqueous Species Options'!D661), "", 'Aqueous Species Options'!D661)</f>
        <v/>
      </c>
      <c r="E661" s="1" t="str">
        <f>IF(ISBLANK('Aqueous Species Options'!E661), "", 'Aqueous Species Options'!E661)</f>
        <v/>
      </c>
      <c r="F661" s="139" t="str">
        <f>IF(ISBLANK('Aqueous Species Options'!F661), "", 'Aqueous Species Options'!F661)</f>
        <v/>
      </c>
      <c r="G661" s="29" t="str">
        <f>IF(ISBLANK('Aqueous Species Options'!B661), "", IF('Aqueous Species Options'!L661 = 1, IF(ISBLANK('Aqueous Species Options'!G661), "", 'Aqueous Species Options'!G661), ('Aqueous Species Table'!I661/10 + ('Aqueous Species Table'!J661*100)/(Calculations!$C$12+Calculations!$C$9) + ('Aqueous Species Table'!K661 + ('Aqueous Species Table'!L661*10000)/(Calculations!$C$12+Calculations!$C$9))*(1/(Calculations!$C$8-Calculations!$C$13)) - 'Aqueous Species Table'!O661*100000*0.0000005903)*41.8393))</f>
        <v/>
      </c>
      <c r="H661" s="29" t="str">
        <f>IF(ISBLANK('Aqueous Species Options'!B661), "", IF('Aqueous Species Options'!L661 = 1, IF(ISBLANK('Aqueous Species Options'!H661), "", 'Aqueous Species Options'!H661), 'Aqueous Species Table'!M661 + 'Aqueous Species Table'!N661*10000*(1/(Calculations!$C$8-Calculations!$C$13))^2 + 'Aqueous Species Table'!O661*100000*Calculations!$C$8*Calculations!$C$7))</f>
        <v/>
      </c>
      <c r="I661" s="1" t="str">
        <f>IF(ISBLANK('Aqueous Species Options'!B661), "", IF('Aqueous Species Options'!L661=0, 'Aqueous Species Options'!N661, IF(OR(ISBLANK('Aqueous Species Options'!G661),'Aqueous Species Table'!O661="", 'Aqueous Species Table'!P661=""), "", IF('Aqueous Species Options'!B661="H+", 0, (CHOOSE('Aqueous Species Options'!M661+1,'Aqueous Species Options'!$V$4*ABS('Aqueous Species Table'!P661)+'Aqueous Species Options'!$W$4,'Aqueous Species Options'!$Z$4)*('Aqueous Species Options'!G661 + 'Aqueous Species Table'!O661*100000*0.0000005903*41.8393) + CHOOSE('Aqueous Species Options'!M661+1,'Aqueous Species Options'!$X$4*ABS('Aqueous Species Table'!P661)+'Aqueous Species Options'!$Y$4,'Aqueous Species Options'!$AA$4))*10 ) ) ) )</f>
        <v/>
      </c>
      <c r="J661" s="1" t="str">
        <f>IF(ISBLANK('Aqueous Species Options'!B661), "", IF('Aqueous Species Options'!L661 = 0, 'Aqueous Species Options'!O661, IF('Aqueous Species Table'!I661="", "", IF('Aqueous Species Options'!B661="H+", 0, ((1.11*('Aqueous Species Options'!G661 + 'Aqueous Species Table'!O661*100000*0.0000005903*41.8393)+1.8)/41.8393 - 'Aqueous Species Table'!I661/10)*26.01 ) ) ) )</f>
        <v/>
      </c>
      <c r="K661" s="1" t="str">
        <f>IF(ISBLANK('Aqueous Species Options'!B661), "", IF('Aqueous Species Options'!L661 = 0, 'Aqueous Species Options'!P661, IF('Aqueous Species Table'!I661="", "", IF('Aqueous Species Options'!B661="H+", 0, ('Aqueous Species Options'!G661/41.8393 + 'Aqueous Species Table'!O661*100000*0.0000005903 - 'Aqueous Species Table'!I661/10 - 'Aqueous Species Table'!J661*100/2601)*(298.15-228) - ('Aqueous Species Table'!L661*10000/2601) ) ) ) )</f>
        <v/>
      </c>
      <c r="L661" s="1" t="str">
        <f>IF(ISBLANK('Aqueous Species Options'!B661), "", IF('Aqueous Species Options'!L661 = 0, 'Aqueous Species Options'!Q661, IF('Aqueous Species Table'!J661="", "", IF('Aqueous Species Options'!B661="H+", 0, (-4.134*'Aqueous Species Table'!J661*100 - 27790)*0.0001) ) ) )</f>
        <v/>
      </c>
      <c r="M661" s="1" t="str">
        <f>IF(ISBLANK('Aqueous Species Options'!B661), "", IF('Aqueous Species Options'!L661=0, 'Aqueous Species Options'!R661, IF('Aqueous Species Table'!N661="", "", IF('Aqueous Species Options'!B661="H+", 0, 'Aqueous Species Options'!H661 - 'Aqueous Species Table'!O661*100000*(-0.000000309)*298.15 - 'Aqueous Species Table'!N661*10000/(298.15-228)^2 ) ) ) )</f>
        <v/>
      </c>
      <c r="N661" s="1" t="str">
        <f>IF(ISBLANK('Aqueous Species Options'!B661), "", IF('Aqueous Species Options'!L661=0, 'Aqueous Species Options'!S661, IF(OR(ISBLANK('Aqueous Species Options'!H661), 'Aqueous Species Table'!O661=""), "", IF('Aqueous Species Options'!B661="H+", 0, 0.2037*'Aqueous Species Options'!H661 - 3.0346) ) ) )</f>
        <v/>
      </c>
      <c r="O661" s="1" t="str">
        <f>IF(ISBLANK('Aqueous Species Options'!B661), "", IF('Aqueous Species Options'!K661=0, 'Aqueous Species Options'!I661, IF(OR('Aqueous Species Options'!J661&gt;4,'Aqueous Species Options'!J661&lt;-4), "", IF('Aqueous Species Options'!B661="H+", 0, IF('Aqueous Species Options'!J661=0, -0.038, IF(ISBLANK('Aqueous Species Options'!F661), "", -1514.4*'Aqueous Species Options'!F661*0.00001 + SUM(({4,3,2,1,-1,-2,-3,-4}='Aqueous Species Options'!J661)*{2.1764,1.5793,1.0579,0.5517,1.6291,3.2127,4.8115,6.486}) ) ) ) ) ) )</f>
        <v/>
      </c>
      <c r="P661" s="1" t="str">
        <f>IF(ISBLANK('Aqueous Species Options'!J661), "", 'Aqueous Species Options'!J661)</f>
        <v/>
      </c>
      <c r="Q661" s="184" t="str">
        <f>IF(ISBLANK('Aqueous Species Options'!T661), "", 'Aqueous Species Options'!T661)</f>
        <v/>
      </c>
    </row>
    <row r="662" spans="2:17" ht="16" x14ac:dyDescent="0.2">
      <c r="B662" t="str">
        <f>IF(ISBLANK('Aqueous Species Options'!B662), "", 'Aqueous Species Options'!B662)</f>
        <v/>
      </c>
      <c r="C662" s="1" t="str">
        <f>IF(ISBLANK('Aqueous Species Options'!C662), "", 'Aqueous Species Options'!C662)</f>
        <v/>
      </c>
      <c r="D662" s="1" t="str">
        <f>IF(ISBLANK('Aqueous Species Options'!D662), "", 'Aqueous Species Options'!D662)</f>
        <v/>
      </c>
      <c r="E662" s="1" t="str">
        <f>IF(ISBLANK('Aqueous Species Options'!E662), "", 'Aqueous Species Options'!E662)</f>
        <v/>
      </c>
      <c r="F662" s="139" t="str">
        <f>IF(ISBLANK('Aqueous Species Options'!F662), "", 'Aqueous Species Options'!F662)</f>
        <v/>
      </c>
      <c r="G662" s="29" t="str">
        <f>IF(ISBLANK('Aqueous Species Options'!B662), "", IF('Aqueous Species Options'!L662 = 1, IF(ISBLANK('Aqueous Species Options'!G662), "", 'Aqueous Species Options'!G662), ('Aqueous Species Table'!I662/10 + ('Aqueous Species Table'!J662*100)/(Calculations!$C$12+Calculations!$C$9) + ('Aqueous Species Table'!K662 + ('Aqueous Species Table'!L662*10000)/(Calculations!$C$12+Calculations!$C$9))*(1/(Calculations!$C$8-Calculations!$C$13)) - 'Aqueous Species Table'!O662*100000*0.0000005903)*41.8393))</f>
        <v/>
      </c>
      <c r="H662" s="29" t="str">
        <f>IF(ISBLANK('Aqueous Species Options'!B662), "", IF('Aqueous Species Options'!L662 = 1, IF(ISBLANK('Aqueous Species Options'!H662), "", 'Aqueous Species Options'!H662), 'Aqueous Species Table'!M662 + 'Aqueous Species Table'!N662*10000*(1/(Calculations!$C$8-Calculations!$C$13))^2 + 'Aqueous Species Table'!O662*100000*Calculations!$C$8*Calculations!$C$7))</f>
        <v/>
      </c>
      <c r="I662" s="1" t="str">
        <f>IF(ISBLANK('Aqueous Species Options'!B662), "", IF('Aqueous Species Options'!L662=0, 'Aqueous Species Options'!N662, IF(OR(ISBLANK('Aqueous Species Options'!G662),'Aqueous Species Table'!O662="", 'Aqueous Species Table'!P662=""), "", IF('Aqueous Species Options'!B662="H+", 0, (CHOOSE('Aqueous Species Options'!M662+1,'Aqueous Species Options'!$V$4*ABS('Aqueous Species Table'!P662)+'Aqueous Species Options'!$W$4,'Aqueous Species Options'!$Z$4)*('Aqueous Species Options'!G662 + 'Aqueous Species Table'!O662*100000*0.0000005903*41.8393) + CHOOSE('Aqueous Species Options'!M662+1,'Aqueous Species Options'!$X$4*ABS('Aqueous Species Table'!P662)+'Aqueous Species Options'!$Y$4,'Aqueous Species Options'!$AA$4))*10 ) ) ) )</f>
        <v/>
      </c>
      <c r="J662" s="1" t="str">
        <f>IF(ISBLANK('Aqueous Species Options'!B662), "", IF('Aqueous Species Options'!L662 = 0, 'Aqueous Species Options'!O662, IF('Aqueous Species Table'!I662="", "", IF('Aqueous Species Options'!B662="H+", 0, ((1.11*('Aqueous Species Options'!G662 + 'Aqueous Species Table'!O662*100000*0.0000005903*41.8393)+1.8)/41.8393 - 'Aqueous Species Table'!I662/10)*26.01 ) ) ) )</f>
        <v/>
      </c>
      <c r="K662" s="1" t="str">
        <f>IF(ISBLANK('Aqueous Species Options'!B662), "", IF('Aqueous Species Options'!L662 = 0, 'Aqueous Species Options'!P662, IF('Aqueous Species Table'!I662="", "", IF('Aqueous Species Options'!B662="H+", 0, ('Aqueous Species Options'!G662/41.8393 + 'Aqueous Species Table'!O662*100000*0.0000005903 - 'Aqueous Species Table'!I662/10 - 'Aqueous Species Table'!J662*100/2601)*(298.15-228) - ('Aqueous Species Table'!L662*10000/2601) ) ) ) )</f>
        <v/>
      </c>
      <c r="L662" s="1" t="str">
        <f>IF(ISBLANK('Aqueous Species Options'!B662), "", IF('Aqueous Species Options'!L662 = 0, 'Aqueous Species Options'!Q662, IF('Aqueous Species Table'!J662="", "", IF('Aqueous Species Options'!B662="H+", 0, (-4.134*'Aqueous Species Table'!J662*100 - 27790)*0.0001) ) ) )</f>
        <v/>
      </c>
      <c r="M662" s="1" t="str">
        <f>IF(ISBLANK('Aqueous Species Options'!B662), "", IF('Aqueous Species Options'!L662=0, 'Aqueous Species Options'!R662, IF('Aqueous Species Table'!N662="", "", IF('Aqueous Species Options'!B662="H+", 0, 'Aqueous Species Options'!H662 - 'Aqueous Species Table'!O662*100000*(-0.000000309)*298.15 - 'Aqueous Species Table'!N662*10000/(298.15-228)^2 ) ) ) )</f>
        <v/>
      </c>
      <c r="N662" s="1" t="str">
        <f>IF(ISBLANK('Aqueous Species Options'!B662), "", IF('Aqueous Species Options'!L662=0, 'Aqueous Species Options'!S662, IF(OR(ISBLANK('Aqueous Species Options'!H662), 'Aqueous Species Table'!O662=""), "", IF('Aqueous Species Options'!B662="H+", 0, 0.2037*'Aqueous Species Options'!H662 - 3.0346) ) ) )</f>
        <v/>
      </c>
      <c r="O662" s="1" t="str">
        <f>IF(ISBLANK('Aqueous Species Options'!B662), "", IF('Aqueous Species Options'!K662=0, 'Aqueous Species Options'!I662, IF(OR('Aqueous Species Options'!J662&gt;4,'Aqueous Species Options'!J662&lt;-4), "", IF('Aqueous Species Options'!B662="H+", 0, IF('Aqueous Species Options'!J662=0, -0.038, IF(ISBLANK('Aqueous Species Options'!F662), "", -1514.4*'Aqueous Species Options'!F662*0.00001 + SUM(({4,3,2,1,-1,-2,-3,-4}='Aqueous Species Options'!J662)*{2.1764,1.5793,1.0579,0.5517,1.6291,3.2127,4.8115,6.486}) ) ) ) ) ) )</f>
        <v/>
      </c>
      <c r="P662" s="1" t="str">
        <f>IF(ISBLANK('Aqueous Species Options'!J662), "", 'Aqueous Species Options'!J662)</f>
        <v/>
      </c>
      <c r="Q662" s="184" t="str">
        <f>IF(ISBLANK('Aqueous Species Options'!T662), "", 'Aqueous Species Options'!T662)</f>
        <v/>
      </c>
    </row>
    <row r="663" spans="2:17" ht="16" x14ac:dyDescent="0.2">
      <c r="B663" t="str">
        <f>IF(ISBLANK('Aqueous Species Options'!B663), "", 'Aqueous Species Options'!B663)</f>
        <v/>
      </c>
      <c r="C663" s="1" t="str">
        <f>IF(ISBLANK('Aqueous Species Options'!C663), "", 'Aqueous Species Options'!C663)</f>
        <v/>
      </c>
      <c r="D663" s="1" t="str">
        <f>IF(ISBLANK('Aqueous Species Options'!D663), "", 'Aqueous Species Options'!D663)</f>
        <v/>
      </c>
      <c r="E663" s="1" t="str">
        <f>IF(ISBLANK('Aqueous Species Options'!E663), "", 'Aqueous Species Options'!E663)</f>
        <v/>
      </c>
      <c r="F663" s="139" t="str">
        <f>IF(ISBLANK('Aqueous Species Options'!F663), "", 'Aqueous Species Options'!F663)</f>
        <v/>
      </c>
      <c r="G663" s="29" t="str">
        <f>IF(ISBLANK('Aqueous Species Options'!B663), "", IF('Aqueous Species Options'!L663 = 1, IF(ISBLANK('Aqueous Species Options'!G663), "", 'Aqueous Species Options'!G663), ('Aqueous Species Table'!I663/10 + ('Aqueous Species Table'!J663*100)/(Calculations!$C$12+Calculations!$C$9) + ('Aqueous Species Table'!K663 + ('Aqueous Species Table'!L663*10000)/(Calculations!$C$12+Calculations!$C$9))*(1/(Calculations!$C$8-Calculations!$C$13)) - 'Aqueous Species Table'!O663*100000*0.0000005903)*41.8393))</f>
        <v/>
      </c>
      <c r="H663" s="29" t="str">
        <f>IF(ISBLANK('Aqueous Species Options'!B663), "", IF('Aqueous Species Options'!L663 = 1, IF(ISBLANK('Aqueous Species Options'!H663), "", 'Aqueous Species Options'!H663), 'Aqueous Species Table'!M663 + 'Aqueous Species Table'!N663*10000*(1/(Calculations!$C$8-Calculations!$C$13))^2 + 'Aqueous Species Table'!O663*100000*Calculations!$C$8*Calculations!$C$7))</f>
        <v/>
      </c>
      <c r="I663" s="1" t="str">
        <f>IF(ISBLANK('Aqueous Species Options'!B663), "", IF('Aqueous Species Options'!L663=0, 'Aqueous Species Options'!N663, IF(OR(ISBLANK('Aqueous Species Options'!G663),'Aqueous Species Table'!O663="", 'Aqueous Species Table'!P663=""), "", IF('Aqueous Species Options'!B663="H+", 0, (CHOOSE('Aqueous Species Options'!M663+1,'Aqueous Species Options'!$V$4*ABS('Aqueous Species Table'!P663)+'Aqueous Species Options'!$W$4,'Aqueous Species Options'!$Z$4)*('Aqueous Species Options'!G663 + 'Aqueous Species Table'!O663*100000*0.0000005903*41.8393) + CHOOSE('Aqueous Species Options'!M663+1,'Aqueous Species Options'!$X$4*ABS('Aqueous Species Table'!P663)+'Aqueous Species Options'!$Y$4,'Aqueous Species Options'!$AA$4))*10 ) ) ) )</f>
        <v/>
      </c>
      <c r="J663" s="1" t="str">
        <f>IF(ISBLANK('Aqueous Species Options'!B663), "", IF('Aqueous Species Options'!L663 = 0, 'Aqueous Species Options'!O663, IF('Aqueous Species Table'!I663="", "", IF('Aqueous Species Options'!B663="H+", 0, ((1.11*('Aqueous Species Options'!G663 + 'Aqueous Species Table'!O663*100000*0.0000005903*41.8393)+1.8)/41.8393 - 'Aqueous Species Table'!I663/10)*26.01 ) ) ) )</f>
        <v/>
      </c>
      <c r="K663" s="1" t="str">
        <f>IF(ISBLANK('Aqueous Species Options'!B663), "", IF('Aqueous Species Options'!L663 = 0, 'Aqueous Species Options'!P663, IF('Aqueous Species Table'!I663="", "", IF('Aqueous Species Options'!B663="H+", 0, ('Aqueous Species Options'!G663/41.8393 + 'Aqueous Species Table'!O663*100000*0.0000005903 - 'Aqueous Species Table'!I663/10 - 'Aqueous Species Table'!J663*100/2601)*(298.15-228) - ('Aqueous Species Table'!L663*10000/2601) ) ) ) )</f>
        <v/>
      </c>
      <c r="L663" s="1" t="str">
        <f>IF(ISBLANK('Aqueous Species Options'!B663), "", IF('Aqueous Species Options'!L663 = 0, 'Aqueous Species Options'!Q663, IF('Aqueous Species Table'!J663="", "", IF('Aqueous Species Options'!B663="H+", 0, (-4.134*'Aqueous Species Table'!J663*100 - 27790)*0.0001) ) ) )</f>
        <v/>
      </c>
      <c r="M663" s="1" t="str">
        <f>IF(ISBLANK('Aqueous Species Options'!B663), "", IF('Aqueous Species Options'!L663=0, 'Aqueous Species Options'!R663, IF('Aqueous Species Table'!N663="", "", IF('Aqueous Species Options'!B663="H+", 0, 'Aqueous Species Options'!H663 - 'Aqueous Species Table'!O663*100000*(-0.000000309)*298.15 - 'Aqueous Species Table'!N663*10000/(298.15-228)^2 ) ) ) )</f>
        <v/>
      </c>
      <c r="N663" s="1" t="str">
        <f>IF(ISBLANK('Aqueous Species Options'!B663), "", IF('Aqueous Species Options'!L663=0, 'Aqueous Species Options'!S663, IF(OR(ISBLANK('Aqueous Species Options'!H663), 'Aqueous Species Table'!O663=""), "", IF('Aqueous Species Options'!B663="H+", 0, 0.2037*'Aqueous Species Options'!H663 - 3.0346) ) ) )</f>
        <v/>
      </c>
      <c r="O663" s="1" t="str">
        <f>IF(ISBLANK('Aqueous Species Options'!B663), "", IF('Aqueous Species Options'!K663=0, 'Aqueous Species Options'!I663, IF(OR('Aqueous Species Options'!J663&gt;4,'Aqueous Species Options'!J663&lt;-4), "", IF('Aqueous Species Options'!B663="H+", 0, IF('Aqueous Species Options'!J663=0, -0.038, IF(ISBLANK('Aqueous Species Options'!F663), "", -1514.4*'Aqueous Species Options'!F663*0.00001 + SUM(({4,3,2,1,-1,-2,-3,-4}='Aqueous Species Options'!J663)*{2.1764,1.5793,1.0579,0.5517,1.6291,3.2127,4.8115,6.486}) ) ) ) ) ) )</f>
        <v/>
      </c>
      <c r="P663" s="1" t="str">
        <f>IF(ISBLANK('Aqueous Species Options'!J663), "", 'Aqueous Species Options'!J663)</f>
        <v/>
      </c>
      <c r="Q663" s="184" t="str">
        <f>IF(ISBLANK('Aqueous Species Options'!T663), "", 'Aqueous Species Options'!T663)</f>
        <v/>
      </c>
    </row>
    <row r="664" spans="2:17" ht="16" x14ac:dyDescent="0.2">
      <c r="B664" t="str">
        <f>IF(ISBLANK('Aqueous Species Options'!B664), "", 'Aqueous Species Options'!B664)</f>
        <v/>
      </c>
      <c r="C664" s="1" t="str">
        <f>IF(ISBLANK('Aqueous Species Options'!C664), "", 'Aqueous Species Options'!C664)</f>
        <v/>
      </c>
      <c r="D664" s="1" t="str">
        <f>IF(ISBLANK('Aqueous Species Options'!D664), "", 'Aqueous Species Options'!D664)</f>
        <v/>
      </c>
      <c r="E664" s="1" t="str">
        <f>IF(ISBLANK('Aqueous Species Options'!E664), "", 'Aqueous Species Options'!E664)</f>
        <v/>
      </c>
      <c r="F664" s="139" t="str">
        <f>IF(ISBLANK('Aqueous Species Options'!F664), "", 'Aqueous Species Options'!F664)</f>
        <v/>
      </c>
      <c r="G664" s="29" t="str">
        <f>IF(ISBLANK('Aqueous Species Options'!B664), "", IF('Aqueous Species Options'!L664 = 1, IF(ISBLANK('Aqueous Species Options'!G664), "", 'Aqueous Species Options'!G664), ('Aqueous Species Table'!I664/10 + ('Aqueous Species Table'!J664*100)/(Calculations!$C$12+Calculations!$C$9) + ('Aqueous Species Table'!K664 + ('Aqueous Species Table'!L664*10000)/(Calculations!$C$12+Calculations!$C$9))*(1/(Calculations!$C$8-Calculations!$C$13)) - 'Aqueous Species Table'!O664*100000*0.0000005903)*41.8393))</f>
        <v/>
      </c>
      <c r="H664" s="29" t="str">
        <f>IF(ISBLANK('Aqueous Species Options'!B664), "", IF('Aqueous Species Options'!L664 = 1, IF(ISBLANK('Aqueous Species Options'!H664), "", 'Aqueous Species Options'!H664), 'Aqueous Species Table'!M664 + 'Aqueous Species Table'!N664*10000*(1/(Calculations!$C$8-Calculations!$C$13))^2 + 'Aqueous Species Table'!O664*100000*Calculations!$C$8*Calculations!$C$7))</f>
        <v/>
      </c>
      <c r="I664" s="1" t="str">
        <f>IF(ISBLANK('Aqueous Species Options'!B664), "", IF('Aqueous Species Options'!L664=0, 'Aqueous Species Options'!N664, IF(OR(ISBLANK('Aqueous Species Options'!G664),'Aqueous Species Table'!O664="", 'Aqueous Species Table'!P664=""), "", IF('Aqueous Species Options'!B664="H+", 0, (CHOOSE('Aqueous Species Options'!M664+1,'Aqueous Species Options'!$V$4*ABS('Aqueous Species Table'!P664)+'Aqueous Species Options'!$W$4,'Aqueous Species Options'!$Z$4)*('Aqueous Species Options'!G664 + 'Aqueous Species Table'!O664*100000*0.0000005903*41.8393) + CHOOSE('Aqueous Species Options'!M664+1,'Aqueous Species Options'!$X$4*ABS('Aqueous Species Table'!P664)+'Aqueous Species Options'!$Y$4,'Aqueous Species Options'!$AA$4))*10 ) ) ) )</f>
        <v/>
      </c>
      <c r="J664" s="1" t="str">
        <f>IF(ISBLANK('Aqueous Species Options'!B664), "", IF('Aqueous Species Options'!L664 = 0, 'Aqueous Species Options'!O664, IF('Aqueous Species Table'!I664="", "", IF('Aqueous Species Options'!B664="H+", 0, ((1.11*('Aqueous Species Options'!G664 + 'Aqueous Species Table'!O664*100000*0.0000005903*41.8393)+1.8)/41.8393 - 'Aqueous Species Table'!I664/10)*26.01 ) ) ) )</f>
        <v/>
      </c>
      <c r="K664" s="1" t="str">
        <f>IF(ISBLANK('Aqueous Species Options'!B664), "", IF('Aqueous Species Options'!L664 = 0, 'Aqueous Species Options'!P664, IF('Aqueous Species Table'!I664="", "", IF('Aqueous Species Options'!B664="H+", 0, ('Aqueous Species Options'!G664/41.8393 + 'Aqueous Species Table'!O664*100000*0.0000005903 - 'Aqueous Species Table'!I664/10 - 'Aqueous Species Table'!J664*100/2601)*(298.15-228) - ('Aqueous Species Table'!L664*10000/2601) ) ) ) )</f>
        <v/>
      </c>
      <c r="L664" s="1" t="str">
        <f>IF(ISBLANK('Aqueous Species Options'!B664), "", IF('Aqueous Species Options'!L664 = 0, 'Aqueous Species Options'!Q664, IF('Aqueous Species Table'!J664="", "", IF('Aqueous Species Options'!B664="H+", 0, (-4.134*'Aqueous Species Table'!J664*100 - 27790)*0.0001) ) ) )</f>
        <v/>
      </c>
      <c r="M664" s="1" t="str">
        <f>IF(ISBLANK('Aqueous Species Options'!B664), "", IF('Aqueous Species Options'!L664=0, 'Aqueous Species Options'!R664, IF('Aqueous Species Table'!N664="", "", IF('Aqueous Species Options'!B664="H+", 0, 'Aqueous Species Options'!H664 - 'Aqueous Species Table'!O664*100000*(-0.000000309)*298.15 - 'Aqueous Species Table'!N664*10000/(298.15-228)^2 ) ) ) )</f>
        <v/>
      </c>
      <c r="N664" s="1" t="str">
        <f>IF(ISBLANK('Aqueous Species Options'!B664), "", IF('Aqueous Species Options'!L664=0, 'Aqueous Species Options'!S664, IF(OR(ISBLANK('Aqueous Species Options'!H664), 'Aqueous Species Table'!O664=""), "", IF('Aqueous Species Options'!B664="H+", 0, 0.2037*'Aqueous Species Options'!H664 - 3.0346) ) ) )</f>
        <v/>
      </c>
      <c r="O664" s="1" t="str">
        <f>IF(ISBLANK('Aqueous Species Options'!B664), "", IF('Aqueous Species Options'!K664=0, 'Aqueous Species Options'!I664, IF(OR('Aqueous Species Options'!J664&gt;4,'Aqueous Species Options'!J664&lt;-4), "", IF('Aqueous Species Options'!B664="H+", 0, IF('Aqueous Species Options'!J664=0, -0.038, IF(ISBLANK('Aqueous Species Options'!F664), "", -1514.4*'Aqueous Species Options'!F664*0.00001 + SUM(({4,3,2,1,-1,-2,-3,-4}='Aqueous Species Options'!J664)*{2.1764,1.5793,1.0579,0.5517,1.6291,3.2127,4.8115,6.486}) ) ) ) ) ) )</f>
        <v/>
      </c>
      <c r="P664" s="1" t="str">
        <f>IF(ISBLANK('Aqueous Species Options'!J664), "", 'Aqueous Species Options'!J664)</f>
        <v/>
      </c>
      <c r="Q664" s="184" t="str">
        <f>IF(ISBLANK('Aqueous Species Options'!T664), "", 'Aqueous Species Options'!T664)</f>
        <v/>
      </c>
    </row>
    <row r="665" spans="2:17" ht="16" x14ac:dyDescent="0.2">
      <c r="B665" t="str">
        <f>IF(ISBLANK('Aqueous Species Options'!B665), "", 'Aqueous Species Options'!B665)</f>
        <v/>
      </c>
      <c r="C665" s="1" t="str">
        <f>IF(ISBLANK('Aqueous Species Options'!C665), "", 'Aqueous Species Options'!C665)</f>
        <v/>
      </c>
      <c r="D665" s="1" t="str">
        <f>IF(ISBLANK('Aqueous Species Options'!D665), "", 'Aqueous Species Options'!D665)</f>
        <v/>
      </c>
      <c r="E665" s="1" t="str">
        <f>IF(ISBLANK('Aqueous Species Options'!E665), "", 'Aqueous Species Options'!E665)</f>
        <v/>
      </c>
      <c r="F665" s="139" t="str">
        <f>IF(ISBLANK('Aqueous Species Options'!F665), "", 'Aqueous Species Options'!F665)</f>
        <v/>
      </c>
      <c r="G665" s="29" t="str">
        <f>IF(ISBLANK('Aqueous Species Options'!B665), "", IF('Aqueous Species Options'!L665 = 1, IF(ISBLANK('Aqueous Species Options'!G665), "", 'Aqueous Species Options'!G665), ('Aqueous Species Table'!I665/10 + ('Aqueous Species Table'!J665*100)/(Calculations!$C$12+Calculations!$C$9) + ('Aqueous Species Table'!K665 + ('Aqueous Species Table'!L665*10000)/(Calculations!$C$12+Calculations!$C$9))*(1/(Calculations!$C$8-Calculations!$C$13)) - 'Aqueous Species Table'!O665*100000*0.0000005903)*41.8393))</f>
        <v/>
      </c>
      <c r="H665" s="29" t="str">
        <f>IF(ISBLANK('Aqueous Species Options'!B665), "", IF('Aqueous Species Options'!L665 = 1, IF(ISBLANK('Aqueous Species Options'!H665), "", 'Aqueous Species Options'!H665), 'Aqueous Species Table'!M665 + 'Aqueous Species Table'!N665*10000*(1/(Calculations!$C$8-Calculations!$C$13))^2 + 'Aqueous Species Table'!O665*100000*Calculations!$C$8*Calculations!$C$7))</f>
        <v/>
      </c>
      <c r="I665" s="1" t="str">
        <f>IF(ISBLANK('Aqueous Species Options'!B665), "", IF('Aqueous Species Options'!L665=0, 'Aqueous Species Options'!N665, IF(OR(ISBLANK('Aqueous Species Options'!G665),'Aqueous Species Table'!O665="", 'Aqueous Species Table'!P665=""), "", IF('Aqueous Species Options'!B665="H+", 0, (CHOOSE('Aqueous Species Options'!M665+1,'Aqueous Species Options'!$V$4*ABS('Aqueous Species Table'!P665)+'Aqueous Species Options'!$W$4,'Aqueous Species Options'!$Z$4)*('Aqueous Species Options'!G665 + 'Aqueous Species Table'!O665*100000*0.0000005903*41.8393) + CHOOSE('Aqueous Species Options'!M665+1,'Aqueous Species Options'!$X$4*ABS('Aqueous Species Table'!P665)+'Aqueous Species Options'!$Y$4,'Aqueous Species Options'!$AA$4))*10 ) ) ) )</f>
        <v/>
      </c>
      <c r="J665" s="1" t="str">
        <f>IF(ISBLANK('Aqueous Species Options'!B665), "", IF('Aqueous Species Options'!L665 = 0, 'Aqueous Species Options'!O665, IF('Aqueous Species Table'!I665="", "", IF('Aqueous Species Options'!B665="H+", 0, ((1.11*('Aqueous Species Options'!G665 + 'Aqueous Species Table'!O665*100000*0.0000005903*41.8393)+1.8)/41.8393 - 'Aqueous Species Table'!I665/10)*26.01 ) ) ) )</f>
        <v/>
      </c>
      <c r="K665" s="1" t="str">
        <f>IF(ISBLANK('Aqueous Species Options'!B665), "", IF('Aqueous Species Options'!L665 = 0, 'Aqueous Species Options'!P665, IF('Aqueous Species Table'!I665="", "", IF('Aqueous Species Options'!B665="H+", 0, ('Aqueous Species Options'!G665/41.8393 + 'Aqueous Species Table'!O665*100000*0.0000005903 - 'Aqueous Species Table'!I665/10 - 'Aqueous Species Table'!J665*100/2601)*(298.15-228) - ('Aqueous Species Table'!L665*10000/2601) ) ) ) )</f>
        <v/>
      </c>
      <c r="L665" s="1" t="str">
        <f>IF(ISBLANK('Aqueous Species Options'!B665), "", IF('Aqueous Species Options'!L665 = 0, 'Aqueous Species Options'!Q665, IF('Aqueous Species Table'!J665="", "", IF('Aqueous Species Options'!B665="H+", 0, (-4.134*'Aqueous Species Table'!J665*100 - 27790)*0.0001) ) ) )</f>
        <v/>
      </c>
      <c r="M665" s="1" t="str">
        <f>IF(ISBLANK('Aqueous Species Options'!B665), "", IF('Aqueous Species Options'!L665=0, 'Aqueous Species Options'!R665, IF('Aqueous Species Table'!N665="", "", IF('Aqueous Species Options'!B665="H+", 0, 'Aqueous Species Options'!H665 - 'Aqueous Species Table'!O665*100000*(-0.000000309)*298.15 - 'Aqueous Species Table'!N665*10000/(298.15-228)^2 ) ) ) )</f>
        <v/>
      </c>
      <c r="N665" s="1" t="str">
        <f>IF(ISBLANK('Aqueous Species Options'!B665), "", IF('Aqueous Species Options'!L665=0, 'Aqueous Species Options'!S665, IF(OR(ISBLANK('Aqueous Species Options'!H665), 'Aqueous Species Table'!O665=""), "", IF('Aqueous Species Options'!B665="H+", 0, 0.2037*'Aqueous Species Options'!H665 - 3.0346) ) ) )</f>
        <v/>
      </c>
      <c r="O665" s="1" t="str">
        <f>IF(ISBLANK('Aqueous Species Options'!B665), "", IF('Aqueous Species Options'!K665=0, 'Aqueous Species Options'!I665, IF(OR('Aqueous Species Options'!J665&gt;4,'Aqueous Species Options'!J665&lt;-4), "", IF('Aqueous Species Options'!B665="H+", 0, IF('Aqueous Species Options'!J665=0, -0.038, IF(ISBLANK('Aqueous Species Options'!F665), "", -1514.4*'Aqueous Species Options'!F665*0.00001 + SUM(({4,3,2,1,-1,-2,-3,-4}='Aqueous Species Options'!J665)*{2.1764,1.5793,1.0579,0.5517,1.6291,3.2127,4.8115,6.486}) ) ) ) ) ) )</f>
        <v/>
      </c>
      <c r="P665" s="1" t="str">
        <f>IF(ISBLANK('Aqueous Species Options'!J665), "", 'Aqueous Species Options'!J665)</f>
        <v/>
      </c>
      <c r="Q665" s="184" t="str">
        <f>IF(ISBLANK('Aqueous Species Options'!T665), "", 'Aqueous Species Options'!T665)</f>
        <v/>
      </c>
    </row>
    <row r="666" spans="2:17" ht="16" x14ac:dyDescent="0.2">
      <c r="B666" t="str">
        <f>IF(ISBLANK('Aqueous Species Options'!B666), "", 'Aqueous Species Options'!B666)</f>
        <v/>
      </c>
      <c r="C666" s="1" t="str">
        <f>IF(ISBLANK('Aqueous Species Options'!C666), "", 'Aqueous Species Options'!C666)</f>
        <v/>
      </c>
      <c r="D666" s="1" t="str">
        <f>IF(ISBLANK('Aqueous Species Options'!D666), "", 'Aqueous Species Options'!D666)</f>
        <v/>
      </c>
      <c r="E666" s="1" t="str">
        <f>IF(ISBLANK('Aqueous Species Options'!E666), "", 'Aqueous Species Options'!E666)</f>
        <v/>
      </c>
      <c r="F666" s="139" t="str">
        <f>IF(ISBLANK('Aqueous Species Options'!F666), "", 'Aqueous Species Options'!F666)</f>
        <v/>
      </c>
      <c r="G666" s="29" t="str">
        <f>IF(ISBLANK('Aqueous Species Options'!B666), "", IF('Aqueous Species Options'!L666 = 1, IF(ISBLANK('Aqueous Species Options'!G666), "", 'Aqueous Species Options'!G666), ('Aqueous Species Table'!I666/10 + ('Aqueous Species Table'!J666*100)/(Calculations!$C$12+Calculations!$C$9) + ('Aqueous Species Table'!K666 + ('Aqueous Species Table'!L666*10000)/(Calculations!$C$12+Calculations!$C$9))*(1/(Calculations!$C$8-Calculations!$C$13)) - 'Aqueous Species Table'!O666*100000*0.0000005903)*41.8393))</f>
        <v/>
      </c>
      <c r="H666" s="29" t="str">
        <f>IF(ISBLANK('Aqueous Species Options'!B666), "", IF('Aqueous Species Options'!L666 = 1, IF(ISBLANK('Aqueous Species Options'!H666), "", 'Aqueous Species Options'!H666), 'Aqueous Species Table'!M666 + 'Aqueous Species Table'!N666*10000*(1/(Calculations!$C$8-Calculations!$C$13))^2 + 'Aqueous Species Table'!O666*100000*Calculations!$C$8*Calculations!$C$7))</f>
        <v/>
      </c>
      <c r="I666" s="1" t="str">
        <f>IF(ISBLANK('Aqueous Species Options'!B666), "", IF('Aqueous Species Options'!L666=0, 'Aqueous Species Options'!N666, IF(OR(ISBLANK('Aqueous Species Options'!G666),'Aqueous Species Table'!O666="", 'Aqueous Species Table'!P666=""), "", IF('Aqueous Species Options'!B666="H+", 0, (CHOOSE('Aqueous Species Options'!M666+1,'Aqueous Species Options'!$V$4*ABS('Aqueous Species Table'!P666)+'Aqueous Species Options'!$W$4,'Aqueous Species Options'!$Z$4)*('Aqueous Species Options'!G666 + 'Aqueous Species Table'!O666*100000*0.0000005903*41.8393) + CHOOSE('Aqueous Species Options'!M666+1,'Aqueous Species Options'!$X$4*ABS('Aqueous Species Table'!P666)+'Aqueous Species Options'!$Y$4,'Aqueous Species Options'!$AA$4))*10 ) ) ) )</f>
        <v/>
      </c>
      <c r="J666" s="1" t="str">
        <f>IF(ISBLANK('Aqueous Species Options'!B666), "", IF('Aqueous Species Options'!L666 = 0, 'Aqueous Species Options'!O666, IF('Aqueous Species Table'!I666="", "", IF('Aqueous Species Options'!B666="H+", 0, ((1.11*('Aqueous Species Options'!G666 + 'Aqueous Species Table'!O666*100000*0.0000005903*41.8393)+1.8)/41.8393 - 'Aqueous Species Table'!I666/10)*26.01 ) ) ) )</f>
        <v/>
      </c>
      <c r="K666" s="1" t="str">
        <f>IF(ISBLANK('Aqueous Species Options'!B666), "", IF('Aqueous Species Options'!L666 = 0, 'Aqueous Species Options'!P666, IF('Aqueous Species Table'!I666="", "", IF('Aqueous Species Options'!B666="H+", 0, ('Aqueous Species Options'!G666/41.8393 + 'Aqueous Species Table'!O666*100000*0.0000005903 - 'Aqueous Species Table'!I666/10 - 'Aqueous Species Table'!J666*100/2601)*(298.15-228) - ('Aqueous Species Table'!L666*10000/2601) ) ) ) )</f>
        <v/>
      </c>
      <c r="L666" s="1" t="str">
        <f>IF(ISBLANK('Aqueous Species Options'!B666), "", IF('Aqueous Species Options'!L666 = 0, 'Aqueous Species Options'!Q666, IF('Aqueous Species Table'!J666="", "", IF('Aqueous Species Options'!B666="H+", 0, (-4.134*'Aqueous Species Table'!J666*100 - 27790)*0.0001) ) ) )</f>
        <v/>
      </c>
      <c r="M666" s="1" t="str">
        <f>IF(ISBLANK('Aqueous Species Options'!B666), "", IF('Aqueous Species Options'!L666=0, 'Aqueous Species Options'!R666, IF('Aqueous Species Table'!N666="", "", IF('Aqueous Species Options'!B666="H+", 0, 'Aqueous Species Options'!H666 - 'Aqueous Species Table'!O666*100000*(-0.000000309)*298.15 - 'Aqueous Species Table'!N666*10000/(298.15-228)^2 ) ) ) )</f>
        <v/>
      </c>
      <c r="N666" s="1" t="str">
        <f>IF(ISBLANK('Aqueous Species Options'!B666), "", IF('Aqueous Species Options'!L666=0, 'Aqueous Species Options'!S666, IF(OR(ISBLANK('Aqueous Species Options'!H666), 'Aqueous Species Table'!O666=""), "", IF('Aqueous Species Options'!B666="H+", 0, 0.2037*'Aqueous Species Options'!H666 - 3.0346) ) ) )</f>
        <v/>
      </c>
      <c r="O666" s="1" t="str">
        <f>IF(ISBLANK('Aqueous Species Options'!B666), "", IF('Aqueous Species Options'!K666=0, 'Aqueous Species Options'!I666, IF(OR('Aqueous Species Options'!J666&gt;4,'Aqueous Species Options'!J666&lt;-4), "", IF('Aqueous Species Options'!B666="H+", 0, IF('Aqueous Species Options'!J666=0, -0.038, IF(ISBLANK('Aqueous Species Options'!F666), "", -1514.4*'Aqueous Species Options'!F666*0.00001 + SUM(({4,3,2,1,-1,-2,-3,-4}='Aqueous Species Options'!J666)*{2.1764,1.5793,1.0579,0.5517,1.6291,3.2127,4.8115,6.486}) ) ) ) ) ) )</f>
        <v/>
      </c>
      <c r="P666" s="1" t="str">
        <f>IF(ISBLANK('Aqueous Species Options'!J666), "", 'Aqueous Species Options'!J666)</f>
        <v/>
      </c>
      <c r="Q666" s="184" t="str">
        <f>IF(ISBLANK('Aqueous Species Options'!T666), "", 'Aqueous Species Options'!T666)</f>
        <v/>
      </c>
    </row>
    <row r="667" spans="2:17" ht="16" x14ac:dyDescent="0.2">
      <c r="B667" t="str">
        <f>IF(ISBLANK('Aqueous Species Options'!B667), "", 'Aqueous Species Options'!B667)</f>
        <v/>
      </c>
      <c r="C667" s="1" t="str">
        <f>IF(ISBLANK('Aqueous Species Options'!C667), "", 'Aqueous Species Options'!C667)</f>
        <v/>
      </c>
      <c r="D667" s="1" t="str">
        <f>IF(ISBLANK('Aqueous Species Options'!D667), "", 'Aqueous Species Options'!D667)</f>
        <v/>
      </c>
      <c r="E667" s="1" t="str">
        <f>IF(ISBLANK('Aqueous Species Options'!E667), "", 'Aqueous Species Options'!E667)</f>
        <v/>
      </c>
      <c r="F667" s="139" t="str">
        <f>IF(ISBLANK('Aqueous Species Options'!F667), "", 'Aqueous Species Options'!F667)</f>
        <v/>
      </c>
      <c r="G667" s="29" t="str">
        <f>IF(ISBLANK('Aqueous Species Options'!B667), "", IF('Aqueous Species Options'!L667 = 1, IF(ISBLANK('Aqueous Species Options'!G667), "", 'Aqueous Species Options'!G667), ('Aqueous Species Table'!I667/10 + ('Aqueous Species Table'!J667*100)/(Calculations!$C$12+Calculations!$C$9) + ('Aqueous Species Table'!K667 + ('Aqueous Species Table'!L667*10000)/(Calculations!$C$12+Calculations!$C$9))*(1/(Calculations!$C$8-Calculations!$C$13)) - 'Aqueous Species Table'!O667*100000*0.0000005903)*41.8393))</f>
        <v/>
      </c>
      <c r="H667" s="29" t="str">
        <f>IF(ISBLANK('Aqueous Species Options'!B667), "", IF('Aqueous Species Options'!L667 = 1, IF(ISBLANK('Aqueous Species Options'!H667), "", 'Aqueous Species Options'!H667), 'Aqueous Species Table'!M667 + 'Aqueous Species Table'!N667*10000*(1/(Calculations!$C$8-Calculations!$C$13))^2 + 'Aqueous Species Table'!O667*100000*Calculations!$C$8*Calculations!$C$7))</f>
        <v/>
      </c>
      <c r="I667" s="1" t="str">
        <f>IF(ISBLANK('Aqueous Species Options'!B667), "", IF('Aqueous Species Options'!L667=0, 'Aqueous Species Options'!N667, IF(OR(ISBLANK('Aqueous Species Options'!G667),'Aqueous Species Table'!O667="", 'Aqueous Species Table'!P667=""), "", IF('Aqueous Species Options'!B667="H+", 0, (CHOOSE('Aqueous Species Options'!M667+1,'Aqueous Species Options'!$V$4*ABS('Aqueous Species Table'!P667)+'Aqueous Species Options'!$W$4,'Aqueous Species Options'!$Z$4)*('Aqueous Species Options'!G667 + 'Aqueous Species Table'!O667*100000*0.0000005903*41.8393) + CHOOSE('Aqueous Species Options'!M667+1,'Aqueous Species Options'!$X$4*ABS('Aqueous Species Table'!P667)+'Aqueous Species Options'!$Y$4,'Aqueous Species Options'!$AA$4))*10 ) ) ) )</f>
        <v/>
      </c>
      <c r="J667" s="1" t="str">
        <f>IF(ISBLANK('Aqueous Species Options'!B667), "", IF('Aqueous Species Options'!L667 = 0, 'Aqueous Species Options'!O667, IF('Aqueous Species Table'!I667="", "", IF('Aqueous Species Options'!B667="H+", 0, ((1.11*('Aqueous Species Options'!G667 + 'Aqueous Species Table'!O667*100000*0.0000005903*41.8393)+1.8)/41.8393 - 'Aqueous Species Table'!I667/10)*26.01 ) ) ) )</f>
        <v/>
      </c>
      <c r="K667" s="1" t="str">
        <f>IF(ISBLANK('Aqueous Species Options'!B667), "", IF('Aqueous Species Options'!L667 = 0, 'Aqueous Species Options'!P667, IF('Aqueous Species Table'!I667="", "", IF('Aqueous Species Options'!B667="H+", 0, ('Aqueous Species Options'!G667/41.8393 + 'Aqueous Species Table'!O667*100000*0.0000005903 - 'Aqueous Species Table'!I667/10 - 'Aqueous Species Table'!J667*100/2601)*(298.15-228) - ('Aqueous Species Table'!L667*10000/2601) ) ) ) )</f>
        <v/>
      </c>
      <c r="L667" s="1" t="str">
        <f>IF(ISBLANK('Aqueous Species Options'!B667), "", IF('Aqueous Species Options'!L667 = 0, 'Aqueous Species Options'!Q667, IF('Aqueous Species Table'!J667="", "", IF('Aqueous Species Options'!B667="H+", 0, (-4.134*'Aqueous Species Table'!J667*100 - 27790)*0.0001) ) ) )</f>
        <v/>
      </c>
      <c r="M667" s="1" t="str">
        <f>IF(ISBLANK('Aqueous Species Options'!B667), "", IF('Aqueous Species Options'!L667=0, 'Aqueous Species Options'!R667, IF('Aqueous Species Table'!N667="", "", IF('Aqueous Species Options'!B667="H+", 0, 'Aqueous Species Options'!H667 - 'Aqueous Species Table'!O667*100000*(-0.000000309)*298.15 - 'Aqueous Species Table'!N667*10000/(298.15-228)^2 ) ) ) )</f>
        <v/>
      </c>
      <c r="N667" s="1" t="str">
        <f>IF(ISBLANK('Aqueous Species Options'!B667), "", IF('Aqueous Species Options'!L667=0, 'Aqueous Species Options'!S667, IF(OR(ISBLANK('Aqueous Species Options'!H667), 'Aqueous Species Table'!O667=""), "", IF('Aqueous Species Options'!B667="H+", 0, 0.2037*'Aqueous Species Options'!H667 - 3.0346) ) ) )</f>
        <v/>
      </c>
      <c r="O667" s="1" t="str">
        <f>IF(ISBLANK('Aqueous Species Options'!B667), "", IF('Aqueous Species Options'!K667=0, 'Aqueous Species Options'!I667, IF(OR('Aqueous Species Options'!J667&gt;4,'Aqueous Species Options'!J667&lt;-4), "", IF('Aqueous Species Options'!B667="H+", 0, IF('Aqueous Species Options'!J667=0, -0.038, IF(ISBLANK('Aqueous Species Options'!F667), "", -1514.4*'Aqueous Species Options'!F667*0.00001 + SUM(({4,3,2,1,-1,-2,-3,-4}='Aqueous Species Options'!J667)*{2.1764,1.5793,1.0579,0.5517,1.6291,3.2127,4.8115,6.486}) ) ) ) ) ) )</f>
        <v/>
      </c>
      <c r="P667" s="1" t="str">
        <f>IF(ISBLANK('Aqueous Species Options'!J667), "", 'Aqueous Species Options'!J667)</f>
        <v/>
      </c>
      <c r="Q667" s="184" t="str">
        <f>IF(ISBLANK('Aqueous Species Options'!T667), "", 'Aqueous Species Options'!T667)</f>
        <v/>
      </c>
    </row>
    <row r="668" spans="2:17" ht="16" x14ac:dyDescent="0.2">
      <c r="B668" t="str">
        <f>IF(ISBLANK('Aqueous Species Options'!B668), "", 'Aqueous Species Options'!B668)</f>
        <v/>
      </c>
      <c r="C668" s="1" t="str">
        <f>IF(ISBLANK('Aqueous Species Options'!C668), "", 'Aqueous Species Options'!C668)</f>
        <v/>
      </c>
      <c r="D668" s="1" t="str">
        <f>IF(ISBLANK('Aqueous Species Options'!D668), "", 'Aqueous Species Options'!D668)</f>
        <v/>
      </c>
      <c r="E668" s="1" t="str">
        <f>IF(ISBLANK('Aqueous Species Options'!E668), "", 'Aqueous Species Options'!E668)</f>
        <v/>
      </c>
      <c r="F668" s="139" t="str">
        <f>IF(ISBLANK('Aqueous Species Options'!F668), "", 'Aqueous Species Options'!F668)</f>
        <v/>
      </c>
      <c r="G668" s="29" t="str">
        <f>IF(ISBLANK('Aqueous Species Options'!B668), "", IF('Aqueous Species Options'!L668 = 1, IF(ISBLANK('Aqueous Species Options'!G668), "", 'Aqueous Species Options'!G668), ('Aqueous Species Table'!I668/10 + ('Aqueous Species Table'!J668*100)/(Calculations!$C$12+Calculations!$C$9) + ('Aqueous Species Table'!K668 + ('Aqueous Species Table'!L668*10000)/(Calculations!$C$12+Calculations!$C$9))*(1/(Calculations!$C$8-Calculations!$C$13)) - 'Aqueous Species Table'!O668*100000*0.0000005903)*41.8393))</f>
        <v/>
      </c>
      <c r="H668" s="29" t="str">
        <f>IF(ISBLANK('Aqueous Species Options'!B668), "", IF('Aqueous Species Options'!L668 = 1, IF(ISBLANK('Aqueous Species Options'!H668), "", 'Aqueous Species Options'!H668), 'Aqueous Species Table'!M668 + 'Aqueous Species Table'!N668*10000*(1/(Calculations!$C$8-Calculations!$C$13))^2 + 'Aqueous Species Table'!O668*100000*Calculations!$C$8*Calculations!$C$7))</f>
        <v/>
      </c>
      <c r="I668" s="1" t="str">
        <f>IF(ISBLANK('Aqueous Species Options'!B668), "", IF('Aqueous Species Options'!L668=0, 'Aqueous Species Options'!N668, IF(OR(ISBLANK('Aqueous Species Options'!G668),'Aqueous Species Table'!O668="", 'Aqueous Species Table'!P668=""), "", IF('Aqueous Species Options'!B668="H+", 0, (CHOOSE('Aqueous Species Options'!M668+1,'Aqueous Species Options'!$V$4*ABS('Aqueous Species Table'!P668)+'Aqueous Species Options'!$W$4,'Aqueous Species Options'!$Z$4)*('Aqueous Species Options'!G668 + 'Aqueous Species Table'!O668*100000*0.0000005903*41.8393) + CHOOSE('Aqueous Species Options'!M668+1,'Aqueous Species Options'!$X$4*ABS('Aqueous Species Table'!P668)+'Aqueous Species Options'!$Y$4,'Aqueous Species Options'!$AA$4))*10 ) ) ) )</f>
        <v/>
      </c>
      <c r="J668" s="1" t="str">
        <f>IF(ISBLANK('Aqueous Species Options'!B668), "", IF('Aqueous Species Options'!L668 = 0, 'Aqueous Species Options'!O668, IF('Aqueous Species Table'!I668="", "", IF('Aqueous Species Options'!B668="H+", 0, ((1.11*('Aqueous Species Options'!G668 + 'Aqueous Species Table'!O668*100000*0.0000005903*41.8393)+1.8)/41.8393 - 'Aqueous Species Table'!I668/10)*26.01 ) ) ) )</f>
        <v/>
      </c>
      <c r="K668" s="1" t="str">
        <f>IF(ISBLANK('Aqueous Species Options'!B668), "", IF('Aqueous Species Options'!L668 = 0, 'Aqueous Species Options'!P668, IF('Aqueous Species Table'!I668="", "", IF('Aqueous Species Options'!B668="H+", 0, ('Aqueous Species Options'!G668/41.8393 + 'Aqueous Species Table'!O668*100000*0.0000005903 - 'Aqueous Species Table'!I668/10 - 'Aqueous Species Table'!J668*100/2601)*(298.15-228) - ('Aqueous Species Table'!L668*10000/2601) ) ) ) )</f>
        <v/>
      </c>
      <c r="L668" s="1" t="str">
        <f>IF(ISBLANK('Aqueous Species Options'!B668), "", IF('Aqueous Species Options'!L668 = 0, 'Aqueous Species Options'!Q668, IF('Aqueous Species Table'!J668="", "", IF('Aqueous Species Options'!B668="H+", 0, (-4.134*'Aqueous Species Table'!J668*100 - 27790)*0.0001) ) ) )</f>
        <v/>
      </c>
      <c r="M668" s="1" t="str">
        <f>IF(ISBLANK('Aqueous Species Options'!B668), "", IF('Aqueous Species Options'!L668=0, 'Aqueous Species Options'!R668, IF('Aqueous Species Table'!N668="", "", IF('Aqueous Species Options'!B668="H+", 0, 'Aqueous Species Options'!H668 - 'Aqueous Species Table'!O668*100000*(-0.000000309)*298.15 - 'Aqueous Species Table'!N668*10000/(298.15-228)^2 ) ) ) )</f>
        <v/>
      </c>
      <c r="N668" s="1" t="str">
        <f>IF(ISBLANK('Aqueous Species Options'!B668), "", IF('Aqueous Species Options'!L668=0, 'Aqueous Species Options'!S668, IF(OR(ISBLANK('Aqueous Species Options'!H668), 'Aqueous Species Table'!O668=""), "", IF('Aqueous Species Options'!B668="H+", 0, 0.2037*'Aqueous Species Options'!H668 - 3.0346) ) ) )</f>
        <v/>
      </c>
      <c r="O668" s="1" t="str">
        <f>IF(ISBLANK('Aqueous Species Options'!B668), "", IF('Aqueous Species Options'!K668=0, 'Aqueous Species Options'!I668, IF(OR('Aqueous Species Options'!J668&gt;4,'Aqueous Species Options'!J668&lt;-4), "", IF('Aqueous Species Options'!B668="H+", 0, IF('Aqueous Species Options'!J668=0, -0.038, IF(ISBLANK('Aqueous Species Options'!F668), "", -1514.4*'Aqueous Species Options'!F668*0.00001 + SUM(({4,3,2,1,-1,-2,-3,-4}='Aqueous Species Options'!J668)*{2.1764,1.5793,1.0579,0.5517,1.6291,3.2127,4.8115,6.486}) ) ) ) ) ) )</f>
        <v/>
      </c>
      <c r="P668" s="1" t="str">
        <f>IF(ISBLANK('Aqueous Species Options'!J668), "", 'Aqueous Species Options'!J668)</f>
        <v/>
      </c>
      <c r="Q668" s="184" t="str">
        <f>IF(ISBLANK('Aqueous Species Options'!T668), "", 'Aqueous Species Options'!T668)</f>
        <v/>
      </c>
    </row>
    <row r="669" spans="2:17" ht="16" x14ac:dyDescent="0.2">
      <c r="B669" t="str">
        <f>IF(ISBLANK('Aqueous Species Options'!B669), "", 'Aqueous Species Options'!B669)</f>
        <v/>
      </c>
      <c r="C669" s="1" t="str">
        <f>IF(ISBLANK('Aqueous Species Options'!C669), "", 'Aqueous Species Options'!C669)</f>
        <v/>
      </c>
      <c r="D669" s="1" t="str">
        <f>IF(ISBLANK('Aqueous Species Options'!D669), "", 'Aqueous Species Options'!D669)</f>
        <v/>
      </c>
      <c r="E669" s="1" t="str">
        <f>IF(ISBLANK('Aqueous Species Options'!E669), "", 'Aqueous Species Options'!E669)</f>
        <v/>
      </c>
      <c r="F669" s="139" t="str">
        <f>IF(ISBLANK('Aqueous Species Options'!F669), "", 'Aqueous Species Options'!F669)</f>
        <v/>
      </c>
      <c r="G669" s="29" t="str">
        <f>IF(ISBLANK('Aqueous Species Options'!B669), "", IF('Aqueous Species Options'!L669 = 1, IF(ISBLANK('Aqueous Species Options'!G669), "", 'Aqueous Species Options'!G669), ('Aqueous Species Table'!I669/10 + ('Aqueous Species Table'!J669*100)/(Calculations!$C$12+Calculations!$C$9) + ('Aqueous Species Table'!K669 + ('Aqueous Species Table'!L669*10000)/(Calculations!$C$12+Calculations!$C$9))*(1/(Calculations!$C$8-Calculations!$C$13)) - 'Aqueous Species Table'!O669*100000*0.0000005903)*41.8393))</f>
        <v/>
      </c>
      <c r="H669" s="29" t="str">
        <f>IF(ISBLANK('Aqueous Species Options'!B669), "", IF('Aqueous Species Options'!L669 = 1, IF(ISBLANK('Aqueous Species Options'!H669), "", 'Aqueous Species Options'!H669), 'Aqueous Species Table'!M669 + 'Aqueous Species Table'!N669*10000*(1/(Calculations!$C$8-Calculations!$C$13))^2 + 'Aqueous Species Table'!O669*100000*Calculations!$C$8*Calculations!$C$7))</f>
        <v/>
      </c>
      <c r="I669" s="1" t="str">
        <f>IF(ISBLANK('Aqueous Species Options'!B669), "", IF('Aqueous Species Options'!L669=0, 'Aqueous Species Options'!N669, IF(OR(ISBLANK('Aqueous Species Options'!G669),'Aqueous Species Table'!O669="", 'Aqueous Species Table'!P669=""), "", IF('Aqueous Species Options'!B669="H+", 0, (CHOOSE('Aqueous Species Options'!M669+1,'Aqueous Species Options'!$V$4*ABS('Aqueous Species Table'!P669)+'Aqueous Species Options'!$W$4,'Aqueous Species Options'!$Z$4)*('Aqueous Species Options'!G669 + 'Aqueous Species Table'!O669*100000*0.0000005903*41.8393) + CHOOSE('Aqueous Species Options'!M669+1,'Aqueous Species Options'!$X$4*ABS('Aqueous Species Table'!P669)+'Aqueous Species Options'!$Y$4,'Aqueous Species Options'!$AA$4))*10 ) ) ) )</f>
        <v/>
      </c>
      <c r="J669" s="1" t="str">
        <f>IF(ISBLANK('Aqueous Species Options'!B669), "", IF('Aqueous Species Options'!L669 = 0, 'Aqueous Species Options'!O669, IF('Aqueous Species Table'!I669="", "", IF('Aqueous Species Options'!B669="H+", 0, ((1.11*('Aqueous Species Options'!G669 + 'Aqueous Species Table'!O669*100000*0.0000005903*41.8393)+1.8)/41.8393 - 'Aqueous Species Table'!I669/10)*26.01 ) ) ) )</f>
        <v/>
      </c>
      <c r="K669" s="1" t="str">
        <f>IF(ISBLANK('Aqueous Species Options'!B669), "", IF('Aqueous Species Options'!L669 = 0, 'Aqueous Species Options'!P669, IF('Aqueous Species Table'!I669="", "", IF('Aqueous Species Options'!B669="H+", 0, ('Aqueous Species Options'!G669/41.8393 + 'Aqueous Species Table'!O669*100000*0.0000005903 - 'Aqueous Species Table'!I669/10 - 'Aqueous Species Table'!J669*100/2601)*(298.15-228) - ('Aqueous Species Table'!L669*10000/2601) ) ) ) )</f>
        <v/>
      </c>
      <c r="L669" s="1" t="str">
        <f>IF(ISBLANK('Aqueous Species Options'!B669), "", IF('Aqueous Species Options'!L669 = 0, 'Aqueous Species Options'!Q669, IF('Aqueous Species Table'!J669="", "", IF('Aqueous Species Options'!B669="H+", 0, (-4.134*'Aqueous Species Table'!J669*100 - 27790)*0.0001) ) ) )</f>
        <v/>
      </c>
      <c r="M669" s="1" t="str">
        <f>IF(ISBLANK('Aqueous Species Options'!B669), "", IF('Aqueous Species Options'!L669=0, 'Aqueous Species Options'!R669, IF('Aqueous Species Table'!N669="", "", IF('Aqueous Species Options'!B669="H+", 0, 'Aqueous Species Options'!H669 - 'Aqueous Species Table'!O669*100000*(-0.000000309)*298.15 - 'Aqueous Species Table'!N669*10000/(298.15-228)^2 ) ) ) )</f>
        <v/>
      </c>
      <c r="N669" s="1" t="str">
        <f>IF(ISBLANK('Aqueous Species Options'!B669), "", IF('Aqueous Species Options'!L669=0, 'Aqueous Species Options'!S669, IF(OR(ISBLANK('Aqueous Species Options'!H669), 'Aqueous Species Table'!O669=""), "", IF('Aqueous Species Options'!B669="H+", 0, 0.2037*'Aqueous Species Options'!H669 - 3.0346) ) ) )</f>
        <v/>
      </c>
      <c r="O669" s="1" t="str">
        <f>IF(ISBLANK('Aqueous Species Options'!B669), "", IF('Aqueous Species Options'!K669=0, 'Aqueous Species Options'!I669, IF(OR('Aqueous Species Options'!J669&gt;4,'Aqueous Species Options'!J669&lt;-4), "", IF('Aqueous Species Options'!B669="H+", 0, IF('Aqueous Species Options'!J669=0, -0.038, IF(ISBLANK('Aqueous Species Options'!F669), "", -1514.4*'Aqueous Species Options'!F669*0.00001 + SUM(({4,3,2,1,-1,-2,-3,-4}='Aqueous Species Options'!J669)*{2.1764,1.5793,1.0579,0.5517,1.6291,3.2127,4.8115,6.486}) ) ) ) ) ) )</f>
        <v/>
      </c>
      <c r="P669" s="1" t="str">
        <f>IF(ISBLANK('Aqueous Species Options'!J669), "", 'Aqueous Species Options'!J669)</f>
        <v/>
      </c>
      <c r="Q669" s="184" t="str">
        <f>IF(ISBLANK('Aqueous Species Options'!T669), "", 'Aqueous Species Options'!T669)</f>
        <v/>
      </c>
    </row>
    <row r="670" spans="2:17" ht="16" x14ac:dyDescent="0.2">
      <c r="B670" t="str">
        <f>IF(ISBLANK('Aqueous Species Options'!B670), "", 'Aqueous Species Options'!B670)</f>
        <v/>
      </c>
      <c r="C670" s="1" t="str">
        <f>IF(ISBLANK('Aqueous Species Options'!C670), "", 'Aqueous Species Options'!C670)</f>
        <v/>
      </c>
      <c r="D670" s="1" t="str">
        <f>IF(ISBLANK('Aqueous Species Options'!D670), "", 'Aqueous Species Options'!D670)</f>
        <v/>
      </c>
      <c r="E670" s="1" t="str">
        <f>IF(ISBLANK('Aqueous Species Options'!E670), "", 'Aqueous Species Options'!E670)</f>
        <v/>
      </c>
      <c r="F670" s="139" t="str">
        <f>IF(ISBLANK('Aqueous Species Options'!F670), "", 'Aqueous Species Options'!F670)</f>
        <v/>
      </c>
      <c r="G670" s="29" t="str">
        <f>IF(ISBLANK('Aqueous Species Options'!B670), "", IF('Aqueous Species Options'!L670 = 1, IF(ISBLANK('Aqueous Species Options'!G670), "", 'Aqueous Species Options'!G670), ('Aqueous Species Table'!I670/10 + ('Aqueous Species Table'!J670*100)/(Calculations!$C$12+Calculations!$C$9) + ('Aqueous Species Table'!K670 + ('Aqueous Species Table'!L670*10000)/(Calculations!$C$12+Calculations!$C$9))*(1/(Calculations!$C$8-Calculations!$C$13)) - 'Aqueous Species Table'!O670*100000*0.0000005903)*41.8393))</f>
        <v/>
      </c>
      <c r="H670" s="29" t="str">
        <f>IF(ISBLANK('Aqueous Species Options'!B670), "", IF('Aqueous Species Options'!L670 = 1, IF(ISBLANK('Aqueous Species Options'!H670), "", 'Aqueous Species Options'!H670), 'Aqueous Species Table'!M670 + 'Aqueous Species Table'!N670*10000*(1/(Calculations!$C$8-Calculations!$C$13))^2 + 'Aqueous Species Table'!O670*100000*Calculations!$C$8*Calculations!$C$7))</f>
        <v/>
      </c>
      <c r="I670" s="1" t="str">
        <f>IF(ISBLANK('Aqueous Species Options'!B670), "", IF('Aqueous Species Options'!L670=0, 'Aqueous Species Options'!N670, IF(OR(ISBLANK('Aqueous Species Options'!G670),'Aqueous Species Table'!O670="", 'Aqueous Species Table'!P670=""), "", IF('Aqueous Species Options'!B670="H+", 0, (CHOOSE('Aqueous Species Options'!M670+1,'Aqueous Species Options'!$V$4*ABS('Aqueous Species Table'!P670)+'Aqueous Species Options'!$W$4,'Aqueous Species Options'!$Z$4)*('Aqueous Species Options'!G670 + 'Aqueous Species Table'!O670*100000*0.0000005903*41.8393) + CHOOSE('Aqueous Species Options'!M670+1,'Aqueous Species Options'!$X$4*ABS('Aqueous Species Table'!P670)+'Aqueous Species Options'!$Y$4,'Aqueous Species Options'!$AA$4))*10 ) ) ) )</f>
        <v/>
      </c>
      <c r="J670" s="1" t="str">
        <f>IF(ISBLANK('Aqueous Species Options'!B670), "", IF('Aqueous Species Options'!L670 = 0, 'Aqueous Species Options'!O670, IF('Aqueous Species Table'!I670="", "", IF('Aqueous Species Options'!B670="H+", 0, ((1.11*('Aqueous Species Options'!G670 + 'Aqueous Species Table'!O670*100000*0.0000005903*41.8393)+1.8)/41.8393 - 'Aqueous Species Table'!I670/10)*26.01 ) ) ) )</f>
        <v/>
      </c>
      <c r="K670" s="1" t="str">
        <f>IF(ISBLANK('Aqueous Species Options'!B670), "", IF('Aqueous Species Options'!L670 = 0, 'Aqueous Species Options'!P670, IF('Aqueous Species Table'!I670="", "", IF('Aqueous Species Options'!B670="H+", 0, ('Aqueous Species Options'!G670/41.8393 + 'Aqueous Species Table'!O670*100000*0.0000005903 - 'Aqueous Species Table'!I670/10 - 'Aqueous Species Table'!J670*100/2601)*(298.15-228) - ('Aqueous Species Table'!L670*10000/2601) ) ) ) )</f>
        <v/>
      </c>
      <c r="L670" s="1" t="str">
        <f>IF(ISBLANK('Aqueous Species Options'!B670), "", IF('Aqueous Species Options'!L670 = 0, 'Aqueous Species Options'!Q670, IF('Aqueous Species Table'!J670="", "", IF('Aqueous Species Options'!B670="H+", 0, (-4.134*'Aqueous Species Table'!J670*100 - 27790)*0.0001) ) ) )</f>
        <v/>
      </c>
      <c r="M670" s="1" t="str">
        <f>IF(ISBLANK('Aqueous Species Options'!B670), "", IF('Aqueous Species Options'!L670=0, 'Aqueous Species Options'!R670, IF('Aqueous Species Table'!N670="", "", IF('Aqueous Species Options'!B670="H+", 0, 'Aqueous Species Options'!H670 - 'Aqueous Species Table'!O670*100000*(-0.000000309)*298.15 - 'Aqueous Species Table'!N670*10000/(298.15-228)^2 ) ) ) )</f>
        <v/>
      </c>
      <c r="N670" s="1" t="str">
        <f>IF(ISBLANK('Aqueous Species Options'!B670), "", IF('Aqueous Species Options'!L670=0, 'Aqueous Species Options'!S670, IF(OR(ISBLANK('Aqueous Species Options'!H670), 'Aqueous Species Table'!O670=""), "", IF('Aqueous Species Options'!B670="H+", 0, 0.2037*'Aqueous Species Options'!H670 - 3.0346) ) ) )</f>
        <v/>
      </c>
      <c r="O670" s="1" t="str">
        <f>IF(ISBLANK('Aqueous Species Options'!B670), "", IF('Aqueous Species Options'!K670=0, 'Aqueous Species Options'!I670, IF(OR('Aqueous Species Options'!J670&gt;4,'Aqueous Species Options'!J670&lt;-4), "", IF('Aqueous Species Options'!B670="H+", 0, IF('Aqueous Species Options'!J670=0, -0.038, IF(ISBLANK('Aqueous Species Options'!F670), "", -1514.4*'Aqueous Species Options'!F670*0.00001 + SUM(({4,3,2,1,-1,-2,-3,-4}='Aqueous Species Options'!J670)*{2.1764,1.5793,1.0579,0.5517,1.6291,3.2127,4.8115,6.486}) ) ) ) ) ) )</f>
        <v/>
      </c>
      <c r="P670" s="1" t="str">
        <f>IF(ISBLANK('Aqueous Species Options'!J670), "", 'Aqueous Species Options'!J670)</f>
        <v/>
      </c>
      <c r="Q670" s="184" t="str">
        <f>IF(ISBLANK('Aqueous Species Options'!T670), "", 'Aqueous Species Options'!T670)</f>
        <v/>
      </c>
    </row>
    <row r="671" spans="2:17" ht="16" x14ac:dyDescent="0.2">
      <c r="B671" t="str">
        <f>IF(ISBLANK('Aqueous Species Options'!B671), "", 'Aqueous Species Options'!B671)</f>
        <v/>
      </c>
      <c r="C671" s="1" t="str">
        <f>IF(ISBLANK('Aqueous Species Options'!C671), "", 'Aqueous Species Options'!C671)</f>
        <v/>
      </c>
      <c r="D671" s="1" t="str">
        <f>IF(ISBLANK('Aqueous Species Options'!D671), "", 'Aqueous Species Options'!D671)</f>
        <v/>
      </c>
      <c r="E671" s="1" t="str">
        <f>IF(ISBLANK('Aqueous Species Options'!E671), "", 'Aqueous Species Options'!E671)</f>
        <v/>
      </c>
      <c r="F671" s="139" t="str">
        <f>IF(ISBLANK('Aqueous Species Options'!F671), "", 'Aqueous Species Options'!F671)</f>
        <v/>
      </c>
      <c r="G671" s="29" t="str">
        <f>IF(ISBLANK('Aqueous Species Options'!B671), "", IF('Aqueous Species Options'!L671 = 1, IF(ISBLANK('Aqueous Species Options'!G671), "", 'Aqueous Species Options'!G671), ('Aqueous Species Table'!I671/10 + ('Aqueous Species Table'!J671*100)/(Calculations!$C$12+Calculations!$C$9) + ('Aqueous Species Table'!K671 + ('Aqueous Species Table'!L671*10000)/(Calculations!$C$12+Calculations!$C$9))*(1/(Calculations!$C$8-Calculations!$C$13)) - 'Aqueous Species Table'!O671*100000*0.0000005903)*41.8393))</f>
        <v/>
      </c>
      <c r="H671" s="29" t="str">
        <f>IF(ISBLANK('Aqueous Species Options'!B671), "", IF('Aqueous Species Options'!L671 = 1, IF(ISBLANK('Aqueous Species Options'!H671), "", 'Aqueous Species Options'!H671), 'Aqueous Species Table'!M671 + 'Aqueous Species Table'!N671*10000*(1/(Calculations!$C$8-Calculations!$C$13))^2 + 'Aqueous Species Table'!O671*100000*Calculations!$C$8*Calculations!$C$7))</f>
        <v/>
      </c>
      <c r="I671" s="1" t="str">
        <f>IF(ISBLANK('Aqueous Species Options'!B671), "", IF('Aqueous Species Options'!L671=0, 'Aqueous Species Options'!N671, IF(OR(ISBLANK('Aqueous Species Options'!G671),'Aqueous Species Table'!O671="", 'Aqueous Species Table'!P671=""), "", IF('Aqueous Species Options'!B671="H+", 0, (CHOOSE('Aqueous Species Options'!M671+1,'Aqueous Species Options'!$V$4*ABS('Aqueous Species Table'!P671)+'Aqueous Species Options'!$W$4,'Aqueous Species Options'!$Z$4)*('Aqueous Species Options'!G671 + 'Aqueous Species Table'!O671*100000*0.0000005903*41.8393) + CHOOSE('Aqueous Species Options'!M671+1,'Aqueous Species Options'!$X$4*ABS('Aqueous Species Table'!P671)+'Aqueous Species Options'!$Y$4,'Aqueous Species Options'!$AA$4))*10 ) ) ) )</f>
        <v/>
      </c>
      <c r="J671" s="1" t="str">
        <f>IF(ISBLANK('Aqueous Species Options'!B671), "", IF('Aqueous Species Options'!L671 = 0, 'Aqueous Species Options'!O671, IF('Aqueous Species Table'!I671="", "", IF('Aqueous Species Options'!B671="H+", 0, ((1.11*('Aqueous Species Options'!G671 + 'Aqueous Species Table'!O671*100000*0.0000005903*41.8393)+1.8)/41.8393 - 'Aqueous Species Table'!I671/10)*26.01 ) ) ) )</f>
        <v/>
      </c>
      <c r="K671" s="1" t="str">
        <f>IF(ISBLANK('Aqueous Species Options'!B671), "", IF('Aqueous Species Options'!L671 = 0, 'Aqueous Species Options'!P671, IF('Aqueous Species Table'!I671="", "", IF('Aqueous Species Options'!B671="H+", 0, ('Aqueous Species Options'!G671/41.8393 + 'Aqueous Species Table'!O671*100000*0.0000005903 - 'Aqueous Species Table'!I671/10 - 'Aqueous Species Table'!J671*100/2601)*(298.15-228) - ('Aqueous Species Table'!L671*10000/2601) ) ) ) )</f>
        <v/>
      </c>
      <c r="L671" s="1" t="str">
        <f>IF(ISBLANK('Aqueous Species Options'!B671), "", IF('Aqueous Species Options'!L671 = 0, 'Aqueous Species Options'!Q671, IF('Aqueous Species Table'!J671="", "", IF('Aqueous Species Options'!B671="H+", 0, (-4.134*'Aqueous Species Table'!J671*100 - 27790)*0.0001) ) ) )</f>
        <v/>
      </c>
      <c r="M671" s="1" t="str">
        <f>IF(ISBLANK('Aqueous Species Options'!B671), "", IF('Aqueous Species Options'!L671=0, 'Aqueous Species Options'!R671, IF('Aqueous Species Table'!N671="", "", IF('Aqueous Species Options'!B671="H+", 0, 'Aqueous Species Options'!H671 - 'Aqueous Species Table'!O671*100000*(-0.000000309)*298.15 - 'Aqueous Species Table'!N671*10000/(298.15-228)^2 ) ) ) )</f>
        <v/>
      </c>
      <c r="N671" s="1" t="str">
        <f>IF(ISBLANK('Aqueous Species Options'!B671), "", IF('Aqueous Species Options'!L671=0, 'Aqueous Species Options'!S671, IF(OR(ISBLANK('Aqueous Species Options'!H671), 'Aqueous Species Table'!O671=""), "", IF('Aqueous Species Options'!B671="H+", 0, 0.2037*'Aqueous Species Options'!H671 - 3.0346) ) ) )</f>
        <v/>
      </c>
      <c r="O671" s="1" t="str">
        <f>IF(ISBLANK('Aqueous Species Options'!B671), "", IF('Aqueous Species Options'!K671=0, 'Aqueous Species Options'!I671, IF(OR('Aqueous Species Options'!J671&gt;4,'Aqueous Species Options'!J671&lt;-4), "", IF('Aqueous Species Options'!B671="H+", 0, IF('Aqueous Species Options'!J671=0, -0.038, IF(ISBLANK('Aqueous Species Options'!F671), "", -1514.4*'Aqueous Species Options'!F671*0.00001 + SUM(({4,3,2,1,-1,-2,-3,-4}='Aqueous Species Options'!J671)*{2.1764,1.5793,1.0579,0.5517,1.6291,3.2127,4.8115,6.486}) ) ) ) ) ) )</f>
        <v/>
      </c>
      <c r="P671" s="1" t="str">
        <f>IF(ISBLANK('Aqueous Species Options'!J671), "", 'Aqueous Species Options'!J671)</f>
        <v/>
      </c>
      <c r="Q671" s="184" t="str">
        <f>IF(ISBLANK('Aqueous Species Options'!T671), "", 'Aqueous Species Options'!T671)</f>
        <v/>
      </c>
    </row>
    <row r="672" spans="2:17" ht="16" x14ac:dyDescent="0.2">
      <c r="B672" t="str">
        <f>IF(ISBLANK('Aqueous Species Options'!B672), "", 'Aqueous Species Options'!B672)</f>
        <v/>
      </c>
      <c r="C672" s="1" t="str">
        <f>IF(ISBLANK('Aqueous Species Options'!C672), "", 'Aqueous Species Options'!C672)</f>
        <v/>
      </c>
      <c r="D672" s="1" t="str">
        <f>IF(ISBLANK('Aqueous Species Options'!D672), "", 'Aqueous Species Options'!D672)</f>
        <v/>
      </c>
      <c r="E672" s="1" t="str">
        <f>IF(ISBLANK('Aqueous Species Options'!E672), "", 'Aqueous Species Options'!E672)</f>
        <v/>
      </c>
      <c r="F672" s="139" t="str">
        <f>IF(ISBLANK('Aqueous Species Options'!F672), "", 'Aqueous Species Options'!F672)</f>
        <v/>
      </c>
      <c r="G672" s="29" t="str">
        <f>IF(ISBLANK('Aqueous Species Options'!B672), "", IF('Aqueous Species Options'!L672 = 1, IF(ISBLANK('Aqueous Species Options'!G672), "", 'Aqueous Species Options'!G672), ('Aqueous Species Table'!I672/10 + ('Aqueous Species Table'!J672*100)/(Calculations!$C$12+Calculations!$C$9) + ('Aqueous Species Table'!K672 + ('Aqueous Species Table'!L672*10000)/(Calculations!$C$12+Calculations!$C$9))*(1/(Calculations!$C$8-Calculations!$C$13)) - 'Aqueous Species Table'!O672*100000*0.0000005903)*41.8393))</f>
        <v/>
      </c>
      <c r="H672" s="29" t="str">
        <f>IF(ISBLANK('Aqueous Species Options'!B672), "", IF('Aqueous Species Options'!L672 = 1, IF(ISBLANK('Aqueous Species Options'!H672), "", 'Aqueous Species Options'!H672), 'Aqueous Species Table'!M672 + 'Aqueous Species Table'!N672*10000*(1/(Calculations!$C$8-Calculations!$C$13))^2 + 'Aqueous Species Table'!O672*100000*Calculations!$C$8*Calculations!$C$7))</f>
        <v/>
      </c>
      <c r="I672" s="1" t="str">
        <f>IF(ISBLANK('Aqueous Species Options'!B672), "", IF('Aqueous Species Options'!L672=0, 'Aqueous Species Options'!N672, IF(OR(ISBLANK('Aqueous Species Options'!G672),'Aqueous Species Table'!O672="", 'Aqueous Species Table'!P672=""), "", IF('Aqueous Species Options'!B672="H+", 0, (CHOOSE('Aqueous Species Options'!M672+1,'Aqueous Species Options'!$V$4*ABS('Aqueous Species Table'!P672)+'Aqueous Species Options'!$W$4,'Aqueous Species Options'!$Z$4)*('Aqueous Species Options'!G672 + 'Aqueous Species Table'!O672*100000*0.0000005903*41.8393) + CHOOSE('Aqueous Species Options'!M672+1,'Aqueous Species Options'!$X$4*ABS('Aqueous Species Table'!P672)+'Aqueous Species Options'!$Y$4,'Aqueous Species Options'!$AA$4))*10 ) ) ) )</f>
        <v/>
      </c>
      <c r="J672" s="1" t="str">
        <f>IF(ISBLANK('Aqueous Species Options'!B672), "", IF('Aqueous Species Options'!L672 = 0, 'Aqueous Species Options'!O672, IF('Aqueous Species Table'!I672="", "", IF('Aqueous Species Options'!B672="H+", 0, ((1.11*('Aqueous Species Options'!G672 + 'Aqueous Species Table'!O672*100000*0.0000005903*41.8393)+1.8)/41.8393 - 'Aqueous Species Table'!I672/10)*26.01 ) ) ) )</f>
        <v/>
      </c>
      <c r="K672" s="1" t="str">
        <f>IF(ISBLANK('Aqueous Species Options'!B672), "", IF('Aqueous Species Options'!L672 = 0, 'Aqueous Species Options'!P672, IF('Aqueous Species Table'!I672="", "", IF('Aqueous Species Options'!B672="H+", 0, ('Aqueous Species Options'!G672/41.8393 + 'Aqueous Species Table'!O672*100000*0.0000005903 - 'Aqueous Species Table'!I672/10 - 'Aqueous Species Table'!J672*100/2601)*(298.15-228) - ('Aqueous Species Table'!L672*10000/2601) ) ) ) )</f>
        <v/>
      </c>
      <c r="L672" s="1" t="str">
        <f>IF(ISBLANK('Aqueous Species Options'!B672), "", IF('Aqueous Species Options'!L672 = 0, 'Aqueous Species Options'!Q672, IF('Aqueous Species Table'!J672="", "", IF('Aqueous Species Options'!B672="H+", 0, (-4.134*'Aqueous Species Table'!J672*100 - 27790)*0.0001) ) ) )</f>
        <v/>
      </c>
      <c r="M672" s="1" t="str">
        <f>IF(ISBLANK('Aqueous Species Options'!B672), "", IF('Aqueous Species Options'!L672=0, 'Aqueous Species Options'!R672, IF('Aqueous Species Table'!N672="", "", IF('Aqueous Species Options'!B672="H+", 0, 'Aqueous Species Options'!H672 - 'Aqueous Species Table'!O672*100000*(-0.000000309)*298.15 - 'Aqueous Species Table'!N672*10000/(298.15-228)^2 ) ) ) )</f>
        <v/>
      </c>
      <c r="N672" s="1" t="str">
        <f>IF(ISBLANK('Aqueous Species Options'!B672), "", IF('Aqueous Species Options'!L672=0, 'Aqueous Species Options'!S672, IF(OR(ISBLANK('Aqueous Species Options'!H672), 'Aqueous Species Table'!O672=""), "", IF('Aqueous Species Options'!B672="H+", 0, 0.2037*'Aqueous Species Options'!H672 - 3.0346) ) ) )</f>
        <v/>
      </c>
      <c r="O672" s="1" t="str">
        <f>IF(ISBLANK('Aqueous Species Options'!B672), "", IF('Aqueous Species Options'!K672=0, 'Aqueous Species Options'!I672, IF(OR('Aqueous Species Options'!J672&gt;4,'Aqueous Species Options'!J672&lt;-4), "", IF('Aqueous Species Options'!B672="H+", 0, IF('Aqueous Species Options'!J672=0, -0.038, IF(ISBLANK('Aqueous Species Options'!F672), "", -1514.4*'Aqueous Species Options'!F672*0.00001 + SUM(({4,3,2,1,-1,-2,-3,-4}='Aqueous Species Options'!J672)*{2.1764,1.5793,1.0579,0.5517,1.6291,3.2127,4.8115,6.486}) ) ) ) ) ) )</f>
        <v/>
      </c>
      <c r="P672" s="1" t="str">
        <f>IF(ISBLANK('Aqueous Species Options'!J672), "", 'Aqueous Species Options'!J672)</f>
        <v/>
      </c>
      <c r="Q672" s="184" t="str">
        <f>IF(ISBLANK('Aqueous Species Options'!T672), "", 'Aqueous Species Options'!T672)</f>
        <v/>
      </c>
    </row>
    <row r="673" spans="2:17" ht="16" x14ac:dyDescent="0.2">
      <c r="B673" t="str">
        <f>IF(ISBLANK('Aqueous Species Options'!B673), "", 'Aqueous Species Options'!B673)</f>
        <v/>
      </c>
      <c r="C673" s="1" t="str">
        <f>IF(ISBLANK('Aqueous Species Options'!C673), "", 'Aqueous Species Options'!C673)</f>
        <v/>
      </c>
      <c r="D673" s="1" t="str">
        <f>IF(ISBLANK('Aqueous Species Options'!D673), "", 'Aqueous Species Options'!D673)</f>
        <v/>
      </c>
      <c r="E673" s="1" t="str">
        <f>IF(ISBLANK('Aqueous Species Options'!E673), "", 'Aqueous Species Options'!E673)</f>
        <v/>
      </c>
      <c r="F673" s="139" t="str">
        <f>IF(ISBLANK('Aqueous Species Options'!F673), "", 'Aqueous Species Options'!F673)</f>
        <v/>
      </c>
      <c r="G673" s="29" t="str">
        <f>IF(ISBLANK('Aqueous Species Options'!B673), "", IF('Aqueous Species Options'!L673 = 1, IF(ISBLANK('Aqueous Species Options'!G673), "", 'Aqueous Species Options'!G673), ('Aqueous Species Table'!I673/10 + ('Aqueous Species Table'!J673*100)/(Calculations!$C$12+Calculations!$C$9) + ('Aqueous Species Table'!K673 + ('Aqueous Species Table'!L673*10000)/(Calculations!$C$12+Calculations!$C$9))*(1/(Calculations!$C$8-Calculations!$C$13)) - 'Aqueous Species Table'!O673*100000*0.0000005903)*41.8393))</f>
        <v/>
      </c>
      <c r="H673" s="29" t="str">
        <f>IF(ISBLANK('Aqueous Species Options'!B673), "", IF('Aqueous Species Options'!L673 = 1, IF(ISBLANK('Aqueous Species Options'!H673), "", 'Aqueous Species Options'!H673), 'Aqueous Species Table'!M673 + 'Aqueous Species Table'!N673*10000*(1/(Calculations!$C$8-Calculations!$C$13))^2 + 'Aqueous Species Table'!O673*100000*Calculations!$C$8*Calculations!$C$7))</f>
        <v/>
      </c>
      <c r="I673" s="1" t="str">
        <f>IF(ISBLANK('Aqueous Species Options'!B673), "", IF('Aqueous Species Options'!L673=0, 'Aqueous Species Options'!N673, IF(OR(ISBLANK('Aqueous Species Options'!G673),'Aqueous Species Table'!O673="", 'Aqueous Species Table'!P673=""), "", IF('Aqueous Species Options'!B673="H+", 0, (CHOOSE('Aqueous Species Options'!M673+1,'Aqueous Species Options'!$V$4*ABS('Aqueous Species Table'!P673)+'Aqueous Species Options'!$W$4,'Aqueous Species Options'!$Z$4)*('Aqueous Species Options'!G673 + 'Aqueous Species Table'!O673*100000*0.0000005903*41.8393) + CHOOSE('Aqueous Species Options'!M673+1,'Aqueous Species Options'!$X$4*ABS('Aqueous Species Table'!P673)+'Aqueous Species Options'!$Y$4,'Aqueous Species Options'!$AA$4))*10 ) ) ) )</f>
        <v/>
      </c>
      <c r="J673" s="1" t="str">
        <f>IF(ISBLANK('Aqueous Species Options'!B673), "", IF('Aqueous Species Options'!L673 = 0, 'Aqueous Species Options'!O673, IF('Aqueous Species Table'!I673="", "", IF('Aqueous Species Options'!B673="H+", 0, ((1.11*('Aqueous Species Options'!G673 + 'Aqueous Species Table'!O673*100000*0.0000005903*41.8393)+1.8)/41.8393 - 'Aqueous Species Table'!I673/10)*26.01 ) ) ) )</f>
        <v/>
      </c>
      <c r="K673" s="1" t="str">
        <f>IF(ISBLANK('Aqueous Species Options'!B673), "", IF('Aqueous Species Options'!L673 = 0, 'Aqueous Species Options'!P673, IF('Aqueous Species Table'!I673="", "", IF('Aqueous Species Options'!B673="H+", 0, ('Aqueous Species Options'!G673/41.8393 + 'Aqueous Species Table'!O673*100000*0.0000005903 - 'Aqueous Species Table'!I673/10 - 'Aqueous Species Table'!J673*100/2601)*(298.15-228) - ('Aqueous Species Table'!L673*10000/2601) ) ) ) )</f>
        <v/>
      </c>
      <c r="L673" s="1" t="str">
        <f>IF(ISBLANK('Aqueous Species Options'!B673), "", IF('Aqueous Species Options'!L673 = 0, 'Aqueous Species Options'!Q673, IF('Aqueous Species Table'!J673="", "", IF('Aqueous Species Options'!B673="H+", 0, (-4.134*'Aqueous Species Table'!J673*100 - 27790)*0.0001) ) ) )</f>
        <v/>
      </c>
      <c r="M673" s="1" t="str">
        <f>IF(ISBLANK('Aqueous Species Options'!B673), "", IF('Aqueous Species Options'!L673=0, 'Aqueous Species Options'!R673, IF('Aqueous Species Table'!N673="", "", IF('Aqueous Species Options'!B673="H+", 0, 'Aqueous Species Options'!H673 - 'Aqueous Species Table'!O673*100000*(-0.000000309)*298.15 - 'Aqueous Species Table'!N673*10000/(298.15-228)^2 ) ) ) )</f>
        <v/>
      </c>
      <c r="N673" s="1" t="str">
        <f>IF(ISBLANK('Aqueous Species Options'!B673), "", IF('Aqueous Species Options'!L673=0, 'Aqueous Species Options'!S673, IF(OR(ISBLANK('Aqueous Species Options'!H673), 'Aqueous Species Table'!O673=""), "", IF('Aqueous Species Options'!B673="H+", 0, 0.2037*'Aqueous Species Options'!H673 - 3.0346) ) ) )</f>
        <v/>
      </c>
      <c r="O673" s="1" t="str">
        <f>IF(ISBLANK('Aqueous Species Options'!B673), "", IF('Aqueous Species Options'!K673=0, 'Aqueous Species Options'!I673, IF(OR('Aqueous Species Options'!J673&gt;4,'Aqueous Species Options'!J673&lt;-4), "", IF('Aqueous Species Options'!B673="H+", 0, IF('Aqueous Species Options'!J673=0, -0.038, IF(ISBLANK('Aqueous Species Options'!F673), "", -1514.4*'Aqueous Species Options'!F673*0.00001 + SUM(({4,3,2,1,-1,-2,-3,-4}='Aqueous Species Options'!J673)*{2.1764,1.5793,1.0579,0.5517,1.6291,3.2127,4.8115,6.486}) ) ) ) ) ) )</f>
        <v/>
      </c>
      <c r="P673" s="1" t="str">
        <f>IF(ISBLANK('Aqueous Species Options'!J673), "", 'Aqueous Species Options'!J673)</f>
        <v/>
      </c>
      <c r="Q673" s="184" t="str">
        <f>IF(ISBLANK('Aqueous Species Options'!T673), "", 'Aqueous Species Options'!T673)</f>
        <v/>
      </c>
    </row>
    <row r="674" spans="2:17" ht="16" x14ac:dyDescent="0.2">
      <c r="B674" t="str">
        <f>IF(ISBLANK('Aqueous Species Options'!B674), "", 'Aqueous Species Options'!B674)</f>
        <v/>
      </c>
      <c r="C674" s="1" t="str">
        <f>IF(ISBLANK('Aqueous Species Options'!C674), "", 'Aqueous Species Options'!C674)</f>
        <v/>
      </c>
      <c r="D674" s="1" t="str">
        <f>IF(ISBLANK('Aqueous Species Options'!D674), "", 'Aqueous Species Options'!D674)</f>
        <v/>
      </c>
      <c r="E674" s="1" t="str">
        <f>IF(ISBLANK('Aqueous Species Options'!E674), "", 'Aqueous Species Options'!E674)</f>
        <v/>
      </c>
      <c r="F674" s="139" t="str">
        <f>IF(ISBLANK('Aqueous Species Options'!F674), "", 'Aqueous Species Options'!F674)</f>
        <v/>
      </c>
      <c r="G674" s="29" t="str">
        <f>IF(ISBLANK('Aqueous Species Options'!B674), "", IF('Aqueous Species Options'!L674 = 1, IF(ISBLANK('Aqueous Species Options'!G674), "", 'Aqueous Species Options'!G674), ('Aqueous Species Table'!I674/10 + ('Aqueous Species Table'!J674*100)/(Calculations!$C$12+Calculations!$C$9) + ('Aqueous Species Table'!K674 + ('Aqueous Species Table'!L674*10000)/(Calculations!$C$12+Calculations!$C$9))*(1/(Calculations!$C$8-Calculations!$C$13)) - 'Aqueous Species Table'!O674*100000*0.0000005903)*41.8393))</f>
        <v/>
      </c>
      <c r="H674" s="29" t="str">
        <f>IF(ISBLANK('Aqueous Species Options'!B674), "", IF('Aqueous Species Options'!L674 = 1, IF(ISBLANK('Aqueous Species Options'!H674), "", 'Aqueous Species Options'!H674), 'Aqueous Species Table'!M674 + 'Aqueous Species Table'!N674*10000*(1/(Calculations!$C$8-Calculations!$C$13))^2 + 'Aqueous Species Table'!O674*100000*Calculations!$C$8*Calculations!$C$7))</f>
        <v/>
      </c>
      <c r="I674" s="1" t="str">
        <f>IF(ISBLANK('Aqueous Species Options'!B674), "", IF('Aqueous Species Options'!L674=0, 'Aqueous Species Options'!N674, IF(OR(ISBLANK('Aqueous Species Options'!G674),'Aqueous Species Table'!O674="", 'Aqueous Species Table'!P674=""), "", IF('Aqueous Species Options'!B674="H+", 0, (CHOOSE('Aqueous Species Options'!M674+1,'Aqueous Species Options'!$V$4*ABS('Aqueous Species Table'!P674)+'Aqueous Species Options'!$W$4,'Aqueous Species Options'!$Z$4)*('Aqueous Species Options'!G674 + 'Aqueous Species Table'!O674*100000*0.0000005903*41.8393) + CHOOSE('Aqueous Species Options'!M674+1,'Aqueous Species Options'!$X$4*ABS('Aqueous Species Table'!P674)+'Aqueous Species Options'!$Y$4,'Aqueous Species Options'!$AA$4))*10 ) ) ) )</f>
        <v/>
      </c>
      <c r="J674" s="1" t="str">
        <f>IF(ISBLANK('Aqueous Species Options'!B674), "", IF('Aqueous Species Options'!L674 = 0, 'Aqueous Species Options'!O674, IF('Aqueous Species Table'!I674="", "", IF('Aqueous Species Options'!B674="H+", 0, ((1.11*('Aqueous Species Options'!G674 + 'Aqueous Species Table'!O674*100000*0.0000005903*41.8393)+1.8)/41.8393 - 'Aqueous Species Table'!I674/10)*26.01 ) ) ) )</f>
        <v/>
      </c>
      <c r="K674" s="1" t="str">
        <f>IF(ISBLANK('Aqueous Species Options'!B674), "", IF('Aqueous Species Options'!L674 = 0, 'Aqueous Species Options'!P674, IF('Aqueous Species Table'!I674="", "", IF('Aqueous Species Options'!B674="H+", 0, ('Aqueous Species Options'!G674/41.8393 + 'Aqueous Species Table'!O674*100000*0.0000005903 - 'Aqueous Species Table'!I674/10 - 'Aqueous Species Table'!J674*100/2601)*(298.15-228) - ('Aqueous Species Table'!L674*10000/2601) ) ) ) )</f>
        <v/>
      </c>
      <c r="L674" s="1" t="str">
        <f>IF(ISBLANK('Aqueous Species Options'!B674), "", IF('Aqueous Species Options'!L674 = 0, 'Aqueous Species Options'!Q674, IF('Aqueous Species Table'!J674="", "", IF('Aqueous Species Options'!B674="H+", 0, (-4.134*'Aqueous Species Table'!J674*100 - 27790)*0.0001) ) ) )</f>
        <v/>
      </c>
      <c r="M674" s="1" t="str">
        <f>IF(ISBLANK('Aqueous Species Options'!B674), "", IF('Aqueous Species Options'!L674=0, 'Aqueous Species Options'!R674, IF('Aqueous Species Table'!N674="", "", IF('Aqueous Species Options'!B674="H+", 0, 'Aqueous Species Options'!H674 - 'Aqueous Species Table'!O674*100000*(-0.000000309)*298.15 - 'Aqueous Species Table'!N674*10000/(298.15-228)^2 ) ) ) )</f>
        <v/>
      </c>
      <c r="N674" s="1" t="str">
        <f>IF(ISBLANK('Aqueous Species Options'!B674), "", IF('Aqueous Species Options'!L674=0, 'Aqueous Species Options'!S674, IF(OR(ISBLANK('Aqueous Species Options'!H674), 'Aqueous Species Table'!O674=""), "", IF('Aqueous Species Options'!B674="H+", 0, 0.2037*'Aqueous Species Options'!H674 - 3.0346) ) ) )</f>
        <v/>
      </c>
      <c r="O674" s="1" t="str">
        <f>IF(ISBLANK('Aqueous Species Options'!B674), "", IF('Aqueous Species Options'!K674=0, 'Aqueous Species Options'!I674, IF(OR('Aqueous Species Options'!J674&gt;4,'Aqueous Species Options'!J674&lt;-4), "", IF('Aqueous Species Options'!B674="H+", 0, IF('Aqueous Species Options'!J674=0, -0.038, IF(ISBLANK('Aqueous Species Options'!F674), "", -1514.4*'Aqueous Species Options'!F674*0.00001 + SUM(({4,3,2,1,-1,-2,-3,-4}='Aqueous Species Options'!J674)*{2.1764,1.5793,1.0579,0.5517,1.6291,3.2127,4.8115,6.486}) ) ) ) ) ) )</f>
        <v/>
      </c>
      <c r="P674" s="1" t="str">
        <f>IF(ISBLANK('Aqueous Species Options'!J674), "", 'Aqueous Species Options'!J674)</f>
        <v/>
      </c>
      <c r="Q674" s="184" t="str">
        <f>IF(ISBLANK('Aqueous Species Options'!T674), "", 'Aqueous Species Options'!T674)</f>
        <v/>
      </c>
    </row>
    <row r="675" spans="2:17" ht="16" x14ac:dyDescent="0.2">
      <c r="B675" t="str">
        <f>IF(ISBLANK('Aqueous Species Options'!B675), "", 'Aqueous Species Options'!B675)</f>
        <v/>
      </c>
      <c r="C675" s="1" t="str">
        <f>IF(ISBLANK('Aqueous Species Options'!C675), "", 'Aqueous Species Options'!C675)</f>
        <v/>
      </c>
      <c r="D675" s="1" t="str">
        <f>IF(ISBLANK('Aqueous Species Options'!D675), "", 'Aqueous Species Options'!D675)</f>
        <v/>
      </c>
      <c r="E675" s="1" t="str">
        <f>IF(ISBLANK('Aqueous Species Options'!E675), "", 'Aqueous Species Options'!E675)</f>
        <v/>
      </c>
      <c r="F675" s="139" t="str">
        <f>IF(ISBLANK('Aqueous Species Options'!F675), "", 'Aqueous Species Options'!F675)</f>
        <v/>
      </c>
      <c r="G675" s="29" t="str">
        <f>IF(ISBLANK('Aqueous Species Options'!B675), "", IF('Aqueous Species Options'!L675 = 1, IF(ISBLANK('Aqueous Species Options'!G675), "", 'Aqueous Species Options'!G675), ('Aqueous Species Table'!I675/10 + ('Aqueous Species Table'!J675*100)/(Calculations!$C$12+Calculations!$C$9) + ('Aqueous Species Table'!K675 + ('Aqueous Species Table'!L675*10000)/(Calculations!$C$12+Calculations!$C$9))*(1/(Calculations!$C$8-Calculations!$C$13)) - 'Aqueous Species Table'!O675*100000*0.0000005903)*41.8393))</f>
        <v/>
      </c>
      <c r="H675" s="29" t="str">
        <f>IF(ISBLANK('Aqueous Species Options'!B675), "", IF('Aqueous Species Options'!L675 = 1, IF(ISBLANK('Aqueous Species Options'!H675), "", 'Aqueous Species Options'!H675), 'Aqueous Species Table'!M675 + 'Aqueous Species Table'!N675*10000*(1/(Calculations!$C$8-Calculations!$C$13))^2 + 'Aqueous Species Table'!O675*100000*Calculations!$C$8*Calculations!$C$7))</f>
        <v/>
      </c>
      <c r="I675" s="1" t="str">
        <f>IF(ISBLANK('Aqueous Species Options'!B675), "", IF('Aqueous Species Options'!L675=0, 'Aqueous Species Options'!N675, IF(OR(ISBLANK('Aqueous Species Options'!G675),'Aqueous Species Table'!O675="", 'Aqueous Species Table'!P675=""), "", IF('Aqueous Species Options'!B675="H+", 0, (CHOOSE('Aqueous Species Options'!M675+1,'Aqueous Species Options'!$V$4*ABS('Aqueous Species Table'!P675)+'Aqueous Species Options'!$W$4,'Aqueous Species Options'!$Z$4)*('Aqueous Species Options'!G675 + 'Aqueous Species Table'!O675*100000*0.0000005903*41.8393) + CHOOSE('Aqueous Species Options'!M675+1,'Aqueous Species Options'!$X$4*ABS('Aqueous Species Table'!P675)+'Aqueous Species Options'!$Y$4,'Aqueous Species Options'!$AA$4))*10 ) ) ) )</f>
        <v/>
      </c>
      <c r="J675" s="1" t="str">
        <f>IF(ISBLANK('Aqueous Species Options'!B675), "", IF('Aqueous Species Options'!L675 = 0, 'Aqueous Species Options'!O675, IF('Aqueous Species Table'!I675="", "", IF('Aqueous Species Options'!B675="H+", 0, ((1.11*('Aqueous Species Options'!G675 + 'Aqueous Species Table'!O675*100000*0.0000005903*41.8393)+1.8)/41.8393 - 'Aqueous Species Table'!I675/10)*26.01 ) ) ) )</f>
        <v/>
      </c>
      <c r="K675" s="1" t="str">
        <f>IF(ISBLANK('Aqueous Species Options'!B675), "", IF('Aqueous Species Options'!L675 = 0, 'Aqueous Species Options'!P675, IF('Aqueous Species Table'!I675="", "", IF('Aqueous Species Options'!B675="H+", 0, ('Aqueous Species Options'!G675/41.8393 + 'Aqueous Species Table'!O675*100000*0.0000005903 - 'Aqueous Species Table'!I675/10 - 'Aqueous Species Table'!J675*100/2601)*(298.15-228) - ('Aqueous Species Table'!L675*10000/2601) ) ) ) )</f>
        <v/>
      </c>
      <c r="L675" s="1" t="str">
        <f>IF(ISBLANK('Aqueous Species Options'!B675), "", IF('Aqueous Species Options'!L675 = 0, 'Aqueous Species Options'!Q675, IF('Aqueous Species Table'!J675="", "", IF('Aqueous Species Options'!B675="H+", 0, (-4.134*'Aqueous Species Table'!J675*100 - 27790)*0.0001) ) ) )</f>
        <v/>
      </c>
      <c r="M675" s="1" t="str">
        <f>IF(ISBLANK('Aqueous Species Options'!B675), "", IF('Aqueous Species Options'!L675=0, 'Aqueous Species Options'!R675, IF('Aqueous Species Table'!N675="", "", IF('Aqueous Species Options'!B675="H+", 0, 'Aqueous Species Options'!H675 - 'Aqueous Species Table'!O675*100000*(-0.000000309)*298.15 - 'Aqueous Species Table'!N675*10000/(298.15-228)^2 ) ) ) )</f>
        <v/>
      </c>
      <c r="N675" s="1" t="str">
        <f>IF(ISBLANK('Aqueous Species Options'!B675), "", IF('Aqueous Species Options'!L675=0, 'Aqueous Species Options'!S675, IF(OR(ISBLANK('Aqueous Species Options'!H675), 'Aqueous Species Table'!O675=""), "", IF('Aqueous Species Options'!B675="H+", 0, 0.2037*'Aqueous Species Options'!H675 - 3.0346) ) ) )</f>
        <v/>
      </c>
      <c r="O675" s="1" t="str">
        <f>IF(ISBLANK('Aqueous Species Options'!B675), "", IF('Aqueous Species Options'!K675=0, 'Aqueous Species Options'!I675, IF(OR('Aqueous Species Options'!J675&gt;4,'Aqueous Species Options'!J675&lt;-4), "", IF('Aqueous Species Options'!B675="H+", 0, IF('Aqueous Species Options'!J675=0, -0.038, IF(ISBLANK('Aqueous Species Options'!F675), "", -1514.4*'Aqueous Species Options'!F675*0.00001 + SUM(({4,3,2,1,-1,-2,-3,-4}='Aqueous Species Options'!J675)*{2.1764,1.5793,1.0579,0.5517,1.6291,3.2127,4.8115,6.486}) ) ) ) ) ) )</f>
        <v/>
      </c>
      <c r="P675" s="1" t="str">
        <f>IF(ISBLANK('Aqueous Species Options'!J675), "", 'Aqueous Species Options'!J675)</f>
        <v/>
      </c>
      <c r="Q675" s="184" t="str">
        <f>IF(ISBLANK('Aqueous Species Options'!T675), "", 'Aqueous Species Options'!T675)</f>
        <v/>
      </c>
    </row>
    <row r="676" spans="2:17" ht="16" x14ac:dyDescent="0.2">
      <c r="B676" t="str">
        <f>IF(ISBLANK('Aqueous Species Options'!B676), "", 'Aqueous Species Options'!B676)</f>
        <v/>
      </c>
      <c r="C676" s="1" t="str">
        <f>IF(ISBLANK('Aqueous Species Options'!C676), "", 'Aqueous Species Options'!C676)</f>
        <v/>
      </c>
      <c r="D676" s="1" t="str">
        <f>IF(ISBLANK('Aqueous Species Options'!D676), "", 'Aqueous Species Options'!D676)</f>
        <v/>
      </c>
      <c r="E676" s="1" t="str">
        <f>IF(ISBLANK('Aqueous Species Options'!E676), "", 'Aqueous Species Options'!E676)</f>
        <v/>
      </c>
      <c r="F676" s="139" t="str">
        <f>IF(ISBLANK('Aqueous Species Options'!F676), "", 'Aqueous Species Options'!F676)</f>
        <v/>
      </c>
      <c r="G676" s="29" t="str">
        <f>IF(ISBLANK('Aqueous Species Options'!B676), "", IF('Aqueous Species Options'!L676 = 1, IF(ISBLANK('Aqueous Species Options'!G676), "", 'Aqueous Species Options'!G676), ('Aqueous Species Table'!I676/10 + ('Aqueous Species Table'!J676*100)/(Calculations!$C$12+Calculations!$C$9) + ('Aqueous Species Table'!K676 + ('Aqueous Species Table'!L676*10000)/(Calculations!$C$12+Calculations!$C$9))*(1/(Calculations!$C$8-Calculations!$C$13)) - 'Aqueous Species Table'!O676*100000*0.0000005903)*41.8393))</f>
        <v/>
      </c>
      <c r="H676" s="29" t="str">
        <f>IF(ISBLANK('Aqueous Species Options'!B676), "", IF('Aqueous Species Options'!L676 = 1, IF(ISBLANK('Aqueous Species Options'!H676), "", 'Aqueous Species Options'!H676), 'Aqueous Species Table'!M676 + 'Aqueous Species Table'!N676*10000*(1/(Calculations!$C$8-Calculations!$C$13))^2 + 'Aqueous Species Table'!O676*100000*Calculations!$C$8*Calculations!$C$7))</f>
        <v/>
      </c>
      <c r="I676" s="1" t="str">
        <f>IF(ISBLANK('Aqueous Species Options'!B676), "", IF('Aqueous Species Options'!L676=0, 'Aqueous Species Options'!N676, IF(OR(ISBLANK('Aqueous Species Options'!G676),'Aqueous Species Table'!O676="", 'Aqueous Species Table'!P676=""), "", IF('Aqueous Species Options'!B676="H+", 0, (CHOOSE('Aqueous Species Options'!M676+1,'Aqueous Species Options'!$V$4*ABS('Aqueous Species Table'!P676)+'Aqueous Species Options'!$W$4,'Aqueous Species Options'!$Z$4)*('Aqueous Species Options'!G676 + 'Aqueous Species Table'!O676*100000*0.0000005903*41.8393) + CHOOSE('Aqueous Species Options'!M676+1,'Aqueous Species Options'!$X$4*ABS('Aqueous Species Table'!P676)+'Aqueous Species Options'!$Y$4,'Aqueous Species Options'!$AA$4))*10 ) ) ) )</f>
        <v/>
      </c>
      <c r="J676" s="1" t="str">
        <f>IF(ISBLANK('Aqueous Species Options'!B676), "", IF('Aqueous Species Options'!L676 = 0, 'Aqueous Species Options'!O676, IF('Aqueous Species Table'!I676="", "", IF('Aqueous Species Options'!B676="H+", 0, ((1.11*('Aqueous Species Options'!G676 + 'Aqueous Species Table'!O676*100000*0.0000005903*41.8393)+1.8)/41.8393 - 'Aqueous Species Table'!I676/10)*26.01 ) ) ) )</f>
        <v/>
      </c>
      <c r="K676" s="1" t="str">
        <f>IF(ISBLANK('Aqueous Species Options'!B676), "", IF('Aqueous Species Options'!L676 = 0, 'Aqueous Species Options'!P676, IF('Aqueous Species Table'!I676="", "", IF('Aqueous Species Options'!B676="H+", 0, ('Aqueous Species Options'!G676/41.8393 + 'Aqueous Species Table'!O676*100000*0.0000005903 - 'Aqueous Species Table'!I676/10 - 'Aqueous Species Table'!J676*100/2601)*(298.15-228) - ('Aqueous Species Table'!L676*10000/2601) ) ) ) )</f>
        <v/>
      </c>
      <c r="L676" s="1" t="str">
        <f>IF(ISBLANK('Aqueous Species Options'!B676), "", IF('Aqueous Species Options'!L676 = 0, 'Aqueous Species Options'!Q676, IF('Aqueous Species Table'!J676="", "", IF('Aqueous Species Options'!B676="H+", 0, (-4.134*'Aqueous Species Table'!J676*100 - 27790)*0.0001) ) ) )</f>
        <v/>
      </c>
      <c r="M676" s="1" t="str">
        <f>IF(ISBLANK('Aqueous Species Options'!B676), "", IF('Aqueous Species Options'!L676=0, 'Aqueous Species Options'!R676, IF('Aqueous Species Table'!N676="", "", IF('Aqueous Species Options'!B676="H+", 0, 'Aqueous Species Options'!H676 - 'Aqueous Species Table'!O676*100000*(-0.000000309)*298.15 - 'Aqueous Species Table'!N676*10000/(298.15-228)^2 ) ) ) )</f>
        <v/>
      </c>
      <c r="N676" s="1" t="str">
        <f>IF(ISBLANK('Aqueous Species Options'!B676), "", IF('Aqueous Species Options'!L676=0, 'Aqueous Species Options'!S676, IF(OR(ISBLANK('Aqueous Species Options'!H676), 'Aqueous Species Table'!O676=""), "", IF('Aqueous Species Options'!B676="H+", 0, 0.2037*'Aqueous Species Options'!H676 - 3.0346) ) ) )</f>
        <v/>
      </c>
      <c r="O676" s="1" t="str">
        <f>IF(ISBLANK('Aqueous Species Options'!B676), "", IF('Aqueous Species Options'!K676=0, 'Aqueous Species Options'!I676, IF(OR('Aqueous Species Options'!J676&gt;4,'Aqueous Species Options'!J676&lt;-4), "", IF('Aqueous Species Options'!B676="H+", 0, IF('Aqueous Species Options'!J676=0, -0.038, IF(ISBLANK('Aqueous Species Options'!F676), "", -1514.4*'Aqueous Species Options'!F676*0.00001 + SUM(({4,3,2,1,-1,-2,-3,-4}='Aqueous Species Options'!J676)*{2.1764,1.5793,1.0579,0.5517,1.6291,3.2127,4.8115,6.486}) ) ) ) ) ) )</f>
        <v/>
      </c>
      <c r="P676" s="1" t="str">
        <f>IF(ISBLANK('Aqueous Species Options'!J676), "", 'Aqueous Species Options'!J676)</f>
        <v/>
      </c>
      <c r="Q676" s="184" t="str">
        <f>IF(ISBLANK('Aqueous Species Options'!T676), "", 'Aqueous Species Options'!T676)</f>
        <v/>
      </c>
    </row>
    <row r="677" spans="2:17" ht="16" x14ac:dyDescent="0.2">
      <c r="B677" t="str">
        <f>IF(ISBLANK('Aqueous Species Options'!B677), "", 'Aqueous Species Options'!B677)</f>
        <v/>
      </c>
      <c r="C677" s="1" t="str">
        <f>IF(ISBLANK('Aqueous Species Options'!C677), "", 'Aqueous Species Options'!C677)</f>
        <v/>
      </c>
      <c r="D677" s="1" t="str">
        <f>IF(ISBLANK('Aqueous Species Options'!D677), "", 'Aqueous Species Options'!D677)</f>
        <v/>
      </c>
      <c r="E677" s="1" t="str">
        <f>IF(ISBLANK('Aqueous Species Options'!E677), "", 'Aqueous Species Options'!E677)</f>
        <v/>
      </c>
      <c r="F677" s="139" t="str">
        <f>IF(ISBLANK('Aqueous Species Options'!F677), "", 'Aqueous Species Options'!F677)</f>
        <v/>
      </c>
      <c r="G677" s="29" t="str">
        <f>IF(ISBLANK('Aqueous Species Options'!B677), "", IF('Aqueous Species Options'!L677 = 1, IF(ISBLANK('Aqueous Species Options'!G677), "", 'Aqueous Species Options'!G677), ('Aqueous Species Table'!I677/10 + ('Aqueous Species Table'!J677*100)/(Calculations!$C$12+Calculations!$C$9) + ('Aqueous Species Table'!K677 + ('Aqueous Species Table'!L677*10000)/(Calculations!$C$12+Calculations!$C$9))*(1/(Calculations!$C$8-Calculations!$C$13)) - 'Aqueous Species Table'!O677*100000*0.0000005903)*41.8393))</f>
        <v/>
      </c>
      <c r="H677" s="29" t="str">
        <f>IF(ISBLANK('Aqueous Species Options'!B677), "", IF('Aqueous Species Options'!L677 = 1, IF(ISBLANK('Aqueous Species Options'!H677), "", 'Aqueous Species Options'!H677), 'Aqueous Species Table'!M677 + 'Aqueous Species Table'!N677*10000*(1/(Calculations!$C$8-Calculations!$C$13))^2 + 'Aqueous Species Table'!O677*100000*Calculations!$C$8*Calculations!$C$7))</f>
        <v/>
      </c>
      <c r="I677" s="1" t="str">
        <f>IF(ISBLANK('Aqueous Species Options'!B677), "", IF('Aqueous Species Options'!L677=0, 'Aqueous Species Options'!N677, IF(OR(ISBLANK('Aqueous Species Options'!G677),'Aqueous Species Table'!O677="", 'Aqueous Species Table'!P677=""), "", IF('Aqueous Species Options'!B677="H+", 0, (CHOOSE('Aqueous Species Options'!M677+1,'Aqueous Species Options'!$V$4*ABS('Aqueous Species Table'!P677)+'Aqueous Species Options'!$W$4,'Aqueous Species Options'!$Z$4)*('Aqueous Species Options'!G677 + 'Aqueous Species Table'!O677*100000*0.0000005903*41.8393) + CHOOSE('Aqueous Species Options'!M677+1,'Aqueous Species Options'!$X$4*ABS('Aqueous Species Table'!P677)+'Aqueous Species Options'!$Y$4,'Aqueous Species Options'!$AA$4))*10 ) ) ) )</f>
        <v/>
      </c>
      <c r="J677" s="1" t="str">
        <f>IF(ISBLANK('Aqueous Species Options'!B677), "", IF('Aqueous Species Options'!L677 = 0, 'Aqueous Species Options'!O677, IF('Aqueous Species Table'!I677="", "", IF('Aqueous Species Options'!B677="H+", 0, ((1.11*('Aqueous Species Options'!G677 + 'Aqueous Species Table'!O677*100000*0.0000005903*41.8393)+1.8)/41.8393 - 'Aqueous Species Table'!I677/10)*26.01 ) ) ) )</f>
        <v/>
      </c>
      <c r="K677" s="1" t="str">
        <f>IF(ISBLANK('Aqueous Species Options'!B677), "", IF('Aqueous Species Options'!L677 = 0, 'Aqueous Species Options'!P677, IF('Aqueous Species Table'!I677="", "", IF('Aqueous Species Options'!B677="H+", 0, ('Aqueous Species Options'!G677/41.8393 + 'Aqueous Species Table'!O677*100000*0.0000005903 - 'Aqueous Species Table'!I677/10 - 'Aqueous Species Table'!J677*100/2601)*(298.15-228) - ('Aqueous Species Table'!L677*10000/2601) ) ) ) )</f>
        <v/>
      </c>
      <c r="L677" s="1" t="str">
        <f>IF(ISBLANK('Aqueous Species Options'!B677), "", IF('Aqueous Species Options'!L677 = 0, 'Aqueous Species Options'!Q677, IF('Aqueous Species Table'!J677="", "", IF('Aqueous Species Options'!B677="H+", 0, (-4.134*'Aqueous Species Table'!J677*100 - 27790)*0.0001) ) ) )</f>
        <v/>
      </c>
      <c r="M677" s="1" t="str">
        <f>IF(ISBLANK('Aqueous Species Options'!B677), "", IF('Aqueous Species Options'!L677=0, 'Aqueous Species Options'!R677, IF('Aqueous Species Table'!N677="", "", IF('Aqueous Species Options'!B677="H+", 0, 'Aqueous Species Options'!H677 - 'Aqueous Species Table'!O677*100000*(-0.000000309)*298.15 - 'Aqueous Species Table'!N677*10000/(298.15-228)^2 ) ) ) )</f>
        <v/>
      </c>
      <c r="N677" s="1" t="str">
        <f>IF(ISBLANK('Aqueous Species Options'!B677), "", IF('Aqueous Species Options'!L677=0, 'Aqueous Species Options'!S677, IF(OR(ISBLANK('Aqueous Species Options'!H677), 'Aqueous Species Table'!O677=""), "", IF('Aqueous Species Options'!B677="H+", 0, 0.2037*'Aqueous Species Options'!H677 - 3.0346) ) ) )</f>
        <v/>
      </c>
      <c r="O677" s="1" t="str">
        <f>IF(ISBLANK('Aqueous Species Options'!B677), "", IF('Aqueous Species Options'!K677=0, 'Aqueous Species Options'!I677, IF(OR('Aqueous Species Options'!J677&gt;4,'Aqueous Species Options'!J677&lt;-4), "", IF('Aqueous Species Options'!B677="H+", 0, IF('Aqueous Species Options'!J677=0, -0.038, IF(ISBLANK('Aqueous Species Options'!F677), "", -1514.4*'Aqueous Species Options'!F677*0.00001 + SUM(({4,3,2,1,-1,-2,-3,-4}='Aqueous Species Options'!J677)*{2.1764,1.5793,1.0579,0.5517,1.6291,3.2127,4.8115,6.486}) ) ) ) ) ) )</f>
        <v/>
      </c>
      <c r="P677" s="1" t="str">
        <f>IF(ISBLANK('Aqueous Species Options'!J677), "", 'Aqueous Species Options'!J677)</f>
        <v/>
      </c>
      <c r="Q677" s="184" t="str">
        <f>IF(ISBLANK('Aqueous Species Options'!T677), "", 'Aqueous Species Options'!T677)</f>
        <v/>
      </c>
    </row>
    <row r="678" spans="2:17" ht="16" x14ac:dyDescent="0.2">
      <c r="B678" t="str">
        <f>IF(ISBLANK('Aqueous Species Options'!B678), "", 'Aqueous Species Options'!B678)</f>
        <v/>
      </c>
      <c r="C678" s="1" t="str">
        <f>IF(ISBLANK('Aqueous Species Options'!C678), "", 'Aqueous Species Options'!C678)</f>
        <v/>
      </c>
      <c r="D678" s="1" t="str">
        <f>IF(ISBLANK('Aqueous Species Options'!D678), "", 'Aqueous Species Options'!D678)</f>
        <v/>
      </c>
      <c r="E678" s="1" t="str">
        <f>IF(ISBLANK('Aqueous Species Options'!E678), "", 'Aqueous Species Options'!E678)</f>
        <v/>
      </c>
      <c r="F678" s="139" t="str">
        <f>IF(ISBLANK('Aqueous Species Options'!F678), "", 'Aqueous Species Options'!F678)</f>
        <v/>
      </c>
      <c r="G678" s="29" t="str">
        <f>IF(ISBLANK('Aqueous Species Options'!B678), "", IF('Aqueous Species Options'!L678 = 1, IF(ISBLANK('Aqueous Species Options'!G678), "", 'Aqueous Species Options'!G678), ('Aqueous Species Table'!I678/10 + ('Aqueous Species Table'!J678*100)/(Calculations!$C$12+Calculations!$C$9) + ('Aqueous Species Table'!K678 + ('Aqueous Species Table'!L678*10000)/(Calculations!$C$12+Calculations!$C$9))*(1/(Calculations!$C$8-Calculations!$C$13)) - 'Aqueous Species Table'!O678*100000*0.0000005903)*41.8393))</f>
        <v/>
      </c>
      <c r="H678" s="29" t="str">
        <f>IF(ISBLANK('Aqueous Species Options'!B678), "", IF('Aqueous Species Options'!L678 = 1, IF(ISBLANK('Aqueous Species Options'!H678), "", 'Aqueous Species Options'!H678), 'Aqueous Species Table'!M678 + 'Aqueous Species Table'!N678*10000*(1/(Calculations!$C$8-Calculations!$C$13))^2 + 'Aqueous Species Table'!O678*100000*Calculations!$C$8*Calculations!$C$7))</f>
        <v/>
      </c>
      <c r="I678" s="1" t="str">
        <f>IF(ISBLANK('Aqueous Species Options'!B678), "", IF('Aqueous Species Options'!L678=0, 'Aqueous Species Options'!N678, IF(OR(ISBLANK('Aqueous Species Options'!G678),'Aqueous Species Table'!O678="", 'Aqueous Species Table'!P678=""), "", IF('Aqueous Species Options'!B678="H+", 0, (CHOOSE('Aqueous Species Options'!M678+1,'Aqueous Species Options'!$V$4*ABS('Aqueous Species Table'!P678)+'Aqueous Species Options'!$W$4,'Aqueous Species Options'!$Z$4)*('Aqueous Species Options'!G678 + 'Aqueous Species Table'!O678*100000*0.0000005903*41.8393) + CHOOSE('Aqueous Species Options'!M678+1,'Aqueous Species Options'!$X$4*ABS('Aqueous Species Table'!P678)+'Aqueous Species Options'!$Y$4,'Aqueous Species Options'!$AA$4))*10 ) ) ) )</f>
        <v/>
      </c>
      <c r="J678" s="1" t="str">
        <f>IF(ISBLANK('Aqueous Species Options'!B678), "", IF('Aqueous Species Options'!L678 = 0, 'Aqueous Species Options'!O678, IF('Aqueous Species Table'!I678="", "", IF('Aqueous Species Options'!B678="H+", 0, ((1.11*('Aqueous Species Options'!G678 + 'Aqueous Species Table'!O678*100000*0.0000005903*41.8393)+1.8)/41.8393 - 'Aqueous Species Table'!I678/10)*26.01 ) ) ) )</f>
        <v/>
      </c>
      <c r="K678" s="1" t="str">
        <f>IF(ISBLANK('Aqueous Species Options'!B678), "", IF('Aqueous Species Options'!L678 = 0, 'Aqueous Species Options'!P678, IF('Aqueous Species Table'!I678="", "", IF('Aqueous Species Options'!B678="H+", 0, ('Aqueous Species Options'!G678/41.8393 + 'Aqueous Species Table'!O678*100000*0.0000005903 - 'Aqueous Species Table'!I678/10 - 'Aqueous Species Table'!J678*100/2601)*(298.15-228) - ('Aqueous Species Table'!L678*10000/2601) ) ) ) )</f>
        <v/>
      </c>
      <c r="L678" s="1" t="str">
        <f>IF(ISBLANK('Aqueous Species Options'!B678), "", IF('Aqueous Species Options'!L678 = 0, 'Aqueous Species Options'!Q678, IF('Aqueous Species Table'!J678="", "", IF('Aqueous Species Options'!B678="H+", 0, (-4.134*'Aqueous Species Table'!J678*100 - 27790)*0.0001) ) ) )</f>
        <v/>
      </c>
      <c r="M678" s="1" t="str">
        <f>IF(ISBLANK('Aqueous Species Options'!B678), "", IF('Aqueous Species Options'!L678=0, 'Aqueous Species Options'!R678, IF('Aqueous Species Table'!N678="", "", IF('Aqueous Species Options'!B678="H+", 0, 'Aqueous Species Options'!H678 - 'Aqueous Species Table'!O678*100000*(-0.000000309)*298.15 - 'Aqueous Species Table'!N678*10000/(298.15-228)^2 ) ) ) )</f>
        <v/>
      </c>
      <c r="N678" s="1" t="str">
        <f>IF(ISBLANK('Aqueous Species Options'!B678), "", IF('Aqueous Species Options'!L678=0, 'Aqueous Species Options'!S678, IF(OR(ISBLANK('Aqueous Species Options'!H678), 'Aqueous Species Table'!O678=""), "", IF('Aqueous Species Options'!B678="H+", 0, 0.2037*'Aqueous Species Options'!H678 - 3.0346) ) ) )</f>
        <v/>
      </c>
      <c r="O678" s="1" t="str">
        <f>IF(ISBLANK('Aqueous Species Options'!B678), "", IF('Aqueous Species Options'!K678=0, 'Aqueous Species Options'!I678, IF(OR('Aqueous Species Options'!J678&gt;4,'Aqueous Species Options'!J678&lt;-4), "", IF('Aqueous Species Options'!B678="H+", 0, IF('Aqueous Species Options'!J678=0, -0.038, IF(ISBLANK('Aqueous Species Options'!F678), "", -1514.4*'Aqueous Species Options'!F678*0.00001 + SUM(({4,3,2,1,-1,-2,-3,-4}='Aqueous Species Options'!J678)*{2.1764,1.5793,1.0579,0.5517,1.6291,3.2127,4.8115,6.486}) ) ) ) ) ) )</f>
        <v/>
      </c>
      <c r="P678" s="1" t="str">
        <f>IF(ISBLANK('Aqueous Species Options'!J678), "", 'Aqueous Species Options'!J678)</f>
        <v/>
      </c>
      <c r="Q678" s="184" t="str">
        <f>IF(ISBLANK('Aqueous Species Options'!T678), "", 'Aqueous Species Options'!T678)</f>
        <v/>
      </c>
    </row>
    <row r="679" spans="2:17" ht="16" x14ac:dyDescent="0.2">
      <c r="B679" t="str">
        <f>IF(ISBLANK('Aqueous Species Options'!B679), "", 'Aqueous Species Options'!B679)</f>
        <v/>
      </c>
      <c r="C679" s="1" t="str">
        <f>IF(ISBLANK('Aqueous Species Options'!C679), "", 'Aqueous Species Options'!C679)</f>
        <v/>
      </c>
      <c r="D679" s="1" t="str">
        <f>IF(ISBLANK('Aqueous Species Options'!D679), "", 'Aqueous Species Options'!D679)</f>
        <v/>
      </c>
      <c r="E679" s="1" t="str">
        <f>IF(ISBLANK('Aqueous Species Options'!E679), "", 'Aqueous Species Options'!E679)</f>
        <v/>
      </c>
      <c r="F679" s="139" t="str">
        <f>IF(ISBLANK('Aqueous Species Options'!F679), "", 'Aqueous Species Options'!F679)</f>
        <v/>
      </c>
      <c r="G679" s="29" t="str">
        <f>IF(ISBLANK('Aqueous Species Options'!B679), "", IF('Aqueous Species Options'!L679 = 1, IF(ISBLANK('Aqueous Species Options'!G679), "", 'Aqueous Species Options'!G679), ('Aqueous Species Table'!I679/10 + ('Aqueous Species Table'!J679*100)/(Calculations!$C$12+Calculations!$C$9) + ('Aqueous Species Table'!K679 + ('Aqueous Species Table'!L679*10000)/(Calculations!$C$12+Calculations!$C$9))*(1/(Calculations!$C$8-Calculations!$C$13)) - 'Aqueous Species Table'!O679*100000*0.0000005903)*41.8393))</f>
        <v/>
      </c>
      <c r="H679" s="29" t="str">
        <f>IF(ISBLANK('Aqueous Species Options'!B679), "", IF('Aqueous Species Options'!L679 = 1, IF(ISBLANK('Aqueous Species Options'!H679), "", 'Aqueous Species Options'!H679), 'Aqueous Species Table'!M679 + 'Aqueous Species Table'!N679*10000*(1/(Calculations!$C$8-Calculations!$C$13))^2 + 'Aqueous Species Table'!O679*100000*Calculations!$C$8*Calculations!$C$7))</f>
        <v/>
      </c>
      <c r="I679" s="1" t="str">
        <f>IF(ISBLANK('Aqueous Species Options'!B679), "", IF('Aqueous Species Options'!L679=0, 'Aqueous Species Options'!N679, IF(OR(ISBLANK('Aqueous Species Options'!G679),'Aqueous Species Table'!O679="", 'Aqueous Species Table'!P679=""), "", IF('Aqueous Species Options'!B679="H+", 0, (CHOOSE('Aqueous Species Options'!M679+1,'Aqueous Species Options'!$V$4*ABS('Aqueous Species Table'!P679)+'Aqueous Species Options'!$W$4,'Aqueous Species Options'!$Z$4)*('Aqueous Species Options'!G679 + 'Aqueous Species Table'!O679*100000*0.0000005903*41.8393) + CHOOSE('Aqueous Species Options'!M679+1,'Aqueous Species Options'!$X$4*ABS('Aqueous Species Table'!P679)+'Aqueous Species Options'!$Y$4,'Aqueous Species Options'!$AA$4))*10 ) ) ) )</f>
        <v/>
      </c>
      <c r="J679" s="1" t="str">
        <f>IF(ISBLANK('Aqueous Species Options'!B679), "", IF('Aqueous Species Options'!L679 = 0, 'Aqueous Species Options'!O679, IF('Aqueous Species Table'!I679="", "", IF('Aqueous Species Options'!B679="H+", 0, ((1.11*('Aqueous Species Options'!G679 + 'Aqueous Species Table'!O679*100000*0.0000005903*41.8393)+1.8)/41.8393 - 'Aqueous Species Table'!I679/10)*26.01 ) ) ) )</f>
        <v/>
      </c>
      <c r="K679" s="1" t="str">
        <f>IF(ISBLANK('Aqueous Species Options'!B679), "", IF('Aqueous Species Options'!L679 = 0, 'Aqueous Species Options'!P679, IF('Aqueous Species Table'!I679="", "", IF('Aqueous Species Options'!B679="H+", 0, ('Aqueous Species Options'!G679/41.8393 + 'Aqueous Species Table'!O679*100000*0.0000005903 - 'Aqueous Species Table'!I679/10 - 'Aqueous Species Table'!J679*100/2601)*(298.15-228) - ('Aqueous Species Table'!L679*10000/2601) ) ) ) )</f>
        <v/>
      </c>
      <c r="L679" s="1" t="str">
        <f>IF(ISBLANK('Aqueous Species Options'!B679), "", IF('Aqueous Species Options'!L679 = 0, 'Aqueous Species Options'!Q679, IF('Aqueous Species Table'!J679="", "", IF('Aqueous Species Options'!B679="H+", 0, (-4.134*'Aqueous Species Table'!J679*100 - 27790)*0.0001) ) ) )</f>
        <v/>
      </c>
      <c r="M679" s="1" t="str">
        <f>IF(ISBLANK('Aqueous Species Options'!B679), "", IF('Aqueous Species Options'!L679=0, 'Aqueous Species Options'!R679, IF('Aqueous Species Table'!N679="", "", IF('Aqueous Species Options'!B679="H+", 0, 'Aqueous Species Options'!H679 - 'Aqueous Species Table'!O679*100000*(-0.000000309)*298.15 - 'Aqueous Species Table'!N679*10000/(298.15-228)^2 ) ) ) )</f>
        <v/>
      </c>
      <c r="N679" s="1" t="str">
        <f>IF(ISBLANK('Aqueous Species Options'!B679), "", IF('Aqueous Species Options'!L679=0, 'Aqueous Species Options'!S679, IF(OR(ISBLANK('Aqueous Species Options'!H679), 'Aqueous Species Table'!O679=""), "", IF('Aqueous Species Options'!B679="H+", 0, 0.2037*'Aqueous Species Options'!H679 - 3.0346) ) ) )</f>
        <v/>
      </c>
      <c r="O679" s="1" t="str">
        <f>IF(ISBLANK('Aqueous Species Options'!B679), "", IF('Aqueous Species Options'!K679=0, 'Aqueous Species Options'!I679, IF(OR('Aqueous Species Options'!J679&gt;4,'Aqueous Species Options'!J679&lt;-4), "", IF('Aqueous Species Options'!B679="H+", 0, IF('Aqueous Species Options'!J679=0, -0.038, IF(ISBLANK('Aqueous Species Options'!F679), "", -1514.4*'Aqueous Species Options'!F679*0.00001 + SUM(({4,3,2,1,-1,-2,-3,-4}='Aqueous Species Options'!J679)*{2.1764,1.5793,1.0579,0.5517,1.6291,3.2127,4.8115,6.486}) ) ) ) ) ) )</f>
        <v/>
      </c>
      <c r="P679" s="1" t="str">
        <f>IF(ISBLANK('Aqueous Species Options'!J679), "", 'Aqueous Species Options'!J679)</f>
        <v/>
      </c>
      <c r="Q679" s="184" t="str">
        <f>IF(ISBLANK('Aqueous Species Options'!T679), "", 'Aqueous Species Options'!T679)</f>
        <v/>
      </c>
    </row>
    <row r="680" spans="2:17" ht="16" x14ac:dyDescent="0.2">
      <c r="B680" t="str">
        <f>IF(ISBLANK('Aqueous Species Options'!B680), "", 'Aqueous Species Options'!B680)</f>
        <v/>
      </c>
      <c r="C680" s="1" t="str">
        <f>IF(ISBLANK('Aqueous Species Options'!C680), "", 'Aqueous Species Options'!C680)</f>
        <v/>
      </c>
      <c r="D680" s="1" t="str">
        <f>IF(ISBLANK('Aqueous Species Options'!D680), "", 'Aqueous Species Options'!D680)</f>
        <v/>
      </c>
      <c r="E680" s="1" t="str">
        <f>IF(ISBLANK('Aqueous Species Options'!E680), "", 'Aqueous Species Options'!E680)</f>
        <v/>
      </c>
      <c r="F680" s="139" t="str">
        <f>IF(ISBLANK('Aqueous Species Options'!F680), "", 'Aqueous Species Options'!F680)</f>
        <v/>
      </c>
      <c r="G680" s="29" t="str">
        <f>IF(ISBLANK('Aqueous Species Options'!B680), "", IF('Aqueous Species Options'!L680 = 1, IF(ISBLANK('Aqueous Species Options'!G680), "", 'Aqueous Species Options'!G680), ('Aqueous Species Table'!I680/10 + ('Aqueous Species Table'!J680*100)/(Calculations!$C$12+Calculations!$C$9) + ('Aqueous Species Table'!K680 + ('Aqueous Species Table'!L680*10000)/(Calculations!$C$12+Calculations!$C$9))*(1/(Calculations!$C$8-Calculations!$C$13)) - 'Aqueous Species Table'!O680*100000*0.0000005903)*41.8393))</f>
        <v/>
      </c>
      <c r="H680" s="29" t="str">
        <f>IF(ISBLANK('Aqueous Species Options'!B680), "", IF('Aqueous Species Options'!L680 = 1, IF(ISBLANK('Aqueous Species Options'!H680), "", 'Aqueous Species Options'!H680), 'Aqueous Species Table'!M680 + 'Aqueous Species Table'!N680*10000*(1/(Calculations!$C$8-Calculations!$C$13))^2 + 'Aqueous Species Table'!O680*100000*Calculations!$C$8*Calculations!$C$7))</f>
        <v/>
      </c>
      <c r="I680" s="1" t="str">
        <f>IF(ISBLANK('Aqueous Species Options'!B680), "", IF('Aqueous Species Options'!L680=0, 'Aqueous Species Options'!N680, IF(OR(ISBLANK('Aqueous Species Options'!G680),'Aqueous Species Table'!O680="", 'Aqueous Species Table'!P680=""), "", IF('Aqueous Species Options'!B680="H+", 0, (CHOOSE('Aqueous Species Options'!M680+1,'Aqueous Species Options'!$V$4*ABS('Aqueous Species Table'!P680)+'Aqueous Species Options'!$W$4,'Aqueous Species Options'!$Z$4)*('Aqueous Species Options'!G680 + 'Aqueous Species Table'!O680*100000*0.0000005903*41.8393) + CHOOSE('Aqueous Species Options'!M680+1,'Aqueous Species Options'!$X$4*ABS('Aqueous Species Table'!P680)+'Aqueous Species Options'!$Y$4,'Aqueous Species Options'!$AA$4))*10 ) ) ) )</f>
        <v/>
      </c>
      <c r="J680" s="1" t="str">
        <f>IF(ISBLANK('Aqueous Species Options'!B680), "", IF('Aqueous Species Options'!L680 = 0, 'Aqueous Species Options'!O680, IF('Aqueous Species Table'!I680="", "", IF('Aqueous Species Options'!B680="H+", 0, ((1.11*('Aqueous Species Options'!G680 + 'Aqueous Species Table'!O680*100000*0.0000005903*41.8393)+1.8)/41.8393 - 'Aqueous Species Table'!I680/10)*26.01 ) ) ) )</f>
        <v/>
      </c>
      <c r="K680" s="1" t="str">
        <f>IF(ISBLANK('Aqueous Species Options'!B680), "", IF('Aqueous Species Options'!L680 = 0, 'Aqueous Species Options'!P680, IF('Aqueous Species Table'!I680="", "", IF('Aqueous Species Options'!B680="H+", 0, ('Aqueous Species Options'!G680/41.8393 + 'Aqueous Species Table'!O680*100000*0.0000005903 - 'Aqueous Species Table'!I680/10 - 'Aqueous Species Table'!J680*100/2601)*(298.15-228) - ('Aqueous Species Table'!L680*10000/2601) ) ) ) )</f>
        <v/>
      </c>
      <c r="L680" s="1" t="str">
        <f>IF(ISBLANK('Aqueous Species Options'!B680), "", IF('Aqueous Species Options'!L680 = 0, 'Aqueous Species Options'!Q680, IF('Aqueous Species Table'!J680="", "", IF('Aqueous Species Options'!B680="H+", 0, (-4.134*'Aqueous Species Table'!J680*100 - 27790)*0.0001) ) ) )</f>
        <v/>
      </c>
      <c r="M680" s="1" t="str">
        <f>IF(ISBLANK('Aqueous Species Options'!B680), "", IF('Aqueous Species Options'!L680=0, 'Aqueous Species Options'!R680, IF('Aqueous Species Table'!N680="", "", IF('Aqueous Species Options'!B680="H+", 0, 'Aqueous Species Options'!H680 - 'Aqueous Species Table'!O680*100000*(-0.000000309)*298.15 - 'Aqueous Species Table'!N680*10000/(298.15-228)^2 ) ) ) )</f>
        <v/>
      </c>
      <c r="N680" s="1" t="str">
        <f>IF(ISBLANK('Aqueous Species Options'!B680), "", IF('Aqueous Species Options'!L680=0, 'Aqueous Species Options'!S680, IF(OR(ISBLANK('Aqueous Species Options'!H680), 'Aqueous Species Table'!O680=""), "", IF('Aqueous Species Options'!B680="H+", 0, 0.2037*'Aqueous Species Options'!H680 - 3.0346) ) ) )</f>
        <v/>
      </c>
      <c r="O680" s="1" t="str">
        <f>IF(ISBLANK('Aqueous Species Options'!B680), "", IF('Aqueous Species Options'!K680=0, 'Aqueous Species Options'!I680, IF(OR('Aqueous Species Options'!J680&gt;4,'Aqueous Species Options'!J680&lt;-4), "", IF('Aqueous Species Options'!B680="H+", 0, IF('Aqueous Species Options'!J680=0, -0.038, IF(ISBLANK('Aqueous Species Options'!F680), "", -1514.4*'Aqueous Species Options'!F680*0.00001 + SUM(({4,3,2,1,-1,-2,-3,-4}='Aqueous Species Options'!J680)*{2.1764,1.5793,1.0579,0.5517,1.6291,3.2127,4.8115,6.486}) ) ) ) ) ) )</f>
        <v/>
      </c>
      <c r="P680" s="1" t="str">
        <f>IF(ISBLANK('Aqueous Species Options'!J680), "", 'Aqueous Species Options'!J680)</f>
        <v/>
      </c>
      <c r="Q680" s="184" t="str">
        <f>IF(ISBLANK('Aqueous Species Options'!T680), "", 'Aqueous Species Options'!T680)</f>
        <v/>
      </c>
    </row>
    <row r="681" spans="2:17" ht="16" x14ac:dyDescent="0.2">
      <c r="B681" t="str">
        <f>IF(ISBLANK('Aqueous Species Options'!B681), "", 'Aqueous Species Options'!B681)</f>
        <v/>
      </c>
      <c r="C681" s="1" t="str">
        <f>IF(ISBLANK('Aqueous Species Options'!C681), "", 'Aqueous Species Options'!C681)</f>
        <v/>
      </c>
      <c r="D681" s="1" t="str">
        <f>IF(ISBLANK('Aqueous Species Options'!D681), "", 'Aqueous Species Options'!D681)</f>
        <v/>
      </c>
      <c r="E681" s="1" t="str">
        <f>IF(ISBLANK('Aqueous Species Options'!E681), "", 'Aqueous Species Options'!E681)</f>
        <v/>
      </c>
      <c r="F681" s="139" t="str">
        <f>IF(ISBLANK('Aqueous Species Options'!F681), "", 'Aqueous Species Options'!F681)</f>
        <v/>
      </c>
      <c r="G681" s="29" t="str">
        <f>IF(ISBLANK('Aqueous Species Options'!B681), "", IF('Aqueous Species Options'!L681 = 1, IF(ISBLANK('Aqueous Species Options'!G681), "", 'Aqueous Species Options'!G681), ('Aqueous Species Table'!I681/10 + ('Aqueous Species Table'!J681*100)/(Calculations!$C$12+Calculations!$C$9) + ('Aqueous Species Table'!K681 + ('Aqueous Species Table'!L681*10000)/(Calculations!$C$12+Calculations!$C$9))*(1/(Calculations!$C$8-Calculations!$C$13)) - 'Aqueous Species Table'!O681*100000*0.0000005903)*41.8393))</f>
        <v/>
      </c>
      <c r="H681" s="29" t="str">
        <f>IF(ISBLANK('Aqueous Species Options'!B681), "", IF('Aqueous Species Options'!L681 = 1, IF(ISBLANK('Aqueous Species Options'!H681), "", 'Aqueous Species Options'!H681), 'Aqueous Species Table'!M681 + 'Aqueous Species Table'!N681*10000*(1/(Calculations!$C$8-Calculations!$C$13))^2 + 'Aqueous Species Table'!O681*100000*Calculations!$C$8*Calculations!$C$7))</f>
        <v/>
      </c>
      <c r="I681" s="1" t="str">
        <f>IF(ISBLANK('Aqueous Species Options'!B681), "", IF('Aqueous Species Options'!L681=0, 'Aqueous Species Options'!N681, IF(OR(ISBLANK('Aqueous Species Options'!G681),'Aqueous Species Table'!O681="", 'Aqueous Species Table'!P681=""), "", IF('Aqueous Species Options'!B681="H+", 0, (CHOOSE('Aqueous Species Options'!M681+1,'Aqueous Species Options'!$V$4*ABS('Aqueous Species Table'!P681)+'Aqueous Species Options'!$W$4,'Aqueous Species Options'!$Z$4)*('Aqueous Species Options'!G681 + 'Aqueous Species Table'!O681*100000*0.0000005903*41.8393) + CHOOSE('Aqueous Species Options'!M681+1,'Aqueous Species Options'!$X$4*ABS('Aqueous Species Table'!P681)+'Aqueous Species Options'!$Y$4,'Aqueous Species Options'!$AA$4))*10 ) ) ) )</f>
        <v/>
      </c>
      <c r="J681" s="1" t="str">
        <f>IF(ISBLANK('Aqueous Species Options'!B681), "", IF('Aqueous Species Options'!L681 = 0, 'Aqueous Species Options'!O681, IF('Aqueous Species Table'!I681="", "", IF('Aqueous Species Options'!B681="H+", 0, ((1.11*('Aqueous Species Options'!G681 + 'Aqueous Species Table'!O681*100000*0.0000005903*41.8393)+1.8)/41.8393 - 'Aqueous Species Table'!I681/10)*26.01 ) ) ) )</f>
        <v/>
      </c>
      <c r="K681" s="1" t="str">
        <f>IF(ISBLANK('Aqueous Species Options'!B681), "", IF('Aqueous Species Options'!L681 = 0, 'Aqueous Species Options'!P681, IF('Aqueous Species Table'!I681="", "", IF('Aqueous Species Options'!B681="H+", 0, ('Aqueous Species Options'!G681/41.8393 + 'Aqueous Species Table'!O681*100000*0.0000005903 - 'Aqueous Species Table'!I681/10 - 'Aqueous Species Table'!J681*100/2601)*(298.15-228) - ('Aqueous Species Table'!L681*10000/2601) ) ) ) )</f>
        <v/>
      </c>
      <c r="L681" s="1" t="str">
        <f>IF(ISBLANK('Aqueous Species Options'!B681), "", IF('Aqueous Species Options'!L681 = 0, 'Aqueous Species Options'!Q681, IF('Aqueous Species Table'!J681="", "", IF('Aqueous Species Options'!B681="H+", 0, (-4.134*'Aqueous Species Table'!J681*100 - 27790)*0.0001) ) ) )</f>
        <v/>
      </c>
      <c r="M681" s="1" t="str">
        <f>IF(ISBLANK('Aqueous Species Options'!B681), "", IF('Aqueous Species Options'!L681=0, 'Aqueous Species Options'!R681, IF('Aqueous Species Table'!N681="", "", IF('Aqueous Species Options'!B681="H+", 0, 'Aqueous Species Options'!H681 - 'Aqueous Species Table'!O681*100000*(-0.000000309)*298.15 - 'Aqueous Species Table'!N681*10000/(298.15-228)^2 ) ) ) )</f>
        <v/>
      </c>
      <c r="N681" s="1" t="str">
        <f>IF(ISBLANK('Aqueous Species Options'!B681), "", IF('Aqueous Species Options'!L681=0, 'Aqueous Species Options'!S681, IF(OR(ISBLANK('Aqueous Species Options'!H681), 'Aqueous Species Table'!O681=""), "", IF('Aqueous Species Options'!B681="H+", 0, 0.2037*'Aqueous Species Options'!H681 - 3.0346) ) ) )</f>
        <v/>
      </c>
      <c r="O681" s="1" t="str">
        <f>IF(ISBLANK('Aqueous Species Options'!B681), "", IF('Aqueous Species Options'!K681=0, 'Aqueous Species Options'!I681, IF(OR('Aqueous Species Options'!J681&gt;4,'Aqueous Species Options'!J681&lt;-4), "", IF('Aqueous Species Options'!B681="H+", 0, IF('Aqueous Species Options'!J681=0, -0.038, IF(ISBLANK('Aqueous Species Options'!F681), "", -1514.4*'Aqueous Species Options'!F681*0.00001 + SUM(({4,3,2,1,-1,-2,-3,-4}='Aqueous Species Options'!J681)*{2.1764,1.5793,1.0579,0.5517,1.6291,3.2127,4.8115,6.486}) ) ) ) ) ) )</f>
        <v/>
      </c>
      <c r="P681" s="1" t="str">
        <f>IF(ISBLANK('Aqueous Species Options'!J681), "", 'Aqueous Species Options'!J681)</f>
        <v/>
      </c>
      <c r="Q681" s="184" t="str">
        <f>IF(ISBLANK('Aqueous Species Options'!T681), "", 'Aqueous Species Options'!T681)</f>
        <v/>
      </c>
    </row>
    <row r="682" spans="2:17" ht="16" x14ac:dyDescent="0.2">
      <c r="B682" t="str">
        <f>IF(ISBLANK('Aqueous Species Options'!B682), "", 'Aqueous Species Options'!B682)</f>
        <v/>
      </c>
      <c r="C682" s="1" t="str">
        <f>IF(ISBLANK('Aqueous Species Options'!C682), "", 'Aqueous Species Options'!C682)</f>
        <v/>
      </c>
      <c r="D682" s="1" t="str">
        <f>IF(ISBLANK('Aqueous Species Options'!D682), "", 'Aqueous Species Options'!D682)</f>
        <v/>
      </c>
      <c r="E682" s="1" t="str">
        <f>IF(ISBLANK('Aqueous Species Options'!E682), "", 'Aqueous Species Options'!E682)</f>
        <v/>
      </c>
      <c r="F682" s="139" t="str">
        <f>IF(ISBLANK('Aqueous Species Options'!F682), "", 'Aqueous Species Options'!F682)</f>
        <v/>
      </c>
      <c r="G682" s="29" t="str">
        <f>IF(ISBLANK('Aqueous Species Options'!B682), "", IF('Aqueous Species Options'!L682 = 1, IF(ISBLANK('Aqueous Species Options'!G682), "", 'Aqueous Species Options'!G682), ('Aqueous Species Table'!I682/10 + ('Aqueous Species Table'!J682*100)/(Calculations!$C$12+Calculations!$C$9) + ('Aqueous Species Table'!K682 + ('Aqueous Species Table'!L682*10000)/(Calculations!$C$12+Calculations!$C$9))*(1/(Calculations!$C$8-Calculations!$C$13)) - 'Aqueous Species Table'!O682*100000*0.0000005903)*41.8393))</f>
        <v/>
      </c>
      <c r="H682" s="29" t="str">
        <f>IF(ISBLANK('Aqueous Species Options'!B682), "", IF('Aqueous Species Options'!L682 = 1, IF(ISBLANK('Aqueous Species Options'!H682), "", 'Aqueous Species Options'!H682), 'Aqueous Species Table'!M682 + 'Aqueous Species Table'!N682*10000*(1/(Calculations!$C$8-Calculations!$C$13))^2 + 'Aqueous Species Table'!O682*100000*Calculations!$C$8*Calculations!$C$7))</f>
        <v/>
      </c>
      <c r="I682" s="1" t="str">
        <f>IF(ISBLANK('Aqueous Species Options'!B682), "", IF('Aqueous Species Options'!L682=0, 'Aqueous Species Options'!N682, IF(OR(ISBLANK('Aqueous Species Options'!G682),'Aqueous Species Table'!O682="", 'Aqueous Species Table'!P682=""), "", IF('Aqueous Species Options'!B682="H+", 0, (CHOOSE('Aqueous Species Options'!M682+1,'Aqueous Species Options'!$V$4*ABS('Aqueous Species Table'!P682)+'Aqueous Species Options'!$W$4,'Aqueous Species Options'!$Z$4)*('Aqueous Species Options'!G682 + 'Aqueous Species Table'!O682*100000*0.0000005903*41.8393) + CHOOSE('Aqueous Species Options'!M682+1,'Aqueous Species Options'!$X$4*ABS('Aqueous Species Table'!P682)+'Aqueous Species Options'!$Y$4,'Aqueous Species Options'!$AA$4))*10 ) ) ) )</f>
        <v/>
      </c>
      <c r="J682" s="1" t="str">
        <f>IF(ISBLANK('Aqueous Species Options'!B682), "", IF('Aqueous Species Options'!L682 = 0, 'Aqueous Species Options'!O682, IF('Aqueous Species Table'!I682="", "", IF('Aqueous Species Options'!B682="H+", 0, ((1.11*('Aqueous Species Options'!G682 + 'Aqueous Species Table'!O682*100000*0.0000005903*41.8393)+1.8)/41.8393 - 'Aqueous Species Table'!I682/10)*26.01 ) ) ) )</f>
        <v/>
      </c>
      <c r="K682" s="1" t="str">
        <f>IF(ISBLANK('Aqueous Species Options'!B682), "", IF('Aqueous Species Options'!L682 = 0, 'Aqueous Species Options'!P682, IF('Aqueous Species Table'!I682="", "", IF('Aqueous Species Options'!B682="H+", 0, ('Aqueous Species Options'!G682/41.8393 + 'Aqueous Species Table'!O682*100000*0.0000005903 - 'Aqueous Species Table'!I682/10 - 'Aqueous Species Table'!J682*100/2601)*(298.15-228) - ('Aqueous Species Table'!L682*10000/2601) ) ) ) )</f>
        <v/>
      </c>
      <c r="L682" s="1" t="str">
        <f>IF(ISBLANK('Aqueous Species Options'!B682), "", IF('Aqueous Species Options'!L682 = 0, 'Aqueous Species Options'!Q682, IF('Aqueous Species Table'!J682="", "", IF('Aqueous Species Options'!B682="H+", 0, (-4.134*'Aqueous Species Table'!J682*100 - 27790)*0.0001) ) ) )</f>
        <v/>
      </c>
      <c r="M682" s="1" t="str">
        <f>IF(ISBLANK('Aqueous Species Options'!B682), "", IF('Aqueous Species Options'!L682=0, 'Aqueous Species Options'!R682, IF('Aqueous Species Table'!N682="", "", IF('Aqueous Species Options'!B682="H+", 0, 'Aqueous Species Options'!H682 - 'Aqueous Species Table'!O682*100000*(-0.000000309)*298.15 - 'Aqueous Species Table'!N682*10000/(298.15-228)^2 ) ) ) )</f>
        <v/>
      </c>
      <c r="N682" s="1" t="str">
        <f>IF(ISBLANK('Aqueous Species Options'!B682), "", IF('Aqueous Species Options'!L682=0, 'Aqueous Species Options'!S682, IF(OR(ISBLANK('Aqueous Species Options'!H682), 'Aqueous Species Table'!O682=""), "", IF('Aqueous Species Options'!B682="H+", 0, 0.2037*'Aqueous Species Options'!H682 - 3.0346) ) ) )</f>
        <v/>
      </c>
      <c r="O682" s="1" t="str">
        <f>IF(ISBLANK('Aqueous Species Options'!B682), "", IF('Aqueous Species Options'!K682=0, 'Aqueous Species Options'!I682, IF(OR('Aqueous Species Options'!J682&gt;4,'Aqueous Species Options'!J682&lt;-4), "", IF('Aqueous Species Options'!B682="H+", 0, IF('Aqueous Species Options'!J682=0, -0.038, IF(ISBLANK('Aqueous Species Options'!F682), "", -1514.4*'Aqueous Species Options'!F682*0.00001 + SUM(({4,3,2,1,-1,-2,-3,-4}='Aqueous Species Options'!J682)*{2.1764,1.5793,1.0579,0.5517,1.6291,3.2127,4.8115,6.486}) ) ) ) ) ) )</f>
        <v/>
      </c>
      <c r="P682" s="1" t="str">
        <f>IF(ISBLANK('Aqueous Species Options'!J682), "", 'Aqueous Species Options'!J682)</f>
        <v/>
      </c>
      <c r="Q682" s="184" t="str">
        <f>IF(ISBLANK('Aqueous Species Options'!T682), "", 'Aqueous Species Options'!T682)</f>
        <v/>
      </c>
    </row>
    <row r="683" spans="2:17" ht="16" x14ac:dyDescent="0.2">
      <c r="B683" t="str">
        <f>IF(ISBLANK('Aqueous Species Options'!B683), "", 'Aqueous Species Options'!B683)</f>
        <v/>
      </c>
      <c r="C683" s="1" t="str">
        <f>IF(ISBLANK('Aqueous Species Options'!C683), "", 'Aqueous Species Options'!C683)</f>
        <v/>
      </c>
      <c r="D683" s="1" t="str">
        <f>IF(ISBLANK('Aqueous Species Options'!D683), "", 'Aqueous Species Options'!D683)</f>
        <v/>
      </c>
      <c r="E683" s="1" t="str">
        <f>IF(ISBLANK('Aqueous Species Options'!E683), "", 'Aqueous Species Options'!E683)</f>
        <v/>
      </c>
      <c r="F683" s="139" t="str">
        <f>IF(ISBLANK('Aqueous Species Options'!F683), "", 'Aqueous Species Options'!F683)</f>
        <v/>
      </c>
      <c r="G683" s="29" t="str">
        <f>IF(ISBLANK('Aqueous Species Options'!B683), "", IF('Aqueous Species Options'!L683 = 1, IF(ISBLANK('Aqueous Species Options'!G683), "", 'Aqueous Species Options'!G683), ('Aqueous Species Table'!I683/10 + ('Aqueous Species Table'!J683*100)/(Calculations!$C$12+Calculations!$C$9) + ('Aqueous Species Table'!K683 + ('Aqueous Species Table'!L683*10000)/(Calculations!$C$12+Calculations!$C$9))*(1/(Calculations!$C$8-Calculations!$C$13)) - 'Aqueous Species Table'!O683*100000*0.0000005903)*41.8393))</f>
        <v/>
      </c>
      <c r="H683" s="29" t="str">
        <f>IF(ISBLANK('Aqueous Species Options'!B683), "", IF('Aqueous Species Options'!L683 = 1, IF(ISBLANK('Aqueous Species Options'!H683), "", 'Aqueous Species Options'!H683), 'Aqueous Species Table'!M683 + 'Aqueous Species Table'!N683*10000*(1/(Calculations!$C$8-Calculations!$C$13))^2 + 'Aqueous Species Table'!O683*100000*Calculations!$C$8*Calculations!$C$7))</f>
        <v/>
      </c>
      <c r="I683" s="1" t="str">
        <f>IF(ISBLANK('Aqueous Species Options'!B683), "", IF('Aqueous Species Options'!L683=0, 'Aqueous Species Options'!N683, IF(OR(ISBLANK('Aqueous Species Options'!G683),'Aqueous Species Table'!O683="", 'Aqueous Species Table'!P683=""), "", IF('Aqueous Species Options'!B683="H+", 0, (CHOOSE('Aqueous Species Options'!M683+1,'Aqueous Species Options'!$V$4*ABS('Aqueous Species Table'!P683)+'Aqueous Species Options'!$W$4,'Aqueous Species Options'!$Z$4)*('Aqueous Species Options'!G683 + 'Aqueous Species Table'!O683*100000*0.0000005903*41.8393) + CHOOSE('Aqueous Species Options'!M683+1,'Aqueous Species Options'!$X$4*ABS('Aqueous Species Table'!P683)+'Aqueous Species Options'!$Y$4,'Aqueous Species Options'!$AA$4))*10 ) ) ) )</f>
        <v/>
      </c>
      <c r="J683" s="1" t="str">
        <f>IF(ISBLANK('Aqueous Species Options'!B683), "", IF('Aqueous Species Options'!L683 = 0, 'Aqueous Species Options'!O683, IF('Aqueous Species Table'!I683="", "", IF('Aqueous Species Options'!B683="H+", 0, ((1.11*('Aqueous Species Options'!G683 + 'Aqueous Species Table'!O683*100000*0.0000005903*41.8393)+1.8)/41.8393 - 'Aqueous Species Table'!I683/10)*26.01 ) ) ) )</f>
        <v/>
      </c>
      <c r="K683" s="1" t="str">
        <f>IF(ISBLANK('Aqueous Species Options'!B683), "", IF('Aqueous Species Options'!L683 = 0, 'Aqueous Species Options'!P683, IF('Aqueous Species Table'!I683="", "", IF('Aqueous Species Options'!B683="H+", 0, ('Aqueous Species Options'!G683/41.8393 + 'Aqueous Species Table'!O683*100000*0.0000005903 - 'Aqueous Species Table'!I683/10 - 'Aqueous Species Table'!J683*100/2601)*(298.15-228) - ('Aqueous Species Table'!L683*10000/2601) ) ) ) )</f>
        <v/>
      </c>
      <c r="L683" s="1" t="str">
        <f>IF(ISBLANK('Aqueous Species Options'!B683), "", IF('Aqueous Species Options'!L683 = 0, 'Aqueous Species Options'!Q683, IF('Aqueous Species Table'!J683="", "", IF('Aqueous Species Options'!B683="H+", 0, (-4.134*'Aqueous Species Table'!J683*100 - 27790)*0.0001) ) ) )</f>
        <v/>
      </c>
      <c r="M683" s="1" t="str">
        <f>IF(ISBLANK('Aqueous Species Options'!B683), "", IF('Aqueous Species Options'!L683=0, 'Aqueous Species Options'!R683, IF('Aqueous Species Table'!N683="", "", IF('Aqueous Species Options'!B683="H+", 0, 'Aqueous Species Options'!H683 - 'Aqueous Species Table'!O683*100000*(-0.000000309)*298.15 - 'Aqueous Species Table'!N683*10000/(298.15-228)^2 ) ) ) )</f>
        <v/>
      </c>
      <c r="N683" s="1" t="str">
        <f>IF(ISBLANK('Aqueous Species Options'!B683), "", IF('Aqueous Species Options'!L683=0, 'Aqueous Species Options'!S683, IF(OR(ISBLANK('Aqueous Species Options'!H683), 'Aqueous Species Table'!O683=""), "", IF('Aqueous Species Options'!B683="H+", 0, 0.2037*'Aqueous Species Options'!H683 - 3.0346) ) ) )</f>
        <v/>
      </c>
      <c r="O683" s="1" t="str">
        <f>IF(ISBLANK('Aqueous Species Options'!B683), "", IF('Aqueous Species Options'!K683=0, 'Aqueous Species Options'!I683, IF(OR('Aqueous Species Options'!J683&gt;4,'Aqueous Species Options'!J683&lt;-4), "", IF('Aqueous Species Options'!B683="H+", 0, IF('Aqueous Species Options'!J683=0, -0.038, IF(ISBLANK('Aqueous Species Options'!F683), "", -1514.4*'Aqueous Species Options'!F683*0.00001 + SUM(({4,3,2,1,-1,-2,-3,-4}='Aqueous Species Options'!J683)*{2.1764,1.5793,1.0579,0.5517,1.6291,3.2127,4.8115,6.486}) ) ) ) ) ) )</f>
        <v/>
      </c>
      <c r="P683" s="1" t="str">
        <f>IF(ISBLANK('Aqueous Species Options'!J683), "", 'Aqueous Species Options'!J683)</f>
        <v/>
      </c>
      <c r="Q683" s="184" t="str">
        <f>IF(ISBLANK('Aqueous Species Options'!T683), "", 'Aqueous Species Options'!T683)</f>
        <v/>
      </c>
    </row>
    <row r="684" spans="2:17" ht="16" x14ac:dyDescent="0.2">
      <c r="B684" t="str">
        <f>IF(ISBLANK('Aqueous Species Options'!B684), "", 'Aqueous Species Options'!B684)</f>
        <v/>
      </c>
      <c r="C684" s="1" t="str">
        <f>IF(ISBLANK('Aqueous Species Options'!C684), "", 'Aqueous Species Options'!C684)</f>
        <v/>
      </c>
      <c r="D684" s="1" t="str">
        <f>IF(ISBLANK('Aqueous Species Options'!D684), "", 'Aqueous Species Options'!D684)</f>
        <v/>
      </c>
      <c r="E684" s="1" t="str">
        <f>IF(ISBLANK('Aqueous Species Options'!E684), "", 'Aqueous Species Options'!E684)</f>
        <v/>
      </c>
      <c r="F684" s="139" t="str">
        <f>IF(ISBLANK('Aqueous Species Options'!F684), "", 'Aqueous Species Options'!F684)</f>
        <v/>
      </c>
      <c r="G684" s="29" t="str">
        <f>IF(ISBLANK('Aqueous Species Options'!B684), "", IF('Aqueous Species Options'!L684 = 1, IF(ISBLANK('Aqueous Species Options'!G684), "", 'Aqueous Species Options'!G684), ('Aqueous Species Table'!I684/10 + ('Aqueous Species Table'!J684*100)/(Calculations!$C$12+Calculations!$C$9) + ('Aqueous Species Table'!K684 + ('Aqueous Species Table'!L684*10000)/(Calculations!$C$12+Calculations!$C$9))*(1/(Calculations!$C$8-Calculations!$C$13)) - 'Aqueous Species Table'!O684*100000*0.0000005903)*41.8393))</f>
        <v/>
      </c>
      <c r="H684" s="29" t="str">
        <f>IF(ISBLANK('Aqueous Species Options'!B684), "", IF('Aqueous Species Options'!L684 = 1, IF(ISBLANK('Aqueous Species Options'!H684), "", 'Aqueous Species Options'!H684), 'Aqueous Species Table'!M684 + 'Aqueous Species Table'!N684*10000*(1/(Calculations!$C$8-Calculations!$C$13))^2 + 'Aqueous Species Table'!O684*100000*Calculations!$C$8*Calculations!$C$7))</f>
        <v/>
      </c>
      <c r="I684" s="1" t="str">
        <f>IF(ISBLANK('Aqueous Species Options'!B684), "", IF('Aqueous Species Options'!L684=0, 'Aqueous Species Options'!N684, IF(OR(ISBLANK('Aqueous Species Options'!G684),'Aqueous Species Table'!O684="", 'Aqueous Species Table'!P684=""), "", IF('Aqueous Species Options'!B684="H+", 0, (CHOOSE('Aqueous Species Options'!M684+1,'Aqueous Species Options'!$V$4*ABS('Aqueous Species Table'!P684)+'Aqueous Species Options'!$W$4,'Aqueous Species Options'!$Z$4)*('Aqueous Species Options'!G684 + 'Aqueous Species Table'!O684*100000*0.0000005903*41.8393) + CHOOSE('Aqueous Species Options'!M684+1,'Aqueous Species Options'!$X$4*ABS('Aqueous Species Table'!P684)+'Aqueous Species Options'!$Y$4,'Aqueous Species Options'!$AA$4))*10 ) ) ) )</f>
        <v/>
      </c>
      <c r="J684" s="1" t="str">
        <f>IF(ISBLANK('Aqueous Species Options'!B684), "", IF('Aqueous Species Options'!L684 = 0, 'Aqueous Species Options'!O684, IF('Aqueous Species Table'!I684="", "", IF('Aqueous Species Options'!B684="H+", 0, ((1.11*('Aqueous Species Options'!G684 + 'Aqueous Species Table'!O684*100000*0.0000005903*41.8393)+1.8)/41.8393 - 'Aqueous Species Table'!I684/10)*26.01 ) ) ) )</f>
        <v/>
      </c>
      <c r="K684" s="1" t="str">
        <f>IF(ISBLANK('Aqueous Species Options'!B684), "", IF('Aqueous Species Options'!L684 = 0, 'Aqueous Species Options'!P684, IF('Aqueous Species Table'!I684="", "", IF('Aqueous Species Options'!B684="H+", 0, ('Aqueous Species Options'!G684/41.8393 + 'Aqueous Species Table'!O684*100000*0.0000005903 - 'Aqueous Species Table'!I684/10 - 'Aqueous Species Table'!J684*100/2601)*(298.15-228) - ('Aqueous Species Table'!L684*10000/2601) ) ) ) )</f>
        <v/>
      </c>
      <c r="L684" s="1" t="str">
        <f>IF(ISBLANK('Aqueous Species Options'!B684), "", IF('Aqueous Species Options'!L684 = 0, 'Aqueous Species Options'!Q684, IF('Aqueous Species Table'!J684="", "", IF('Aqueous Species Options'!B684="H+", 0, (-4.134*'Aqueous Species Table'!J684*100 - 27790)*0.0001) ) ) )</f>
        <v/>
      </c>
      <c r="M684" s="1" t="str">
        <f>IF(ISBLANK('Aqueous Species Options'!B684), "", IF('Aqueous Species Options'!L684=0, 'Aqueous Species Options'!R684, IF('Aqueous Species Table'!N684="", "", IF('Aqueous Species Options'!B684="H+", 0, 'Aqueous Species Options'!H684 - 'Aqueous Species Table'!O684*100000*(-0.000000309)*298.15 - 'Aqueous Species Table'!N684*10000/(298.15-228)^2 ) ) ) )</f>
        <v/>
      </c>
      <c r="N684" s="1" t="str">
        <f>IF(ISBLANK('Aqueous Species Options'!B684), "", IF('Aqueous Species Options'!L684=0, 'Aqueous Species Options'!S684, IF(OR(ISBLANK('Aqueous Species Options'!H684), 'Aqueous Species Table'!O684=""), "", IF('Aqueous Species Options'!B684="H+", 0, 0.2037*'Aqueous Species Options'!H684 - 3.0346) ) ) )</f>
        <v/>
      </c>
      <c r="O684" s="1" t="str">
        <f>IF(ISBLANK('Aqueous Species Options'!B684), "", IF('Aqueous Species Options'!K684=0, 'Aqueous Species Options'!I684, IF(OR('Aqueous Species Options'!J684&gt;4,'Aqueous Species Options'!J684&lt;-4), "", IF('Aqueous Species Options'!B684="H+", 0, IF('Aqueous Species Options'!J684=0, -0.038, IF(ISBLANK('Aqueous Species Options'!F684), "", -1514.4*'Aqueous Species Options'!F684*0.00001 + SUM(({4,3,2,1,-1,-2,-3,-4}='Aqueous Species Options'!J684)*{2.1764,1.5793,1.0579,0.5517,1.6291,3.2127,4.8115,6.486}) ) ) ) ) ) )</f>
        <v/>
      </c>
      <c r="P684" s="1" t="str">
        <f>IF(ISBLANK('Aqueous Species Options'!J684), "", 'Aqueous Species Options'!J684)</f>
        <v/>
      </c>
      <c r="Q684" s="184" t="str">
        <f>IF(ISBLANK('Aqueous Species Options'!T684), "", 'Aqueous Species Options'!T684)</f>
        <v/>
      </c>
    </row>
    <row r="685" spans="2:17" ht="16" x14ac:dyDescent="0.2">
      <c r="B685" t="str">
        <f>IF(ISBLANK('Aqueous Species Options'!B685), "", 'Aqueous Species Options'!B685)</f>
        <v/>
      </c>
      <c r="C685" s="1" t="str">
        <f>IF(ISBLANK('Aqueous Species Options'!C685), "", 'Aqueous Species Options'!C685)</f>
        <v/>
      </c>
      <c r="D685" s="1" t="str">
        <f>IF(ISBLANK('Aqueous Species Options'!D685), "", 'Aqueous Species Options'!D685)</f>
        <v/>
      </c>
      <c r="E685" s="1" t="str">
        <f>IF(ISBLANK('Aqueous Species Options'!E685), "", 'Aqueous Species Options'!E685)</f>
        <v/>
      </c>
      <c r="F685" s="139" t="str">
        <f>IF(ISBLANK('Aqueous Species Options'!F685), "", 'Aqueous Species Options'!F685)</f>
        <v/>
      </c>
      <c r="G685" s="29" t="str">
        <f>IF(ISBLANK('Aqueous Species Options'!B685), "", IF('Aqueous Species Options'!L685 = 1, IF(ISBLANK('Aqueous Species Options'!G685), "", 'Aqueous Species Options'!G685), ('Aqueous Species Table'!I685/10 + ('Aqueous Species Table'!J685*100)/(Calculations!$C$12+Calculations!$C$9) + ('Aqueous Species Table'!K685 + ('Aqueous Species Table'!L685*10000)/(Calculations!$C$12+Calculations!$C$9))*(1/(Calculations!$C$8-Calculations!$C$13)) - 'Aqueous Species Table'!O685*100000*0.0000005903)*41.8393))</f>
        <v/>
      </c>
      <c r="H685" s="29" t="str">
        <f>IF(ISBLANK('Aqueous Species Options'!B685), "", IF('Aqueous Species Options'!L685 = 1, IF(ISBLANK('Aqueous Species Options'!H685), "", 'Aqueous Species Options'!H685), 'Aqueous Species Table'!M685 + 'Aqueous Species Table'!N685*10000*(1/(Calculations!$C$8-Calculations!$C$13))^2 + 'Aqueous Species Table'!O685*100000*Calculations!$C$8*Calculations!$C$7))</f>
        <v/>
      </c>
      <c r="I685" s="1" t="str">
        <f>IF(ISBLANK('Aqueous Species Options'!B685), "", IF('Aqueous Species Options'!L685=0, 'Aqueous Species Options'!N685, IF(OR(ISBLANK('Aqueous Species Options'!G685),'Aqueous Species Table'!O685="", 'Aqueous Species Table'!P685=""), "", IF('Aqueous Species Options'!B685="H+", 0, (CHOOSE('Aqueous Species Options'!M685+1,'Aqueous Species Options'!$V$4*ABS('Aqueous Species Table'!P685)+'Aqueous Species Options'!$W$4,'Aqueous Species Options'!$Z$4)*('Aqueous Species Options'!G685 + 'Aqueous Species Table'!O685*100000*0.0000005903*41.8393) + CHOOSE('Aqueous Species Options'!M685+1,'Aqueous Species Options'!$X$4*ABS('Aqueous Species Table'!P685)+'Aqueous Species Options'!$Y$4,'Aqueous Species Options'!$AA$4))*10 ) ) ) )</f>
        <v/>
      </c>
      <c r="J685" s="1" t="str">
        <f>IF(ISBLANK('Aqueous Species Options'!B685), "", IF('Aqueous Species Options'!L685 = 0, 'Aqueous Species Options'!O685, IF('Aqueous Species Table'!I685="", "", IF('Aqueous Species Options'!B685="H+", 0, ((1.11*('Aqueous Species Options'!G685 + 'Aqueous Species Table'!O685*100000*0.0000005903*41.8393)+1.8)/41.8393 - 'Aqueous Species Table'!I685/10)*26.01 ) ) ) )</f>
        <v/>
      </c>
      <c r="K685" s="1" t="str">
        <f>IF(ISBLANK('Aqueous Species Options'!B685), "", IF('Aqueous Species Options'!L685 = 0, 'Aqueous Species Options'!P685, IF('Aqueous Species Table'!I685="", "", IF('Aqueous Species Options'!B685="H+", 0, ('Aqueous Species Options'!G685/41.8393 + 'Aqueous Species Table'!O685*100000*0.0000005903 - 'Aqueous Species Table'!I685/10 - 'Aqueous Species Table'!J685*100/2601)*(298.15-228) - ('Aqueous Species Table'!L685*10000/2601) ) ) ) )</f>
        <v/>
      </c>
      <c r="L685" s="1" t="str">
        <f>IF(ISBLANK('Aqueous Species Options'!B685), "", IF('Aqueous Species Options'!L685 = 0, 'Aqueous Species Options'!Q685, IF('Aqueous Species Table'!J685="", "", IF('Aqueous Species Options'!B685="H+", 0, (-4.134*'Aqueous Species Table'!J685*100 - 27790)*0.0001) ) ) )</f>
        <v/>
      </c>
      <c r="M685" s="1" t="str">
        <f>IF(ISBLANK('Aqueous Species Options'!B685), "", IF('Aqueous Species Options'!L685=0, 'Aqueous Species Options'!R685, IF('Aqueous Species Table'!N685="", "", IF('Aqueous Species Options'!B685="H+", 0, 'Aqueous Species Options'!H685 - 'Aqueous Species Table'!O685*100000*(-0.000000309)*298.15 - 'Aqueous Species Table'!N685*10000/(298.15-228)^2 ) ) ) )</f>
        <v/>
      </c>
      <c r="N685" s="1" t="str">
        <f>IF(ISBLANK('Aqueous Species Options'!B685), "", IF('Aqueous Species Options'!L685=0, 'Aqueous Species Options'!S685, IF(OR(ISBLANK('Aqueous Species Options'!H685), 'Aqueous Species Table'!O685=""), "", IF('Aqueous Species Options'!B685="H+", 0, 0.2037*'Aqueous Species Options'!H685 - 3.0346) ) ) )</f>
        <v/>
      </c>
      <c r="O685" s="1" t="str">
        <f>IF(ISBLANK('Aqueous Species Options'!B685), "", IF('Aqueous Species Options'!K685=0, 'Aqueous Species Options'!I685, IF(OR('Aqueous Species Options'!J685&gt;4,'Aqueous Species Options'!J685&lt;-4), "", IF('Aqueous Species Options'!B685="H+", 0, IF('Aqueous Species Options'!J685=0, -0.038, IF(ISBLANK('Aqueous Species Options'!F685), "", -1514.4*'Aqueous Species Options'!F685*0.00001 + SUM(({4,3,2,1,-1,-2,-3,-4}='Aqueous Species Options'!J685)*{2.1764,1.5793,1.0579,0.5517,1.6291,3.2127,4.8115,6.486}) ) ) ) ) ) )</f>
        <v/>
      </c>
      <c r="P685" s="1" t="str">
        <f>IF(ISBLANK('Aqueous Species Options'!J685), "", 'Aqueous Species Options'!J685)</f>
        <v/>
      </c>
      <c r="Q685" s="184" t="str">
        <f>IF(ISBLANK('Aqueous Species Options'!T685), "", 'Aqueous Species Options'!T685)</f>
        <v/>
      </c>
    </row>
    <row r="686" spans="2:17" ht="16" x14ac:dyDescent="0.2">
      <c r="B686" t="str">
        <f>IF(ISBLANK('Aqueous Species Options'!B686), "", 'Aqueous Species Options'!B686)</f>
        <v/>
      </c>
      <c r="C686" s="1" t="str">
        <f>IF(ISBLANK('Aqueous Species Options'!C686), "", 'Aqueous Species Options'!C686)</f>
        <v/>
      </c>
      <c r="D686" s="1" t="str">
        <f>IF(ISBLANK('Aqueous Species Options'!D686), "", 'Aqueous Species Options'!D686)</f>
        <v/>
      </c>
      <c r="E686" s="1" t="str">
        <f>IF(ISBLANK('Aqueous Species Options'!E686), "", 'Aqueous Species Options'!E686)</f>
        <v/>
      </c>
      <c r="F686" s="139" t="str">
        <f>IF(ISBLANK('Aqueous Species Options'!F686), "", 'Aqueous Species Options'!F686)</f>
        <v/>
      </c>
      <c r="G686" s="29" t="str">
        <f>IF(ISBLANK('Aqueous Species Options'!B686), "", IF('Aqueous Species Options'!L686 = 1, IF(ISBLANK('Aqueous Species Options'!G686), "", 'Aqueous Species Options'!G686), ('Aqueous Species Table'!I686/10 + ('Aqueous Species Table'!J686*100)/(Calculations!$C$12+Calculations!$C$9) + ('Aqueous Species Table'!K686 + ('Aqueous Species Table'!L686*10000)/(Calculations!$C$12+Calculations!$C$9))*(1/(Calculations!$C$8-Calculations!$C$13)) - 'Aqueous Species Table'!O686*100000*0.0000005903)*41.8393))</f>
        <v/>
      </c>
      <c r="H686" s="29" t="str">
        <f>IF(ISBLANK('Aqueous Species Options'!B686), "", IF('Aqueous Species Options'!L686 = 1, IF(ISBLANK('Aqueous Species Options'!H686), "", 'Aqueous Species Options'!H686), 'Aqueous Species Table'!M686 + 'Aqueous Species Table'!N686*10000*(1/(Calculations!$C$8-Calculations!$C$13))^2 + 'Aqueous Species Table'!O686*100000*Calculations!$C$8*Calculations!$C$7))</f>
        <v/>
      </c>
      <c r="I686" s="1" t="str">
        <f>IF(ISBLANK('Aqueous Species Options'!B686), "", IF('Aqueous Species Options'!L686=0, 'Aqueous Species Options'!N686, IF(OR(ISBLANK('Aqueous Species Options'!G686),'Aqueous Species Table'!O686="", 'Aqueous Species Table'!P686=""), "", IF('Aqueous Species Options'!B686="H+", 0, (CHOOSE('Aqueous Species Options'!M686+1,'Aqueous Species Options'!$V$4*ABS('Aqueous Species Table'!P686)+'Aqueous Species Options'!$W$4,'Aqueous Species Options'!$Z$4)*('Aqueous Species Options'!G686 + 'Aqueous Species Table'!O686*100000*0.0000005903*41.8393) + CHOOSE('Aqueous Species Options'!M686+1,'Aqueous Species Options'!$X$4*ABS('Aqueous Species Table'!P686)+'Aqueous Species Options'!$Y$4,'Aqueous Species Options'!$AA$4))*10 ) ) ) )</f>
        <v/>
      </c>
      <c r="J686" s="1" t="str">
        <f>IF(ISBLANK('Aqueous Species Options'!B686), "", IF('Aqueous Species Options'!L686 = 0, 'Aqueous Species Options'!O686, IF('Aqueous Species Table'!I686="", "", IF('Aqueous Species Options'!B686="H+", 0, ((1.11*('Aqueous Species Options'!G686 + 'Aqueous Species Table'!O686*100000*0.0000005903*41.8393)+1.8)/41.8393 - 'Aqueous Species Table'!I686/10)*26.01 ) ) ) )</f>
        <v/>
      </c>
      <c r="K686" s="1" t="str">
        <f>IF(ISBLANK('Aqueous Species Options'!B686), "", IF('Aqueous Species Options'!L686 = 0, 'Aqueous Species Options'!P686, IF('Aqueous Species Table'!I686="", "", IF('Aqueous Species Options'!B686="H+", 0, ('Aqueous Species Options'!G686/41.8393 + 'Aqueous Species Table'!O686*100000*0.0000005903 - 'Aqueous Species Table'!I686/10 - 'Aqueous Species Table'!J686*100/2601)*(298.15-228) - ('Aqueous Species Table'!L686*10000/2601) ) ) ) )</f>
        <v/>
      </c>
      <c r="L686" s="1" t="str">
        <f>IF(ISBLANK('Aqueous Species Options'!B686), "", IF('Aqueous Species Options'!L686 = 0, 'Aqueous Species Options'!Q686, IF('Aqueous Species Table'!J686="", "", IF('Aqueous Species Options'!B686="H+", 0, (-4.134*'Aqueous Species Table'!J686*100 - 27790)*0.0001) ) ) )</f>
        <v/>
      </c>
      <c r="M686" s="1" t="str">
        <f>IF(ISBLANK('Aqueous Species Options'!B686), "", IF('Aqueous Species Options'!L686=0, 'Aqueous Species Options'!R686, IF('Aqueous Species Table'!N686="", "", IF('Aqueous Species Options'!B686="H+", 0, 'Aqueous Species Options'!H686 - 'Aqueous Species Table'!O686*100000*(-0.000000309)*298.15 - 'Aqueous Species Table'!N686*10000/(298.15-228)^2 ) ) ) )</f>
        <v/>
      </c>
      <c r="N686" s="1" t="str">
        <f>IF(ISBLANK('Aqueous Species Options'!B686), "", IF('Aqueous Species Options'!L686=0, 'Aqueous Species Options'!S686, IF(OR(ISBLANK('Aqueous Species Options'!H686), 'Aqueous Species Table'!O686=""), "", IF('Aqueous Species Options'!B686="H+", 0, 0.2037*'Aqueous Species Options'!H686 - 3.0346) ) ) )</f>
        <v/>
      </c>
      <c r="O686" s="1" t="str">
        <f>IF(ISBLANK('Aqueous Species Options'!B686), "", IF('Aqueous Species Options'!K686=0, 'Aqueous Species Options'!I686, IF(OR('Aqueous Species Options'!J686&gt;4,'Aqueous Species Options'!J686&lt;-4), "", IF('Aqueous Species Options'!B686="H+", 0, IF('Aqueous Species Options'!J686=0, -0.038, IF(ISBLANK('Aqueous Species Options'!F686), "", -1514.4*'Aqueous Species Options'!F686*0.00001 + SUM(({4,3,2,1,-1,-2,-3,-4}='Aqueous Species Options'!J686)*{2.1764,1.5793,1.0579,0.5517,1.6291,3.2127,4.8115,6.486}) ) ) ) ) ) )</f>
        <v/>
      </c>
      <c r="P686" s="1" t="str">
        <f>IF(ISBLANK('Aqueous Species Options'!J686), "", 'Aqueous Species Options'!J686)</f>
        <v/>
      </c>
      <c r="Q686" s="184" t="str">
        <f>IF(ISBLANK('Aqueous Species Options'!T686), "", 'Aqueous Species Options'!T686)</f>
        <v/>
      </c>
    </row>
    <row r="687" spans="2:17" ht="15" customHeight="1" x14ac:dyDescent="0.2">
      <c r="B687" t="str">
        <f>IF(ISBLANK('Aqueous Species Options'!B687), "", 'Aqueous Species Options'!B687)</f>
        <v/>
      </c>
      <c r="C687" s="1" t="str">
        <f>IF(ISBLANK('Aqueous Species Options'!C687), "", 'Aqueous Species Options'!C687)</f>
        <v/>
      </c>
      <c r="D687" s="1" t="str">
        <f>IF(ISBLANK('Aqueous Species Options'!D687), "", 'Aqueous Species Options'!D687)</f>
        <v/>
      </c>
      <c r="E687" s="1" t="str">
        <f>IF(ISBLANK('Aqueous Species Options'!E687), "", 'Aqueous Species Options'!E687)</f>
        <v/>
      </c>
      <c r="F687" s="139" t="str">
        <f>IF(ISBLANK('Aqueous Species Options'!F687), "", 'Aqueous Species Options'!F687)</f>
        <v/>
      </c>
      <c r="G687" s="29" t="str">
        <f>IF(ISBLANK('Aqueous Species Options'!B687), "", IF('Aqueous Species Options'!L687 = 1, IF(ISBLANK('Aqueous Species Options'!G687), "", 'Aqueous Species Options'!G687), ('Aqueous Species Table'!I687/10 + ('Aqueous Species Table'!J687*100)/(Calculations!$C$12+Calculations!$C$9) + ('Aqueous Species Table'!K687 + ('Aqueous Species Table'!L687*10000)/(Calculations!$C$12+Calculations!$C$9))*(1/(Calculations!$C$8-Calculations!$C$13)) - 'Aqueous Species Table'!O687*100000*0.0000005903)*41.8393))</f>
        <v/>
      </c>
      <c r="H687" s="29" t="str">
        <f>IF(ISBLANK('Aqueous Species Options'!B687), "", IF('Aqueous Species Options'!L687 = 1, IF(ISBLANK('Aqueous Species Options'!H687), "", 'Aqueous Species Options'!H687), 'Aqueous Species Table'!M687 + 'Aqueous Species Table'!N687*10000*(1/(Calculations!$C$8-Calculations!$C$13))^2 + 'Aqueous Species Table'!O687*100000*Calculations!$C$8*Calculations!$C$7))</f>
        <v/>
      </c>
      <c r="I687" s="1" t="str">
        <f>IF(ISBLANK('Aqueous Species Options'!B687), "", IF('Aqueous Species Options'!L687=0, 'Aqueous Species Options'!N687, IF(OR(ISBLANK('Aqueous Species Options'!G687),'Aqueous Species Table'!O687="", 'Aqueous Species Table'!P687=""), "", IF('Aqueous Species Options'!B687="H+", 0, (CHOOSE('Aqueous Species Options'!M687+1,'Aqueous Species Options'!$V$4*ABS('Aqueous Species Table'!P687)+'Aqueous Species Options'!$W$4,'Aqueous Species Options'!$Z$4)*('Aqueous Species Options'!G687 + 'Aqueous Species Table'!O687*100000*0.0000005903*41.8393) + CHOOSE('Aqueous Species Options'!M687+1,'Aqueous Species Options'!$X$4*ABS('Aqueous Species Table'!P687)+'Aqueous Species Options'!$Y$4,'Aqueous Species Options'!$AA$4))*10 ) ) ) )</f>
        <v/>
      </c>
      <c r="J687" s="1" t="str">
        <f>IF(ISBLANK('Aqueous Species Options'!B687), "", IF('Aqueous Species Options'!L687 = 0, 'Aqueous Species Options'!O687, IF('Aqueous Species Table'!I687="", "", IF('Aqueous Species Options'!B687="H+", 0, ((1.11*('Aqueous Species Options'!G687 + 'Aqueous Species Table'!O687*100000*0.0000005903*41.8393)+1.8)/41.8393 - 'Aqueous Species Table'!I687/10)*26.01 ) ) ) )</f>
        <v/>
      </c>
      <c r="K687" s="1" t="str">
        <f>IF(ISBLANK('Aqueous Species Options'!B687), "", IF('Aqueous Species Options'!L687 = 0, 'Aqueous Species Options'!P687, IF('Aqueous Species Table'!I687="", "", IF('Aqueous Species Options'!B687="H+", 0, ('Aqueous Species Options'!G687/41.8393 + 'Aqueous Species Table'!O687*100000*0.0000005903 - 'Aqueous Species Table'!I687/10 - 'Aqueous Species Table'!J687*100/2601)*(298.15-228) - ('Aqueous Species Table'!L687*10000/2601) ) ) ) )</f>
        <v/>
      </c>
      <c r="L687" s="1" t="str">
        <f>IF(ISBLANK('Aqueous Species Options'!B687), "", IF('Aqueous Species Options'!L687 = 0, 'Aqueous Species Options'!Q687, IF('Aqueous Species Table'!J687="", "", IF('Aqueous Species Options'!B687="H+", 0, (-4.134*'Aqueous Species Table'!J687*100 - 27790)*0.0001) ) ) )</f>
        <v/>
      </c>
      <c r="M687" s="1" t="str">
        <f>IF(ISBLANK('Aqueous Species Options'!B687), "", IF('Aqueous Species Options'!L687=0, 'Aqueous Species Options'!R687, IF('Aqueous Species Table'!N687="", "", IF('Aqueous Species Options'!B687="H+", 0, 'Aqueous Species Options'!H687 - 'Aqueous Species Table'!O687*100000*(-0.000000309)*298.15 - 'Aqueous Species Table'!N687*10000/(298.15-228)^2 ) ) ) )</f>
        <v/>
      </c>
      <c r="N687" s="1" t="str">
        <f>IF(ISBLANK('Aqueous Species Options'!B687), "", IF('Aqueous Species Options'!L687=0, 'Aqueous Species Options'!S687, IF(OR(ISBLANK('Aqueous Species Options'!H687), 'Aqueous Species Table'!O687=""), "", IF('Aqueous Species Options'!B687="H+", 0, 0.2037*'Aqueous Species Options'!H687 - 3.0346) ) ) )</f>
        <v/>
      </c>
      <c r="O687" s="1" t="str">
        <f>IF(ISBLANK('Aqueous Species Options'!B687), "", IF('Aqueous Species Options'!K687=0, 'Aqueous Species Options'!I687, IF(OR('Aqueous Species Options'!J687&gt;4,'Aqueous Species Options'!J687&lt;-4), "", IF('Aqueous Species Options'!B687="H+", 0, IF('Aqueous Species Options'!J687=0, -0.038, IF(ISBLANK('Aqueous Species Options'!F687), "", -1514.4*'Aqueous Species Options'!F687*0.00001 + SUM(({4,3,2,1,-1,-2,-3,-4}='Aqueous Species Options'!J687)*{2.1764,1.5793,1.0579,0.5517,1.6291,3.2127,4.8115,6.486}) ) ) ) ) ) )</f>
        <v/>
      </c>
      <c r="P687" s="1" t="str">
        <f>IF(ISBLANK('Aqueous Species Options'!J687), "", 'Aqueous Species Options'!J687)</f>
        <v/>
      </c>
      <c r="Q687" s="184" t="str">
        <f>IF(ISBLANK('Aqueous Species Options'!T687), "", 'Aqueous Species Options'!T687)</f>
        <v/>
      </c>
    </row>
    <row r="688" spans="2:17" ht="16" x14ac:dyDescent="0.2">
      <c r="B688" t="str">
        <f>IF(ISBLANK('Aqueous Species Options'!B688), "", 'Aqueous Species Options'!B688)</f>
        <v/>
      </c>
      <c r="C688" s="1" t="str">
        <f>IF(ISBLANK('Aqueous Species Options'!C688), "", 'Aqueous Species Options'!C688)</f>
        <v/>
      </c>
      <c r="D688" s="1" t="str">
        <f>IF(ISBLANK('Aqueous Species Options'!D688), "", 'Aqueous Species Options'!D688)</f>
        <v/>
      </c>
      <c r="E688" s="1" t="str">
        <f>IF(ISBLANK('Aqueous Species Options'!E688), "", 'Aqueous Species Options'!E688)</f>
        <v/>
      </c>
      <c r="F688" s="139" t="str">
        <f>IF(ISBLANK('Aqueous Species Options'!F688), "", 'Aqueous Species Options'!F688)</f>
        <v/>
      </c>
      <c r="G688" s="29" t="str">
        <f>IF(ISBLANK('Aqueous Species Options'!B688), "", IF('Aqueous Species Options'!L688 = 1, IF(ISBLANK('Aqueous Species Options'!G688), "", 'Aqueous Species Options'!G688), ('Aqueous Species Table'!I688/10 + ('Aqueous Species Table'!J688*100)/(Calculations!$C$12+Calculations!$C$9) + ('Aqueous Species Table'!K688 + ('Aqueous Species Table'!L688*10000)/(Calculations!$C$12+Calculations!$C$9))*(1/(Calculations!$C$8-Calculations!$C$13)) - 'Aqueous Species Table'!O688*100000*0.0000005903)*41.8393))</f>
        <v/>
      </c>
      <c r="H688" s="29" t="str">
        <f>IF(ISBLANK('Aqueous Species Options'!B688), "", IF('Aqueous Species Options'!L688 = 1, IF(ISBLANK('Aqueous Species Options'!H688), "", 'Aqueous Species Options'!H688), 'Aqueous Species Table'!M688 + 'Aqueous Species Table'!N688*10000*(1/(Calculations!$C$8-Calculations!$C$13))^2 + 'Aqueous Species Table'!O688*100000*Calculations!$C$8*Calculations!$C$7))</f>
        <v/>
      </c>
      <c r="I688" s="1" t="str">
        <f>IF(ISBLANK('Aqueous Species Options'!B688), "", IF('Aqueous Species Options'!L688=0, 'Aqueous Species Options'!N688, IF(OR(ISBLANK('Aqueous Species Options'!G688),'Aqueous Species Table'!O688="", 'Aqueous Species Table'!P688=""), "", IF('Aqueous Species Options'!B688="H+", 0, (CHOOSE('Aqueous Species Options'!M688+1,'Aqueous Species Options'!$V$4*ABS('Aqueous Species Table'!P688)+'Aqueous Species Options'!$W$4,'Aqueous Species Options'!$Z$4)*('Aqueous Species Options'!G688 + 'Aqueous Species Table'!O688*100000*0.0000005903*41.8393) + CHOOSE('Aqueous Species Options'!M688+1,'Aqueous Species Options'!$X$4*ABS('Aqueous Species Table'!P688)+'Aqueous Species Options'!$Y$4,'Aqueous Species Options'!$AA$4))*10 ) ) ) )</f>
        <v/>
      </c>
      <c r="J688" s="1" t="str">
        <f>IF(ISBLANK('Aqueous Species Options'!B688), "", IF('Aqueous Species Options'!L688 = 0, 'Aqueous Species Options'!O688, IF('Aqueous Species Table'!I688="", "", IF('Aqueous Species Options'!B688="H+", 0, ((1.11*('Aqueous Species Options'!G688 + 'Aqueous Species Table'!O688*100000*0.0000005903*41.8393)+1.8)/41.8393 - 'Aqueous Species Table'!I688/10)*26.01 ) ) ) )</f>
        <v/>
      </c>
      <c r="K688" s="1" t="str">
        <f>IF(ISBLANK('Aqueous Species Options'!B688), "", IF('Aqueous Species Options'!L688 = 0, 'Aqueous Species Options'!P688, IF('Aqueous Species Table'!I688="", "", IF('Aqueous Species Options'!B688="H+", 0, ('Aqueous Species Options'!G688/41.8393 + 'Aqueous Species Table'!O688*100000*0.0000005903 - 'Aqueous Species Table'!I688/10 - 'Aqueous Species Table'!J688*100/2601)*(298.15-228) - ('Aqueous Species Table'!L688*10000/2601) ) ) ) )</f>
        <v/>
      </c>
      <c r="L688" s="1" t="str">
        <f>IF(ISBLANK('Aqueous Species Options'!B688), "", IF('Aqueous Species Options'!L688 = 0, 'Aqueous Species Options'!Q688, IF('Aqueous Species Table'!J688="", "", IF('Aqueous Species Options'!B688="H+", 0, (-4.134*'Aqueous Species Table'!J688*100 - 27790)*0.0001) ) ) )</f>
        <v/>
      </c>
      <c r="M688" s="1" t="str">
        <f>IF(ISBLANK('Aqueous Species Options'!B688), "", IF('Aqueous Species Options'!L688=0, 'Aqueous Species Options'!R688, IF('Aqueous Species Table'!N688="", "", IF('Aqueous Species Options'!B688="H+", 0, 'Aqueous Species Options'!H688 - 'Aqueous Species Table'!O688*100000*(-0.000000309)*298.15 - 'Aqueous Species Table'!N688*10000/(298.15-228)^2 ) ) ) )</f>
        <v/>
      </c>
      <c r="N688" s="1" t="str">
        <f>IF(ISBLANK('Aqueous Species Options'!B688), "", IF('Aqueous Species Options'!L688=0, 'Aqueous Species Options'!S688, IF(OR(ISBLANK('Aqueous Species Options'!H688), 'Aqueous Species Table'!O688=""), "", IF('Aqueous Species Options'!B688="H+", 0, 0.2037*'Aqueous Species Options'!H688 - 3.0346) ) ) )</f>
        <v/>
      </c>
      <c r="O688" s="1" t="str">
        <f>IF(ISBLANK('Aqueous Species Options'!B688), "", IF('Aqueous Species Options'!K688=0, 'Aqueous Species Options'!I688, IF(OR('Aqueous Species Options'!J688&gt;4,'Aqueous Species Options'!J688&lt;-4), "", IF('Aqueous Species Options'!B688="H+", 0, IF('Aqueous Species Options'!J688=0, -0.038, IF(ISBLANK('Aqueous Species Options'!F688), "", -1514.4*'Aqueous Species Options'!F688*0.00001 + SUM(({4,3,2,1,-1,-2,-3,-4}='Aqueous Species Options'!J688)*{2.1764,1.5793,1.0579,0.5517,1.6291,3.2127,4.8115,6.486}) ) ) ) ) ) )</f>
        <v/>
      </c>
      <c r="P688" s="1" t="str">
        <f>IF(ISBLANK('Aqueous Species Options'!J688), "", 'Aqueous Species Options'!J688)</f>
        <v/>
      </c>
      <c r="Q688" s="184" t="str">
        <f>IF(ISBLANK('Aqueous Species Options'!T688), "", 'Aqueous Species Options'!T688)</f>
        <v/>
      </c>
    </row>
    <row r="689" spans="2:17" ht="16" x14ac:dyDescent="0.2">
      <c r="B689" t="str">
        <f>IF(ISBLANK('Aqueous Species Options'!B689), "", 'Aqueous Species Options'!B689)</f>
        <v/>
      </c>
      <c r="C689" s="1" t="str">
        <f>IF(ISBLANK('Aqueous Species Options'!C689), "", 'Aqueous Species Options'!C689)</f>
        <v/>
      </c>
      <c r="D689" s="1" t="str">
        <f>IF(ISBLANK('Aqueous Species Options'!D689), "", 'Aqueous Species Options'!D689)</f>
        <v/>
      </c>
      <c r="E689" s="1" t="str">
        <f>IF(ISBLANK('Aqueous Species Options'!E689), "", 'Aqueous Species Options'!E689)</f>
        <v/>
      </c>
      <c r="F689" s="139" t="str">
        <f>IF(ISBLANK('Aqueous Species Options'!F689), "", 'Aqueous Species Options'!F689)</f>
        <v/>
      </c>
      <c r="G689" s="29" t="str">
        <f>IF(ISBLANK('Aqueous Species Options'!B689), "", IF('Aqueous Species Options'!L689 = 1, IF(ISBLANK('Aqueous Species Options'!G689), "", 'Aqueous Species Options'!G689), ('Aqueous Species Table'!I689/10 + ('Aqueous Species Table'!J689*100)/(Calculations!$C$12+Calculations!$C$9) + ('Aqueous Species Table'!K689 + ('Aqueous Species Table'!L689*10000)/(Calculations!$C$12+Calculations!$C$9))*(1/(Calculations!$C$8-Calculations!$C$13)) - 'Aqueous Species Table'!O689*100000*0.0000005903)*41.8393))</f>
        <v/>
      </c>
      <c r="H689" s="29" t="str">
        <f>IF(ISBLANK('Aqueous Species Options'!B689), "", IF('Aqueous Species Options'!L689 = 1, IF(ISBLANK('Aqueous Species Options'!H689), "", 'Aqueous Species Options'!H689), 'Aqueous Species Table'!M689 + 'Aqueous Species Table'!N689*10000*(1/(Calculations!$C$8-Calculations!$C$13))^2 + 'Aqueous Species Table'!O689*100000*Calculations!$C$8*Calculations!$C$7))</f>
        <v/>
      </c>
      <c r="I689" s="1" t="str">
        <f>IF(ISBLANK('Aqueous Species Options'!B689), "", IF('Aqueous Species Options'!L689=0, 'Aqueous Species Options'!N689, IF(OR(ISBLANK('Aqueous Species Options'!G689),'Aqueous Species Table'!O689="", 'Aqueous Species Table'!P689=""), "", IF('Aqueous Species Options'!B689="H+", 0, (CHOOSE('Aqueous Species Options'!M689+1,'Aqueous Species Options'!$V$4*ABS('Aqueous Species Table'!P689)+'Aqueous Species Options'!$W$4,'Aqueous Species Options'!$Z$4)*('Aqueous Species Options'!G689 + 'Aqueous Species Table'!O689*100000*0.0000005903*41.8393) + CHOOSE('Aqueous Species Options'!M689+1,'Aqueous Species Options'!$X$4*ABS('Aqueous Species Table'!P689)+'Aqueous Species Options'!$Y$4,'Aqueous Species Options'!$AA$4))*10 ) ) ) )</f>
        <v/>
      </c>
      <c r="J689" s="1" t="str">
        <f>IF(ISBLANK('Aqueous Species Options'!B689), "", IF('Aqueous Species Options'!L689 = 0, 'Aqueous Species Options'!O689, IF('Aqueous Species Table'!I689="", "", IF('Aqueous Species Options'!B689="H+", 0, ((1.11*('Aqueous Species Options'!G689 + 'Aqueous Species Table'!O689*100000*0.0000005903*41.8393)+1.8)/41.8393 - 'Aqueous Species Table'!I689/10)*26.01 ) ) ) )</f>
        <v/>
      </c>
      <c r="K689" s="1" t="str">
        <f>IF(ISBLANK('Aqueous Species Options'!B689), "", IF('Aqueous Species Options'!L689 = 0, 'Aqueous Species Options'!P689, IF('Aqueous Species Table'!I689="", "", IF('Aqueous Species Options'!B689="H+", 0, ('Aqueous Species Options'!G689/41.8393 + 'Aqueous Species Table'!O689*100000*0.0000005903 - 'Aqueous Species Table'!I689/10 - 'Aqueous Species Table'!J689*100/2601)*(298.15-228) - ('Aqueous Species Table'!L689*10000/2601) ) ) ) )</f>
        <v/>
      </c>
      <c r="L689" s="1" t="str">
        <f>IF(ISBLANK('Aqueous Species Options'!B689), "", IF('Aqueous Species Options'!L689 = 0, 'Aqueous Species Options'!Q689, IF('Aqueous Species Table'!J689="", "", IF('Aqueous Species Options'!B689="H+", 0, (-4.134*'Aqueous Species Table'!J689*100 - 27790)*0.0001) ) ) )</f>
        <v/>
      </c>
      <c r="M689" s="1" t="str">
        <f>IF(ISBLANK('Aqueous Species Options'!B689), "", IF('Aqueous Species Options'!L689=0, 'Aqueous Species Options'!R689, IF('Aqueous Species Table'!N689="", "", IF('Aqueous Species Options'!B689="H+", 0, 'Aqueous Species Options'!H689 - 'Aqueous Species Table'!O689*100000*(-0.000000309)*298.15 - 'Aqueous Species Table'!N689*10000/(298.15-228)^2 ) ) ) )</f>
        <v/>
      </c>
      <c r="N689" s="1" t="str">
        <f>IF(ISBLANK('Aqueous Species Options'!B689), "", IF('Aqueous Species Options'!L689=0, 'Aqueous Species Options'!S689, IF(OR(ISBLANK('Aqueous Species Options'!H689), 'Aqueous Species Table'!O689=""), "", IF('Aqueous Species Options'!B689="H+", 0, 0.2037*'Aqueous Species Options'!H689 - 3.0346) ) ) )</f>
        <v/>
      </c>
      <c r="O689" s="1" t="str">
        <f>IF(ISBLANK('Aqueous Species Options'!B689), "", IF('Aqueous Species Options'!K689=0, 'Aqueous Species Options'!I689, IF(OR('Aqueous Species Options'!J689&gt;4,'Aqueous Species Options'!J689&lt;-4), "", IF('Aqueous Species Options'!B689="H+", 0, IF('Aqueous Species Options'!J689=0, -0.038, IF(ISBLANK('Aqueous Species Options'!F689), "", -1514.4*'Aqueous Species Options'!F689*0.00001 + SUM(({4,3,2,1,-1,-2,-3,-4}='Aqueous Species Options'!J689)*{2.1764,1.5793,1.0579,0.5517,1.6291,3.2127,4.8115,6.486}) ) ) ) ) ) )</f>
        <v/>
      </c>
      <c r="P689" s="1" t="str">
        <f>IF(ISBLANK('Aqueous Species Options'!J689), "", 'Aqueous Species Options'!J689)</f>
        <v/>
      </c>
      <c r="Q689" s="184" t="str">
        <f>IF(ISBLANK('Aqueous Species Options'!T689), "", 'Aqueous Species Options'!T689)</f>
        <v/>
      </c>
    </row>
    <row r="690" spans="2:17" ht="16" x14ac:dyDescent="0.2">
      <c r="B690" t="str">
        <f>IF(ISBLANK('Aqueous Species Options'!B690), "", 'Aqueous Species Options'!B690)</f>
        <v/>
      </c>
      <c r="C690" s="1" t="str">
        <f>IF(ISBLANK('Aqueous Species Options'!C690), "", 'Aqueous Species Options'!C690)</f>
        <v/>
      </c>
      <c r="D690" s="1" t="str">
        <f>IF(ISBLANK('Aqueous Species Options'!D690), "", 'Aqueous Species Options'!D690)</f>
        <v/>
      </c>
      <c r="E690" s="1" t="str">
        <f>IF(ISBLANK('Aqueous Species Options'!E690), "", 'Aqueous Species Options'!E690)</f>
        <v/>
      </c>
      <c r="F690" s="139" t="str">
        <f>IF(ISBLANK('Aqueous Species Options'!F690), "", 'Aqueous Species Options'!F690)</f>
        <v/>
      </c>
      <c r="G690" s="29" t="str">
        <f>IF(ISBLANK('Aqueous Species Options'!B690), "", IF('Aqueous Species Options'!L690 = 1, IF(ISBLANK('Aqueous Species Options'!G690), "", 'Aqueous Species Options'!G690), ('Aqueous Species Table'!I690/10 + ('Aqueous Species Table'!J690*100)/(Calculations!$C$12+Calculations!$C$9) + ('Aqueous Species Table'!K690 + ('Aqueous Species Table'!L690*10000)/(Calculations!$C$12+Calculations!$C$9))*(1/(Calculations!$C$8-Calculations!$C$13)) - 'Aqueous Species Table'!O690*100000*0.0000005903)*41.8393))</f>
        <v/>
      </c>
      <c r="H690" s="29" t="str">
        <f>IF(ISBLANK('Aqueous Species Options'!B690), "", IF('Aqueous Species Options'!L690 = 1, IF(ISBLANK('Aqueous Species Options'!H690), "", 'Aqueous Species Options'!H690), 'Aqueous Species Table'!M690 + 'Aqueous Species Table'!N690*10000*(1/(Calculations!$C$8-Calculations!$C$13))^2 + 'Aqueous Species Table'!O690*100000*Calculations!$C$8*Calculations!$C$7))</f>
        <v/>
      </c>
      <c r="I690" s="1" t="str">
        <f>IF(ISBLANK('Aqueous Species Options'!B690), "", IF('Aqueous Species Options'!L690=0, 'Aqueous Species Options'!N690, IF(OR(ISBLANK('Aqueous Species Options'!G690),'Aqueous Species Table'!O690="", 'Aqueous Species Table'!P690=""), "", IF('Aqueous Species Options'!B690="H+", 0, (CHOOSE('Aqueous Species Options'!M690+1,'Aqueous Species Options'!$V$4*ABS('Aqueous Species Table'!P690)+'Aqueous Species Options'!$W$4,'Aqueous Species Options'!$Z$4)*('Aqueous Species Options'!G690 + 'Aqueous Species Table'!O690*100000*0.0000005903*41.8393) + CHOOSE('Aqueous Species Options'!M690+1,'Aqueous Species Options'!$X$4*ABS('Aqueous Species Table'!P690)+'Aqueous Species Options'!$Y$4,'Aqueous Species Options'!$AA$4))*10 ) ) ) )</f>
        <v/>
      </c>
      <c r="J690" s="1" t="str">
        <f>IF(ISBLANK('Aqueous Species Options'!B690), "", IF('Aqueous Species Options'!L690 = 0, 'Aqueous Species Options'!O690, IF('Aqueous Species Table'!I690="", "", IF('Aqueous Species Options'!B690="H+", 0, ((1.11*('Aqueous Species Options'!G690 + 'Aqueous Species Table'!O690*100000*0.0000005903*41.8393)+1.8)/41.8393 - 'Aqueous Species Table'!I690/10)*26.01 ) ) ) )</f>
        <v/>
      </c>
      <c r="K690" s="1" t="str">
        <f>IF(ISBLANK('Aqueous Species Options'!B690), "", IF('Aqueous Species Options'!L690 = 0, 'Aqueous Species Options'!P690, IF('Aqueous Species Table'!I690="", "", IF('Aqueous Species Options'!B690="H+", 0, ('Aqueous Species Options'!G690/41.8393 + 'Aqueous Species Table'!O690*100000*0.0000005903 - 'Aqueous Species Table'!I690/10 - 'Aqueous Species Table'!J690*100/2601)*(298.15-228) - ('Aqueous Species Table'!L690*10000/2601) ) ) ) )</f>
        <v/>
      </c>
      <c r="L690" s="1" t="str">
        <f>IF(ISBLANK('Aqueous Species Options'!B690), "", IF('Aqueous Species Options'!L690 = 0, 'Aqueous Species Options'!Q690, IF('Aqueous Species Table'!J690="", "", IF('Aqueous Species Options'!B690="H+", 0, (-4.134*'Aqueous Species Table'!J690*100 - 27790)*0.0001) ) ) )</f>
        <v/>
      </c>
      <c r="M690" s="1" t="str">
        <f>IF(ISBLANK('Aqueous Species Options'!B690), "", IF('Aqueous Species Options'!L690=0, 'Aqueous Species Options'!R690, IF('Aqueous Species Table'!N690="", "", IF('Aqueous Species Options'!B690="H+", 0, 'Aqueous Species Options'!H690 - 'Aqueous Species Table'!O690*100000*(-0.000000309)*298.15 - 'Aqueous Species Table'!N690*10000/(298.15-228)^2 ) ) ) )</f>
        <v/>
      </c>
      <c r="N690" s="1" t="str">
        <f>IF(ISBLANK('Aqueous Species Options'!B690), "", IF('Aqueous Species Options'!L690=0, 'Aqueous Species Options'!S690, IF(OR(ISBLANK('Aqueous Species Options'!H690), 'Aqueous Species Table'!O690=""), "", IF('Aqueous Species Options'!B690="H+", 0, 0.2037*'Aqueous Species Options'!H690 - 3.0346) ) ) )</f>
        <v/>
      </c>
      <c r="O690" s="1" t="str">
        <f>IF(ISBLANK('Aqueous Species Options'!B690), "", IF('Aqueous Species Options'!K690=0, 'Aqueous Species Options'!I690, IF(OR('Aqueous Species Options'!J690&gt;4,'Aqueous Species Options'!J690&lt;-4), "", IF('Aqueous Species Options'!B690="H+", 0, IF('Aqueous Species Options'!J690=0, -0.038, IF(ISBLANK('Aqueous Species Options'!F690), "", -1514.4*'Aqueous Species Options'!F690*0.00001 + SUM(({4,3,2,1,-1,-2,-3,-4}='Aqueous Species Options'!J690)*{2.1764,1.5793,1.0579,0.5517,1.6291,3.2127,4.8115,6.486}) ) ) ) ) ) )</f>
        <v/>
      </c>
      <c r="P690" s="1" t="str">
        <f>IF(ISBLANK('Aqueous Species Options'!J690), "", 'Aqueous Species Options'!J690)</f>
        <v/>
      </c>
      <c r="Q690" s="184" t="str">
        <f>IF(ISBLANK('Aqueous Species Options'!T690), "", 'Aqueous Species Options'!T690)</f>
        <v/>
      </c>
    </row>
    <row r="691" spans="2:17" ht="16" x14ac:dyDescent="0.2">
      <c r="B691" t="str">
        <f>IF(ISBLANK('Aqueous Species Options'!B691), "", 'Aqueous Species Options'!B691)</f>
        <v/>
      </c>
      <c r="C691" s="1" t="str">
        <f>IF(ISBLANK('Aqueous Species Options'!C691), "", 'Aqueous Species Options'!C691)</f>
        <v/>
      </c>
      <c r="D691" s="1" t="str">
        <f>IF(ISBLANK('Aqueous Species Options'!D691), "", 'Aqueous Species Options'!D691)</f>
        <v/>
      </c>
      <c r="E691" s="1" t="str">
        <f>IF(ISBLANK('Aqueous Species Options'!E691), "", 'Aqueous Species Options'!E691)</f>
        <v/>
      </c>
      <c r="F691" s="139" t="str">
        <f>IF(ISBLANK('Aqueous Species Options'!F691), "", 'Aqueous Species Options'!F691)</f>
        <v/>
      </c>
      <c r="G691" s="29" t="str">
        <f>IF(ISBLANK('Aqueous Species Options'!B691), "", IF('Aqueous Species Options'!L691 = 1, IF(ISBLANK('Aqueous Species Options'!G691), "", 'Aqueous Species Options'!G691), ('Aqueous Species Table'!I691/10 + ('Aqueous Species Table'!J691*100)/(Calculations!$C$12+Calculations!$C$9) + ('Aqueous Species Table'!K691 + ('Aqueous Species Table'!L691*10000)/(Calculations!$C$12+Calculations!$C$9))*(1/(Calculations!$C$8-Calculations!$C$13)) - 'Aqueous Species Table'!O691*100000*0.0000005903)*41.8393))</f>
        <v/>
      </c>
      <c r="H691" s="29" t="str">
        <f>IF(ISBLANK('Aqueous Species Options'!B691), "", IF('Aqueous Species Options'!L691 = 1, IF(ISBLANK('Aqueous Species Options'!H691), "", 'Aqueous Species Options'!H691), 'Aqueous Species Table'!M691 + 'Aqueous Species Table'!N691*10000*(1/(Calculations!$C$8-Calculations!$C$13))^2 + 'Aqueous Species Table'!O691*100000*Calculations!$C$8*Calculations!$C$7))</f>
        <v/>
      </c>
      <c r="I691" s="1" t="str">
        <f>IF(ISBLANK('Aqueous Species Options'!B691), "", IF('Aqueous Species Options'!L691=0, 'Aqueous Species Options'!N691, IF(OR(ISBLANK('Aqueous Species Options'!G691),'Aqueous Species Table'!O691="", 'Aqueous Species Table'!P691=""), "", IF('Aqueous Species Options'!B691="H+", 0, (CHOOSE('Aqueous Species Options'!M691+1,'Aqueous Species Options'!$V$4*ABS('Aqueous Species Table'!P691)+'Aqueous Species Options'!$W$4,'Aqueous Species Options'!$Z$4)*('Aqueous Species Options'!G691 + 'Aqueous Species Table'!O691*100000*0.0000005903*41.8393) + CHOOSE('Aqueous Species Options'!M691+1,'Aqueous Species Options'!$X$4*ABS('Aqueous Species Table'!P691)+'Aqueous Species Options'!$Y$4,'Aqueous Species Options'!$AA$4))*10 ) ) ) )</f>
        <v/>
      </c>
      <c r="J691" s="1" t="str">
        <f>IF(ISBLANK('Aqueous Species Options'!B691), "", IF('Aqueous Species Options'!L691 = 0, 'Aqueous Species Options'!O691, IF('Aqueous Species Table'!I691="", "", IF('Aqueous Species Options'!B691="H+", 0, ((1.11*('Aqueous Species Options'!G691 + 'Aqueous Species Table'!O691*100000*0.0000005903*41.8393)+1.8)/41.8393 - 'Aqueous Species Table'!I691/10)*26.01 ) ) ) )</f>
        <v/>
      </c>
      <c r="K691" s="1" t="str">
        <f>IF(ISBLANK('Aqueous Species Options'!B691), "", IF('Aqueous Species Options'!L691 = 0, 'Aqueous Species Options'!P691, IF('Aqueous Species Table'!I691="", "", IF('Aqueous Species Options'!B691="H+", 0, ('Aqueous Species Options'!G691/41.8393 + 'Aqueous Species Table'!O691*100000*0.0000005903 - 'Aqueous Species Table'!I691/10 - 'Aqueous Species Table'!J691*100/2601)*(298.15-228) - ('Aqueous Species Table'!L691*10000/2601) ) ) ) )</f>
        <v/>
      </c>
      <c r="L691" s="1" t="str">
        <f>IF(ISBLANK('Aqueous Species Options'!B691), "", IF('Aqueous Species Options'!L691 = 0, 'Aqueous Species Options'!Q691, IF('Aqueous Species Table'!J691="", "", IF('Aqueous Species Options'!B691="H+", 0, (-4.134*'Aqueous Species Table'!J691*100 - 27790)*0.0001) ) ) )</f>
        <v/>
      </c>
      <c r="M691" s="1" t="str">
        <f>IF(ISBLANK('Aqueous Species Options'!B691), "", IF('Aqueous Species Options'!L691=0, 'Aqueous Species Options'!R691, IF('Aqueous Species Table'!N691="", "", IF('Aqueous Species Options'!B691="H+", 0, 'Aqueous Species Options'!H691 - 'Aqueous Species Table'!O691*100000*(-0.000000309)*298.15 - 'Aqueous Species Table'!N691*10000/(298.15-228)^2 ) ) ) )</f>
        <v/>
      </c>
      <c r="N691" s="1" t="str">
        <f>IF(ISBLANK('Aqueous Species Options'!B691), "", IF('Aqueous Species Options'!L691=0, 'Aqueous Species Options'!S691, IF(OR(ISBLANK('Aqueous Species Options'!H691), 'Aqueous Species Table'!O691=""), "", IF('Aqueous Species Options'!B691="H+", 0, 0.2037*'Aqueous Species Options'!H691 - 3.0346) ) ) )</f>
        <v/>
      </c>
      <c r="O691" s="1" t="str">
        <f>IF(ISBLANK('Aqueous Species Options'!B691), "", IF('Aqueous Species Options'!K691=0, 'Aqueous Species Options'!I691, IF(OR('Aqueous Species Options'!J691&gt;4,'Aqueous Species Options'!J691&lt;-4), "", IF('Aqueous Species Options'!B691="H+", 0, IF('Aqueous Species Options'!J691=0, -0.038, IF(ISBLANK('Aqueous Species Options'!F691), "", -1514.4*'Aqueous Species Options'!F691*0.00001 + SUM(({4,3,2,1,-1,-2,-3,-4}='Aqueous Species Options'!J691)*{2.1764,1.5793,1.0579,0.5517,1.6291,3.2127,4.8115,6.486}) ) ) ) ) ) )</f>
        <v/>
      </c>
      <c r="P691" s="1" t="str">
        <f>IF(ISBLANK('Aqueous Species Options'!J691), "", 'Aqueous Species Options'!J691)</f>
        <v/>
      </c>
      <c r="Q691" s="184" t="str">
        <f>IF(ISBLANK('Aqueous Species Options'!T691), "", 'Aqueous Species Options'!T691)</f>
        <v/>
      </c>
    </row>
    <row r="692" spans="2:17" ht="15" customHeight="1" x14ac:dyDescent="0.2">
      <c r="B692" t="str">
        <f>IF(ISBLANK('Aqueous Species Options'!B692), "", 'Aqueous Species Options'!B692)</f>
        <v/>
      </c>
      <c r="C692" s="1" t="str">
        <f>IF(ISBLANK('Aqueous Species Options'!C692), "", 'Aqueous Species Options'!C692)</f>
        <v/>
      </c>
      <c r="D692" s="1" t="str">
        <f>IF(ISBLANK('Aqueous Species Options'!D692), "", 'Aqueous Species Options'!D692)</f>
        <v/>
      </c>
      <c r="E692" s="1" t="str">
        <f>IF(ISBLANK('Aqueous Species Options'!E692), "", 'Aqueous Species Options'!E692)</f>
        <v/>
      </c>
      <c r="F692" s="139" t="str">
        <f>IF(ISBLANK('Aqueous Species Options'!F692), "", 'Aqueous Species Options'!F692)</f>
        <v/>
      </c>
      <c r="G692" s="29" t="str">
        <f>IF(ISBLANK('Aqueous Species Options'!B692), "", IF('Aqueous Species Options'!L692 = 1, IF(ISBLANK('Aqueous Species Options'!G692), "", 'Aqueous Species Options'!G692), ('Aqueous Species Table'!I692/10 + ('Aqueous Species Table'!J692*100)/(Calculations!$C$12+Calculations!$C$9) + ('Aqueous Species Table'!K692 + ('Aqueous Species Table'!L692*10000)/(Calculations!$C$12+Calculations!$C$9))*(1/(Calculations!$C$8-Calculations!$C$13)) - 'Aqueous Species Table'!O692*100000*0.0000005903)*41.8393))</f>
        <v/>
      </c>
      <c r="H692" s="29" t="str">
        <f>IF(ISBLANK('Aqueous Species Options'!B692), "", IF('Aqueous Species Options'!L692 = 1, IF(ISBLANK('Aqueous Species Options'!H692), "", 'Aqueous Species Options'!H692), 'Aqueous Species Table'!M692 + 'Aqueous Species Table'!N692*10000*(1/(Calculations!$C$8-Calculations!$C$13))^2 + 'Aqueous Species Table'!O692*100000*Calculations!$C$8*Calculations!$C$7))</f>
        <v/>
      </c>
      <c r="I692" s="1" t="str">
        <f>IF(ISBLANK('Aqueous Species Options'!B692), "", IF('Aqueous Species Options'!L692=0, 'Aqueous Species Options'!N692, IF(OR(ISBLANK('Aqueous Species Options'!G692),'Aqueous Species Table'!O692="", 'Aqueous Species Table'!P692=""), "", IF('Aqueous Species Options'!B692="H+", 0, (CHOOSE('Aqueous Species Options'!M692+1,'Aqueous Species Options'!$V$4*ABS('Aqueous Species Table'!P692)+'Aqueous Species Options'!$W$4,'Aqueous Species Options'!$Z$4)*('Aqueous Species Options'!G692 + 'Aqueous Species Table'!O692*100000*0.0000005903*41.8393) + CHOOSE('Aqueous Species Options'!M692+1,'Aqueous Species Options'!$X$4*ABS('Aqueous Species Table'!P692)+'Aqueous Species Options'!$Y$4,'Aqueous Species Options'!$AA$4))*10 ) ) ) )</f>
        <v/>
      </c>
      <c r="J692" s="1" t="str">
        <f>IF(ISBLANK('Aqueous Species Options'!B692), "", IF('Aqueous Species Options'!L692 = 0, 'Aqueous Species Options'!O692, IF('Aqueous Species Table'!I692="", "", IF('Aqueous Species Options'!B692="H+", 0, ((1.11*('Aqueous Species Options'!G692 + 'Aqueous Species Table'!O692*100000*0.0000005903*41.8393)+1.8)/41.8393 - 'Aqueous Species Table'!I692/10)*26.01 ) ) ) )</f>
        <v/>
      </c>
      <c r="K692" s="1" t="str">
        <f>IF(ISBLANK('Aqueous Species Options'!B692), "", IF('Aqueous Species Options'!L692 = 0, 'Aqueous Species Options'!P692, IF('Aqueous Species Table'!I692="", "", IF('Aqueous Species Options'!B692="H+", 0, ('Aqueous Species Options'!G692/41.8393 + 'Aqueous Species Table'!O692*100000*0.0000005903 - 'Aqueous Species Table'!I692/10 - 'Aqueous Species Table'!J692*100/2601)*(298.15-228) - ('Aqueous Species Table'!L692*10000/2601) ) ) ) )</f>
        <v/>
      </c>
      <c r="L692" s="1" t="str">
        <f>IF(ISBLANK('Aqueous Species Options'!B692), "", IF('Aqueous Species Options'!L692 = 0, 'Aqueous Species Options'!Q692, IF('Aqueous Species Table'!J692="", "", IF('Aqueous Species Options'!B692="H+", 0, (-4.134*'Aqueous Species Table'!J692*100 - 27790)*0.0001) ) ) )</f>
        <v/>
      </c>
      <c r="M692" s="1" t="str">
        <f>IF(ISBLANK('Aqueous Species Options'!B692), "", IF('Aqueous Species Options'!L692=0, 'Aqueous Species Options'!R692, IF('Aqueous Species Table'!N692="", "", IF('Aqueous Species Options'!B692="H+", 0, 'Aqueous Species Options'!H692 - 'Aqueous Species Table'!O692*100000*(-0.000000309)*298.15 - 'Aqueous Species Table'!N692*10000/(298.15-228)^2 ) ) ) )</f>
        <v/>
      </c>
      <c r="N692" s="1" t="str">
        <f>IF(ISBLANK('Aqueous Species Options'!B692), "", IF('Aqueous Species Options'!L692=0, 'Aqueous Species Options'!S692, IF(OR(ISBLANK('Aqueous Species Options'!H692), 'Aqueous Species Table'!O692=""), "", IF('Aqueous Species Options'!B692="H+", 0, 0.2037*'Aqueous Species Options'!H692 - 3.0346) ) ) )</f>
        <v/>
      </c>
      <c r="O692" s="1" t="str">
        <f>IF(ISBLANK('Aqueous Species Options'!B692), "", IF('Aqueous Species Options'!K692=0, 'Aqueous Species Options'!I692, IF(OR('Aqueous Species Options'!J692&gt;4,'Aqueous Species Options'!J692&lt;-4), "", IF('Aqueous Species Options'!B692="H+", 0, IF('Aqueous Species Options'!J692=0, -0.038, IF(ISBLANK('Aqueous Species Options'!F692), "", -1514.4*'Aqueous Species Options'!F692*0.00001 + SUM(({4,3,2,1,-1,-2,-3,-4}='Aqueous Species Options'!J692)*{2.1764,1.5793,1.0579,0.5517,1.6291,3.2127,4.8115,6.486}) ) ) ) ) ) )</f>
        <v/>
      </c>
      <c r="P692" s="1" t="str">
        <f>IF(ISBLANK('Aqueous Species Options'!J692), "", 'Aqueous Species Options'!J692)</f>
        <v/>
      </c>
      <c r="Q692" s="184" t="str">
        <f>IF(ISBLANK('Aqueous Species Options'!T692), "", 'Aqueous Species Options'!T692)</f>
        <v/>
      </c>
    </row>
    <row r="693" spans="2:17" ht="16" x14ac:dyDescent="0.2">
      <c r="B693" t="str">
        <f>IF(ISBLANK('Aqueous Species Options'!B693), "", 'Aqueous Species Options'!B693)</f>
        <v/>
      </c>
      <c r="C693" s="1" t="str">
        <f>IF(ISBLANK('Aqueous Species Options'!C693), "", 'Aqueous Species Options'!C693)</f>
        <v/>
      </c>
      <c r="D693" s="1" t="str">
        <f>IF(ISBLANK('Aqueous Species Options'!D693), "", 'Aqueous Species Options'!D693)</f>
        <v/>
      </c>
      <c r="E693" s="1" t="str">
        <f>IF(ISBLANK('Aqueous Species Options'!E693), "", 'Aqueous Species Options'!E693)</f>
        <v/>
      </c>
      <c r="F693" s="139" t="str">
        <f>IF(ISBLANK('Aqueous Species Options'!F693), "", 'Aqueous Species Options'!F693)</f>
        <v/>
      </c>
      <c r="G693" s="29" t="str">
        <f>IF(ISBLANK('Aqueous Species Options'!B693), "", IF('Aqueous Species Options'!L693 = 1, IF(ISBLANK('Aqueous Species Options'!G693), "", 'Aqueous Species Options'!G693), ('Aqueous Species Table'!I693/10 + ('Aqueous Species Table'!J693*100)/(Calculations!$C$12+Calculations!$C$9) + ('Aqueous Species Table'!K693 + ('Aqueous Species Table'!L693*10000)/(Calculations!$C$12+Calculations!$C$9))*(1/(Calculations!$C$8-Calculations!$C$13)) - 'Aqueous Species Table'!O693*100000*0.0000005903)*41.8393))</f>
        <v/>
      </c>
      <c r="H693" s="29" t="str">
        <f>IF(ISBLANK('Aqueous Species Options'!B693), "", IF('Aqueous Species Options'!L693 = 1, IF(ISBLANK('Aqueous Species Options'!H693), "", 'Aqueous Species Options'!H693), 'Aqueous Species Table'!M693 + 'Aqueous Species Table'!N693*10000*(1/(Calculations!$C$8-Calculations!$C$13))^2 + 'Aqueous Species Table'!O693*100000*Calculations!$C$8*Calculations!$C$7))</f>
        <v/>
      </c>
      <c r="I693" s="1" t="str">
        <f>IF(ISBLANK('Aqueous Species Options'!B693), "", IF('Aqueous Species Options'!L693=0, 'Aqueous Species Options'!N693, IF(OR(ISBLANK('Aqueous Species Options'!G693),'Aqueous Species Table'!O693="", 'Aqueous Species Table'!P693=""), "", IF('Aqueous Species Options'!B693="H+", 0, (CHOOSE('Aqueous Species Options'!M693+1,'Aqueous Species Options'!$V$4*ABS('Aqueous Species Table'!P693)+'Aqueous Species Options'!$W$4,'Aqueous Species Options'!$Z$4)*('Aqueous Species Options'!G693 + 'Aqueous Species Table'!O693*100000*0.0000005903*41.8393) + CHOOSE('Aqueous Species Options'!M693+1,'Aqueous Species Options'!$X$4*ABS('Aqueous Species Table'!P693)+'Aqueous Species Options'!$Y$4,'Aqueous Species Options'!$AA$4))*10 ) ) ) )</f>
        <v/>
      </c>
      <c r="J693" s="1" t="str">
        <f>IF(ISBLANK('Aqueous Species Options'!B693), "", IF('Aqueous Species Options'!L693 = 0, 'Aqueous Species Options'!O693, IF('Aqueous Species Table'!I693="", "", IF('Aqueous Species Options'!B693="H+", 0, ((1.11*('Aqueous Species Options'!G693 + 'Aqueous Species Table'!O693*100000*0.0000005903*41.8393)+1.8)/41.8393 - 'Aqueous Species Table'!I693/10)*26.01 ) ) ) )</f>
        <v/>
      </c>
      <c r="K693" s="1" t="str">
        <f>IF(ISBLANK('Aqueous Species Options'!B693), "", IF('Aqueous Species Options'!L693 = 0, 'Aqueous Species Options'!P693, IF('Aqueous Species Table'!I693="", "", IF('Aqueous Species Options'!B693="H+", 0, ('Aqueous Species Options'!G693/41.8393 + 'Aqueous Species Table'!O693*100000*0.0000005903 - 'Aqueous Species Table'!I693/10 - 'Aqueous Species Table'!J693*100/2601)*(298.15-228) - ('Aqueous Species Table'!L693*10000/2601) ) ) ) )</f>
        <v/>
      </c>
      <c r="L693" s="1" t="str">
        <f>IF(ISBLANK('Aqueous Species Options'!B693), "", IF('Aqueous Species Options'!L693 = 0, 'Aqueous Species Options'!Q693, IF('Aqueous Species Table'!J693="", "", IF('Aqueous Species Options'!B693="H+", 0, (-4.134*'Aqueous Species Table'!J693*100 - 27790)*0.0001) ) ) )</f>
        <v/>
      </c>
      <c r="M693" s="1" t="str">
        <f>IF(ISBLANK('Aqueous Species Options'!B693), "", IF('Aqueous Species Options'!L693=0, 'Aqueous Species Options'!R693, IF('Aqueous Species Table'!N693="", "", IF('Aqueous Species Options'!B693="H+", 0, 'Aqueous Species Options'!H693 - 'Aqueous Species Table'!O693*100000*(-0.000000309)*298.15 - 'Aqueous Species Table'!N693*10000/(298.15-228)^2 ) ) ) )</f>
        <v/>
      </c>
      <c r="N693" s="1" t="str">
        <f>IF(ISBLANK('Aqueous Species Options'!B693), "", IF('Aqueous Species Options'!L693=0, 'Aqueous Species Options'!S693, IF(OR(ISBLANK('Aqueous Species Options'!H693), 'Aqueous Species Table'!O693=""), "", IF('Aqueous Species Options'!B693="H+", 0, 0.2037*'Aqueous Species Options'!H693 - 3.0346) ) ) )</f>
        <v/>
      </c>
      <c r="O693" s="1" t="str">
        <f>IF(ISBLANK('Aqueous Species Options'!B693), "", IF('Aqueous Species Options'!K693=0, 'Aqueous Species Options'!I693, IF(OR('Aqueous Species Options'!J693&gt;4,'Aqueous Species Options'!J693&lt;-4), "", IF('Aqueous Species Options'!B693="H+", 0, IF('Aqueous Species Options'!J693=0, -0.038, IF(ISBLANK('Aqueous Species Options'!F693), "", -1514.4*'Aqueous Species Options'!F693*0.00001 + SUM(({4,3,2,1,-1,-2,-3,-4}='Aqueous Species Options'!J693)*{2.1764,1.5793,1.0579,0.5517,1.6291,3.2127,4.8115,6.486}) ) ) ) ) ) )</f>
        <v/>
      </c>
      <c r="P693" s="1" t="str">
        <f>IF(ISBLANK('Aqueous Species Options'!J693), "", 'Aqueous Species Options'!J693)</f>
        <v/>
      </c>
      <c r="Q693" s="184" t="str">
        <f>IF(ISBLANK('Aqueous Species Options'!T693), "", 'Aqueous Species Options'!T693)</f>
        <v/>
      </c>
    </row>
    <row r="694" spans="2:17" ht="16" x14ac:dyDescent="0.2">
      <c r="B694" t="str">
        <f>IF(ISBLANK('Aqueous Species Options'!B694), "", 'Aqueous Species Options'!B694)</f>
        <v/>
      </c>
      <c r="C694" s="1" t="str">
        <f>IF(ISBLANK('Aqueous Species Options'!C694), "", 'Aqueous Species Options'!C694)</f>
        <v/>
      </c>
      <c r="D694" s="1" t="str">
        <f>IF(ISBLANK('Aqueous Species Options'!D694), "", 'Aqueous Species Options'!D694)</f>
        <v/>
      </c>
      <c r="E694" s="1" t="str">
        <f>IF(ISBLANK('Aqueous Species Options'!E694), "", 'Aqueous Species Options'!E694)</f>
        <v/>
      </c>
      <c r="F694" s="139" t="str">
        <f>IF(ISBLANK('Aqueous Species Options'!F694), "", 'Aqueous Species Options'!F694)</f>
        <v/>
      </c>
      <c r="G694" s="29" t="str">
        <f>IF(ISBLANK('Aqueous Species Options'!B694), "", IF('Aqueous Species Options'!L694 = 1, IF(ISBLANK('Aqueous Species Options'!G694), "", 'Aqueous Species Options'!G694), ('Aqueous Species Table'!I694/10 + ('Aqueous Species Table'!J694*100)/(Calculations!$C$12+Calculations!$C$9) + ('Aqueous Species Table'!K694 + ('Aqueous Species Table'!L694*10000)/(Calculations!$C$12+Calculations!$C$9))*(1/(Calculations!$C$8-Calculations!$C$13)) - 'Aqueous Species Table'!O694*100000*0.0000005903)*41.8393))</f>
        <v/>
      </c>
      <c r="H694" s="29" t="str">
        <f>IF(ISBLANK('Aqueous Species Options'!B694), "", IF('Aqueous Species Options'!L694 = 1, IF(ISBLANK('Aqueous Species Options'!H694), "", 'Aqueous Species Options'!H694), 'Aqueous Species Table'!M694 + 'Aqueous Species Table'!N694*10000*(1/(Calculations!$C$8-Calculations!$C$13))^2 + 'Aqueous Species Table'!O694*100000*Calculations!$C$8*Calculations!$C$7))</f>
        <v/>
      </c>
      <c r="I694" s="1" t="str">
        <f>IF(ISBLANK('Aqueous Species Options'!B694), "", IF('Aqueous Species Options'!L694=0, 'Aqueous Species Options'!N694, IF(OR(ISBLANK('Aqueous Species Options'!G694),'Aqueous Species Table'!O694="", 'Aqueous Species Table'!P694=""), "", IF('Aqueous Species Options'!B694="H+", 0, (CHOOSE('Aqueous Species Options'!M694+1,'Aqueous Species Options'!$V$4*ABS('Aqueous Species Table'!P694)+'Aqueous Species Options'!$W$4,'Aqueous Species Options'!$Z$4)*('Aqueous Species Options'!G694 + 'Aqueous Species Table'!O694*100000*0.0000005903*41.8393) + CHOOSE('Aqueous Species Options'!M694+1,'Aqueous Species Options'!$X$4*ABS('Aqueous Species Table'!P694)+'Aqueous Species Options'!$Y$4,'Aqueous Species Options'!$AA$4))*10 ) ) ) )</f>
        <v/>
      </c>
      <c r="J694" s="1" t="str">
        <f>IF(ISBLANK('Aqueous Species Options'!B694), "", IF('Aqueous Species Options'!L694 = 0, 'Aqueous Species Options'!O694, IF('Aqueous Species Table'!I694="", "", IF('Aqueous Species Options'!B694="H+", 0, ((1.11*('Aqueous Species Options'!G694 + 'Aqueous Species Table'!O694*100000*0.0000005903*41.8393)+1.8)/41.8393 - 'Aqueous Species Table'!I694/10)*26.01 ) ) ) )</f>
        <v/>
      </c>
      <c r="K694" s="1" t="str">
        <f>IF(ISBLANK('Aqueous Species Options'!B694), "", IF('Aqueous Species Options'!L694 = 0, 'Aqueous Species Options'!P694, IF('Aqueous Species Table'!I694="", "", IF('Aqueous Species Options'!B694="H+", 0, ('Aqueous Species Options'!G694/41.8393 + 'Aqueous Species Table'!O694*100000*0.0000005903 - 'Aqueous Species Table'!I694/10 - 'Aqueous Species Table'!J694*100/2601)*(298.15-228) - ('Aqueous Species Table'!L694*10000/2601) ) ) ) )</f>
        <v/>
      </c>
      <c r="L694" s="1" t="str">
        <f>IF(ISBLANK('Aqueous Species Options'!B694), "", IF('Aqueous Species Options'!L694 = 0, 'Aqueous Species Options'!Q694, IF('Aqueous Species Table'!J694="", "", IF('Aqueous Species Options'!B694="H+", 0, (-4.134*'Aqueous Species Table'!J694*100 - 27790)*0.0001) ) ) )</f>
        <v/>
      </c>
      <c r="M694" s="1" t="str">
        <f>IF(ISBLANK('Aqueous Species Options'!B694), "", IF('Aqueous Species Options'!L694=0, 'Aqueous Species Options'!R694, IF('Aqueous Species Table'!N694="", "", IF('Aqueous Species Options'!B694="H+", 0, 'Aqueous Species Options'!H694 - 'Aqueous Species Table'!O694*100000*(-0.000000309)*298.15 - 'Aqueous Species Table'!N694*10000/(298.15-228)^2 ) ) ) )</f>
        <v/>
      </c>
      <c r="N694" s="1" t="str">
        <f>IF(ISBLANK('Aqueous Species Options'!B694), "", IF('Aqueous Species Options'!L694=0, 'Aqueous Species Options'!S694, IF(OR(ISBLANK('Aqueous Species Options'!H694), 'Aqueous Species Table'!O694=""), "", IF('Aqueous Species Options'!B694="H+", 0, 0.2037*'Aqueous Species Options'!H694 - 3.0346) ) ) )</f>
        <v/>
      </c>
      <c r="O694" s="1" t="str">
        <f>IF(ISBLANK('Aqueous Species Options'!B694), "", IF('Aqueous Species Options'!K694=0, 'Aqueous Species Options'!I694, IF(OR('Aqueous Species Options'!J694&gt;4,'Aqueous Species Options'!J694&lt;-4), "", IF('Aqueous Species Options'!B694="H+", 0, IF('Aqueous Species Options'!J694=0, -0.038, IF(ISBLANK('Aqueous Species Options'!F694), "", -1514.4*'Aqueous Species Options'!F694*0.00001 + SUM(({4,3,2,1,-1,-2,-3,-4}='Aqueous Species Options'!J694)*{2.1764,1.5793,1.0579,0.5517,1.6291,3.2127,4.8115,6.486}) ) ) ) ) ) )</f>
        <v/>
      </c>
      <c r="P694" s="1" t="str">
        <f>IF(ISBLANK('Aqueous Species Options'!J694), "", 'Aqueous Species Options'!J694)</f>
        <v/>
      </c>
      <c r="Q694" s="184" t="str">
        <f>IF(ISBLANK('Aqueous Species Options'!T694), "", 'Aqueous Species Options'!T694)</f>
        <v/>
      </c>
    </row>
    <row r="695" spans="2:17" ht="16" x14ac:dyDescent="0.2">
      <c r="B695" t="str">
        <f>IF(ISBLANK('Aqueous Species Options'!B695), "", 'Aqueous Species Options'!B695)</f>
        <v/>
      </c>
      <c r="C695" s="1" t="str">
        <f>IF(ISBLANK('Aqueous Species Options'!C695), "", 'Aqueous Species Options'!C695)</f>
        <v/>
      </c>
      <c r="D695" s="1" t="str">
        <f>IF(ISBLANK('Aqueous Species Options'!D695), "", 'Aqueous Species Options'!D695)</f>
        <v/>
      </c>
      <c r="E695" s="1" t="str">
        <f>IF(ISBLANK('Aqueous Species Options'!E695), "", 'Aqueous Species Options'!E695)</f>
        <v/>
      </c>
      <c r="F695" s="139" t="str">
        <f>IF(ISBLANK('Aqueous Species Options'!F695), "", 'Aqueous Species Options'!F695)</f>
        <v/>
      </c>
      <c r="G695" s="29" t="str">
        <f>IF(ISBLANK('Aqueous Species Options'!B695), "", IF('Aqueous Species Options'!L695 = 1, IF(ISBLANK('Aqueous Species Options'!G695), "", 'Aqueous Species Options'!G695), ('Aqueous Species Table'!I695/10 + ('Aqueous Species Table'!J695*100)/(Calculations!$C$12+Calculations!$C$9) + ('Aqueous Species Table'!K695 + ('Aqueous Species Table'!L695*10000)/(Calculations!$C$12+Calculations!$C$9))*(1/(Calculations!$C$8-Calculations!$C$13)) - 'Aqueous Species Table'!O695*100000*0.0000005903)*41.8393))</f>
        <v/>
      </c>
      <c r="H695" s="29" t="str">
        <f>IF(ISBLANK('Aqueous Species Options'!B695), "", IF('Aqueous Species Options'!L695 = 1, IF(ISBLANK('Aqueous Species Options'!H695), "", 'Aqueous Species Options'!H695), 'Aqueous Species Table'!M695 + 'Aqueous Species Table'!N695*10000*(1/(Calculations!$C$8-Calculations!$C$13))^2 + 'Aqueous Species Table'!O695*100000*Calculations!$C$8*Calculations!$C$7))</f>
        <v/>
      </c>
      <c r="I695" s="1" t="str">
        <f>IF(ISBLANK('Aqueous Species Options'!B695), "", IF('Aqueous Species Options'!L695=0, 'Aqueous Species Options'!N695, IF(OR(ISBLANK('Aqueous Species Options'!G695),'Aqueous Species Table'!O695="", 'Aqueous Species Table'!P695=""), "", IF('Aqueous Species Options'!B695="H+", 0, (CHOOSE('Aqueous Species Options'!M695+1,'Aqueous Species Options'!$V$4*ABS('Aqueous Species Table'!P695)+'Aqueous Species Options'!$W$4,'Aqueous Species Options'!$Z$4)*('Aqueous Species Options'!G695 + 'Aqueous Species Table'!O695*100000*0.0000005903*41.8393) + CHOOSE('Aqueous Species Options'!M695+1,'Aqueous Species Options'!$X$4*ABS('Aqueous Species Table'!P695)+'Aqueous Species Options'!$Y$4,'Aqueous Species Options'!$AA$4))*10 ) ) ) )</f>
        <v/>
      </c>
      <c r="J695" s="1" t="str">
        <f>IF(ISBLANK('Aqueous Species Options'!B695), "", IF('Aqueous Species Options'!L695 = 0, 'Aqueous Species Options'!O695, IF('Aqueous Species Table'!I695="", "", IF('Aqueous Species Options'!B695="H+", 0, ((1.11*('Aqueous Species Options'!G695 + 'Aqueous Species Table'!O695*100000*0.0000005903*41.8393)+1.8)/41.8393 - 'Aqueous Species Table'!I695/10)*26.01 ) ) ) )</f>
        <v/>
      </c>
      <c r="K695" s="1" t="str">
        <f>IF(ISBLANK('Aqueous Species Options'!B695), "", IF('Aqueous Species Options'!L695 = 0, 'Aqueous Species Options'!P695, IF('Aqueous Species Table'!I695="", "", IF('Aqueous Species Options'!B695="H+", 0, ('Aqueous Species Options'!G695/41.8393 + 'Aqueous Species Table'!O695*100000*0.0000005903 - 'Aqueous Species Table'!I695/10 - 'Aqueous Species Table'!J695*100/2601)*(298.15-228) - ('Aqueous Species Table'!L695*10000/2601) ) ) ) )</f>
        <v/>
      </c>
      <c r="L695" s="1" t="str">
        <f>IF(ISBLANK('Aqueous Species Options'!B695), "", IF('Aqueous Species Options'!L695 = 0, 'Aqueous Species Options'!Q695, IF('Aqueous Species Table'!J695="", "", IF('Aqueous Species Options'!B695="H+", 0, (-4.134*'Aqueous Species Table'!J695*100 - 27790)*0.0001) ) ) )</f>
        <v/>
      </c>
      <c r="M695" s="1" t="str">
        <f>IF(ISBLANK('Aqueous Species Options'!B695), "", IF('Aqueous Species Options'!L695=0, 'Aqueous Species Options'!R695, IF('Aqueous Species Table'!N695="", "", IF('Aqueous Species Options'!B695="H+", 0, 'Aqueous Species Options'!H695 - 'Aqueous Species Table'!O695*100000*(-0.000000309)*298.15 - 'Aqueous Species Table'!N695*10000/(298.15-228)^2 ) ) ) )</f>
        <v/>
      </c>
      <c r="N695" s="1" t="str">
        <f>IF(ISBLANK('Aqueous Species Options'!B695), "", IF('Aqueous Species Options'!L695=0, 'Aqueous Species Options'!S695, IF(OR(ISBLANK('Aqueous Species Options'!H695), 'Aqueous Species Table'!O695=""), "", IF('Aqueous Species Options'!B695="H+", 0, 0.2037*'Aqueous Species Options'!H695 - 3.0346) ) ) )</f>
        <v/>
      </c>
      <c r="O695" s="1" t="str">
        <f>IF(ISBLANK('Aqueous Species Options'!B695), "", IF('Aqueous Species Options'!K695=0, 'Aqueous Species Options'!I695, IF(OR('Aqueous Species Options'!J695&gt;4,'Aqueous Species Options'!J695&lt;-4), "", IF('Aqueous Species Options'!B695="H+", 0, IF('Aqueous Species Options'!J695=0, -0.038, IF(ISBLANK('Aqueous Species Options'!F695), "", -1514.4*'Aqueous Species Options'!F695*0.00001 + SUM(({4,3,2,1,-1,-2,-3,-4}='Aqueous Species Options'!J695)*{2.1764,1.5793,1.0579,0.5517,1.6291,3.2127,4.8115,6.486}) ) ) ) ) ) )</f>
        <v/>
      </c>
      <c r="P695" s="1" t="str">
        <f>IF(ISBLANK('Aqueous Species Options'!J695), "", 'Aqueous Species Options'!J695)</f>
        <v/>
      </c>
      <c r="Q695" s="184" t="str">
        <f>IF(ISBLANK('Aqueous Species Options'!T695), "", 'Aqueous Species Options'!T695)</f>
        <v/>
      </c>
    </row>
    <row r="696" spans="2:17" ht="16" x14ac:dyDescent="0.2">
      <c r="B696" t="str">
        <f>IF(ISBLANK('Aqueous Species Options'!B696), "", 'Aqueous Species Options'!B696)</f>
        <v/>
      </c>
      <c r="C696" s="1" t="str">
        <f>IF(ISBLANK('Aqueous Species Options'!C696), "", 'Aqueous Species Options'!C696)</f>
        <v/>
      </c>
      <c r="D696" s="1" t="str">
        <f>IF(ISBLANK('Aqueous Species Options'!D696), "", 'Aqueous Species Options'!D696)</f>
        <v/>
      </c>
      <c r="E696" s="1" t="str">
        <f>IF(ISBLANK('Aqueous Species Options'!E696), "", 'Aqueous Species Options'!E696)</f>
        <v/>
      </c>
      <c r="F696" s="139" t="str">
        <f>IF(ISBLANK('Aqueous Species Options'!F696), "", 'Aqueous Species Options'!F696)</f>
        <v/>
      </c>
      <c r="G696" s="29" t="str">
        <f>IF(ISBLANK('Aqueous Species Options'!B696), "", IF('Aqueous Species Options'!L696 = 1, IF(ISBLANK('Aqueous Species Options'!G696), "", 'Aqueous Species Options'!G696), ('Aqueous Species Table'!I696/10 + ('Aqueous Species Table'!J696*100)/(Calculations!$C$12+Calculations!$C$9) + ('Aqueous Species Table'!K696 + ('Aqueous Species Table'!L696*10000)/(Calculations!$C$12+Calculations!$C$9))*(1/(Calculations!$C$8-Calculations!$C$13)) - 'Aqueous Species Table'!O696*100000*0.0000005903)*41.8393))</f>
        <v/>
      </c>
      <c r="H696" s="29" t="str">
        <f>IF(ISBLANK('Aqueous Species Options'!B696), "", IF('Aqueous Species Options'!L696 = 1, IF(ISBLANK('Aqueous Species Options'!H696), "", 'Aqueous Species Options'!H696), 'Aqueous Species Table'!M696 + 'Aqueous Species Table'!N696*10000*(1/(Calculations!$C$8-Calculations!$C$13))^2 + 'Aqueous Species Table'!O696*100000*Calculations!$C$8*Calculations!$C$7))</f>
        <v/>
      </c>
      <c r="I696" s="1" t="str">
        <f>IF(ISBLANK('Aqueous Species Options'!B696), "", IF('Aqueous Species Options'!L696=0, 'Aqueous Species Options'!N696, IF(OR(ISBLANK('Aqueous Species Options'!G696),'Aqueous Species Table'!O696="", 'Aqueous Species Table'!P696=""), "", IF('Aqueous Species Options'!B696="H+", 0, (CHOOSE('Aqueous Species Options'!M696+1,'Aqueous Species Options'!$V$4*ABS('Aqueous Species Table'!P696)+'Aqueous Species Options'!$W$4,'Aqueous Species Options'!$Z$4)*('Aqueous Species Options'!G696 + 'Aqueous Species Table'!O696*100000*0.0000005903*41.8393) + CHOOSE('Aqueous Species Options'!M696+1,'Aqueous Species Options'!$X$4*ABS('Aqueous Species Table'!P696)+'Aqueous Species Options'!$Y$4,'Aqueous Species Options'!$AA$4))*10 ) ) ) )</f>
        <v/>
      </c>
      <c r="J696" s="1" t="str">
        <f>IF(ISBLANK('Aqueous Species Options'!B696), "", IF('Aqueous Species Options'!L696 = 0, 'Aqueous Species Options'!O696, IF('Aqueous Species Table'!I696="", "", IF('Aqueous Species Options'!B696="H+", 0, ((1.11*('Aqueous Species Options'!G696 + 'Aqueous Species Table'!O696*100000*0.0000005903*41.8393)+1.8)/41.8393 - 'Aqueous Species Table'!I696/10)*26.01 ) ) ) )</f>
        <v/>
      </c>
      <c r="K696" s="1" t="str">
        <f>IF(ISBLANK('Aqueous Species Options'!B696), "", IF('Aqueous Species Options'!L696 = 0, 'Aqueous Species Options'!P696, IF('Aqueous Species Table'!I696="", "", IF('Aqueous Species Options'!B696="H+", 0, ('Aqueous Species Options'!G696/41.8393 + 'Aqueous Species Table'!O696*100000*0.0000005903 - 'Aqueous Species Table'!I696/10 - 'Aqueous Species Table'!J696*100/2601)*(298.15-228) - ('Aqueous Species Table'!L696*10000/2601) ) ) ) )</f>
        <v/>
      </c>
      <c r="L696" s="1" t="str">
        <f>IF(ISBLANK('Aqueous Species Options'!B696), "", IF('Aqueous Species Options'!L696 = 0, 'Aqueous Species Options'!Q696, IF('Aqueous Species Table'!J696="", "", IF('Aqueous Species Options'!B696="H+", 0, (-4.134*'Aqueous Species Table'!J696*100 - 27790)*0.0001) ) ) )</f>
        <v/>
      </c>
      <c r="M696" s="1" t="str">
        <f>IF(ISBLANK('Aqueous Species Options'!B696), "", IF('Aqueous Species Options'!L696=0, 'Aqueous Species Options'!R696, IF('Aqueous Species Table'!N696="", "", IF('Aqueous Species Options'!B696="H+", 0, 'Aqueous Species Options'!H696 - 'Aqueous Species Table'!O696*100000*(-0.000000309)*298.15 - 'Aqueous Species Table'!N696*10000/(298.15-228)^2 ) ) ) )</f>
        <v/>
      </c>
      <c r="N696" s="1" t="str">
        <f>IF(ISBLANK('Aqueous Species Options'!B696), "", IF('Aqueous Species Options'!L696=0, 'Aqueous Species Options'!S696, IF(OR(ISBLANK('Aqueous Species Options'!H696), 'Aqueous Species Table'!O696=""), "", IF('Aqueous Species Options'!B696="H+", 0, 0.2037*'Aqueous Species Options'!H696 - 3.0346) ) ) )</f>
        <v/>
      </c>
      <c r="O696" s="1" t="str">
        <f>IF(ISBLANK('Aqueous Species Options'!B696), "", IF('Aqueous Species Options'!K696=0, 'Aqueous Species Options'!I696, IF(OR('Aqueous Species Options'!J696&gt;4,'Aqueous Species Options'!J696&lt;-4), "", IF('Aqueous Species Options'!B696="H+", 0, IF('Aqueous Species Options'!J696=0, -0.038, IF(ISBLANK('Aqueous Species Options'!F696), "", -1514.4*'Aqueous Species Options'!F696*0.00001 + SUM(({4,3,2,1,-1,-2,-3,-4}='Aqueous Species Options'!J696)*{2.1764,1.5793,1.0579,0.5517,1.6291,3.2127,4.8115,6.486}) ) ) ) ) ) )</f>
        <v/>
      </c>
      <c r="P696" s="1" t="str">
        <f>IF(ISBLANK('Aqueous Species Options'!J696), "", 'Aqueous Species Options'!J696)</f>
        <v/>
      </c>
      <c r="Q696" s="184" t="str">
        <f>IF(ISBLANK('Aqueous Species Options'!T696), "", 'Aqueous Species Options'!T696)</f>
        <v/>
      </c>
    </row>
    <row r="697" spans="2:17" ht="16" x14ac:dyDescent="0.2">
      <c r="B697" t="str">
        <f>IF(ISBLANK('Aqueous Species Options'!B697), "", 'Aqueous Species Options'!B697)</f>
        <v/>
      </c>
      <c r="C697" s="1" t="str">
        <f>IF(ISBLANK('Aqueous Species Options'!C697), "", 'Aqueous Species Options'!C697)</f>
        <v/>
      </c>
      <c r="D697" s="1" t="str">
        <f>IF(ISBLANK('Aqueous Species Options'!D697), "", 'Aqueous Species Options'!D697)</f>
        <v/>
      </c>
      <c r="E697" s="1" t="str">
        <f>IF(ISBLANK('Aqueous Species Options'!E697), "", 'Aqueous Species Options'!E697)</f>
        <v/>
      </c>
      <c r="F697" s="139" t="str">
        <f>IF(ISBLANK('Aqueous Species Options'!F697), "", 'Aqueous Species Options'!F697)</f>
        <v/>
      </c>
      <c r="G697" s="29" t="str">
        <f>IF(ISBLANK('Aqueous Species Options'!B697), "", IF('Aqueous Species Options'!L697 = 1, IF(ISBLANK('Aqueous Species Options'!G697), "", 'Aqueous Species Options'!G697), ('Aqueous Species Table'!I697/10 + ('Aqueous Species Table'!J697*100)/(Calculations!$C$12+Calculations!$C$9) + ('Aqueous Species Table'!K697 + ('Aqueous Species Table'!L697*10000)/(Calculations!$C$12+Calculations!$C$9))*(1/(Calculations!$C$8-Calculations!$C$13)) - 'Aqueous Species Table'!O697*100000*0.0000005903)*41.8393))</f>
        <v/>
      </c>
      <c r="H697" s="29" t="str">
        <f>IF(ISBLANK('Aqueous Species Options'!B697), "", IF('Aqueous Species Options'!L697 = 1, IF(ISBLANK('Aqueous Species Options'!H697), "", 'Aqueous Species Options'!H697), 'Aqueous Species Table'!M697 + 'Aqueous Species Table'!N697*10000*(1/(Calculations!$C$8-Calculations!$C$13))^2 + 'Aqueous Species Table'!O697*100000*Calculations!$C$8*Calculations!$C$7))</f>
        <v/>
      </c>
      <c r="I697" s="1" t="str">
        <f>IF(ISBLANK('Aqueous Species Options'!B697), "", IF('Aqueous Species Options'!L697=0, 'Aqueous Species Options'!N697, IF(OR(ISBLANK('Aqueous Species Options'!G697),'Aqueous Species Table'!O697="", 'Aqueous Species Table'!P697=""), "", IF('Aqueous Species Options'!B697="H+", 0, (CHOOSE('Aqueous Species Options'!M697+1,'Aqueous Species Options'!$V$4*ABS('Aqueous Species Table'!P697)+'Aqueous Species Options'!$W$4,'Aqueous Species Options'!$Z$4)*('Aqueous Species Options'!G697 + 'Aqueous Species Table'!O697*100000*0.0000005903*41.8393) + CHOOSE('Aqueous Species Options'!M697+1,'Aqueous Species Options'!$X$4*ABS('Aqueous Species Table'!P697)+'Aqueous Species Options'!$Y$4,'Aqueous Species Options'!$AA$4))*10 ) ) ) )</f>
        <v/>
      </c>
      <c r="J697" s="1" t="str">
        <f>IF(ISBLANK('Aqueous Species Options'!B697), "", IF('Aqueous Species Options'!L697 = 0, 'Aqueous Species Options'!O697, IF('Aqueous Species Table'!I697="", "", IF('Aqueous Species Options'!B697="H+", 0, ((1.11*('Aqueous Species Options'!G697 + 'Aqueous Species Table'!O697*100000*0.0000005903*41.8393)+1.8)/41.8393 - 'Aqueous Species Table'!I697/10)*26.01 ) ) ) )</f>
        <v/>
      </c>
      <c r="K697" s="1" t="str">
        <f>IF(ISBLANK('Aqueous Species Options'!B697), "", IF('Aqueous Species Options'!L697 = 0, 'Aqueous Species Options'!P697, IF('Aqueous Species Table'!I697="", "", IF('Aqueous Species Options'!B697="H+", 0, ('Aqueous Species Options'!G697/41.8393 + 'Aqueous Species Table'!O697*100000*0.0000005903 - 'Aqueous Species Table'!I697/10 - 'Aqueous Species Table'!J697*100/2601)*(298.15-228) - ('Aqueous Species Table'!L697*10000/2601) ) ) ) )</f>
        <v/>
      </c>
      <c r="L697" s="1" t="str">
        <f>IF(ISBLANK('Aqueous Species Options'!B697), "", IF('Aqueous Species Options'!L697 = 0, 'Aqueous Species Options'!Q697, IF('Aqueous Species Table'!J697="", "", IF('Aqueous Species Options'!B697="H+", 0, (-4.134*'Aqueous Species Table'!J697*100 - 27790)*0.0001) ) ) )</f>
        <v/>
      </c>
      <c r="M697" s="1" t="str">
        <f>IF(ISBLANK('Aqueous Species Options'!B697), "", IF('Aqueous Species Options'!L697=0, 'Aqueous Species Options'!R697, IF('Aqueous Species Table'!N697="", "", IF('Aqueous Species Options'!B697="H+", 0, 'Aqueous Species Options'!H697 - 'Aqueous Species Table'!O697*100000*(-0.000000309)*298.15 - 'Aqueous Species Table'!N697*10000/(298.15-228)^2 ) ) ) )</f>
        <v/>
      </c>
      <c r="N697" s="1" t="str">
        <f>IF(ISBLANK('Aqueous Species Options'!B697), "", IF('Aqueous Species Options'!L697=0, 'Aqueous Species Options'!S697, IF(OR(ISBLANK('Aqueous Species Options'!H697), 'Aqueous Species Table'!O697=""), "", IF('Aqueous Species Options'!B697="H+", 0, 0.2037*'Aqueous Species Options'!H697 - 3.0346) ) ) )</f>
        <v/>
      </c>
      <c r="O697" s="1" t="str">
        <f>IF(ISBLANK('Aqueous Species Options'!B697), "", IF('Aqueous Species Options'!K697=0, 'Aqueous Species Options'!I697, IF(OR('Aqueous Species Options'!J697&gt;4,'Aqueous Species Options'!J697&lt;-4), "", IF('Aqueous Species Options'!B697="H+", 0, IF('Aqueous Species Options'!J697=0, -0.038, IF(ISBLANK('Aqueous Species Options'!F697), "", -1514.4*'Aqueous Species Options'!F697*0.00001 + SUM(({4,3,2,1,-1,-2,-3,-4}='Aqueous Species Options'!J697)*{2.1764,1.5793,1.0579,0.5517,1.6291,3.2127,4.8115,6.486}) ) ) ) ) ) )</f>
        <v/>
      </c>
      <c r="P697" s="1" t="str">
        <f>IF(ISBLANK('Aqueous Species Options'!J697), "", 'Aqueous Species Options'!J697)</f>
        <v/>
      </c>
      <c r="Q697" s="184" t="str">
        <f>IF(ISBLANK('Aqueous Species Options'!T697), "", 'Aqueous Species Options'!T697)</f>
        <v/>
      </c>
    </row>
    <row r="698" spans="2:17" ht="16" x14ac:dyDescent="0.2">
      <c r="B698" t="str">
        <f>IF(ISBLANK('Aqueous Species Options'!B698), "", 'Aqueous Species Options'!B698)</f>
        <v/>
      </c>
      <c r="C698" s="1" t="str">
        <f>IF(ISBLANK('Aqueous Species Options'!C698), "", 'Aqueous Species Options'!C698)</f>
        <v/>
      </c>
      <c r="D698" s="1" t="str">
        <f>IF(ISBLANK('Aqueous Species Options'!D698), "", 'Aqueous Species Options'!D698)</f>
        <v/>
      </c>
      <c r="E698" s="1" t="str">
        <f>IF(ISBLANK('Aqueous Species Options'!E698), "", 'Aqueous Species Options'!E698)</f>
        <v/>
      </c>
      <c r="F698" s="139" t="str">
        <f>IF(ISBLANK('Aqueous Species Options'!F698), "", 'Aqueous Species Options'!F698)</f>
        <v/>
      </c>
      <c r="G698" s="29" t="str">
        <f>IF(ISBLANK('Aqueous Species Options'!B698), "", IF('Aqueous Species Options'!L698 = 1, IF(ISBLANK('Aqueous Species Options'!G698), "", 'Aqueous Species Options'!G698), ('Aqueous Species Table'!I698/10 + ('Aqueous Species Table'!J698*100)/(Calculations!$C$12+Calculations!$C$9) + ('Aqueous Species Table'!K698 + ('Aqueous Species Table'!L698*10000)/(Calculations!$C$12+Calculations!$C$9))*(1/(Calculations!$C$8-Calculations!$C$13)) - 'Aqueous Species Table'!O698*100000*0.0000005903)*41.8393))</f>
        <v/>
      </c>
      <c r="H698" s="29" t="str">
        <f>IF(ISBLANK('Aqueous Species Options'!B698), "", IF('Aqueous Species Options'!L698 = 1, IF(ISBLANK('Aqueous Species Options'!H698), "", 'Aqueous Species Options'!H698), 'Aqueous Species Table'!M698 + 'Aqueous Species Table'!N698*10000*(1/(Calculations!$C$8-Calculations!$C$13))^2 + 'Aqueous Species Table'!O698*100000*Calculations!$C$8*Calculations!$C$7))</f>
        <v/>
      </c>
      <c r="I698" s="1" t="str">
        <f>IF(ISBLANK('Aqueous Species Options'!B698), "", IF('Aqueous Species Options'!L698=0, 'Aqueous Species Options'!N698, IF(OR(ISBLANK('Aqueous Species Options'!G698),'Aqueous Species Table'!O698="", 'Aqueous Species Table'!P698=""), "", IF('Aqueous Species Options'!B698="H+", 0, (CHOOSE('Aqueous Species Options'!M698+1,'Aqueous Species Options'!$V$4*ABS('Aqueous Species Table'!P698)+'Aqueous Species Options'!$W$4,'Aqueous Species Options'!$Z$4)*('Aqueous Species Options'!G698 + 'Aqueous Species Table'!O698*100000*0.0000005903*41.8393) + CHOOSE('Aqueous Species Options'!M698+1,'Aqueous Species Options'!$X$4*ABS('Aqueous Species Table'!P698)+'Aqueous Species Options'!$Y$4,'Aqueous Species Options'!$AA$4))*10 ) ) ) )</f>
        <v/>
      </c>
      <c r="J698" s="1" t="str">
        <f>IF(ISBLANK('Aqueous Species Options'!B698), "", IF('Aqueous Species Options'!L698 = 0, 'Aqueous Species Options'!O698, IF('Aqueous Species Table'!I698="", "", IF('Aqueous Species Options'!B698="H+", 0, ((1.11*('Aqueous Species Options'!G698 + 'Aqueous Species Table'!O698*100000*0.0000005903*41.8393)+1.8)/41.8393 - 'Aqueous Species Table'!I698/10)*26.01 ) ) ) )</f>
        <v/>
      </c>
      <c r="K698" s="1" t="str">
        <f>IF(ISBLANK('Aqueous Species Options'!B698), "", IF('Aqueous Species Options'!L698 = 0, 'Aqueous Species Options'!P698, IF('Aqueous Species Table'!I698="", "", IF('Aqueous Species Options'!B698="H+", 0, ('Aqueous Species Options'!G698/41.8393 + 'Aqueous Species Table'!O698*100000*0.0000005903 - 'Aqueous Species Table'!I698/10 - 'Aqueous Species Table'!J698*100/2601)*(298.15-228) - ('Aqueous Species Table'!L698*10000/2601) ) ) ) )</f>
        <v/>
      </c>
      <c r="L698" s="1" t="str">
        <f>IF(ISBLANK('Aqueous Species Options'!B698), "", IF('Aqueous Species Options'!L698 = 0, 'Aqueous Species Options'!Q698, IF('Aqueous Species Table'!J698="", "", IF('Aqueous Species Options'!B698="H+", 0, (-4.134*'Aqueous Species Table'!J698*100 - 27790)*0.0001) ) ) )</f>
        <v/>
      </c>
      <c r="M698" s="1" t="str">
        <f>IF(ISBLANK('Aqueous Species Options'!B698), "", IF('Aqueous Species Options'!L698=0, 'Aqueous Species Options'!R698, IF('Aqueous Species Table'!N698="", "", IF('Aqueous Species Options'!B698="H+", 0, 'Aqueous Species Options'!H698 - 'Aqueous Species Table'!O698*100000*(-0.000000309)*298.15 - 'Aqueous Species Table'!N698*10000/(298.15-228)^2 ) ) ) )</f>
        <v/>
      </c>
      <c r="N698" s="1" t="str">
        <f>IF(ISBLANK('Aqueous Species Options'!B698), "", IF('Aqueous Species Options'!L698=0, 'Aqueous Species Options'!S698, IF(OR(ISBLANK('Aqueous Species Options'!H698), 'Aqueous Species Table'!O698=""), "", IF('Aqueous Species Options'!B698="H+", 0, 0.2037*'Aqueous Species Options'!H698 - 3.0346) ) ) )</f>
        <v/>
      </c>
      <c r="O698" s="1" t="str">
        <f>IF(ISBLANK('Aqueous Species Options'!B698), "", IF('Aqueous Species Options'!K698=0, 'Aqueous Species Options'!I698, IF(OR('Aqueous Species Options'!J698&gt;4,'Aqueous Species Options'!J698&lt;-4), "", IF('Aqueous Species Options'!B698="H+", 0, IF('Aqueous Species Options'!J698=0, -0.038, IF(ISBLANK('Aqueous Species Options'!F698), "", -1514.4*'Aqueous Species Options'!F698*0.00001 + SUM(({4,3,2,1,-1,-2,-3,-4}='Aqueous Species Options'!J698)*{2.1764,1.5793,1.0579,0.5517,1.6291,3.2127,4.8115,6.486}) ) ) ) ) ) )</f>
        <v/>
      </c>
      <c r="P698" s="1" t="str">
        <f>IF(ISBLANK('Aqueous Species Options'!J698), "", 'Aqueous Species Options'!J698)</f>
        <v/>
      </c>
      <c r="Q698" s="184" t="str">
        <f>IF(ISBLANK('Aqueous Species Options'!T698), "", 'Aqueous Species Options'!T698)</f>
        <v/>
      </c>
    </row>
    <row r="699" spans="2:17" ht="16" x14ac:dyDescent="0.2">
      <c r="B699" t="str">
        <f>IF(ISBLANK('Aqueous Species Options'!B699), "", 'Aqueous Species Options'!B699)</f>
        <v/>
      </c>
      <c r="C699" s="1" t="str">
        <f>IF(ISBLANK('Aqueous Species Options'!C699), "", 'Aqueous Species Options'!C699)</f>
        <v/>
      </c>
      <c r="D699" s="1" t="str">
        <f>IF(ISBLANK('Aqueous Species Options'!D699), "", 'Aqueous Species Options'!D699)</f>
        <v/>
      </c>
      <c r="E699" s="1" t="str">
        <f>IF(ISBLANK('Aqueous Species Options'!E699), "", 'Aqueous Species Options'!E699)</f>
        <v/>
      </c>
      <c r="F699" s="139" t="str">
        <f>IF(ISBLANK('Aqueous Species Options'!F699), "", 'Aqueous Species Options'!F699)</f>
        <v/>
      </c>
      <c r="G699" s="29" t="str">
        <f>IF(ISBLANK('Aqueous Species Options'!B699), "", IF('Aqueous Species Options'!L699 = 1, IF(ISBLANK('Aqueous Species Options'!G699), "", 'Aqueous Species Options'!G699), ('Aqueous Species Table'!I699/10 + ('Aqueous Species Table'!J699*100)/(Calculations!$C$12+Calculations!$C$9) + ('Aqueous Species Table'!K699 + ('Aqueous Species Table'!L699*10000)/(Calculations!$C$12+Calculations!$C$9))*(1/(Calculations!$C$8-Calculations!$C$13)) - 'Aqueous Species Table'!O699*100000*0.0000005903)*41.8393))</f>
        <v/>
      </c>
      <c r="H699" s="29" t="str">
        <f>IF(ISBLANK('Aqueous Species Options'!B699), "", IF('Aqueous Species Options'!L699 = 1, IF(ISBLANK('Aqueous Species Options'!H699), "", 'Aqueous Species Options'!H699), 'Aqueous Species Table'!M699 + 'Aqueous Species Table'!N699*10000*(1/(Calculations!$C$8-Calculations!$C$13))^2 + 'Aqueous Species Table'!O699*100000*Calculations!$C$8*Calculations!$C$7))</f>
        <v/>
      </c>
      <c r="I699" s="1" t="str">
        <f>IF(ISBLANK('Aqueous Species Options'!B699), "", IF('Aqueous Species Options'!L699=0, 'Aqueous Species Options'!N699, IF(OR(ISBLANK('Aqueous Species Options'!G699),'Aqueous Species Table'!O699="", 'Aqueous Species Table'!P699=""), "", IF('Aqueous Species Options'!B699="H+", 0, (CHOOSE('Aqueous Species Options'!M699+1,'Aqueous Species Options'!$V$4*ABS('Aqueous Species Table'!P699)+'Aqueous Species Options'!$W$4,'Aqueous Species Options'!$Z$4)*('Aqueous Species Options'!G699 + 'Aqueous Species Table'!O699*100000*0.0000005903*41.8393) + CHOOSE('Aqueous Species Options'!M699+1,'Aqueous Species Options'!$X$4*ABS('Aqueous Species Table'!P699)+'Aqueous Species Options'!$Y$4,'Aqueous Species Options'!$AA$4))*10 ) ) ) )</f>
        <v/>
      </c>
      <c r="J699" s="1" t="str">
        <f>IF(ISBLANK('Aqueous Species Options'!B699), "", IF('Aqueous Species Options'!L699 = 0, 'Aqueous Species Options'!O699, IF('Aqueous Species Table'!I699="", "", IF('Aqueous Species Options'!B699="H+", 0, ((1.11*('Aqueous Species Options'!G699 + 'Aqueous Species Table'!O699*100000*0.0000005903*41.8393)+1.8)/41.8393 - 'Aqueous Species Table'!I699/10)*26.01 ) ) ) )</f>
        <v/>
      </c>
      <c r="K699" s="1" t="str">
        <f>IF(ISBLANK('Aqueous Species Options'!B699), "", IF('Aqueous Species Options'!L699 = 0, 'Aqueous Species Options'!P699, IF('Aqueous Species Table'!I699="", "", IF('Aqueous Species Options'!B699="H+", 0, ('Aqueous Species Options'!G699/41.8393 + 'Aqueous Species Table'!O699*100000*0.0000005903 - 'Aqueous Species Table'!I699/10 - 'Aqueous Species Table'!J699*100/2601)*(298.15-228) - ('Aqueous Species Table'!L699*10000/2601) ) ) ) )</f>
        <v/>
      </c>
      <c r="L699" s="1" t="str">
        <f>IF(ISBLANK('Aqueous Species Options'!B699), "", IF('Aqueous Species Options'!L699 = 0, 'Aqueous Species Options'!Q699, IF('Aqueous Species Table'!J699="", "", IF('Aqueous Species Options'!B699="H+", 0, (-4.134*'Aqueous Species Table'!J699*100 - 27790)*0.0001) ) ) )</f>
        <v/>
      </c>
      <c r="M699" s="1" t="str">
        <f>IF(ISBLANK('Aqueous Species Options'!B699), "", IF('Aqueous Species Options'!L699=0, 'Aqueous Species Options'!R699, IF('Aqueous Species Table'!N699="", "", IF('Aqueous Species Options'!B699="H+", 0, 'Aqueous Species Options'!H699 - 'Aqueous Species Table'!O699*100000*(-0.000000309)*298.15 - 'Aqueous Species Table'!N699*10000/(298.15-228)^2 ) ) ) )</f>
        <v/>
      </c>
      <c r="N699" s="1" t="str">
        <f>IF(ISBLANK('Aqueous Species Options'!B699), "", IF('Aqueous Species Options'!L699=0, 'Aqueous Species Options'!S699, IF(OR(ISBLANK('Aqueous Species Options'!H699), 'Aqueous Species Table'!O699=""), "", IF('Aqueous Species Options'!B699="H+", 0, 0.2037*'Aqueous Species Options'!H699 - 3.0346) ) ) )</f>
        <v/>
      </c>
      <c r="O699" s="1" t="str">
        <f>IF(ISBLANK('Aqueous Species Options'!B699), "", IF('Aqueous Species Options'!K699=0, 'Aqueous Species Options'!I699, IF(OR('Aqueous Species Options'!J699&gt;4,'Aqueous Species Options'!J699&lt;-4), "", IF('Aqueous Species Options'!B699="H+", 0, IF('Aqueous Species Options'!J699=0, -0.038, IF(ISBLANK('Aqueous Species Options'!F699), "", -1514.4*'Aqueous Species Options'!F699*0.00001 + SUM(({4,3,2,1,-1,-2,-3,-4}='Aqueous Species Options'!J699)*{2.1764,1.5793,1.0579,0.5517,1.6291,3.2127,4.8115,6.486}) ) ) ) ) ) )</f>
        <v/>
      </c>
      <c r="P699" s="1" t="str">
        <f>IF(ISBLANK('Aqueous Species Options'!J699), "", 'Aqueous Species Options'!J699)</f>
        <v/>
      </c>
      <c r="Q699" s="184" t="str">
        <f>IF(ISBLANK('Aqueous Species Options'!T699), "", 'Aqueous Species Options'!T699)</f>
        <v/>
      </c>
    </row>
    <row r="700" spans="2:17" ht="15" customHeight="1" x14ac:dyDescent="0.2">
      <c r="B700" s="115" t="str">
        <f>IF(ISBLANK('Aqueous Species Options'!B700), "", 'Aqueous Species Options'!B700)</f>
        <v/>
      </c>
      <c r="C700" s="68" t="str">
        <f>IF(ISBLANK('Aqueous Species Options'!C700), "", 'Aqueous Species Options'!C700)</f>
        <v/>
      </c>
      <c r="D700" s="68" t="str">
        <f>IF(ISBLANK('Aqueous Species Options'!D700), "", 'Aqueous Species Options'!D700)</f>
        <v/>
      </c>
      <c r="E700" s="68" t="str">
        <f>IF(ISBLANK('Aqueous Species Options'!E700), "", 'Aqueous Species Options'!E700)</f>
        <v/>
      </c>
      <c r="F700" s="147" t="str">
        <f>IF(ISBLANK('Aqueous Species Options'!F700), "", 'Aqueous Species Options'!F700)</f>
        <v/>
      </c>
      <c r="G700" s="119" t="str">
        <f>IF(ISBLANK('Aqueous Species Options'!B700), "", IF('Aqueous Species Options'!L700 = 1, IF(ISBLANK('Aqueous Species Options'!G700), "", 'Aqueous Species Options'!G700), ('Aqueous Species Table'!I700/10 + ('Aqueous Species Table'!J700*100)/(Calculations!$C$12+Calculations!$C$9) + ('Aqueous Species Table'!K700 + ('Aqueous Species Table'!L700*10000)/(Calculations!$C$12+Calculations!$C$9))*(1/(Calculations!$C$8-Calculations!$C$13)) - 'Aqueous Species Table'!O700*100000*0.0000005903)*41.8393))</f>
        <v/>
      </c>
      <c r="H700" s="119" t="str">
        <f>IF(ISBLANK('Aqueous Species Options'!B700), "", IF('Aqueous Species Options'!L700 = 1, IF(ISBLANK('Aqueous Species Options'!H700), "", 'Aqueous Species Options'!H700), 'Aqueous Species Table'!M700 + 'Aqueous Species Table'!N700*10000*(1/(Calculations!$C$8-Calculations!$C$13))^2 + 'Aqueous Species Table'!O700*100000*Calculations!$C$8*Calculations!$C$7))</f>
        <v/>
      </c>
      <c r="I700" s="68" t="str">
        <f>IF(ISBLANK('Aqueous Species Options'!B700), "", IF('Aqueous Species Options'!L700=0, 'Aqueous Species Options'!N700, IF(OR(ISBLANK('Aqueous Species Options'!G700),'Aqueous Species Table'!O700="", 'Aqueous Species Table'!P700=""), "", IF('Aqueous Species Options'!B700="H+", 0, (CHOOSE('Aqueous Species Options'!M700+1,'Aqueous Species Options'!$V$4*ABS('Aqueous Species Table'!P700)+'Aqueous Species Options'!$W$4,'Aqueous Species Options'!$Z$4)*('Aqueous Species Options'!G700 + 'Aqueous Species Table'!O700*100000*0.0000005903*41.8393) + CHOOSE('Aqueous Species Options'!M700+1,'Aqueous Species Options'!$X$4*ABS('Aqueous Species Table'!P700)+'Aqueous Species Options'!$Y$4,'Aqueous Species Options'!$AA$4))*10 ) ) ) )</f>
        <v/>
      </c>
      <c r="J700" s="68" t="str">
        <f>IF(ISBLANK('Aqueous Species Options'!B700), "", IF('Aqueous Species Options'!L700 = 0, 'Aqueous Species Options'!O700, IF('Aqueous Species Table'!I700="", "", IF('Aqueous Species Options'!B700="H+", 0, ((1.11*('Aqueous Species Options'!G700 + 'Aqueous Species Table'!O700*100000*0.0000005903*41.8393)+1.8)/41.8393 - 'Aqueous Species Table'!I700/10)*26.01 ) ) ) )</f>
        <v/>
      </c>
      <c r="K700" s="68" t="str">
        <f>IF(ISBLANK('Aqueous Species Options'!B700), "", IF('Aqueous Species Options'!L700 = 0, 'Aqueous Species Options'!P700, IF('Aqueous Species Table'!I700="", "", IF('Aqueous Species Options'!B700="H+", 0, ('Aqueous Species Options'!G700/41.8393 + 'Aqueous Species Table'!O700*100000*0.0000005903 - 'Aqueous Species Table'!I700/10 - 'Aqueous Species Table'!J700*100/2601)*(298.15-228) - ('Aqueous Species Table'!L700*10000/2601) ) ) ) )</f>
        <v/>
      </c>
      <c r="L700" s="68" t="str">
        <f>IF(ISBLANK('Aqueous Species Options'!B700), "", IF('Aqueous Species Options'!L700 = 0, 'Aqueous Species Options'!Q700, IF('Aqueous Species Table'!J700="", "", IF('Aqueous Species Options'!B700="H+", 0, (-4.134*'Aqueous Species Table'!J700*100 - 27790)*0.0001) ) ) )</f>
        <v/>
      </c>
      <c r="M700" s="68" t="str">
        <f>IF(ISBLANK('Aqueous Species Options'!B700), "", IF('Aqueous Species Options'!L700=0, 'Aqueous Species Options'!R700, IF('Aqueous Species Table'!N700="", "", IF('Aqueous Species Options'!B700="H+", 0, 'Aqueous Species Options'!H700 - 'Aqueous Species Table'!O700*100000*(-0.000000309)*298.15 - 'Aqueous Species Table'!N700*10000/(298.15-228)^2 ) ) ) )</f>
        <v/>
      </c>
      <c r="N700" s="68" t="str">
        <f>IF(ISBLANK('Aqueous Species Options'!B700), "", IF('Aqueous Species Options'!L700=0, 'Aqueous Species Options'!S700, IF(OR(ISBLANK('Aqueous Species Options'!H700), 'Aqueous Species Table'!O700=""), "", IF('Aqueous Species Options'!B700="H+", 0, 0.2037*'Aqueous Species Options'!H700 - 3.0346) ) ) )</f>
        <v/>
      </c>
      <c r="O700" s="68" t="str">
        <f>IF(ISBLANK('Aqueous Species Options'!B700), "", IF('Aqueous Species Options'!K700=0, 'Aqueous Species Options'!I700, IF(OR('Aqueous Species Options'!J700&gt;4,'Aqueous Species Options'!J700&lt;-4), "", IF('Aqueous Species Options'!B700="H+", 0, IF('Aqueous Species Options'!J700=0, -0.038, IF(ISBLANK('Aqueous Species Options'!F700), "", -1514.4*'Aqueous Species Options'!F700*0.00001 + SUM(({4,3,2,1,-1,-2,-3,-4}='Aqueous Species Options'!J700)*{2.1764,1.5793,1.0579,0.5517,1.6291,3.2127,4.8115,6.486}) ) ) ) ) ) )</f>
        <v/>
      </c>
      <c r="P700" s="68" t="str">
        <f>IF(ISBLANK('Aqueous Species Options'!J700), "", 'Aqueous Species Options'!J700)</f>
        <v/>
      </c>
      <c r="Q700" s="185" t="str">
        <f>IF(ISBLANK('Aqueous Species Options'!T700), "", 'Aqueous Species Options'!T700)</f>
        <v/>
      </c>
    </row>
  </sheetData>
  <sheetProtection sheet="1" objects="1" scenarios="1" formatRows="0"/>
  <sortState xmlns:xlrd2="http://schemas.microsoft.com/office/spreadsheetml/2017/richdata2" ref="B4:P346">
    <sortCondition ref="B4:B346"/>
  </sortState>
  <mergeCells count="2">
    <mergeCell ref="B3:C3"/>
    <mergeCell ref="Q3:Q4"/>
  </mergeCells>
  <pageMargins left="0.7" right="0.7" top="0.75" bottom="0.75" header="0.3" footer="0.3"/>
  <pageSetup orientation="portrait" horizontalDpi="0" verticalDpi="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7030A0"/>
  </sheetPr>
  <dimension ref="B2:K53"/>
  <sheetViews>
    <sheetView workbookViewId="0">
      <pane xSplit="3" ySplit="4" topLeftCell="D5" activePane="bottomRight" state="frozen"/>
      <selection pane="topRight" activeCell="D1" sqref="D1"/>
      <selection pane="bottomLeft" activeCell="A5" sqref="A5"/>
      <selection pane="bottomRight"/>
    </sheetView>
  </sheetViews>
  <sheetFormatPr baseColWidth="10" defaultColWidth="8.83203125" defaultRowHeight="15" x14ac:dyDescent="0.2"/>
  <cols>
    <col min="1" max="1" width="2.83203125" customWidth="1"/>
    <col min="2" max="3" width="20.6640625" customWidth="1"/>
    <col min="4" max="10" width="17.6640625" customWidth="1"/>
    <col min="11" max="12" width="8.83203125" customWidth="1"/>
  </cols>
  <sheetData>
    <row r="2" spans="2:11" ht="30" customHeight="1" x14ac:dyDescent="0.2"/>
    <row r="3" spans="2:11" ht="22.5" customHeight="1" x14ac:dyDescent="0.2">
      <c r="B3" s="281" t="s">
        <v>0</v>
      </c>
      <c r="C3" s="281"/>
      <c r="D3" s="10" t="s">
        <v>445</v>
      </c>
      <c r="E3" s="14" t="s">
        <v>447</v>
      </c>
      <c r="F3" s="10" t="s">
        <v>446</v>
      </c>
      <c r="G3" s="10" t="s">
        <v>391</v>
      </c>
      <c r="H3" s="10" t="s">
        <v>631</v>
      </c>
      <c r="I3" s="10" t="s">
        <v>632</v>
      </c>
      <c r="J3" s="10" t="s">
        <v>444</v>
      </c>
    </row>
    <row r="4" spans="2:11" ht="22.5" customHeight="1" x14ac:dyDescent="0.2">
      <c r="B4" s="3" t="s">
        <v>7</v>
      </c>
      <c r="C4" s="3" t="s">
        <v>6</v>
      </c>
      <c r="D4" s="71" t="s">
        <v>512</v>
      </c>
      <c r="E4" s="54" t="s">
        <v>513</v>
      </c>
      <c r="F4" s="54" t="s">
        <v>514</v>
      </c>
      <c r="G4" s="54" t="s">
        <v>513</v>
      </c>
      <c r="H4" s="54" t="s">
        <v>629</v>
      </c>
      <c r="I4" s="54" t="s">
        <v>630</v>
      </c>
      <c r="J4" s="15" t="s">
        <v>433</v>
      </c>
    </row>
    <row r="5" spans="2:11" x14ac:dyDescent="0.2">
      <c r="B5" s="166" t="s">
        <v>392</v>
      </c>
      <c r="C5" s="167" t="s">
        <v>393</v>
      </c>
      <c r="D5" s="111">
        <v>0</v>
      </c>
      <c r="E5" s="89">
        <v>0</v>
      </c>
      <c r="F5" s="145">
        <v>37.008000000000003</v>
      </c>
      <c r="G5" s="113">
        <v>4.968</v>
      </c>
      <c r="H5" s="113">
        <v>0</v>
      </c>
      <c r="I5" s="113">
        <v>0</v>
      </c>
      <c r="J5" s="168">
        <v>8000</v>
      </c>
      <c r="K5" s="79"/>
    </row>
    <row r="6" spans="2:11" x14ac:dyDescent="0.2">
      <c r="B6" s="148" t="s">
        <v>394</v>
      </c>
      <c r="C6" s="169" t="s">
        <v>395</v>
      </c>
      <c r="D6" s="89">
        <v>-12122.4</v>
      </c>
      <c r="E6" s="89">
        <v>-17880</v>
      </c>
      <c r="F6" s="145">
        <v>44.518000000000001</v>
      </c>
      <c r="G6" s="113">
        <v>5.65</v>
      </c>
      <c r="H6" s="113">
        <v>11.44</v>
      </c>
      <c r="I6" s="113">
        <v>0.46</v>
      </c>
      <c r="J6" s="168">
        <v>1500</v>
      </c>
      <c r="K6" s="79"/>
    </row>
    <row r="7" spans="2:11" x14ac:dyDescent="0.2">
      <c r="B7" s="148" t="s">
        <v>396</v>
      </c>
      <c r="C7" s="169" t="s">
        <v>397</v>
      </c>
      <c r="D7" s="89">
        <v>-32784</v>
      </c>
      <c r="E7" s="89">
        <v>-26416</v>
      </c>
      <c r="F7" s="145">
        <v>47.25</v>
      </c>
      <c r="G7" s="113">
        <v>6.96</v>
      </c>
      <c r="H7" s="113">
        <v>0</v>
      </c>
      <c r="I7" s="113">
        <v>0</v>
      </c>
      <c r="J7" s="168">
        <v>2500</v>
      </c>
      <c r="K7" s="79"/>
    </row>
    <row r="8" spans="2:11" x14ac:dyDescent="0.2">
      <c r="B8" s="148" t="s">
        <v>398</v>
      </c>
      <c r="C8" s="169" t="s">
        <v>399</v>
      </c>
      <c r="D8" s="89">
        <v>-94254</v>
      </c>
      <c r="E8" s="89">
        <v>-94051</v>
      </c>
      <c r="F8" s="145">
        <v>51.085000000000001</v>
      </c>
      <c r="G8" s="113">
        <v>10.57</v>
      </c>
      <c r="H8" s="113">
        <v>2.1</v>
      </c>
      <c r="I8" s="113">
        <v>2.06</v>
      </c>
      <c r="J8" s="168">
        <v>2500</v>
      </c>
      <c r="K8" s="79"/>
    </row>
    <row r="9" spans="2:11" x14ac:dyDescent="0.2">
      <c r="B9" s="148" t="s">
        <v>400</v>
      </c>
      <c r="C9" s="169" t="s">
        <v>401</v>
      </c>
      <c r="D9" s="89">
        <v>0</v>
      </c>
      <c r="E9" s="89">
        <v>0</v>
      </c>
      <c r="F9" s="145">
        <v>31.234000000000002</v>
      </c>
      <c r="G9" s="113">
        <v>6.52</v>
      </c>
      <c r="H9" s="113">
        <v>0.78</v>
      </c>
      <c r="I9" s="113">
        <v>-0.12</v>
      </c>
      <c r="J9" s="168">
        <v>3000</v>
      </c>
      <c r="K9" s="79"/>
    </row>
    <row r="10" spans="2:11" x14ac:dyDescent="0.2">
      <c r="B10" s="110" t="s">
        <v>661</v>
      </c>
      <c r="C10" s="114" t="s">
        <v>662</v>
      </c>
      <c r="D10" s="89">
        <v>-54524.800000000003</v>
      </c>
      <c r="E10" s="89">
        <v>-57935</v>
      </c>
      <c r="F10" s="145">
        <v>44.762999999999998</v>
      </c>
      <c r="G10" s="113">
        <v>12.6647</v>
      </c>
      <c r="H10" s="113">
        <v>-10.4041</v>
      </c>
      <c r="I10" s="113">
        <v>1.3077999999999999E-2</v>
      </c>
      <c r="J10" s="89">
        <v>2523.15</v>
      </c>
      <c r="K10" s="79"/>
    </row>
    <row r="11" spans="2:11" x14ac:dyDescent="0.2">
      <c r="B11" s="148" t="s">
        <v>402</v>
      </c>
      <c r="C11" s="169" t="s">
        <v>403</v>
      </c>
      <c r="D11" s="89">
        <v>-8021</v>
      </c>
      <c r="E11" s="89">
        <v>-4931</v>
      </c>
      <c r="F11" s="145">
        <v>49.185000000000002</v>
      </c>
      <c r="G11" s="113">
        <v>7.81</v>
      </c>
      <c r="H11" s="113">
        <v>2.96</v>
      </c>
      <c r="I11" s="113">
        <v>0.46</v>
      </c>
      <c r="J11" s="168">
        <v>2300</v>
      </c>
      <c r="K11" s="79"/>
    </row>
    <row r="12" spans="2:11" x14ac:dyDescent="0.2">
      <c r="B12" s="148" t="s">
        <v>404</v>
      </c>
      <c r="C12" s="169" t="s">
        <v>405</v>
      </c>
      <c r="D12" s="89">
        <v>0</v>
      </c>
      <c r="E12" s="89">
        <v>0</v>
      </c>
      <c r="F12" s="145">
        <v>30.151</v>
      </c>
      <c r="G12" s="113">
        <v>4.968</v>
      </c>
      <c r="H12" s="113">
        <v>0</v>
      </c>
      <c r="I12" s="113">
        <v>0</v>
      </c>
      <c r="J12" s="168">
        <v>8000</v>
      </c>
      <c r="K12" s="79"/>
    </row>
    <row r="13" spans="2:11" x14ac:dyDescent="0.2">
      <c r="B13" s="148" t="s">
        <v>406</v>
      </c>
      <c r="C13" s="169" t="s">
        <v>407</v>
      </c>
      <c r="D13" s="89">
        <v>0</v>
      </c>
      <c r="E13" s="89">
        <v>0</v>
      </c>
      <c r="F13" s="145">
        <v>39.216999999999999</v>
      </c>
      <c r="G13" s="113">
        <v>4.968</v>
      </c>
      <c r="H13" s="113">
        <v>0</v>
      </c>
      <c r="I13" s="113">
        <v>0</v>
      </c>
      <c r="J13" s="168">
        <v>8000</v>
      </c>
      <c r="K13" s="79"/>
    </row>
    <row r="14" spans="2:11" x14ac:dyDescent="0.2">
      <c r="B14" s="148" t="s">
        <v>408</v>
      </c>
      <c r="C14" s="169" t="s">
        <v>409</v>
      </c>
      <c r="D14" s="89">
        <v>0</v>
      </c>
      <c r="E14" s="89">
        <v>0</v>
      </c>
      <c r="F14" s="145">
        <v>45.795999999999999</v>
      </c>
      <c r="G14" s="113">
        <v>6.83</v>
      </c>
      <c r="H14" s="113">
        <v>0.9</v>
      </c>
      <c r="I14" s="113">
        <v>0.12</v>
      </c>
      <c r="J14" s="168">
        <v>3000</v>
      </c>
      <c r="K14" s="79"/>
    </row>
    <row r="15" spans="2:11" x14ac:dyDescent="0.2">
      <c r="B15" s="148" t="s">
        <v>412</v>
      </c>
      <c r="C15" s="169" t="s">
        <v>413</v>
      </c>
      <c r="D15" s="89">
        <v>0</v>
      </c>
      <c r="E15" s="89">
        <v>0</v>
      </c>
      <c r="F15" s="145">
        <v>34.972999999999999</v>
      </c>
      <c r="G15" s="113">
        <v>4.968</v>
      </c>
      <c r="H15" s="113">
        <v>0</v>
      </c>
      <c r="I15" s="113">
        <v>0</v>
      </c>
      <c r="J15" s="168">
        <v>8000</v>
      </c>
      <c r="K15" s="79"/>
    </row>
    <row r="16" spans="2:11" x14ac:dyDescent="0.2">
      <c r="B16" s="148" t="s">
        <v>410</v>
      </c>
      <c r="C16" s="169" t="s">
        <v>411</v>
      </c>
      <c r="D16" s="89">
        <v>-3932</v>
      </c>
      <c r="E16" s="89">
        <v>-11021</v>
      </c>
      <c r="F16" s="145">
        <v>46</v>
      </c>
      <c r="G16" s="113">
        <v>7.11</v>
      </c>
      <c r="H16" s="113">
        <v>6</v>
      </c>
      <c r="I16" s="113">
        <v>0.37</v>
      </c>
      <c r="J16" s="168">
        <v>1800</v>
      </c>
      <c r="K16" s="79"/>
    </row>
    <row r="17" spans="2:11" x14ac:dyDescent="0.2">
      <c r="B17" s="148" t="s">
        <v>414</v>
      </c>
      <c r="C17" s="169" t="s">
        <v>415</v>
      </c>
      <c r="D17" s="89">
        <v>0</v>
      </c>
      <c r="E17" s="89">
        <v>0</v>
      </c>
      <c r="F17" s="145">
        <v>49.029000000000003</v>
      </c>
      <c r="G17" s="113">
        <v>7.16</v>
      </c>
      <c r="H17" s="113">
        <v>1</v>
      </c>
      <c r="I17" s="113">
        <v>0.4</v>
      </c>
      <c r="J17" s="168">
        <v>3000</v>
      </c>
      <c r="K17" s="79"/>
    </row>
    <row r="18" spans="2:11" x14ac:dyDescent="0.2">
      <c r="B18" s="148" t="s">
        <v>416</v>
      </c>
      <c r="C18" s="169" t="s">
        <v>417</v>
      </c>
      <c r="D18" s="89">
        <v>0</v>
      </c>
      <c r="E18" s="89">
        <v>0</v>
      </c>
      <c r="F18" s="145">
        <v>42.12</v>
      </c>
      <c r="G18" s="113">
        <v>4.968</v>
      </c>
      <c r="H18" s="113">
        <v>0</v>
      </c>
      <c r="I18" s="113">
        <v>0</v>
      </c>
      <c r="J18" s="168">
        <v>3000</v>
      </c>
      <c r="K18" s="79"/>
    </row>
    <row r="19" spans="2:11" x14ac:dyDescent="0.2">
      <c r="B19" s="148" t="s">
        <v>418</v>
      </c>
      <c r="C19" s="169" t="s">
        <v>419</v>
      </c>
      <c r="D19" s="89">
        <v>18953</v>
      </c>
      <c r="E19" s="89">
        <v>30681</v>
      </c>
      <c r="F19" s="145">
        <v>54.54</v>
      </c>
      <c r="G19" s="113">
        <v>8.7200000000000006</v>
      </c>
      <c r="H19" s="113">
        <v>0.16</v>
      </c>
      <c r="I19" s="113">
        <v>0.9</v>
      </c>
      <c r="J19" s="168">
        <v>3000</v>
      </c>
      <c r="K19" s="79"/>
    </row>
    <row r="20" spans="2:11" x14ac:dyDescent="0.2">
      <c r="B20" s="148" t="s">
        <v>420</v>
      </c>
      <c r="C20" s="169" t="s">
        <v>421</v>
      </c>
      <c r="D20" s="89">
        <v>-71748</v>
      </c>
      <c r="E20" s="89">
        <v>-70944</v>
      </c>
      <c r="F20" s="145">
        <v>59.33</v>
      </c>
      <c r="G20" s="113">
        <v>11.04</v>
      </c>
      <c r="H20" s="113">
        <v>1.88</v>
      </c>
      <c r="I20" s="113">
        <v>1.84</v>
      </c>
      <c r="J20" s="168">
        <v>2000</v>
      </c>
      <c r="K20" s="79"/>
    </row>
    <row r="21" spans="2:11" x14ac:dyDescent="0.2">
      <c r="B21" s="110" t="s">
        <v>422</v>
      </c>
      <c r="C21" s="114" t="s">
        <v>423</v>
      </c>
      <c r="D21" s="89">
        <v>0</v>
      </c>
      <c r="E21" s="89">
        <v>0</v>
      </c>
      <c r="F21" s="145">
        <v>40.555</v>
      </c>
      <c r="G21" s="113">
        <v>4.968</v>
      </c>
      <c r="H21" s="113">
        <v>0</v>
      </c>
      <c r="I21" s="113">
        <v>0</v>
      </c>
      <c r="J21" s="168">
        <v>8000</v>
      </c>
    </row>
    <row r="22" spans="2:11" x14ac:dyDescent="0.2">
      <c r="B22" s="110"/>
      <c r="C22" s="114"/>
      <c r="D22" s="89"/>
      <c r="E22" s="89"/>
      <c r="F22" s="145"/>
      <c r="G22" s="113"/>
      <c r="H22" s="113"/>
      <c r="I22" s="113"/>
      <c r="J22" s="89"/>
    </row>
    <row r="23" spans="2:11" x14ac:dyDescent="0.2">
      <c r="B23" s="110"/>
      <c r="C23" s="114"/>
      <c r="D23" s="89"/>
      <c r="E23" s="89"/>
      <c r="F23" s="145"/>
      <c r="G23" s="113"/>
      <c r="H23" s="113"/>
      <c r="I23" s="113"/>
      <c r="J23" s="89"/>
    </row>
    <row r="24" spans="2:11" x14ac:dyDescent="0.2">
      <c r="B24" s="110"/>
      <c r="C24" s="114"/>
      <c r="D24" s="89"/>
      <c r="E24" s="89"/>
      <c r="F24" s="145"/>
      <c r="G24" s="113"/>
      <c r="H24" s="113"/>
      <c r="I24" s="113"/>
      <c r="J24" s="89"/>
    </row>
    <row r="25" spans="2:11" x14ac:dyDescent="0.2">
      <c r="B25" s="110"/>
      <c r="C25" s="114"/>
      <c r="D25" s="89"/>
      <c r="E25" s="89"/>
      <c r="F25" s="145"/>
      <c r="G25" s="113"/>
      <c r="H25" s="113"/>
      <c r="I25" s="113"/>
      <c r="J25" s="89"/>
    </row>
    <row r="26" spans="2:11" x14ac:dyDescent="0.2">
      <c r="B26" s="110"/>
      <c r="C26" s="114"/>
      <c r="D26" s="89"/>
      <c r="E26" s="89"/>
      <c r="F26" s="145"/>
      <c r="G26" s="113"/>
      <c r="H26" s="113"/>
      <c r="I26" s="113"/>
      <c r="J26" s="89"/>
    </row>
    <row r="27" spans="2:11" x14ac:dyDescent="0.2">
      <c r="B27" s="110"/>
      <c r="C27" s="114"/>
      <c r="D27" s="89"/>
      <c r="E27" s="89"/>
      <c r="F27" s="145"/>
      <c r="G27" s="113"/>
      <c r="H27" s="113"/>
      <c r="I27" s="113"/>
      <c r="J27" s="89"/>
    </row>
    <row r="28" spans="2:11" x14ac:dyDescent="0.2">
      <c r="B28" s="110"/>
      <c r="C28" s="114"/>
      <c r="D28" s="89"/>
      <c r="E28" s="89"/>
      <c r="F28" s="145"/>
      <c r="G28" s="113"/>
      <c r="H28" s="113"/>
      <c r="I28" s="113"/>
      <c r="J28" s="89"/>
    </row>
    <row r="29" spans="2:11" x14ac:dyDescent="0.2">
      <c r="B29" s="110"/>
      <c r="C29" s="114"/>
      <c r="D29" s="89"/>
      <c r="E29" s="89"/>
      <c r="F29" s="145"/>
      <c r="G29" s="113"/>
      <c r="H29" s="113"/>
      <c r="I29" s="113"/>
      <c r="J29" s="89"/>
    </row>
    <row r="30" spans="2:11" x14ac:dyDescent="0.2">
      <c r="B30" s="110"/>
      <c r="C30" s="114"/>
      <c r="D30" s="89"/>
      <c r="E30" s="89"/>
      <c r="F30" s="145"/>
      <c r="G30" s="113"/>
      <c r="H30" s="113"/>
      <c r="I30" s="113"/>
      <c r="J30" s="89"/>
    </row>
    <row r="31" spans="2:11" x14ac:dyDescent="0.2">
      <c r="B31" s="110"/>
      <c r="C31" s="114"/>
      <c r="D31" s="89"/>
      <c r="E31" s="89"/>
      <c r="F31" s="145"/>
      <c r="G31" s="113"/>
      <c r="H31" s="113"/>
      <c r="I31" s="113"/>
      <c r="J31" s="89"/>
    </row>
    <row r="32" spans="2:11" x14ac:dyDescent="0.2">
      <c r="B32" s="110"/>
      <c r="C32" s="114"/>
      <c r="D32" s="89"/>
      <c r="E32" s="89"/>
      <c r="F32" s="145"/>
      <c r="G32" s="113"/>
      <c r="H32" s="113"/>
      <c r="I32" s="113"/>
      <c r="J32" s="89"/>
    </row>
    <row r="33" spans="2:10" x14ac:dyDescent="0.2">
      <c r="B33" s="110"/>
      <c r="C33" s="114"/>
      <c r="D33" s="89"/>
      <c r="E33" s="89"/>
      <c r="F33" s="145"/>
      <c r="G33" s="113"/>
      <c r="H33" s="113"/>
      <c r="I33" s="113"/>
      <c r="J33" s="89"/>
    </row>
    <row r="34" spans="2:10" x14ac:dyDescent="0.2">
      <c r="B34" s="110"/>
      <c r="C34" s="114"/>
      <c r="D34" s="89"/>
      <c r="E34" s="89"/>
      <c r="F34" s="145"/>
      <c r="G34" s="113"/>
      <c r="H34" s="113"/>
      <c r="I34" s="113"/>
      <c r="J34" s="89"/>
    </row>
    <row r="35" spans="2:10" x14ac:dyDescent="0.2">
      <c r="B35" s="110"/>
      <c r="C35" s="114"/>
      <c r="D35" s="89"/>
      <c r="E35" s="89"/>
      <c r="F35" s="145"/>
      <c r="G35" s="113"/>
      <c r="H35" s="113"/>
      <c r="I35" s="113"/>
      <c r="J35" s="89"/>
    </row>
    <row r="36" spans="2:10" x14ac:dyDescent="0.2">
      <c r="B36" s="110"/>
      <c r="C36" s="114"/>
      <c r="D36" s="89"/>
      <c r="E36" s="89"/>
      <c r="F36" s="145"/>
      <c r="G36" s="113"/>
      <c r="H36" s="113"/>
      <c r="I36" s="113"/>
      <c r="J36" s="89"/>
    </row>
    <row r="37" spans="2:10" x14ac:dyDescent="0.2">
      <c r="B37" s="110"/>
      <c r="C37" s="114"/>
      <c r="D37" s="89"/>
      <c r="E37" s="89"/>
      <c r="F37" s="145"/>
      <c r="G37" s="113"/>
      <c r="H37" s="113"/>
      <c r="I37" s="113"/>
      <c r="J37" s="89"/>
    </row>
    <row r="38" spans="2:10" x14ac:dyDescent="0.2">
      <c r="B38" s="110"/>
      <c r="C38" s="114"/>
      <c r="D38" s="89"/>
      <c r="E38" s="89"/>
      <c r="F38" s="145"/>
      <c r="G38" s="113"/>
      <c r="H38" s="113"/>
      <c r="I38" s="113"/>
      <c r="J38" s="89"/>
    </row>
    <row r="39" spans="2:10" x14ac:dyDescent="0.2">
      <c r="B39" s="110"/>
      <c r="C39" s="114"/>
      <c r="D39" s="89"/>
      <c r="E39" s="89"/>
      <c r="F39" s="145"/>
      <c r="G39" s="113"/>
      <c r="H39" s="113"/>
      <c r="I39" s="113"/>
      <c r="J39" s="89"/>
    </row>
    <row r="40" spans="2:10" x14ac:dyDescent="0.2">
      <c r="B40" s="110"/>
      <c r="C40" s="114"/>
      <c r="D40" s="89"/>
      <c r="E40" s="89"/>
      <c r="F40" s="145"/>
      <c r="G40" s="113"/>
      <c r="H40" s="113"/>
      <c r="I40" s="113"/>
      <c r="J40" s="89"/>
    </row>
    <row r="41" spans="2:10" x14ac:dyDescent="0.2">
      <c r="B41" s="110"/>
      <c r="C41" s="114"/>
      <c r="D41" s="89"/>
      <c r="E41" s="89"/>
      <c r="F41" s="145"/>
      <c r="G41" s="113"/>
      <c r="H41" s="113"/>
      <c r="I41" s="113"/>
      <c r="J41" s="89"/>
    </row>
    <row r="42" spans="2:10" x14ac:dyDescent="0.2">
      <c r="B42" s="110"/>
      <c r="C42" s="114"/>
      <c r="D42" s="89"/>
      <c r="E42" s="89"/>
      <c r="F42" s="145"/>
      <c r="G42" s="113"/>
      <c r="H42" s="113"/>
      <c r="I42" s="113"/>
      <c r="J42" s="89"/>
    </row>
    <row r="43" spans="2:10" x14ac:dyDescent="0.2">
      <c r="B43" s="110"/>
      <c r="C43" s="114"/>
      <c r="D43" s="89"/>
      <c r="E43" s="89"/>
      <c r="F43" s="145"/>
      <c r="G43" s="113"/>
      <c r="H43" s="113"/>
      <c r="I43" s="113"/>
      <c r="J43" s="89"/>
    </row>
    <row r="44" spans="2:10" x14ac:dyDescent="0.2">
      <c r="B44" s="110"/>
      <c r="C44" s="114"/>
      <c r="D44" s="89"/>
      <c r="E44" s="89"/>
      <c r="F44" s="145"/>
      <c r="G44" s="113"/>
      <c r="H44" s="113"/>
      <c r="I44" s="113"/>
      <c r="J44" s="89"/>
    </row>
    <row r="45" spans="2:10" x14ac:dyDescent="0.2">
      <c r="B45" s="110"/>
      <c r="C45" s="114"/>
      <c r="D45" s="89"/>
      <c r="E45" s="89"/>
      <c r="F45" s="145"/>
      <c r="G45" s="113"/>
      <c r="H45" s="113"/>
      <c r="I45" s="113"/>
      <c r="J45" s="89"/>
    </row>
    <row r="46" spans="2:10" x14ac:dyDescent="0.2">
      <c r="B46" s="110"/>
      <c r="C46" s="114"/>
      <c r="D46" s="89"/>
      <c r="E46" s="89"/>
      <c r="F46" s="145"/>
      <c r="G46" s="113"/>
      <c r="H46" s="113"/>
      <c r="I46" s="113"/>
      <c r="J46" s="89"/>
    </row>
    <row r="47" spans="2:10" x14ac:dyDescent="0.2">
      <c r="B47" s="110"/>
      <c r="C47" s="114"/>
      <c r="D47" s="89"/>
      <c r="E47" s="89"/>
      <c r="F47" s="145"/>
      <c r="G47" s="113"/>
      <c r="H47" s="113"/>
      <c r="I47" s="113"/>
      <c r="J47" s="89"/>
    </row>
    <row r="48" spans="2:10" x14ac:dyDescent="0.2">
      <c r="B48" s="110"/>
      <c r="C48" s="114"/>
      <c r="D48" s="89"/>
      <c r="E48" s="89"/>
      <c r="F48" s="145"/>
      <c r="G48" s="113"/>
      <c r="H48" s="113"/>
      <c r="I48" s="113"/>
      <c r="J48" s="89"/>
    </row>
    <row r="49" spans="2:10" x14ac:dyDescent="0.2">
      <c r="B49" s="110"/>
      <c r="C49" s="114"/>
      <c r="D49" s="89"/>
      <c r="E49" s="89"/>
      <c r="F49" s="145"/>
      <c r="G49" s="113"/>
      <c r="H49" s="113"/>
      <c r="I49" s="113"/>
      <c r="J49" s="89"/>
    </row>
    <row r="50" spans="2:10" x14ac:dyDescent="0.2">
      <c r="B50" s="110"/>
      <c r="C50" s="114"/>
      <c r="D50" s="89"/>
      <c r="E50" s="89"/>
      <c r="F50" s="145"/>
      <c r="G50" s="113"/>
      <c r="H50" s="113"/>
      <c r="I50" s="113"/>
      <c r="J50" s="89"/>
    </row>
    <row r="51" spans="2:10" x14ac:dyDescent="0.2">
      <c r="B51" s="110"/>
      <c r="C51" s="114"/>
      <c r="D51" s="89"/>
      <c r="E51" s="89"/>
      <c r="F51" s="145"/>
      <c r="G51" s="113"/>
      <c r="H51" s="113"/>
      <c r="I51" s="113"/>
      <c r="J51" s="89"/>
    </row>
    <row r="52" spans="2:10" x14ac:dyDescent="0.2">
      <c r="B52" s="110"/>
      <c r="C52" s="114"/>
      <c r="D52" s="89"/>
      <c r="E52" s="89"/>
      <c r="F52" s="145"/>
      <c r="G52" s="113"/>
      <c r="H52" s="113"/>
      <c r="I52" s="113"/>
      <c r="J52" s="89"/>
    </row>
    <row r="53" spans="2:10" x14ac:dyDescent="0.2">
      <c r="B53" s="170"/>
      <c r="C53" s="171"/>
      <c r="D53" s="90"/>
      <c r="E53" s="90"/>
      <c r="F53" s="173"/>
      <c r="G53" s="172"/>
      <c r="H53" s="172"/>
      <c r="I53" s="172"/>
      <c r="J53" s="90"/>
    </row>
  </sheetData>
  <sheetProtection sheet="1" objects="1" scenarios="1"/>
  <sortState xmlns:xlrd2="http://schemas.microsoft.com/office/spreadsheetml/2017/richdata2" ref="B5:J53">
    <sortCondition ref="B5"/>
  </sortState>
  <mergeCells count="1">
    <mergeCell ref="B3:C3"/>
  </mergeCells>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FF00"/>
  </sheetPr>
  <dimension ref="A1:CI205"/>
  <sheetViews>
    <sheetView workbookViewId="0"/>
  </sheetViews>
  <sheetFormatPr baseColWidth="10" defaultColWidth="8.83203125" defaultRowHeight="15" x14ac:dyDescent="0.2"/>
  <cols>
    <col min="1" max="1" width="2.83203125" style="18" customWidth="1"/>
    <col min="2" max="2" width="11.6640625" style="18" customWidth="1"/>
    <col min="3" max="3" width="13.6640625" style="18" customWidth="1"/>
    <col min="4" max="4" width="14.6640625" style="18" customWidth="1"/>
    <col min="5" max="5" width="9.1640625" style="18" customWidth="1"/>
    <col min="6" max="15" width="8.83203125" style="18"/>
    <col min="16" max="16" width="11.1640625" style="18" customWidth="1"/>
    <col min="17" max="17" width="13.5" style="18" customWidth="1"/>
    <col min="18" max="21" width="11.5" style="18" customWidth="1"/>
    <col min="22" max="24" width="8.83203125" style="18"/>
    <col min="25" max="52" width="10.6640625" style="18" customWidth="1"/>
    <col min="53" max="57" width="8.83203125" style="18"/>
    <col min="58" max="83" width="10" style="18" customWidth="1"/>
    <col min="84" max="16384" width="8.83203125" style="18"/>
  </cols>
  <sheetData>
    <row r="1" spans="1:87" ht="15" customHeight="1" thickBot="1" x14ac:dyDescent="0.25"/>
    <row r="2" spans="1:87" s="138" customFormat="1" ht="30" customHeight="1" thickBot="1" x14ac:dyDescent="0.25">
      <c r="A2" s="63"/>
      <c r="B2" s="284" t="s">
        <v>498</v>
      </c>
      <c r="C2" s="285"/>
      <c r="D2" s="286"/>
      <c r="E2" s="63"/>
      <c r="F2" s="284" t="s">
        <v>499</v>
      </c>
      <c r="G2" s="285"/>
      <c r="H2" s="285"/>
      <c r="I2" s="285"/>
      <c r="J2" s="285"/>
      <c r="K2" s="285"/>
      <c r="L2" s="285"/>
      <c r="M2" s="285"/>
      <c r="N2" s="285"/>
      <c r="O2" s="285"/>
      <c r="P2" s="285"/>
      <c r="Q2" s="285"/>
      <c r="R2" s="285"/>
      <c r="S2" s="285"/>
      <c r="T2" s="285"/>
      <c r="U2" s="286"/>
      <c r="V2" s="63"/>
      <c r="W2" s="284" t="s">
        <v>500</v>
      </c>
      <c r="X2" s="285"/>
      <c r="Y2" s="285"/>
      <c r="Z2" s="285"/>
      <c r="AA2" s="285"/>
      <c r="AB2" s="285"/>
      <c r="AC2" s="285"/>
      <c r="AD2" s="285"/>
      <c r="AE2" s="285"/>
      <c r="AF2" s="285"/>
      <c r="AG2" s="285"/>
      <c r="AH2" s="285"/>
      <c r="AI2" s="285"/>
      <c r="AJ2" s="285"/>
      <c r="AK2" s="285"/>
      <c r="AL2" s="285"/>
      <c r="AM2" s="285"/>
      <c r="AN2" s="285"/>
      <c r="AO2" s="285"/>
      <c r="AP2" s="285"/>
      <c r="AQ2" s="285"/>
      <c r="AR2" s="285"/>
      <c r="AS2" s="285"/>
      <c r="AT2" s="285"/>
      <c r="AU2" s="285"/>
      <c r="AV2" s="285"/>
      <c r="AW2" s="285"/>
      <c r="AX2" s="285"/>
      <c r="AY2" s="285"/>
      <c r="AZ2" s="285"/>
      <c r="BA2" s="285"/>
      <c r="BB2" s="286"/>
      <c r="BC2" s="63"/>
      <c r="BD2" s="284" t="s">
        <v>501</v>
      </c>
      <c r="BE2" s="285"/>
      <c r="BF2" s="285"/>
      <c r="BG2" s="285"/>
      <c r="BH2" s="285"/>
      <c r="BI2" s="285"/>
      <c r="BJ2" s="285"/>
      <c r="BK2" s="285"/>
      <c r="BL2" s="285"/>
      <c r="BM2" s="285"/>
      <c r="BN2" s="285"/>
      <c r="BO2" s="285"/>
      <c r="BP2" s="285"/>
      <c r="BQ2" s="285"/>
      <c r="BR2" s="285"/>
      <c r="BS2" s="285"/>
      <c r="BT2" s="285"/>
      <c r="BU2" s="285"/>
      <c r="BV2" s="285"/>
      <c r="BW2" s="285"/>
      <c r="BX2" s="285"/>
      <c r="BY2" s="285"/>
      <c r="BZ2" s="285"/>
      <c r="CA2" s="285"/>
      <c r="CB2" s="285"/>
      <c r="CC2" s="285"/>
      <c r="CD2" s="285"/>
      <c r="CE2" s="285"/>
      <c r="CF2" s="285"/>
      <c r="CG2" s="285"/>
      <c r="CH2" s="286"/>
      <c r="CI2" s="63"/>
    </row>
    <row r="4" spans="1:87" ht="18.75" customHeight="1" x14ac:dyDescent="0.25">
      <c r="A4" s="1"/>
      <c r="B4" s="259" t="s">
        <v>449</v>
      </c>
      <c r="C4" s="259"/>
      <c r="D4" s="259"/>
      <c r="E4" s="1"/>
      <c r="F4" s="273" t="s">
        <v>497</v>
      </c>
      <c r="G4" s="266" t="s">
        <v>558</v>
      </c>
      <c r="H4" s="268"/>
      <c r="I4" s="266" t="s">
        <v>560</v>
      </c>
      <c r="J4" s="268"/>
      <c r="K4" s="266" t="s">
        <v>636</v>
      </c>
      <c r="L4" s="268"/>
      <c r="M4" s="295" t="s">
        <v>563</v>
      </c>
      <c r="N4" s="296"/>
      <c r="O4" s="16" t="s">
        <v>450</v>
      </c>
      <c r="P4" s="289" t="s">
        <v>647</v>
      </c>
      <c r="Q4" s="291" t="s">
        <v>648</v>
      </c>
      <c r="R4" s="293" t="s">
        <v>594</v>
      </c>
      <c r="S4" s="291" t="s">
        <v>451</v>
      </c>
      <c r="T4" s="287" t="s">
        <v>593</v>
      </c>
      <c r="U4" s="16" t="s">
        <v>596</v>
      </c>
      <c r="V4"/>
      <c r="W4" s="16" t="s">
        <v>424</v>
      </c>
      <c r="X4" s="16" t="s">
        <v>450</v>
      </c>
      <c r="Y4" s="298" t="s">
        <v>681</v>
      </c>
      <c r="Z4" s="299"/>
      <c r="AA4" s="299"/>
      <c r="AB4" s="299"/>
      <c r="AC4" s="299"/>
      <c r="AD4" s="299"/>
      <c r="AE4" s="299"/>
      <c r="AF4" s="299"/>
      <c r="AG4" s="299"/>
      <c r="AH4" s="299"/>
      <c r="AI4" s="299"/>
      <c r="AJ4" s="299"/>
      <c r="AK4" s="299"/>
      <c r="AL4" s="299"/>
      <c r="AM4" s="299"/>
      <c r="AN4" s="299"/>
      <c r="AO4" s="299"/>
      <c r="AP4" s="299"/>
      <c r="AQ4" s="299"/>
      <c r="AR4" s="299"/>
      <c r="AS4" s="299"/>
      <c r="AT4" s="299"/>
      <c r="AU4" s="299"/>
      <c r="AV4" s="299"/>
      <c r="AW4" s="299"/>
      <c r="AX4" s="300"/>
      <c r="AY4" s="272" t="s">
        <v>428</v>
      </c>
      <c r="AZ4" s="273" t="s">
        <v>434</v>
      </c>
      <c r="BA4" s="16" t="s">
        <v>450</v>
      </c>
      <c r="BB4" s="16" t="s">
        <v>424</v>
      </c>
      <c r="BD4" s="16" t="s">
        <v>424</v>
      </c>
      <c r="BE4" s="16" t="s">
        <v>450</v>
      </c>
      <c r="BF4" s="298" t="s">
        <v>502</v>
      </c>
      <c r="BG4" s="299"/>
      <c r="BH4" s="299"/>
      <c r="BI4" s="299"/>
      <c r="BJ4" s="299"/>
      <c r="BK4" s="299"/>
      <c r="BL4" s="299"/>
      <c r="BM4" s="299"/>
      <c r="BN4" s="299"/>
      <c r="BO4" s="299"/>
      <c r="BP4" s="299"/>
      <c r="BQ4" s="299"/>
      <c r="BR4" s="299"/>
      <c r="BS4" s="299"/>
      <c r="BT4" s="299"/>
      <c r="BU4" s="299"/>
      <c r="BV4" s="299"/>
      <c r="BW4" s="299"/>
      <c r="BX4" s="299"/>
      <c r="BY4" s="299"/>
      <c r="BZ4" s="299"/>
      <c r="CA4" s="299"/>
      <c r="CB4" s="299"/>
      <c r="CC4" s="299"/>
      <c r="CD4" s="299"/>
      <c r="CE4" s="300"/>
      <c r="CF4" s="272" t="s">
        <v>683</v>
      </c>
      <c r="CG4" s="16" t="s">
        <v>450</v>
      </c>
      <c r="CH4" s="16" t="s">
        <v>424</v>
      </c>
    </row>
    <row r="5" spans="1:87" ht="17" x14ac:dyDescent="0.2">
      <c r="A5" s="1"/>
      <c r="B5" s="20" t="s">
        <v>6</v>
      </c>
      <c r="C5" s="20" t="s">
        <v>431</v>
      </c>
      <c r="D5" s="20" t="s">
        <v>432</v>
      </c>
      <c r="E5" s="1"/>
      <c r="F5" s="273"/>
      <c r="G5" s="7" t="s">
        <v>561</v>
      </c>
      <c r="H5" s="7" t="s">
        <v>562</v>
      </c>
      <c r="I5" s="7" t="s">
        <v>561</v>
      </c>
      <c r="J5" s="7" t="s">
        <v>562</v>
      </c>
      <c r="K5" s="16" t="s">
        <v>561</v>
      </c>
      <c r="L5" s="16" t="s">
        <v>562</v>
      </c>
      <c r="M5" s="7" t="s">
        <v>561</v>
      </c>
      <c r="N5" s="7" t="s">
        <v>562</v>
      </c>
      <c r="O5" s="67" t="s">
        <v>433</v>
      </c>
      <c r="P5" s="290"/>
      <c r="Q5" s="292"/>
      <c r="R5" s="294"/>
      <c r="S5" s="292"/>
      <c r="T5" s="288"/>
      <c r="U5" s="70" t="s">
        <v>595</v>
      </c>
      <c r="V5"/>
      <c r="W5" s="70" t="s">
        <v>440</v>
      </c>
      <c r="X5" s="67" t="s">
        <v>538</v>
      </c>
      <c r="Y5" s="61" t="str">
        <f>IF(ISBLANK(Input!$C$4),"",Input!$C$4)</f>
        <v/>
      </c>
      <c r="Z5" s="61" t="str">
        <f>IF(ISBLANK(Input!$F$4),"",Input!$F$4)</f>
        <v/>
      </c>
      <c r="AA5" s="61" t="str">
        <f>IF(ISBLANK(Input!$I$4),"",Input!$I$4)</f>
        <v/>
      </c>
      <c r="AB5" s="61" t="str">
        <f>IF(ISBLANK(Input!$L$4),"",Input!$L$4)</f>
        <v/>
      </c>
      <c r="AC5" s="61" t="str">
        <f>IF(ISBLANK(Input!$O$4),"",Input!$O$4)</f>
        <v/>
      </c>
      <c r="AD5" s="61" t="str">
        <f>IF(ISBLANK(Input!$R$4),"",Input!$R$4)</f>
        <v/>
      </c>
      <c r="AE5" s="61" t="str">
        <f>IF(ISBLANK(Input!$U$4),"",Input!$U$4)</f>
        <v>H2O</v>
      </c>
      <c r="AF5" s="61" t="str">
        <f>IF(ISBLANK(Input!$X$4),"",Input!$X$4)</f>
        <v>CO2,aq</v>
      </c>
      <c r="AG5" s="61" t="str">
        <f>IF(ISBLANK(Input!$AA$4),"",Input!$AA$4)</f>
        <v/>
      </c>
      <c r="AH5" s="61" t="str">
        <f>IF(ISBLANK(Input!$AD$4),"",Input!$AD$4)</f>
        <v/>
      </c>
      <c r="AI5" s="61" t="str">
        <f>IF(ISBLANK(Input!$AG$4),"",Input!$AG$4)</f>
        <v/>
      </c>
      <c r="AJ5" s="61" t="str">
        <f>IF(ISBLANK(Input!$AJ$4),"",Input!$AJ$4)</f>
        <v/>
      </c>
      <c r="AK5" s="61" t="str">
        <f>IF(ISBLANK(Input!$AM$4),"",Input!$AM$4)</f>
        <v/>
      </c>
      <c r="AL5" s="62" t="str">
        <f>IF(ISBLANK(Input!$AP$4),"",Input!$AP$4)</f>
        <v/>
      </c>
      <c r="AM5" s="62" t="str">
        <f>IF(ISBLANK(Input!$AS$4),"",Input!$AS$4)</f>
        <v/>
      </c>
      <c r="AN5" s="62" t="str">
        <f>IF(ISBLANK(Input!$AV$4),"",Input!$AV$4)</f>
        <v/>
      </c>
      <c r="AO5" s="62" t="str">
        <f>IF(ISBLANK(Input!$AY$4),"",Input!$AY$4)</f>
        <v/>
      </c>
      <c r="AP5" s="62" t="str">
        <f>IF(ISBLANK(Input!$BB$4),"",Input!$BB$4)</f>
        <v/>
      </c>
      <c r="AQ5" s="62" t="str">
        <f>IF(ISBLANK(Input!$BE$4),"",Input!$BE$4)</f>
        <v/>
      </c>
      <c r="AR5" s="62" t="str">
        <f>IF(ISBLANK(Input!$BH$4),"",Input!$BH$4)</f>
        <v/>
      </c>
      <c r="AS5" s="62" t="str">
        <f>IF(ISBLANK(Input!$BK$4),"",Input!$BK$4)</f>
        <v>H+</v>
      </c>
      <c r="AT5" s="62" t="str">
        <f>IF(ISBLANK(Input!$BN$4),"",Input!$BN$4)</f>
        <v>HCO3-</v>
      </c>
      <c r="AU5" s="62" t="str">
        <f>IF(ISBLANK(Input!$BQ$4),"",Input!$BQ$4)</f>
        <v/>
      </c>
      <c r="AV5" s="62" t="str">
        <f>IF(ISBLANK(Input!$BT$4),"",Input!$BT$4)</f>
        <v/>
      </c>
      <c r="AW5" s="62" t="str">
        <f>IF(ISBLANK(Input!$BW$4),"",Input!$BW$4)</f>
        <v/>
      </c>
      <c r="AX5" s="62" t="str">
        <f>IF(ISBLANK(Input!$BZ$4),"",Input!$BZ$4)</f>
        <v/>
      </c>
      <c r="AY5" s="272"/>
      <c r="AZ5" s="297"/>
      <c r="BA5" s="70" t="s">
        <v>538</v>
      </c>
      <c r="BB5" s="70" t="s">
        <v>440</v>
      </c>
      <c r="BC5" s="17"/>
      <c r="BD5" s="70" t="s">
        <v>440</v>
      </c>
      <c r="BE5" s="67" t="s">
        <v>538</v>
      </c>
      <c r="BF5" s="61" t="str">
        <f>IF(ISBLANK(Input!$C$4),"",Input!$C$4)</f>
        <v/>
      </c>
      <c r="BG5" s="61" t="str">
        <f>IF(ISBLANK(Input!$F$4),"",Input!$F$4)</f>
        <v/>
      </c>
      <c r="BH5" s="61" t="str">
        <f>IF(ISBLANK(Input!$I$4),"",Input!$I$4)</f>
        <v/>
      </c>
      <c r="BI5" s="61" t="str">
        <f>IF(ISBLANK(Input!$L$4),"",Input!$L$4)</f>
        <v/>
      </c>
      <c r="BJ5" s="61" t="str">
        <f>IF(ISBLANK(Input!$O$4),"",Input!$O$4)</f>
        <v/>
      </c>
      <c r="BK5" s="61" t="str">
        <f>IF(ISBLANK(Input!$R$4),"",Input!$R$4)</f>
        <v/>
      </c>
      <c r="BL5" s="61" t="str">
        <f>IF(ISBLANK(Input!$U$4),"",Input!$U$4)</f>
        <v>H2O</v>
      </c>
      <c r="BM5" s="61" t="str">
        <f>IF(ISBLANK(Input!$X$4),"",Input!$X$4)</f>
        <v>CO2,aq</v>
      </c>
      <c r="BN5" s="61" t="str">
        <f>IF(ISBLANK(Input!$AA$4),"",Input!$AA$4)</f>
        <v/>
      </c>
      <c r="BO5" s="61" t="str">
        <f>IF(ISBLANK(Input!$AD$4),"",Input!$AD$4)</f>
        <v/>
      </c>
      <c r="BP5" s="61" t="str">
        <f>IF(ISBLANK(Input!$AG$4),"",Input!$AG$4)</f>
        <v/>
      </c>
      <c r="BQ5" s="61" t="str">
        <f>IF(ISBLANK(Input!$AJ$4),"",Input!$AJ$4)</f>
        <v/>
      </c>
      <c r="BR5" s="61" t="str">
        <f>IF(ISBLANK(Input!$AM$4),"",Input!$AM$4)</f>
        <v/>
      </c>
      <c r="BS5" s="62" t="str">
        <f>IF(ISBLANK(Input!$AP$4),"",Input!$AP$4)</f>
        <v/>
      </c>
      <c r="BT5" s="62" t="str">
        <f>IF(ISBLANK(Input!$AS$4),"",Input!$AS$4)</f>
        <v/>
      </c>
      <c r="BU5" s="62" t="str">
        <f>IF(ISBLANK(Input!$AV$4),"",Input!$AV$4)</f>
        <v/>
      </c>
      <c r="BV5" s="62" t="str">
        <f>IF(ISBLANK(Input!$AY$4),"",Input!$AY$4)</f>
        <v/>
      </c>
      <c r="BW5" s="62" t="str">
        <f>IF(ISBLANK(Input!$BB$4),"",Input!$BB$4)</f>
        <v/>
      </c>
      <c r="BX5" s="62" t="str">
        <f>IF(ISBLANK(Input!$BE$4),"",Input!$BE$4)</f>
        <v/>
      </c>
      <c r="BY5" s="62" t="str">
        <f>IF(ISBLANK(Input!$BH$4),"",Input!$BH$4)</f>
        <v/>
      </c>
      <c r="BZ5" s="62" t="str">
        <f>IF(ISBLANK(Input!$BK$4),"",Input!$BK$4)</f>
        <v>H+</v>
      </c>
      <c r="CA5" s="62" t="str">
        <f>IF(ISBLANK(Input!$BN$4),"",Input!$BN$4)</f>
        <v>HCO3-</v>
      </c>
      <c r="CB5" s="62" t="str">
        <f>IF(ISBLANK(Input!$BQ$4),"",Input!$BQ$4)</f>
        <v/>
      </c>
      <c r="CC5" s="62" t="str">
        <f>IF(ISBLANK(Input!$BT$4),"",Input!$BT$4)</f>
        <v/>
      </c>
      <c r="CD5" s="62" t="str">
        <f>IF(ISBLANK(Input!$BW$4),"",Input!$BW$4)</f>
        <v/>
      </c>
      <c r="CE5" s="62" t="str">
        <f>IF(ISBLANK(Input!$BZ$4),"",Input!$BZ$4)</f>
        <v/>
      </c>
      <c r="CF5" s="272"/>
      <c r="CG5" s="70" t="s">
        <v>538</v>
      </c>
      <c r="CH5" s="70" t="s">
        <v>440</v>
      </c>
      <c r="CI5" s="1"/>
    </row>
    <row r="6" spans="1:87" ht="18" customHeight="1" x14ac:dyDescent="0.2">
      <c r="A6" s="1"/>
      <c r="B6" s="7" t="s">
        <v>473</v>
      </c>
      <c r="C6" s="24">
        <v>5.9029999999999999E-7</v>
      </c>
      <c r="D6" s="7" t="s">
        <v>504</v>
      </c>
      <c r="E6" s="1"/>
      <c r="F6" s="4">
        <v>1</v>
      </c>
      <c r="G6" s="25">
        <f>IF(ISBLANK(Input!CB6), "", Input!CB6*1000)</f>
        <v>2000</v>
      </c>
      <c r="H6" s="75">
        <f>IF(ISBLANK(Input!CC6), "", Input!CC6)</f>
        <v>263</v>
      </c>
      <c r="I6" s="75">
        <f>IF(Input!$CF$5 + Input!$CF$6*(FLOOR((Calculations!$F6-1)/(FLOOR((Input!$CF$12-Input!$CF$10)/Input!$CF$11,1)+1),1)) &gt; Input!$CF$7, "", (Input!$CF$5 + Input!$CF$6*(FLOOR((Calculations!$F6-1)/(FLOOR((Input!$CF$12-Input!$CF$10)/Input!$CF$11,1)+1),1)))*1000)</f>
        <v>5000</v>
      </c>
      <c r="J6" s="75">
        <f>IF(Calculations!I6 = "", "", Input!$CF$10 + Input!$CF$11*(Calculations!$F6-1) - (FLOOR((Input!$CF$12-Input!$CF$10)/Input!$CF$11,1)+1)*Input!$CF$11*FLOOR((Calculations!$F6-1)/(FLOOR((Input!$CF$12-Input!$CF$10)/Input!$CF$11,1)+1),1))</f>
        <v>300</v>
      </c>
      <c r="K6" s="32">
        <f>IF(L6 = "", "", IF(L6&lt;100, 1, 2.1650906415E-11*L6^5 + 0.0008467019353*L6^2 - 0.17973651666*L6 + 10.7768850763807))</f>
        <v>1</v>
      </c>
      <c r="L6" s="75">
        <f>IF(OR(Input!$CJ$5 + Input!$CJ$6*(Calculations!F6-1) &gt; Input!$CJ$7, Input!$CJ$5 + Input!$CJ$6*(Calculations!F6-1) &gt; 350), "", Input!$CJ$5 + Input!$CJ$6*(Calculations!F6-1))</f>
        <v>0</v>
      </c>
      <c r="M6" s="25">
        <f>CHOOSE($D$19,$G6,$I6,K6)</f>
        <v>5000</v>
      </c>
      <c r="N6" s="1">
        <f>CHOOSE($D$19,$H6,$J6,L6)</f>
        <v>300</v>
      </c>
      <c r="O6" s="25">
        <f>N6+273.15</f>
        <v>573.15</v>
      </c>
      <c r="P6" s="25" t="e">
        <f>IF(OR($D$20=3,AND($D$21=TRUE,M6&lt;1000)),INDEX('Water Density'!$C$6:$CX$120,MATCH(Calculations!N6,'Water Density'!$B$6:$B$120),MATCH(Calculations!M6/1000,'Water Density'!$C$5:$CX$5)),NA())</f>
        <v>#N/A</v>
      </c>
      <c r="Q6" s="181">
        <f>IF(OR($D$20=3,AND($D$21=TRUE,M6&lt;1000)), IF(P6&lt;&gt;0,P6,NA()), calculateDensity(M6,N6,$D$20,0.01,$D$19 = 3))</f>
        <v>0.99332279633283627</v>
      </c>
      <c r="R6" s="25" t="e">
        <f>IF($D$22=5,INDEX('Dielectric Constant'!$C$6:$CX$120,MATCH(Calculations!N6,'Dielectric Constant'!$B$6:$B$120),MATCH(Calculations!M6/1000,'Dielectric Constant'!$C$5:$CX$5)),NA())</f>
        <v>#N/A</v>
      </c>
      <c r="S6" s="57">
        <f>IF($D$22=5, IF(R6&lt;&gt;0,R6,NA()), IF(AND($D$23,M6&lt;=5000,$D$19 &lt;&gt; 3),calculateEpsilon(Q6,N6,1,FALSE),calculateEpsilon(Q6,N6,$D$22,$D$19 = 3)))</f>
        <v>33.917529139538075</v>
      </c>
      <c r="T6" s="25" t="e">
        <f>IF($D$24=3,INDEX('Water Free Energy'!$C$6:$CX$120,MATCH(Calculations!N6,'Water Free Energy'!$B$6:$B$120),MATCH(Calculations!M6/1000,'Water Free Energy'!$C$5:$CX$5)),NA())</f>
        <v>#N/A</v>
      </c>
      <c r="U6" s="178">
        <f>IF($D$27,calculateQ(M6,N6,Q6,$D$20,$D$22,$D$19=3)*10^6,NA())</f>
        <v>0.92155127313766649</v>
      </c>
      <c r="V6"/>
      <c r="W6" s="4">
        <f>$M6</f>
        <v>5000</v>
      </c>
      <c r="X6" s="1">
        <f>$N6</f>
        <v>300</v>
      </c>
      <c r="Y6" s="25">
        <f>Results!F8</f>
        <v>0</v>
      </c>
      <c r="Z6" s="25">
        <f>Results!G8</f>
        <v>0</v>
      </c>
      <c r="AA6" s="25">
        <f>Results!H8</f>
        <v>0</v>
      </c>
      <c r="AB6" s="25">
        <f>Results!I8</f>
        <v>0</v>
      </c>
      <c r="AC6" s="25" t="e">
        <f>IF(ISBLANK(Input!$O$4),NA(),'Reaction Information'!$E$5-'Reaction Information'!$G$5*(Calculations!$O6-Calculations!$C$8)+'Reaction Information'!$I$5*(Calculations!$O6-Calculations!$C$8-Calculations!$O6*LN(Calculations!$O6/Calculations!$C$8))+'Reaction Information'!$J$5*0.001/2*(2*Calculations!$O6*Calculations!$C$8-Calculations!$O6^2-Calculations!$C$8^2) + 'Reaction Information'!$K$5*100000*(Calculations!$O6^2 + Calculations!$C$8^2 - 2*Calculations!$O6*Calculations!$C$8)/(2*Calculations!$O6*Calculations!$C$8^2))</f>
        <v>#N/A</v>
      </c>
      <c r="AD6" s="32" t="e">
        <f>IF(ISBLANK(Input!$R$4),NA(),'Reaction Information'!$E$9-'Reaction Information'!$G$9*(Calculations!$O6-Calculations!$C$8)+'Reaction Information'!$I$9*(Calculations!$O6-Calculations!$C$8-Calculations!$O6*LN(Calculations!$O6/Calculations!$C$8))+'Reaction Information'!$J$9*0.001/2*(2*Calculations!$O6*Calculations!$C$8-Calculations!$O6^2-Calculations!$C$8^2) + 'Reaction Information'!$K$9*100000*(Calculations!$O6^2 + Calculations!$C$8^2 - 2*Calculations!$O6*Calculations!$C$8)/(2*Calculations!$O6*Calculations!$C$8^2))</f>
        <v>#N/A</v>
      </c>
      <c r="AE6" s="32">
        <f>IF(AE$5="H2O",IF($D$24=3,IF(T6=0,NA(),T6),calculateGibbsOfWater(M6,N6,$D$24,$D$20,$D$19 = 3)),NA())</f>
        <v>-60673.641695168939</v>
      </c>
      <c r="AF6" s="32">
        <f>IF(ISBLANK(Input!$X$4),NA(),'Reaction Information'!$E$13-'Reaction Information'!$G$13*(Calculations!O6-Calculations!$C$8)-'Reaction Information'!$N$13*(Calculations!O6*LN(Calculations!O6/Calculations!$C$8)-Calculations!O6+Calculations!$C$8)-'Reaction Information'!$O$13*10^4*(((1/(Calculations!O6-Calculations!$C$13))-(1/(Calculations!$C$8-Calculations!$C$13)))*((Calculations!$C$13-Calculations!O6)/(Calculations!$C$13))-(Calculations!O6/(Calculations!$C$13*Calculations!$C$13))*LN((Calculations!$C$8*(Calculations!O6-Calculations!$C$13))/(Calculations!O6*(Calculations!$C$8-Calculations!$C$13))))+'Reaction Information'!$J$13*10^-1*(Calculations!M6-Calculations!$C$9)+'Reaction Information'!$K$13*10^2*LN((Calculations!$C$12+Calculations!M6)/(Calculations!$C$12+Calculations!$C$9))+(1/(Calculations!O6-Calculations!$C$13))*('Reaction Information'!$L$13*(Calculations!M6-Calculations!$C$9)+'Reaction Information'!$M$13*10^4*LN((Calculations!$C$12+Calculations!M6)/(Calculations!$C$12+Calculations!$C$9)))+calculateOmega(Calculations!M6,Calculations!N6,Calculations!Q6,'Reaction Information'!$C$13,'Reaction Information'!$P$13*10^5,'Reaction Information'!$Q$13)*((1/Calculations!S6)-1)-'Reaction Information'!$P$13*10^5*((1/Calculations!$C$10)-1)+'Reaction Information'!$P$13*10^5*Calculations!$C$14*(Calculations!O6-Calculations!$C$8))</f>
        <v>-99318.170365635422</v>
      </c>
      <c r="AG6" s="32" t="e">
        <f>IF(ISBLANK(Input!$AA$4),NA(),'Reaction Information'!$E$17-'Reaction Information'!$G$17*(Calculations!$O6-Calculations!$C$8)-'Reaction Information'!$N$17*(Calculations!$O6*LN(Calculations!$O6/Calculations!$C$8)-Calculations!$O6+Calculations!$C$8)-'Reaction Information'!$O$17*10^4*(((1/(Calculations!$O6-Calculations!$C$13))-(1/(Calculations!$C$8-Calculations!$C$13)))*((Calculations!$C$13-Calculations!$O6)/(Calculations!$C$13))-(Calculations!$O6/(Calculations!$C$13*Calculations!$C$13))*LN((Calculations!$C$8*(Calculations!$O6-Calculations!$C$13))/(Calculations!$O6*(Calculations!$C$8-Calculations!$C$13))))+'Reaction Information'!$J$17*10^-1*(Calculations!$M6-Calculations!$C$9)+'Reaction Information'!$K$17*10^2*LN((Calculations!$C$12+Calculations!$M6)/(Calculations!$C$12+Calculations!$C$9))+(1/(Calculations!$O6-Calculations!$C$13))*('Reaction Information'!$L$17*(Calculations!$M6-Calculations!$C$9)+'Reaction Information'!$M$17*10^4*LN((Calculations!$C$12+Calculations!$M6)/(Calculations!$C$12+Calculations!$C$9)))+calculateOmega(Calculations!M6,Calculations!N6,Calculations!Q6,'Reaction Information'!$C$17,'Reaction Information'!$P$17*10^5,'Reaction Information'!$Q$17)*((1/Calculations!$S6)-1)-'Reaction Information'!$P$17*10^5*((1/Calculations!$C$10)-1)+'Reaction Information'!$P$17*10^5*Calculations!$C$14*(Calculations!$O6-Calculations!$C$8))</f>
        <v>#N/A</v>
      </c>
      <c r="AH6" s="32" t="e">
        <f>IF(ISBLANK(Input!$AD$4),NA(),'Reaction Information'!$E$21-'Reaction Information'!$G$21*(Calculations!$O6-Calculations!$C$8)-'Reaction Information'!$N$21*(Calculations!$O6*LN(Calculations!$O6/Calculations!$C$8)-Calculations!$O6+Calculations!$C$8)-'Reaction Information'!$O$21*10^4*(((1/(Calculations!$O6-Calculations!$C$13))-(1/(Calculations!$C$8-Calculations!$C$13)))*((Calculations!$C$13-Calculations!$O6)/(Calculations!$C$13))-(Calculations!$O6/(Calculations!$C$13*Calculations!$C$13))*LN((Calculations!$C$8*(Calculations!$O6-Calculations!$C$13))/(Calculations!$O6*(Calculations!$C$8-Calculations!$C$13))))+'Reaction Information'!$J$21*10^-1*(Calculations!$M6-Calculations!$C$9)+'Reaction Information'!$K$21*10^2*LN((Calculations!$C$12+Calculations!$M6)/(Calculations!$C$12+Calculations!$C$9))+(1/(Calculations!$O6-Calculations!$C$13))*('Reaction Information'!$L$21*(Calculations!$M6-Calculations!$C$9)+'Reaction Information'!$M$21*10^4*LN((Calculations!$C$12+Calculations!$M6)/(Calculations!$C$12+Calculations!$C$9)))+calculateOmega(Calculations!M6,Calculations!N6,Calculations!Q6,'Reaction Information'!$C$21,'Reaction Information'!$P$21*10^5,'Reaction Information'!$Q$21)*((1/Calculations!$S6)-1)-'Reaction Information'!$P$21*10^5*((1/Calculations!$C$10)-1)+'Reaction Information'!$P$21*10^5*Calculations!$C$14*(Calculations!$O6-Calculations!$C$8))</f>
        <v>#N/A</v>
      </c>
      <c r="AI6" s="32" t="e">
        <f>IF(ISBLANK(Input!$AG$4),NA(),'Reaction Information'!$E$25-'Reaction Information'!$G$25*(Calculations!$O6-Calculations!$C$8)-'Reaction Information'!$N$25*(Calculations!$O6*LN(Calculations!$O6/Calculations!$C$8)-Calculations!$O6+Calculations!$C$8)-'Reaction Information'!$O$25*10^4*(((1/(Calculations!$O6-Calculations!$C$13))-(1/(Calculations!$C$8-Calculations!$C$13)))*((Calculations!$C$13-Calculations!$O6)/(Calculations!$C$13))-(Calculations!$O6/(Calculations!$C$13*Calculations!$C$13))*LN((Calculations!$C$8*(Calculations!$O6-Calculations!$C$13))/(Calculations!$O6*(Calculations!$C$8-Calculations!$C$13))))+'Reaction Information'!$J$25*10^-1*(Calculations!$M6-Calculations!$C$9)+'Reaction Information'!$K$25*10^2*LN((Calculations!$C$12+Calculations!$M6)/(Calculations!$C$12+Calculations!$C$9))+(1/(Calculations!$O6-Calculations!$C$13))*('Reaction Information'!$L$25*(Calculations!$M6-Calculations!$C$9)+'Reaction Information'!$M$25*10^4*LN((Calculations!$C$12+Calculations!$M6)/(Calculations!$C$12+Calculations!$C$9)))+calculateOmega(Calculations!M6,Calculations!N6,Calculations!Q6,'Reaction Information'!$C$25,'Reaction Information'!$P$25*10^5,'Reaction Information'!$Q$25)*((1/Calculations!$S6)-1)-'Reaction Information'!$P$25*10^5*((1/Calculations!$C$10)-1)+'Reaction Information'!$P$25*10^5*Calculations!$C$14*(Calculations!$O6-Calculations!$C$8))</f>
        <v>#N/A</v>
      </c>
      <c r="AJ6" s="32" t="e">
        <f>IF(ISBLANK(Input!$AJ$4),NA(),'Reaction Information'!$E$29-'Reaction Information'!$G$29*(Calculations!$O6-Calculations!$C$8)-'Reaction Information'!$N$29*(Calculations!$O6*LN(Calculations!$O6/Calculations!$C$8)-Calculations!$O6+Calculations!$C$8)-'Reaction Information'!$O$29*10^4*(((1/(Calculations!$O6-Calculations!$C$13))-(1/(Calculations!$C$8-Calculations!$C$13)))*((Calculations!$C$13-Calculations!$O6)/(Calculations!$C$13))-(Calculations!$O6/(Calculations!$C$13*Calculations!$C$13))*LN((Calculations!$C$8*(Calculations!$O6-Calculations!$C$13))/(Calculations!$O6*(Calculations!$C$8-Calculations!$C$13))))+'Reaction Information'!$J$29*10^-1*(Calculations!$M6-Calculations!$C$9)+'Reaction Information'!$K$29*10^2*LN((Calculations!$C$12+Calculations!$M6)/(Calculations!$C$12+Calculations!$C$9))+(1/(Calculations!$O6-Calculations!$C$13))*('Reaction Information'!$L$29*(Calculations!$M6-Calculations!$C$9)+'Reaction Information'!$M$29*10^4*LN((Calculations!$C$12+Calculations!$M6)/(Calculations!$C$12+Calculations!$C$9)))+calculateOmega(Calculations!M6,Calculations!N6,Calculations!Q6,'Reaction Information'!$C$29,'Reaction Information'!$P$29*10^5,'Reaction Information'!$Q$29)*((1/Calculations!$S6)-1)-'Reaction Information'!$P$29*10^5*((1/Calculations!$C$10)-1)+'Reaction Information'!$P$29*10^5*Calculations!$C$14*(Calculations!$O6-Calculations!$C$8))</f>
        <v>#N/A</v>
      </c>
      <c r="AK6" s="32" t="e">
        <f>IF(ISBLANK(Input!$AM$4),NA(),'Reaction Information'!$E$33-'Reaction Information'!$G$33*(Calculations!$O6-Calculations!$C$8)-'Reaction Information'!$N$33*(Calculations!$O6*LN(Calculations!$O6/Calculations!$C$8)-Calculations!$O6+Calculations!$C$8)-'Reaction Information'!$O$33*10^4*(((1/(Calculations!$O6-Calculations!$C$13))-(1/(Calculations!$C$8-Calculations!$C$13)))*((Calculations!$C$13-Calculations!$O6)/(Calculations!$C$13))-(Calculations!$O6/(Calculations!$C$13*Calculations!$C$13))*LN((Calculations!$C$8*(Calculations!$O6-Calculations!$C$13))/(Calculations!$O6*(Calculations!$C$8-Calculations!$C$13))))+'Reaction Information'!$J$33*10^-1*(Calculations!$M6-Calculations!$C$9)+'Reaction Information'!$K$33*10^2*LN((Calculations!$C$12+Calculations!$M6)/(Calculations!$C$12+Calculations!$C$9))+(1/(Calculations!$O6-Calculations!$C$13))*('Reaction Information'!$L$33*(Calculations!$M6-Calculations!$C$9)+'Reaction Information'!$M$33*10^4*LN((Calculations!$C$12+Calculations!$M6)/(Calculations!$C$12+Calculations!$C$9)))+calculateOmega(Calculations!M6,Calculations!N6,Calculations!Q6,'Reaction Information'!$C$33,'Reaction Information'!$P$33*10^5,'Reaction Information'!$Q$33)*((1/Calculations!$S6)-1)-'Reaction Information'!$P$33*10^5*((1/Calculations!$C$10)-1)+'Reaction Information'!$P$33*10^5*Calculations!$C$14*(Calculations!$O6-Calculations!$C$8))</f>
        <v>#N/A</v>
      </c>
      <c r="AL6" s="25">
        <f>Results!S8</f>
        <v>0</v>
      </c>
      <c r="AM6" s="25">
        <f>Results!T8</f>
        <v>0</v>
      </c>
      <c r="AN6" s="25">
        <f>Results!U8</f>
        <v>0</v>
      </c>
      <c r="AO6" s="25">
        <f>Results!V8</f>
        <v>0</v>
      </c>
      <c r="AP6" s="32" t="e">
        <f>IF(ISBLANK(Input!$BB$4),NA(),'Reaction Information'!$E$38-'Reaction Information'!$G$38*(Calculations!$O6-Calculations!$C$8)+'Reaction Information'!$I$38*(Calculations!$O6-Calculations!$C$8-Calculations!$O6*LN(Calculations!$O6/Calculations!$C$8))+'Reaction Information'!$J$38*0.001/2*(2*Calculations!$O6*Calculations!$C$8-Calculations!$O6^2-Calculations!$C$8^2) + 'Reaction Information'!$K$38*100000*(Calculations!$O6^2 + Calculations!$C$8^2 - 2*Calculations!$O6*Calculations!$C$8)/(2*Calculations!$O6*Calculations!$C$8^2))</f>
        <v>#N/A</v>
      </c>
      <c r="AQ6" s="32" t="e">
        <f>IF(ISBLANK(Input!$BE$4),NA(),'Reaction Information'!$E$42-'Reaction Information'!$G$42*(Calculations!$O6-Calculations!$C$8)+'Reaction Information'!$I$42*(Calculations!$O6-Calculations!$C$8-Calculations!$O6*LN(Calculations!$O6/Calculations!$C$8))+'Reaction Information'!$J$42*0.001/2*(2*Calculations!$O6*Calculations!$C$8-Calculations!$O6^2-Calculations!$C$8^2) + 'Reaction Information'!$K$42*100000*(Calculations!$O6^2 + Calculations!$C$8^2 - 2*Calculations!$O6*Calculations!$C$8)/(2*Calculations!$O6*Calculations!$C$8^2))</f>
        <v>#N/A</v>
      </c>
      <c r="AR6" s="32" t="e">
        <f>IF(AR$5="H2O", IF($D$24=3,IF(T6=0,NA(),T6),calculateGibbsOfWater(M6,N6,$D$24,$D$20,$D$19=3)),NA())</f>
        <v>#N/A</v>
      </c>
      <c r="AS6" s="32">
        <f>IF(ISBLANK(Input!$BK$4),NA(),'Reaction Information'!$E$46-'Reaction Information'!$G$46*(Calculations!O6-Calculations!$C$8)-'Reaction Information'!$N$46*(Calculations!O6*LN(Calculations!O6/Calculations!$C$8)-Calculations!O6+Calculations!$C$8)-'Reaction Information'!$O$46*10^4*(((1/(Calculations!O6-Calculations!$C$13))-(1/(Calculations!$C$8-Calculations!$C$13)))*((Calculations!$C$13-Calculations!O6)/(Calculations!$C$13))-(Calculations!O6/(Calculations!$C$13*Calculations!$C$13))*LN((Calculations!$C$8*(Calculations!O6-Calculations!$C$13))/(Calculations!O6*(Calculations!$C$8-Calculations!$C$13))))+'Reaction Information'!$J$46*10^-1*(Calculations!$M6-Calculations!$C$9)+'Reaction Information'!$K$46*10^2*LN((Calculations!$C$12+Calculations!$M6)/(Calculations!$C$12+Calculations!$C$9))+(1/(Calculations!O6-Calculations!$C$13))*('Reaction Information'!$L$46*(Calculations!$M6-Calculations!$C$9)+'Reaction Information'!$M$46*10^4*LN((Calculations!$C$12+Calculations!$M6)/(Calculations!$C$12+Calculations!$C$9)))+calculateOmega(Calculations!M6,Calculations!N6,Calculations!Q6,'Reaction Information'!$C$46,'Reaction Information'!$P$46*10^5,'Reaction Information'!$Q$46)*((1/Calculations!S6)-1)-'Reaction Information'!$P$46*10^5*((1/Calculations!$C$10)-1)+'Reaction Information'!$P$46*10^5*Calculations!$C$14*(Calculations!O6-Calculations!$C$8))</f>
        <v>0</v>
      </c>
      <c r="AT6" s="32">
        <f>IF(ISBLANK(Input!$BN$4),NA(),'Reaction Information'!$E$50-'Reaction Information'!$G$50*(Calculations!O6-Calculations!$C$8)-'Reaction Information'!$N$50*(Calculations!O6*LN(Calculations!O6/Calculations!$C$8)-Calculations!O6+Calculations!$C$8)-'Reaction Information'!$O$50*10^4*(((1/(Calculations!O6-Calculations!$C$13))-(1/(Calculations!$C$8-Calculations!$C$13)))*((Calculations!$C$13-Calculations!O6)/(Calculations!$C$13))-(Calculations!O6/(Calculations!$C$13*Calculations!$C$13))*LN((Calculations!$C$8*(Calculations!O6-Calculations!$C$13))/(Calculations!O6*(Calculations!$C$8-Calculations!$C$13))))+'Reaction Information'!$J$50*10^-1*(Calculations!$M6-Calculations!$C$9)+'Reaction Information'!$K$50*10^2*LN((Calculations!$C$12+Calculations!$M6)/(Calculations!$C$12+Calculations!$C$9))+(1/(Calculations!O6-Calculations!$C$13))*('Reaction Information'!$L$50*(Calculations!$M6-Calculations!$C$9)+'Reaction Information'!$M$50*10^4*LN((Calculations!$C$12+Calculations!$M6)/(Calculations!$C$12+Calculations!$C$9)))+calculateOmega(Calculations!M6,Calculations!N6,Calculations!Q6,'Reaction Information'!$C$50,'Reaction Information'!$P$50*10^5,'Reaction Information'!$Q$50)*((1/Calculations!S6)-1)-'Reaction Information'!$P$50*10^5*((1/Calculations!$C$10)-1)+'Reaction Information'!$P$50*10^5*Calculations!$C$14*(Calculations!O6-Calculations!$C$8))</f>
        <v>-143643.5688283038</v>
      </c>
      <c r="AU6" s="32" t="e">
        <f>IF(ISBLANK(Input!$BQ$4),NA(),'Reaction Information'!$E$54-'Reaction Information'!$G$54*(Calculations!$O6-Calculations!$C$8)-'Reaction Information'!$N$54*(Calculations!$O6*LN(Calculations!$O6/Calculations!$C$8)-Calculations!$O6+Calculations!$C$8)-'Reaction Information'!$O$54*10^4*(((1/(Calculations!$O6-Calculations!$C$13))-(1/(Calculations!$C$8-Calculations!$C$13)))*((Calculations!$C$13-Calculations!$O6)/(Calculations!$C$13))-(Calculations!$O6/(Calculations!$C$13*Calculations!$C$13))*LN((Calculations!$C$8*(Calculations!$O6-Calculations!$C$13))/(Calculations!$O6*(Calculations!$C$8-Calculations!$C$13))))+'Reaction Information'!$J$54*10^-1*(Calculations!$M6-Calculations!$C$9)+'Reaction Information'!$K$54*10^2*LN((Calculations!$C$12+Calculations!$M6)/(Calculations!$C$12+Calculations!$C$9))+(1/(Calculations!$O6-Calculations!$C$13))*('Reaction Information'!$L$54*(Calculations!$M6-Calculations!$C$9)+'Reaction Information'!$M$54*10^4*LN((Calculations!$C$12+Calculations!$M6)/(Calculations!$C$12+Calculations!$C$9)))+calculateOmega(Calculations!M6,Calculations!N6,Calculations!Q6,'Reaction Information'!$C$54,'Reaction Information'!$P$54*10^5,'Reaction Information'!$Q$54)*((1/Calculations!$S6)-1)-'Reaction Information'!$P$54*10^5*((1/Calculations!$C$10)-1)+'Reaction Information'!$P$54*10^5*Calculations!$C$14*(Calculations!$O6-Calculations!$C$8))</f>
        <v>#N/A</v>
      </c>
      <c r="AV6" s="32" t="e">
        <f>IF(ISBLANK(Input!$BT$4),NA(),'Reaction Information'!$E$58-'Reaction Information'!$G$58*(Calculations!$O6-Calculations!$C$8)-'Reaction Information'!$N$58*(Calculations!$O6*LN(Calculations!$O6/Calculations!$C$8)-Calculations!$O6+Calculations!$C$8)-'Reaction Information'!$O$58*10^4*(((1/(Calculations!$O6-Calculations!$C$13))-(1/(Calculations!$C$8-Calculations!$C$13)))*((Calculations!$C$13-Calculations!$O6)/(Calculations!$C$13))-(Calculations!$O6/(Calculations!$C$13*Calculations!$C$13))*LN((Calculations!$C$8*(Calculations!$O6-Calculations!$C$13))/(Calculations!$O6*(Calculations!$C$8-Calculations!$C$13))))+'Reaction Information'!$J$58*10^-1*(Calculations!$M6-Calculations!$C$9)+'Reaction Information'!$K$58*10^2*LN((Calculations!$C$12+Calculations!$M6)/(Calculations!$C$12+Calculations!$C$9))+(1/(Calculations!$O6-Calculations!$C$13))*('Reaction Information'!$L$58*(Calculations!$M6-Calculations!$C$9)+'Reaction Information'!$M$58*10^4*LN((Calculations!$C$12+Calculations!$M6)/(Calculations!$C$12+Calculations!$C$9)))+calculateOmega(Calculations!M6,Calculations!N6,Calculations!Q6,'Reaction Information'!$C$58,'Reaction Information'!$P$58*10^5,'Reaction Information'!$Q$58)*((1/Calculations!$S6)-1)-'Reaction Information'!$P$58*10^5*((1/Calculations!$C$10)-1)+'Reaction Information'!$P$58*10^5*Calculations!$C$14*(Calculations!$O6-Calculations!$C$8))</f>
        <v>#N/A</v>
      </c>
      <c r="AW6" s="32" t="e">
        <f>IF(ISBLANK(Input!$BW$4),NA(),'Reaction Information'!$E$62-'Reaction Information'!$G$62*(Calculations!$O6-Calculations!$C$8)-'Reaction Information'!$N$62*(Calculations!$O6*LN(Calculations!$O6/Calculations!$C$8)-Calculations!$O6+Calculations!$C$8)-'Reaction Information'!$O$62*10^4*(((1/(Calculations!$O6-Calculations!$C$13))-(1/(Calculations!$C$8-Calculations!$C$13)))*((Calculations!$C$13-Calculations!$O6)/(Calculations!$C$13))-(Calculations!$O6/(Calculations!$C$13*Calculations!$C$13))*LN((Calculations!$C$8*(Calculations!$O6-Calculations!$C$13))/(Calculations!$O6*(Calculations!$C$8-Calculations!$C$13))))+'Reaction Information'!$J$62*10^-1*(Calculations!$M6-Calculations!$C$9)+'Reaction Information'!$K$62*10^2*LN((Calculations!$C$12+Calculations!$M6)/(Calculations!$C$12+Calculations!$C$9))+(1/(Calculations!$O6-Calculations!$C$13))*('Reaction Information'!$L$62*(Calculations!$M6-Calculations!$C$9)+'Reaction Information'!$M$62*10^4*LN((Calculations!$C$12+Calculations!$M6)/(Calculations!$C$12+Calculations!$C$9)))+calculateOmega(Calculations!M6,Calculations!N6,Calculations!Q6,'Reaction Information'!$C$62,'Reaction Information'!$P$62*10^5,'Reaction Information'!$Q$62)*((1/Calculations!$S6)-1)-'Reaction Information'!$P$62*10^5*((1/Calculations!$C$10)-1)+'Reaction Information'!$P$62*10^5*Calculations!$C$14*(Calculations!$O6-Calculations!$C$8))</f>
        <v>#N/A</v>
      </c>
      <c r="AX6" s="32" t="e">
        <f>IF(ISBLANK(Input!$BZ$4),NA(),'Reaction Information'!$E$66-'Reaction Information'!$G$66*(Calculations!$O6-Calculations!$C$8)-'Reaction Information'!$N$66*(Calculations!$O6*LN(Calculations!$O6/Calculations!$C$8)-Calculations!$O6+Calculations!$C$8)-'Reaction Information'!$O$66*10^4*(((1/(Calculations!$O6-Calculations!$C$13))-(1/(Calculations!$C$8-Calculations!$C$13)))*((Calculations!$C$13-Calculations!$O6)/(Calculations!$C$13))-(Calculations!$O6/(Calculations!$C$13*Calculations!$C$13))*LN((Calculations!$C$8*(Calculations!$O6-Calculations!$C$13))/(Calculations!$O6*(Calculations!$C$8-Calculations!$C$13))))+'Reaction Information'!$J$66*10^-1*(Calculations!$M6-Calculations!$C$9)+'Reaction Information'!$K$66*10^2*LN((Calculations!$C$12+Calculations!$M6)/(Calculations!$C$12+Calculations!$C$9))+(1/(Calculations!$O6-Calculations!$C$13))*('Reaction Information'!$L$66*(Calculations!$M6-Calculations!$C$9)+'Reaction Information'!$M$66*10^4*LN((Calculations!$C$12+Calculations!$M6)/(Calculations!$C$12+Calculations!$C$9)))+calculateOmega(Calculations!M6,Calculations!N6,Calculations!Q6,'Reaction Information'!$C$66,'Reaction Information'!$P$66*10^5,'Reaction Information'!$Q$66)*((1/Calculations!$S6)-1)-'Reaction Information'!$P$66*10^5*((1/Calculations!$C$10)-1)+'Reaction Information'!$P$66*10^5*Calculations!$C$14*(Calculations!$O6-Calculations!$C$8))</f>
        <v>#N/A</v>
      </c>
      <c r="AY6" s="31">
        <f>(AL6*Input!$AO$4+AM6*Input!$AR$4+AN6*Input!$AU$4+AO6*Input!$AX$4+IF(ISNA(AP6),0,AP6*Input!$BA$4)+IF(ISNA(AQ6),0,AQ6*Input!$BD$4)+IF(ISNA(AR6),0,AR6*Input!$BG$4)+IF(ISNA(AS6),0,AS6*Input!$BJ$4)+IF(ISNA(AT6),0,AT6*Input!$BM$4)+IF(ISNA(AU6),0,AU6*Input!$BP$4)+IF(ISNA(AV6),0,AV6*Input!$BS$4)+IF(ISNA(AW6),0,AW6*Input!$BV$4)+IF(ISNA(AX6),0,AX6*Input!$BY$4))-(Y6*Input!$B$4+Z6*Input!$E$4+AA6*Input!$H$4+AB6*Input!$K$4+IF(ISNA(AC6),0,AC6*Input!$N$4)+IF(ISNA(AD6),0,AD6*Input!$Q$4)+IF(ISNA(AE6),0,AE6*Input!$T$4)+IF(ISNA(AF6),0,AF6*Input!$W$4)+IF(ISNA(AG6),0,AG6*Input!$Z$4)+IF(ISNA(AH6),0,AH6*Input!$AC$4)+IF(ISNA(AI6),0,AI6*Input!$AF$4)+IF(ISNA(AJ6),0,AJ6*Input!$AI$4)+IF(ISNA(AK6),0,AK6*Input!$AL$4))</f>
        <v>16348.243232500565</v>
      </c>
      <c r="AZ6" s="60">
        <f>-AY6/(2.302585*O6*$C$11)</f>
        <v>-6.237846269148104</v>
      </c>
      <c r="BA6" s="25">
        <f>$N6</f>
        <v>300</v>
      </c>
      <c r="BB6" s="45">
        <f>$M6</f>
        <v>5000</v>
      </c>
      <c r="BC6" s="1"/>
      <c r="BD6" s="4">
        <f>$M6</f>
        <v>5000</v>
      </c>
      <c r="BE6" s="45">
        <f>$N6</f>
        <v>300</v>
      </c>
      <c r="BF6" s="25">
        <f>Results!AJ8</f>
        <v>0</v>
      </c>
      <c r="BG6" s="25">
        <f>Results!AK8</f>
        <v>0</v>
      </c>
      <c r="BH6" s="25">
        <f>Results!AL8</f>
        <v>0</v>
      </c>
      <c r="BI6" s="25">
        <f>Results!AM8</f>
        <v>0</v>
      </c>
      <c r="BJ6" s="25" t="e">
        <f>IF(OR(ISNA('Reaction Information'!$D$5), $N6 = "", $D$27 = FALSE, 'Reaction Information'!$D$5 = ""), NA(), 24.465)</f>
        <v>#N/A</v>
      </c>
      <c r="BK6" s="25" t="e">
        <f>IF(OR(ISNA('Reaction Information'!$D$9), $N6 = "", $D$27 = FALSE, 'Reaction Information'!$D$9 = ""), NA(), 24.465)</f>
        <v>#N/A</v>
      </c>
      <c r="BL6" s="32">
        <f t="shared" ref="BL6:BL37" si="0">IF(AND(BL$5="H2O",$D$27),18.01528/$Q6,NA())</f>
        <v>18.13638030508217</v>
      </c>
      <c r="BM6" s="32">
        <f>IF(OR(ISBLANK(Input!$X$4),$D$27=FALSE),NA(),('Reaction Information'!$J$13/10+'Reaction Information'!$K$13*100/(Calculations!$C$12+Calculations!$M6)+('Reaction Information'!$L$13+'Reaction Information'!$M$13*10^4/(Calculations!$C$12+Calculations!$M6))/(Calculations!$O6-Calculations!$C$13) -calculateOmega(Calculations!$M6,Calculations!$N6,Calculations!$Q6,'Reaction Information'!$C$13,'Reaction Information'!$P$13*10^5,'Reaction Information'!$Q$13)*Calculations!$U6*10^-6 + (1/$S6 - 1)*calculate_domegadP(Calculations!$M6,Calculations!$N6,Calculations!$Q6,'Reaction Information'!$C$13,'Reaction Information'!$P$13*10^5,'Reaction Information'!$Q$13,$D$20,$D$19=3))*41.84)</f>
        <v>33.398680639839739</v>
      </c>
      <c r="BN6" s="32" t="e">
        <f>IF(OR(ISBLANK(Input!$AA$4),$D$27=FALSE),NA(),('Reaction Information'!$J$17/10+'Reaction Information'!$K$17*100/(Calculations!$C$12+Calculations!$M6)+('Reaction Information'!$L$17+'Reaction Information'!$M$17*10000/(Calculations!$C$12+Calculations!$M6))/(Calculations!$O6-Calculations!$C$13)-calculateOmega(Calculations!M6,Calculations!N6,Calculations!Q6,'Reaction Information'!$C$17,'Reaction Information'!$P$17*10^5,'Reaction Information'!$Q$17)*Calculations!$U6*10^-6 + (1/$S6 - 1)*calculate_domegadP(Calculations!M6,Calculations!N6,Calculations!Q6,'Reaction Information'!$C$17,'Reaction Information'!$P$17*10^5,'Reaction Information'!$Q$17,$D$20,$D$19=3))*41.84)</f>
        <v>#N/A</v>
      </c>
      <c r="BO6" s="32" t="e">
        <f>IF(OR(ISBLANK(Input!$AD$4),$D$27=FALSE),NA(),('Reaction Information'!$J$21/10+'Reaction Information'!$K$21*100/(Calculations!$C$12+Calculations!$M6)+('Reaction Information'!$L$21+'Reaction Information'!$M$21*10000/(Calculations!$C$12+Calculations!$M6))/(Calculations!$O6-Calculations!$C$13)-calculateOmega(Calculations!M6,Calculations!N6,Calculations!Q6,'Reaction Information'!$C$21,'Reaction Information'!$P$21*10^5,'Reaction Information'!$Q$21)*Calculations!$U6*10^-6 + (1/$S6 - 1)*calculate_domegadP(Calculations!M6,Calculations!N6,Calculations!Q6,'Reaction Information'!$C$21,'Reaction Information'!$P$21*10^5,'Reaction Information'!$Q$21,$D$20,$D$19=3))*41.84)</f>
        <v>#N/A</v>
      </c>
      <c r="BP6" s="32" t="e">
        <f>IF(OR(ISBLANK(Input!$AG$4),$D$27=FALSE),NA(),('Reaction Information'!$J$25/10+'Reaction Information'!$K$25*100/(Calculations!$C$12+Calculations!$M6)+('Reaction Information'!$L$25+'Reaction Information'!$M$25*10000/(Calculations!$C$12+Calculations!$M6))/(Calculations!$O6-Calculations!$C$13)-calculateOmega(Calculations!M6,Calculations!N6,Calculations!Q6,'Reaction Information'!$C$25,'Reaction Information'!$P$25*10^5,'Reaction Information'!$Q$25)*Calculations!$U6*10^-6 + (1/$S6 - 1)*calculate_domegadP(Calculations!M6,Calculations!N6,Calculations!Q6,'Reaction Information'!$C$25,'Reaction Information'!$P$25*10^5,'Reaction Information'!$Q$25,$D$20,$D$19=3))*41.84)</f>
        <v>#N/A</v>
      </c>
      <c r="BQ6" s="32" t="e">
        <f>IF(OR(ISBLANK(Input!$AJ$4),$D$27=FALSE),NA(),('Reaction Information'!$J$29/10+'Reaction Information'!$K$29*100/(Calculations!$C$12+Calculations!$M6)+('Reaction Information'!$L$29+'Reaction Information'!$M$29*10000/(Calculations!$C$12+Calculations!$M6))/(Calculations!$O6-Calculations!$C$13)-calculateOmega(Calculations!M6,Calculations!N6,Calculations!Q6,'Reaction Information'!$C$29,'Reaction Information'!$P$29*10^5,'Reaction Information'!$Q$29)*Calculations!$U6*10^-6 + (1/$S6 - 1)*calculate_domegadP(Calculations!M6,Calculations!N6,Calculations!Q6,'Reaction Information'!$C$29,'Reaction Information'!$P$29*10^5,'Reaction Information'!$Q$29,$D$20,$D$19=3))*41.84)</f>
        <v>#N/A</v>
      </c>
      <c r="BR6" s="32" t="e">
        <f>IF(OR(ISBLANK(Input!$AM$4),$D$27=FALSE),NA(),('Reaction Information'!$J$33/10+'Reaction Information'!$K$33*100/(Calculations!$C$12+Calculations!$M6)+('Reaction Information'!$L$33+'Reaction Information'!$M$33*10000/(Calculations!$C$12+Calculations!$M6))/(Calculations!$O6-Calculations!$C$13)-calculateOmega(Calculations!M6,Calculations!N6,Calculations!Q6,'Reaction Information'!$C$33,'Reaction Information'!$P$33*10^5,'Reaction Information'!$Q$33)*Calculations!$U6*10^-6 + (1/$S6 - 1)*calculate_domegadP(Calculations!M6,Calculations!N6,Calculations!Q6,'Reaction Information'!$C$33,'Reaction Information'!$P$33*10^5,'Reaction Information'!$Q$33,$D$20,$D$19=3))*41.84)</f>
        <v>#N/A</v>
      </c>
      <c r="BS6" s="25">
        <f>Results!AW8</f>
        <v>0</v>
      </c>
      <c r="BT6" s="25">
        <f>Results!AX8</f>
        <v>0</v>
      </c>
      <c r="BU6" s="25">
        <f>Results!AY8</f>
        <v>0</v>
      </c>
      <c r="BV6" s="25">
        <f>Results!AZ8</f>
        <v>0</v>
      </c>
      <c r="BW6" s="25" t="e">
        <f>IF(OR(ISNA('Reaction Information'!$D$38), $N6 = "", $D$27 = FALSE, 'Reaction Information'!$D$38 = ""), NA(), 24.465)</f>
        <v>#N/A</v>
      </c>
      <c r="BX6" s="25" t="e">
        <f>IF(OR(ISNA('Reaction Information'!$D$42), $N6 = "", $D$27 = FALSE, 'Reaction Information'!$D$42 = ""), NA(), 24.465)</f>
        <v>#N/A</v>
      </c>
      <c r="BY6" s="32" t="e">
        <f t="shared" ref="BY6:BY37" si="1">IF(AND(BY$5="H2O",$D$27),18.01528/$Q6,NA())</f>
        <v>#N/A</v>
      </c>
      <c r="BZ6" s="32">
        <f>IF(OR(ISBLANK(Input!$BK$4),$D$27=FALSE),NA(),('Reaction Information'!$J$46/10+'Reaction Information'!$K$46*100/(Calculations!$C$12+Calculations!$M6)+('Reaction Information'!$L$46+'Reaction Information'!$M$46*10000/(Calculations!$C$12+Calculations!$M6))/(Calculations!$O6-Calculations!$C$13)-calculateOmega(Calculations!M6,Calculations!N6,Calculations!Q6,'Reaction Information'!$C$46,'Reaction Information'!$P$46*10^5,'Reaction Information'!$Q$46)*Calculations!$U6*10^-6 + (1/$S6 - 1)*calculate_domegadP(Calculations!M6,Calculations!N6,Calculations!Q6,'Reaction Information'!$C$46,'Reaction Information'!$P$46*10^5,'Reaction Information'!$Q$46,$D$20,$D$19=3))*41.84)</f>
        <v>0</v>
      </c>
      <c r="CA6" s="32">
        <f>IF(OR(ISBLANK(Input!$BN$4),$D$27=FALSE),NA(),('Reaction Information'!$J$50/10+'Reaction Information'!$K$50*100/(Calculations!$C$12+Calculations!$M6)+('Reaction Information'!$L$50+'Reaction Information'!$M$50*10000/(Calculations!$C$12+Calculations!$M6))/(Calculations!$O6-Calculations!$C$13)-calculateOmega(Calculations!M6,Calculations!N6,Calculations!Q6,'Reaction Information'!$C$50,'Reaction Information'!$P$50*10^5,'Reaction Information'!$Q$50)*Calculations!$U6*10^-6 + (1/$S6 - 1)*calculate_domegadP(Calculations!M6,Calculations!N6,Calculations!Q6,'Reaction Information'!$C$50,'Reaction Information'!$P$50*10^5,'Reaction Information'!$Q$50,$D$20,$D$19=3))*41.84)</f>
        <v>27.227506382124798</v>
      </c>
      <c r="CB6" s="32" t="e">
        <f>IF(OR(ISBLANK(Input!$BQ$4),$D$27=FALSE),NA(),('Reaction Information'!$J$54/10+'Reaction Information'!$K$54*100/(Calculations!$C$12+Calculations!$M6)+('Reaction Information'!$L$54+'Reaction Information'!$M$54*10000/(Calculations!$C$12+Calculations!$M6))/(Calculations!$O6-Calculations!$C$13)-calculateOmega(Calculations!M6,Calculations!N6,Calculations!Q6,'Reaction Information'!$C$54,'Reaction Information'!$P$54*10^5,'Reaction Information'!$Q$54)*Calculations!$U6*10^-6 + (1/$S6 - 1)*calculate_domegadP(Calculations!M6,Calculations!N6,Calculations!Q6,'Reaction Information'!$C$54,'Reaction Information'!$P$54*10^5,'Reaction Information'!$Q$54,$D$20,$D$19=3))*41.84)</f>
        <v>#N/A</v>
      </c>
      <c r="CC6" s="32" t="e">
        <f>IF(OR(ISBLANK(Input!$BT$4),$D$27=FALSE),NA(),('Reaction Information'!$J$58/10+'Reaction Information'!$K$58*100/(Calculations!$C$12+Calculations!$M6)+('Reaction Information'!$L$58+'Reaction Information'!$M$58*10000/(Calculations!$C$12+Calculations!$M6))/(Calculations!$O6-Calculations!$C$13)-calculateOmega(Calculations!M6,Calculations!N6,Calculations!Q6,'Reaction Information'!$C$58,'Reaction Information'!$P$58*10^5,'Reaction Information'!$Q$58)*Calculations!$U6*10^-6 + (1/$S6 - 1)*calculate_domegadP(Calculations!M6,Calculations!N6,Calculations!Q6,'Reaction Information'!$C$58,'Reaction Information'!$P$58*10^5,'Reaction Information'!$Q$58,$D$20,$D$19=3))*41.84)</f>
        <v>#N/A</v>
      </c>
      <c r="CD6" s="32" t="e">
        <f>IF(OR(ISBLANK(Input!$BW$4),$D$27=FALSE),NA(),('Reaction Information'!$J$62/10+'Reaction Information'!$K$62*100/(Calculations!$C$12+Calculations!$M6)+('Reaction Information'!$L$62+'Reaction Information'!$M$62*10000/(Calculations!$C$12+Calculations!$M6))/(Calculations!$O6-Calculations!$C$13)-calculateOmega(Calculations!M6,Calculations!N6,Calculations!Q6,'Reaction Information'!$C$62,'Reaction Information'!$P$62*10^5,'Reaction Information'!$Q$62)*Calculations!$U6*10^-6 + (1/$S6 - 1)*calculate_domegadP(Calculations!M6,Calculations!N6,Calculations!Q6,'Reaction Information'!$C$62,'Reaction Information'!$P$62*10^5,'Reaction Information'!$Q$62,$D$20,$D$19=3))*41.84)</f>
        <v>#N/A</v>
      </c>
      <c r="CE6" s="32" t="e">
        <f>IF(OR(ISBLANK(Input!$BZ$4),$D$27=FALSE),NA(),('Reaction Information'!$J$66/10+'Reaction Information'!$K$66*100/(Calculations!$C$12+Calculations!$M6)+('Reaction Information'!$L$66+'Reaction Information'!$M$66*10000/(Calculations!$C$12+Calculations!$M6))/(Calculations!$O6-Calculations!$C$13)-calculateOmega(Calculations!M6,Calculations!N6,Calculations!Q6,'Reaction Information'!$C$66,'Reaction Information'!$P$66*10^5,'Reaction Information'!$Q$66)*Calculations!$U6*10^-6 + (1/$S6 - 1)*calculate_domegadP(Calculations!M6,Calculations!N6,Calculations!Q6,'Reaction Information'!$C$66,'Reaction Information'!$P$66*10^5,'Reaction Information'!$Q$66,$D$20,$D$19=3))*41.84)</f>
        <v>#N/A</v>
      </c>
      <c r="CF6" s="31">
        <f>(BS6*Input!$AO$4+BT6*Input!$AR$4+BU6*Input!$AU$4+BV6*Input!$AX$4+IF(ISNA(BW6),0,BW6*Input!$BA$4)+IF(ISNA(BX6),0,BX6*Input!$BD$4)+IF(ISNA(BY6),0,BY6*Input!$BG$4)+IF(ISNA(BZ6),0,BZ6*Input!$BJ$4)+IF(ISNA(CA6),0,CA6*Input!$BM$4)+IF(ISNA(CB6),0,CB6*Input!$BP$4)+IF(ISNA(CC6),0,CC6*Input!$BS$4)+IF(ISNA(CD6),0,CD6*Input!$BV$4)+IF(ISNA(CE6),0,CE6*Input!$BY$4))-(BF6*Input!$B$4+BG6*Input!$E$4+BH6*Input!$H$4+BI6*Input!$K$4+IF(ISNA(BJ6),0,BJ6*Input!$N$4)+IF(ISNA(BK6),0,BK6*Input!$Q$4)+IF(ISNA(BL6),0,BL6*Input!$T$4)+IF(ISNA(BM6),0,BM6*Input!$W$4)+IF(ISNA(BN6),0,BN6*Input!$Z$4)+IF(ISNA(BO6),0,BO6*Input!$AC$4)+IF(ISNA(BP6),0,BP6*Input!$AF$4)+IF(ISNA(BQ6),0,BQ6*Input!$AI$4)+IF(ISNA(BR6),0,BR6*Input!$AL$4))</f>
        <v>-24.307554562797112</v>
      </c>
      <c r="CG6" s="25">
        <f>$N6</f>
        <v>300</v>
      </c>
      <c r="CH6" s="45">
        <f>$M6</f>
        <v>5000</v>
      </c>
      <c r="CI6" s="1"/>
    </row>
    <row r="7" spans="1:87" ht="17" x14ac:dyDescent="0.2">
      <c r="A7" s="1"/>
      <c r="B7" s="7" t="s">
        <v>474</v>
      </c>
      <c r="C7" s="24">
        <v>-3.0899999999999997E-7</v>
      </c>
      <c r="D7" s="7" t="s">
        <v>545</v>
      </c>
      <c r="E7" s="1"/>
      <c r="F7" s="2">
        <v>2</v>
      </c>
      <c r="G7" s="1">
        <f>IF(ISBLANK(Input!CB7), "", Input!CB7*1000)</f>
        <v>6000</v>
      </c>
      <c r="H7" s="1">
        <f>IF(ISBLANK(Input!CC7), "", Input!CC7)</f>
        <v>280</v>
      </c>
      <c r="I7" s="1">
        <f>IF(Input!$CF$5 + Input!$CF$6*(FLOOR((Calculations!$F7-1)/(FLOOR((Input!$CF$12-Input!$CF$10)/Input!$CF$11,1)+1),1)) &gt; Input!$CF$7, "", (Input!$CF$5 + Input!$CF$6*(FLOOR((Calculations!$F7-1)/(FLOOR((Input!$CF$12-Input!$CF$10)/Input!$CF$11,1)+1),1)))*1000)</f>
        <v>5000</v>
      </c>
      <c r="J7" s="1">
        <f>IF(Calculations!I7 = "", "", Input!$CF$10 + Input!$CF$11*(Calculations!$F7-1) - (FLOOR((Input!$CF$12-Input!$CF$10)/Input!$CF$11,1)+1)*Input!$CF$11*FLOOR((Calculations!$F7-1)/(FLOOR((Input!$CF$12-Input!$CF$10)/Input!$CF$11,1)+1),1))</f>
        <v>350</v>
      </c>
      <c r="K7" s="8">
        <f>IF(L7 = "", "", IF(L7&lt;100, 1, 2.1650906415E-11*L7^5 + 0.0008467019353*L7^2 - 0.17973651666*L7 + 10.7768850763807))</f>
        <v>1</v>
      </c>
      <c r="L7" s="117">
        <f>IF(OR(Input!$CJ$5 + Input!$CJ$6*(Calculations!F7-1) &gt; Input!$CJ$7, Input!$CJ$5 + Input!$CJ$6*(Calculations!F7-1) &gt; 350), "", Input!$CJ$5 + Input!$CJ$6*(Calculations!F7-1))</f>
        <v>25</v>
      </c>
      <c r="M7" s="1">
        <f t="shared" ref="M7:M70" si="2">CHOOSE($D$19,$G7,$I7,K7)</f>
        <v>5000</v>
      </c>
      <c r="N7" s="1">
        <f t="shared" ref="N7:N70" si="3">CHOOSE($D$19,$H7,$J7,L7)</f>
        <v>350</v>
      </c>
      <c r="O7" s="1">
        <f t="shared" ref="O7:O37" si="4">N7+273.15</f>
        <v>623.15</v>
      </c>
      <c r="P7" s="1" t="e">
        <f>IF(OR($D$20=3,AND($D$21=TRUE,M7&lt;1000)),INDEX('Water Density'!$C$6:$CX$120,MATCH(Calculations!N7,'Water Density'!$B$6:$B$120),MATCH(Calculations!M7/1000,'Water Density'!$C$5:$CX$5)),NA())</f>
        <v>#N/A</v>
      </c>
      <c r="Q7" s="182">
        <f>IF(OR($D$20=3,AND($D$21=TRUE,M7&lt;1000)), IF(P7&lt;&gt;0,P7,NA()), calculateDensity(M7,N7,$D$20,0.01,$D$19 = 3))</f>
        <v>0.96202154233455661</v>
      </c>
      <c r="R7" s="1" t="e">
        <f>IF($D$22=5,INDEX('Dielectric Constant'!$C$6:$CX$120,MATCH(Calculations!N7,'Dielectric Constant'!$B$6:$B$120),MATCH(Calculations!M7/1000,'Dielectric Constant'!$C$5:$CX$5)),NA())</f>
        <v>#N/A</v>
      </c>
      <c r="S7" s="58">
        <f>IF($D$22=5, IF(R7&lt;&gt;0,R7,NA()), IF(AND($D$23,M7&lt;=5000,$D$19 &lt;&gt; 3),calculateEpsilon(Q7,N7,1,FALSE),calculateEpsilon(Q7,N7,$D$22,$D$19 = 3)))</f>
        <v>29.287371064776703</v>
      </c>
      <c r="T7" s="1" t="e">
        <f>IF($D$24=3,INDEX('Water Free Energy'!$C$6:$CX$120,MATCH(Calculations!N7,'Water Free Energy'!$B$6:$B$120),MATCH(Calculations!M7/1000,'Water Free Energy'!$C$5:$CX$5)),NA())</f>
        <v>#N/A</v>
      </c>
      <c r="U7" s="179">
        <f>IF($D$27,calculateQ(M7,N7,Q7,$D$20,$D$22,$D$19=3)*10^6,NA())</f>
        <v>1.1709250757930145</v>
      </c>
      <c r="V7"/>
      <c r="W7" s="2">
        <f t="shared" ref="W7:W70" si="5">$M7</f>
        <v>5000</v>
      </c>
      <c r="X7" s="1">
        <f t="shared" ref="X7:X70" si="6">$N7</f>
        <v>350</v>
      </c>
      <c r="Y7" s="1">
        <f>Results!F9</f>
        <v>0</v>
      </c>
      <c r="Z7" s="1">
        <f>Results!G9</f>
        <v>0</v>
      </c>
      <c r="AA7" s="1">
        <f>Results!H9</f>
        <v>0</v>
      </c>
      <c r="AB7" s="1">
        <f>Results!I9</f>
        <v>0</v>
      </c>
      <c r="AC7" s="1" t="e">
        <f>IF(ISBLANK(Input!$O$4),NA(),'Reaction Information'!$E$5-'Reaction Information'!$G$5*(Calculations!$O7-Calculations!$C$8)+'Reaction Information'!$I$5*(Calculations!$O7-Calculations!$C$8-Calculations!$O7*LN(Calculations!$O7/Calculations!$C$8))+'Reaction Information'!$J$5*0.001/2*(2*Calculations!$O7*Calculations!$C$8-Calculations!$O7^2-Calculations!$C$8^2) + 'Reaction Information'!$K$5*100000*(Calculations!$O7^2 + Calculations!$C$8^2 - 2*Calculations!$O7*Calculations!$C$8)/(2*Calculations!$O7*Calculations!$C$8^2))</f>
        <v>#N/A</v>
      </c>
      <c r="AD7" s="8" t="e">
        <f>IF(ISBLANK(Input!$R$4),NA(),'Reaction Information'!$E$9-'Reaction Information'!$G$9*(Calculations!$O7-Calculations!$C$8)+'Reaction Information'!$I$9*(Calculations!$O7-Calculations!$C$8-Calculations!$O7*LN(Calculations!$O7/Calculations!$C$8))+'Reaction Information'!$J$9*0.001/2*(2*Calculations!$O7*Calculations!$C$8-Calculations!$O7^2-Calculations!$C$8^2) + 'Reaction Information'!$K$9*100000*(Calculations!$O7^2 + Calculations!$C$8^2 - 2*Calculations!$O7*Calculations!$C$8)/(2*Calculations!$O7*Calculations!$C$8^2))</f>
        <v>#N/A</v>
      </c>
      <c r="AE7" s="8">
        <f>IF(AE$5="H2O",IF($D$24=3,IF(T7=0,NA(),T7),calculateGibbsOfWater(M7,N7,$D$24,$D$20,$D$19=3)),NA())</f>
        <v>-62033.029153101241</v>
      </c>
      <c r="AF7" s="8">
        <f>IF(ISBLANK(Input!$X$4),NA(),'Reaction Information'!$E$13-'Reaction Information'!$G$13*(Calculations!O7-Calculations!$C$8)-'Reaction Information'!$N$13*(Calculations!O7*LN(Calculations!O7/Calculations!$C$8)-Calculations!O7+Calculations!$C$8)-'Reaction Information'!$O$13*10^4*(((1/(Calculations!O7-Calculations!$C$13))-(1/(Calculations!$C$8-Calculations!$C$13)))*((Calculations!$C$13-Calculations!O7)/(Calculations!$C$13))-(Calculations!O7/(Calculations!$C$13*Calculations!$C$13))*LN((Calculations!$C$8*(Calculations!O7-Calculations!$C$13))/(Calculations!O7*(Calculations!$C$8-Calculations!$C$13))))+'Reaction Information'!$J$13*10^-1*(Calculations!M7-Calculations!$C$9)+'Reaction Information'!$K$13*10^2*LN((Calculations!$C$12+Calculations!M7)/(Calculations!$C$12+Calculations!$C$9))+(1/(Calculations!O7-Calculations!$C$13))*('Reaction Information'!$L$13*(Calculations!M7-Calculations!$C$9)+'Reaction Information'!$M$13*10^4*LN((Calculations!$C$12+Calculations!M7)/(Calculations!$C$12+Calculations!$C$9)))+calculateOmega(Calculations!M7,Calculations!N7,Calculations!Q7,'Reaction Information'!$C$13,'Reaction Information'!$P$13*10^5,'Reaction Information'!$Q$13)*((1/Calculations!S7)-1)-'Reaction Information'!$P$13*10^5*((1/Calculations!$C$10)-1)+'Reaction Information'!$P$13*10^5*Calculations!$C$14*(Calculations!O7-Calculations!$C$8))</f>
        <v>-101552.37691280192</v>
      </c>
      <c r="AG7" s="8" t="e">
        <f>IF(ISBLANK(Input!$AA$4),NA(),'Reaction Information'!$E$17-'Reaction Information'!$G$17*(Calculations!$O7-Calculations!$C$8)-'Reaction Information'!$N$17*(Calculations!$O7*LN(Calculations!$O7/Calculations!$C$8)-Calculations!$O7+Calculations!$C$8)-'Reaction Information'!$O$17*10^4*(((1/(Calculations!$O7-Calculations!$C$13))-(1/(Calculations!$C$8-Calculations!$C$13)))*((Calculations!$C$13-Calculations!$O7)/(Calculations!$C$13))-(Calculations!$O7/(Calculations!$C$13*Calculations!$C$13))*LN((Calculations!$C$8*(Calculations!$O7-Calculations!$C$13))/(Calculations!$O7*(Calculations!$C$8-Calculations!$C$13))))+'Reaction Information'!$J$17*10^-1*(Calculations!$M7-Calculations!$C$9)+'Reaction Information'!$K$17*10^2*LN((Calculations!$C$12+Calculations!$M7)/(Calculations!$C$12+Calculations!$C$9))+(1/(Calculations!$O7-Calculations!$C$13))*('Reaction Information'!$L$17*(Calculations!$M7-Calculations!$C$9)+'Reaction Information'!$M$17*10^4*LN((Calculations!$C$12+Calculations!$M7)/(Calculations!$C$12+Calculations!$C$9)))+calculateOmega(Calculations!M7,Calculations!N7,Calculations!Q7,'Reaction Information'!$C$17,'Reaction Information'!$P$17*10^5,'Reaction Information'!$Q$17)*((1/Calculations!$S7)-1)-'Reaction Information'!$P$17*10^5*((1/Calculations!$C$10)-1)+'Reaction Information'!$P$17*10^5*Calculations!$C$14*(Calculations!$O7-Calculations!$C$8))</f>
        <v>#N/A</v>
      </c>
      <c r="AH7" s="8" t="e">
        <f>IF(ISBLANK(Input!$AD$4),NA(),'Reaction Information'!$E$21-'Reaction Information'!$G$21*(Calculations!$O7-Calculations!$C$8)-'Reaction Information'!$N$21*(Calculations!$O7*LN(Calculations!$O7/Calculations!$C$8)-Calculations!$O7+Calculations!$C$8)-'Reaction Information'!$O$21*10^4*(((1/(Calculations!$O7-Calculations!$C$13))-(1/(Calculations!$C$8-Calculations!$C$13)))*((Calculations!$C$13-Calculations!$O7)/(Calculations!$C$13))-(Calculations!$O7/(Calculations!$C$13*Calculations!$C$13))*LN((Calculations!$C$8*(Calculations!$O7-Calculations!$C$13))/(Calculations!$O7*(Calculations!$C$8-Calculations!$C$13))))+'Reaction Information'!$J$21*10^-1*(Calculations!$M7-Calculations!$C$9)+'Reaction Information'!$K$21*10^2*LN((Calculations!$C$12+Calculations!$M7)/(Calculations!$C$12+Calculations!$C$9))+(1/(Calculations!$O7-Calculations!$C$13))*('Reaction Information'!$L$21*(Calculations!$M7-Calculations!$C$9)+'Reaction Information'!$M$21*10^4*LN((Calculations!$C$12+Calculations!$M7)/(Calculations!$C$12+Calculations!$C$9)))+calculateOmega(Calculations!M7,Calculations!N7,Calculations!Q7,'Reaction Information'!$C$21,'Reaction Information'!$P$21*10^5,'Reaction Information'!$Q$21)*((1/Calculations!$S7)-1)-'Reaction Information'!$P$21*10^5*((1/Calculations!$C$10)-1)+'Reaction Information'!$P$21*10^5*Calculations!$C$14*(Calculations!$O7-Calculations!$C$8))</f>
        <v>#N/A</v>
      </c>
      <c r="AI7" s="8" t="e">
        <f>IF(ISBLANK(Input!$AG$4),NA(),'Reaction Information'!$E$25-'Reaction Information'!$G$25*(Calculations!$O7-Calculations!$C$8)-'Reaction Information'!$N$25*(Calculations!$O7*LN(Calculations!$O7/Calculations!$C$8)-Calculations!$O7+Calculations!$C$8)-'Reaction Information'!$O$25*10^4*(((1/(Calculations!$O7-Calculations!$C$13))-(1/(Calculations!$C$8-Calculations!$C$13)))*((Calculations!$C$13-Calculations!$O7)/(Calculations!$C$13))-(Calculations!$O7/(Calculations!$C$13*Calculations!$C$13))*LN((Calculations!$C$8*(Calculations!$O7-Calculations!$C$13))/(Calculations!$O7*(Calculations!$C$8-Calculations!$C$13))))+'Reaction Information'!$J$25*10^-1*(Calculations!$M7-Calculations!$C$9)+'Reaction Information'!$K$25*10^2*LN((Calculations!$C$12+Calculations!$M7)/(Calculations!$C$12+Calculations!$C$9))+(1/(Calculations!$O7-Calculations!$C$13))*('Reaction Information'!$L$25*(Calculations!$M7-Calculations!$C$9)+'Reaction Information'!$M$25*10^4*LN((Calculations!$C$12+Calculations!$M7)/(Calculations!$C$12+Calculations!$C$9)))+calculateOmega(Calculations!M7,Calculations!N7,Calculations!Q7,'Reaction Information'!$C$25,'Reaction Information'!$P$25*10^5,'Reaction Information'!$Q$25)*((1/Calculations!$S7)-1)-'Reaction Information'!$P$25*10^5*((1/Calculations!$C$10)-1)+'Reaction Information'!$P$25*10^5*Calculations!$C$14*(Calculations!$O7-Calculations!$C$8))</f>
        <v>#N/A</v>
      </c>
      <c r="AJ7" s="8" t="e">
        <f>IF(ISBLANK(Input!$AJ$4),NA(),'Reaction Information'!$E$29-'Reaction Information'!$G$29*(Calculations!$O7-Calculations!$C$8)-'Reaction Information'!$N$29*(Calculations!$O7*LN(Calculations!$O7/Calculations!$C$8)-Calculations!$O7+Calculations!$C$8)-'Reaction Information'!$O$29*10^4*(((1/(Calculations!$O7-Calculations!$C$13))-(1/(Calculations!$C$8-Calculations!$C$13)))*((Calculations!$C$13-Calculations!$O7)/(Calculations!$C$13))-(Calculations!$O7/(Calculations!$C$13*Calculations!$C$13))*LN((Calculations!$C$8*(Calculations!$O7-Calculations!$C$13))/(Calculations!$O7*(Calculations!$C$8-Calculations!$C$13))))+'Reaction Information'!$J$29*10^-1*(Calculations!$M7-Calculations!$C$9)+'Reaction Information'!$K$29*10^2*LN((Calculations!$C$12+Calculations!$M7)/(Calculations!$C$12+Calculations!$C$9))+(1/(Calculations!$O7-Calculations!$C$13))*('Reaction Information'!$L$29*(Calculations!$M7-Calculations!$C$9)+'Reaction Information'!$M$29*10^4*LN((Calculations!$C$12+Calculations!$M7)/(Calculations!$C$12+Calculations!$C$9)))+calculateOmega(Calculations!M7,Calculations!N7,Calculations!Q7,'Reaction Information'!$C$29,'Reaction Information'!$P$29*10^5,'Reaction Information'!$Q$29)*((1/Calculations!$S7)-1)-'Reaction Information'!$P$29*10^5*((1/Calculations!$C$10)-1)+'Reaction Information'!$P$29*10^5*Calculations!$C$14*(Calculations!$O7-Calculations!$C$8))</f>
        <v>#N/A</v>
      </c>
      <c r="AK7" s="8" t="e">
        <f>IF(ISBLANK(Input!$AM$4),NA(),'Reaction Information'!$E$33-'Reaction Information'!$G$33*(Calculations!$O7-Calculations!$C$8)-'Reaction Information'!$N$33*(Calculations!$O7*LN(Calculations!$O7/Calculations!$C$8)-Calculations!$O7+Calculations!$C$8)-'Reaction Information'!$O$33*10^4*(((1/(Calculations!$O7-Calculations!$C$13))-(1/(Calculations!$C$8-Calculations!$C$13)))*((Calculations!$C$13-Calculations!$O7)/(Calculations!$C$13))-(Calculations!$O7/(Calculations!$C$13*Calculations!$C$13))*LN((Calculations!$C$8*(Calculations!$O7-Calculations!$C$13))/(Calculations!$O7*(Calculations!$C$8-Calculations!$C$13))))+'Reaction Information'!$J$33*10^-1*(Calculations!$M7-Calculations!$C$9)+'Reaction Information'!$K$33*10^2*LN((Calculations!$C$12+Calculations!$M7)/(Calculations!$C$12+Calculations!$C$9))+(1/(Calculations!$O7-Calculations!$C$13))*('Reaction Information'!$L$33*(Calculations!$M7-Calculations!$C$9)+'Reaction Information'!$M$33*10^4*LN((Calculations!$C$12+Calculations!$M7)/(Calculations!$C$12+Calculations!$C$9)))+calculateOmega(Calculations!M7,Calculations!N7,Calculations!Q7,'Reaction Information'!$C$33,'Reaction Information'!$P$33*10^5,'Reaction Information'!$Q$33)*((1/Calculations!$S7)-1)-'Reaction Information'!$P$33*10^5*((1/Calculations!$C$10)-1)+'Reaction Information'!$P$33*10^5*Calculations!$C$14*(Calculations!$O7-Calculations!$C$8))</f>
        <v>#N/A</v>
      </c>
      <c r="AL7" s="1">
        <f>Results!S9</f>
        <v>0</v>
      </c>
      <c r="AM7" s="1">
        <f>Results!T9</f>
        <v>0</v>
      </c>
      <c r="AN7" s="1">
        <f>Results!U9</f>
        <v>0</v>
      </c>
      <c r="AO7" s="1">
        <f>Results!V9</f>
        <v>0</v>
      </c>
      <c r="AP7" s="8" t="e">
        <f>IF(ISBLANK(Input!$BB$4),NA(),'Reaction Information'!$E$38-'Reaction Information'!$G$38*(Calculations!$O7-Calculations!$C$8)+'Reaction Information'!$I$38*(Calculations!$O7-Calculations!$C$8-Calculations!$O7*LN(Calculations!$O7/Calculations!$C$8))+'Reaction Information'!$J$38*0.001/2*(2*Calculations!$O7*Calculations!$C$8-Calculations!$O7^2-Calculations!$C$8^2) + 'Reaction Information'!$K$38*100000*(Calculations!$O7^2 + Calculations!$C$8^2 - 2*Calculations!$O7*Calculations!$C$8)/(2*Calculations!$O7*Calculations!$C$8^2))</f>
        <v>#N/A</v>
      </c>
      <c r="AQ7" s="8" t="e">
        <f>IF(ISBLANK(Input!$BE$4),NA(),'Reaction Information'!$E$42-'Reaction Information'!$G$42*(Calculations!$O7-Calculations!$C$8)+'Reaction Information'!$I$42*(Calculations!$O7-Calculations!$C$8-Calculations!$O7*LN(Calculations!$O7/Calculations!$C$8))+'Reaction Information'!$J$42*0.001/2*(2*Calculations!$O7*Calculations!$C$8-Calculations!$O7^2-Calculations!$C$8^2) + 'Reaction Information'!$K$42*100000*(Calculations!$O7^2 + Calculations!$C$8^2 - 2*Calculations!$O7*Calculations!$C$8)/(2*Calculations!$O7*Calculations!$C$8^2))</f>
        <v>#N/A</v>
      </c>
      <c r="AR7" s="8" t="e">
        <f>IF(AR$5="H2O", IF($D$24=3,IF(T7=0,NA(),T7),calculateGibbsOfWater(M7,N7,$D$24,$D$20,$D$19=3)),NA())</f>
        <v>#N/A</v>
      </c>
      <c r="AS7" s="8">
        <f>IF(ISBLANK(Input!$BK$4),NA(),'Reaction Information'!$E$46-'Reaction Information'!$G$46*(Calculations!O7-Calculations!$C$8)-'Reaction Information'!$N$46*(Calculations!O7*LN(Calculations!O7/Calculations!$C$8)-Calculations!O7+Calculations!$C$8)-'Reaction Information'!$O$46*10^4*(((1/(Calculations!O7-Calculations!$C$13))-(1/(Calculations!$C$8-Calculations!$C$13)))*((Calculations!$C$13-Calculations!O7)/(Calculations!$C$13))-(Calculations!O7/(Calculations!$C$13*Calculations!$C$13))*LN((Calculations!$C$8*(Calculations!O7-Calculations!$C$13))/(Calculations!O7*(Calculations!$C$8-Calculations!$C$13))))+'Reaction Information'!$J$46*10^-1*(Calculations!$M7-Calculations!$C$9)+'Reaction Information'!$K$46*10^2*LN((Calculations!$C$12+Calculations!$M7)/(Calculations!$C$12+Calculations!$C$9))+(1/(Calculations!O7-Calculations!$C$13))*('Reaction Information'!$L$46*(Calculations!$M7-Calculations!$C$9)+'Reaction Information'!$M$46*10^4*LN((Calculations!$C$12+Calculations!$M7)/(Calculations!$C$12+Calculations!$C$9)))+calculateOmega(Calculations!M7,Calculations!N7,Calculations!Q7,'Reaction Information'!$C$46,'Reaction Information'!$P$46*10^5,'Reaction Information'!$Q$46)*((1/Calculations!S7)-1)-'Reaction Information'!$P$46*10^5*((1/Calculations!$C$10)-1)+'Reaction Information'!$P$46*10^5*Calculations!$C$14*(Calculations!O7-Calculations!$C$8))</f>
        <v>0</v>
      </c>
      <c r="AT7" s="8">
        <f>IF(ISBLANK(Input!$BN$4),NA(),'Reaction Information'!$E$50-'Reaction Information'!$G$50*(Calculations!O7-Calculations!$C$8)-'Reaction Information'!$N$50*(Calculations!O7*LN(Calculations!O7/Calculations!$C$8)-Calculations!O7+Calculations!$C$8)-'Reaction Information'!$O$50*10^4*(((1/(Calculations!O7-Calculations!$C$13))-(1/(Calculations!$C$8-Calculations!$C$13)))*((Calculations!$C$13-Calculations!O7)/(Calculations!$C$13))-(Calculations!O7/(Calculations!$C$13*Calculations!$C$13))*LN((Calculations!$C$8*(Calculations!O7-Calculations!$C$13))/(Calculations!O7*(Calculations!$C$8-Calculations!$C$13))))+'Reaction Information'!$J$50*10^-1*(Calculations!$M7-Calculations!$C$9)+'Reaction Information'!$K$50*10^2*LN((Calculations!$C$12+Calculations!$M7)/(Calculations!$C$12+Calculations!$C$9))+(1/(Calculations!O7-Calculations!$C$13))*('Reaction Information'!$L$50*(Calculations!$M7-Calculations!$C$9)+'Reaction Information'!$M$50*10^4*LN((Calculations!$C$12+Calculations!$M7)/(Calculations!$C$12+Calculations!$C$9)))+calculateOmega(Calculations!M7,Calculations!N7,Calculations!Q7,'Reaction Information'!$C$50,'Reaction Information'!$P$50*10^5,'Reaction Information'!$Q$50)*((1/Calculations!S7)-1)-'Reaction Information'!$P$50*10^5*((1/Calculations!$C$10)-1)+'Reaction Information'!$P$50*10^5*Calculations!$C$14*(Calculations!O7-Calculations!$C$8))</f>
        <v>-144907.72421259439</v>
      </c>
      <c r="AU7" s="8" t="e">
        <f>IF(ISBLANK(Input!$BQ$4),NA(),'Reaction Information'!$E$54-'Reaction Information'!$G$54*(Calculations!$O7-Calculations!$C$8)-'Reaction Information'!$N$54*(Calculations!$O7*LN(Calculations!$O7/Calculations!$C$8)-Calculations!$O7+Calculations!$C$8)-'Reaction Information'!$O$54*10^4*(((1/(Calculations!$O7-Calculations!$C$13))-(1/(Calculations!$C$8-Calculations!$C$13)))*((Calculations!$C$13-Calculations!$O7)/(Calculations!$C$13))-(Calculations!$O7/(Calculations!$C$13*Calculations!$C$13))*LN((Calculations!$C$8*(Calculations!$O7-Calculations!$C$13))/(Calculations!$O7*(Calculations!$C$8-Calculations!$C$13))))+'Reaction Information'!$J$54*10^-1*(Calculations!$M7-Calculations!$C$9)+'Reaction Information'!$K$54*10^2*LN((Calculations!$C$12+Calculations!$M7)/(Calculations!$C$12+Calculations!$C$9))+(1/(Calculations!$O7-Calculations!$C$13))*('Reaction Information'!$L$54*(Calculations!$M7-Calculations!$C$9)+'Reaction Information'!$M$54*10^4*LN((Calculations!$C$12+Calculations!$M7)/(Calculations!$C$12+Calculations!$C$9)))+calculateOmega(Calculations!M7,Calculations!N7,Calculations!Q7,'Reaction Information'!$C$54,'Reaction Information'!$P$54*10^5,'Reaction Information'!$Q$54)*((1/Calculations!$S7)-1)-'Reaction Information'!$P$54*10^5*((1/Calculations!$C$10)-1)+'Reaction Information'!$P$54*10^5*Calculations!$C$14*(Calculations!$O7-Calculations!$C$8))</f>
        <v>#N/A</v>
      </c>
      <c r="AV7" s="8" t="e">
        <f>IF(ISBLANK(Input!$BT$4),NA(),'Reaction Information'!$E$58-'Reaction Information'!$G$58*(Calculations!$O7-Calculations!$C$8)-'Reaction Information'!$N$58*(Calculations!$O7*LN(Calculations!$O7/Calculations!$C$8)-Calculations!$O7+Calculations!$C$8)-'Reaction Information'!$O$58*10^4*(((1/(Calculations!$O7-Calculations!$C$13))-(1/(Calculations!$C$8-Calculations!$C$13)))*((Calculations!$C$13-Calculations!$O7)/(Calculations!$C$13))-(Calculations!$O7/(Calculations!$C$13*Calculations!$C$13))*LN((Calculations!$C$8*(Calculations!$O7-Calculations!$C$13))/(Calculations!$O7*(Calculations!$C$8-Calculations!$C$13))))+'Reaction Information'!$J$58*10^-1*(Calculations!$M7-Calculations!$C$9)+'Reaction Information'!$K$58*10^2*LN((Calculations!$C$12+Calculations!$M7)/(Calculations!$C$12+Calculations!$C$9))+(1/(Calculations!$O7-Calculations!$C$13))*('Reaction Information'!$L$58*(Calculations!$M7-Calculations!$C$9)+'Reaction Information'!$M$58*10^4*LN((Calculations!$C$12+Calculations!$M7)/(Calculations!$C$12+Calculations!$C$9)))+calculateOmega(Calculations!M7,Calculations!N7,Calculations!Q7,'Reaction Information'!$C$58,'Reaction Information'!$P$58*10^5,'Reaction Information'!$Q$58)*((1/Calculations!$S7)-1)-'Reaction Information'!$P$58*10^5*((1/Calculations!$C$10)-1)+'Reaction Information'!$P$58*10^5*Calculations!$C$14*(Calculations!$O7-Calculations!$C$8))</f>
        <v>#N/A</v>
      </c>
      <c r="AW7" s="8" t="e">
        <f>IF(ISBLANK(Input!$BW$4),NA(),'Reaction Information'!$E$62-'Reaction Information'!$G$62*(Calculations!$O7-Calculations!$C$8)-'Reaction Information'!$N$62*(Calculations!$O7*LN(Calculations!$O7/Calculations!$C$8)-Calculations!$O7+Calculations!$C$8)-'Reaction Information'!$O$62*10^4*(((1/(Calculations!$O7-Calculations!$C$13))-(1/(Calculations!$C$8-Calculations!$C$13)))*((Calculations!$C$13-Calculations!$O7)/(Calculations!$C$13))-(Calculations!$O7/(Calculations!$C$13*Calculations!$C$13))*LN((Calculations!$C$8*(Calculations!$O7-Calculations!$C$13))/(Calculations!$O7*(Calculations!$C$8-Calculations!$C$13))))+'Reaction Information'!$J$62*10^-1*(Calculations!$M7-Calculations!$C$9)+'Reaction Information'!$K$62*10^2*LN((Calculations!$C$12+Calculations!$M7)/(Calculations!$C$12+Calculations!$C$9))+(1/(Calculations!$O7-Calculations!$C$13))*('Reaction Information'!$L$62*(Calculations!$M7-Calculations!$C$9)+'Reaction Information'!$M$62*10^4*LN((Calculations!$C$12+Calculations!$M7)/(Calculations!$C$12+Calculations!$C$9)))+calculateOmega(Calculations!M7,Calculations!N7,Calculations!Q7,'Reaction Information'!$C$62,'Reaction Information'!$P$62*10^5,'Reaction Information'!$Q$62)*((1/Calculations!$S7)-1)-'Reaction Information'!$P$62*10^5*((1/Calculations!$C$10)-1)+'Reaction Information'!$P$62*10^5*Calculations!$C$14*(Calculations!$O7-Calculations!$C$8))</f>
        <v>#N/A</v>
      </c>
      <c r="AX7" s="8" t="e">
        <f>IF(ISBLANK(Input!$BZ$4),NA(),'Reaction Information'!$E$66-'Reaction Information'!$G$66*(Calculations!$O7-Calculations!$C$8)-'Reaction Information'!$N$66*(Calculations!$O7*LN(Calculations!$O7/Calculations!$C$8)-Calculations!$O7+Calculations!$C$8)-'Reaction Information'!$O$66*10^4*(((1/(Calculations!$O7-Calculations!$C$13))-(1/(Calculations!$C$8-Calculations!$C$13)))*((Calculations!$C$13-Calculations!$O7)/(Calculations!$C$13))-(Calculations!$O7/(Calculations!$C$13*Calculations!$C$13))*LN((Calculations!$C$8*(Calculations!$O7-Calculations!$C$13))/(Calculations!$O7*(Calculations!$C$8-Calculations!$C$13))))+'Reaction Information'!$J$66*10^-1*(Calculations!$M7-Calculations!$C$9)+'Reaction Information'!$K$66*10^2*LN((Calculations!$C$12+Calculations!$M7)/(Calculations!$C$12+Calculations!$C$9))+(1/(Calculations!$O7-Calculations!$C$13))*('Reaction Information'!$L$66*(Calculations!$M7-Calculations!$C$9)+'Reaction Information'!$M$66*10^4*LN((Calculations!$C$12+Calculations!$M7)/(Calculations!$C$12+Calculations!$C$9)))+calculateOmega(Calculations!M7,Calculations!N7,Calculations!Q7,'Reaction Information'!$C$66,'Reaction Information'!$P$66*10^5,'Reaction Information'!$Q$66)*((1/Calculations!$S7)-1)-'Reaction Information'!$P$66*10^5*((1/Calculations!$C$10)-1)+'Reaction Information'!$P$66*10^5*Calculations!$C$14*(Calculations!$O7-Calculations!$C$8))</f>
        <v>#N/A</v>
      </c>
      <c r="AY7" s="31">
        <f>(AL7*Input!$AO$4+AM7*Input!$AR$4+AN7*Input!$AU$4+AO7*Input!$AX$4+IF(ISNA(AP7),0,AP7*Input!$BA$4)+IF(ISNA(AQ7),0,AQ7*Input!$BD$4)+IF(ISNA(AR7),0,AR7*Input!$BG$4)+IF(ISNA(AS7),0,AS7*Input!$BJ$4)+IF(ISNA(AT7),0,AT7*Input!$BM$4)+IF(ISNA(AU7),0,AU7*Input!$BP$4)+IF(ISNA(AV7),0,AV7*Input!$BS$4)+IF(ISNA(AW7),0,AW7*Input!$BV$4)+IF(ISNA(AX7),0,AX7*Input!$BY$4))-(Y7*Input!$B$4+Z7*Input!$E$4+AA7*Input!$H$4+AB7*Input!$K$4+IF(ISNA(AC7),0,AC7*Input!$N$4)+IF(ISNA(AD7),0,AD7*Input!$Q$4)+IF(ISNA(AE7),0,AE7*Input!$T$4)+IF(ISNA(AF7),0,AF7*Input!$W$4)+IF(ISNA(AG7),0,AG7*Input!$Z$4)+IF(ISNA(AH7),0,AH7*Input!$AC$4)+IF(ISNA(AI7),0,AI7*Input!$AF$4)+IF(ISNA(AJ7),0,AJ7*Input!$AI$4)+IF(ISNA(AK7),0,AK7*Input!$AL$4))</f>
        <v>18677.681853308779</v>
      </c>
      <c r="AZ7" s="42">
        <f t="shared" ref="AZ7:AZ37" si="7">-AY7/(2.302585*O7*$C$11)</f>
        <v>-6.5548423016812549</v>
      </c>
      <c r="BA7" s="1">
        <f t="shared" ref="BA7:BA70" si="8">$N7</f>
        <v>350</v>
      </c>
      <c r="BB7" s="46">
        <f t="shared" ref="BB7:BB70" si="9">$M7</f>
        <v>5000</v>
      </c>
      <c r="BC7" s="1"/>
      <c r="BD7" s="2">
        <f t="shared" ref="BD7:BD70" si="10">$M7</f>
        <v>5000</v>
      </c>
      <c r="BE7" s="46">
        <f t="shared" ref="BE7:BE70" si="11">$N7</f>
        <v>350</v>
      </c>
      <c r="BF7" s="1">
        <f>Results!AJ9</f>
        <v>0</v>
      </c>
      <c r="BG7" s="1">
        <f>Results!AK9</f>
        <v>0</v>
      </c>
      <c r="BH7" s="1">
        <f>Results!AL9</f>
        <v>0</v>
      </c>
      <c r="BI7" s="1">
        <f>Results!AM9</f>
        <v>0</v>
      </c>
      <c r="BJ7" s="1" t="e">
        <f>IF(OR(ISNA('Reaction Information'!$D$5), $N7 = "", $D$27 = FALSE, 'Reaction Information'!$D$5 = ""), NA(), 24.465)</f>
        <v>#N/A</v>
      </c>
      <c r="BK7" s="1" t="e">
        <f>IF(OR(ISNA('Reaction Information'!$D$9), $N7 = "", $D$27 = FALSE, 'Reaction Information'!$D$9 = ""), NA(), 24.465)</f>
        <v>#N/A</v>
      </c>
      <c r="BL7" s="8">
        <f t="shared" si="0"/>
        <v>18.726482939542045</v>
      </c>
      <c r="BM7" s="8">
        <f>IF(OR(ISBLANK(Input!$X$4),$D$27=FALSE),NA(),('Reaction Information'!$J$13/10+'Reaction Information'!$K$13*100/(Calculations!$C$12+Calculations!$M7)+('Reaction Information'!$L$13+'Reaction Information'!$M$13*10^4/(Calculations!$C$12+Calculations!$M7))/(Calculations!$O7-Calculations!$C$13) -calculateOmega(Calculations!$M7,Calculations!$N7,Calculations!$Q7,'Reaction Information'!$C$13,'Reaction Information'!$P$13*10^5,'Reaction Information'!$Q$13)*Calculations!$U7*10^-6 + (1/$S7 - 1)*calculate_domegadP(Calculations!$M7,Calculations!$N7,Calculations!$Q7,'Reaction Information'!$C$13,'Reaction Information'!$P$13*10^5,'Reaction Information'!$Q$13,$D$20,$D$19=3))*41.84)</f>
        <v>34.247396054549633</v>
      </c>
      <c r="BN7" s="8" t="e">
        <f>IF(OR(ISBLANK(Input!$AA$4),$D$27=FALSE),NA(),('Reaction Information'!$J$17/10+'Reaction Information'!$K$17*100/(Calculations!$C$12+Calculations!$M7)+('Reaction Information'!$L$17+'Reaction Information'!$M$17*10000/(Calculations!$C$12+Calculations!$M7))/(Calculations!$O7-Calculations!$C$13)-calculateOmega(Calculations!M7,Calculations!N7,Calculations!Q7,'Reaction Information'!$C$17,'Reaction Information'!$P$17*10^5,'Reaction Information'!$Q$17)*Calculations!$U7*10^-6 + (1/$S7 - 1)*calculate_domegadP(Calculations!M7,Calculations!N7,Calculations!Q7,'Reaction Information'!$C$17,'Reaction Information'!$P$17*10^5,'Reaction Information'!$Q$17,$D$20,$D$19=3))*41.84)</f>
        <v>#N/A</v>
      </c>
      <c r="BO7" s="8" t="e">
        <f>IF(OR(ISBLANK(Input!$AD$4),$D$27=FALSE),NA(),('Reaction Information'!$J$21/10+'Reaction Information'!$K$21*100/(Calculations!$C$12+Calculations!$M7)+('Reaction Information'!$L$21+'Reaction Information'!$M$21*10000/(Calculations!$C$12+Calculations!$M7))/(Calculations!$O7-Calculations!$C$13)-calculateOmega(Calculations!M7,Calculations!N7,Calculations!Q7,'Reaction Information'!$C$21,'Reaction Information'!$P$21*10^5,'Reaction Information'!$Q$21)*Calculations!$U7*10^-6 + (1/$S7 - 1)*calculate_domegadP(Calculations!M7,Calculations!N7,Calculations!Q7,'Reaction Information'!$C$21,'Reaction Information'!$P$21*10^5,'Reaction Information'!$Q$21,$D$20,$D$19=3))*41.84)</f>
        <v>#N/A</v>
      </c>
      <c r="BP7" s="8" t="e">
        <f>IF(OR(ISBLANK(Input!$AG$4),$D$27=FALSE),NA(),('Reaction Information'!$J$25/10+'Reaction Information'!$K$25*100/(Calculations!$C$12+Calculations!$M7)+('Reaction Information'!$L$25+'Reaction Information'!$M$25*10000/(Calculations!$C$12+Calculations!$M7))/(Calculations!$O7-Calculations!$C$13)-calculateOmega(Calculations!M7,Calculations!N7,Calculations!Q7,'Reaction Information'!$C$25,'Reaction Information'!$P$25*10^5,'Reaction Information'!$Q$25)*Calculations!$U7*10^-6 + (1/$S7 - 1)*calculate_domegadP(Calculations!M7,Calculations!N7,Calculations!Q7,'Reaction Information'!$C$25,'Reaction Information'!$P$25*10^5,'Reaction Information'!$Q$25,$D$20,$D$19=3))*41.84)</f>
        <v>#N/A</v>
      </c>
      <c r="BQ7" s="8" t="e">
        <f>IF(OR(ISBLANK(Input!$AJ$4),$D$27=FALSE),NA(),('Reaction Information'!$J$29/10+'Reaction Information'!$K$29*100/(Calculations!$C$12+Calculations!$M7)+('Reaction Information'!$L$29+'Reaction Information'!$M$29*10000/(Calculations!$C$12+Calculations!$M7))/(Calculations!$O7-Calculations!$C$13)-calculateOmega(Calculations!M7,Calculations!N7,Calculations!Q7,'Reaction Information'!$C$29,'Reaction Information'!$P$29*10^5,'Reaction Information'!$Q$29)*Calculations!$U7*10^-6 + (1/$S7 - 1)*calculate_domegadP(Calculations!M7,Calculations!N7,Calculations!Q7,'Reaction Information'!$C$29,'Reaction Information'!$P$29*10^5,'Reaction Information'!$Q$29,$D$20,$D$19=3))*41.84)</f>
        <v>#N/A</v>
      </c>
      <c r="BR7" s="8" t="e">
        <f>IF(OR(ISBLANK(Input!$AM$4),$D$27=FALSE),NA(),('Reaction Information'!$J$33/10+'Reaction Information'!$K$33*100/(Calculations!$C$12+Calculations!$M7)+('Reaction Information'!$L$33+'Reaction Information'!$M$33*10000/(Calculations!$C$12+Calculations!$M7))/(Calculations!$O7-Calculations!$C$13)-calculateOmega(Calculations!M7,Calculations!N7,Calculations!Q7,'Reaction Information'!$C$33,'Reaction Information'!$P$33*10^5,'Reaction Information'!$Q$33)*Calculations!$U7*10^-6 + (1/$S7 - 1)*calculate_domegadP(Calculations!M7,Calculations!N7,Calculations!Q7,'Reaction Information'!$C$33,'Reaction Information'!$P$33*10^5,'Reaction Information'!$Q$33,$D$20,$D$19=3))*41.84)</f>
        <v>#N/A</v>
      </c>
      <c r="BS7" s="1">
        <f>Results!AW9</f>
        <v>0</v>
      </c>
      <c r="BT7" s="1">
        <f>Results!AX9</f>
        <v>0</v>
      </c>
      <c r="BU7" s="1">
        <f>Results!AY9</f>
        <v>0</v>
      </c>
      <c r="BV7" s="1">
        <f>Results!AZ9</f>
        <v>0</v>
      </c>
      <c r="BW7" s="1" t="e">
        <f>IF(OR(ISNA('Reaction Information'!$D$38), $N7 = "", $D$27 = FALSE, 'Reaction Information'!$D$38 = ""), NA(), 24.465)</f>
        <v>#N/A</v>
      </c>
      <c r="BX7" s="1" t="e">
        <f>IF(OR(ISNA('Reaction Information'!$D$42), $N7 = "", $D$27 = FALSE, 'Reaction Information'!$D$42 = ""), NA(), 24.465)</f>
        <v>#N/A</v>
      </c>
      <c r="BY7" s="8" t="e">
        <f t="shared" si="1"/>
        <v>#N/A</v>
      </c>
      <c r="BZ7" s="8">
        <f>IF(OR(ISBLANK(Input!$BK$4),$D$27=FALSE),NA(),('Reaction Information'!$J$46/10+'Reaction Information'!$K$46*100/(Calculations!$C$12+Calculations!$M7)+('Reaction Information'!$L$46+'Reaction Information'!$M$46*10000/(Calculations!$C$12+Calculations!$M7))/(Calculations!$O7-Calculations!$C$13)-calculateOmega(Calculations!M7,Calculations!N7,Calculations!Q7,'Reaction Information'!$C$46,'Reaction Information'!$P$46*10^5,'Reaction Information'!$Q$46)*Calculations!$U7*10^-6 + (1/$S7 - 1)*calculate_domegadP(Calculations!M7,Calculations!N7,Calculations!Q7,'Reaction Information'!$C$46,'Reaction Information'!$P$46*10^5,'Reaction Information'!$Q$46,$D$20,$D$19=3))*41.84)</f>
        <v>0</v>
      </c>
      <c r="CA7" s="8">
        <f>IF(OR(ISBLANK(Input!$BN$4),$D$27=FALSE),NA(),('Reaction Information'!$J$50/10+'Reaction Information'!$K$50*100/(Calculations!$C$12+Calculations!$M7)+('Reaction Information'!$L$50+'Reaction Information'!$M$50*10000/(Calculations!$C$12+Calculations!$M7))/(Calculations!$O7-Calculations!$C$13)-calculateOmega(Calculations!M7,Calculations!N7,Calculations!Q7,'Reaction Information'!$C$50,'Reaction Information'!$P$50*10^5,'Reaction Information'!$Q$50)*Calculations!$U7*10^-6 + (1/$S7 - 1)*calculate_domegadP(Calculations!M7,Calculations!N7,Calculations!Q7,'Reaction Information'!$C$50,'Reaction Information'!$P$50*10^5,'Reaction Information'!$Q$50,$D$20,$D$19=3))*41.84)</f>
        <v>25.95769733501016</v>
      </c>
      <c r="CB7" s="8" t="e">
        <f>IF(OR(ISBLANK(Input!$BQ$4),$D$27=FALSE),NA(),('Reaction Information'!$J$54/10+'Reaction Information'!$K$54*100/(Calculations!$C$12+Calculations!$M7)+('Reaction Information'!$L$54+'Reaction Information'!$M$54*10000/(Calculations!$C$12+Calculations!$M7))/(Calculations!$O7-Calculations!$C$13)-calculateOmega(Calculations!M7,Calculations!N7,Calculations!Q7,'Reaction Information'!$C$54,'Reaction Information'!$P$54*10^5,'Reaction Information'!$Q$54)*Calculations!$U7*10^-6 + (1/$S7 - 1)*calculate_domegadP(Calculations!M7,Calculations!N7,Calculations!Q7,'Reaction Information'!$C$54,'Reaction Information'!$P$54*10^5,'Reaction Information'!$Q$54,$D$20,$D$19=3))*41.84)</f>
        <v>#N/A</v>
      </c>
      <c r="CC7" s="8" t="e">
        <f>IF(OR(ISBLANK(Input!$BT$4),$D$27=FALSE),NA(),('Reaction Information'!$J$58/10+'Reaction Information'!$K$58*100/(Calculations!$C$12+Calculations!$M7)+('Reaction Information'!$L$58+'Reaction Information'!$M$58*10000/(Calculations!$C$12+Calculations!$M7))/(Calculations!$O7-Calculations!$C$13)-calculateOmega(Calculations!M7,Calculations!N7,Calculations!Q7,'Reaction Information'!$C$58,'Reaction Information'!$P$58*10^5,'Reaction Information'!$Q$58)*Calculations!$U7*10^-6 + (1/$S7 - 1)*calculate_domegadP(Calculations!M7,Calculations!N7,Calculations!Q7,'Reaction Information'!$C$58,'Reaction Information'!$P$58*10^5,'Reaction Information'!$Q$58,$D$20,$D$19=3))*41.84)</f>
        <v>#N/A</v>
      </c>
      <c r="CD7" s="8" t="e">
        <f>IF(OR(ISBLANK(Input!$BW$4),$D$27=FALSE),NA(),('Reaction Information'!$J$62/10+'Reaction Information'!$K$62*100/(Calculations!$C$12+Calculations!$M7)+('Reaction Information'!$L$62+'Reaction Information'!$M$62*10000/(Calculations!$C$12+Calculations!$M7))/(Calculations!$O7-Calculations!$C$13)-calculateOmega(Calculations!M7,Calculations!N7,Calculations!Q7,'Reaction Information'!$C$62,'Reaction Information'!$P$62*10^5,'Reaction Information'!$Q$62)*Calculations!$U7*10^-6 + (1/$S7 - 1)*calculate_domegadP(Calculations!M7,Calculations!N7,Calculations!Q7,'Reaction Information'!$C$62,'Reaction Information'!$P$62*10^5,'Reaction Information'!$Q$62,$D$20,$D$19=3))*41.84)</f>
        <v>#N/A</v>
      </c>
      <c r="CE7" s="8" t="e">
        <f>IF(OR(ISBLANK(Input!$BZ$4),$D$27=FALSE),NA(),('Reaction Information'!$J$66/10+'Reaction Information'!$K$66*100/(Calculations!$C$12+Calculations!$M7)+('Reaction Information'!$L$66+'Reaction Information'!$M$66*10000/(Calculations!$C$12+Calculations!$M7))/(Calculations!$O7-Calculations!$C$13)-calculateOmega(Calculations!M7,Calculations!N7,Calculations!Q7,'Reaction Information'!$C$66,'Reaction Information'!$P$66*10^5,'Reaction Information'!$Q$66)*Calculations!$U7*10^-6 + (1/$S7 - 1)*calculate_domegadP(Calculations!M7,Calculations!N7,Calculations!Q7,'Reaction Information'!$C$66,'Reaction Information'!$P$66*10^5,'Reaction Information'!$Q$66,$D$20,$D$19=3))*41.84)</f>
        <v>#N/A</v>
      </c>
      <c r="CF7" s="31">
        <f>(BS7*Input!$AO$4+BT7*Input!$AR$4+BU7*Input!$AU$4+BV7*Input!$AX$4+IF(ISNA(BW7),0,BW7*Input!$BA$4)+IF(ISNA(BX7),0,BX7*Input!$BD$4)+IF(ISNA(BY7),0,BY7*Input!$BG$4)+IF(ISNA(BZ7),0,BZ7*Input!$BJ$4)+IF(ISNA(CA7),0,CA7*Input!$BM$4)+IF(ISNA(CB7),0,CB7*Input!$BP$4)+IF(ISNA(CC7),0,CC7*Input!$BS$4)+IF(ISNA(CD7),0,CD7*Input!$BV$4)+IF(ISNA(CE7),0,CE7*Input!$BY$4))-(BF7*Input!$B$4+BG7*Input!$E$4+BH7*Input!$H$4+BI7*Input!$K$4+IF(ISNA(BJ7),0,BJ7*Input!$N$4)+IF(ISNA(BK7),0,BK7*Input!$Q$4)+IF(ISNA(BL7),0,BL7*Input!$T$4)+IF(ISNA(BM7),0,BM7*Input!$W$4)+IF(ISNA(BN7),0,BN7*Input!$Z$4)+IF(ISNA(BO7),0,BO7*Input!$AC$4)+IF(ISNA(BP7),0,BP7*Input!$AF$4)+IF(ISNA(BQ7),0,BQ7*Input!$AI$4)+IF(ISNA(BR7),0,BR7*Input!$AL$4))</f>
        <v>-27.016181659081518</v>
      </c>
      <c r="CG7" s="1">
        <f t="shared" ref="CG7:CG70" si="12">$N7</f>
        <v>350</v>
      </c>
      <c r="CH7" s="46">
        <f t="shared" ref="CH7:CH70" si="13">$M7</f>
        <v>5000</v>
      </c>
      <c r="CI7" s="1"/>
    </row>
    <row r="8" spans="1:87" ht="18" customHeight="1" x14ac:dyDescent="0.2">
      <c r="A8" s="1"/>
      <c r="B8" s="7" t="s">
        <v>429</v>
      </c>
      <c r="C8" s="7">
        <v>298.14999999999998</v>
      </c>
      <c r="D8" s="7" t="s">
        <v>433</v>
      </c>
      <c r="E8" s="1"/>
      <c r="F8" s="2">
        <v>3</v>
      </c>
      <c r="G8" s="1">
        <f>IF(ISBLANK(Input!CB8), "", Input!CB8*1000)</f>
        <v>10000</v>
      </c>
      <c r="H8" s="1">
        <f>IF(ISBLANK(Input!CC8), "", Input!CC8)</f>
        <v>292</v>
      </c>
      <c r="I8" s="1">
        <f>IF(Input!$CF$5 + Input!$CF$6*(FLOOR((Calculations!$F8-1)/(FLOOR((Input!$CF$12-Input!$CF$10)/Input!$CF$11,1)+1),1)) &gt; Input!$CF$7, "", (Input!$CF$5 + Input!$CF$6*(FLOOR((Calculations!$F8-1)/(FLOOR((Input!$CF$12-Input!$CF$10)/Input!$CF$11,1)+1),1)))*1000)</f>
        <v>5000</v>
      </c>
      <c r="J8" s="1">
        <f>IF(Calculations!I8 = "", "", Input!$CF$10 + Input!$CF$11*(Calculations!$F8-1) - (FLOOR((Input!$CF$12-Input!$CF$10)/Input!$CF$11,1)+1)*Input!$CF$11*FLOOR((Calculations!$F8-1)/(FLOOR((Input!$CF$12-Input!$CF$10)/Input!$CF$11,1)+1),1))</f>
        <v>400</v>
      </c>
      <c r="K8" s="8">
        <f t="shared" ref="K8:K71" si="14">IF(L8 = "", "", IF(L8&lt;100, 1, 2.1650906415E-11*L8^5 + 0.0008467019353*L8^2 - 0.17973651666*L8 + 10.7768850763807))</f>
        <v>1</v>
      </c>
      <c r="L8" s="117">
        <f>IF(OR(Input!$CJ$5 + Input!$CJ$6*(Calculations!F8-1) &gt; Input!$CJ$7, Input!$CJ$5 + Input!$CJ$6*(Calculations!F8-1) &gt; 350), "", Input!$CJ$5 + Input!$CJ$6*(Calculations!F8-1))</f>
        <v>50</v>
      </c>
      <c r="M8" s="1">
        <f t="shared" si="2"/>
        <v>5000</v>
      </c>
      <c r="N8" s="1">
        <f t="shared" si="3"/>
        <v>400</v>
      </c>
      <c r="O8" s="1">
        <f t="shared" si="4"/>
        <v>673.15</v>
      </c>
      <c r="P8" s="1" t="e">
        <f>IF(OR($D$20=3,AND($D$21=TRUE,M8&lt;1000)),INDEX('Water Density'!$C$6:$CX$120,MATCH(Calculations!N8,'Water Density'!$B$6:$B$120),MATCH(Calculations!M8/1000,'Water Density'!$C$5:$CX$5)),NA())</f>
        <v>#N/A</v>
      </c>
      <c r="Q8" s="182">
        <f>IF(OR($D$20=3,AND($D$21=TRUE,M8&lt;1000)), IF(P8&lt;&gt;0,P8,NA()), calculateDensity(M8,N8,$D$20,0.01,$D$19 = 3))</f>
        <v>0.93027683155298224</v>
      </c>
      <c r="R8" s="1" t="e">
        <f>IF($D$22=5,INDEX('Dielectric Constant'!$C$6:$CX$120,MATCH(Calculations!N8,'Dielectric Constant'!$B$6:$B$120),MATCH(Calculations!M8/1000,'Dielectric Constant'!$C$5:$CX$5)),NA())</f>
        <v>#N/A</v>
      </c>
      <c r="S8" s="58">
        <f>IF($D$22=5, IF(R8&lt;&gt;0,R8,NA()), IF(AND($D$23,M8&lt;=5000,$D$19 &lt;&gt; 3),calculateEpsilon(Q8,N8,1,FALSE),calculateEpsilon(Q8,N8,$D$22,$D$19 = 3)))</f>
        <v>25.384967997337277</v>
      </c>
      <c r="T8" s="1" t="e">
        <f>IF($D$24=3,INDEX('Water Free Energy'!$C$6:$CX$120,MATCH(Calculations!N8,'Water Free Energy'!$B$6:$B$120),MATCH(Calculations!M8/1000,'Water Free Energy'!$C$5:$CX$5)),NA())</f>
        <v>#N/A</v>
      </c>
      <c r="U8" s="179">
        <f>IF($D$27,calculateQ(M8,N8,Q8,$D$20,$D$22,$D$19=3)*10^6,NA())</f>
        <v>1.4800209110404896</v>
      </c>
      <c r="V8"/>
      <c r="W8" s="2">
        <f t="shared" si="5"/>
        <v>5000</v>
      </c>
      <c r="X8" s="1">
        <f t="shared" si="6"/>
        <v>400</v>
      </c>
      <c r="Y8" s="1">
        <f>Results!F10</f>
        <v>0</v>
      </c>
      <c r="Z8" s="1">
        <f>Results!G10</f>
        <v>0</v>
      </c>
      <c r="AA8" s="1">
        <f>Results!H10</f>
        <v>0</v>
      </c>
      <c r="AB8" s="1">
        <f>Results!I10</f>
        <v>0</v>
      </c>
      <c r="AC8" s="1" t="e">
        <f>IF(ISBLANK(Input!$O$4),NA(),'Reaction Information'!$E$5-'Reaction Information'!$G$5*(Calculations!$O8-Calculations!$C$8)+'Reaction Information'!$I$5*(Calculations!$O8-Calculations!$C$8-Calculations!$O8*LN(Calculations!$O8/Calculations!$C$8))+'Reaction Information'!$J$5*0.001/2*(2*Calculations!$O8*Calculations!$C$8-Calculations!$O8^2-Calculations!$C$8^2) + 'Reaction Information'!$K$5*100000*(Calculations!$O8^2 + Calculations!$C$8^2 - 2*Calculations!$O8*Calculations!$C$8)/(2*Calculations!$O8*Calculations!$C$8^2))</f>
        <v>#N/A</v>
      </c>
      <c r="AD8" s="8" t="e">
        <f>IF(ISBLANK(Input!$R$4),NA(),'Reaction Information'!$E$9-'Reaction Information'!$G$9*(Calculations!$O8-Calculations!$C$8)+'Reaction Information'!$I$9*(Calculations!$O8-Calculations!$C$8-Calculations!$O8*LN(Calculations!$O8/Calculations!$C$8))+'Reaction Information'!$J$9*0.001/2*(2*Calculations!$O8*Calculations!$C$8-Calculations!$O8^2-Calculations!$C$8^2) + 'Reaction Information'!$K$9*100000*(Calculations!$O8^2 + Calculations!$C$8^2 - 2*Calculations!$O8*Calculations!$C$8)/(2*Calculations!$O8*Calculations!$C$8^2))</f>
        <v>#N/A</v>
      </c>
      <c r="AE8" s="8">
        <f>IF(AE$5="H2O",IF($D$24=3,IF(T8=0,NA(),T8),calculateGibbsOfWater(M8,N8,$D$24,$D$20,$D$19=3)),NA())</f>
        <v>-63461.57285929699</v>
      </c>
      <c r="AF8" s="8">
        <f>IF(ISBLANK(Input!$X$4),NA(),'Reaction Information'!$E$13-'Reaction Information'!$G$13*(Calculations!O8-Calculations!$C$8)-'Reaction Information'!$N$13*(Calculations!O8*LN(Calculations!O8/Calculations!$C$8)-Calculations!O8+Calculations!$C$8)-'Reaction Information'!$O$13*10^4*(((1/(Calculations!O8-Calculations!$C$13))-(1/(Calculations!$C$8-Calculations!$C$13)))*((Calculations!$C$13-Calculations!O8)/(Calculations!$C$13))-(Calculations!O8/(Calculations!$C$13*Calculations!$C$13))*LN((Calculations!$C$8*(Calculations!O8-Calculations!$C$13))/(Calculations!O8*(Calculations!$C$8-Calculations!$C$13))))+'Reaction Information'!$J$13*10^-1*(Calculations!M8-Calculations!$C$9)+'Reaction Information'!$K$13*10^2*LN((Calculations!$C$12+Calculations!M8)/(Calculations!$C$12+Calculations!$C$9))+(1/(Calculations!O8-Calculations!$C$13))*('Reaction Information'!$L$13*(Calculations!M8-Calculations!$C$9)+'Reaction Information'!$M$13*10^4*LN((Calculations!$C$12+Calculations!M8)/(Calculations!$C$12+Calculations!$C$9)))+calculateOmega(Calculations!M8,Calculations!N8,Calculations!Q8,'Reaction Information'!$C$13,'Reaction Information'!$P$13*10^5,'Reaction Information'!$Q$13)*((1/Calculations!S8)-1)-'Reaction Information'!$P$13*10^5*((1/Calculations!$C$10)-1)+'Reaction Information'!$P$13*10^5*Calculations!$C$14*(Calculations!O8-Calculations!$C$8))</f>
        <v>-103870.01957332288</v>
      </c>
      <c r="AG8" s="8" t="e">
        <f>IF(ISBLANK(Input!$AA$4),NA(),'Reaction Information'!$E$17-'Reaction Information'!$G$17*(Calculations!$O8-Calculations!$C$8)-'Reaction Information'!$N$17*(Calculations!$O8*LN(Calculations!$O8/Calculations!$C$8)-Calculations!$O8+Calculations!$C$8)-'Reaction Information'!$O$17*10^4*(((1/(Calculations!$O8-Calculations!$C$13))-(1/(Calculations!$C$8-Calculations!$C$13)))*((Calculations!$C$13-Calculations!$O8)/(Calculations!$C$13))-(Calculations!$O8/(Calculations!$C$13*Calculations!$C$13))*LN((Calculations!$C$8*(Calculations!$O8-Calculations!$C$13))/(Calculations!$O8*(Calculations!$C$8-Calculations!$C$13))))+'Reaction Information'!$J$17*10^-1*(Calculations!$M8-Calculations!$C$9)+'Reaction Information'!$K$17*10^2*LN((Calculations!$C$12+Calculations!$M8)/(Calculations!$C$12+Calculations!$C$9))+(1/(Calculations!$O8-Calculations!$C$13))*('Reaction Information'!$L$17*(Calculations!$M8-Calculations!$C$9)+'Reaction Information'!$M$17*10^4*LN((Calculations!$C$12+Calculations!$M8)/(Calculations!$C$12+Calculations!$C$9)))+calculateOmega(Calculations!M8,Calculations!N8,Calculations!Q8,'Reaction Information'!$C$17,'Reaction Information'!$P$17*10^5,'Reaction Information'!$Q$17)*((1/Calculations!$S8)-1)-'Reaction Information'!$P$17*10^5*((1/Calculations!$C$10)-1)+'Reaction Information'!$P$17*10^5*Calculations!$C$14*(Calculations!$O8-Calculations!$C$8))</f>
        <v>#N/A</v>
      </c>
      <c r="AH8" s="8" t="e">
        <f>IF(ISBLANK(Input!$AD$4),NA(),'Reaction Information'!$E$21-'Reaction Information'!$G$21*(Calculations!$O8-Calculations!$C$8)-'Reaction Information'!$N$21*(Calculations!$O8*LN(Calculations!$O8/Calculations!$C$8)-Calculations!$O8+Calculations!$C$8)-'Reaction Information'!$O$21*10^4*(((1/(Calculations!$O8-Calculations!$C$13))-(1/(Calculations!$C$8-Calculations!$C$13)))*((Calculations!$C$13-Calculations!$O8)/(Calculations!$C$13))-(Calculations!$O8/(Calculations!$C$13*Calculations!$C$13))*LN((Calculations!$C$8*(Calculations!$O8-Calculations!$C$13))/(Calculations!$O8*(Calculations!$C$8-Calculations!$C$13))))+'Reaction Information'!$J$21*10^-1*(Calculations!$M8-Calculations!$C$9)+'Reaction Information'!$K$21*10^2*LN((Calculations!$C$12+Calculations!$M8)/(Calculations!$C$12+Calculations!$C$9))+(1/(Calculations!$O8-Calculations!$C$13))*('Reaction Information'!$L$21*(Calculations!$M8-Calculations!$C$9)+'Reaction Information'!$M$21*10^4*LN((Calculations!$C$12+Calculations!$M8)/(Calculations!$C$12+Calculations!$C$9)))+calculateOmega(Calculations!M8,Calculations!N8,Calculations!Q8,'Reaction Information'!$C$21,'Reaction Information'!$P$21*10^5,'Reaction Information'!$Q$21)*((1/Calculations!$S8)-1)-'Reaction Information'!$P$21*10^5*((1/Calculations!$C$10)-1)+'Reaction Information'!$P$21*10^5*Calculations!$C$14*(Calculations!$O8-Calculations!$C$8))</f>
        <v>#N/A</v>
      </c>
      <c r="AI8" s="8" t="e">
        <f>IF(ISBLANK(Input!$AG$4),NA(),'Reaction Information'!$E$25-'Reaction Information'!$G$25*(Calculations!$O8-Calculations!$C$8)-'Reaction Information'!$N$25*(Calculations!$O8*LN(Calculations!$O8/Calculations!$C$8)-Calculations!$O8+Calculations!$C$8)-'Reaction Information'!$O$25*10^4*(((1/(Calculations!$O8-Calculations!$C$13))-(1/(Calculations!$C$8-Calculations!$C$13)))*((Calculations!$C$13-Calculations!$O8)/(Calculations!$C$13))-(Calculations!$O8/(Calculations!$C$13*Calculations!$C$13))*LN((Calculations!$C$8*(Calculations!$O8-Calculations!$C$13))/(Calculations!$O8*(Calculations!$C$8-Calculations!$C$13))))+'Reaction Information'!$J$25*10^-1*(Calculations!$M8-Calculations!$C$9)+'Reaction Information'!$K$25*10^2*LN((Calculations!$C$12+Calculations!$M8)/(Calculations!$C$12+Calculations!$C$9))+(1/(Calculations!$O8-Calculations!$C$13))*('Reaction Information'!$L$25*(Calculations!$M8-Calculations!$C$9)+'Reaction Information'!$M$25*10^4*LN((Calculations!$C$12+Calculations!$M8)/(Calculations!$C$12+Calculations!$C$9)))+calculateOmega(Calculations!M8,Calculations!N8,Calculations!Q8,'Reaction Information'!$C$25,'Reaction Information'!$P$25*10^5,'Reaction Information'!$Q$25)*((1/Calculations!$S8)-1)-'Reaction Information'!$P$25*10^5*((1/Calculations!$C$10)-1)+'Reaction Information'!$P$25*10^5*Calculations!$C$14*(Calculations!$O8-Calculations!$C$8))</f>
        <v>#N/A</v>
      </c>
      <c r="AJ8" s="8" t="e">
        <f>IF(ISBLANK(Input!$AJ$4),NA(),'Reaction Information'!$E$29-'Reaction Information'!$G$29*(Calculations!$O8-Calculations!$C$8)-'Reaction Information'!$N$29*(Calculations!$O8*LN(Calculations!$O8/Calculations!$C$8)-Calculations!$O8+Calculations!$C$8)-'Reaction Information'!$O$29*10^4*(((1/(Calculations!$O8-Calculations!$C$13))-(1/(Calculations!$C$8-Calculations!$C$13)))*((Calculations!$C$13-Calculations!$O8)/(Calculations!$C$13))-(Calculations!$O8/(Calculations!$C$13*Calculations!$C$13))*LN((Calculations!$C$8*(Calculations!$O8-Calculations!$C$13))/(Calculations!$O8*(Calculations!$C$8-Calculations!$C$13))))+'Reaction Information'!$J$29*10^-1*(Calculations!$M8-Calculations!$C$9)+'Reaction Information'!$K$29*10^2*LN((Calculations!$C$12+Calculations!$M8)/(Calculations!$C$12+Calculations!$C$9))+(1/(Calculations!$O8-Calculations!$C$13))*('Reaction Information'!$L$29*(Calculations!$M8-Calculations!$C$9)+'Reaction Information'!$M$29*10^4*LN((Calculations!$C$12+Calculations!$M8)/(Calculations!$C$12+Calculations!$C$9)))+calculateOmega(Calculations!M8,Calculations!N8,Calculations!Q8,'Reaction Information'!$C$29,'Reaction Information'!$P$29*10^5,'Reaction Information'!$Q$29)*((1/Calculations!$S8)-1)-'Reaction Information'!$P$29*10^5*((1/Calculations!$C$10)-1)+'Reaction Information'!$P$29*10^5*Calculations!$C$14*(Calculations!$O8-Calculations!$C$8))</f>
        <v>#N/A</v>
      </c>
      <c r="AK8" s="8" t="e">
        <f>IF(ISBLANK(Input!$AM$4),NA(),'Reaction Information'!$E$33-'Reaction Information'!$G$33*(Calculations!$O8-Calculations!$C$8)-'Reaction Information'!$N$33*(Calculations!$O8*LN(Calculations!$O8/Calculations!$C$8)-Calculations!$O8+Calculations!$C$8)-'Reaction Information'!$O$33*10^4*(((1/(Calculations!$O8-Calculations!$C$13))-(1/(Calculations!$C$8-Calculations!$C$13)))*((Calculations!$C$13-Calculations!$O8)/(Calculations!$C$13))-(Calculations!$O8/(Calculations!$C$13*Calculations!$C$13))*LN((Calculations!$C$8*(Calculations!$O8-Calculations!$C$13))/(Calculations!$O8*(Calculations!$C$8-Calculations!$C$13))))+'Reaction Information'!$J$33*10^-1*(Calculations!$M8-Calculations!$C$9)+'Reaction Information'!$K$33*10^2*LN((Calculations!$C$12+Calculations!$M8)/(Calculations!$C$12+Calculations!$C$9))+(1/(Calculations!$O8-Calculations!$C$13))*('Reaction Information'!$L$33*(Calculations!$M8-Calculations!$C$9)+'Reaction Information'!$M$33*10^4*LN((Calculations!$C$12+Calculations!$M8)/(Calculations!$C$12+Calculations!$C$9)))+calculateOmega(Calculations!M8,Calculations!N8,Calculations!Q8,'Reaction Information'!$C$33,'Reaction Information'!$P$33*10^5,'Reaction Information'!$Q$33)*((1/Calculations!$S8)-1)-'Reaction Information'!$P$33*10^5*((1/Calculations!$C$10)-1)+'Reaction Information'!$P$33*10^5*Calculations!$C$14*(Calculations!$O8-Calculations!$C$8))</f>
        <v>#N/A</v>
      </c>
      <c r="AL8" s="1">
        <f>Results!S10</f>
        <v>0</v>
      </c>
      <c r="AM8" s="1">
        <f>Results!T10</f>
        <v>0</v>
      </c>
      <c r="AN8" s="1">
        <f>Results!U10</f>
        <v>0</v>
      </c>
      <c r="AO8" s="1">
        <f>Results!V10</f>
        <v>0</v>
      </c>
      <c r="AP8" s="8" t="e">
        <f>IF(ISBLANK(Input!$BB$4),NA(),'Reaction Information'!$E$38-'Reaction Information'!$G$38*(Calculations!$O8-Calculations!$C$8)+'Reaction Information'!$I$38*(Calculations!$O8-Calculations!$C$8-Calculations!$O8*LN(Calculations!$O8/Calculations!$C$8))+'Reaction Information'!$J$38*0.001/2*(2*Calculations!$O8*Calculations!$C$8-Calculations!$O8^2-Calculations!$C$8^2) + 'Reaction Information'!$K$38*100000*(Calculations!$O8^2 + Calculations!$C$8^2 - 2*Calculations!$O8*Calculations!$C$8)/(2*Calculations!$O8*Calculations!$C$8^2))</f>
        <v>#N/A</v>
      </c>
      <c r="AQ8" s="8" t="e">
        <f>IF(ISBLANK(Input!$BE$4),NA(),'Reaction Information'!$E$42-'Reaction Information'!$G$42*(Calculations!$O8-Calculations!$C$8)+'Reaction Information'!$I$42*(Calculations!$O8-Calculations!$C$8-Calculations!$O8*LN(Calculations!$O8/Calculations!$C$8))+'Reaction Information'!$J$42*0.001/2*(2*Calculations!$O8*Calculations!$C$8-Calculations!$O8^2-Calculations!$C$8^2) + 'Reaction Information'!$K$42*100000*(Calculations!$O8^2 + Calculations!$C$8^2 - 2*Calculations!$O8*Calculations!$C$8)/(2*Calculations!$O8*Calculations!$C$8^2))</f>
        <v>#N/A</v>
      </c>
      <c r="AR8" s="8" t="e">
        <f>IF(AR$5="H2O", IF($D$24=3,IF(T8=0,NA(),T8),calculateGibbsOfWater(M8,N8,$D$24,$D$20,$D$19=3)),NA())</f>
        <v>#N/A</v>
      </c>
      <c r="AS8" s="8">
        <f>IF(ISBLANK(Input!$BK$4),NA(),'Reaction Information'!$E$46-'Reaction Information'!$G$46*(Calculations!O8-Calculations!$C$8)-'Reaction Information'!$N$46*(Calculations!O8*LN(Calculations!O8/Calculations!$C$8)-Calculations!O8+Calculations!$C$8)-'Reaction Information'!$O$46*10^4*(((1/(Calculations!O8-Calculations!$C$13))-(1/(Calculations!$C$8-Calculations!$C$13)))*((Calculations!$C$13-Calculations!O8)/(Calculations!$C$13))-(Calculations!O8/(Calculations!$C$13*Calculations!$C$13))*LN((Calculations!$C$8*(Calculations!O8-Calculations!$C$13))/(Calculations!O8*(Calculations!$C$8-Calculations!$C$13))))+'Reaction Information'!$J$46*10^-1*(Calculations!$M8-Calculations!$C$9)+'Reaction Information'!$K$46*10^2*LN((Calculations!$C$12+Calculations!$M8)/(Calculations!$C$12+Calculations!$C$9))+(1/(Calculations!O8-Calculations!$C$13))*('Reaction Information'!$L$46*(Calculations!$M8-Calculations!$C$9)+'Reaction Information'!$M$46*10^4*LN((Calculations!$C$12+Calculations!$M8)/(Calculations!$C$12+Calculations!$C$9)))+calculateOmega(Calculations!M8,Calculations!N8,Calculations!Q8,'Reaction Information'!$C$46,'Reaction Information'!$P$46*10^5,'Reaction Information'!$Q$46)*((1/Calculations!S8)-1)-'Reaction Information'!$P$46*10^5*((1/Calculations!$C$10)-1)+'Reaction Information'!$P$46*10^5*Calculations!$C$14*(Calculations!O8-Calculations!$C$8))</f>
        <v>0</v>
      </c>
      <c r="AT8" s="8">
        <f>IF(ISBLANK(Input!$BN$4),NA(),'Reaction Information'!$E$50-'Reaction Information'!$G$50*(Calculations!O8-Calculations!$C$8)-'Reaction Information'!$N$50*(Calculations!O8*LN(Calculations!O8/Calculations!$C$8)-Calculations!O8+Calculations!$C$8)-'Reaction Information'!$O$50*10^4*(((1/(Calculations!O8-Calculations!$C$13))-(1/(Calculations!$C$8-Calculations!$C$13)))*((Calculations!$C$13-Calculations!O8)/(Calculations!$C$13))-(Calculations!O8/(Calculations!$C$13*Calculations!$C$13))*LN((Calculations!$C$8*(Calculations!O8-Calculations!$C$13))/(Calculations!O8*(Calculations!$C$8-Calculations!$C$13))))+'Reaction Information'!$J$50*10^-1*(Calculations!$M8-Calculations!$C$9)+'Reaction Information'!$K$50*10^2*LN((Calculations!$C$12+Calculations!$M8)/(Calculations!$C$12+Calculations!$C$9))+(1/(Calculations!O8-Calculations!$C$13))*('Reaction Information'!$L$50*(Calculations!$M8-Calculations!$C$9)+'Reaction Information'!$M$50*10^4*LN((Calculations!$C$12+Calculations!$M8)/(Calculations!$C$12+Calculations!$C$9)))+calculateOmega(Calculations!M8,Calculations!N8,Calculations!Q8,'Reaction Information'!$C$50,'Reaction Information'!$P$50*10^5,'Reaction Information'!$Q$50)*((1/Calculations!S8)-1)-'Reaction Information'!$P$50*10^5*((1/Calculations!$C$10)-1)+'Reaction Information'!$P$50*10^5*Calculations!$C$14*(Calculations!O8-Calculations!$C$8))</f>
        <v>-146143.60282991637</v>
      </c>
      <c r="AU8" s="8" t="e">
        <f>IF(ISBLANK(Input!$BQ$4),NA(),'Reaction Information'!$E$54-'Reaction Information'!$G$54*(Calculations!$O8-Calculations!$C$8)-'Reaction Information'!$N$54*(Calculations!$O8*LN(Calculations!$O8/Calculations!$C$8)-Calculations!$O8+Calculations!$C$8)-'Reaction Information'!$O$54*10^4*(((1/(Calculations!$O8-Calculations!$C$13))-(1/(Calculations!$C$8-Calculations!$C$13)))*((Calculations!$C$13-Calculations!$O8)/(Calculations!$C$13))-(Calculations!$O8/(Calculations!$C$13*Calculations!$C$13))*LN((Calculations!$C$8*(Calculations!$O8-Calculations!$C$13))/(Calculations!$O8*(Calculations!$C$8-Calculations!$C$13))))+'Reaction Information'!$J$54*10^-1*(Calculations!$M8-Calculations!$C$9)+'Reaction Information'!$K$54*10^2*LN((Calculations!$C$12+Calculations!$M8)/(Calculations!$C$12+Calculations!$C$9))+(1/(Calculations!$O8-Calculations!$C$13))*('Reaction Information'!$L$54*(Calculations!$M8-Calculations!$C$9)+'Reaction Information'!$M$54*10^4*LN((Calculations!$C$12+Calculations!$M8)/(Calculations!$C$12+Calculations!$C$9)))+calculateOmega(Calculations!M8,Calculations!N8,Calculations!Q8,'Reaction Information'!$C$54,'Reaction Information'!$P$54*10^5,'Reaction Information'!$Q$54)*((1/Calculations!$S8)-1)-'Reaction Information'!$P$54*10^5*((1/Calculations!$C$10)-1)+'Reaction Information'!$P$54*10^5*Calculations!$C$14*(Calculations!$O8-Calculations!$C$8))</f>
        <v>#N/A</v>
      </c>
      <c r="AV8" s="8" t="e">
        <f>IF(ISBLANK(Input!$BT$4),NA(),'Reaction Information'!$E$58-'Reaction Information'!$G$58*(Calculations!$O8-Calculations!$C$8)-'Reaction Information'!$N$58*(Calculations!$O8*LN(Calculations!$O8/Calculations!$C$8)-Calculations!$O8+Calculations!$C$8)-'Reaction Information'!$O$58*10^4*(((1/(Calculations!$O8-Calculations!$C$13))-(1/(Calculations!$C$8-Calculations!$C$13)))*((Calculations!$C$13-Calculations!$O8)/(Calculations!$C$13))-(Calculations!$O8/(Calculations!$C$13*Calculations!$C$13))*LN((Calculations!$C$8*(Calculations!$O8-Calculations!$C$13))/(Calculations!$O8*(Calculations!$C$8-Calculations!$C$13))))+'Reaction Information'!$J$58*10^-1*(Calculations!$M8-Calculations!$C$9)+'Reaction Information'!$K$58*10^2*LN((Calculations!$C$12+Calculations!$M8)/(Calculations!$C$12+Calculations!$C$9))+(1/(Calculations!$O8-Calculations!$C$13))*('Reaction Information'!$L$58*(Calculations!$M8-Calculations!$C$9)+'Reaction Information'!$M$58*10^4*LN((Calculations!$C$12+Calculations!$M8)/(Calculations!$C$12+Calculations!$C$9)))+calculateOmega(Calculations!M8,Calculations!N8,Calculations!Q8,'Reaction Information'!$C$58,'Reaction Information'!$P$58*10^5,'Reaction Information'!$Q$58)*((1/Calculations!$S8)-1)-'Reaction Information'!$P$58*10^5*((1/Calculations!$C$10)-1)+'Reaction Information'!$P$58*10^5*Calculations!$C$14*(Calculations!$O8-Calculations!$C$8))</f>
        <v>#N/A</v>
      </c>
      <c r="AW8" s="8" t="e">
        <f>IF(ISBLANK(Input!$BW$4),NA(),'Reaction Information'!$E$62-'Reaction Information'!$G$62*(Calculations!$O8-Calculations!$C$8)-'Reaction Information'!$N$62*(Calculations!$O8*LN(Calculations!$O8/Calculations!$C$8)-Calculations!$O8+Calculations!$C$8)-'Reaction Information'!$O$62*10^4*(((1/(Calculations!$O8-Calculations!$C$13))-(1/(Calculations!$C$8-Calculations!$C$13)))*((Calculations!$C$13-Calculations!$O8)/(Calculations!$C$13))-(Calculations!$O8/(Calculations!$C$13*Calculations!$C$13))*LN((Calculations!$C$8*(Calculations!$O8-Calculations!$C$13))/(Calculations!$O8*(Calculations!$C$8-Calculations!$C$13))))+'Reaction Information'!$J$62*10^-1*(Calculations!$M8-Calculations!$C$9)+'Reaction Information'!$K$62*10^2*LN((Calculations!$C$12+Calculations!$M8)/(Calculations!$C$12+Calculations!$C$9))+(1/(Calculations!$O8-Calculations!$C$13))*('Reaction Information'!$L$62*(Calculations!$M8-Calculations!$C$9)+'Reaction Information'!$M$62*10^4*LN((Calculations!$C$12+Calculations!$M8)/(Calculations!$C$12+Calculations!$C$9)))+calculateOmega(Calculations!M8,Calculations!N8,Calculations!Q8,'Reaction Information'!$C$62,'Reaction Information'!$P$62*10^5,'Reaction Information'!$Q$62)*((1/Calculations!$S8)-1)-'Reaction Information'!$P$62*10^5*((1/Calculations!$C$10)-1)+'Reaction Information'!$P$62*10^5*Calculations!$C$14*(Calculations!$O8-Calculations!$C$8))</f>
        <v>#N/A</v>
      </c>
      <c r="AX8" s="8" t="e">
        <f>IF(ISBLANK(Input!$BZ$4),NA(),'Reaction Information'!$E$66-'Reaction Information'!$G$66*(Calculations!$O8-Calculations!$C$8)-'Reaction Information'!$N$66*(Calculations!$O8*LN(Calculations!$O8/Calculations!$C$8)-Calculations!$O8+Calculations!$C$8)-'Reaction Information'!$O$66*10^4*(((1/(Calculations!$O8-Calculations!$C$13))-(1/(Calculations!$C$8-Calculations!$C$13)))*((Calculations!$C$13-Calculations!$O8)/(Calculations!$C$13))-(Calculations!$O8/(Calculations!$C$13*Calculations!$C$13))*LN((Calculations!$C$8*(Calculations!$O8-Calculations!$C$13))/(Calculations!$O8*(Calculations!$C$8-Calculations!$C$13))))+'Reaction Information'!$J$66*10^-1*(Calculations!$M8-Calculations!$C$9)+'Reaction Information'!$K$66*10^2*LN((Calculations!$C$12+Calculations!$M8)/(Calculations!$C$12+Calculations!$C$9))+(1/(Calculations!$O8-Calculations!$C$13))*('Reaction Information'!$L$66*(Calculations!$M8-Calculations!$C$9)+'Reaction Information'!$M$66*10^4*LN((Calculations!$C$12+Calculations!$M8)/(Calculations!$C$12+Calculations!$C$9)))+calculateOmega(Calculations!M8,Calculations!N8,Calculations!Q8,'Reaction Information'!$C$66,'Reaction Information'!$P$66*10^5,'Reaction Information'!$Q$66)*((1/Calculations!$S8)-1)-'Reaction Information'!$P$66*10^5*((1/Calculations!$C$10)-1)+'Reaction Information'!$P$66*10^5*Calculations!$C$14*(Calculations!$O8-Calculations!$C$8))</f>
        <v>#N/A</v>
      </c>
      <c r="AY8" s="31">
        <f>(AL8*Input!$AO$4+AM8*Input!$AR$4+AN8*Input!$AU$4+AO8*Input!$AX$4+IF(ISNA(AP8),0,AP8*Input!$BA$4)+IF(ISNA(AQ8),0,AQ8*Input!$BD$4)+IF(ISNA(AR8),0,AR8*Input!$BG$4)+IF(ISNA(AS8),0,AS8*Input!$BJ$4)+IF(ISNA(AT8),0,AT8*Input!$BM$4)+IF(ISNA(AU8),0,AU8*Input!$BP$4)+IF(ISNA(AV8),0,AV8*Input!$BS$4)+IF(ISNA(AW8),0,AW8*Input!$BV$4)+IF(ISNA(AX8),0,AX8*Input!$BY$4))-(Y8*Input!$B$4+Z8*Input!$E$4+AA8*Input!$H$4+AB8*Input!$K$4+IF(ISNA(AC8),0,AC8*Input!$N$4)+IF(ISNA(AD8),0,AD8*Input!$Q$4)+IF(ISNA(AE8),0,AE8*Input!$T$4)+IF(ISNA(AF8),0,AF8*Input!$W$4)+IF(ISNA(AG8),0,AG8*Input!$Z$4)+IF(ISNA(AH8),0,AH8*Input!$AC$4)+IF(ISNA(AI8),0,AI8*Input!$AF$4)+IF(ISNA(AJ8),0,AJ8*Input!$AI$4)+IF(ISNA(AK8),0,AK8*Input!$AL$4))</f>
        <v>21187.989602703485</v>
      </c>
      <c r="AZ8" s="42">
        <f t="shared" si="7"/>
        <v>-6.8835072565384774</v>
      </c>
      <c r="BA8" s="1">
        <f t="shared" si="8"/>
        <v>400</v>
      </c>
      <c r="BB8" s="46">
        <f t="shared" si="9"/>
        <v>5000</v>
      </c>
      <c r="BC8" s="1"/>
      <c r="BD8" s="2">
        <f t="shared" si="10"/>
        <v>5000</v>
      </c>
      <c r="BE8" s="46">
        <f t="shared" si="11"/>
        <v>400</v>
      </c>
      <c r="BF8" s="1">
        <f>Results!AJ10</f>
        <v>0</v>
      </c>
      <c r="BG8" s="1">
        <f>Results!AK10</f>
        <v>0</v>
      </c>
      <c r="BH8" s="1">
        <f>Results!AL10</f>
        <v>0</v>
      </c>
      <c r="BI8" s="1">
        <f>Results!AM10</f>
        <v>0</v>
      </c>
      <c r="BJ8" s="1" t="e">
        <f>IF(OR(ISNA('Reaction Information'!$D$5), $N8 = "", $D$27 = FALSE, 'Reaction Information'!$D$5 = ""), NA(), 24.465)</f>
        <v>#N/A</v>
      </c>
      <c r="BK8" s="1" t="e">
        <f>IF(OR(ISNA('Reaction Information'!$D$9), $N8 = "", $D$27 = FALSE, 'Reaction Information'!$D$9 = ""), NA(), 24.465)</f>
        <v>#N/A</v>
      </c>
      <c r="BL8" s="8">
        <f t="shared" si="0"/>
        <v>19.365504319747185</v>
      </c>
      <c r="BM8" s="8">
        <f>IF(OR(ISBLANK(Input!$X$4),$D$27=FALSE),NA(),('Reaction Information'!$J$13/10+'Reaction Information'!$K$13*100/(Calculations!$C$12+Calculations!$M8)+('Reaction Information'!$L$13+'Reaction Information'!$M$13*10^4/(Calculations!$C$12+Calculations!$M8))/(Calculations!$O8-Calculations!$C$13) -calculateOmega(Calculations!$M8,Calculations!$N8,Calculations!$Q8,'Reaction Information'!$C$13,'Reaction Information'!$P$13*10^5,'Reaction Information'!$Q$13)*Calculations!$U8*10^-6 + (1/$S8 - 1)*calculate_domegadP(Calculations!$M8,Calculations!$N8,Calculations!$Q8,'Reaction Information'!$C$13,'Reaction Information'!$P$13*10^5,'Reaction Information'!$Q$13,$D$20,$D$19=3))*41.84)</f>
        <v>35.292865483470543</v>
      </c>
      <c r="BN8" s="8" t="e">
        <f>IF(OR(ISBLANK(Input!$AA$4),$D$27=FALSE),NA(),('Reaction Information'!$J$17/10+'Reaction Information'!$K$17*100/(Calculations!$C$12+Calculations!$M8)+('Reaction Information'!$L$17+'Reaction Information'!$M$17*10000/(Calculations!$C$12+Calculations!$M8))/(Calculations!$O8-Calculations!$C$13)-calculateOmega(Calculations!M8,Calculations!N8,Calculations!Q8,'Reaction Information'!$C$17,'Reaction Information'!$P$17*10^5,'Reaction Information'!$Q$17)*Calculations!$U8*10^-6 + (1/$S8 - 1)*calculate_domegadP(Calculations!M8,Calculations!N8,Calculations!Q8,'Reaction Information'!$C$17,'Reaction Information'!$P$17*10^5,'Reaction Information'!$Q$17,$D$20,$D$19=3))*41.84)</f>
        <v>#N/A</v>
      </c>
      <c r="BO8" s="8" t="e">
        <f>IF(OR(ISBLANK(Input!$AD$4),$D$27=FALSE),NA(),('Reaction Information'!$J$21/10+'Reaction Information'!$K$21*100/(Calculations!$C$12+Calculations!$M8)+('Reaction Information'!$L$21+'Reaction Information'!$M$21*10000/(Calculations!$C$12+Calculations!$M8))/(Calculations!$O8-Calculations!$C$13)-calculateOmega(Calculations!M8,Calculations!N8,Calculations!Q8,'Reaction Information'!$C$21,'Reaction Information'!$P$21*10^5,'Reaction Information'!$Q$21)*Calculations!$U8*10^-6 + (1/$S8 - 1)*calculate_domegadP(Calculations!M8,Calculations!N8,Calculations!Q8,'Reaction Information'!$C$21,'Reaction Information'!$P$21*10^5,'Reaction Information'!$Q$21,$D$20,$D$19=3))*41.84)</f>
        <v>#N/A</v>
      </c>
      <c r="BP8" s="8" t="e">
        <f>IF(OR(ISBLANK(Input!$AG$4),$D$27=FALSE),NA(),('Reaction Information'!$J$25/10+'Reaction Information'!$K$25*100/(Calculations!$C$12+Calculations!$M8)+('Reaction Information'!$L$25+'Reaction Information'!$M$25*10000/(Calculations!$C$12+Calculations!$M8))/(Calculations!$O8-Calculations!$C$13)-calculateOmega(Calculations!M8,Calculations!N8,Calculations!Q8,'Reaction Information'!$C$25,'Reaction Information'!$P$25*10^5,'Reaction Information'!$Q$25)*Calculations!$U8*10^-6 + (1/$S8 - 1)*calculate_domegadP(Calculations!M8,Calculations!N8,Calculations!Q8,'Reaction Information'!$C$25,'Reaction Information'!$P$25*10^5,'Reaction Information'!$Q$25,$D$20,$D$19=3))*41.84)</f>
        <v>#N/A</v>
      </c>
      <c r="BQ8" s="8" t="e">
        <f>IF(OR(ISBLANK(Input!$AJ$4),$D$27=FALSE),NA(),('Reaction Information'!$J$29/10+'Reaction Information'!$K$29*100/(Calculations!$C$12+Calculations!$M8)+('Reaction Information'!$L$29+'Reaction Information'!$M$29*10000/(Calculations!$C$12+Calculations!$M8))/(Calculations!$O8-Calculations!$C$13)-calculateOmega(Calculations!M8,Calculations!N8,Calculations!Q8,'Reaction Information'!$C$29,'Reaction Information'!$P$29*10^5,'Reaction Information'!$Q$29)*Calculations!$U8*10^-6 + (1/$S8 - 1)*calculate_domegadP(Calculations!M8,Calculations!N8,Calculations!Q8,'Reaction Information'!$C$29,'Reaction Information'!$P$29*10^5,'Reaction Information'!$Q$29,$D$20,$D$19=3))*41.84)</f>
        <v>#N/A</v>
      </c>
      <c r="BR8" s="8" t="e">
        <f>IF(OR(ISBLANK(Input!$AM$4),$D$27=FALSE),NA(),('Reaction Information'!$J$33/10+'Reaction Information'!$K$33*100/(Calculations!$C$12+Calculations!$M8)+('Reaction Information'!$L$33+'Reaction Information'!$M$33*10000/(Calculations!$C$12+Calculations!$M8))/(Calculations!$O8-Calculations!$C$13)-calculateOmega(Calculations!M8,Calculations!N8,Calculations!Q8,'Reaction Information'!$C$33,'Reaction Information'!$P$33*10^5,'Reaction Information'!$Q$33)*Calculations!$U8*10^-6 + (1/$S8 - 1)*calculate_domegadP(Calculations!M8,Calculations!N8,Calculations!Q8,'Reaction Information'!$C$33,'Reaction Information'!$P$33*10^5,'Reaction Information'!$Q$33,$D$20,$D$19=3))*41.84)</f>
        <v>#N/A</v>
      </c>
      <c r="BS8" s="1">
        <f>Results!AW10</f>
        <v>0</v>
      </c>
      <c r="BT8" s="1">
        <f>Results!AX10</f>
        <v>0</v>
      </c>
      <c r="BU8" s="1">
        <f>Results!AY10</f>
        <v>0</v>
      </c>
      <c r="BV8" s="1">
        <f>Results!AZ10</f>
        <v>0</v>
      </c>
      <c r="BW8" s="1" t="e">
        <f>IF(OR(ISNA('Reaction Information'!$D$38), $N8 = "", $D$27 = FALSE, 'Reaction Information'!$D$38 = ""), NA(), 24.465)</f>
        <v>#N/A</v>
      </c>
      <c r="BX8" s="1" t="e">
        <f>IF(OR(ISNA('Reaction Information'!$D$42), $N8 = "", $D$27 = FALSE, 'Reaction Information'!$D$42 = ""), NA(), 24.465)</f>
        <v>#N/A</v>
      </c>
      <c r="BY8" s="8" t="e">
        <f t="shared" si="1"/>
        <v>#N/A</v>
      </c>
      <c r="BZ8" s="8">
        <f>IF(OR(ISBLANK(Input!$BK$4),$D$27=FALSE),NA(),('Reaction Information'!$J$46/10+'Reaction Information'!$K$46*100/(Calculations!$C$12+Calculations!$M8)+('Reaction Information'!$L$46+'Reaction Information'!$M$46*10000/(Calculations!$C$12+Calculations!$M8))/(Calculations!$O8-Calculations!$C$13)-calculateOmega(Calculations!M8,Calculations!N8,Calculations!Q8,'Reaction Information'!$C$46,'Reaction Information'!$P$46*10^5,'Reaction Information'!$Q$46)*Calculations!$U8*10^-6 + (1/$S8 - 1)*calculate_domegadP(Calculations!M8,Calculations!N8,Calculations!Q8,'Reaction Information'!$C$46,'Reaction Information'!$P$46*10^5,'Reaction Information'!$Q$46,$D$20,$D$19=3))*41.84)</f>
        <v>0</v>
      </c>
      <c r="CA8" s="8">
        <f>IF(OR(ISBLANK(Input!$BN$4),$D$27=FALSE),NA(),('Reaction Information'!$J$50/10+'Reaction Information'!$K$50*100/(Calculations!$C$12+Calculations!$M8)+('Reaction Information'!$L$50+'Reaction Information'!$M$50*10000/(Calculations!$C$12+Calculations!$M8))/(Calculations!$O8-Calculations!$C$13)-calculateOmega(Calculations!M8,Calculations!N8,Calculations!Q8,'Reaction Information'!$C$50,'Reaction Information'!$P$50*10^5,'Reaction Information'!$Q$50)*Calculations!$U8*10^-6 + (1/$S8 - 1)*calculate_domegadP(Calculations!M8,Calculations!N8,Calculations!Q8,'Reaction Information'!$C$50,'Reaction Information'!$P$50*10^5,'Reaction Information'!$Q$50,$D$20,$D$19=3))*41.84)</f>
        <v>24.41118345037728</v>
      </c>
      <c r="CB8" s="8" t="e">
        <f>IF(OR(ISBLANK(Input!$BQ$4),$D$27=FALSE),NA(),('Reaction Information'!$J$54/10+'Reaction Information'!$K$54*100/(Calculations!$C$12+Calculations!$M8)+('Reaction Information'!$L$54+'Reaction Information'!$M$54*10000/(Calculations!$C$12+Calculations!$M8))/(Calculations!$O8-Calculations!$C$13)-calculateOmega(Calculations!M8,Calculations!N8,Calculations!Q8,'Reaction Information'!$C$54,'Reaction Information'!$P$54*10^5,'Reaction Information'!$Q$54)*Calculations!$U8*10^-6 + (1/$S8 - 1)*calculate_domegadP(Calculations!M8,Calculations!N8,Calculations!Q8,'Reaction Information'!$C$54,'Reaction Information'!$P$54*10^5,'Reaction Information'!$Q$54,$D$20,$D$19=3))*41.84)</f>
        <v>#N/A</v>
      </c>
      <c r="CC8" s="8" t="e">
        <f>IF(OR(ISBLANK(Input!$BT$4),$D$27=FALSE),NA(),('Reaction Information'!$J$58/10+'Reaction Information'!$K$58*100/(Calculations!$C$12+Calculations!$M8)+('Reaction Information'!$L$58+'Reaction Information'!$M$58*10000/(Calculations!$C$12+Calculations!$M8))/(Calculations!$O8-Calculations!$C$13)-calculateOmega(Calculations!M8,Calculations!N8,Calculations!Q8,'Reaction Information'!$C$58,'Reaction Information'!$P$58*10^5,'Reaction Information'!$Q$58)*Calculations!$U8*10^-6 + (1/$S8 - 1)*calculate_domegadP(Calculations!M8,Calculations!N8,Calculations!Q8,'Reaction Information'!$C$58,'Reaction Information'!$P$58*10^5,'Reaction Information'!$Q$58,$D$20,$D$19=3))*41.84)</f>
        <v>#N/A</v>
      </c>
      <c r="CD8" s="8" t="e">
        <f>IF(OR(ISBLANK(Input!$BW$4),$D$27=FALSE),NA(),('Reaction Information'!$J$62/10+'Reaction Information'!$K$62*100/(Calculations!$C$12+Calculations!$M8)+('Reaction Information'!$L$62+'Reaction Information'!$M$62*10000/(Calculations!$C$12+Calculations!$M8))/(Calculations!$O8-Calculations!$C$13)-calculateOmega(Calculations!M8,Calculations!N8,Calculations!Q8,'Reaction Information'!$C$62,'Reaction Information'!$P$62*10^5,'Reaction Information'!$Q$62)*Calculations!$U8*10^-6 + (1/$S8 - 1)*calculate_domegadP(Calculations!M8,Calculations!N8,Calculations!Q8,'Reaction Information'!$C$62,'Reaction Information'!$P$62*10^5,'Reaction Information'!$Q$62,$D$20,$D$19=3))*41.84)</f>
        <v>#N/A</v>
      </c>
      <c r="CE8" s="8" t="e">
        <f>IF(OR(ISBLANK(Input!$BZ$4),$D$27=FALSE),NA(),('Reaction Information'!$J$66/10+'Reaction Information'!$K$66*100/(Calculations!$C$12+Calculations!$M8)+('Reaction Information'!$L$66+'Reaction Information'!$M$66*10000/(Calculations!$C$12+Calculations!$M8))/(Calculations!$O8-Calculations!$C$13)-calculateOmega(Calculations!M8,Calculations!N8,Calculations!Q8,'Reaction Information'!$C$66,'Reaction Information'!$P$66*10^5,'Reaction Information'!$Q$66)*Calculations!$U8*10^-6 + (1/$S8 - 1)*calculate_domegadP(Calculations!M8,Calculations!N8,Calculations!Q8,'Reaction Information'!$C$66,'Reaction Information'!$P$66*10^5,'Reaction Information'!$Q$66,$D$20,$D$19=3))*41.84)</f>
        <v>#N/A</v>
      </c>
      <c r="CF8" s="31">
        <f>(BS8*Input!$AO$4+BT8*Input!$AR$4+BU8*Input!$AU$4+BV8*Input!$AX$4+IF(ISNA(BW8),0,BW8*Input!$BA$4)+IF(ISNA(BX8),0,BX8*Input!$BD$4)+IF(ISNA(BY8),0,BY8*Input!$BG$4)+IF(ISNA(BZ8),0,BZ8*Input!$BJ$4)+IF(ISNA(CA8),0,CA8*Input!$BM$4)+IF(ISNA(CB8),0,CB8*Input!$BP$4)+IF(ISNA(CC8),0,CC8*Input!$BS$4)+IF(ISNA(CD8),0,CD8*Input!$BV$4)+IF(ISNA(CE8),0,CE8*Input!$BY$4))-(BF8*Input!$B$4+BG8*Input!$E$4+BH8*Input!$H$4+BI8*Input!$K$4+IF(ISNA(BJ8),0,BJ8*Input!$N$4)+IF(ISNA(BK8),0,BK8*Input!$Q$4)+IF(ISNA(BL8),0,BL8*Input!$T$4)+IF(ISNA(BM8),0,BM8*Input!$W$4)+IF(ISNA(BN8),0,BN8*Input!$Z$4)+IF(ISNA(BO8),0,BO8*Input!$AC$4)+IF(ISNA(BP8),0,BP8*Input!$AF$4)+IF(ISNA(BQ8),0,BQ8*Input!$AI$4)+IF(ISNA(BR8),0,BR8*Input!$AL$4))</f>
        <v>-30.247186352840444</v>
      </c>
      <c r="CG8" s="1">
        <f t="shared" si="12"/>
        <v>400</v>
      </c>
      <c r="CH8" s="46">
        <f t="shared" si="13"/>
        <v>5000</v>
      </c>
      <c r="CI8" s="1"/>
    </row>
    <row r="9" spans="1:87" ht="15.75" customHeight="1" x14ac:dyDescent="0.2">
      <c r="A9" s="1"/>
      <c r="B9" s="7" t="s">
        <v>439</v>
      </c>
      <c r="C9" s="7">
        <v>1</v>
      </c>
      <c r="D9" s="7" t="s">
        <v>440</v>
      </c>
      <c r="E9" s="1"/>
      <c r="F9" s="2">
        <v>4</v>
      </c>
      <c r="G9" s="1" t="str">
        <f>IF(ISBLANK(Input!CB9), "", Input!CB9*1000)</f>
        <v/>
      </c>
      <c r="H9" s="1" t="str">
        <f>IF(ISBLANK(Input!CC9), "", Input!CC9)</f>
        <v/>
      </c>
      <c r="I9" s="1">
        <f>IF(Input!$CF$5 + Input!$CF$6*(FLOOR((Calculations!$F9-1)/(FLOOR((Input!$CF$12-Input!$CF$10)/Input!$CF$11,1)+1),1)) &gt; Input!$CF$7, "", (Input!$CF$5 + Input!$CF$6*(FLOOR((Calculations!$F9-1)/(FLOOR((Input!$CF$12-Input!$CF$10)/Input!$CF$11,1)+1),1)))*1000)</f>
        <v>5000</v>
      </c>
      <c r="J9" s="1">
        <f>IF(Calculations!I9 = "", "", Input!$CF$10 + Input!$CF$11*(Calculations!$F9-1) - (FLOOR((Input!$CF$12-Input!$CF$10)/Input!$CF$11,1)+1)*Input!$CF$11*FLOOR((Calculations!$F9-1)/(FLOOR((Input!$CF$12-Input!$CF$10)/Input!$CF$11,1)+1),1))</f>
        <v>450</v>
      </c>
      <c r="K9" s="8">
        <f t="shared" si="14"/>
        <v>1</v>
      </c>
      <c r="L9" s="117">
        <f>IF(OR(Input!$CJ$5 + Input!$CJ$6*(Calculations!F9-1) &gt; Input!$CJ$7, Input!$CJ$5 + Input!$CJ$6*(Calculations!F9-1) &gt; 350), "", Input!$CJ$5 + Input!$CJ$6*(Calculations!F9-1))</f>
        <v>75</v>
      </c>
      <c r="M9" s="1">
        <f t="shared" si="2"/>
        <v>5000</v>
      </c>
      <c r="N9" s="1">
        <f t="shared" si="3"/>
        <v>450</v>
      </c>
      <c r="O9" s="1">
        <f t="shared" si="4"/>
        <v>723.15</v>
      </c>
      <c r="P9" s="1" t="e">
        <f>IF(OR($D$20=3,AND($D$21=TRUE,M9&lt;1000)),INDEX('Water Density'!$C$6:$CX$120,MATCH(Calculations!N9,'Water Density'!$B$6:$B$120),MATCH(Calculations!M9/1000,'Water Density'!$C$5:$CX$5)),NA())</f>
        <v>#N/A</v>
      </c>
      <c r="Q9" s="182">
        <f>IF(OR($D$20=3,AND($D$21=TRUE,M9&lt;1000)), IF(P9&lt;&gt;0,P9,NA()), calculateDensity(M9,N9,$D$20,0.01,$D$19 = 3))</f>
        <v>0.89837774535894399</v>
      </c>
      <c r="R9" s="1" t="e">
        <f>IF($D$22=5,INDEX('Dielectric Constant'!$C$6:$CX$120,MATCH(Calculations!N9,'Dielectric Constant'!$B$6:$B$120),MATCH(Calculations!M9/1000,'Dielectric Constant'!$C$5:$CX$5)),NA())</f>
        <v>#N/A</v>
      </c>
      <c r="S9" s="58">
        <f>IF($D$22=5, IF(R9&lt;&gt;0,R9,NA()), IF(AND($D$23,M9&lt;=5000,$D$19 &lt;&gt; 3),calculateEpsilon(Q9,N9,1,FALSE),calculateEpsilon(Q9,N9,$D$22,$D$19 = 3)))</f>
        <v>22.076469349955243</v>
      </c>
      <c r="T9" s="1" t="e">
        <f>IF($D$24=3,INDEX('Water Free Energy'!$C$6:$CX$120,MATCH(Calculations!N9,'Water Free Energy'!$B$6:$B$120),MATCH(Calculations!M9/1000,'Water Free Energy'!$C$5:$CX$5)),NA())</f>
        <v>#N/A</v>
      </c>
      <c r="U9" s="179">
        <f>IF($D$27,calculateQ(M9,N9,Q9,$D$20,$D$22,$D$19=3)*10^6,NA())</f>
        <v>1.8616702524540854</v>
      </c>
      <c r="V9"/>
      <c r="W9" s="2">
        <f t="shared" si="5"/>
        <v>5000</v>
      </c>
      <c r="X9" s="1">
        <f t="shared" si="6"/>
        <v>450</v>
      </c>
      <c r="Y9" s="1">
        <f>Results!F11</f>
        <v>0</v>
      </c>
      <c r="Z9" s="1">
        <f>Results!G11</f>
        <v>0</v>
      </c>
      <c r="AA9" s="1">
        <f>Results!H11</f>
        <v>0</v>
      </c>
      <c r="AB9" s="1">
        <f>Results!I11</f>
        <v>0</v>
      </c>
      <c r="AC9" s="1" t="e">
        <f>IF(ISBLANK(Input!$O$4),NA(),'Reaction Information'!$E$5-'Reaction Information'!$G$5*(Calculations!$O9-Calculations!$C$8)+'Reaction Information'!$I$5*(Calculations!$O9-Calculations!$C$8-Calculations!$O9*LN(Calculations!$O9/Calculations!$C$8))+'Reaction Information'!$J$5*0.001/2*(2*Calculations!$O9*Calculations!$C$8-Calculations!$O9^2-Calculations!$C$8^2) + 'Reaction Information'!$K$5*100000*(Calculations!$O9^2 + Calculations!$C$8^2 - 2*Calculations!$O9*Calculations!$C$8)/(2*Calculations!$O9*Calculations!$C$8^2))</f>
        <v>#N/A</v>
      </c>
      <c r="AD9" s="8" t="e">
        <f>IF(ISBLANK(Input!$R$4),NA(),'Reaction Information'!$E$9-'Reaction Information'!$G$9*(Calculations!$O9-Calculations!$C$8)+'Reaction Information'!$I$9*(Calculations!$O9-Calculations!$C$8-Calculations!$O9*LN(Calculations!$O9/Calculations!$C$8))+'Reaction Information'!$J$9*0.001/2*(2*Calculations!$O9*Calculations!$C$8-Calculations!$O9^2-Calculations!$C$8^2) + 'Reaction Information'!$K$9*100000*(Calculations!$O9^2 + Calculations!$C$8^2 - 2*Calculations!$O9*Calculations!$C$8)/(2*Calculations!$O9*Calculations!$C$8^2))</f>
        <v>#N/A</v>
      </c>
      <c r="AE9" s="8">
        <f>IF(AE$5="H2O",IF($D$24=3,IF(T9=0,NA(),T9),calculateGibbsOfWater(M9,N9,$D$24,$D$20,$D$19=3)),NA())</f>
        <v>-64951.441352432324</v>
      </c>
      <c r="AF9" s="8">
        <f>IF(ISBLANK(Input!$X$4),NA(),'Reaction Information'!$E$13-'Reaction Information'!$G$13*(Calculations!O9-Calculations!$C$8)-'Reaction Information'!$N$13*(Calculations!O9*LN(Calculations!O9/Calculations!$C$8)-Calculations!O9+Calculations!$C$8)-'Reaction Information'!$O$13*10^4*(((1/(Calculations!O9-Calculations!$C$13))-(1/(Calculations!$C$8-Calculations!$C$13)))*((Calculations!$C$13-Calculations!O9)/(Calculations!$C$13))-(Calculations!O9/(Calculations!$C$13*Calculations!$C$13))*LN((Calculations!$C$8*(Calculations!O9-Calculations!$C$13))/(Calculations!O9*(Calculations!$C$8-Calculations!$C$13))))+'Reaction Information'!$J$13*10^-1*(Calculations!M9-Calculations!$C$9)+'Reaction Information'!$K$13*10^2*LN((Calculations!$C$12+Calculations!M9)/(Calculations!$C$12+Calculations!$C$9))+(1/(Calculations!O9-Calculations!$C$13))*('Reaction Information'!$L$13*(Calculations!M9-Calculations!$C$9)+'Reaction Information'!$M$13*10^4*LN((Calculations!$C$12+Calculations!M9)/(Calculations!$C$12+Calculations!$C$9)))+calculateOmega(Calculations!M9,Calculations!N9,Calculations!Q9,'Reaction Information'!$C$13,'Reaction Information'!$P$13*10^5,'Reaction Information'!$Q$13)*((1/Calculations!S9)-1)-'Reaction Information'!$P$13*10^5*((1/Calculations!$C$10)-1)+'Reaction Information'!$P$13*10^5*Calculations!$C$14*(Calculations!O9-Calculations!$C$8))</f>
        <v>-106273.40727336038</v>
      </c>
      <c r="AG9" s="8" t="e">
        <f>IF(ISBLANK(Input!$AA$4),NA(),'Reaction Information'!$E$17-'Reaction Information'!$G$17*(Calculations!$O9-Calculations!$C$8)-'Reaction Information'!$N$17*(Calculations!$O9*LN(Calculations!$O9/Calculations!$C$8)-Calculations!$O9+Calculations!$C$8)-'Reaction Information'!$O$17*10^4*(((1/(Calculations!$O9-Calculations!$C$13))-(1/(Calculations!$C$8-Calculations!$C$13)))*((Calculations!$C$13-Calculations!$O9)/(Calculations!$C$13))-(Calculations!$O9/(Calculations!$C$13*Calculations!$C$13))*LN((Calculations!$C$8*(Calculations!$O9-Calculations!$C$13))/(Calculations!$O9*(Calculations!$C$8-Calculations!$C$13))))+'Reaction Information'!$J$17*10^-1*(Calculations!$M9-Calculations!$C$9)+'Reaction Information'!$K$17*10^2*LN((Calculations!$C$12+Calculations!$M9)/(Calculations!$C$12+Calculations!$C$9))+(1/(Calculations!$O9-Calculations!$C$13))*('Reaction Information'!$L$17*(Calculations!$M9-Calculations!$C$9)+'Reaction Information'!$M$17*10^4*LN((Calculations!$C$12+Calculations!$M9)/(Calculations!$C$12+Calculations!$C$9)))+calculateOmega(Calculations!M9,Calculations!N9,Calculations!Q9,'Reaction Information'!$C$17,'Reaction Information'!$P$17*10^5,'Reaction Information'!$Q$17)*((1/Calculations!$S9)-1)-'Reaction Information'!$P$17*10^5*((1/Calculations!$C$10)-1)+'Reaction Information'!$P$17*10^5*Calculations!$C$14*(Calculations!$O9-Calculations!$C$8))</f>
        <v>#N/A</v>
      </c>
      <c r="AH9" s="8" t="e">
        <f>IF(ISBLANK(Input!$AD$4),NA(),'Reaction Information'!$E$21-'Reaction Information'!$G$21*(Calculations!$O9-Calculations!$C$8)-'Reaction Information'!$N$21*(Calculations!$O9*LN(Calculations!$O9/Calculations!$C$8)-Calculations!$O9+Calculations!$C$8)-'Reaction Information'!$O$21*10^4*(((1/(Calculations!$O9-Calculations!$C$13))-(1/(Calculations!$C$8-Calculations!$C$13)))*((Calculations!$C$13-Calculations!$O9)/(Calculations!$C$13))-(Calculations!$O9/(Calculations!$C$13*Calculations!$C$13))*LN((Calculations!$C$8*(Calculations!$O9-Calculations!$C$13))/(Calculations!$O9*(Calculations!$C$8-Calculations!$C$13))))+'Reaction Information'!$J$21*10^-1*(Calculations!$M9-Calculations!$C$9)+'Reaction Information'!$K$21*10^2*LN((Calculations!$C$12+Calculations!$M9)/(Calculations!$C$12+Calculations!$C$9))+(1/(Calculations!$O9-Calculations!$C$13))*('Reaction Information'!$L$21*(Calculations!$M9-Calculations!$C$9)+'Reaction Information'!$M$21*10^4*LN((Calculations!$C$12+Calculations!$M9)/(Calculations!$C$12+Calculations!$C$9)))+calculateOmega(Calculations!M9,Calculations!N9,Calculations!Q9,'Reaction Information'!$C$21,'Reaction Information'!$P$21*10^5,'Reaction Information'!$Q$21)*((1/Calculations!$S9)-1)-'Reaction Information'!$P$21*10^5*((1/Calculations!$C$10)-1)+'Reaction Information'!$P$21*10^5*Calculations!$C$14*(Calculations!$O9-Calculations!$C$8))</f>
        <v>#N/A</v>
      </c>
      <c r="AI9" s="8" t="e">
        <f>IF(ISBLANK(Input!$AG$4),NA(),'Reaction Information'!$E$25-'Reaction Information'!$G$25*(Calculations!$O9-Calculations!$C$8)-'Reaction Information'!$N$25*(Calculations!$O9*LN(Calculations!$O9/Calculations!$C$8)-Calculations!$O9+Calculations!$C$8)-'Reaction Information'!$O$25*10^4*(((1/(Calculations!$O9-Calculations!$C$13))-(1/(Calculations!$C$8-Calculations!$C$13)))*((Calculations!$C$13-Calculations!$O9)/(Calculations!$C$13))-(Calculations!$O9/(Calculations!$C$13*Calculations!$C$13))*LN((Calculations!$C$8*(Calculations!$O9-Calculations!$C$13))/(Calculations!$O9*(Calculations!$C$8-Calculations!$C$13))))+'Reaction Information'!$J$25*10^-1*(Calculations!$M9-Calculations!$C$9)+'Reaction Information'!$K$25*10^2*LN((Calculations!$C$12+Calculations!$M9)/(Calculations!$C$12+Calculations!$C$9))+(1/(Calculations!$O9-Calculations!$C$13))*('Reaction Information'!$L$25*(Calculations!$M9-Calculations!$C$9)+'Reaction Information'!$M$25*10^4*LN((Calculations!$C$12+Calculations!$M9)/(Calculations!$C$12+Calculations!$C$9)))+calculateOmega(Calculations!M9,Calculations!N9,Calculations!Q9,'Reaction Information'!$C$25,'Reaction Information'!$P$25*10^5,'Reaction Information'!$Q$25)*((1/Calculations!$S9)-1)-'Reaction Information'!$P$25*10^5*((1/Calculations!$C$10)-1)+'Reaction Information'!$P$25*10^5*Calculations!$C$14*(Calculations!$O9-Calculations!$C$8))</f>
        <v>#N/A</v>
      </c>
      <c r="AJ9" s="8" t="e">
        <f>IF(ISBLANK(Input!$AJ$4),NA(),'Reaction Information'!$E$29-'Reaction Information'!$G$29*(Calculations!$O9-Calculations!$C$8)-'Reaction Information'!$N$29*(Calculations!$O9*LN(Calculations!$O9/Calculations!$C$8)-Calculations!$O9+Calculations!$C$8)-'Reaction Information'!$O$29*10^4*(((1/(Calculations!$O9-Calculations!$C$13))-(1/(Calculations!$C$8-Calculations!$C$13)))*((Calculations!$C$13-Calculations!$O9)/(Calculations!$C$13))-(Calculations!$O9/(Calculations!$C$13*Calculations!$C$13))*LN((Calculations!$C$8*(Calculations!$O9-Calculations!$C$13))/(Calculations!$O9*(Calculations!$C$8-Calculations!$C$13))))+'Reaction Information'!$J$29*10^-1*(Calculations!$M9-Calculations!$C$9)+'Reaction Information'!$K$29*10^2*LN((Calculations!$C$12+Calculations!$M9)/(Calculations!$C$12+Calculations!$C$9))+(1/(Calculations!$O9-Calculations!$C$13))*('Reaction Information'!$L$29*(Calculations!$M9-Calculations!$C$9)+'Reaction Information'!$M$29*10^4*LN((Calculations!$C$12+Calculations!$M9)/(Calculations!$C$12+Calculations!$C$9)))+calculateOmega(Calculations!M9,Calculations!N9,Calculations!Q9,'Reaction Information'!$C$29,'Reaction Information'!$P$29*10^5,'Reaction Information'!$Q$29)*((1/Calculations!$S9)-1)-'Reaction Information'!$P$29*10^5*((1/Calculations!$C$10)-1)+'Reaction Information'!$P$29*10^5*Calculations!$C$14*(Calculations!$O9-Calculations!$C$8))</f>
        <v>#N/A</v>
      </c>
      <c r="AK9" s="8" t="e">
        <f>IF(ISBLANK(Input!$AM$4),NA(),'Reaction Information'!$E$33-'Reaction Information'!$G$33*(Calculations!$O9-Calculations!$C$8)-'Reaction Information'!$N$33*(Calculations!$O9*LN(Calculations!$O9/Calculations!$C$8)-Calculations!$O9+Calculations!$C$8)-'Reaction Information'!$O$33*10^4*(((1/(Calculations!$O9-Calculations!$C$13))-(1/(Calculations!$C$8-Calculations!$C$13)))*((Calculations!$C$13-Calculations!$O9)/(Calculations!$C$13))-(Calculations!$O9/(Calculations!$C$13*Calculations!$C$13))*LN((Calculations!$C$8*(Calculations!$O9-Calculations!$C$13))/(Calculations!$O9*(Calculations!$C$8-Calculations!$C$13))))+'Reaction Information'!$J$33*10^-1*(Calculations!$M9-Calculations!$C$9)+'Reaction Information'!$K$33*10^2*LN((Calculations!$C$12+Calculations!$M9)/(Calculations!$C$12+Calculations!$C$9))+(1/(Calculations!$O9-Calculations!$C$13))*('Reaction Information'!$L$33*(Calculations!$M9-Calculations!$C$9)+'Reaction Information'!$M$33*10^4*LN((Calculations!$C$12+Calculations!$M9)/(Calculations!$C$12+Calculations!$C$9)))+calculateOmega(Calculations!M9,Calculations!N9,Calculations!Q9,'Reaction Information'!$C$33,'Reaction Information'!$P$33*10^5,'Reaction Information'!$Q$33)*((1/Calculations!$S9)-1)-'Reaction Information'!$P$33*10^5*((1/Calculations!$C$10)-1)+'Reaction Information'!$P$33*10^5*Calculations!$C$14*(Calculations!$O9-Calculations!$C$8))</f>
        <v>#N/A</v>
      </c>
      <c r="AL9" s="1">
        <f>Results!S11</f>
        <v>0</v>
      </c>
      <c r="AM9" s="1">
        <f>Results!T11</f>
        <v>0</v>
      </c>
      <c r="AN9" s="1">
        <f>Results!U11</f>
        <v>0</v>
      </c>
      <c r="AO9" s="1">
        <f>Results!V11</f>
        <v>0</v>
      </c>
      <c r="AP9" s="8" t="e">
        <f>IF(ISBLANK(Input!$BB$4),NA(),'Reaction Information'!$E$38-'Reaction Information'!$G$38*(Calculations!$O9-Calculations!$C$8)+'Reaction Information'!$I$38*(Calculations!$O9-Calculations!$C$8-Calculations!$O9*LN(Calculations!$O9/Calculations!$C$8))+'Reaction Information'!$J$38*0.001/2*(2*Calculations!$O9*Calculations!$C$8-Calculations!$O9^2-Calculations!$C$8^2) + 'Reaction Information'!$K$38*100000*(Calculations!$O9^2 + Calculations!$C$8^2 - 2*Calculations!$O9*Calculations!$C$8)/(2*Calculations!$O9*Calculations!$C$8^2))</f>
        <v>#N/A</v>
      </c>
      <c r="AQ9" s="8" t="e">
        <f>IF(ISBLANK(Input!$BE$4),NA(),'Reaction Information'!$E$42-'Reaction Information'!$G$42*(Calculations!$O9-Calculations!$C$8)+'Reaction Information'!$I$42*(Calculations!$O9-Calculations!$C$8-Calculations!$O9*LN(Calculations!$O9/Calculations!$C$8))+'Reaction Information'!$J$42*0.001/2*(2*Calculations!$O9*Calculations!$C$8-Calculations!$O9^2-Calculations!$C$8^2) + 'Reaction Information'!$K$42*100000*(Calculations!$O9^2 + Calculations!$C$8^2 - 2*Calculations!$O9*Calculations!$C$8)/(2*Calculations!$O9*Calculations!$C$8^2))</f>
        <v>#N/A</v>
      </c>
      <c r="AR9" s="8" t="e">
        <f>IF(AR$5="H2O", IF($D$24=3,IF(T9=0,NA(),T9),calculateGibbsOfWater(M9,N9,$D$24,$D$20,$D$19=3)),NA())</f>
        <v>#N/A</v>
      </c>
      <c r="AS9" s="8">
        <f>IF(ISBLANK(Input!$BK$4),NA(),'Reaction Information'!$E$46-'Reaction Information'!$G$46*(Calculations!O9-Calculations!$C$8)-'Reaction Information'!$N$46*(Calculations!O9*LN(Calculations!O9/Calculations!$C$8)-Calculations!O9+Calculations!$C$8)-'Reaction Information'!$O$46*10^4*(((1/(Calculations!O9-Calculations!$C$13))-(1/(Calculations!$C$8-Calculations!$C$13)))*((Calculations!$C$13-Calculations!O9)/(Calculations!$C$13))-(Calculations!O9/(Calculations!$C$13*Calculations!$C$13))*LN((Calculations!$C$8*(Calculations!O9-Calculations!$C$13))/(Calculations!O9*(Calculations!$C$8-Calculations!$C$13))))+'Reaction Information'!$J$46*10^-1*(Calculations!$M9-Calculations!$C$9)+'Reaction Information'!$K$46*10^2*LN((Calculations!$C$12+Calculations!$M9)/(Calculations!$C$12+Calculations!$C$9))+(1/(Calculations!O9-Calculations!$C$13))*('Reaction Information'!$L$46*(Calculations!$M9-Calculations!$C$9)+'Reaction Information'!$M$46*10^4*LN((Calculations!$C$12+Calculations!$M9)/(Calculations!$C$12+Calculations!$C$9)))+calculateOmega(Calculations!M9,Calculations!N9,Calculations!Q9,'Reaction Information'!$C$46,'Reaction Information'!$P$46*10^5,'Reaction Information'!$Q$46)*((1/Calculations!S9)-1)-'Reaction Information'!$P$46*10^5*((1/Calculations!$C$10)-1)+'Reaction Information'!$P$46*10^5*Calculations!$C$14*(Calculations!O9-Calculations!$C$8))</f>
        <v>0</v>
      </c>
      <c r="AT9" s="8">
        <f>IF(ISBLANK(Input!$BN$4),NA(),'Reaction Information'!$E$50-'Reaction Information'!$G$50*(Calculations!O9-Calculations!$C$8)-'Reaction Information'!$N$50*(Calculations!O9*LN(Calculations!O9/Calculations!$C$8)-Calculations!O9+Calculations!$C$8)-'Reaction Information'!$O$50*10^4*(((1/(Calculations!O9-Calculations!$C$13))-(1/(Calculations!$C$8-Calculations!$C$13)))*((Calculations!$C$13-Calculations!O9)/(Calculations!$C$13))-(Calculations!O9/(Calculations!$C$13*Calculations!$C$13))*LN((Calculations!$C$8*(Calculations!O9-Calculations!$C$13))/(Calculations!O9*(Calculations!$C$8-Calculations!$C$13))))+'Reaction Information'!$J$50*10^-1*(Calculations!$M9-Calculations!$C$9)+'Reaction Information'!$K$50*10^2*LN((Calculations!$C$12+Calculations!$M9)/(Calculations!$C$12+Calculations!$C$9))+(1/(Calculations!O9-Calculations!$C$13))*('Reaction Information'!$L$50*(Calculations!$M9-Calculations!$C$9)+'Reaction Information'!$M$50*10^4*LN((Calculations!$C$12+Calculations!$M9)/(Calculations!$C$12+Calculations!$C$9)))+calculateOmega(Calculations!M9,Calculations!N9,Calculations!Q9,'Reaction Information'!$C$50,'Reaction Information'!$P$50*10^5,'Reaction Information'!$Q$50)*((1/Calculations!S9)-1)-'Reaction Information'!$P$50*10^5*((1/Calculations!$C$10)-1)+'Reaction Information'!$P$50*10^5*Calculations!$C$14*(Calculations!O9-Calculations!$C$8))</f>
        <v>-147340.92620655676</v>
      </c>
      <c r="AU9" s="8" t="e">
        <f>IF(ISBLANK(Input!$BQ$4),NA(),'Reaction Information'!$E$54-'Reaction Information'!$G$54*(Calculations!$O9-Calculations!$C$8)-'Reaction Information'!$N$54*(Calculations!$O9*LN(Calculations!$O9/Calculations!$C$8)-Calculations!$O9+Calculations!$C$8)-'Reaction Information'!$O$54*10^4*(((1/(Calculations!$O9-Calculations!$C$13))-(1/(Calculations!$C$8-Calculations!$C$13)))*((Calculations!$C$13-Calculations!$O9)/(Calculations!$C$13))-(Calculations!$O9/(Calculations!$C$13*Calculations!$C$13))*LN((Calculations!$C$8*(Calculations!$O9-Calculations!$C$13))/(Calculations!$O9*(Calculations!$C$8-Calculations!$C$13))))+'Reaction Information'!$J$54*10^-1*(Calculations!$M9-Calculations!$C$9)+'Reaction Information'!$K$54*10^2*LN((Calculations!$C$12+Calculations!$M9)/(Calculations!$C$12+Calculations!$C$9))+(1/(Calculations!$O9-Calculations!$C$13))*('Reaction Information'!$L$54*(Calculations!$M9-Calculations!$C$9)+'Reaction Information'!$M$54*10^4*LN((Calculations!$C$12+Calculations!$M9)/(Calculations!$C$12+Calculations!$C$9)))+calculateOmega(Calculations!M9,Calculations!N9,Calculations!Q9,'Reaction Information'!$C$54,'Reaction Information'!$P$54*10^5,'Reaction Information'!$Q$54)*((1/Calculations!$S9)-1)-'Reaction Information'!$P$54*10^5*((1/Calculations!$C$10)-1)+'Reaction Information'!$P$54*10^5*Calculations!$C$14*(Calculations!$O9-Calculations!$C$8))</f>
        <v>#N/A</v>
      </c>
      <c r="AV9" s="8" t="e">
        <f>IF(ISBLANK(Input!$BT$4),NA(),'Reaction Information'!$E$58-'Reaction Information'!$G$58*(Calculations!$O9-Calculations!$C$8)-'Reaction Information'!$N$58*(Calculations!$O9*LN(Calculations!$O9/Calculations!$C$8)-Calculations!$O9+Calculations!$C$8)-'Reaction Information'!$O$58*10^4*(((1/(Calculations!$O9-Calculations!$C$13))-(1/(Calculations!$C$8-Calculations!$C$13)))*((Calculations!$C$13-Calculations!$O9)/(Calculations!$C$13))-(Calculations!$O9/(Calculations!$C$13*Calculations!$C$13))*LN((Calculations!$C$8*(Calculations!$O9-Calculations!$C$13))/(Calculations!$O9*(Calculations!$C$8-Calculations!$C$13))))+'Reaction Information'!$J$58*10^-1*(Calculations!$M9-Calculations!$C$9)+'Reaction Information'!$K$58*10^2*LN((Calculations!$C$12+Calculations!$M9)/(Calculations!$C$12+Calculations!$C$9))+(1/(Calculations!$O9-Calculations!$C$13))*('Reaction Information'!$L$58*(Calculations!$M9-Calculations!$C$9)+'Reaction Information'!$M$58*10^4*LN((Calculations!$C$12+Calculations!$M9)/(Calculations!$C$12+Calculations!$C$9)))+calculateOmega(Calculations!M9,Calculations!N9,Calculations!Q9,'Reaction Information'!$C$58,'Reaction Information'!$P$58*10^5,'Reaction Information'!$Q$58)*((1/Calculations!$S9)-1)-'Reaction Information'!$P$58*10^5*((1/Calculations!$C$10)-1)+'Reaction Information'!$P$58*10^5*Calculations!$C$14*(Calculations!$O9-Calculations!$C$8))</f>
        <v>#N/A</v>
      </c>
      <c r="AW9" s="8" t="e">
        <f>IF(ISBLANK(Input!$BW$4),NA(),'Reaction Information'!$E$62-'Reaction Information'!$G$62*(Calculations!$O9-Calculations!$C$8)-'Reaction Information'!$N$62*(Calculations!$O9*LN(Calculations!$O9/Calculations!$C$8)-Calculations!$O9+Calculations!$C$8)-'Reaction Information'!$O$62*10^4*(((1/(Calculations!$O9-Calculations!$C$13))-(1/(Calculations!$C$8-Calculations!$C$13)))*((Calculations!$C$13-Calculations!$O9)/(Calculations!$C$13))-(Calculations!$O9/(Calculations!$C$13*Calculations!$C$13))*LN((Calculations!$C$8*(Calculations!$O9-Calculations!$C$13))/(Calculations!$O9*(Calculations!$C$8-Calculations!$C$13))))+'Reaction Information'!$J$62*10^-1*(Calculations!$M9-Calculations!$C$9)+'Reaction Information'!$K$62*10^2*LN((Calculations!$C$12+Calculations!$M9)/(Calculations!$C$12+Calculations!$C$9))+(1/(Calculations!$O9-Calculations!$C$13))*('Reaction Information'!$L$62*(Calculations!$M9-Calculations!$C$9)+'Reaction Information'!$M$62*10^4*LN((Calculations!$C$12+Calculations!$M9)/(Calculations!$C$12+Calculations!$C$9)))+calculateOmega(Calculations!M9,Calculations!N9,Calculations!Q9,'Reaction Information'!$C$62,'Reaction Information'!$P$62*10^5,'Reaction Information'!$Q$62)*((1/Calculations!$S9)-1)-'Reaction Information'!$P$62*10^5*((1/Calculations!$C$10)-1)+'Reaction Information'!$P$62*10^5*Calculations!$C$14*(Calculations!$O9-Calculations!$C$8))</f>
        <v>#N/A</v>
      </c>
      <c r="AX9" s="8" t="e">
        <f>IF(ISBLANK(Input!$BZ$4),NA(),'Reaction Information'!$E$66-'Reaction Information'!$G$66*(Calculations!$O9-Calculations!$C$8)-'Reaction Information'!$N$66*(Calculations!$O9*LN(Calculations!$O9/Calculations!$C$8)-Calculations!$O9+Calculations!$C$8)-'Reaction Information'!$O$66*10^4*(((1/(Calculations!$O9-Calculations!$C$13))-(1/(Calculations!$C$8-Calculations!$C$13)))*((Calculations!$C$13-Calculations!$O9)/(Calculations!$C$13))-(Calculations!$O9/(Calculations!$C$13*Calculations!$C$13))*LN((Calculations!$C$8*(Calculations!$O9-Calculations!$C$13))/(Calculations!$O9*(Calculations!$C$8-Calculations!$C$13))))+'Reaction Information'!$J$66*10^-1*(Calculations!$M9-Calculations!$C$9)+'Reaction Information'!$K$66*10^2*LN((Calculations!$C$12+Calculations!$M9)/(Calculations!$C$12+Calculations!$C$9))+(1/(Calculations!$O9-Calculations!$C$13))*('Reaction Information'!$L$66*(Calculations!$M9-Calculations!$C$9)+'Reaction Information'!$M$66*10^4*LN((Calculations!$C$12+Calculations!$M9)/(Calculations!$C$12+Calculations!$C$9)))+calculateOmega(Calculations!M9,Calculations!N9,Calculations!Q9,'Reaction Information'!$C$66,'Reaction Information'!$P$66*10^5,'Reaction Information'!$Q$66)*((1/Calculations!$S9)-1)-'Reaction Information'!$P$66*10^5*((1/Calculations!$C$10)-1)+'Reaction Information'!$P$66*10^5*Calculations!$C$14*(Calculations!$O9-Calculations!$C$8))</f>
        <v>#N/A</v>
      </c>
      <c r="AY9" s="31">
        <f>(AL9*Input!$AO$4+AM9*Input!$AR$4+AN9*Input!$AU$4+AO9*Input!$AX$4+IF(ISNA(AP9),0,AP9*Input!$BA$4)+IF(ISNA(AQ9),0,AQ9*Input!$BD$4)+IF(ISNA(AR9),0,AR9*Input!$BG$4)+IF(ISNA(AS9),0,AS9*Input!$BJ$4)+IF(ISNA(AT9),0,AT9*Input!$BM$4)+IF(ISNA(AU9),0,AU9*Input!$BP$4)+IF(ISNA(AV9),0,AV9*Input!$BS$4)+IF(ISNA(AW9),0,AW9*Input!$BV$4)+IF(ISNA(AX9),0,AX9*Input!$BY$4))-(Y9*Input!$B$4+Z9*Input!$E$4+AA9*Input!$H$4+AB9*Input!$K$4+IF(ISNA(AC9),0,AC9*Input!$N$4)+IF(ISNA(AD9),0,AD9*Input!$Q$4)+IF(ISNA(AE9),0,AE9*Input!$T$4)+IF(ISNA(AF9),0,AF9*Input!$W$4)+IF(ISNA(AG9),0,AG9*Input!$Z$4)+IF(ISNA(AH9),0,AH9*Input!$AC$4)+IF(ISNA(AI9),0,AI9*Input!$AF$4)+IF(ISNA(AJ9),0,AJ9*Input!$AI$4)+IF(ISNA(AK9),0,AK9*Input!$AL$4))</f>
        <v>23883.922419235954</v>
      </c>
      <c r="AZ9" s="42">
        <f t="shared" si="7"/>
        <v>-7.2228589653115485</v>
      </c>
      <c r="BA9" s="1">
        <f t="shared" si="8"/>
        <v>450</v>
      </c>
      <c r="BB9" s="46">
        <f t="shared" si="9"/>
        <v>5000</v>
      </c>
      <c r="BC9" s="1"/>
      <c r="BD9" s="2">
        <f t="shared" si="10"/>
        <v>5000</v>
      </c>
      <c r="BE9" s="46">
        <f t="shared" si="11"/>
        <v>450</v>
      </c>
      <c r="BF9" s="1">
        <f>Results!AJ11</f>
        <v>0</v>
      </c>
      <c r="BG9" s="1">
        <f>Results!AK11</f>
        <v>0</v>
      </c>
      <c r="BH9" s="1">
        <f>Results!AL11</f>
        <v>0</v>
      </c>
      <c r="BI9" s="1">
        <f>Results!AM11</f>
        <v>0</v>
      </c>
      <c r="BJ9" s="1" t="e">
        <f>IF(OR(ISNA('Reaction Information'!$D$5), $N9 = "", $D$27 = FALSE, 'Reaction Information'!$D$5 = ""), NA(), 24.465)</f>
        <v>#N/A</v>
      </c>
      <c r="BK9" s="1" t="e">
        <f>IF(OR(ISNA('Reaction Information'!$D$9), $N9 = "", $D$27 = FALSE, 'Reaction Information'!$D$9 = ""), NA(), 24.465)</f>
        <v>#N/A</v>
      </c>
      <c r="BL9" s="8">
        <f t="shared" si="0"/>
        <v>20.053123636541166</v>
      </c>
      <c r="BM9" s="8">
        <f>IF(OR(ISBLANK(Input!$X$4),$D$27=FALSE),NA(),('Reaction Information'!$J$13/10+'Reaction Information'!$K$13*100/(Calculations!$C$12+Calculations!$M9)+('Reaction Information'!$L$13+'Reaction Information'!$M$13*10^4/(Calculations!$C$12+Calculations!$M9))/(Calculations!$O9-Calculations!$C$13) -calculateOmega(Calculations!$M9,Calculations!$N9,Calculations!$Q9,'Reaction Information'!$C$13,'Reaction Information'!$P$13*10^5,'Reaction Information'!$Q$13)*Calculations!$U9*10^-6 + (1/$S9 - 1)*calculate_domegadP(Calculations!$M9,Calculations!$N9,Calculations!$Q9,'Reaction Information'!$C$13,'Reaction Information'!$P$13*10^5,'Reaction Information'!$Q$13,$D$20,$D$19=3))*41.84)</f>
        <v>36.578991956088814</v>
      </c>
      <c r="BN9" s="8" t="e">
        <f>IF(OR(ISBLANK(Input!$AA$4),$D$27=FALSE),NA(),('Reaction Information'!$J$17/10+'Reaction Information'!$K$17*100/(Calculations!$C$12+Calculations!$M9)+('Reaction Information'!$L$17+'Reaction Information'!$M$17*10000/(Calculations!$C$12+Calculations!$M9))/(Calculations!$O9-Calculations!$C$13)-calculateOmega(Calculations!M9,Calculations!N9,Calculations!Q9,'Reaction Information'!$C$17,'Reaction Information'!$P$17*10^5,'Reaction Information'!$Q$17)*Calculations!$U9*10^-6 + (1/$S9 - 1)*calculate_domegadP(Calculations!M9,Calculations!N9,Calculations!Q9,'Reaction Information'!$C$17,'Reaction Information'!$P$17*10^5,'Reaction Information'!$Q$17,$D$20,$D$19=3))*41.84)</f>
        <v>#N/A</v>
      </c>
      <c r="BO9" s="8" t="e">
        <f>IF(OR(ISBLANK(Input!$AD$4),$D$27=FALSE),NA(),('Reaction Information'!$J$21/10+'Reaction Information'!$K$21*100/(Calculations!$C$12+Calculations!$M9)+('Reaction Information'!$L$21+'Reaction Information'!$M$21*10000/(Calculations!$C$12+Calculations!$M9))/(Calculations!$O9-Calculations!$C$13)-calculateOmega(Calculations!M9,Calculations!N9,Calculations!Q9,'Reaction Information'!$C$21,'Reaction Information'!$P$21*10^5,'Reaction Information'!$Q$21)*Calculations!$U9*10^-6 + (1/$S9 - 1)*calculate_domegadP(Calculations!M9,Calculations!N9,Calculations!Q9,'Reaction Information'!$C$21,'Reaction Information'!$P$21*10^5,'Reaction Information'!$Q$21,$D$20,$D$19=3))*41.84)</f>
        <v>#N/A</v>
      </c>
      <c r="BP9" s="8" t="e">
        <f>IF(OR(ISBLANK(Input!$AG$4),$D$27=FALSE),NA(),('Reaction Information'!$J$25/10+'Reaction Information'!$K$25*100/(Calculations!$C$12+Calculations!$M9)+('Reaction Information'!$L$25+'Reaction Information'!$M$25*10000/(Calculations!$C$12+Calculations!$M9))/(Calculations!$O9-Calculations!$C$13)-calculateOmega(Calculations!M9,Calculations!N9,Calculations!Q9,'Reaction Information'!$C$25,'Reaction Information'!$P$25*10^5,'Reaction Information'!$Q$25)*Calculations!$U9*10^-6 + (1/$S9 - 1)*calculate_domegadP(Calculations!M9,Calculations!N9,Calculations!Q9,'Reaction Information'!$C$25,'Reaction Information'!$P$25*10^5,'Reaction Information'!$Q$25,$D$20,$D$19=3))*41.84)</f>
        <v>#N/A</v>
      </c>
      <c r="BQ9" s="8" t="e">
        <f>IF(OR(ISBLANK(Input!$AJ$4),$D$27=FALSE),NA(),('Reaction Information'!$J$29/10+'Reaction Information'!$K$29*100/(Calculations!$C$12+Calculations!$M9)+('Reaction Information'!$L$29+'Reaction Information'!$M$29*10000/(Calculations!$C$12+Calculations!$M9))/(Calculations!$O9-Calculations!$C$13)-calculateOmega(Calculations!M9,Calculations!N9,Calculations!Q9,'Reaction Information'!$C$29,'Reaction Information'!$P$29*10^5,'Reaction Information'!$Q$29)*Calculations!$U9*10^-6 + (1/$S9 - 1)*calculate_domegadP(Calculations!M9,Calculations!N9,Calculations!Q9,'Reaction Information'!$C$29,'Reaction Information'!$P$29*10^5,'Reaction Information'!$Q$29,$D$20,$D$19=3))*41.84)</f>
        <v>#N/A</v>
      </c>
      <c r="BR9" s="8" t="e">
        <f>IF(OR(ISBLANK(Input!$AM$4),$D$27=FALSE),NA(),('Reaction Information'!$J$33/10+'Reaction Information'!$K$33*100/(Calculations!$C$12+Calculations!$M9)+('Reaction Information'!$L$33+'Reaction Information'!$M$33*10000/(Calculations!$C$12+Calculations!$M9))/(Calculations!$O9-Calculations!$C$13)-calculateOmega(Calculations!M9,Calculations!N9,Calculations!Q9,'Reaction Information'!$C$33,'Reaction Information'!$P$33*10^5,'Reaction Information'!$Q$33)*Calculations!$U9*10^-6 + (1/$S9 - 1)*calculate_domegadP(Calculations!M9,Calculations!N9,Calculations!Q9,'Reaction Information'!$C$33,'Reaction Information'!$P$33*10^5,'Reaction Information'!$Q$33,$D$20,$D$19=3))*41.84)</f>
        <v>#N/A</v>
      </c>
      <c r="BS9" s="1">
        <f>Results!AW11</f>
        <v>0</v>
      </c>
      <c r="BT9" s="1">
        <f>Results!AX11</f>
        <v>0</v>
      </c>
      <c r="BU9" s="1">
        <f>Results!AY11</f>
        <v>0</v>
      </c>
      <c r="BV9" s="1">
        <f>Results!AZ11</f>
        <v>0</v>
      </c>
      <c r="BW9" s="1" t="e">
        <f>IF(OR(ISNA('Reaction Information'!$D$38), $N9 = "", $D$27 = FALSE, 'Reaction Information'!$D$38 = ""), NA(), 24.465)</f>
        <v>#N/A</v>
      </c>
      <c r="BX9" s="1" t="e">
        <f>IF(OR(ISNA('Reaction Information'!$D$42), $N9 = "", $D$27 = FALSE, 'Reaction Information'!$D$42 = ""), NA(), 24.465)</f>
        <v>#N/A</v>
      </c>
      <c r="BY9" s="8" t="e">
        <f t="shared" si="1"/>
        <v>#N/A</v>
      </c>
      <c r="BZ9" s="8">
        <f>IF(OR(ISBLANK(Input!$BK$4),$D$27=FALSE),NA(),('Reaction Information'!$J$46/10+'Reaction Information'!$K$46*100/(Calculations!$C$12+Calculations!$M9)+('Reaction Information'!$L$46+'Reaction Information'!$M$46*10000/(Calculations!$C$12+Calculations!$M9))/(Calculations!$O9-Calculations!$C$13)-calculateOmega(Calculations!M9,Calculations!N9,Calculations!Q9,'Reaction Information'!$C$46,'Reaction Information'!$P$46*10^5,'Reaction Information'!$Q$46)*Calculations!$U9*10^-6 + (1/$S9 - 1)*calculate_domegadP(Calculations!M9,Calculations!N9,Calculations!Q9,'Reaction Information'!$C$46,'Reaction Information'!$P$46*10^5,'Reaction Information'!$Q$46,$D$20,$D$19=3))*41.84)</f>
        <v>0</v>
      </c>
      <c r="CA9" s="8">
        <f>IF(OR(ISBLANK(Input!$BN$4),$D$27=FALSE),NA(),('Reaction Information'!$J$50/10+'Reaction Information'!$K$50*100/(Calculations!$C$12+Calculations!$M9)+('Reaction Information'!$L$50+'Reaction Information'!$M$50*10000/(Calculations!$C$12+Calculations!$M9))/(Calculations!$O9-Calculations!$C$13)-calculateOmega(Calculations!M9,Calculations!N9,Calculations!Q9,'Reaction Information'!$C$50,'Reaction Information'!$P$50*10^5,'Reaction Information'!$Q$50)*Calculations!$U9*10^-6 + (1/$S9 - 1)*calculate_domegadP(Calculations!M9,Calculations!N9,Calculations!Q9,'Reaction Information'!$C$50,'Reaction Information'!$P$50*10^5,'Reaction Information'!$Q$50,$D$20,$D$19=3))*41.84)</f>
        <v>22.556325187914499</v>
      </c>
      <c r="CB9" s="8" t="e">
        <f>IF(OR(ISBLANK(Input!$BQ$4),$D$27=FALSE),NA(),('Reaction Information'!$J$54/10+'Reaction Information'!$K$54*100/(Calculations!$C$12+Calculations!$M9)+('Reaction Information'!$L$54+'Reaction Information'!$M$54*10000/(Calculations!$C$12+Calculations!$M9))/(Calculations!$O9-Calculations!$C$13)-calculateOmega(Calculations!M9,Calculations!N9,Calculations!Q9,'Reaction Information'!$C$54,'Reaction Information'!$P$54*10^5,'Reaction Information'!$Q$54)*Calculations!$U9*10^-6 + (1/$S9 - 1)*calculate_domegadP(Calculations!M9,Calculations!N9,Calculations!Q9,'Reaction Information'!$C$54,'Reaction Information'!$P$54*10^5,'Reaction Information'!$Q$54,$D$20,$D$19=3))*41.84)</f>
        <v>#N/A</v>
      </c>
      <c r="CC9" s="8" t="e">
        <f>IF(OR(ISBLANK(Input!$BT$4),$D$27=FALSE),NA(),('Reaction Information'!$J$58/10+'Reaction Information'!$K$58*100/(Calculations!$C$12+Calculations!$M9)+('Reaction Information'!$L$58+'Reaction Information'!$M$58*10000/(Calculations!$C$12+Calculations!$M9))/(Calculations!$O9-Calculations!$C$13)-calculateOmega(Calculations!M9,Calculations!N9,Calculations!Q9,'Reaction Information'!$C$58,'Reaction Information'!$P$58*10^5,'Reaction Information'!$Q$58)*Calculations!$U9*10^-6 + (1/$S9 - 1)*calculate_domegadP(Calculations!M9,Calculations!N9,Calculations!Q9,'Reaction Information'!$C$58,'Reaction Information'!$P$58*10^5,'Reaction Information'!$Q$58,$D$20,$D$19=3))*41.84)</f>
        <v>#N/A</v>
      </c>
      <c r="CD9" s="8" t="e">
        <f>IF(OR(ISBLANK(Input!$BW$4),$D$27=FALSE),NA(),('Reaction Information'!$J$62/10+'Reaction Information'!$K$62*100/(Calculations!$C$12+Calculations!$M9)+('Reaction Information'!$L$62+'Reaction Information'!$M$62*10000/(Calculations!$C$12+Calculations!$M9))/(Calculations!$O9-Calculations!$C$13)-calculateOmega(Calculations!M9,Calculations!N9,Calculations!Q9,'Reaction Information'!$C$62,'Reaction Information'!$P$62*10^5,'Reaction Information'!$Q$62)*Calculations!$U9*10^-6 + (1/$S9 - 1)*calculate_domegadP(Calculations!M9,Calculations!N9,Calculations!Q9,'Reaction Information'!$C$62,'Reaction Information'!$P$62*10^5,'Reaction Information'!$Q$62,$D$20,$D$19=3))*41.84)</f>
        <v>#N/A</v>
      </c>
      <c r="CE9" s="8" t="e">
        <f>IF(OR(ISBLANK(Input!$BZ$4),$D$27=FALSE),NA(),('Reaction Information'!$J$66/10+'Reaction Information'!$K$66*100/(Calculations!$C$12+Calculations!$M9)+('Reaction Information'!$L$66+'Reaction Information'!$M$66*10000/(Calculations!$C$12+Calculations!$M9))/(Calculations!$O9-Calculations!$C$13)-calculateOmega(Calculations!M9,Calculations!N9,Calculations!Q9,'Reaction Information'!$C$66,'Reaction Information'!$P$66*10^5,'Reaction Information'!$Q$66)*Calculations!$U9*10^-6 + (1/$S9 - 1)*calculate_domegadP(Calculations!M9,Calculations!N9,Calculations!Q9,'Reaction Information'!$C$66,'Reaction Information'!$P$66*10^5,'Reaction Information'!$Q$66,$D$20,$D$19=3))*41.84)</f>
        <v>#N/A</v>
      </c>
      <c r="CF9" s="31">
        <f>(BS9*Input!$AO$4+BT9*Input!$AR$4+BU9*Input!$AU$4+BV9*Input!$AX$4+IF(ISNA(BW9),0,BW9*Input!$BA$4)+IF(ISNA(BX9),0,BX9*Input!$BD$4)+IF(ISNA(BY9),0,BY9*Input!$BG$4)+IF(ISNA(BZ9),0,BZ9*Input!$BJ$4)+IF(ISNA(CA9),0,CA9*Input!$BM$4)+IF(ISNA(CB9),0,CB9*Input!$BP$4)+IF(ISNA(CC9),0,CC9*Input!$BS$4)+IF(ISNA(CD9),0,CD9*Input!$BV$4)+IF(ISNA(CE9),0,CE9*Input!$BY$4))-(BF9*Input!$B$4+BG9*Input!$E$4+BH9*Input!$H$4+BI9*Input!$K$4+IF(ISNA(BJ9),0,BJ9*Input!$N$4)+IF(ISNA(BK9),0,BK9*Input!$Q$4)+IF(ISNA(BL9),0,BL9*Input!$T$4)+IF(ISNA(BM9),0,BM9*Input!$W$4)+IF(ISNA(BN9),0,BN9*Input!$Z$4)+IF(ISNA(BO9),0,BO9*Input!$AC$4)+IF(ISNA(BP9),0,BP9*Input!$AF$4)+IF(ISNA(BQ9),0,BQ9*Input!$AI$4)+IF(ISNA(BR9),0,BR9*Input!$AL$4))</f>
        <v>-34.075790404715477</v>
      </c>
      <c r="CG9" s="1">
        <f t="shared" si="12"/>
        <v>450</v>
      </c>
      <c r="CH9" s="46">
        <f t="shared" si="13"/>
        <v>5000</v>
      </c>
      <c r="CI9" s="1"/>
    </row>
    <row r="10" spans="1:87" ht="17" x14ac:dyDescent="0.2">
      <c r="A10" s="1"/>
      <c r="B10" s="19" t="s">
        <v>441</v>
      </c>
      <c r="C10" s="7">
        <v>78.47</v>
      </c>
      <c r="D10" s="7" t="s">
        <v>442</v>
      </c>
      <c r="E10" s="1"/>
      <c r="F10" s="2">
        <v>5</v>
      </c>
      <c r="G10" s="1" t="str">
        <f>IF(ISBLANK(Input!CB10), "", Input!CB10*1000)</f>
        <v/>
      </c>
      <c r="H10" s="1" t="str">
        <f>IF(ISBLANK(Input!CC10), "", Input!CC10)</f>
        <v/>
      </c>
      <c r="I10" s="1">
        <f>IF(Input!$CF$5 + Input!$CF$6*(FLOOR((Calculations!$F10-1)/(FLOOR((Input!$CF$12-Input!$CF$10)/Input!$CF$11,1)+1),1)) &gt; Input!$CF$7, "", (Input!$CF$5 + Input!$CF$6*(FLOOR((Calculations!$F10-1)/(FLOOR((Input!$CF$12-Input!$CF$10)/Input!$CF$11,1)+1),1)))*1000)</f>
        <v>5000</v>
      </c>
      <c r="J10" s="1">
        <f>IF(Calculations!I10 = "", "", Input!$CF$10 + Input!$CF$11*(Calculations!$F10-1) - (FLOOR((Input!$CF$12-Input!$CF$10)/Input!$CF$11,1)+1)*Input!$CF$11*FLOOR((Calculations!$F10-1)/(FLOOR((Input!$CF$12-Input!$CF$10)/Input!$CF$11,1)+1),1))</f>
        <v>500</v>
      </c>
      <c r="K10" s="8">
        <f t="shared" si="14"/>
        <v>1.4867618275306977</v>
      </c>
      <c r="L10" s="117">
        <f>IF(OR(Input!$CJ$5 + Input!$CJ$6*(Calculations!F10-1) &gt; Input!$CJ$7, Input!$CJ$5 + Input!$CJ$6*(Calculations!F10-1) &gt; 350), "", Input!$CJ$5 + Input!$CJ$6*(Calculations!F10-1))</f>
        <v>100</v>
      </c>
      <c r="M10" s="1">
        <f t="shared" si="2"/>
        <v>5000</v>
      </c>
      <c r="N10" s="1">
        <f t="shared" si="3"/>
        <v>500</v>
      </c>
      <c r="O10" s="1">
        <f t="shared" si="4"/>
        <v>773.15</v>
      </c>
      <c r="P10" s="1" t="e">
        <f>IF(OR($D$20=3,AND($D$21=TRUE,M10&lt;1000)),INDEX('Water Density'!$C$6:$CX$120,MATCH(Calculations!N10,'Water Density'!$B$6:$B$120),MATCH(Calculations!M10/1000,'Water Density'!$C$5:$CX$5)),NA())</f>
        <v>#N/A</v>
      </c>
      <c r="Q10" s="182">
        <f>IF(OR($D$20=3,AND($D$21=TRUE,M10&lt;1000)), IF(P10&lt;&gt;0,P10,NA()), calculateDensity(M10,N10,$D$20,0.01,$D$19 = 3))</f>
        <v>0.86660084819793692</v>
      </c>
      <c r="R10" s="1" t="e">
        <f>IF($D$22=5,INDEX('Dielectric Constant'!$C$6:$CX$120,MATCH(Calculations!N10,'Dielectric Constant'!$B$6:$B$120),MATCH(Calculations!M10/1000,'Dielectric Constant'!$C$5:$CX$5)),NA())</f>
        <v>#N/A</v>
      </c>
      <c r="S10" s="58">
        <f>IF($D$22=5, IF(R10&lt;&gt;0,R10,NA()), IF(AND($D$23,M10&lt;=5000,$D$19 &lt;&gt; 3),calculateEpsilon(Q10,N10,1,FALSE),calculateEpsilon(Q10,N10,$D$22,$D$19 = 3)))</f>
        <v>19.261056775589186</v>
      </c>
      <c r="T10" s="1" t="e">
        <f>IF($D$24=3,INDEX('Water Free Energy'!$C$6:$CX$120,MATCH(Calculations!N10,'Water Free Energy'!$B$6:$B$120),MATCH(Calculations!M10/1000,'Water Free Energy'!$C$5:$CX$5)),NA())</f>
        <v>#N/A</v>
      </c>
      <c r="U10" s="179">
        <f>IF($D$27,calculateQ(M10,N10,Q10,$D$20,$D$22,$D$19=3)*10^6,NA())</f>
        <v>2.3302575720837329</v>
      </c>
      <c r="V10"/>
      <c r="W10" s="2">
        <f t="shared" si="5"/>
        <v>5000</v>
      </c>
      <c r="X10" s="1">
        <f t="shared" si="6"/>
        <v>500</v>
      </c>
      <c r="Y10" s="1">
        <f>Results!F12</f>
        <v>0</v>
      </c>
      <c r="Z10" s="1">
        <f>Results!G12</f>
        <v>0</v>
      </c>
      <c r="AA10" s="1">
        <f>Results!H12</f>
        <v>0</v>
      </c>
      <c r="AB10" s="1">
        <f>Results!I12</f>
        <v>0</v>
      </c>
      <c r="AC10" s="1" t="e">
        <f>IF(ISBLANK(Input!$O$4),NA(),'Reaction Information'!$E$5-'Reaction Information'!$G$5*(Calculations!$O10-Calculations!$C$8)+'Reaction Information'!$I$5*(Calculations!$O10-Calculations!$C$8-Calculations!$O10*LN(Calculations!$O10/Calculations!$C$8))+'Reaction Information'!$J$5*0.001/2*(2*Calculations!$O10*Calculations!$C$8-Calculations!$O10^2-Calculations!$C$8^2) + 'Reaction Information'!$K$5*100000*(Calculations!$O10^2 + Calculations!$C$8^2 - 2*Calculations!$O10*Calculations!$C$8)/(2*Calculations!$O10*Calculations!$C$8^2))</f>
        <v>#N/A</v>
      </c>
      <c r="AD10" s="8" t="e">
        <f>IF(ISBLANK(Input!$R$4),NA(),'Reaction Information'!$E$9-'Reaction Information'!$G$9*(Calculations!$O10-Calculations!$C$8)+'Reaction Information'!$I$9*(Calculations!$O10-Calculations!$C$8-Calculations!$O10*LN(Calculations!$O10/Calculations!$C$8))+'Reaction Information'!$J$9*0.001/2*(2*Calculations!$O10*Calculations!$C$8-Calculations!$O10^2-Calculations!$C$8^2) + 'Reaction Information'!$K$9*100000*(Calculations!$O10^2 + Calculations!$C$8^2 - 2*Calculations!$O10*Calculations!$C$8)/(2*Calculations!$O10*Calculations!$C$8^2))</f>
        <v>#N/A</v>
      </c>
      <c r="AE10" s="8">
        <f>IF(AE$5="H2O",IF($D$24=3,IF(T10=0,NA(),T10),calculateGibbsOfWater(M10,N10,$D$24,$D$20,$D$19=3)),NA())</f>
        <v>-66494.808798301601</v>
      </c>
      <c r="AF10" s="8">
        <f>IF(ISBLANK(Input!$X$4),NA(),'Reaction Information'!$E$13-'Reaction Information'!$G$13*(Calculations!O10-Calculations!$C$8)-'Reaction Information'!$N$13*(Calculations!O10*LN(Calculations!O10/Calculations!$C$8)-Calculations!O10+Calculations!$C$8)-'Reaction Information'!$O$13*10^4*(((1/(Calculations!O10-Calculations!$C$13))-(1/(Calculations!$C$8-Calculations!$C$13)))*((Calculations!$C$13-Calculations!O10)/(Calculations!$C$13))-(Calculations!O10/(Calculations!$C$13*Calculations!$C$13))*LN((Calculations!$C$8*(Calculations!O10-Calculations!$C$13))/(Calculations!O10*(Calculations!$C$8-Calculations!$C$13))))+'Reaction Information'!$J$13*10^-1*(Calculations!M10-Calculations!$C$9)+'Reaction Information'!$K$13*10^2*LN((Calculations!$C$12+Calculations!M10)/(Calculations!$C$12+Calculations!$C$9))+(1/(Calculations!O10-Calculations!$C$13))*('Reaction Information'!$L$13*(Calculations!M10-Calculations!$C$9)+'Reaction Information'!$M$13*10^4*LN((Calculations!$C$12+Calculations!M10)/(Calculations!$C$12+Calculations!$C$9)))+calculateOmega(Calculations!M10,Calculations!N10,Calculations!Q10,'Reaction Information'!$C$13,'Reaction Information'!$P$13*10^5,'Reaction Information'!$Q$13)*((1/Calculations!S10)-1)-'Reaction Information'!$P$13*10^5*((1/Calculations!$C$10)-1)+'Reaction Information'!$P$13*10^5*Calculations!$C$14*(Calculations!O10-Calculations!$C$8))</f>
        <v>-108765.03663410168</v>
      </c>
      <c r="AG10" s="8" t="e">
        <f>IF(ISBLANK(Input!$AA$4),NA(),'Reaction Information'!$E$17-'Reaction Information'!$G$17*(Calculations!$O10-Calculations!$C$8)-'Reaction Information'!$N$17*(Calculations!$O10*LN(Calculations!$O10/Calculations!$C$8)-Calculations!$O10+Calculations!$C$8)-'Reaction Information'!$O$17*10^4*(((1/(Calculations!$O10-Calculations!$C$13))-(1/(Calculations!$C$8-Calculations!$C$13)))*((Calculations!$C$13-Calculations!$O10)/(Calculations!$C$13))-(Calculations!$O10/(Calculations!$C$13*Calculations!$C$13))*LN((Calculations!$C$8*(Calculations!$O10-Calculations!$C$13))/(Calculations!$O10*(Calculations!$C$8-Calculations!$C$13))))+'Reaction Information'!$J$17*10^-1*(Calculations!$M10-Calculations!$C$9)+'Reaction Information'!$K$17*10^2*LN((Calculations!$C$12+Calculations!$M10)/(Calculations!$C$12+Calculations!$C$9))+(1/(Calculations!$O10-Calculations!$C$13))*('Reaction Information'!$L$17*(Calculations!$M10-Calculations!$C$9)+'Reaction Information'!$M$17*10^4*LN((Calculations!$C$12+Calculations!$M10)/(Calculations!$C$12+Calculations!$C$9)))+calculateOmega(Calculations!M10,Calculations!N10,Calculations!Q10,'Reaction Information'!$C$17,'Reaction Information'!$P$17*10^5,'Reaction Information'!$Q$17)*((1/Calculations!$S10)-1)-'Reaction Information'!$P$17*10^5*((1/Calculations!$C$10)-1)+'Reaction Information'!$P$17*10^5*Calculations!$C$14*(Calculations!$O10-Calculations!$C$8))</f>
        <v>#N/A</v>
      </c>
      <c r="AH10" s="8" t="e">
        <f>IF(ISBLANK(Input!$AD$4),NA(),'Reaction Information'!$E$21-'Reaction Information'!$G$21*(Calculations!$O10-Calculations!$C$8)-'Reaction Information'!$N$21*(Calculations!$O10*LN(Calculations!$O10/Calculations!$C$8)-Calculations!$O10+Calculations!$C$8)-'Reaction Information'!$O$21*10^4*(((1/(Calculations!$O10-Calculations!$C$13))-(1/(Calculations!$C$8-Calculations!$C$13)))*((Calculations!$C$13-Calculations!$O10)/(Calculations!$C$13))-(Calculations!$O10/(Calculations!$C$13*Calculations!$C$13))*LN((Calculations!$C$8*(Calculations!$O10-Calculations!$C$13))/(Calculations!$O10*(Calculations!$C$8-Calculations!$C$13))))+'Reaction Information'!$J$21*10^-1*(Calculations!$M10-Calculations!$C$9)+'Reaction Information'!$K$21*10^2*LN((Calculations!$C$12+Calculations!$M10)/(Calculations!$C$12+Calculations!$C$9))+(1/(Calculations!$O10-Calculations!$C$13))*('Reaction Information'!$L$21*(Calculations!$M10-Calculations!$C$9)+'Reaction Information'!$M$21*10^4*LN((Calculations!$C$12+Calculations!$M10)/(Calculations!$C$12+Calculations!$C$9)))+calculateOmega(Calculations!M10,Calculations!N10,Calculations!Q10,'Reaction Information'!$C$21,'Reaction Information'!$P$21*10^5,'Reaction Information'!$Q$21)*((1/Calculations!$S10)-1)-'Reaction Information'!$P$21*10^5*((1/Calculations!$C$10)-1)+'Reaction Information'!$P$21*10^5*Calculations!$C$14*(Calculations!$O10-Calculations!$C$8))</f>
        <v>#N/A</v>
      </c>
      <c r="AI10" s="8" t="e">
        <f>IF(ISBLANK(Input!$AG$4),NA(),'Reaction Information'!$E$25-'Reaction Information'!$G$25*(Calculations!$O10-Calculations!$C$8)-'Reaction Information'!$N$25*(Calculations!$O10*LN(Calculations!$O10/Calculations!$C$8)-Calculations!$O10+Calculations!$C$8)-'Reaction Information'!$O$25*10^4*(((1/(Calculations!$O10-Calculations!$C$13))-(1/(Calculations!$C$8-Calculations!$C$13)))*((Calculations!$C$13-Calculations!$O10)/(Calculations!$C$13))-(Calculations!$O10/(Calculations!$C$13*Calculations!$C$13))*LN((Calculations!$C$8*(Calculations!$O10-Calculations!$C$13))/(Calculations!$O10*(Calculations!$C$8-Calculations!$C$13))))+'Reaction Information'!$J$25*10^-1*(Calculations!$M10-Calculations!$C$9)+'Reaction Information'!$K$25*10^2*LN((Calculations!$C$12+Calculations!$M10)/(Calculations!$C$12+Calculations!$C$9))+(1/(Calculations!$O10-Calculations!$C$13))*('Reaction Information'!$L$25*(Calculations!$M10-Calculations!$C$9)+'Reaction Information'!$M$25*10^4*LN((Calculations!$C$12+Calculations!$M10)/(Calculations!$C$12+Calculations!$C$9)))+calculateOmega(Calculations!M10,Calculations!N10,Calculations!Q10,'Reaction Information'!$C$25,'Reaction Information'!$P$25*10^5,'Reaction Information'!$Q$25)*((1/Calculations!$S10)-1)-'Reaction Information'!$P$25*10^5*((1/Calculations!$C$10)-1)+'Reaction Information'!$P$25*10^5*Calculations!$C$14*(Calculations!$O10-Calculations!$C$8))</f>
        <v>#N/A</v>
      </c>
      <c r="AJ10" s="8" t="e">
        <f>IF(ISBLANK(Input!$AJ$4),NA(),'Reaction Information'!$E$29-'Reaction Information'!$G$29*(Calculations!$O10-Calculations!$C$8)-'Reaction Information'!$N$29*(Calculations!$O10*LN(Calculations!$O10/Calculations!$C$8)-Calculations!$O10+Calculations!$C$8)-'Reaction Information'!$O$29*10^4*(((1/(Calculations!$O10-Calculations!$C$13))-(1/(Calculations!$C$8-Calculations!$C$13)))*((Calculations!$C$13-Calculations!$O10)/(Calculations!$C$13))-(Calculations!$O10/(Calculations!$C$13*Calculations!$C$13))*LN((Calculations!$C$8*(Calculations!$O10-Calculations!$C$13))/(Calculations!$O10*(Calculations!$C$8-Calculations!$C$13))))+'Reaction Information'!$J$29*10^-1*(Calculations!$M10-Calculations!$C$9)+'Reaction Information'!$K$29*10^2*LN((Calculations!$C$12+Calculations!$M10)/(Calculations!$C$12+Calculations!$C$9))+(1/(Calculations!$O10-Calculations!$C$13))*('Reaction Information'!$L$29*(Calculations!$M10-Calculations!$C$9)+'Reaction Information'!$M$29*10^4*LN((Calculations!$C$12+Calculations!$M10)/(Calculations!$C$12+Calculations!$C$9)))+calculateOmega(Calculations!M10,Calculations!N10,Calculations!Q10,'Reaction Information'!$C$29,'Reaction Information'!$P$29*10^5,'Reaction Information'!$Q$29)*((1/Calculations!$S10)-1)-'Reaction Information'!$P$29*10^5*((1/Calculations!$C$10)-1)+'Reaction Information'!$P$29*10^5*Calculations!$C$14*(Calculations!$O10-Calculations!$C$8))</f>
        <v>#N/A</v>
      </c>
      <c r="AK10" s="8" t="e">
        <f>IF(ISBLANK(Input!$AM$4),NA(),'Reaction Information'!$E$33-'Reaction Information'!$G$33*(Calculations!$O10-Calculations!$C$8)-'Reaction Information'!$N$33*(Calculations!$O10*LN(Calculations!$O10/Calculations!$C$8)-Calculations!$O10+Calculations!$C$8)-'Reaction Information'!$O$33*10^4*(((1/(Calculations!$O10-Calculations!$C$13))-(1/(Calculations!$C$8-Calculations!$C$13)))*((Calculations!$C$13-Calculations!$O10)/(Calculations!$C$13))-(Calculations!$O10/(Calculations!$C$13*Calculations!$C$13))*LN((Calculations!$C$8*(Calculations!$O10-Calculations!$C$13))/(Calculations!$O10*(Calculations!$C$8-Calculations!$C$13))))+'Reaction Information'!$J$33*10^-1*(Calculations!$M10-Calculations!$C$9)+'Reaction Information'!$K$33*10^2*LN((Calculations!$C$12+Calculations!$M10)/(Calculations!$C$12+Calculations!$C$9))+(1/(Calculations!$O10-Calculations!$C$13))*('Reaction Information'!$L$33*(Calculations!$M10-Calculations!$C$9)+'Reaction Information'!$M$33*10^4*LN((Calculations!$C$12+Calculations!$M10)/(Calculations!$C$12+Calculations!$C$9)))+calculateOmega(Calculations!M10,Calculations!N10,Calculations!Q10,'Reaction Information'!$C$33,'Reaction Information'!$P$33*10^5,'Reaction Information'!$Q$33)*((1/Calculations!$S10)-1)-'Reaction Information'!$P$33*10^5*((1/Calculations!$C$10)-1)+'Reaction Information'!$P$33*10^5*Calculations!$C$14*(Calculations!$O10-Calculations!$C$8))</f>
        <v>#N/A</v>
      </c>
      <c r="AL10" s="1">
        <f>Results!S12</f>
        <v>0</v>
      </c>
      <c r="AM10" s="1">
        <f>Results!T12</f>
        <v>0</v>
      </c>
      <c r="AN10" s="1">
        <f>Results!U12</f>
        <v>0</v>
      </c>
      <c r="AO10" s="1">
        <f>Results!V12</f>
        <v>0</v>
      </c>
      <c r="AP10" s="8" t="e">
        <f>IF(ISBLANK(Input!$BB$4),NA(),'Reaction Information'!$E$38-'Reaction Information'!$G$38*(Calculations!$O10-Calculations!$C$8)+'Reaction Information'!$I$38*(Calculations!$O10-Calculations!$C$8-Calculations!$O10*LN(Calculations!$O10/Calculations!$C$8))+'Reaction Information'!$J$38*0.001/2*(2*Calculations!$O10*Calculations!$C$8-Calculations!$O10^2-Calculations!$C$8^2) + 'Reaction Information'!$K$38*100000*(Calculations!$O10^2 + Calculations!$C$8^2 - 2*Calculations!$O10*Calculations!$C$8)/(2*Calculations!$O10*Calculations!$C$8^2))</f>
        <v>#N/A</v>
      </c>
      <c r="AQ10" s="8" t="e">
        <f>IF(ISBLANK(Input!$BE$4),NA(),'Reaction Information'!$E$42-'Reaction Information'!$G$42*(Calculations!$O10-Calculations!$C$8)+'Reaction Information'!$I$42*(Calculations!$O10-Calculations!$C$8-Calculations!$O10*LN(Calculations!$O10/Calculations!$C$8))+'Reaction Information'!$J$42*0.001/2*(2*Calculations!$O10*Calculations!$C$8-Calculations!$O10^2-Calculations!$C$8^2) + 'Reaction Information'!$K$42*100000*(Calculations!$O10^2 + Calculations!$C$8^2 - 2*Calculations!$O10*Calculations!$C$8)/(2*Calculations!$O10*Calculations!$C$8^2))</f>
        <v>#N/A</v>
      </c>
      <c r="AR10" s="8" t="e">
        <f>IF(AR$5="H2O", IF($D$24=3,IF(T10=0,NA(),T10),calculateGibbsOfWater(M10,N10,$D$24,$D$20,$D$19=3)),NA())</f>
        <v>#N/A</v>
      </c>
      <c r="AS10" s="8">
        <f>IF(ISBLANK(Input!$BK$4),NA(),'Reaction Information'!$E$46-'Reaction Information'!$G$46*(Calculations!O10-Calculations!$C$8)-'Reaction Information'!$N$46*(Calculations!O10*LN(Calculations!O10/Calculations!$C$8)-Calculations!O10+Calculations!$C$8)-'Reaction Information'!$O$46*10^4*(((1/(Calculations!O10-Calculations!$C$13))-(1/(Calculations!$C$8-Calculations!$C$13)))*((Calculations!$C$13-Calculations!O10)/(Calculations!$C$13))-(Calculations!O10/(Calculations!$C$13*Calculations!$C$13))*LN((Calculations!$C$8*(Calculations!O10-Calculations!$C$13))/(Calculations!O10*(Calculations!$C$8-Calculations!$C$13))))+'Reaction Information'!$J$46*10^-1*(Calculations!$M10-Calculations!$C$9)+'Reaction Information'!$K$46*10^2*LN((Calculations!$C$12+Calculations!$M10)/(Calculations!$C$12+Calculations!$C$9))+(1/(Calculations!O10-Calculations!$C$13))*('Reaction Information'!$L$46*(Calculations!$M10-Calculations!$C$9)+'Reaction Information'!$M$46*10^4*LN((Calculations!$C$12+Calculations!$M10)/(Calculations!$C$12+Calculations!$C$9)))+calculateOmega(Calculations!M10,Calculations!N10,Calculations!Q10,'Reaction Information'!$C$46,'Reaction Information'!$P$46*10^5,'Reaction Information'!$Q$46)*((1/Calculations!S10)-1)-'Reaction Information'!$P$46*10^5*((1/Calculations!$C$10)-1)+'Reaction Information'!$P$46*10^5*Calculations!$C$14*(Calculations!O10-Calculations!$C$8))</f>
        <v>0</v>
      </c>
      <c r="AT10" s="8">
        <f>IF(ISBLANK(Input!$BN$4),NA(),'Reaction Information'!$E$50-'Reaction Information'!$G$50*(Calculations!O10-Calculations!$C$8)-'Reaction Information'!$N$50*(Calculations!O10*LN(Calculations!O10/Calculations!$C$8)-Calculations!O10+Calculations!$C$8)-'Reaction Information'!$O$50*10^4*(((1/(Calculations!O10-Calculations!$C$13))-(1/(Calculations!$C$8-Calculations!$C$13)))*((Calculations!$C$13-Calculations!O10)/(Calculations!$C$13))-(Calculations!O10/(Calculations!$C$13*Calculations!$C$13))*LN((Calculations!$C$8*(Calculations!O10-Calculations!$C$13))/(Calculations!O10*(Calculations!$C$8-Calculations!$C$13))))+'Reaction Information'!$J$50*10^-1*(Calculations!$M10-Calculations!$C$9)+'Reaction Information'!$K$50*10^2*LN((Calculations!$C$12+Calculations!$M10)/(Calculations!$C$12+Calculations!$C$9))+(1/(Calculations!O10-Calculations!$C$13))*('Reaction Information'!$L$50*(Calculations!$M10-Calculations!$C$9)+'Reaction Information'!$M$50*10^4*LN((Calculations!$C$12+Calculations!$M10)/(Calculations!$C$12+Calculations!$C$9)))+calculateOmega(Calculations!M10,Calculations!N10,Calculations!Q10,'Reaction Information'!$C$50,'Reaction Information'!$P$50*10^5,'Reaction Information'!$Q$50)*((1/Calculations!S10)-1)-'Reaction Information'!$P$50*10^5*((1/Calculations!$C$10)-1)+'Reaction Information'!$P$50*10^5*Calculations!$C$14*(Calculations!O10-Calculations!$C$8))</f>
        <v>-148490.07786533993</v>
      </c>
      <c r="AU10" s="8" t="e">
        <f>IF(ISBLANK(Input!$BQ$4),NA(),'Reaction Information'!$E$54-'Reaction Information'!$G$54*(Calculations!$O10-Calculations!$C$8)-'Reaction Information'!$N$54*(Calculations!$O10*LN(Calculations!$O10/Calculations!$C$8)-Calculations!$O10+Calculations!$C$8)-'Reaction Information'!$O$54*10^4*(((1/(Calculations!$O10-Calculations!$C$13))-(1/(Calculations!$C$8-Calculations!$C$13)))*((Calculations!$C$13-Calculations!$O10)/(Calculations!$C$13))-(Calculations!$O10/(Calculations!$C$13*Calculations!$C$13))*LN((Calculations!$C$8*(Calculations!$O10-Calculations!$C$13))/(Calculations!$O10*(Calculations!$C$8-Calculations!$C$13))))+'Reaction Information'!$J$54*10^-1*(Calculations!$M10-Calculations!$C$9)+'Reaction Information'!$K$54*10^2*LN((Calculations!$C$12+Calculations!$M10)/(Calculations!$C$12+Calculations!$C$9))+(1/(Calculations!$O10-Calculations!$C$13))*('Reaction Information'!$L$54*(Calculations!$M10-Calculations!$C$9)+'Reaction Information'!$M$54*10^4*LN((Calculations!$C$12+Calculations!$M10)/(Calculations!$C$12+Calculations!$C$9)))+calculateOmega(Calculations!M10,Calculations!N10,Calculations!Q10,'Reaction Information'!$C$54,'Reaction Information'!$P$54*10^5,'Reaction Information'!$Q$54)*((1/Calculations!$S10)-1)-'Reaction Information'!$P$54*10^5*((1/Calculations!$C$10)-1)+'Reaction Information'!$P$54*10^5*Calculations!$C$14*(Calculations!$O10-Calculations!$C$8))</f>
        <v>#N/A</v>
      </c>
      <c r="AV10" s="8" t="e">
        <f>IF(ISBLANK(Input!$BT$4),NA(),'Reaction Information'!$E$58-'Reaction Information'!$G$58*(Calculations!$O10-Calculations!$C$8)-'Reaction Information'!$N$58*(Calculations!$O10*LN(Calculations!$O10/Calculations!$C$8)-Calculations!$O10+Calculations!$C$8)-'Reaction Information'!$O$58*10^4*(((1/(Calculations!$O10-Calculations!$C$13))-(1/(Calculations!$C$8-Calculations!$C$13)))*((Calculations!$C$13-Calculations!$O10)/(Calculations!$C$13))-(Calculations!$O10/(Calculations!$C$13*Calculations!$C$13))*LN((Calculations!$C$8*(Calculations!$O10-Calculations!$C$13))/(Calculations!$O10*(Calculations!$C$8-Calculations!$C$13))))+'Reaction Information'!$J$58*10^-1*(Calculations!$M10-Calculations!$C$9)+'Reaction Information'!$K$58*10^2*LN((Calculations!$C$12+Calculations!$M10)/(Calculations!$C$12+Calculations!$C$9))+(1/(Calculations!$O10-Calculations!$C$13))*('Reaction Information'!$L$58*(Calculations!$M10-Calculations!$C$9)+'Reaction Information'!$M$58*10^4*LN((Calculations!$C$12+Calculations!$M10)/(Calculations!$C$12+Calculations!$C$9)))+calculateOmega(Calculations!M10,Calculations!N10,Calculations!Q10,'Reaction Information'!$C$58,'Reaction Information'!$P$58*10^5,'Reaction Information'!$Q$58)*((1/Calculations!$S10)-1)-'Reaction Information'!$P$58*10^5*((1/Calculations!$C$10)-1)+'Reaction Information'!$P$58*10^5*Calculations!$C$14*(Calculations!$O10-Calculations!$C$8))</f>
        <v>#N/A</v>
      </c>
      <c r="AW10" s="8" t="e">
        <f>IF(ISBLANK(Input!$BW$4),NA(),'Reaction Information'!$E$62-'Reaction Information'!$G$62*(Calculations!$O10-Calculations!$C$8)-'Reaction Information'!$N$62*(Calculations!$O10*LN(Calculations!$O10/Calculations!$C$8)-Calculations!$O10+Calculations!$C$8)-'Reaction Information'!$O$62*10^4*(((1/(Calculations!$O10-Calculations!$C$13))-(1/(Calculations!$C$8-Calculations!$C$13)))*((Calculations!$C$13-Calculations!$O10)/(Calculations!$C$13))-(Calculations!$O10/(Calculations!$C$13*Calculations!$C$13))*LN((Calculations!$C$8*(Calculations!$O10-Calculations!$C$13))/(Calculations!$O10*(Calculations!$C$8-Calculations!$C$13))))+'Reaction Information'!$J$62*10^-1*(Calculations!$M10-Calculations!$C$9)+'Reaction Information'!$K$62*10^2*LN((Calculations!$C$12+Calculations!$M10)/(Calculations!$C$12+Calculations!$C$9))+(1/(Calculations!$O10-Calculations!$C$13))*('Reaction Information'!$L$62*(Calculations!$M10-Calculations!$C$9)+'Reaction Information'!$M$62*10^4*LN((Calculations!$C$12+Calculations!$M10)/(Calculations!$C$12+Calculations!$C$9)))+calculateOmega(Calculations!M10,Calculations!N10,Calculations!Q10,'Reaction Information'!$C$62,'Reaction Information'!$P$62*10^5,'Reaction Information'!$Q$62)*((1/Calculations!$S10)-1)-'Reaction Information'!$P$62*10^5*((1/Calculations!$C$10)-1)+'Reaction Information'!$P$62*10^5*Calculations!$C$14*(Calculations!$O10-Calculations!$C$8))</f>
        <v>#N/A</v>
      </c>
      <c r="AX10" s="8" t="e">
        <f>IF(ISBLANK(Input!$BZ$4),NA(),'Reaction Information'!$E$66-'Reaction Information'!$G$66*(Calculations!$O10-Calculations!$C$8)-'Reaction Information'!$N$66*(Calculations!$O10*LN(Calculations!$O10/Calculations!$C$8)-Calculations!$O10+Calculations!$C$8)-'Reaction Information'!$O$66*10^4*(((1/(Calculations!$O10-Calculations!$C$13))-(1/(Calculations!$C$8-Calculations!$C$13)))*((Calculations!$C$13-Calculations!$O10)/(Calculations!$C$13))-(Calculations!$O10/(Calculations!$C$13*Calculations!$C$13))*LN((Calculations!$C$8*(Calculations!$O10-Calculations!$C$13))/(Calculations!$O10*(Calculations!$C$8-Calculations!$C$13))))+'Reaction Information'!$J$66*10^-1*(Calculations!$M10-Calculations!$C$9)+'Reaction Information'!$K$66*10^2*LN((Calculations!$C$12+Calculations!$M10)/(Calculations!$C$12+Calculations!$C$9))+(1/(Calculations!$O10-Calculations!$C$13))*('Reaction Information'!$L$66*(Calculations!$M10-Calculations!$C$9)+'Reaction Information'!$M$66*10^4*LN((Calculations!$C$12+Calculations!$M10)/(Calculations!$C$12+Calculations!$C$9)))+calculateOmega(Calculations!M10,Calculations!N10,Calculations!Q10,'Reaction Information'!$C$66,'Reaction Information'!$P$66*10^5,'Reaction Information'!$Q$66)*((1/Calculations!$S10)-1)-'Reaction Information'!$P$66*10^5*((1/Calculations!$C$10)-1)+'Reaction Information'!$P$66*10^5*Calculations!$C$14*(Calculations!$O10-Calculations!$C$8))</f>
        <v>#N/A</v>
      </c>
      <c r="AY10" s="31">
        <f>(AL10*Input!$AO$4+AM10*Input!$AR$4+AN10*Input!$AU$4+AO10*Input!$AX$4+IF(ISNA(AP10),0,AP10*Input!$BA$4)+IF(ISNA(AQ10),0,AQ10*Input!$BD$4)+IF(ISNA(AR10),0,AR10*Input!$BG$4)+IF(ISNA(AS10),0,AS10*Input!$BJ$4)+IF(ISNA(AT10),0,AT10*Input!$BM$4)+IF(ISNA(AU10),0,AU10*Input!$BP$4)+IF(ISNA(AV10),0,AV10*Input!$BS$4)+IF(ISNA(AW10),0,AW10*Input!$BV$4)+IF(ISNA(AX10),0,AX10*Input!$BY$4))-(Y10*Input!$B$4+Z10*Input!$E$4+AA10*Input!$H$4+AB10*Input!$K$4+IF(ISNA(AC10),0,AC10*Input!$N$4)+IF(ISNA(AD10),0,AD10*Input!$Q$4)+IF(ISNA(AE10),0,AE10*Input!$T$4)+IF(ISNA(AF10),0,AF10*Input!$W$4)+IF(ISNA(AG10),0,AG10*Input!$Z$4)+IF(ISNA(AH10),0,AH10*Input!$AC$4)+IF(ISNA(AI10),0,AI10*Input!$AF$4)+IF(ISNA(AJ10),0,AJ10*Input!$AI$4)+IF(ISNA(AK10),0,AK10*Input!$AL$4))</f>
        <v>26769.767567063333</v>
      </c>
      <c r="AZ10" s="42">
        <f t="shared" si="7"/>
        <v>-7.572036760701244</v>
      </c>
      <c r="BA10" s="1">
        <f t="shared" si="8"/>
        <v>500</v>
      </c>
      <c r="BB10" s="46">
        <f t="shared" si="9"/>
        <v>5000</v>
      </c>
      <c r="BC10" s="1"/>
      <c r="BD10" s="2">
        <f t="shared" si="10"/>
        <v>5000</v>
      </c>
      <c r="BE10" s="46">
        <f t="shared" si="11"/>
        <v>500</v>
      </c>
      <c r="BF10" s="1">
        <f>Results!AJ12</f>
        <v>0</v>
      </c>
      <c r="BG10" s="1">
        <f>Results!AK12</f>
        <v>0</v>
      </c>
      <c r="BH10" s="1">
        <f>Results!AL12</f>
        <v>0</v>
      </c>
      <c r="BI10" s="1">
        <f>Results!AM12</f>
        <v>0</v>
      </c>
      <c r="BJ10" s="1" t="e">
        <f>IF(OR(ISNA('Reaction Information'!$D$5), $N10 = "", $D$27 = FALSE, 'Reaction Information'!$D$5 = ""), NA(), 24.465)</f>
        <v>#N/A</v>
      </c>
      <c r="BK10" s="1" t="e">
        <f>IF(OR(ISNA('Reaction Information'!$D$9), $N10 = "", $D$27 = FALSE, 'Reaction Information'!$D$9 = ""), NA(), 24.465)</f>
        <v>#N/A</v>
      </c>
      <c r="BL10" s="8">
        <f t="shared" si="0"/>
        <v>20.788440303817012</v>
      </c>
      <c r="BM10" s="8">
        <f>IF(OR(ISBLANK(Input!$X$4),$D$27=FALSE),NA(),('Reaction Information'!$J$13/10+'Reaction Information'!$K$13*100/(Calculations!$C$12+Calculations!$M10)+('Reaction Information'!$L$13+'Reaction Information'!$M$13*10^4/(Calculations!$C$12+Calculations!$M10))/(Calculations!$O10-Calculations!$C$13) -calculateOmega(Calculations!$M10,Calculations!$N10,Calculations!$Q10,'Reaction Information'!$C$13,'Reaction Information'!$P$13*10^5,'Reaction Information'!$Q$13)*Calculations!$U10*10^-6 + (1/$S10 - 1)*calculate_domegadP(Calculations!$M10,Calculations!$N10,Calculations!$Q10,'Reaction Information'!$C$13,'Reaction Information'!$P$13*10^5,'Reaction Information'!$Q$13,$D$20,$D$19=3))*41.84)</f>
        <v>38.154526878655588</v>
      </c>
      <c r="BN10" s="8" t="e">
        <f>IF(OR(ISBLANK(Input!$AA$4),$D$27=FALSE),NA(),('Reaction Information'!$J$17/10+'Reaction Information'!$K$17*100/(Calculations!$C$12+Calculations!$M10)+('Reaction Information'!$L$17+'Reaction Information'!$M$17*10000/(Calculations!$C$12+Calculations!$M10))/(Calculations!$O10-Calculations!$C$13)-calculateOmega(Calculations!M10,Calculations!N10,Calculations!Q10,'Reaction Information'!$C$17,'Reaction Information'!$P$17*10^5,'Reaction Information'!$Q$17)*Calculations!$U10*10^-6 + (1/$S10 - 1)*calculate_domegadP(Calculations!M10,Calculations!N10,Calculations!Q10,'Reaction Information'!$C$17,'Reaction Information'!$P$17*10^5,'Reaction Information'!$Q$17,$D$20,$D$19=3))*41.84)</f>
        <v>#N/A</v>
      </c>
      <c r="BO10" s="8" t="e">
        <f>IF(OR(ISBLANK(Input!$AD$4),$D$27=FALSE),NA(),('Reaction Information'!$J$21/10+'Reaction Information'!$K$21*100/(Calculations!$C$12+Calculations!$M10)+('Reaction Information'!$L$21+'Reaction Information'!$M$21*10000/(Calculations!$C$12+Calculations!$M10))/(Calculations!$O10-Calculations!$C$13)-calculateOmega(Calculations!M10,Calculations!N10,Calculations!Q10,'Reaction Information'!$C$21,'Reaction Information'!$P$21*10^5,'Reaction Information'!$Q$21)*Calculations!$U10*10^-6 + (1/$S10 - 1)*calculate_domegadP(Calculations!M10,Calculations!N10,Calculations!Q10,'Reaction Information'!$C$21,'Reaction Information'!$P$21*10^5,'Reaction Information'!$Q$21,$D$20,$D$19=3))*41.84)</f>
        <v>#N/A</v>
      </c>
      <c r="BP10" s="8" t="e">
        <f>IF(OR(ISBLANK(Input!$AG$4),$D$27=FALSE),NA(),('Reaction Information'!$J$25/10+'Reaction Information'!$K$25*100/(Calculations!$C$12+Calculations!$M10)+('Reaction Information'!$L$25+'Reaction Information'!$M$25*10000/(Calculations!$C$12+Calculations!$M10))/(Calculations!$O10-Calculations!$C$13)-calculateOmega(Calculations!M10,Calculations!N10,Calculations!Q10,'Reaction Information'!$C$25,'Reaction Information'!$P$25*10^5,'Reaction Information'!$Q$25)*Calculations!$U10*10^-6 + (1/$S10 - 1)*calculate_domegadP(Calculations!M10,Calculations!N10,Calculations!Q10,'Reaction Information'!$C$25,'Reaction Information'!$P$25*10^5,'Reaction Information'!$Q$25,$D$20,$D$19=3))*41.84)</f>
        <v>#N/A</v>
      </c>
      <c r="BQ10" s="8" t="e">
        <f>IF(OR(ISBLANK(Input!$AJ$4),$D$27=FALSE),NA(),('Reaction Information'!$J$29/10+'Reaction Information'!$K$29*100/(Calculations!$C$12+Calculations!$M10)+('Reaction Information'!$L$29+'Reaction Information'!$M$29*10000/(Calculations!$C$12+Calculations!$M10))/(Calculations!$O10-Calculations!$C$13)-calculateOmega(Calculations!M10,Calculations!N10,Calculations!Q10,'Reaction Information'!$C$29,'Reaction Information'!$P$29*10^5,'Reaction Information'!$Q$29)*Calculations!$U10*10^-6 + (1/$S10 - 1)*calculate_domegadP(Calculations!M10,Calculations!N10,Calculations!Q10,'Reaction Information'!$C$29,'Reaction Information'!$P$29*10^5,'Reaction Information'!$Q$29,$D$20,$D$19=3))*41.84)</f>
        <v>#N/A</v>
      </c>
      <c r="BR10" s="8" t="e">
        <f>IF(OR(ISBLANK(Input!$AM$4),$D$27=FALSE),NA(),('Reaction Information'!$J$33/10+'Reaction Information'!$K$33*100/(Calculations!$C$12+Calculations!$M10)+('Reaction Information'!$L$33+'Reaction Information'!$M$33*10000/(Calculations!$C$12+Calculations!$M10))/(Calculations!$O10-Calculations!$C$13)-calculateOmega(Calculations!M10,Calculations!N10,Calculations!Q10,'Reaction Information'!$C$33,'Reaction Information'!$P$33*10^5,'Reaction Information'!$Q$33)*Calculations!$U10*10^-6 + (1/$S10 - 1)*calculate_domegadP(Calculations!M10,Calculations!N10,Calculations!Q10,'Reaction Information'!$C$33,'Reaction Information'!$P$33*10^5,'Reaction Information'!$Q$33,$D$20,$D$19=3))*41.84)</f>
        <v>#N/A</v>
      </c>
      <c r="BS10" s="1">
        <f>Results!AW12</f>
        <v>0</v>
      </c>
      <c r="BT10" s="1">
        <f>Results!AX12</f>
        <v>0</v>
      </c>
      <c r="BU10" s="1">
        <f>Results!AY12</f>
        <v>0</v>
      </c>
      <c r="BV10" s="1">
        <f>Results!AZ12</f>
        <v>0</v>
      </c>
      <c r="BW10" s="1" t="e">
        <f>IF(OR(ISNA('Reaction Information'!$D$38), $N10 = "", $D$27 = FALSE, 'Reaction Information'!$D$38 = ""), NA(), 24.465)</f>
        <v>#N/A</v>
      </c>
      <c r="BX10" s="1" t="e">
        <f>IF(OR(ISNA('Reaction Information'!$D$42), $N10 = "", $D$27 = FALSE, 'Reaction Information'!$D$42 = ""), NA(), 24.465)</f>
        <v>#N/A</v>
      </c>
      <c r="BY10" s="8" t="e">
        <f t="shared" si="1"/>
        <v>#N/A</v>
      </c>
      <c r="BZ10" s="8">
        <f>IF(OR(ISBLANK(Input!$BK$4),$D$27=FALSE),NA(),('Reaction Information'!$J$46/10+'Reaction Information'!$K$46*100/(Calculations!$C$12+Calculations!$M10)+('Reaction Information'!$L$46+'Reaction Information'!$M$46*10000/(Calculations!$C$12+Calculations!$M10))/(Calculations!$O10-Calculations!$C$13)-calculateOmega(Calculations!M10,Calculations!N10,Calculations!Q10,'Reaction Information'!$C$46,'Reaction Information'!$P$46*10^5,'Reaction Information'!$Q$46)*Calculations!$U10*10^-6 + (1/$S10 - 1)*calculate_domegadP(Calculations!M10,Calculations!N10,Calculations!Q10,'Reaction Information'!$C$46,'Reaction Information'!$P$46*10^5,'Reaction Information'!$Q$46,$D$20,$D$19=3))*41.84)</f>
        <v>0</v>
      </c>
      <c r="CA10" s="8">
        <f>IF(OR(ISBLANK(Input!$BN$4),$D$27=FALSE),NA(),('Reaction Information'!$J$50/10+'Reaction Information'!$K$50*100/(Calculations!$C$12+Calculations!$M10)+('Reaction Information'!$L$50+'Reaction Information'!$M$50*10000/(Calculations!$C$12+Calculations!$M10))/(Calculations!$O10-Calculations!$C$13)-calculateOmega(Calculations!M10,Calculations!N10,Calculations!Q10,'Reaction Information'!$C$50,'Reaction Information'!$P$50*10^5,'Reaction Information'!$Q$50)*Calculations!$U10*10^-6 + (1/$S10 - 1)*calculate_domegadP(Calculations!M10,Calculations!N10,Calculations!Q10,'Reaction Information'!$C$50,'Reaction Information'!$P$50*10^5,'Reaction Information'!$Q$50,$D$20,$D$19=3))*41.84)</f>
        <v>20.325493564496661</v>
      </c>
      <c r="CB10" s="8" t="e">
        <f>IF(OR(ISBLANK(Input!$BQ$4),$D$27=FALSE),NA(),('Reaction Information'!$J$54/10+'Reaction Information'!$K$54*100/(Calculations!$C$12+Calculations!$M10)+('Reaction Information'!$L$54+'Reaction Information'!$M$54*10000/(Calculations!$C$12+Calculations!$M10))/(Calculations!$O10-Calculations!$C$13)-calculateOmega(Calculations!M10,Calculations!N10,Calculations!Q10,'Reaction Information'!$C$54,'Reaction Information'!$P$54*10^5,'Reaction Information'!$Q$54)*Calculations!$U10*10^-6 + (1/$S10 - 1)*calculate_domegadP(Calculations!M10,Calculations!N10,Calculations!Q10,'Reaction Information'!$C$54,'Reaction Information'!$P$54*10^5,'Reaction Information'!$Q$54,$D$20,$D$19=3))*41.84)</f>
        <v>#N/A</v>
      </c>
      <c r="CC10" s="8" t="e">
        <f>IF(OR(ISBLANK(Input!$BT$4),$D$27=FALSE),NA(),('Reaction Information'!$J$58/10+'Reaction Information'!$K$58*100/(Calculations!$C$12+Calculations!$M10)+('Reaction Information'!$L$58+'Reaction Information'!$M$58*10000/(Calculations!$C$12+Calculations!$M10))/(Calculations!$O10-Calculations!$C$13)-calculateOmega(Calculations!M10,Calculations!N10,Calculations!Q10,'Reaction Information'!$C$58,'Reaction Information'!$P$58*10^5,'Reaction Information'!$Q$58)*Calculations!$U10*10^-6 + (1/$S10 - 1)*calculate_domegadP(Calculations!M10,Calculations!N10,Calculations!Q10,'Reaction Information'!$C$58,'Reaction Information'!$P$58*10^5,'Reaction Information'!$Q$58,$D$20,$D$19=3))*41.84)</f>
        <v>#N/A</v>
      </c>
      <c r="CD10" s="8" t="e">
        <f>IF(OR(ISBLANK(Input!$BW$4),$D$27=FALSE),NA(),('Reaction Information'!$J$62/10+'Reaction Information'!$K$62*100/(Calculations!$C$12+Calculations!$M10)+('Reaction Information'!$L$62+'Reaction Information'!$M$62*10000/(Calculations!$C$12+Calculations!$M10))/(Calculations!$O10-Calculations!$C$13)-calculateOmega(Calculations!M10,Calculations!N10,Calculations!Q10,'Reaction Information'!$C$62,'Reaction Information'!$P$62*10^5,'Reaction Information'!$Q$62)*Calculations!$U10*10^-6 + (1/$S10 - 1)*calculate_domegadP(Calculations!M10,Calculations!N10,Calculations!Q10,'Reaction Information'!$C$62,'Reaction Information'!$P$62*10^5,'Reaction Information'!$Q$62,$D$20,$D$19=3))*41.84)</f>
        <v>#N/A</v>
      </c>
      <c r="CE10" s="8" t="e">
        <f>IF(OR(ISBLANK(Input!$BZ$4),$D$27=FALSE),NA(),('Reaction Information'!$J$66/10+'Reaction Information'!$K$66*100/(Calculations!$C$12+Calculations!$M10)+('Reaction Information'!$L$66+'Reaction Information'!$M$66*10000/(Calculations!$C$12+Calculations!$M10))/(Calculations!$O10-Calculations!$C$13)-calculateOmega(Calculations!M10,Calculations!N10,Calculations!Q10,'Reaction Information'!$C$66,'Reaction Information'!$P$66*10^5,'Reaction Information'!$Q$66)*Calculations!$U10*10^-6 + (1/$S10 - 1)*calculate_domegadP(Calculations!M10,Calculations!N10,Calculations!Q10,'Reaction Information'!$C$66,'Reaction Information'!$P$66*10^5,'Reaction Information'!$Q$66,$D$20,$D$19=3))*41.84)</f>
        <v>#N/A</v>
      </c>
      <c r="CF10" s="31">
        <f>(BS10*Input!$AO$4+BT10*Input!$AR$4+BU10*Input!$AU$4+BV10*Input!$AX$4+IF(ISNA(BW10),0,BW10*Input!$BA$4)+IF(ISNA(BX10),0,BX10*Input!$BD$4)+IF(ISNA(BY10),0,BY10*Input!$BG$4)+IF(ISNA(BZ10),0,BZ10*Input!$BJ$4)+IF(ISNA(CA10),0,CA10*Input!$BM$4)+IF(ISNA(CB10),0,CB10*Input!$BP$4)+IF(ISNA(CC10),0,CC10*Input!$BS$4)+IF(ISNA(CD10),0,CD10*Input!$BV$4)+IF(ISNA(CE10),0,CE10*Input!$BY$4))-(BF10*Input!$B$4+BG10*Input!$E$4+BH10*Input!$H$4+BI10*Input!$K$4+IF(ISNA(BJ10),0,BJ10*Input!$N$4)+IF(ISNA(BK10),0,BK10*Input!$Q$4)+IF(ISNA(BL10),0,BL10*Input!$T$4)+IF(ISNA(BM10),0,BM10*Input!$W$4)+IF(ISNA(BN10),0,BN10*Input!$Z$4)+IF(ISNA(BO10),0,BO10*Input!$AC$4)+IF(ISNA(BP10),0,BP10*Input!$AF$4)+IF(ISNA(BQ10),0,BQ10*Input!$AI$4)+IF(ISNA(BR10),0,BR10*Input!$AL$4))</f>
        <v>-38.617473617975939</v>
      </c>
      <c r="CG10" s="1">
        <f t="shared" si="12"/>
        <v>500</v>
      </c>
      <c r="CH10" s="46">
        <f t="shared" si="13"/>
        <v>5000</v>
      </c>
      <c r="CI10" s="1"/>
    </row>
    <row r="11" spans="1:87" ht="15" customHeight="1" x14ac:dyDescent="0.2">
      <c r="A11" s="1"/>
      <c r="B11" s="7" t="s">
        <v>435</v>
      </c>
      <c r="C11" s="7">
        <v>1.9858775</v>
      </c>
      <c r="D11" s="7" t="s">
        <v>443</v>
      </c>
      <c r="E11" s="1"/>
      <c r="F11" s="2">
        <v>6</v>
      </c>
      <c r="G11" s="1" t="str">
        <f>IF(ISBLANK(Input!CB11), "", Input!CB11*1000)</f>
        <v/>
      </c>
      <c r="H11" s="1" t="str">
        <f>IF(ISBLANK(Input!CC11), "", Input!CC11)</f>
        <v/>
      </c>
      <c r="I11" s="1">
        <f>IF(Input!$CF$5 + Input!$CF$6*(FLOOR((Calculations!$F11-1)/(FLOOR((Input!$CF$12-Input!$CF$10)/Input!$CF$11,1)+1),1)) &gt; Input!$CF$7, "", (Input!$CF$5 + Input!$CF$6*(FLOOR((Calculations!$F11-1)/(FLOOR((Input!$CF$12-Input!$CF$10)/Input!$CF$11,1)+1),1)))*1000)</f>
        <v>5000</v>
      </c>
      <c r="J11" s="1">
        <f>IF(Calculations!I11 = "", "", Input!$CF$10 + Input!$CF$11*(Calculations!$F11-1) - (FLOOR((Input!$CF$12-Input!$CF$10)/Input!$CF$11,1)+1)*Input!$CF$11*FLOOR((Calculations!$F11-1)/(FLOOR((Input!$CF$12-Input!$CF$10)/Input!$CF$11,1)+1),1))</f>
        <v>550</v>
      </c>
      <c r="K11" s="8">
        <f t="shared" si="14"/>
        <v>2.2002714609400247</v>
      </c>
      <c r="L11" s="117">
        <f>IF(OR(Input!$CJ$5 + Input!$CJ$6*(Calculations!F11-1) &gt; Input!$CJ$7, Input!$CJ$5 + Input!$CJ$6*(Calculations!F11-1) &gt; 350), "", Input!$CJ$5 + Input!$CJ$6*(Calculations!F11-1))</f>
        <v>125</v>
      </c>
      <c r="M11" s="1">
        <f t="shared" si="2"/>
        <v>5000</v>
      </c>
      <c r="N11" s="1">
        <f t="shared" si="3"/>
        <v>550</v>
      </c>
      <c r="O11" s="1">
        <f t="shared" si="4"/>
        <v>823.15</v>
      </c>
      <c r="P11" s="1" t="e">
        <f>IF(OR($D$20=3,AND($D$21=TRUE,M11&lt;1000)),INDEX('Water Density'!$C$6:$CX$120,MATCH(Calculations!N11,'Water Density'!$B$6:$B$120),MATCH(Calculations!M11/1000,'Water Density'!$C$5:$CX$5)),NA())</f>
        <v>#N/A</v>
      </c>
      <c r="Q11" s="182">
        <f>IF(OR($D$20=3,AND($D$21=TRUE,M11&lt;1000)), IF(P11&lt;&gt;0,P11,NA()), calculateDensity(M11,N11,$D$20,0.01,$D$19 = 3))</f>
        <v>0.83520422714948639</v>
      </c>
      <c r="R11" s="1" t="e">
        <f>IF($D$22=5,INDEX('Dielectric Constant'!$C$6:$CX$120,MATCH(Calculations!N11,'Dielectric Constant'!$B$6:$B$120),MATCH(Calculations!M11/1000,'Dielectric Constant'!$C$5:$CX$5)),NA())</f>
        <v>#N/A</v>
      </c>
      <c r="S11" s="58">
        <f>IF($D$22=5, IF(R11&lt;&gt;0,R11,NA()), IF(AND($D$23,M11&lt;=5000,$D$19 &lt;&gt; 3),calculateEpsilon(Q11,N11,1,FALSE),calculateEpsilon(Q11,N11,$D$22,$D$19 = 3)))</f>
        <v>16.859640833226628</v>
      </c>
      <c r="T11" s="1" t="e">
        <f>IF($D$24=3,INDEX('Water Free Energy'!$C$6:$CX$120,MATCH(Calculations!N11,'Water Free Energy'!$B$6:$B$120),MATCH(Calculations!M11/1000,'Water Free Energy'!$C$5:$CX$5)),NA())</f>
        <v>#N/A</v>
      </c>
      <c r="U11" s="179">
        <f>IF($D$27,calculateQ(M11,N11,Q11,$D$20,$D$22,$D$19=3)*10^6,NA())</f>
        <v>2.9012902123351996</v>
      </c>
      <c r="V11"/>
      <c r="W11" s="2">
        <f t="shared" si="5"/>
        <v>5000</v>
      </c>
      <c r="X11" s="1">
        <f t="shared" si="6"/>
        <v>550</v>
      </c>
      <c r="Y11" s="1">
        <f>Results!F13</f>
        <v>0</v>
      </c>
      <c r="Z11" s="1">
        <f>Results!G13</f>
        <v>0</v>
      </c>
      <c r="AA11" s="1">
        <f>Results!H13</f>
        <v>0</v>
      </c>
      <c r="AB11" s="1">
        <f>Results!I13</f>
        <v>0</v>
      </c>
      <c r="AC11" s="1" t="e">
        <f>IF(ISBLANK(Input!$O$4),NA(),'Reaction Information'!$E$5-'Reaction Information'!$G$5*(Calculations!$O11-Calculations!$C$8)+'Reaction Information'!$I$5*(Calculations!$O11-Calculations!$C$8-Calculations!$O11*LN(Calculations!$O11/Calculations!$C$8))+'Reaction Information'!$J$5*0.001/2*(2*Calculations!$O11*Calculations!$C$8-Calculations!$O11^2-Calculations!$C$8^2) + 'Reaction Information'!$K$5*100000*(Calculations!$O11^2 + Calculations!$C$8^2 - 2*Calculations!$O11*Calculations!$C$8)/(2*Calculations!$O11*Calculations!$C$8^2))</f>
        <v>#N/A</v>
      </c>
      <c r="AD11" s="8" t="e">
        <f>IF(ISBLANK(Input!$R$4),NA(),'Reaction Information'!$E$9-'Reaction Information'!$G$9*(Calculations!$O11-Calculations!$C$8)+'Reaction Information'!$I$9*(Calculations!$O11-Calculations!$C$8-Calculations!$O11*LN(Calculations!$O11/Calculations!$C$8))+'Reaction Information'!$J$9*0.001/2*(2*Calculations!$O11*Calculations!$C$8-Calculations!$O11^2-Calculations!$C$8^2) + 'Reaction Information'!$K$9*100000*(Calculations!$O11^2 + Calculations!$C$8^2 - 2*Calculations!$O11*Calculations!$C$8)/(2*Calculations!$O11*Calculations!$C$8^2))</f>
        <v>#N/A</v>
      </c>
      <c r="AE11" s="8">
        <f>IF(AE$5="H2O",IF($D$24=3,IF(T11=0,NA(),T11),calculateGibbsOfWater(M11,N11,$D$24,$D$20,$D$19=3)),NA())</f>
        <v>-68084.773952606425</v>
      </c>
      <c r="AF11" s="8">
        <f>IF(ISBLANK(Input!$X$4),NA(),'Reaction Information'!$E$13-'Reaction Information'!$G$13*(Calculations!O11-Calculations!$C$8)-'Reaction Information'!$N$13*(Calculations!O11*LN(Calculations!O11/Calculations!$C$8)-Calculations!O11+Calculations!$C$8)-'Reaction Information'!$O$13*10^4*(((1/(Calculations!O11-Calculations!$C$13))-(1/(Calculations!$C$8-Calculations!$C$13)))*((Calculations!$C$13-Calculations!O11)/(Calculations!$C$13))-(Calculations!O11/(Calculations!$C$13*Calculations!$C$13))*LN((Calculations!$C$8*(Calculations!O11-Calculations!$C$13))/(Calculations!O11*(Calculations!$C$8-Calculations!$C$13))))+'Reaction Information'!$J$13*10^-1*(Calculations!M11-Calculations!$C$9)+'Reaction Information'!$K$13*10^2*LN((Calculations!$C$12+Calculations!M11)/(Calculations!$C$12+Calculations!$C$9))+(1/(Calculations!O11-Calculations!$C$13))*('Reaction Information'!$L$13*(Calculations!M11-Calculations!$C$9)+'Reaction Information'!$M$13*10^4*LN((Calculations!$C$12+Calculations!M11)/(Calculations!$C$12+Calculations!$C$9)))+calculateOmega(Calculations!M11,Calculations!N11,Calculations!Q11,'Reaction Information'!$C$13,'Reaction Information'!$P$13*10^5,'Reaction Information'!$Q$13)*((1/Calculations!S11)-1)-'Reaction Information'!$P$13*10^5*((1/Calculations!$C$10)-1)+'Reaction Information'!$P$13*10^5*Calculations!$C$14*(Calculations!O11-Calculations!$C$8))</f>
        <v>-111347.28807392645</v>
      </c>
      <c r="AG11" s="8" t="e">
        <f>IF(ISBLANK(Input!$AA$4),NA(),'Reaction Information'!$E$17-'Reaction Information'!$G$17*(Calculations!$O11-Calculations!$C$8)-'Reaction Information'!$N$17*(Calculations!$O11*LN(Calculations!$O11/Calculations!$C$8)-Calculations!$O11+Calculations!$C$8)-'Reaction Information'!$O$17*10^4*(((1/(Calculations!$O11-Calculations!$C$13))-(1/(Calculations!$C$8-Calculations!$C$13)))*((Calculations!$C$13-Calculations!$O11)/(Calculations!$C$13))-(Calculations!$O11/(Calculations!$C$13*Calculations!$C$13))*LN((Calculations!$C$8*(Calculations!$O11-Calculations!$C$13))/(Calculations!$O11*(Calculations!$C$8-Calculations!$C$13))))+'Reaction Information'!$J$17*10^-1*(Calculations!$M11-Calculations!$C$9)+'Reaction Information'!$K$17*10^2*LN((Calculations!$C$12+Calculations!$M11)/(Calculations!$C$12+Calculations!$C$9))+(1/(Calculations!$O11-Calculations!$C$13))*('Reaction Information'!$L$17*(Calculations!$M11-Calculations!$C$9)+'Reaction Information'!$M$17*10^4*LN((Calculations!$C$12+Calculations!$M11)/(Calculations!$C$12+Calculations!$C$9)))+calculateOmega(Calculations!M11,Calculations!N11,Calculations!Q11,'Reaction Information'!$C$17,'Reaction Information'!$P$17*10^5,'Reaction Information'!$Q$17)*((1/Calculations!$S11)-1)-'Reaction Information'!$P$17*10^5*((1/Calculations!$C$10)-1)+'Reaction Information'!$P$17*10^5*Calculations!$C$14*(Calculations!$O11-Calculations!$C$8))</f>
        <v>#N/A</v>
      </c>
      <c r="AH11" s="8" t="e">
        <f>IF(ISBLANK(Input!$AD$4),NA(),'Reaction Information'!$E$21-'Reaction Information'!$G$21*(Calculations!$O11-Calculations!$C$8)-'Reaction Information'!$N$21*(Calculations!$O11*LN(Calculations!$O11/Calculations!$C$8)-Calculations!$O11+Calculations!$C$8)-'Reaction Information'!$O$21*10^4*(((1/(Calculations!$O11-Calculations!$C$13))-(1/(Calculations!$C$8-Calculations!$C$13)))*((Calculations!$C$13-Calculations!$O11)/(Calculations!$C$13))-(Calculations!$O11/(Calculations!$C$13*Calculations!$C$13))*LN((Calculations!$C$8*(Calculations!$O11-Calculations!$C$13))/(Calculations!$O11*(Calculations!$C$8-Calculations!$C$13))))+'Reaction Information'!$J$21*10^-1*(Calculations!$M11-Calculations!$C$9)+'Reaction Information'!$K$21*10^2*LN((Calculations!$C$12+Calculations!$M11)/(Calculations!$C$12+Calculations!$C$9))+(1/(Calculations!$O11-Calculations!$C$13))*('Reaction Information'!$L$21*(Calculations!$M11-Calculations!$C$9)+'Reaction Information'!$M$21*10^4*LN((Calculations!$C$12+Calculations!$M11)/(Calculations!$C$12+Calculations!$C$9)))+calculateOmega(Calculations!M11,Calculations!N11,Calculations!Q11,'Reaction Information'!$C$21,'Reaction Information'!$P$21*10^5,'Reaction Information'!$Q$21)*((1/Calculations!$S11)-1)-'Reaction Information'!$P$21*10^5*((1/Calculations!$C$10)-1)+'Reaction Information'!$P$21*10^5*Calculations!$C$14*(Calculations!$O11-Calculations!$C$8))</f>
        <v>#N/A</v>
      </c>
      <c r="AI11" s="8" t="e">
        <f>IF(ISBLANK(Input!$AG$4),NA(),'Reaction Information'!$E$25-'Reaction Information'!$G$25*(Calculations!$O11-Calculations!$C$8)-'Reaction Information'!$N$25*(Calculations!$O11*LN(Calculations!$O11/Calculations!$C$8)-Calculations!$O11+Calculations!$C$8)-'Reaction Information'!$O$25*10^4*(((1/(Calculations!$O11-Calculations!$C$13))-(1/(Calculations!$C$8-Calculations!$C$13)))*((Calculations!$C$13-Calculations!$O11)/(Calculations!$C$13))-(Calculations!$O11/(Calculations!$C$13*Calculations!$C$13))*LN((Calculations!$C$8*(Calculations!$O11-Calculations!$C$13))/(Calculations!$O11*(Calculations!$C$8-Calculations!$C$13))))+'Reaction Information'!$J$25*10^-1*(Calculations!$M11-Calculations!$C$9)+'Reaction Information'!$K$25*10^2*LN((Calculations!$C$12+Calculations!$M11)/(Calculations!$C$12+Calculations!$C$9))+(1/(Calculations!$O11-Calculations!$C$13))*('Reaction Information'!$L$25*(Calculations!$M11-Calculations!$C$9)+'Reaction Information'!$M$25*10^4*LN((Calculations!$C$12+Calculations!$M11)/(Calculations!$C$12+Calculations!$C$9)))+calculateOmega(Calculations!M11,Calculations!N11,Calculations!Q11,'Reaction Information'!$C$25,'Reaction Information'!$P$25*10^5,'Reaction Information'!$Q$25)*((1/Calculations!$S11)-1)-'Reaction Information'!$P$25*10^5*((1/Calculations!$C$10)-1)+'Reaction Information'!$P$25*10^5*Calculations!$C$14*(Calculations!$O11-Calculations!$C$8))</f>
        <v>#N/A</v>
      </c>
      <c r="AJ11" s="8" t="e">
        <f>IF(ISBLANK(Input!$AJ$4),NA(),'Reaction Information'!$E$29-'Reaction Information'!$G$29*(Calculations!$O11-Calculations!$C$8)-'Reaction Information'!$N$29*(Calculations!$O11*LN(Calculations!$O11/Calculations!$C$8)-Calculations!$O11+Calculations!$C$8)-'Reaction Information'!$O$29*10^4*(((1/(Calculations!$O11-Calculations!$C$13))-(1/(Calculations!$C$8-Calculations!$C$13)))*((Calculations!$C$13-Calculations!$O11)/(Calculations!$C$13))-(Calculations!$O11/(Calculations!$C$13*Calculations!$C$13))*LN((Calculations!$C$8*(Calculations!$O11-Calculations!$C$13))/(Calculations!$O11*(Calculations!$C$8-Calculations!$C$13))))+'Reaction Information'!$J$29*10^-1*(Calculations!$M11-Calculations!$C$9)+'Reaction Information'!$K$29*10^2*LN((Calculations!$C$12+Calculations!$M11)/(Calculations!$C$12+Calculations!$C$9))+(1/(Calculations!$O11-Calculations!$C$13))*('Reaction Information'!$L$29*(Calculations!$M11-Calculations!$C$9)+'Reaction Information'!$M$29*10^4*LN((Calculations!$C$12+Calculations!$M11)/(Calculations!$C$12+Calculations!$C$9)))+calculateOmega(Calculations!M11,Calculations!N11,Calculations!Q11,'Reaction Information'!$C$29,'Reaction Information'!$P$29*10^5,'Reaction Information'!$Q$29)*((1/Calculations!$S11)-1)-'Reaction Information'!$P$29*10^5*((1/Calculations!$C$10)-1)+'Reaction Information'!$P$29*10^5*Calculations!$C$14*(Calculations!$O11-Calculations!$C$8))</f>
        <v>#N/A</v>
      </c>
      <c r="AK11" s="8" t="e">
        <f>IF(ISBLANK(Input!$AM$4),NA(),'Reaction Information'!$E$33-'Reaction Information'!$G$33*(Calculations!$O11-Calculations!$C$8)-'Reaction Information'!$N$33*(Calculations!$O11*LN(Calculations!$O11/Calculations!$C$8)-Calculations!$O11+Calculations!$C$8)-'Reaction Information'!$O$33*10^4*(((1/(Calculations!$O11-Calculations!$C$13))-(1/(Calculations!$C$8-Calculations!$C$13)))*((Calculations!$C$13-Calculations!$O11)/(Calculations!$C$13))-(Calculations!$O11/(Calculations!$C$13*Calculations!$C$13))*LN((Calculations!$C$8*(Calculations!$O11-Calculations!$C$13))/(Calculations!$O11*(Calculations!$C$8-Calculations!$C$13))))+'Reaction Information'!$J$33*10^-1*(Calculations!$M11-Calculations!$C$9)+'Reaction Information'!$K$33*10^2*LN((Calculations!$C$12+Calculations!$M11)/(Calculations!$C$12+Calculations!$C$9))+(1/(Calculations!$O11-Calculations!$C$13))*('Reaction Information'!$L$33*(Calculations!$M11-Calculations!$C$9)+'Reaction Information'!$M$33*10^4*LN((Calculations!$C$12+Calculations!$M11)/(Calculations!$C$12+Calculations!$C$9)))+calculateOmega(Calculations!M11,Calculations!N11,Calculations!Q11,'Reaction Information'!$C$33,'Reaction Information'!$P$33*10^5,'Reaction Information'!$Q$33)*((1/Calculations!$S11)-1)-'Reaction Information'!$P$33*10^5*((1/Calculations!$C$10)-1)+'Reaction Information'!$P$33*10^5*Calculations!$C$14*(Calculations!$O11-Calculations!$C$8))</f>
        <v>#N/A</v>
      </c>
      <c r="AL11" s="1">
        <f>Results!S13</f>
        <v>0</v>
      </c>
      <c r="AM11" s="1">
        <f>Results!T13</f>
        <v>0</v>
      </c>
      <c r="AN11" s="1">
        <f>Results!U13</f>
        <v>0</v>
      </c>
      <c r="AO11" s="1">
        <f>Results!V13</f>
        <v>0</v>
      </c>
      <c r="AP11" s="8" t="e">
        <f>IF(ISBLANK(Input!$BB$4),NA(),'Reaction Information'!$E$38-'Reaction Information'!$G$38*(Calculations!$O11-Calculations!$C$8)+'Reaction Information'!$I$38*(Calculations!$O11-Calculations!$C$8-Calculations!$O11*LN(Calculations!$O11/Calculations!$C$8))+'Reaction Information'!$J$38*0.001/2*(2*Calculations!$O11*Calculations!$C$8-Calculations!$O11^2-Calculations!$C$8^2) + 'Reaction Information'!$K$38*100000*(Calculations!$O11^2 + Calculations!$C$8^2 - 2*Calculations!$O11*Calculations!$C$8)/(2*Calculations!$O11*Calculations!$C$8^2))</f>
        <v>#N/A</v>
      </c>
      <c r="AQ11" s="8" t="e">
        <f>IF(ISBLANK(Input!$BE$4),NA(),'Reaction Information'!$E$42-'Reaction Information'!$G$42*(Calculations!$O11-Calculations!$C$8)+'Reaction Information'!$I$42*(Calculations!$O11-Calculations!$C$8-Calculations!$O11*LN(Calculations!$O11/Calculations!$C$8))+'Reaction Information'!$J$42*0.001/2*(2*Calculations!$O11*Calculations!$C$8-Calculations!$O11^2-Calculations!$C$8^2) + 'Reaction Information'!$K$42*100000*(Calculations!$O11^2 + Calculations!$C$8^2 - 2*Calculations!$O11*Calculations!$C$8)/(2*Calculations!$O11*Calculations!$C$8^2))</f>
        <v>#N/A</v>
      </c>
      <c r="AR11" s="8" t="e">
        <f>IF(AR$5="H2O", IF($D$24=3,IF(T11=0,NA(),T11),calculateGibbsOfWater(M11,N11,$D$24,$D$20,$D$19=3)),NA())</f>
        <v>#N/A</v>
      </c>
      <c r="AS11" s="8">
        <f>IF(ISBLANK(Input!$BK$4),NA(),'Reaction Information'!$E$46-'Reaction Information'!$G$46*(Calculations!O11-Calculations!$C$8)-'Reaction Information'!$N$46*(Calculations!O11*LN(Calculations!O11/Calculations!$C$8)-Calculations!O11+Calculations!$C$8)-'Reaction Information'!$O$46*10^4*(((1/(Calculations!O11-Calculations!$C$13))-(1/(Calculations!$C$8-Calculations!$C$13)))*((Calculations!$C$13-Calculations!O11)/(Calculations!$C$13))-(Calculations!O11/(Calculations!$C$13*Calculations!$C$13))*LN((Calculations!$C$8*(Calculations!O11-Calculations!$C$13))/(Calculations!O11*(Calculations!$C$8-Calculations!$C$13))))+'Reaction Information'!$J$46*10^-1*(Calculations!$M11-Calculations!$C$9)+'Reaction Information'!$K$46*10^2*LN((Calculations!$C$12+Calculations!$M11)/(Calculations!$C$12+Calculations!$C$9))+(1/(Calculations!O11-Calculations!$C$13))*('Reaction Information'!$L$46*(Calculations!$M11-Calculations!$C$9)+'Reaction Information'!$M$46*10^4*LN((Calculations!$C$12+Calculations!$M11)/(Calculations!$C$12+Calculations!$C$9)))+calculateOmega(Calculations!M11,Calculations!N11,Calculations!Q11,'Reaction Information'!$C$46,'Reaction Information'!$P$46*10^5,'Reaction Information'!$Q$46)*((1/Calculations!S11)-1)-'Reaction Information'!$P$46*10^5*((1/Calculations!$C$10)-1)+'Reaction Information'!$P$46*10^5*Calculations!$C$14*(Calculations!O11-Calculations!$C$8))</f>
        <v>0</v>
      </c>
      <c r="AT11" s="8">
        <f>IF(ISBLANK(Input!$BN$4),NA(),'Reaction Information'!$E$50-'Reaction Information'!$G$50*(Calculations!O11-Calculations!$C$8)-'Reaction Information'!$N$50*(Calculations!O11*LN(Calculations!O11/Calculations!$C$8)-Calculations!O11+Calculations!$C$8)-'Reaction Information'!$O$50*10^4*(((1/(Calculations!O11-Calculations!$C$13))-(1/(Calculations!$C$8-Calculations!$C$13)))*((Calculations!$C$13-Calculations!O11)/(Calculations!$C$13))-(Calculations!O11/(Calculations!$C$13*Calculations!$C$13))*LN((Calculations!$C$8*(Calculations!O11-Calculations!$C$13))/(Calculations!O11*(Calculations!$C$8-Calculations!$C$13))))+'Reaction Information'!$J$50*10^-1*(Calculations!$M11-Calculations!$C$9)+'Reaction Information'!$K$50*10^2*LN((Calculations!$C$12+Calculations!$M11)/(Calculations!$C$12+Calculations!$C$9))+(1/(Calculations!O11-Calculations!$C$13))*('Reaction Information'!$L$50*(Calculations!$M11-Calculations!$C$9)+'Reaction Information'!$M$50*10^4*LN((Calculations!$C$12+Calculations!$M11)/(Calculations!$C$12+Calculations!$C$9)))+calculateOmega(Calculations!M11,Calculations!N11,Calculations!Q11,'Reaction Information'!$C$50,'Reaction Information'!$P$50*10^5,'Reaction Information'!$Q$50)*((1/Calculations!S11)-1)-'Reaction Information'!$P$50*10^5*((1/Calculations!$C$10)-1)+'Reaction Information'!$P$50*10^5*Calculations!$C$14*(Calculations!O11-Calculations!$C$8))</f>
        <v>-149581.31319944168</v>
      </c>
      <c r="AU11" s="8" t="e">
        <f>IF(ISBLANK(Input!$BQ$4),NA(),'Reaction Information'!$E$54-'Reaction Information'!$G$54*(Calculations!$O11-Calculations!$C$8)-'Reaction Information'!$N$54*(Calculations!$O11*LN(Calculations!$O11/Calculations!$C$8)-Calculations!$O11+Calculations!$C$8)-'Reaction Information'!$O$54*10^4*(((1/(Calculations!$O11-Calculations!$C$13))-(1/(Calculations!$C$8-Calculations!$C$13)))*((Calculations!$C$13-Calculations!$O11)/(Calculations!$C$13))-(Calculations!$O11/(Calculations!$C$13*Calculations!$C$13))*LN((Calculations!$C$8*(Calculations!$O11-Calculations!$C$13))/(Calculations!$O11*(Calculations!$C$8-Calculations!$C$13))))+'Reaction Information'!$J$54*10^-1*(Calculations!$M11-Calculations!$C$9)+'Reaction Information'!$K$54*10^2*LN((Calculations!$C$12+Calculations!$M11)/(Calculations!$C$12+Calculations!$C$9))+(1/(Calculations!$O11-Calculations!$C$13))*('Reaction Information'!$L$54*(Calculations!$M11-Calculations!$C$9)+'Reaction Information'!$M$54*10^4*LN((Calculations!$C$12+Calculations!$M11)/(Calculations!$C$12+Calculations!$C$9)))+calculateOmega(Calculations!M11,Calculations!N11,Calculations!Q11,'Reaction Information'!$C$54,'Reaction Information'!$P$54*10^5,'Reaction Information'!$Q$54)*((1/Calculations!$S11)-1)-'Reaction Information'!$P$54*10^5*((1/Calculations!$C$10)-1)+'Reaction Information'!$P$54*10^5*Calculations!$C$14*(Calculations!$O11-Calculations!$C$8))</f>
        <v>#N/A</v>
      </c>
      <c r="AV11" s="8" t="e">
        <f>IF(ISBLANK(Input!$BT$4),NA(),'Reaction Information'!$E$58-'Reaction Information'!$G$58*(Calculations!$O11-Calculations!$C$8)-'Reaction Information'!$N$58*(Calculations!$O11*LN(Calculations!$O11/Calculations!$C$8)-Calculations!$O11+Calculations!$C$8)-'Reaction Information'!$O$58*10^4*(((1/(Calculations!$O11-Calculations!$C$13))-(1/(Calculations!$C$8-Calculations!$C$13)))*((Calculations!$C$13-Calculations!$O11)/(Calculations!$C$13))-(Calculations!$O11/(Calculations!$C$13*Calculations!$C$13))*LN((Calculations!$C$8*(Calculations!$O11-Calculations!$C$13))/(Calculations!$O11*(Calculations!$C$8-Calculations!$C$13))))+'Reaction Information'!$J$58*10^-1*(Calculations!$M11-Calculations!$C$9)+'Reaction Information'!$K$58*10^2*LN((Calculations!$C$12+Calculations!$M11)/(Calculations!$C$12+Calculations!$C$9))+(1/(Calculations!$O11-Calculations!$C$13))*('Reaction Information'!$L$58*(Calculations!$M11-Calculations!$C$9)+'Reaction Information'!$M$58*10^4*LN((Calculations!$C$12+Calculations!$M11)/(Calculations!$C$12+Calculations!$C$9)))+calculateOmega(Calculations!M11,Calculations!N11,Calculations!Q11,'Reaction Information'!$C$58,'Reaction Information'!$P$58*10^5,'Reaction Information'!$Q$58)*((1/Calculations!$S11)-1)-'Reaction Information'!$P$58*10^5*((1/Calculations!$C$10)-1)+'Reaction Information'!$P$58*10^5*Calculations!$C$14*(Calculations!$O11-Calculations!$C$8))</f>
        <v>#N/A</v>
      </c>
      <c r="AW11" s="8" t="e">
        <f>IF(ISBLANK(Input!$BW$4),NA(),'Reaction Information'!$E$62-'Reaction Information'!$G$62*(Calculations!$O11-Calculations!$C$8)-'Reaction Information'!$N$62*(Calculations!$O11*LN(Calculations!$O11/Calculations!$C$8)-Calculations!$O11+Calculations!$C$8)-'Reaction Information'!$O$62*10^4*(((1/(Calculations!$O11-Calculations!$C$13))-(1/(Calculations!$C$8-Calculations!$C$13)))*((Calculations!$C$13-Calculations!$O11)/(Calculations!$C$13))-(Calculations!$O11/(Calculations!$C$13*Calculations!$C$13))*LN((Calculations!$C$8*(Calculations!$O11-Calculations!$C$13))/(Calculations!$O11*(Calculations!$C$8-Calculations!$C$13))))+'Reaction Information'!$J$62*10^-1*(Calculations!$M11-Calculations!$C$9)+'Reaction Information'!$K$62*10^2*LN((Calculations!$C$12+Calculations!$M11)/(Calculations!$C$12+Calculations!$C$9))+(1/(Calculations!$O11-Calculations!$C$13))*('Reaction Information'!$L$62*(Calculations!$M11-Calculations!$C$9)+'Reaction Information'!$M$62*10^4*LN((Calculations!$C$12+Calculations!$M11)/(Calculations!$C$12+Calculations!$C$9)))+calculateOmega(Calculations!M11,Calculations!N11,Calculations!Q11,'Reaction Information'!$C$62,'Reaction Information'!$P$62*10^5,'Reaction Information'!$Q$62)*((1/Calculations!$S11)-1)-'Reaction Information'!$P$62*10^5*((1/Calculations!$C$10)-1)+'Reaction Information'!$P$62*10^5*Calculations!$C$14*(Calculations!$O11-Calculations!$C$8))</f>
        <v>#N/A</v>
      </c>
      <c r="AX11" s="8" t="e">
        <f>IF(ISBLANK(Input!$BZ$4),NA(),'Reaction Information'!$E$66-'Reaction Information'!$G$66*(Calculations!$O11-Calculations!$C$8)-'Reaction Information'!$N$66*(Calculations!$O11*LN(Calculations!$O11/Calculations!$C$8)-Calculations!$O11+Calculations!$C$8)-'Reaction Information'!$O$66*10^4*(((1/(Calculations!$O11-Calculations!$C$13))-(1/(Calculations!$C$8-Calculations!$C$13)))*((Calculations!$C$13-Calculations!$O11)/(Calculations!$C$13))-(Calculations!$O11/(Calculations!$C$13*Calculations!$C$13))*LN((Calculations!$C$8*(Calculations!$O11-Calculations!$C$13))/(Calculations!$O11*(Calculations!$C$8-Calculations!$C$13))))+'Reaction Information'!$J$66*10^-1*(Calculations!$M11-Calculations!$C$9)+'Reaction Information'!$K$66*10^2*LN((Calculations!$C$12+Calculations!$M11)/(Calculations!$C$12+Calculations!$C$9))+(1/(Calculations!$O11-Calculations!$C$13))*('Reaction Information'!$L$66*(Calculations!$M11-Calculations!$C$9)+'Reaction Information'!$M$66*10^4*LN((Calculations!$C$12+Calculations!$M11)/(Calculations!$C$12+Calculations!$C$9)))+calculateOmega(Calculations!M11,Calculations!N11,Calculations!Q11,'Reaction Information'!$C$66,'Reaction Information'!$P$66*10^5,'Reaction Information'!$Q$66)*((1/Calculations!$S11)-1)-'Reaction Information'!$P$66*10^5*((1/Calculations!$C$10)-1)+'Reaction Information'!$P$66*10^5*Calculations!$C$14*(Calculations!$O11-Calculations!$C$8))</f>
        <v>#N/A</v>
      </c>
      <c r="AY11" s="31">
        <f>(AL11*Input!$AO$4+AM11*Input!$AR$4+AN11*Input!$AU$4+AO11*Input!$AX$4+IF(ISNA(AP11),0,AP11*Input!$BA$4)+IF(ISNA(AQ11),0,AQ11*Input!$BD$4)+IF(ISNA(AR11),0,AR11*Input!$BG$4)+IF(ISNA(AS11),0,AS11*Input!$BJ$4)+IF(ISNA(AT11),0,AT11*Input!$BM$4)+IF(ISNA(AU11),0,AU11*Input!$BP$4)+IF(ISNA(AV11),0,AV11*Input!$BS$4)+IF(ISNA(AW11),0,AW11*Input!$BV$4)+IF(ISNA(AX11),0,AX11*Input!$BY$4))-(Y11*Input!$B$4+Z11*Input!$E$4+AA11*Input!$H$4+AB11*Input!$K$4+IF(ISNA(AC11),0,AC11*Input!$N$4)+IF(ISNA(AD11),0,AD11*Input!$Q$4)+IF(ISNA(AE11),0,AE11*Input!$T$4)+IF(ISNA(AF11),0,AF11*Input!$W$4)+IF(ISNA(AG11),0,AG11*Input!$Z$4)+IF(ISNA(AH11),0,AH11*Input!$AC$4)+IF(ISNA(AI11),0,AI11*Input!$AF$4)+IF(ISNA(AJ11),0,AJ11*Input!$AI$4)+IF(ISNA(AK11),0,AK11*Input!$AL$4))</f>
        <v>29850.748827091214</v>
      </c>
      <c r="AZ11" s="42">
        <f t="shared" si="7"/>
        <v>-7.9306379013006616</v>
      </c>
      <c r="BA11" s="1">
        <f t="shared" si="8"/>
        <v>550</v>
      </c>
      <c r="BB11" s="46">
        <f t="shared" si="9"/>
        <v>5000</v>
      </c>
      <c r="BC11" s="1"/>
      <c r="BD11" s="2">
        <f t="shared" si="10"/>
        <v>5000</v>
      </c>
      <c r="BE11" s="46">
        <f t="shared" si="11"/>
        <v>550</v>
      </c>
      <c r="BF11" s="1">
        <f>Results!AJ13</f>
        <v>0</v>
      </c>
      <c r="BG11" s="1">
        <f>Results!AK13</f>
        <v>0</v>
      </c>
      <c r="BH11" s="1">
        <f>Results!AL13</f>
        <v>0</v>
      </c>
      <c r="BI11" s="1">
        <f>Results!AM13</f>
        <v>0</v>
      </c>
      <c r="BJ11" s="1" t="e">
        <f>IF(OR(ISNA('Reaction Information'!$D$5), $N11 = "", $D$27 = FALSE, 'Reaction Information'!$D$5 = ""), NA(), 24.465)</f>
        <v>#N/A</v>
      </c>
      <c r="BK11" s="1" t="e">
        <f>IF(OR(ISNA('Reaction Information'!$D$9), $N11 = "", $D$27 = FALSE, 'Reaction Information'!$D$9 = ""), NA(), 24.465)</f>
        <v>#N/A</v>
      </c>
      <c r="BL11" s="8">
        <f t="shared" si="0"/>
        <v>21.569909986549426</v>
      </c>
      <c r="BM11" s="8">
        <f>IF(OR(ISBLANK(Input!$X$4),$D$27=FALSE),NA(),('Reaction Information'!$J$13/10+'Reaction Information'!$K$13*100/(Calculations!$C$12+Calculations!$M11)+('Reaction Information'!$L$13+'Reaction Information'!$M$13*10^4/(Calculations!$C$12+Calculations!$M11))/(Calculations!$O11-Calculations!$C$13) -calculateOmega(Calculations!$M11,Calculations!$N11,Calculations!$Q11,'Reaction Information'!$C$13,'Reaction Information'!$P$13*10^5,'Reaction Information'!$Q$13)*Calculations!$U11*10^-6 + (1/$S11 - 1)*calculate_domegadP(Calculations!$M11,Calculations!$N11,Calculations!$Q11,'Reaction Information'!$C$13,'Reaction Information'!$P$13*10^5,'Reaction Information'!$Q$13,$D$20,$D$19=3))*41.84)</f>
        <v>40.071777255379516</v>
      </c>
      <c r="BN11" s="8" t="e">
        <f>IF(OR(ISBLANK(Input!$AA$4),$D$27=FALSE),NA(),('Reaction Information'!$J$17/10+'Reaction Information'!$K$17*100/(Calculations!$C$12+Calculations!$M11)+('Reaction Information'!$L$17+'Reaction Information'!$M$17*10000/(Calculations!$C$12+Calculations!$M11))/(Calculations!$O11-Calculations!$C$13)-calculateOmega(Calculations!M11,Calculations!N11,Calculations!Q11,'Reaction Information'!$C$17,'Reaction Information'!$P$17*10^5,'Reaction Information'!$Q$17)*Calculations!$U11*10^-6 + (1/$S11 - 1)*calculate_domegadP(Calculations!M11,Calculations!N11,Calculations!Q11,'Reaction Information'!$C$17,'Reaction Information'!$P$17*10^5,'Reaction Information'!$Q$17,$D$20,$D$19=3))*41.84)</f>
        <v>#N/A</v>
      </c>
      <c r="BO11" s="8" t="e">
        <f>IF(OR(ISBLANK(Input!$AD$4),$D$27=FALSE),NA(),('Reaction Information'!$J$21/10+'Reaction Information'!$K$21*100/(Calculations!$C$12+Calculations!$M11)+('Reaction Information'!$L$21+'Reaction Information'!$M$21*10000/(Calculations!$C$12+Calculations!$M11))/(Calculations!$O11-Calculations!$C$13)-calculateOmega(Calculations!M11,Calculations!N11,Calculations!Q11,'Reaction Information'!$C$21,'Reaction Information'!$P$21*10^5,'Reaction Information'!$Q$21)*Calculations!$U11*10^-6 + (1/$S11 - 1)*calculate_domegadP(Calculations!M11,Calculations!N11,Calculations!Q11,'Reaction Information'!$C$21,'Reaction Information'!$P$21*10^5,'Reaction Information'!$Q$21,$D$20,$D$19=3))*41.84)</f>
        <v>#N/A</v>
      </c>
      <c r="BP11" s="8" t="e">
        <f>IF(OR(ISBLANK(Input!$AG$4),$D$27=FALSE),NA(),('Reaction Information'!$J$25/10+'Reaction Information'!$K$25*100/(Calculations!$C$12+Calculations!$M11)+('Reaction Information'!$L$25+'Reaction Information'!$M$25*10000/(Calculations!$C$12+Calculations!$M11))/(Calculations!$O11-Calculations!$C$13)-calculateOmega(Calculations!M11,Calculations!N11,Calculations!Q11,'Reaction Information'!$C$25,'Reaction Information'!$P$25*10^5,'Reaction Information'!$Q$25)*Calculations!$U11*10^-6 + (1/$S11 - 1)*calculate_domegadP(Calculations!M11,Calculations!N11,Calculations!Q11,'Reaction Information'!$C$25,'Reaction Information'!$P$25*10^5,'Reaction Information'!$Q$25,$D$20,$D$19=3))*41.84)</f>
        <v>#N/A</v>
      </c>
      <c r="BQ11" s="8" t="e">
        <f>IF(OR(ISBLANK(Input!$AJ$4),$D$27=FALSE),NA(),('Reaction Information'!$J$29/10+'Reaction Information'!$K$29*100/(Calculations!$C$12+Calculations!$M11)+('Reaction Information'!$L$29+'Reaction Information'!$M$29*10000/(Calculations!$C$12+Calculations!$M11))/(Calculations!$O11-Calculations!$C$13)-calculateOmega(Calculations!M11,Calculations!N11,Calculations!Q11,'Reaction Information'!$C$29,'Reaction Information'!$P$29*10^5,'Reaction Information'!$Q$29)*Calculations!$U11*10^-6 + (1/$S11 - 1)*calculate_domegadP(Calculations!M11,Calculations!N11,Calculations!Q11,'Reaction Information'!$C$29,'Reaction Information'!$P$29*10^5,'Reaction Information'!$Q$29,$D$20,$D$19=3))*41.84)</f>
        <v>#N/A</v>
      </c>
      <c r="BR11" s="8" t="e">
        <f>IF(OR(ISBLANK(Input!$AM$4),$D$27=FALSE),NA(),('Reaction Information'!$J$33/10+'Reaction Information'!$K$33*100/(Calculations!$C$12+Calculations!$M11)+('Reaction Information'!$L$33+'Reaction Information'!$M$33*10000/(Calculations!$C$12+Calculations!$M11))/(Calculations!$O11-Calculations!$C$13)-calculateOmega(Calculations!M11,Calculations!N11,Calculations!Q11,'Reaction Information'!$C$33,'Reaction Information'!$P$33*10^5,'Reaction Information'!$Q$33)*Calculations!$U11*10^-6 + (1/$S11 - 1)*calculate_domegadP(Calculations!M11,Calculations!N11,Calculations!Q11,'Reaction Information'!$C$33,'Reaction Information'!$P$33*10^5,'Reaction Information'!$Q$33,$D$20,$D$19=3))*41.84)</f>
        <v>#N/A</v>
      </c>
      <c r="BS11" s="1">
        <f>Results!AW13</f>
        <v>0</v>
      </c>
      <c r="BT11" s="1">
        <f>Results!AX13</f>
        <v>0</v>
      </c>
      <c r="BU11" s="1">
        <f>Results!AY13</f>
        <v>0</v>
      </c>
      <c r="BV11" s="1">
        <f>Results!AZ13</f>
        <v>0</v>
      </c>
      <c r="BW11" s="1" t="e">
        <f>IF(OR(ISNA('Reaction Information'!$D$38), $N11 = "", $D$27 = FALSE, 'Reaction Information'!$D$38 = ""), NA(), 24.465)</f>
        <v>#N/A</v>
      </c>
      <c r="BX11" s="1" t="e">
        <f>IF(OR(ISNA('Reaction Information'!$D$42), $N11 = "", $D$27 = FALSE, 'Reaction Information'!$D$42 = ""), NA(), 24.465)</f>
        <v>#N/A</v>
      </c>
      <c r="BY11" s="8" t="e">
        <f t="shared" si="1"/>
        <v>#N/A</v>
      </c>
      <c r="BZ11" s="8">
        <f>IF(OR(ISBLANK(Input!$BK$4),$D$27=FALSE),NA(),('Reaction Information'!$J$46/10+'Reaction Information'!$K$46*100/(Calculations!$C$12+Calculations!$M11)+('Reaction Information'!$L$46+'Reaction Information'!$M$46*10000/(Calculations!$C$12+Calculations!$M11))/(Calculations!$O11-Calculations!$C$13)-calculateOmega(Calculations!M11,Calculations!N11,Calculations!Q11,'Reaction Information'!$C$46,'Reaction Information'!$P$46*10^5,'Reaction Information'!$Q$46)*Calculations!$U11*10^-6 + (1/$S11 - 1)*calculate_domegadP(Calculations!M11,Calculations!N11,Calculations!Q11,'Reaction Information'!$C$46,'Reaction Information'!$P$46*10^5,'Reaction Information'!$Q$46,$D$20,$D$19=3))*41.84)</f>
        <v>0</v>
      </c>
      <c r="CA11" s="8">
        <f>IF(OR(ISBLANK(Input!$BN$4),$D$27=FALSE),NA(),('Reaction Information'!$J$50/10+'Reaction Information'!$K$50*100/(Calculations!$C$12+Calculations!$M11)+('Reaction Information'!$L$50+'Reaction Information'!$M$50*10000/(Calculations!$C$12+Calculations!$M11))/(Calculations!$O11-Calculations!$C$13)-calculateOmega(Calculations!M11,Calculations!N11,Calculations!Q11,'Reaction Information'!$C$50,'Reaction Information'!$P$50*10^5,'Reaction Information'!$Q$50)*Calculations!$U11*10^-6 + (1/$S11 - 1)*calculate_domegadP(Calculations!M11,Calculations!N11,Calculations!Q11,'Reaction Information'!$C$50,'Reaction Information'!$P$50*10^5,'Reaction Information'!$Q$50,$D$20,$D$19=3))*41.84)</f>
        <v>17.625144442509516</v>
      </c>
      <c r="CB11" s="8" t="e">
        <f>IF(OR(ISBLANK(Input!$BQ$4),$D$27=FALSE),NA(),('Reaction Information'!$J$54/10+'Reaction Information'!$K$54*100/(Calculations!$C$12+Calculations!$M11)+('Reaction Information'!$L$54+'Reaction Information'!$M$54*10000/(Calculations!$C$12+Calculations!$M11))/(Calculations!$O11-Calculations!$C$13)-calculateOmega(Calculations!M11,Calculations!N11,Calculations!Q11,'Reaction Information'!$C$54,'Reaction Information'!$P$54*10^5,'Reaction Information'!$Q$54)*Calculations!$U11*10^-6 + (1/$S11 - 1)*calculate_domegadP(Calculations!M11,Calculations!N11,Calculations!Q11,'Reaction Information'!$C$54,'Reaction Information'!$P$54*10^5,'Reaction Information'!$Q$54,$D$20,$D$19=3))*41.84)</f>
        <v>#N/A</v>
      </c>
      <c r="CC11" s="8" t="e">
        <f>IF(OR(ISBLANK(Input!$BT$4),$D$27=FALSE),NA(),('Reaction Information'!$J$58/10+'Reaction Information'!$K$58*100/(Calculations!$C$12+Calculations!$M11)+('Reaction Information'!$L$58+'Reaction Information'!$M$58*10000/(Calculations!$C$12+Calculations!$M11))/(Calculations!$O11-Calculations!$C$13)-calculateOmega(Calculations!M11,Calculations!N11,Calculations!Q11,'Reaction Information'!$C$58,'Reaction Information'!$P$58*10^5,'Reaction Information'!$Q$58)*Calculations!$U11*10^-6 + (1/$S11 - 1)*calculate_domegadP(Calculations!M11,Calculations!N11,Calculations!Q11,'Reaction Information'!$C$58,'Reaction Information'!$P$58*10^5,'Reaction Information'!$Q$58,$D$20,$D$19=3))*41.84)</f>
        <v>#N/A</v>
      </c>
      <c r="CD11" s="8" t="e">
        <f>IF(OR(ISBLANK(Input!$BW$4),$D$27=FALSE),NA(),('Reaction Information'!$J$62/10+'Reaction Information'!$K$62*100/(Calculations!$C$12+Calculations!$M11)+('Reaction Information'!$L$62+'Reaction Information'!$M$62*10000/(Calculations!$C$12+Calculations!$M11))/(Calculations!$O11-Calculations!$C$13)-calculateOmega(Calculations!M11,Calculations!N11,Calculations!Q11,'Reaction Information'!$C$62,'Reaction Information'!$P$62*10^5,'Reaction Information'!$Q$62)*Calculations!$U11*10^-6 + (1/$S11 - 1)*calculate_domegadP(Calculations!M11,Calculations!N11,Calculations!Q11,'Reaction Information'!$C$62,'Reaction Information'!$P$62*10^5,'Reaction Information'!$Q$62,$D$20,$D$19=3))*41.84)</f>
        <v>#N/A</v>
      </c>
      <c r="CE11" s="8" t="e">
        <f>IF(OR(ISBLANK(Input!$BZ$4),$D$27=FALSE),NA(),('Reaction Information'!$J$66/10+'Reaction Information'!$K$66*100/(Calculations!$C$12+Calculations!$M11)+('Reaction Information'!$L$66+'Reaction Information'!$M$66*10000/(Calculations!$C$12+Calculations!$M11))/(Calculations!$O11-Calculations!$C$13)-calculateOmega(Calculations!M11,Calculations!N11,Calculations!Q11,'Reaction Information'!$C$66,'Reaction Information'!$P$66*10^5,'Reaction Information'!$Q$66)*Calculations!$U11*10^-6 + (1/$S11 - 1)*calculate_domegadP(Calculations!M11,Calculations!N11,Calculations!Q11,'Reaction Information'!$C$66,'Reaction Information'!$P$66*10^5,'Reaction Information'!$Q$66,$D$20,$D$19=3))*41.84)</f>
        <v>#N/A</v>
      </c>
      <c r="CF11" s="31">
        <f>(BS11*Input!$AO$4+BT11*Input!$AR$4+BU11*Input!$AU$4+BV11*Input!$AX$4+IF(ISNA(BW11),0,BW11*Input!$BA$4)+IF(ISNA(BX11),0,BX11*Input!$BD$4)+IF(ISNA(BY11),0,BY11*Input!$BG$4)+IF(ISNA(BZ11),0,BZ11*Input!$BJ$4)+IF(ISNA(CA11),0,CA11*Input!$BM$4)+IF(ISNA(CB11),0,CB11*Input!$BP$4)+IF(ISNA(CC11),0,CC11*Input!$BS$4)+IF(ISNA(CD11),0,CD11*Input!$BV$4)+IF(ISNA(CE11),0,CE11*Input!$BY$4))-(BF11*Input!$B$4+BG11*Input!$E$4+BH11*Input!$H$4+BI11*Input!$K$4+IF(ISNA(BJ11),0,BJ11*Input!$N$4)+IF(ISNA(BK11),0,BK11*Input!$Q$4)+IF(ISNA(BL11),0,BL11*Input!$T$4)+IF(ISNA(BM11),0,BM11*Input!$W$4)+IF(ISNA(BN11),0,BN11*Input!$Z$4)+IF(ISNA(BO11),0,BO11*Input!$AC$4)+IF(ISNA(BP11),0,BP11*Input!$AF$4)+IF(ISNA(BQ11),0,BQ11*Input!$AI$4)+IF(ISNA(BR11),0,BR11*Input!$AL$4))</f>
        <v>-44.016542799419426</v>
      </c>
      <c r="CG11" s="1">
        <f t="shared" si="12"/>
        <v>550</v>
      </c>
      <c r="CH11" s="46">
        <f t="shared" si="13"/>
        <v>5000</v>
      </c>
      <c r="CI11" s="1"/>
    </row>
    <row r="12" spans="1:87" ht="15" customHeight="1" x14ac:dyDescent="0.2">
      <c r="A12" s="1"/>
      <c r="B12" s="39" t="s">
        <v>436</v>
      </c>
      <c r="C12" s="7">
        <v>2600</v>
      </c>
      <c r="D12" s="7" t="s">
        <v>440</v>
      </c>
      <c r="E12" s="23"/>
      <c r="F12" s="2">
        <v>7</v>
      </c>
      <c r="G12" s="1" t="str">
        <f>IF(ISBLANK(Input!CB12), "", Input!CB12*1000)</f>
        <v/>
      </c>
      <c r="H12" s="1" t="str">
        <f>IF(ISBLANK(Input!CC12), "", Input!CC12)</f>
        <v/>
      </c>
      <c r="I12" s="1">
        <f>IF(Input!$CF$5 + Input!$CF$6*(FLOOR((Calculations!$F12-1)/(FLOOR((Input!$CF$12-Input!$CF$10)/Input!$CF$11,1)+1),1)) &gt; Input!$CF$7, "", (Input!$CF$5 + Input!$CF$6*(FLOOR((Calculations!$F12-1)/(FLOOR((Input!$CF$12-Input!$CF$10)/Input!$CF$11,1)+1),1)))*1000)</f>
        <v>5000</v>
      </c>
      <c r="J12" s="1">
        <f>IF(Calculations!I12 = "", "", Input!$CF$10 + Input!$CF$11*(Calculations!$F12-1) - (FLOOR((Input!$CF$12-Input!$CF$10)/Input!$CF$11,1)+1)*Input!$CF$11*FLOOR((Calculations!$F12-1)/(FLOOR((Input!$CF$12-Input!$CF$10)/Input!$CF$11,1)+1),1))</f>
        <v>600</v>
      </c>
      <c r="K12" s="8">
        <f t="shared" si="14"/>
        <v>4.5113168275197619</v>
      </c>
      <c r="L12" s="117">
        <f>IF(OR(Input!$CJ$5 + Input!$CJ$6*(Calculations!F12-1) &gt; Input!$CJ$7, Input!$CJ$5 + Input!$CJ$6*(Calculations!F12-1) &gt; 350), "", Input!$CJ$5 + Input!$CJ$6*(Calculations!F12-1))</f>
        <v>150</v>
      </c>
      <c r="M12" s="1">
        <f t="shared" si="2"/>
        <v>5000</v>
      </c>
      <c r="N12" s="1">
        <f t="shared" si="3"/>
        <v>600</v>
      </c>
      <c r="O12" s="1">
        <f t="shared" si="4"/>
        <v>873.15</v>
      </c>
      <c r="P12" s="1" t="e">
        <f>IF(OR($D$20=3,AND($D$21=TRUE,M12&lt;1000)),INDEX('Water Density'!$C$6:$CX$120,MATCH(Calculations!N12,'Water Density'!$B$6:$B$120),MATCH(Calculations!M12/1000,'Water Density'!$C$5:$CX$5)),NA())</f>
        <v>#N/A</v>
      </c>
      <c r="Q12" s="182">
        <f>IF(OR($D$20=3,AND($D$21=TRUE,M12&lt;1000)), IF(P12&lt;&gt;0,P12,NA()), calculateDensity(M12,N12,$D$20,0.01,$D$19 = 3))</f>
        <v>0.80442033939838398</v>
      </c>
      <c r="R12" s="1" t="e">
        <f>IF($D$22=5,INDEX('Dielectric Constant'!$C$6:$CX$120,MATCH(Calculations!N12,'Dielectric Constant'!$B$6:$B$120),MATCH(Calculations!M12/1000,'Dielectric Constant'!$C$5:$CX$5)),NA())</f>
        <v>#N/A</v>
      </c>
      <c r="S12" s="58">
        <f>IF($D$22=5, IF(R12&lt;&gt;0,R12,NA()), IF(AND($D$23,M12&lt;=5000,$D$19 &lt;&gt; 3),calculateEpsilon(Q12,N12,1,FALSE),calculateEpsilon(Q12,N12,$D$22,$D$19 = 3)))</f>
        <v>14.808247835029572</v>
      </c>
      <c r="T12" s="1" t="e">
        <f>IF($D$24=3,INDEX('Water Free Energy'!$C$6:$CX$120,MATCH(Calculations!N12,'Water Free Energy'!$B$6:$B$120),MATCH(Calculations!M12/1000,'Water Free Energy'!$C$5:$CX$5)),NA())</f>
        <v>#N/A</v>
      </c>
      <c r="U12" s="179">
        <f>IF($D$27,calculateQ(M12,N12,Q12,$D$20,$D$22,$D$19=3)*10^6,NA())</f>
        <v>3.590719915267139</v>
      </c>
      <c r="V12"/>
      <c r="W12" s="2">
        <f t="shared" si="5"/>
        <v>5000</v>
      </c>
      <c r="X12" s="1">
        <f t="shared" si="6"/>
        <v>600</v>
      </c>
      <c r="Y12" s="1">
        <f>Results!F14</f>
        <v>0</v>
      </c>
      <c r="Z12" s="1">
        <f>Results!G14</f>
        <v>0</v>
      </c>
      <c r="AA12" s="1">
        <f>Results!H14</f>
        <v>0</v>
      </c>
      <c r="AB12" s="1">
        <f>Results!I14</f>
        <v>0</v>
      </c>
      <c r="AC12" s="1" t="e">
        <f>IF(ISBLANK(Input!$O$4),NA(),'Reaction Information'!$E$5-'Reaction Information'!$G$5*(Calculations!$O12-Calculations!$C$8)+'Reaction Information'!$I$5*(Calculations!$O12-Calculations!$C$8-Calculations!$O12*LN(Calculations!$O12/Calculations!$C$8))+'Reaction Information'!$J$5*0.001/2*(2*Calculations!$O12*Calculations!$C$8-Calculations!$O12^2-Calculations!$C$8^2) + 'Reaction Information'!$K$5*100000*(Calculations!$O12^2 + Calculations!$C$8^2 - 2*Calculations!$O12*Calculations!$C$8)/(2*Calculations!$O12*Calculations!$C$8^2))</f>
        <v>#N/A</v>
      </c>
      <c r="AD12" s="8" t="e">
        <f>IF(ISBLANK(Input!$R$4),NA(),'Reaction Information'!$E$9-'Reaction Information'!$G$9*(Calculations!$O12-Calculations!$C$8)+'Reaction Information'!$I$9*(Calculations!$O12-Calculations!$C$8-Calculations!$O12*LN(Calculations!$O12/Calculations!$C$8))+'Reaction Information'!$J$9*0.001/2*(2*Calculations!$O12*Calculations!$C$8-Calculations!$O12^2-Calculations!$C$8^2) + 'Reaction Information'!$K$9*100000*(Calculations!$O12^2 + Calculations!$C$8^2 - 2*Calculations!$O12*Calculations!$C$8)/(2*Calculations!$O12*Calculations!$C$8^2))</f>
        <v>#N/A</v>
      </c>
      <c r="AE12" s="8">
        <f>IF(AE$5="H2O",IF($D$24=3,IF(T12=0,NA(),T12),calculateGibbsOfWater(M12,N12,$D$24,$D$20,$D$19=3)),NA())</f>
        <v>-69709.480405470546</v>
      </c>
      <c r="AF12" s="8">
        <f>IF(ISBLANK(Input!$X$4),NA(),'Reaction Information'!$E$13-'Reaction Information'!$G$13*(Calculations!O12-Calculations!$C$8)-'Reaction Information'!$N$13*(Calculations!O12*LN(Calculations!O12/Calculations!$C$8)-Calculations!O12+Calculations!$C$8)-'Reaction Information'!$O$13*10^4*(((1/(Calculations!O12-Calculations!$C$13))-(1/(Calculations!$C$8-Calculations!$C$13)))*((Calculations!$C$13-Calculations!O12)/(Calculations!$C$13))-(Calculations!O12/(Calculations!$C$13*Calculations!$C$13))*LN((Calculations!$C$8*(Calculations!O12-Calculations!$C$13))/(Calculations!O12*(Calculations!$C$8-Calculations!$C$13))))+'Reaction Information'!$J$13*10^-1*(Calculations!M12-Calculations!$C$9)+'Reaction Information'!$K$13*10^2*LN((Calculations!$C$12+Calculations!M12)/(Calculations!$C$12+Calculations!$C$9))+(1/(Calculations!O12-Calculations!$C$13))*('Reaction Information'!$L$13*(Calculations!M12-Calculations!$C$9)+'Reaction Information'!$M$13*10^4*LN((Calculations!$C$12+Calculations!M12)/(Calculations!$C$12+Calculations!$C$9)))+calculateOmega(Calculations!M12,Calculations!N12,Calculations!Q12,'Reaction Information'!$C$13,'Reaction Information'!$P$13*10^5,'Reaction Information'!$Q$13)*((1/Calculations!S12)-1)-'Reaction Information'!$P$13*10^5*((1/Calculations!$C$10)-1)+'Reaction Information'!$P$13*10^5*Calculations!$C$14*(Calculations!O12-Calculations!$C$8))</f>
        <v>-114022.14415067063</v>
      </c>
      <c r="AG12" s="8" t="e">
        <f>IF(ISBLANK(Input!$AA$4),NA(),'Reaction Information'!$E$17-'Reaction Information'!$G$17*(Calculations!$O12-Calculations!$C$8)-'Reaction Information'!$N$17*(Calculations!$O12*LN(Calculations!$O12/Calculations!$C$8)-Calculations!$O12+Calculations!$C$8)-'Reaction Information'!$O$17*10^4*(((1/(Calculations!$O12-Calculations!$C$13))-(1/(Calculations!$C$8-Calculations!$C$13)))*((Calculations!$C$13-Calculations!$O12)/(Calculations!$C$13))-(Calculations!$O12/(Calculations!$C$13*Calculations!$C$13))*LN((Calculations!$C$8*(Calculations!$O12-Calculations!$C$13))/(Calculations!$O12*(Calculations!$C$8-Calculations!$C$13))))+'Reaction Information'!$J$17*10^-1*(Calculations!$M12-Calculations!$C$9)+'Reaction Information'!$K$17*10^2*LN((Calculations!$C$12+Calculations!$M12)/(Calculations!$C$12+Calculations!$C$9))+(1/(Calculations!$O12-Calculations!$C$13))*('Reaction Information'!$L$17*(Calculations!$M12-Calculations!$C$9)+'Reaction Information'!$M$17*10^4*LN((Calculations!$C$12+Calculations!$M12)/(Calculations!$C$12+Calculations!$C$9)))+calculateOmega(Calculations!M12,Calculations!N12,Calculations!Q12,'Reaction Information'!$C$17,'Reaction Information'!$P$17*10^5,'Reaction Information'!$Q$17)*((1/Calculations!$S12)-1)-'Reaction Information'!$P$17*10^5*((1/Calculations!$C$10)-1)+'Reaction Information'!$P$17*10^5*Calculations!$C$14*(Calculations!$O12-Calculations!$C$8))</f>
        <v>#N/A</v>
      </c>
      <c r="AH12" s="8" t="e">
        <f>IF(ISBLANK(Input!$AD$4),NA(),'Reaction Information'!$E$21-'Reaction Information'!$G$21*(Calculations!$O12-Calculations!$C$8)-'Reaction Information'!$N$21*(Calculations!$O12*LN(Calculations!$O12/Calculations!$C$8)-Calculations!$O12+Calculations!$C$8)-'Reaction Information'!$O$21*10^4*(((1/(Calculations!$O12-Calculations!$C$13))-(1/(Calculations!$C$8-Calculations!$C$13)))*((Calculations!$C$13-Calculations!$O12)/(Calculations!$C$13))-(Calculations!$O12/(Calculations!$C$13*Calculations!$C$13))*LN((Calculations!$C$8*(Calculations!$O12-Calculations!$C$13))/(Calculations!$O12*(Calculations!$C$8-Calculations!$C$13))))+'Reaction Information'!$J$21*10^-1*(Calculations!$M12-Calculations!$C$9)+'Reaction Information'!$K$21*10^2*LN((Calculations!$C$12+Calculations!$M12)/(Calculations!$C$12+Calculations!$C$9))+(1/(Calculations!$O12-Calculations!$C$13))*('Reaction Information'!$L$21*(Calculations!$M12-Calculations!$C$9)+'Reaction Information'!$M$21*10^4*LN((Calculations!$C$12+Calculations!$M12)/(Calculations!$C$12+Calculations!$C$9)))+calculateOmega(Calculations!M12,Calculations!N12,Calculations!Q12,'Reaction Information'!$C$21,'Reaction Information'!$P$21*10^5,'Reaction Information'!$Q$21)*((1/Calculations!$S12)-1)-'Reaction Information'!$P$21*10^5*((1/Calculations!$C$10)-1)+'Reaction Information'!$P$21*10^5*Calculations!$C$14*(Calculations!$O12-Calculations!$C$8))</f>
        <v>#N/A</v>
      </c>
      <c r="AI12" s="8" t="e">
        <f>IF(ISBLANK(Input!$AG$4),NA(),'Reaction Information'!$E$25-'Reaction Information'!$G$25*(Calculations!$O12-Calculations!$C$8)-'Reaction Information'!$N$25*(Calculations!$O12*LN(Calculations!$O12/Calculations!$C$8)-Calculations!$O12+Calculations!$C$8)-'Reaction Information'!$O$25*10^4*(((1/(Calculations!$O12-Calculations!$C$13))-(1/(Calculations!$C$8-Calculations!$C$13)))*((Calculations!$C$13-Calculations!$O12)/(Calculations!$C$13))-(Calculations!$O12/(Calculations!$C$13*Calculations!$C$13))*LN((Calculations!$C$8*(Calculations!$O12-Calculations!$C$13))/(Calculations!$O12*(Calculations!$C$8-Calculations!$C$13))))+'Reaction Information'!$J$25*10^-1*(Calculations!$M12-Calculations!$C$9)+'Reaction Information'!$K$25*10^2*LN((Calculations!$C$12+Calculations!$M12)/(Calculations!$C$12+Calculations!$C$9))+(1/(Calculations!$O12-Calculations!$C$13))*('Reaction Information'!$L$25*(Calculations!$M12-Calculations!$C$9)+'Reaction Information'!$M$25*10^4*LN((Calculations!$C$12+Calculations!$M12)/(Calculations!$C$12+Calculations!$C$9)))+calculateOmega(Calculations!M12,Calculations!N12,Calculations!Q12,'Reaction Information'!$C$25,'Reaction Information'!$P$25*10^5,'Reaction Information'!$Q$25)*((1/Calculations!$S12)-1)-'Reaction Information'!$P$25*10^5*((1/Calculations!$C$10)-1)+'Reaction Information'!$P$25*10^5*Calculations!$C$14*(Calculations!$O12-Calculations!$C$8))</f>
        <v>#N/A</v>
      </c>
      <c r="AJ12" s="8" t="e">
        <f>IF(ISBLANK(Input!$AJ$4),NA(),'Reaction Information'!$E$29-'Reaction Information'!$G$29*(Calculations!$O12-Calculations!$C$8)-'Reaction Information'!$N$29*(Calculations!$O12*LN(Calculations!$O12/Calculations!$C$8)-Calculations!$O12+Calculations!$C$8)-'Reaction Information'!$O$29*10^4*(((1/(Calculations!$O12-Calculations!$C$13))-(1/(Calculations!$C$8-Calculations!$C$13)))*((Calculations!$C$13-Calculations!$O12)/(Calculations!$C$13))-(Calculations!$O12/(Calculations!$C$13*Calculations!$C$13))*LN((Calculations!$C$8*(Calculations!$O12-Calculations!$C$13))/(Calculations!$O12*(Calculations!$C$8-Calculations!$C$13))))+'Reaction Information'!$J$29*10^-1*(Calculations!$M12-Calculations!$C$9)+'Reaction Information'!$K$29*10^2*LN((Calculations!$C$12+Calculations!$M12)/(Calculations!$C$12+Calculations!$C$9))+(1/(Calculations!$O12-Calculations!$C$13))*('Reaction Information'!$L$29*(Calculations!$M12-Calculations!$C$9)+'Reaction Information'!$M$29*10^4*LN((Calculations!$C$12+Calculations!$M12)/(Calculations!$C$12+Calculations!$C$9)))+calculateOmega(Calculations!M12,Calculations!N12,Calculations!Q12,'Reaction Information'!$C$29,'Reaction Information'!$P$29*10^5,'Reaction Information'!$Q$29)*((1/Calculations!$S12)-1)-'Reaction Information'!$P$29*10^5*((1/Calculations!$C$10)-1)+'Reaction Information'!$P$29*10^5*Calculations!$C$14*(Calculations!$O12-Calculations!$C$8))</f>
        <v>#N/A</v>
      </c>
      <c r="AK12" s="8" t="e">
        <f>IF(ISBLANK(Input!$AM$4),NA(),'Reaction Information'!$E$33-'Reaction Information'!$G$33*(Calculations!$O12-Calculations!$C$8)-'Reaction Information'!$N$33*(Calculations!$O12*LN(Calculations!$O12/Calculations!$C$8)-Calculations!$O12+Calculations!$C$8)-'Reaction Information'!$O$33*10^4*(((1/(Calculations!$O12-Calculations!$C$13))-(1/(Calculations!$C$8-Calculations!$C$13)))*((Calculations!$C$13-Calculations!$O12)/(Calculations!$C$13))-(Calculations!$O12/(Calculations!$C$13*Calculations!$C$13))*LN((Calculations!$C$8*(Calculations!$O12-Calculations!$C$13))/(Calculations!$O12*(Calculations!$C$8-Calculations!$C$13))))+'Reaction Information'!$J$33*10^-1*(Calculations!$M12-Calculations!$C$9)+'Reaction Information'!$K$33*10^2*LN((Calculations!$C$12+Calculations!$M12)/(Calculations!$C$12+Calculations!$C$9))+(1/(Calculations!$O12-Calculations!$C$13))*('Reaction Information'!$L$33*(Calculations!$M12-Calculations!$C$9)+'Reaction Information'!$M$33*10^4*LN((Calculations!$C$12+Calculations!$M12)/(Calculations!$C$12+Calculations!$C$9)))+calculateOmega(Calculations!M12,Calculations!N12,Calculations!Q12,'Reaction Information'!$C$33,'Reaction Information'!$P$33*10^5,'Reaction Information'!$Q$33)*((1/Calculations!$S12)-1)-'Reaction Information'!$P$33*10^5*((1/Calculations!$C$10)-1)+'Reaction Information'!$P$33*10^5*Calculations!$C$14*(Calculations!$O12-Calculations!$C$8))</f>
        <v>#N/A</v>
      </c>
      <c r="AL12" s="1">
        <f>Results!S14</f>
        <v>0</v>
      </c>
      <c r="AM12" s="1">
        <f>Results!T14</f>
        <v>0</v>
      </c>
      <c r="AN12" s="1">
        <f>Results!U14</f>
        <v>0</v>
      </c>
      <c r="AO12" s="1">
        <f>Results!V14</f>
        <v>0</v>
      </c>
      <c r="AP12" s="8" t="e">
        <f>IF(ISBLANK(Input!$BB$4),NA(),'Reaction Information'!$E$38-'Reaction Information'!$G$38*(Calculations!$O12-Calculations!$C$8)+'Reaction Information'!$I$38*(Calculations!$O12-Calculations!$C$8-Calculations!$O12*LN(Calculations!$O12/Calculations!$C$8))+'Reaction Information'!$J$38*0.001/2*(2*Calculations!$O12*Calculations!$C$8-Calculations!$O12^2-Calculations!$C$8^2) + 'Reaction Information'!$K$38*100000*(Calculations!$O12^2 + Calculations!$C$8^2 - 2*Calculations!$O12*Calculations!$C$8)/(2*Calculations!$O12*Calculations!$C$8^2))</f>
        <v>#N/A</v>
      </c>
      <c r="AQ12" s="8" t="e">
        <f>IF(ISBLANK(Input!$BE$4),NA(),'Reaction Information'!$E$42-'Reaction Information'!$G$42*(Calculations!$O12-Calculations!$C$8)+'Reaction Information'!$I$42*(Calculations!$O12-Calculations!$C$8-Calculations!$O12*LN(Calculations!$O12/Calculations!$C$8))+'Reaction Information'!$J$42*0.001/2*(2*Calculations!$O12*Calculations!$C$8-Calculations!$O12^2-Calculations!$C$8^2) + 'Reaction Information'!$K$42*100000*(Calculations!$O12^2 + Calculations!$C$8^2 - 2*Calculations!$O12*Calculations!$C$8)/(2*Calculations!$O12*Calculations!$C$8^2))</f>
        <v>#N/A</v>
      </c>
      <c r="AR12" s="8" t="e">
        <f>IF(AR$5="H2O", IF($D$24=3,IF(T12=0,NA(),T12),calculateGibbsOfWater(M12,N12,$D$24,$D$20,$D$19=3)),NA())</f>
        <v>#N/A</v>
      </c>
      <c r="AS12" s="8">
        <f>IF(ISBLANK(Input!$BK$4),NA(),'Reaction Information'!$E$46-'Reaction Information'!$G$46*(Calculations!O12-Calculations!$C$8)-'Reaction Information'!$N$46*(Calculations!O12*LN(Calculations!O12/Calculations!$C$8)-Calculations!O12+Calculations!$C$8)-'Reaction Information'!$O$46*10^4*(((1/(Calculations!O12-Calculations!$C$13))-(1/(Calculations!$C$8-Calculations!$C$13)))*((Calculations!$C$13-Calculations!O12)/(Calculations!$C$13))-(Calculations!O12/(Calculations!$C$13*Calculations!$C$13))*LN((Calculations!$C$8*(Calculations!O12-Calculations!$C$13))/(Calculations!O12*(Calculations!$C$8-Calculations!$C$13))))+'Reaction Information'!$J$46*10^-1*(Calculations!$M12-Calculations!$C$9)+'Reaction Information'!$K$46*10^2*LN((Calculations!$C$12+Calculations!$M12)/(Calculations!$C$12+Calculations!$C$9))+(1/(Calculations!O12-Calculations!$C$13))*('Reaction Information'!$L$46*(Calculations!$M12-Calculations!$C$9)+'Reaction Information'!$M$46*10^4*LN((Calculations!$C$12+Calculations!$M12)/(Calculations!$C$12+Calculations!$C$9)))+calculateOmega(Calculations!M12,Calculations!N12,Calculations!Q12,'Reaction Information'!$C$46,'Reaction Information'!$P$46*10^5,'Reaction Information'!$Q$46)*((1/Calculations!S12)-1)-'Reaction Information'!$P$46*10^5*((1/Calculations!$C$10)-1)+'Reaction Information'!$P$46*10^5*Calculations!$C$14*(Calculations!O12-Calculations!$C$8))</f>
        <v>0</v>
      </c>
      <c r="AT12" s="8">
        <f>IF(ISBLANK(Input!$BN$4),NA(),'Reaction Information'!$E$50-'Reaction Information'!$G$50*(Calculations!O12-Calculations!$C$8)-'Reaction Information'!$N$50*(Calculations!O12*LN(Calculations!O12/Calculations!$C$8)-Calculations!O12+Calculations!$C$8)-'Reaction Information'!$O$50*10^4*(((1/(Calculations!O12-Calculations!$C$13))-(1/(Calculations!$C$8-Calculations!$C$13)))*((Calculations!$C$13-Calculations!O12)/(Calculations!$C$13))-(Calculations!O12/(Calculations!$C$13*Calculations!$C$13))*LN((Calculations!$C$8*(Calculations!O12-Calculations!$C$13))/(Calculations!O12*(Calculations!$C$8-Calculations!$C$13))))+'Reaction Information'!$J$50*10^-1*(Calculations!$M12-Calculations!$C$9)+'Reaction Information'!$K$50*10^2*LN((Calculations!$C$12+Calculations!$M12)/(Calculations!$C$12+Calculations!$C$9))+(1/(Calculations!O12-Calculations!$C$13))*('Reaction Information'!$L$50*(Calculations!$M12-Calculations!$C$9)+'Reaction Information'!$M$50*10^4*LN((Calculations!$C$12+Calculations!$M12)/(Calculations!$C$12+Calculations!$C$9)))+calculateOmega(Calculations!M12,Calculations!N12,Calculations!Q12,'Reaction Information'!$C$50,'Reaction Information'!$P$50*10^5,'Reaction Information'!$Q$50)*((1/Calculations!S12)-1)-'Reaction Information'!$P$50*10^5*((1/Calculations!$C$10)-1)+'Reaction Information'!$P$50*10^5*Calculations!$C$14*(Calculations!O12-Calculations!$C$8))</f>
        <v>-150604.94800611876</v>
      </c>
      <c r="AU12" s="8" t="e">
        <f>IF(ISBLANK(Input!$BQ$4),NA(),'Reaction Information'!$E$54-'Reaction Information'!$G$54*(Calculations!$O12-Calculations!$C$8)-'Reaction Information'!$N$54*(Calculations!$O12*LN(Calculations!$O12/Calculations!$C$8)-Calculations!$O12+Calculations!$C$8)-'Reaction Information'!$O$54*10^4*(((1/(Calculations!$O12-Calculations!$C$13))-(1/(Calculations!$C$8-Calculations!$C$13)))*((Calculations!$C$13-Calculations!$O12)/(Calculations!$C$13))-(Calculations!$O12/(Calculations!$C$13*Calculations!$C$13))*LN((Calculations!$C$8*(Calculations!$O12-Calculations!$C$13))/(Calculations!$O12*(Calculations!$C$8-Calculations!$C$13))))+'Reaction Information'!$J$54*10^-1*(Calculations!$M12-Calculations!$C$9)+'Reaction Information'!$K$54*10^2*LN((Calculations!$C$12+Calculations!$M12)/(Calculations!$C$12+Calculations!$C$9))+(1/(Calculations!$O12-Calculations!$C$13))*('Reaction Information'!$L$54*(Calculations!$M12-Calculations!$C$9)+'Reaction Information'!$M$54*10^4*LN((Calculations!$C$12+Calculations!$M12)/(Calculations!$C$12+Calculations!$C$9)))+calculateOmega(Calculations!M12,Calculations!N12,Calculations!Q12,'Reaction Information'!$C$54,'Reaction Information'!$P$54*10^5,'Reaction Information'!$Q$54)*((1/Calculations!$S12)-1)-'Reaction Information'!$P$54*10^5*((1/Calculations!$C$10)-1)+'Reaction Information'!$P$54*10^5*Calculations!$C$14*(Calculations!$O12-Calculations!$C$8))</f>
        <v>#N/A</v>
      </c>
      <c r="AV12" s="8" t="e">
        <f>IF(ISBLANK(Input!$BT$4),NA(),'Reaction Information'!$E$58-'Reaction Information'!$G$58*(Calculations!$O12-Calculations!$C$8)-'Reaction Information'!$N$58*(Calculations!$O12*LN(Calculations!$O12/Calculations!$C$8)-Calculations!$O12+Calculations!$C$8)-'Reaction Information'!$O$58*10^4*(((1/(Calculations!$O12-Calculations!$C$13))-(1/(Calculations!$C$8-Calculations!$C$13)))*((Calculations!$C$13-Calculations!$O12)/(Calculations!$C$13))-(Calculations!$O12/(Calculations!$C$13*Calculations!$C$13))*LN((Calculations!$C$8*(Calculations!$O12-Calculations!$C$13))/(Calculations!$O12*(Calculations!$C$8-Calculations!$C$13))))+'Reaction Information'!$J$58*10^-1*(Calculations!$M12-Calculations!$C$9)+'Reaction Information'!$K$58*10^2*LN((Calculations!$C$12+Calculations!$M12)/(Calculations!$C$12+Calculations!$C$9))+(1/(Calculations!$O12-Calculations!$C$13))*('Reaction Information'!$L$58*(Calculations!$M12-Calculations!$C$9)+'Reaction Information'!$M$58*10^4*LN((Calculations!$C$12+Calculations!$M12)/(Calculations!$C$12+Calculations!$C$9)))+calculateOmega(Calculations!M12,Calculations!N12,Calculations!Q12,'Reaction Information'!$C$58,'Reaction Information'!$P$58*10^5,'Reaction Information'!$Q$58)*((1/Calculations!$S12)-1)-'Reaction Information'!$P$58*10^5*((1/Calculations!$C$10)-1)+'Reaction Information'!$P$58*10^5*Calculations!$C$14*(Calculations!$O12-Calculations!$C$8))</f>
        <v>#N/A</v>
      </c>
      <c r="AW12" s="8" t="e">
        <f>IF(ISBLANK(Input!$BW$4),NA(),'Reaction Information'!$E$62-'Reaction Information'!$G$62*(Calculations!$O12-Calculations!$C$8)-'Reaction Information'!$N$62*(Calculations!$O12*LN(Calculations!$O12/Calculations!$C$8)-Calculations!$O12+Calculations!$C$8)-'Reaction Information'!$O$62*10^4*(((1/(Calculations!$O12-Calculations!$C$13))-(1/(Calculations!$C$8-Calculations!$C$13)))*((Calculations!$C$13-Calculations!$O12)/(Calculations!$C$13))-(Calculations!$O12/(Calculations!$C$13*Calculations!$C$13))*LN((Calculations!$C$8*(Calculations!$O12-Calculations!$C$13))/(Calculations!$O12*(Calculations!$C$8-Calculations!$C$13))))+'Reaction Information'!$J$62*10^-1*(Calculations!$M12-Calculations!$C$9)+'Reaction Information'!$K$62*10^2*LN((Calculations!$C$12+Calculations!$M12)/(Calculations!$C$12+Calculations!$C$9))+(1/(Calculations!$O12-Calculations!$C$13))*('Reaction Information'!$L$62*(Calculations!$M12-Calculations!$C$9)+'Reaction Information'!$M$62*10^4*LN((Calculations!$C$12+Calculations!$M12)/(Calculations!$C$12+Calculations!$C$9)))+calculateOmega(Calculations!M12,Calculations!N12,Calculations!Q12,'Reaction Information'!$C$62,'Reaction Information'!$P$62*10^5,'Reaction Information'!$Q$62)*((1/Calculations!$S12)-1)-'Reaction Information'!$P$62*10^5*((1/Calculations!$C$10)-1)+'Reaction Information'!$P$62*10^5*Calculations!$C$14*(Calculations!$O12-Calculations!$C$8))</f>
        <v>#N/A</v>
      </c>
      <c r="AX12" s="8" t="e">
        <f>IF(ISBLANK(Input!$BZ$4),NA(),'Reaction Information'!$E$66-'Reaction Information'!$G$66*(Calculations!$O12-Calculations!$C$8)-'Reaction Information'!$N$66*(Calculations!$O12*LN(Calculations!$O12/Calculations!$C$8)-Calculations!$O12+Calculations!$C$8)-'Reaction Information'!$O$66*10^4*(((1/(Calculations!$O12-Calculations!$C$13))-(1/(Calculations!$C$8-Calculations!$C$13)))*((Calculations!$C$13-Calculations!$O12)/(Calculations!$C$13))-(Calculations!$O12/(Calculations!$C$13*Calculations!$C$13))*LN((Calculations!$C$8*(Calculations!$O12-Calculations!$C$13))/(Calculations!$O12*(Calculations!$C$8-Calculations!$C$13))))+'Reaction Information'!$J$66*10^-1*(Calculations!$M12-Calculations!$C$9)+'Reaction Information'!$K$66*10^2*LN((Calculations!$C$12+Calculations!$M12)/(Calculations!$C$12+Calculations!$C$9))+(1/(Calculations!$O12-Calculations!$C$13))*('Reaction Information'!$L$66*(Calculations!$M12-Calculations!$C$9)+'Reaction Information'!$M$66*10^4*LN((Calculations!$C$12+Calculations!$M12)/(Calculations!$C$12+Calculations!$C$9)))+calculateOmega(Calculations!M12,Calculations!N12,Calculations!Q12,'Reaction Information'!$C$66,'Reaction Information'!$P$66*10^5,'Reaction Information'!$Q$66)*((1/Calculations!$S12)-1)-'Reaction Information'!$P$66*10^5*((1/Calculations!$C$10)-1)+'Reaction Information'!$P$66*10^5*Calculations!$C$14*(Calculations!$O12-Calculations!$C$8))</f>
        <v>#N/A</v>
      </c>
      <c r="AY12" s="31">
        <f>(AL12*Input!$AO$4+AM12*Input!$AR$4+AN12*Input!$AU$4+AO12*Input!$AX$4+IF(ISNA(AP12),0,AP12*Input!$BA$4)+IF(ISNA(AQ12),0,AQ12*Input!$BD$4)+IF(ISNA(AR12),0,AR12*Input!$BG$4)+IF(ISNA(AS12),0,AS12*Input!$BJ$4)+IF(ISNA(AT12),0,AT12*Input!$BM$4)+IF(ISNA(AU12),0,AU12*Input!$BP$4)+IF(ISNA(AV12),0,AV12*Input!$BS$4)+IF(ISNA(AW12),0,AW12*Input!$BV$4)+IF(ISNA(AX12),0,AX12*Input!$BY$4))-(Y12*Input!$B$4+Z12*Input!$E$4+AA12*Input!$H$4+AB12*Input!$K$4+IF(ISNA(AC12),0,AC12*Input!$N$4)+IF(ISNA(AD12),0,AD12*Input!$Q$4)+IF(ISNA(AE12),0,AE12*Input!$T$4)+IF(ISNA(AF12),0,AF12*Input!$W$4)+IF(ISNA(AG12),0,AG12*Input!$Z$4)+IF(ISNA(AH12),0,AH12*Input!$AC$4)+IF(ISNA(AI12),0,AI12*Input!$AF$4)+IF(ISNA(AJ12),0,AJ12*Input!$AI$4)+IF(ISNA(AK12),0,AK12*Input!$AL$4))</f>
        <v>33126.676550022414</v>
      </c>
      <c r="AZ12" s="42">
        <f t="shared" si="7"/>
        <v>-8.2969960337136115</v>
      </c>
      <c r="BA12" s="1">
        <f t="shared" si="8"/>
        <v>600</v>
      </c>
      <c r="BB12" s="46">
        <f t="shared" si="9"/>
        <v>5000</v>
      </c>
      <c r="BC12" s="1"/>
      <c r="BD12" s="2">
        <f t="shared" si="10"/>
        <v>5000</v>
      </c>
      <c r="BE12" s="46">
        <f t="shared" si="11"/>
        <v>600</v>
      </c>
      <c r="BF12" s="1">
        <f>Results!AJ14</f>
        <v>0</v>
      </c>
      <c r="BG12" s="1">
        <f>Results!AK14</f>
        <v>0</v>
      </c>
      <c r="BH12" s="1">
        <f>Results!AL14</f>
        <v>0</v>
      </c>
      <c r="BI12" s="1">
        <f>Results!AM14</f>
        <v>0</v>
      </c>
      <c r="BJ12" s="1" t="e">
        <f>IF(OR(ISNA('Reaction Information'!$D$5), $N12 = "", $D$27 = FALSE, 'Reaction Information'!$D$5 = ""), NA(), 24.465)</f>
        <v>#N/A</v>
      </c>
      <c r="BK12" s="1" t="e">
        <f>IF(OR(ISNA('Reaction Information'!$D$9), $N12 = "", $D$27 = FALSE, 'Reaction Information'!$D$9 = ""), NA(), 24.465)</f>
        <v>#N/A</v>
      </c>
      <c r="BL12" s="8">
        <f t="shared" si="0"/>
        <v>22.395356156053197</v>
      </c>
      <c r="BM12" s="8">
        <f>IF(OR(ISBLANK(Input!$X$4),$D$27=FALSE),NA(),('Reaction Information'!$J$13/10+'Reaction Information'!$K$13*100/(Calculations!$C$12+Calculations!$M12)+('Reaction Information'!$L$13+'Reaction Information'!$M$13*10^4/(Calculations!$C$12+Calculations!$M12))/(Calculations!$O12-Calculations!$C$13) -calculateOmega(Calculations!$M12,Calculations!$N12,Calculations!$Q12,'Reaction Information'!$C$13,'Reaction Information'!$P$13*10^5,'Reaction Information'!$Q$13)*Calculations!$U12*10^-6 + (1/$S12 - 1)*calculate_domegadP(Calculations!$M12,Calculations!$N12,Calculations!$Q12,'Reaction Information'!$C$13,'Reaction Information'!$P$13*10^5,'Reaction Information'!$Q$13,$D$20,$D$19=3))*41.84)</f>
        <v>42.38441332622331</v>
      </c>
      <c r="BN12" s="8" t="e">
        <f>IF(OR(ISBLANK(Input!$AA$4),$D$27=FALSE),NA(),('Reaction Information'!$J$17/10+'Reaction Information'!$K$17*100/(Calculations!$C$12+Calculations!$M12)+('Reaction Information'!$L$17+'Reaction Information'!$M$17*10000/(Calculations!$C$12+Calculations!$M12))/(Calculations!$O12-Calculations!$C$13)-calculateOmega(Calculations!M12,Calculations!N12,Calculations!Q12,'Reaction Information'!$C$17,'Reaction Information'!$P$17*10^5,'Reaction Information'!$Q$17)*Calculations!$U12*10^-6 + (1/$S12 - 1)*calculate_domegadP(Calculations!M12,Calculations!N12,Calculations!Q12,'Reaction Information'!$C$17,'Reaction Information'!$P$17*10^5,'Reaction Information'!$Q$17,$D$20,$D$19=3))*41.84)</f>
        <v>#N/A</v>
      </c>
      <c r="BO12" s="8" t="e">
        <f>IF(OR(ISBLANK(Input!$AD$4),$D$27=FALSE),NA(),('Reaction Information'!$J$21/10+'Reaction Information'!$K$21*100/(Calculations!$C$12+Calculations!$M12)+('Reaction Information'!$L$21+'Reaction Information'!$M$21*10000/(Calculations!$C$12+Calculations!$M12))/(Calculations!$O12-Calculations!$C$13)-calculateOmega(Calculations!M12,Calculations!N12,Calculations!Q12,'Reaction Information'!$C$21,'Reaction Information'!$P$21*10^5,'Reaction Information'!$Q$21)*Calculations!$U12*10^-6 + (1/$S12 - 1)*calculate_domegadP(Calculations!M12,Calculations!N12,Calculations!Q12,'Reaction Information'!$C$21,'Reaction Information'!$P$21*10^5,'Reaction Information'!$Q$21,$D$20,$D$19=3))*41.84)</f>
        <v>#N/A</v>
      </c>
      <c r="BP12" s="8" t="e">
        <f>IF(OR(ISBLANK(Input!$AG$4),$D$27=FALSE),NA(),('Reaction Information'!$J$25/10+'Reaction Information'!$K$25*100/(Calculations!$C$12+Calculations!$M12)+('Reaction Information'!$L$25+'Reaction Information'!$M$25*10000/(Calculations!$C$12+Calculations!$M12))/(Calculations!$O12-Calculations!$C$13)-calculateOmega(Calculations!M12,Calculations!N12,Calculations!Q12,'Reaction Information'!$C$25,'Reaction Information'!$P$25*10^5,'Reaction Information'!$Q$25)*Calculations!$U12*10^-6 + (1/$S12 - 1)*calculate_domegadP(Calculations!M12,Calculations!N12,Calculations!Q12,'Reaction Information'!$C$25,'Reaction Information'!$P$25*10^5,'Reaction Information'!$Q$25,$D$20,$D$19=3))*41.84)</f>
        <v>#N/A</v>
      </c>
      <c r="BQ12" s="8" t="e">
        <f>IF(OR(ISBLANK(Input!$AJ$4),$D$27=FALSE),NA(),('Reaction Information'!$J$29/10+'Reaction Information'!$K$29*100/(Calculations!$C$12+Calculations!$M12)+('Reaction Information'!$L$29+'Reaction Information'!$M$29*10000/(Calculations!$C$12+Calculations!$M12))/(Calculations!$O12-Calculations!$C$13)-calculateOmega(Calculations!M12,Calculations!N12,Calculations!Q12,'Reaction Information'!$C$29,'Reaction Information'!$P$29*10^5,'Reaction Information'!$Q$29)*Calculations!$U12*10^-6 + (1/$S12 - 1)*calculate_domegadP(Calculations!M12,Calculations!N12,Calculations!Q12,'Reaction Information'!$C$29,'Reaction Information'!$P$29*10^5,'Reaction Information'!$Q$29,$D$20,$D$19=3))*41.84)</f>
        <v>#N/A</v>
      </c>
      <c r="BR12" s="8" t="e">
        <f>IF(OR(ISBLANK(Input!$AM$4),$D$27=FALSE),NA(),('Reaction Information'!$J$33/10+'Reaction Information'!$K$33*100/(Calculations!$C$12+Calculations!$M12)+('Reaction Information'!$L$33+'Reaction Information'!$M$33*10000/(Calculations!$C$12+Calculations!$M12))/(Calculations!$O12-Calculations!$C$13)-calculateOmega(Calculations!M12,Calculations!N12,Calculations!Q12,'Reaction Information'!$C$33,'Reaction Information'!$P$33*10^5,'Reaction Information'!$Q$33)*Calculations!$U12*10^-6 + (1/$S12 - 1)*calculate_domegadP(Calculations!M12,Calculations!N12,Calculations!Q12,'Reaction Information'!$C$33,'Reaction Information'!$P$33*10^5,'Reaction Information'!$Q$33,$D$20,$D$19=3))*41.84)</f>
        <v>#N/A</v>
      </c>
      <c r="BS12" s="1">
        <f>Results!AW14</f>
        <v>0</v>
      </c>
      <c r="BT12" s="1">
        <f>Results!AX14</f>
        <v>0</v>
      </c>
      <c r="BU12" s="1">
        <f>Results!AY14</f>
        <v>0</v>
      </c>
      <c r="BV12" s="1">
        <f>Results!AZ14</f>
        <v>0</v>
      </c>
      <c r="BW12" s="1" t="e">
        <f>IF(OR(ISNA('Reaction Information'!$D$38), $N12 = "", $D$27 = FALSE, 'Reaction Information'!$D$38 = ""), NA(), 24.465)</f>
        <v>#N/A</v>
      </c>
      <c r="BX12" s="1" t="e">
        <f>IF(OR(ISNA('Reaction Information'!$D$42), $N12 = "", $D$27 = FALSE, 'Reaction Information'!$D$42 = ""), NA(), 24.465)</f>
        <v>#N/A</v>
      </c>
      <c r="BY12" s="8" t="e">
        <f t="shared" si="1"/>
        <v>#N/A</v>
      </c>
      <c r="BZ12" s="8">
        <f>IF(OR(ISBLANK(Input!$BK$4),$D$27=FALSE),NA(),('Reaction Information'!$J$46/10+'Reaction Information'!$K$46*100/(Calculations!$C$12+Calculations!$M12)+('Reaction Information'!$L$46+'Reaction Information'!$M$46*10000/(Calculations!$C$12+Calculations!$M12))/(Calculations!$O12-Calculations!$C$13)-calculateOmega(Calculations!M12,Calculations!N12,Calculations!Q12,'Reaction Information'!$C$46,'Reaction Information'!$P$46*10^5,'Reaction Information'!$Q$46)*Calculations!$U12*10^-6 + (1/$S12 - 1)*calculate_domegadP(Calculations!M12,Calculations!N12,Calculations!Q12,'Reaction Information'!$C$46,'Reaction Information'!$P$46*10^5,'Reaction Information'!$Q$46,$D$20,$D$19=3))*41.84)</f>
        <v>0</v>
      </c>
      <c r="CA12" s="8">
        <f>IF(OR(ISBLANK(Input!$BN$4),$D$27=FALSE),NA(),('Reaction Information'!$J$50/10+'Reaction Information'!$K$50*100/(Calculations!$C$12+Calculations!$M12)+('Reaction Information'!$L$50+'Reaction Information'!$M$50*10000/(Calculations!$C$12+Calculations!$M12))/(Calculations!$O12-Calculations!$C$13)-calculateOmega(Calculations!M12,Calculations!N12,Calculations!Q12,'Reaction Information'!$C$50,'Reaction Information'!$P$50*10^5,'Reaction Information'!$Q$50)*Calculations!$U12*10^-6 + (1/$S12 - 1)*calculate_domegadP(Calculations!M12,Calculations!N12,Calculations!Q12,'Reaction Information'!$C$50,'Reaction Information'!$P$50*10^5,'Reaction Information'!$Q$50,$D$20,$D$19=3))*41.84)</f>
        <v>14.347829565606391</v>
      </c>
      <c r="CB12" s="8" t="e">
        <f>IF(OR(ISBLANK(Input!$BQ$4),$D$27=FALSE),NA(),('Reaction Information'!$J$54/10+'Reaction Information'!$K$54*100/(Calculations!$C$12+Calculations!$M12)+('Reaction Information'!$L$54+'Reaction Information'!$M$54*10000/(Calculations!$C$12+Calculations!$M12))/(Calculations!$O12-Calculations!$C$13)-calculateOmega(Calculations!M12,Calculations!N12,Calculations!Q12,'Reaction Information'!$C$54,'Reaction Information'!$P$54*10^5,'Reaction Information'!$Q$54)*Calculations!$U12*10^-6 + (1/$S12 - 1)*calculate_domegadP(Calculations!M12,Calculations!N12,Calculations!Q12,'Reaction Information'!$C$54,'Reaction Information'!$P$54*10^5,'Reaction Information'!$Q$54,$D$20,$D$19=3))*41.84)</f>
        <v>#N/A</v>
      </c>
      <c r="CC12" s="8" t="e">
        <f>IF(OR(ISBLANK(Input!$BT$4),$D$27=FALSE),NA(),('Reaction Information'!$J$58/10+'Reaction Information'!$K$58*100/(Calculations!$C$12+Calculations!$M12)+('Reaction Information'!$L$58+'Reaction Information'!$M$58*10000/(Calculations!$C$12+Calculations!$M12))/(Calculations!$O12-Calculations!$C$13)-calculateOmega(Calculations!M12,Calculations!N12,Calculations!Q12,'Reaction Information'!$C$58,'Reaction Information'!$P$58*10^5,'Reaction Information'!$Q$58)*Calculations!$U12*10^-6 + (1/$S12 - 1)*calculate_domegadP(Calculations!M12,Calculations!N12,Calculations!Q12,'Reaction Information'!$C$58,'Reaction Information'!$P$58*10^5,'Reaction Information'!$Q$58,$D$20,$D$19=3))*41.84)</f>
        <v>#N/A</v>
      </c>
      <c r="CD12" s="8" t="e">
        <f>IF(OR(ISBLANK(Input!$BW$4),$D$27=FALSE),NA(),('Reaction Information'!$J$62/10+'Reaction Information'!$K$62*100/(Calculations!$C$12+Calculations!$M12)+('Reaction Information'!$L$62+'Reaction Information'!$M$62*10000/(Calculations!$C$12+Calculations!$M12))/(Calculations!$O12-Calculations!$C$13)-calculateOmega(Calculations!M12,Calculations!N12,Calculations!Q12,'Reaction Information'!$C$62,'Reaction Information'!$P$62*10^5,'Reaction Information'!$Q$62)*Calculations!$U12*10^-6 + (1/$S12 - 1)*calculate_domegadP(Calculations!M12,Calculations!N12,Calculations!Q12,'Reaction Information'!$C$62,'Reaction Information'!$P$62*10^5,'Reaction Information'!$Q$62,$D$20,$D$19=3))*41.84)</f>
        <v>#N/A</v>
      </c>
      <c r="CE12" s="8" t="e">
        <f>IF(OR(ISBLANK(Input!$BZ$4),$D$27=FALSE),NA(),('Reaction Information'!$J$66/10+'Reaction Information'!$K$66*100/(Calculations!$C$12+Calculations!$M12)+('Reaction Information'!$L$66+'Reaction Information'!$M$66*10000/(Calculations!$C$12+Calculations!$M12))/(Calculations!$O12-Calculations!$C$13)-calculateOmega(Calculations!M12,Calculations!N12,Calculations!Q12,'Reaction Information'!$C$66,'Reaction Information'!$P$66*10^5,'Reaction Information'!$Q$66)*Calculations!$U12*10^-6 + (1/$S12 - 1)*calculate_domegadP(Calculations!M12,Calculations!N12,Calculations!Q12,'Reaction Information'!$C$66,'Reaction Information'!$P$66*10^5,'Reaction Information'!$Q$66,$D$20,$D$19=3))*41.84)</f>
        <v>#N/A</v>
      </c>
      <c r="CF12" s="31">
        <f>(BS12*Input!$AO$4+BT12*Input!$AR$4+BU12*Input!$AU$4+BV12*Input!$AX$4+IF(ISNA(BW12),0,BW12*Input!$BA$4)+IF(ISNA(BX12),0,BX12*Input!$BD$4)+IF(ISNA(BY12),0,BY12*Input!$BG$4)+IF(ISNA(BZ12),0,BZ12*Input!$BJ$4)+IF(ISNA(CA12),0,CA12*Input!$BM$4)+IF(ISNA(CB12),0,CB12*Input!$BP$4)+IF(ISNA(CC12),0,CC12*Input!$BS$4)+IF(ISNA(CD12),0,CD12*Input!$BV$4)+IF(ISNA(CE12),0,CE12*Input!$BY$4))-(BF12*Input!$B$4+BG12*Input!$E$4+BH12*Input!$H$4+BI12*Input!$K$4+IF(ISNA(BJ12),0,BJ12*Input!$N$4)+IF(ISNA(BK12),0,BK12*Input!$Q$4)+IF(ISNA(BL12),0,BL12*Input!$T$4)+IF(ISNA(BM12),0,BM12*Input!$W$4)+IF(ISNA(BN12),0,BN12*Input!$Z$4)+IF(ISNA(BO12),0,BO12*Input!$AC$4)+IF(ISNA(BP12),0,BP12*Input!$AF$4)+IF(ISNA(BQ12),0,BQ12*Input!$AI$4)+IF(ISNA(BR12),0,BR12*Input!$AL$4))</f>
        <v>-50.431939916670117</v>
      </c>
      <c r="CG12" s="1">
        <f t="shared" si="12"/>
        <v>600</v>
      </c>
      <c r="CH12" s="46">
        <f t="shared" si="13"/>
        <v>5000</v>
      </c>
      <c r="CI12" s="1"/>
    </row>
    <row r="13" spans="1:87" ht="15" customHeight="1" x14ac:dyDescent="0.2">
      <c r="A13" s="1"/>
      <c r="B13" s="7" t="s">
        <v>430</v>
      </c>
      <c r="C13" s="7">
        <v>228</v>
      </c>
      <c r="D13" s="7" t="s">
        <v>433</v>
      </c>
      <c r="E13" s="1"/>
      <c r="F13" s="2">
        <v>8</v>
      </c>
      <c r="G13" s="1" t="str">
        <f>IF(ISBLANK(Input!CB13), "", Input!CB13*1000)</f>
        <v/>
      </c>
      <c r="H13" s="1" t="str">
        <f>IF(ISBLANK(Input!CC13), "", Input!CC13)</f>
        <v/>
      </c>
      <c r="I13" s="1">
        <f>IF(Input!$CF$5 + Input!$CF$6*(FLOOR((Calculations!$F13-1)/(FLOOR((Input!$CF$12-Input!$CF$10)/Input!$CF$11,1)+1),1)) &gt; Input!$CF$7, "", (Input!$CF$5 + Input!$CF$6*(FLOOR((Calculations!$F13-1)/(FLOOR((Input!$CF$12-Input!$CF$10)/Input!$CF$11,1)+1),1)))*1000)</f>
        <v>5000</v>
      </c>
      <c r="J13" s="1">
        <f>IF(Calculations!I13 = "", "", Input!$CF$10 + Input!$CF$11*(Calculations!$F13-1) - (FLOOR((Input!$CF$12-Input!$CF$10)/Input!$CF$11,1)+1)*Input!$CF$11*FLOOR((Calculations!$F13-1)/(FLOOR((Input!$CF$12-Input!$CF$10)/Input!$CF$11,1)+1),1))</f>
        <v>650</v>
      </c>
      <c r="K13" s="8">
        <f t="shared" si="14"/>
        <v>8.8068233055848477</v>
      </c>
      <c r="L13" s="117">
        <f>IF(OR(Input!$CJ$5 + Input!$CJ$6*(Calculations!F13-1) &gt; Input!$CJ$7, Input!$CJ$5 + Input!$CJ$6*(Calculations!F13-1) &gt; 350), "", Input!$CJ$5 + Input!$CJ$6*(Calculations!F13-1))</f>
        <v>175</v>
      </c>
      <c r="M13" s="1">
        <f t="shared" si="2"/>
        <v>5000</v>
      </c>
      <c r="N13" s="1">
        <f t="shared" si="3"/>
        <v>650</v>
      </c>
      <c r="O13" s="1">
        <f t="shared" si="4"/>
        <v>923.15</v>
      </c>
      <c r="P13" s="1" t="e">
        <f>IF(OR($D$20=3,AND($D$21=TRUE,M13&lt;1000)),INDEX('Water Density'!$C$6:$CX$120,MATCH(Calculations!N13,'Water Density'!$B$6:$B$120),MATCH(Calculations!M13/1000,'Water Density'!$C$5:$CX$5)),NA())</f>
        <v>#N/A</v>
      </c>
      <c r="Q13" s="182">
        <f>IF(OR($D$20=3,AND($D$21=TRUE,M13&lt;1000)), IF(P13&lt;&gt;0,P13,NA()), calculateDensity(M13,N13,$D$20,0.01,$D$19 = 3))</f>
        <v>0.77445362805843354</v>
      </c>
      <c r="R13" s="1" t="e">
        <f>IF($D$22=5,INDEX('Dielectric Constant'!$C$6:$CX$120,MATCH(Calculations!N13,'Dielectric Constant'!$B$6:$B$120),MATCH(Calculations!M13/1000,'Dielectric Constant'!$C$5:$CX$5)),NA())</f>
        <v>#N/A</v>
      </c>
      <c r="S13" s="58">
        <f>IF($D$22=5, IF(R13&lt;&gt;0,R13,NA()), IF(AND($D$23,M13&lt;=5000,$D$19 &lt;&gt; 3),calculateEpsilon(Q13,N13,1,FALSE),calculateEpsilon(Q13,N13,$D$22,$D$19 = 3)))</f>
        <v>13.054071117441893</v>
      </c>
      <c r="T13" s="1" t="e">
        <f>IF($D$24=3,INDEX('Water Free Energy'!$C$6:$CX$120,MATCH(Calculations!N13,'Water Free Energy'!$B$6:$B$120),MATCH(Calculations!M13/1000,'Water Free Energy'!$C$5:$CX$5)),NA())</f>
        <v>#N/A</v>
      </c>
      <c r="U13" s="179">
        <f>IF($D$27,calculateQ(M13,N13,Q13,$D$20,$D$22,$D$19=3)*10^6,NA())</f>
        <v>4.413894026330154</v>
      </c>
      <c r="V13"/>
      <c r="W13" s="2">
        <f t="shared" si="5"/>
        <v>5000</v>
      </c>
      <c r="X13" s="1">
        <f t="shared" si="6"/>
        <v>650</v>
      </c>
      <c r="Y13" s="1">
        <f>Results!F15</f>
        <v>0</v>
      </c>
      <c r="Z13" s="1">
        <f>Results!G15</f>
        <v>0</v>
      </c>
      <c r="AA13" s="1">
        <f>Results!H15</f>
        <v>0</v>
      </c>
      <c r="AB13" s="1">
        <f>Results!I15</f>
        <v>0</v>
      </c>
      <c r="AC13" s="1" t="e">
        <f>IF(ISBLANK(Input!$O$4),NA(),'Reaction Information'!$E$5-'Reaction Information'!$G$5*(Calculations!$O13-Calculations!$C$8)+'Reaction Information'!$I$5*(Calculations!$O13-Calculations!$C$8-Calculations!$O13*LN(Calculations!$O13/Calculations!$C$8))+'Reaction Information'!$J$5*0.001/2*(2*Calculations!$O13*Calculations!$C$8-Calculations!$O13^2-Calculations!$C$8^2) + 'Reaction Information'!$K$5*100000*(Calculations!$O13^2 + Calculations!$C$8^2 - 2*Calculations!$O13*Calculations!$C$8)/(2*Calculations!$O13*Calculations!$C$8^2))</f>
        <v>#N/A</v>
      </c>
      <c r="AD13" s="8" t="e">
        <f>IF(ISBLANK(Input!$R$4),NA(),'Reaction Information'!$E$9-'Reaction Information'!$G$9*(Calculations!$O13-Calculations!$C$8)+'Reaction Information'!$I$9*(Calculations!$O13-Calculations!$C$8-Calculations!$O13*LN(Calculations!$O13/Calculations!$C$8))+'Reaction Information'!$J$9*0.001/2*(2*Calculations!$O13*Calculations!$C$8-Calculations!$O13^2-Calculations!$C$8^2) + 'Reaction Information'!$K$9*100000*(Calculations!$O13^2 + Calculations!$C$8^2 - 2*Calculations!$O13*Calculations!$C$8)/(2*Calculations!$O13*Calculations!$C$8^2))</f>
        <v>#N/A</v>
      </c>
      <c r="AE13" s="8">
        <f>IF(AE$5="H2O",IF($D$24=3,IF(T13=0,NA(),T13),calculateGibbsOfWater(M13,N13,$D$24,$D$20,$D$19=3)),NA())</f>
        <v>-71381.374465275469</v>
      </c>
      <c r="AF13" s="8">
        <f>IF(ISBLANK(Input!$X$4),NA(),'Reaction Information'!$E$13-'Reaction Information'!$G$13*(Calculations!O13-Calculations!$C$8)-'Reaction Information'!$N$13*(Calculations!O13*LN(Calculations!O13/Calculations!$C$8)-Calculations!O13+Calculations!$C$8)-'Reaction Information'!$O$13*10^4*(((1/(Calculations!O13-Calculations!$C$13))-(1/(Calculations!$C$8-Calculations!$C$13)))*((Calculations!$C$13-Calculations!O13)/(Calculations!$C$13))-(Calculations!O13/(Calculations!$C$13*Calculations!$C$13))*LN((Calculations!$C$8*(Calculations!O13-Calculations!$C$13))/(Calculations!O13*(Calculations!$C$8-Calculations!$C$13))))+'Reaction Information'!$J$13*10^-1*(Calculations!M13-Calculations!$C$9)+'Reaction Information'!$K$13*10^2*LN((Calculations!$C$12+Calculations!M13)/(Calculations!$C$12+Calculations!$C$9))+(1/(Calculations!O13-Calculations!$C$13))*('Reaction Information'!$L$13*(Calculations!M13-Calculations!$C$9)+'Reaction Information'!$M$13*10^4*LN((Calculations!$C$12+Calculations!M13)/(Calculations!$C$12+Calculations!$C$9)))+calculateOmega(Calculations!M13,Calculations!N13,Calculations!Q13,'Reaction Information'!$C$13,'Reaction Information'!$P$13*10^5,'Reaction Information'!$Q$13)*((1/Calculations!S13)-1)-'Reaction Information'!$P$13*10^5*((1/Calculations!$C$10)-1)+'Reaction Information'!$P$13*10^5*Calculations!$C$14*(Calculations!O13-Calculations!$C$8))</f>
        <v>-116790.88944460791</v>
      </c>
      <c r="AG13" s="8" t="e">
        <f>IF(ISBLANK(Input!$AA$4),NA(),'Reaction Information'!$E$17-'Reaction Information'!$G$17*(Calculations!$O13-Calculations!$C$8)-'Reaction Information'!$N$17*(Calculations!$O13*LN(Calculations!$O13/Calculations!$C$8)-Calculations!$O13+Calculations!$C$8)-'Reaction Information'!$O$17*10^4*(((1/(Calculations!$O13-Calculations!$C$13))-(1/(Calculations!$C$8-Calculations!$C$13)))*((Calculations!$C$13-Calculations!$O13)/(Calculations!$C$13))-(Calculations!$O13/(Calculations!$C$13*Calculations!$C$13))*LN((Calculations!$C$8*(Calculations!$O13-Calculations!$C$13))/(Calculations!$O13*(Calculations!$C$8-Calculations!$C$13))))+'Reaction Information'!$J$17*10^-1*(Calculations!$M13-Calculations!$C$9)+'Reaction Information'!$K$17*10^2*LN((Calculations!$C$12+Calculations!$M13)/(Calculations!$C$12+Calculations!$C$9))+(1/(Calculations!$O13-Calculations!$C$13))*('Reaction Information'!$L$17*(Calculations!$M13-Calculations!$C$9)+'Reaction Information'!$M$17*10^4*LN((Calculations!$C$12+Calculations!$M13)/(Calculations!$C$12+Calculations!$C$9)))+calculateOmega(Calculations!M13,Calculations!N13,Calculations!Q13,'Reaction Information'!$C$17,'Reaction Information'!$P$17*10^5,'Reaction Information'!$Q$17)*((1/Calculations!$S13)-1)-'Reaction Information'!$P$17*10^5*((1/Calculations!$C$10)-1)+'Reaction Information'!$P$17*10^5*Calculations!$C$14*(Calculations!$O13-Calculations!$C$8))</f>
        <v>#N/A</v>
      </c>
      <c r="AH13" s="8" t="e">
        <f>IF(ISBLANK(Input!$AD$4),NA(),'Reaction Information'!$E$21-'Reaction Information'!$G$21*(Calculations!$O13-Calculations!$C$8)-'Reaction Information'!$N$21*(Calculations!$O13*LN(Calculations!$O13/Calculations!$C$8)-Calculations!$O13+Calculations!$C$8)-'Reaction Information'!$O$21*10^4*(((1/(Calculations!$O13-Calculations!$C$13))-(1/(Calculations!$C$8-Calculations!$C$13)))*((Calculations!$C$13-Calculations!$O13)/(Calculations!$C$13))-(Calculations!$O13/(Calculations!$C$13*Calculations!$C$13))*LN((Calculations!$C$8*(Calculations!$O13-Calculations!$C$13))/(Calculations!$O13*(Calculations!$C$8-Calculations!$C$13))))+'Reaction Information'!$J$21*10^-1*(Calculations!$M13-Calculations!$C$9)+'Reaction Information'!$K$21*10^2*LN((Calculations!$C$12+Calculations!$M13)/(Calculations!$C$12+Calculations!$C$9))+(1/(Calculations!$O13-Calculations!$C$13))*('Reaction Information'!$L$21*(Calculations!$M13-Calculations!$C$9)+'Reaction Information'!$M$21*10^4*LN((Calculations!$C$12+Calculations!$M13)/(Calculations!$C$12+Calculations!$C$9)))+calculateOmega(Calculations!M13,Calculations!N13,Calculations!Q13,'Reaction Information'!$C$21,'Reaction Information'!$P$21*10^5,'Reaction Information'!$Q$21)*((1/Calculations!$S13)-1)-'Reaction Information'!$P$21*10^5*((1/Calculations!$C$10)-1)+'Reaction Information'!$P$21*10^5*Calculations!$C$14*(Calculations!$O13-Calculations!$C$8))</f>
        <v>#N/A</v>
      </c>
      <c r="AI13" s="8" t="e">
        <f>IF(ISBLANK(Input!$AG$4),NA(),'Reaction Information'!$E$25-'Reaction Information'!$G$25*(Calculations!$O13-Calculations!$C$8)-'Reaction Information'!$N$25*(Calculations!$O13*LN(Calculations!$O13/Calculations!$C$8)-Calculations!$O13+Calculations!$C$8)-'Reaction Information'!$O$25*10^4*(((1/(Calculations!$O13-Calculations!$C$13))-(1/(Calculations!$C$8-Calculations!$C$13)))*((Calculations!$C$13-Calculations!$O13)/(Calculations!$C$13))-(Calculations!$O13/(Calculations!$C$13*Calculations!$C$13))*LN((Calculations!$C$8*(Calculations!$O13-Calculations!$C$13))/(Calculations!$O13*(Calculations!$C$8-Calculations!$C$13))))+'Reaction Information'!$J$25*10^-1*(Calculations!$M13-Calculations!$C$9)+'Reaction Information'!$K$25*10^2*LN((Calculations!$C$12+Calculations!$M13)/(Calculations!$C$12+Calculations!$C$9))+(1/(Calculations!$O13-Calculations!$C$13))*('Reaction Information'!$L$25*(Calculations!$M13-Calculations!$C$9)+'Reaction Information'!$M$25*10^4*LN((Calculations!$C$12+Calculations!$M13)/(Calculations!$C$12+Calculations!$C$9)))+calculateOmega(Calculations!M13,Calculations!N13,Calculations!Q13,'Reaction Information'!$C$25,'Reaction Information'!$P$25*10^5,'Reaction Information'!$Q$25)*((1/Calculations!$S13)-1)-'Reaction Information'!$P$25*10^5*((1/Calculations!$C$10)-1)+'Reaction Information'!$P$25*10^5*Calculations!$C$14*(Calculations!$O13-Calculations!$C$8))</f>
        <v>#N/A</v>
      </c>
      <c r="AJ13" s="8" t="e">
        <f>IF(ISBLANK(Input!$AJ$4),NA(),'Reaction Information'!$E$29-'Reaction Information'!$G$29*(Calculations!$O13-Calculations!$C$8)-'Reaction Information'!$N$29*(Calculations!$O13*LN(Calculations!$O13/Calculations!$C$8)-Calculations!$O13+Calculations!$C$8)-'Reaction Information'!$O$29*10^4*(((1/(Calculations!$O13-Calculations!$C$13))-(1/(Calculations!$C$8-Calculations!$C$13)))*((Calculations!$C$13-Calculations!$O13)/(Calculations!$C$13))-(Calculations!$O13/(Calculations!$C$13*Calculations!$C$13))*LN((Calculations!$C$8*(Calculations!$O13-Calculations!$C$13))/(Calculations!$O13*(Calculations!$C$8-Calculations!$C$13))))+'Reaction Information'!$J$29*10^-1*(Calculations!$M13-Calculations!$C$9)+'Reaction Information'!$K$29*10^2*LN((Calculations!$C$12+Calculations!$M13)/(Calculations!$C$12+Calculations!$C$9))+(1/(Calculations!$O13-Calculations!$C$13))*('Reaction Information'!$L$29*(Calculations!$M13-Calculations!$C$9)+'Reaction Information'!$M$29*10^4*LN((Calculations!$C$12+Calculations!$M13)/(Calculations!$C$12+Calculations!$C$9)))+calculateOmega(Calculations!M13,Calculations!N13,Calculations!Q13,'Reaction Information'!$C$29,'Reaction Information'!$P$29*10^5,'Reaction Information'!$Q$29)*((1/Calculations!$S13)-1)-'Reaction Information'!$P$29*10^5*((1/Calculations!$C$10)-1)+'Reaction Information'!$P$29*10^5*Calculations!$C$14*(Calculations!$O13-Calculations!$C$8))</f>
        <v>#N/A</v>
      </c>
      <c r="AK13" s="8" t="e">
        <f>IF(ISBLANK(Input!$AM$4),NA(),'Reaction Information'!$E$33-'Reaction Information'!$G$33*(Calculations!$O13-Calculations!$C$8)-'Reaction Information'!$N$33*(Calculations!$O13*LN(Calculations!$O13/Calculations!$C$8)-Calculations!$O13+Calculations!$C$8)-'Reaction Information'!$O$33*10^4*(((1/(Calculations!$O13-Calculations!$C$13))-(1/(Calculations!$C$8-Calculations!$C$13)))*((Calculations!$C$13-Calculations!$O13)/(Calculations!$C$13))-(Calculations!$O13/(Calculations!$C$13*Calculations!$C$13))*LN((Calculations!$C$8*(Calculations!$O13-Calculations!$C$13))/(Calculations!$O13*(Calculations!$C$8-Calculations!$C$13))))+'Reaction Information'!$J$33*10^-1*(Calculations!$M13-Calculations!$C$9)+'Reaction Information'!$K$33*10^2*LN((Calculations!$C$12+Calculations!$M13)/(Calculations!$C$12+Calculations!$C$9))+(1/(Calculations!$O13-Calculations!$C$13))*('Reaction Information'!$L$33*(Calculations!$M13-Calculations!$C$9)+'Reaction Information'!$M$33*10^4*LN((Calculations!$C$12+Calculations!$M13)/(Calculations!$C$12+Calculations!$C$9)))+calculateOmega(Calculations!M13,Calculations!N13,Calculations!Q13,'Reaction Information'!$C$33,'Reaction Information'!$P$33*10^5,'Reaction Information'!$Q$33)*((1/Calculations!$S13)-1)-'Reaction Information'!$P$33*10^5*((1/Calculations!$C$10)-1)+'Reaction Information'!$P$33*10^5*Calculations!$C$14*(Calculations!$O13-Calculations!$C$8))</f>
        <v>#N/A</v>
      </c>
      <c r="AL13" s="1">
        <f>Results!S15</f>
        <v>0</v>
      </c>
      <c r="AM13" s="1">
        <f>Results!T15</f>
        <v>0</v>
      </c>
      <c r="AN13" s="1">
        <f>Results!U15</f>
        <v>0</v>
      </c>
      <c r="AO13" s="1">
        <f>Results!V15</f>
        <v>0</v>
      </c>
      <c r="AP13" s="8" t="e">
        <f>IF(ISBLANK(Input!$BB$4),NA(),'Reaction Information'!$E$38-'Reaction Information'!$G$38*(Calculations!$O13-Calculations!$C$8)+'Reaction Information'!$I$38*(Calculations!$O13-Calculations!$C$8-Calculations!$O13*LN(Calculations!$O13/Calculations!$C$8))+'Reaction Information'!$J$38*0.001/2*(2*Calculations!$O13*Calculations!$C$8-Calculations!$O13^2-Calculations!$C$8^2) + 'Reaction Information'!$K$38*100000*(Calculations!$O13^2 + Calculations!$C$8^2 - 2*Calculations!$O13*Calculations!$C$8)/(2*Calculations!$O13*Calculations!$C$8^2))</f>
        <v>#N/A</v>
      </c>
      <c r="AQ13" s="8" t="e">
        <f>IF(ISBLANK(Input!$BE$4),NA(),'Reaction Information'!$E$42-'Reaction Information'!$G$42*(Calculations!$O13-Calculations!$C$8)+'Reaction Information'!$I$42*(Calculations!$O13-Calculations!$C$8-Calculations!$O13*LN(Calculations!$O13/Calculations!$C$8))+'Reaction Information'!$J$42*0.001/2*(2*Calculations!$O13*Calculations!$C$8-Calculations!$O13^2-Calculations!$C$8^2) + 'Reaction Information'!$K$42*100000*(Calculations!$O13^2 + Calculations!$C$8^2 - 2*Calculations!$O13*Calculations!$C$8)/(2*Calculations!$O13*Calculations!$C$8^2))</f>
        <v>#N/A</v>
      </c>
      <c r="AR13" s="8" t="e">
        <f>IF(AR$5="H2O", IF($D$24=3,IF(T13=0,NA(),T13),calculateGibbsOfWater(M13,N13,$D$24,$D$20,$D$19=3)),NA())</f>
        <v>#N/A</v>
      </c>
      <c r="AS13" s="8">
        <f>IF(ISBLANK(Input!$BK$4),NA(),'Reaction Information'!$E$46-'Reaction Information'!$G$46*(Calculations!O13-Calculations!$C$8)-'Reaction Information'!$N$46*(Calculations!O13*LN(Calculations!O13/Calculations!$C$8)-Calculations!O13+Calculations!$C$8)-'Reaction Information'!$O$46*10^4*(((1/(Calculations!O13-Calculations!$C$13))-(1/(Calculations!$C$8-Calculations!$C$13)))*((Calculations!$C$13-Calculations!O13)/(Calculations!$C$13))-(Calculations!O13/(Calculations!$C$13*Calculations!$C$13))*LN((Calculations!$C$8*(Calculations!O13-Calculations!$C$13))/(Calculations!O13*(Calculations!$C$8-Calculations!$C$13))))+'Reaction Information'!$J$46*10^-1*(Calculations!$M13-Calculations!$C$9)+'Reaction Information'!$K$46*10^2*LN((Calculations!$C$12+Calculations!$M13)/(Calculations!$C$12+Calculations!$C$9))+(1/(Calculations!O13-Calculations!$C$13))*('Reaction Information'!$L$46*(Calculations!$M13-Calculations!$C$9)+'Reaction Information'!$M$46*10^4*LN((Calculations!$C$12+Calculations!$M13)/(Calculations!$C$12+Calculations!$C$9)))+calculateOmega(Calculations!M13,Calculations!N13,Calculations!Q13,'Reaction Information'!$C$46,'Reaction Information'!$P$46*10^5,'Reaction Information'!$Q$46)*((1/Calculations!S13)-1)-'Reaction Information'!$P$46*10^5*((1/Calculations!$C$10)-1)+'Reaction Information'!$P$46*10^5*Calculations!$C$14*(Calculations!O13-Calculations!$C$8))</f>
        <v>0</v>
      </c>
      <c r="AT13" s="8">
        <f>IF(ISBLANK(Input!$BN$4),NA(),'Reaction Information'!$E$50-'Reaction Information'!$G$50*(Calculations!O13-Calculations!$C$8)-'Reaction Information'!$N$50*(Calculations!O13*LN(Calculations!O13/Calculations!$C$8)-Calculations!O13+Calculations!$C$8)-'Reaction Information'!$O$50*10^4*(((1/(Calculations!O13-Calculations!$C$13))-(1/(Calculations!$C$8-Calculations!$C$13)))*((Calculations!$C$13-Calculations!O13)/(Calculations!$C$13))-(Calculations!O13/(Calculations!$C$13*Calculations!$C$13))*LN((Calculations!$C$8*(Calculations!O13-Calculations!$C$13))/(Calculations!O13*(Calculations!$C$8-Calculations!$C$13))))+'Reaction Information'!$J$50*10^-1*(Calculations!$M13-Calculations!$C$9)+'Reaction Information'!$K$50*10^2*LN((Calculations!$C$12+Calculations!$M13)/(Calculations!$C$12+Calculations!$C$9))+(1/(Calculations!O13-Calculations!$C$13))*('Reaction Information'!$L$50*(Calculations!$M13-Calculations!$C$9)+'Reaction Information'!$M$50*10^4*LN((Calculations!$C$12+Calculations!$M13)/(Calculations!$C$12+Calculations!$C$9)))+calculateOmega(Calculations!M13,Calculations!N13,Calculations!Q13,'Reaction Information'!$C$50,'Reaction Information'!$P$50*10^5,'Reaction Information'!$Q$50)*((1/Calculations!S13)-1)-'Reaction Information'!$P$50*10^5*((1/Calculations!$C$10)-1)+'Reaction Information'!$P$50*10^5*Calculations!$C$14*(Calculations!O13-Calculations!$C$8))</f>
        <v>-151552.11444576137</v>
      </c>
      <c r="AU13" s="8" t="e">
        <f>IF(ISBLANK(Input!$BQ$4),NA(),'Reaction Information'!$E$54-'Reaction Information'!$G$54*(Calculations!$O13-Calculations!$C$8)-'Reaction Information'!$N$54*(Calculations!$O13*LN(Calculations!$O13/Calculations!$C$8)-Calculations!$O13+Calculations!$C$8)-'Reaction Information'!$O$54*10^4*(((1/(Calculations!$O13-Calculations!$C$13))-(1/(Calculations!$C$8-Calculations!$C$13)))*((Calculations!$C$13-Calculations!$O13)/(Calculations!$C$13))-(Calculations!$O13/(Calculations!$C$13*Calculations!$C$13))*LN((Calculations!$C$8*(Calculations!$O13-Calculations!$C$13))/(Calculations!$O13*(Calculations!$C$8-Calculations!$C$13))))+'Reaction Information'!$J$54*10^-1*(Calculations!$M13-Calculations!$C$9)+'Reaction Information'!$K$54*10^2*LN((Calculations!$C$12+Calculations!$M13)/(Calculations!$C$12+Calculations!$C$9))+(1/(Calculations!$O13-Calculations!$C$13))*('Reaction Information'!$L$54*(Calculations!$M13-Calculations!$C$9)+'Reaction Information'!$M$54*10^4*LN((Calculations!$C$12+Calculations!$M13)/(Calculations!$C$12+Calculations!$C$9)))+calculateOmega(Calculations!M13,Calculations!N13,Calculations!Q13,'Reaction Information'!$C$54,'Reaction Information'!$P$54*10^5,'Reaction Information'!$Q$54)*((1/Calculations!$S13)-1)-'Reaction Information'!$P$54*10^5*((1/Calculations!$C$10)-1)+'Reaction Information'!$P$54*10^5*Calculations!$C$14*(Calculations!$O13-Calculations!$C$8))</f>
        <v>#N/A</v>
      </c>
      <c r="AV13" s="8" t="e">
        <f>IF(ISBLANK(Input!$BT$4),NA(),'Reaction Information'!$E$58-'Reaction Information'!$G$58*(Calculations!$O13-Calculations!$C$8)-'Reaction Information'!$N$58*(Calculations!$O13*LN(Calculations!$O13/Calculations!$C$8)-Calculations!$O13+Calculations!$C$8)-'Reaction Information'!$O$58*10^4*(((1/(Calculations!$O13-Calculations!$C$13))-(1/(Calculations!$C$8-Calculations!$C$13)))*((Calculations!$C$13-Calculations!$O13)/(Calculations!$C$13))-(Calculations!$O13/(Calculations!$C$13*Calculations!$C$13))*LN((Calculations!$C$8*(Calculations!$O13-Calculations!$C$13))/(Calculations!$O13*(Calculations!$C$8-Calculations!$C$13))))+'Reaction Information'!$J$58*10^-1*(Calculations!$M13-Calculations!$C$9)+'Reaction Information'!$K$58*10^2*LN((Calculations!$C$12+Calculations!$M13)/(Calculations!$C$12+Calculations!$C$9))+(1/(Calculations!$O13-Calculations!$C$13))*('Reaction Information'!$L$58*(Calculations!$M13-Calculations!$C$9)+'Reaction Information'!$M$58*10^4*LN((Calculations!$C$12+Calculations!$M13)/(Calculations!$C$12+Calculations!$C$9)))+calculateOmega(Calculations!M13,Calculations!N13,Calculations!Q13,'Reaction Information'!$C$58,'Reaction Information'!$P$58*10^5,'Reaction Information'!$Q$58)*((1/Calculations!$S13)-1)-'Reaction Information'!$P$58*10^5*((1/Calculations!$C$10)-1)+'Reaction Information'!$P$58*10^5*Calculations!$C$14*(Calculations!$O13-Calculations!$C$8))</f>
        <v>#N/A</v>
      </c>
      <c r="AW13" s="8" t="e">
        <f>IF(ISBLANK(Input!$BW$4),NA(),'Reaction Information'!$E$62-'Reaction Information'!$G$62*(Calculations!$O13-Calculations!$C$8)-'Reaction Information'!$N$62*(Calculations!$O13*LN(Calculations!$O13/Calculations!$C$8)-Calculations!$O13+Calculations!$C$8)-'Reaction Information'!$O$62*10^4*(((1/(Calculations!$O13-Calculations!$C$13))-(1/(Calculations!$C$8-Calculations!$C$13)))*((Calculations!$C$13-Calculations!$O13)/(Calculations!$C$13))-(Calculations!$O13/(Calculations!$C$13*Calculations!$C$13))*LN((Calculations!$C$8*(Calculations!$O13-Calculations!$C$13))/(Calculations!$O13*(Calculations!$C$8-Calculations!$C$13))))+'Reaction Information'!$J$62*10^-1*(Calculations!$M13-Calculations!$C$9)+'Reaction Information'!$K$62*10^2*LN((Calculations!$C$12+Calculations!$M13)/(Calculations!$C$12+Calculations!$C$9))+(1/(Calculations!$O13-Calculations!$C$13))*('Reaction Information'!$L$62*(Calculations!$M13-Calculations!$C$9)+'Reaction Information'!$M$62*10^4*LN((Calculations!$C$12+Calculations!$M13)/(Calculations!$C$12+Calculations!$C$9)))+calculateOmega(Calculations!M13,Calculations!N13,Calculations!Q13,'Reaction Information'!$C$62,'Reaction Information'!$P$62*10^5,'Reaction Information'!$Q$62)*((1/Calculations!$S13)-1)-'Reaction Information'!$P$62*10^5*((1/Calculations!$C$10)-1)+'Reaction Information'!$P$62*10^5*Calculations!$C$14*(Calculations!$O13-Calculations!$C$8))</f>
        <v>#N/A</v>
      </c>
      <c r="AX13" s="8" t="e">
        <f>IF(ISBLANK(Input!$BZ$4),NA(),'Reaction Information'!$E$66-'Reaction Information'!$G$66*(Calculations!$O13-Calculations!$C$8)-'Reaction Information'!$N$66*(Calculations!$O13*LN(Calculations!$O13/Calculations!$C$8)-Calculations!$O13+Calculations!$C$8)-'Reaction Information'!$O$66*10^4*(((1/(Calculations!$O13-Calculations!$C$13))-(1/(Calculations!$C$8-Calculations!$C$13)))*((Calculations!$C$13-Calculations!$O13)/(Calculations!$C$13))-(Calculations!$O13/(Calculations!$C$13*Calculations!$C$13))*LN((Calculations!$C$8*(Calculations!$O13-Calculations!$C$13))/(Calculations!$O13*(Calculations!$C$8-Calculations!$C$13))))+'Reaction Information'!$J$66*10^-1*(Calculations!$M13-Calculations!$C$9)+'Reaction Information'!$K$66*10^2*LN((Calculations!$C$12+Calculations!$M13)/(Calculations!$C$12+Calculations!$C$9))+(1/(Calculations!$O13-Calculations!$C$13))*('Reaction Information'!$L$66*(Calculations!$M13-Calculations!$C$9)+'Reaction Information'!$M$66*10^4*LN((Calculations!$C$12+Calculations!$M13)/(Calculations!$C$12+Calculations!$C$9)))+calculateOmega(Calculations!M13,Calculations!N13,Calculations!Q13,'Reaction Information'!$C$66,'Reaction Information'!$P$66*10^5,'Reaction Information'!$Q$66)*((1/Calculations!$S13)-1)-'Reaction Information'!$P$66*10^5*((1/Calculations!$C$10)-1)+'Reaction Information'!$P$66*10^5*Calculations!$C$14*(Calculations!$O13-Calculations!$C$8))</f>
        <v>#N/A</v>
      </c>
      <c r="AY13" s="31">
        <f>(AL13*Input!$AO$4+AM13*Input!$AR$4+AN13*Input!$AU$4+AO13*Input!$AX$4+IF(ISNA(AP13),0,AP13*Input!$BA$4)+IF(ISNA(AQ13),0,AQ13*Input!$BD$4)+IF(ISNA(AR13),0,AR13*Input!$BG$4)+IF(ISNA(AS13),0,AS13*Input!$BJ$4)+IF(ISNA(AT13),0,AT13*Input!$BM$4)+IF(ISNA(AU13),0,AU13*Input!$BP$4)+IF(ISNA(AV13),0,AV13*Input!$BS$4)+IF(ISNA(AW13),0,AW13*Input!$BV$4)+IF(ISNA(AX13),0,AX13*Input!$BY$4))-(Y13*Input!$B$4+Z13*Input!$E$4+AA13*Input!$H$4+AB13*Input!$K$4+IF(ISNA(AC13),0,AC13*Input!$N$4)+IF(ISNA(AD13),0,AD13*Input!$Q$4)+IF(ISNA(AE13),0,AE13*Input!$T$4)+IF(ISNA(AF13),0,AF13*Input!$W$4)+IF(ISNA(AG13),0,AG13*Input!$Z$4)+IF(ISNA(AH13),0,AH13*Input!$AC$4)+IF(ISNA(AI13),0,AI13*Input!$AF$4)+IF(ISNA(AJ13),0,AJ13*Input!$AI$4)+IF(ISNA(AK13),0,AK13*Input!$AL$4))</f>
        <v>36620.14946412202</v>
      </c>
      <c r="AZ13" s="42">
        <f t="shared" si="7"/>
        <v>-8.6752043179581726</v>
      </c>
      <c r="BA13" s="1">
        <f t="shared" si="8"/>
        <v>650</v>
      </c>
      <c r="BB13" s="46">
        <f t="shared" si="9"/>
        <v>5000</v>
      </c>
      <c r="BC13" s="1"/>
      <c r="BD13" s="2">
        <f t="shared" si="10"/>
        <v>5000</v>
      </c>
      <c r="BE13" s="46">
        <f t="shared" si="11"/>
        <v>650</v>
      </c>
      <c r="BF13" s="1">
        <f>Results!AJ15</f>
        <v>0</v>
      </c>
      <c r="BG13" s="1">
        <f>Results!AK15</f>
        <v>0</v>
      </c>
      <c r="BH13" s="1">
        <f>Results!AL15</f>
        <v>0</v>
      </c>
      <c r="BI13" s="1">
        <f>Results!AM15</f>
        <v>0</v>
      </c>
      <c r="BJ13" s="1" t="e">
        <f>IF(OR(ISNA('Reaction Information'!$D$5), $N13 = "", $D$27 = FALSE, 'Reaction Information'!$D$5 = ""), NA(), 24.465)</f>
        <v>#N/A</v>
      </c>
      <c r="BK13" s="1" t="e">
        <f>IF(OR(ISNA('Reaction Information'!$D$9), $N13 = "", $D$27 = FALSE, 'Reaction Information'!$D$9 = ""), NA(), 24.465)</f>
        <v>#N/A</v>
      </c>
      <c r="BL13" s="8">
        <f t="shared" si="0"/>
        <v>23.261922143956596</v>
      </c>
      <c r="BM13" s="8">
        <f>IF(OR(ISBLANK(Input!$X$4),$D$27=FALSE),NA(),('Reaction Information'!$J$13/10+'Reaction Information'!$K$13*100/(Calculations!$C$12+Calculations!$M13)+('Reaction Information'!$L$13+'Reaction Information'!$M$13*10^4/(Calculations!$C$12+Calculations!$M13))/(Calculations!$O13-Calculations!$C$13) -calculateOmega(Calculations!$M13,Calculations!$N13,Calculations!$Q13,'Reaction Information'!$C$13,'Reaction Information'!$P$13*10^5,'Reaction Information'!$Q$13)*Calculations!$U13*10^-6 + (1/$S13 - 1)*calculate_domegadP(Calculations!$M13,Calculations!$N13,Calculations!$Q13,'Reaction Information'!$C$13,'Reaction Information'!$P$13*10^5,'Reaction Information'!$Q$13,$D$20,$D$19=3))*41.84)</f>
        <v>45.144002723811539</v>
      </c>
      <c r="BN13" s="8" t="e">
        <f>IF(OR(ISBLANK(Input!$AA$4),$D$27=FALSE),NA(),('Reaction Information'!$J$17/10+'Reaction Information'!$K$17*100/(Calculations!$C$12+Calculations!$M13)+('Reaction Information'!$L$17+'Reaction Information'!$M$17*10000/(Calculations!$C$12+Calculations!$M13))/(Calculations!$O13-Calculations!$C$13)-calculateOmega(Calculations!M13,Calculations!N13,Calculations!Q13,'Reaction Information'!$C$17,'Reaction Information'!$P$17*10^5,'Reaction Information'!$Q$17)*Calculations!$U13*10^-6 + (1/$S13 - 1)*calculate_domegadP(Calculations!M13,Calculations!N13,Calculations!Q13,'Reaction Information'!$C$17,'Reaction Information'!$P$17*10^5,'Reaction Information'!$Q$17,$D$20,$D$19=3))*41.84)</f>
        <v>#N/A</v>
      </c>
      <c r="BO13" s="8" t="e">
        <f>IF(OR(ISBLANK(Input!$AD$4),$D$27=FALSE),NA(),('Reaction Information'!$J$21/10+'Reaction Information'!$K$21*100/(Calculations!$C$12+Calculations!$M13)+('Reaction Information'!$L$21+'Reaction Information'!$M$21*10000/(Calculations!$C$12+Calculations!$M13))/(Calculations!$O13-Calculations!$C$13)-calculateOmega(Calculations!M13,Calculations!N13,Calculations!Q13,'Reaction Information'!$C$21,'Reaction Information'!$P$21*10^5,'Reaction Information'!$Q$21)*Calculations!$U13*10^-6 + (1/$S13 - 1)*calculate_domegadP(Calculations!M13,Calculations!N13,Calculations!Q13,'Reaction Information'!$C$21,'Reaction Information'!$P$21*10^5,'Reaction Information'!$Q$21,$D$20,$D$19=3))*41.84)</f>
        <v>#N/A</v>
      </c>
      <c r="BP13" s="8" t="e">
        <f>IF(OR(ISBLANK(Input!$AG$4),$D$27=FALSE),NA(),('Reaction Information'!$J$25/10+'Reaction Information'!$K$25*100/(Calculations!$C$12+Calculations!$M13)+('Reaction Information'!$L$25+'Reaction Information'!$M$25*10000/(Calculations!$C$12+Calculations!$M13))/(Calculations!$O13-Calculations!$C$13)-calculateOmega(Calculations!M13,Calculations!N13,Calculations!Q13,'Reaction Information'!$C$25,'Reaction Information'!$P$25*10^5,'Reaction Information'!$Q$25)*Calculations!$U13*10^-6 + (1/$S13 - 1)*calculate_domegadP(Calculations!M13,Calculations!N13,Calculations!Q13,'Reaction Information'!$C$25,'Reaction Information'!$P$25*10^5,'Reaction Information'!$Q$25,$D$20,$D$19=3))*41.84)</f>
        <v>#N/A</v>
      </c>
      <c r="BQ13" s="8" t="e">
        <f>IF(OR(ISBLANK(Input!$AJ$4),$D$27=FALSE),NA(),('Reaction Information'!$J$29/10+'Reaction Information'!$K$29*100/(Calculations!$C$12+Calculations!$M13)+('Reaction Information'!$L$29+'Reaction Information'!$M$29*10000/(Calculations!$C$12+Calculations!$M13))/(Calculations!$O13-Calculations!$C$13)-calculateOmega(Calculations!M13,Calculations!N13,Calculations!Q13,'Reaction Information'!$C$29,'Reaction Information'!$P$29*10^5,'Reaction Information'!$Q$29)*Calculations!$U13*10^-6 + (1/$S13 - 1)*calculate_domegadP(Calculations!M13,Calculations!N13,Calculations!Q13,'Reaction Information'!$C$29,'Reaction Information'!$P$29*10^5,'Reaction Information'!$Q$29,$D$20,$D$19=3))*41.84)</f>
        <v>#N/A</v>
      </c>
      <c r="BR13" s="8" t="e">
        <f>IF(OR(ISBLANK(Input!$AM$4),$D$27=FALSE),NA(),('Reaction Information'!$J$33/10+'Reaction Information'!$K$33*100/(Calculations!$C$12+Calculations!$M13)+('Reaction Information'!$L$33+'Reaction Information'!$M$33*10000/(Calculations!$C$12+Calculations!$M13))/(Calculations!$O13-Calculations!$C$13)-calculateOmega(Calculations!M13,Calculations!N13,Calculations!Q13,'Reaction Information'!$C$33,'Reaction Information'!$P$33*10^5,'Reaction Information'!$Q$33)*Calculations!$U13*10^-6 + (1/$S13 - 1)*calculate_domegadP(Calculations!M13,Calculations!N13,Calculations!Q13,'Reaction Information'!$C$33,'Reaction Information'!$P$33*10^5,'Reaction Information'!$Q$33,$D$20,$D$19=3))*41.84)</f>
        <v>#N/A</v>
      </c>
      <c r="BS13" s="1">
        <f>Results!AW15</f>
        <v>0</v>
      </c>
      <c r="BT13" s="1">
        <f>Results!AX15</f>
        <v>0</v>
      </c>
      <c r="BU13" s="1">
        <f>Results!AY15</f>
        <v>0</v>
      </c>
      <c r="BV13" s="1">
        <f>Results!AZ15</f>
        <v>0</v>
      </c>
      <c r="BW13" s="1" t="e">
        <f>IF(OR(ISNA('Reaction Information'!$D$38), $N13 = "", $D$27 = FALSE, 'Reaction Information'!$D$38 = ""), NA(), 24.465)</f>
        <v>#N/A</v>
      </c>
      <c r="BX13" s="1" t="e">
        <f>IF(OR(ISNA('Reaction Information'!$D$42), $N13 = "", $D$27 = FALSE, 'Reaction Information'!$D$42 = ""), NA(), 24.465)</f>
        <v>#N/A</v>
      </c>
      <c r="BY13" s="8" t="e">
        <f t="shared" si="1"/>
        <v>#N/A</v>
      </c>
      <c r="BZ13" s="8">
        <f>IF(OR(ISBLANK(Input!$BK$4),$D$27=FALSE),NA(),('Reaction Information'!$J$46/10+'Reaction Information'!$K$46*100/(Calculations!$C$12+Calculations!$M13)+('Reaction Information'!$L$46+'Reaction Information'!$M$46*10000/(Calculations!$C$12+Calculations!$M13))/(Calculations!$O13-Calculations!$C$13)-calculateOmega(Calculations!M13,Calculations!N13,Calculations!Q13,'Reaction Information'!$C$46,'Reaction Information'!$P$46*10^5,'Reaction Information'!$Q$46)*Calculations!$U13*10^-6 + (1/$S13 - 1)*calculate_domegadP(Calculations!M13,Calculations!N13,Calculations!Q13,'Reaction Information'!$C$46,'Reaction Information'!$P$46*10^5,'Reaction Information'!$Q$46,$D$20,$D$19=3))*41.84)</f>
        <v>0</v>
      </c>
      <c r="CA13" s="8">
        <f>IF(OR(ISBLANK(Input!$BN$4),$D$27=FALSE),NA(),('Reaction Information'!$J$50/10+'Reaction Information'!$K$50*100/(Calculations!$C$12+Calculations!$M13)+('Reaction Information'!$L$50+'Reaction Information'!$M$50*10000/(Calculations!$C$12+Calculations!$M13))/(Calculations!$O13-Calculations!$C$13)-calculateOmega(Calculations!M13,Calculations!N13,Calculations!Q13,'Reaction Information'!$C$50,'Reaction Information'!$P$50*10^5,'Reaction Information'!$Q$50)*Calculations!$U13*10^-6 + (1/$S13 - 1)*calculate_domegadP(Calculations!M13,Calculations!N13,Calculations!Q13,'Reaction Information'!$C$50,'Reaction Information'!$P$50*10^5,'Reaction Information'!$Q$50,$D$20,$D$19=3))*41.84)</f>
        <v>10.381134631016799</v>
      </c>
      <c r="CB13" s="8" t="e">
        <f>IF(OR(ISBLANK(Input!$BQ$4),$D$27=FALSE),NA(),('Reaction Information'!$J$54/10+'Reaction Information'!$K$54*100/(Calculations!$C$12+Calculations!$M13)+('Reaction Information'!$L$54+'Reaction Information'!$M$54*10000/(Calculations!$C$12+Calculations!$M13))/(Calculations!$O13-Calculations!$C$13)-calculateOmega(Calculations!M13,Calculations!N13,Calculations!Q13,'Reaction Information'!$C$54,'Reaction Information'!$P$54*10^5,'Reaction Information'!$Q$54)*Calculations!$U13*10^-6 + (1/$S13 - 1)*calculate_domegadP(Calculations!M13,Calculations!N13,Calculations!Q13,'Reaction Information'!$C$54,'Reaction Information'!$P$54*10^5,'Reaction Information'!$Q$54,$D$20,$D$19=3))*41.84)</f>
        <v>#N/A</v>
      </c>
      <c r="CC13" s="8" t="e">
        <f>IF(OR(ISBLANK(Input!$BT$4),$D$27=FALSE),NA(),('Reaction Information'!$J$58/10+'Reaction Information'!$K$58*100/(Calculations!$C$12+Calculations!$M13)+('Reaction Information'!$L$58+'Reaction Information'!$M$58*10000/(Calculations!$C$12+Calculations!$M13))/(Calculations!$O13-Calculations!$C$13)-calculateOmega(Calculations!M13,Calculations!N13,Calculations!Q13,'Reaction Information'!$C$58,'Reaction Information'!$P$58*10^5,'Reaction Information'!$Q$58)*Calculations!$U13*10^-6 + (1/$S13 - 1)*calculate_domegadP(Calculations!M13,Calculations!N13,Calculations!Q13,'Reaction Information'!$C$58,'Reaction Information'!$P$58*10^5,'Reaction Information'!$Q$58,$D$20,$D$19=3))*41.84)</f>
        <v>#N/A</v>
      </c>
      <c r="CD13" s="8" t="e">
        <f>IF(OR(ISBLANK(Input!$BW$4),$D$27=FALSE),NA(),('Reaction Information'!$J$62/10+'Reaction Information'!$K$62*100/(Calculations!$C$12+Calculations!$M13)+('Reaction Information'!$L$62+'Reaction Information'!$M$62*10000/(Calculations!$C$12+Calculations!$M13))/(Calculations!$O13-Calculations!$C$13)-calculateOmega(Calculations!M13,Calculations!N13,Calculations!Q13,'Reaction Information'!$C$62,'Reaction Information'!$P$62*10^5,'Reaction Information'!$Q$62)*Calculations!$U13*10^-6 + (1/$S13 - 1)*calculate_domegadP(Calculations!M13,Calculations!N13,Calculations!Q13,'Reaction Information'!$C$62,'Reaction Information'!$P$62*10^5,'Reaction Information'!$Q$62,$D$20,$D$19=3))*41.84)</f>
        <v>#N/A</v>
      </c>
      <c r="CE13" s="8" t="e">
        <f>IF(OR(ISBLANK(Input!$BZ$4),$D$27=FALSE),NA(),('Reaction Information'!$J$66/10+'Reaction Information'!$K$66*100/(Calculations!$C$12+Calculations!$M13)+('Reaction Information'!$L$66+'Reaction Information'!$M$66*10000/(Calculations!$C$12+Calculations!$M13))/(Calculations!$O13-Calculations!$C$13)-calculateOmega(Calculations!M13,Calculations!N13,Calculations!Q13,'Reaction Information'!$C$66,'Reaction Information'!$P$66*10^5,'Reaction Information'!$Q$66)*Calculations!$U13*10^-6 + (1/$S13 - 1)*calculate_domegadP(Calculations!M13,Calculations!N13,Calculations!Q13,'Reaction Information'!$C$66,'Reaction Information'!$P$66*10^5,'Reaction Information'!$Q$66,$D$20,$D$19=3))*41.84)</f>
        <v>#N/A</v>
      </c>
      <c r="CF13" s="31">
        <f>(BS13*Input!$AO$4+BT13*Input!$AR$4+BU13*Input!$AU$4+BV13*Input!$AX$4+IF(ISNA(BW13),0,BW13*Input!$BA$4)+IF(ISNA(BX13),0,BX13*Input!$BD$4)+IF(ISNA(BY13),0,BY13*Input!$BG$4)+IF(ISNA(BZ13),0,BZ13*Input!$BJ$4)+IF(ISNA(CA13),0,CA13*Input!$BM$4)+IF(ISNA(CB13),0,CB13*Input!$BP$4)+IF(ISNA(CC13),0,CC13*Input!$BS$4)+IF(ISNA(CD13),0,CD13*Input!$BV$4)+IF(ISNA(CE13),0,CE13*Input!$BY$4))-(BF13*Input!$B$4+BG13*Input!$E$4+BH13*Input!$H$4+BI13*Input!$K$4+IF(ISNA(BJ13),0,BJ13*Input!$N$4)+IF(ISNA(BK13),0,BK13*Input!$Q$4)+IF(ISNA(BL13),0,BL13*Input!$T$4)+IF(ISNA(BM13),0,BM13*Input!$W$4)+IF(ISNA(BN13),0,BN13*Input!$Z$4)+IF(ISNA(BO13),0,BO13*Input!$AC$4)+IF(ISNA(BP13),0,BP13*Input!$AF$4)+IF(ISNA(BQ13),0,BQ13*Input!$AI$4)+IF(ISNA(BR13),0,BR13*Input!$AL$4))</f>
        <v>-58.024790236751336</v>
      </c>
      <c r="CG13" s="1">
        <f t="shared" si="12"/>
        <v>650</v>
      </c>
      <c r="CH13" s="46">
        <f t="shared" si="13"/>
        <v>5000</v>
      </c>
      <c r="CI13" s="1"/>
    </row>
    <row r="14" spans="1:87" ht="15" customHeight="1" x14ac:dyDescent="0.2">
      <c r="A14" s="1"/>
      <c r="B14" s="16" t="s">
        <v>436</v>
      </c>
      <c r="C14" s="21">
        <v>-5.7986499999999998E-5</v>
      </c>
      <c r="D14" s="16" t="s">
        <v>437</v>
      </c>
      <c r="E14" s="1"/>
      <c r="F14" s="2">
        <v>9</v>
      </c>
      <c r="G14" s="1" t="str">
        <f>IF(ISBLANK(Input!CB14), "", Input!CB14*1000)</f>
        <v/>
      </c>
      <c r="H14" s="1" t="str">
        <f>IF(ISBLANK(Input!CC14), "", Input!CC14)</f>
        <v/>
      </c>
      <c r="I14" s="1">
        <f>IF(Input!$CF$5 + Input!$CF$6*(FLOOR((Calculations!$F14-1)/(FLOOR((Input!$CF$12-Input!$CF$10)/Input!$CF$11,1)+1),1)) &gt; Input!$CF$7, "", (Input!$CF$5 + Input!$CF$6*(FLOOR((Calculations!$F14-1)/(FLOOR((Input!$CF$12-Input!$CF$10)/Input!$CF$11,1)+1),1)))*1000)</f>
        <v>5000</v>
      </c>
      <c r="J14" s="1">
        <f>IF(Calculations!I14 = "", "", Input!$CF$10 + Input!$CF$11*(Calculations!$F14-1) - (FLOOR((Input!$CF$12-Input!$CF$10)/Input!$CF$11,1)+1)*Input!$CF$11*FLOOR((Calculations!$F14-1)/(FLOOR((Input!$CF$12-Input!$CF$10)/Input!$CF$11,1)+1),1))</f>
        <v>700</v>
      </c>
      <c r="K14" s="8">
        <f t="shared" si="14"/>
        <v>15.625949209180702</v>
      </c>
      <c r="L14" s="117">
        <f>IF(OR(Input!$CJ$5 + Input!$CJ$6*(Calculations!F14-1) &gt; Input!$CJ$7, Input!$CJ$5 + Input!$CJ$6*(Calculations!F14-1) &gt; 350), "", Input!$CJ$5 + Input!$CJ$6*(Calculations!F14-1))</f>
        <v>200</v>
      </c>
      <c r="M14" s="1">
        <f t="shared" si="2"/>
        <v>5000</v>
      </c>
      <c r="N14" s="1">
        <f t="shared" si="3"/>
        <v>700</v>
      </c>
      <c r="O14" s="1">
        <f t="shared" si="4"/>
        <v>973.15</v>
      </c>
      <c r="P14" s="1" t="e">
        <f>IF(OR($D$20=3,AND($D$21=TRUE,M14&lt;1000)),INDEX('Water Density'!$C$6:$CX$120,MATCH(Calculations!N14,'Water Density'!$B$6:$B$120),MATCH(Calculations!M14/1000,'Water Density'!$C$5:$CX$5)),NA())</f>
        <v>#N/A</v>
      </c>
      <c r="Q14" s="182">
        <f>IF(OR($D$20=3,AND($D$21=TRUE,M14&lt;1000)), IF(P14&lt;&gt;0,P14,NA()), calculateDensity(M14,N14,$D$20,0.01,$D$19 = 3))</f>
        <v>0.74547754195213334</v>
      </c>
      <c r="R14" s="1" t="e">
        <f>IF($D$22=5,INDEX('Dielectric Constant'!$C$6:$CX$120,MATCH(Calculations!N14,'Dielectric Constant'!$B$6:$B$120),MATCH(Calculations!M14/1000,'Dielectric Constant'!$C$5:$CX$5)),NA())</f>
        <v>#N/A</v>
      </c>
      <c r="S14" s="58">
        <f>IF($D$22=5, IF(R14&lt;&gt;0,R14,NA()), IF(AND($D$23,M14&lt;=5000,$D$19 &lt;&gt; 3),calculateEpsilon(Q14,N14,1,FALSE),calculateEpsilon(Q14,N14,$D$22,$D$19 = 3)))</f>
        <v>11.55288478056857</v>
      </c>
      <c r="T14" s="1" t="e">
        <f>IF($D$24=3,INDEX('Water Free Energy'!$C$6:$CX$120,MATCH(Calculations!N14,'Water Free Energy'!$B$6:$B$120),MATCH(Calculations!M14/1000,'Water Free Energy'!$C$5:$CX$5)),NA())</f>
        <v>#N/A</v>
      </c>
      <c r="U14" s="179">
        <f>IF($D$27,calculateQ(M14,N14,Q14,$D$20,$D$22,$D$19=3)*10^6,NA())</f>
        <v>5.3842437598354236</v>
      </c>
      <c r="V14"/>
      <c r="W14" s="2">
        <f t="shared" si="5"/>
        <v>5000</v>
      </c>
      <c r="X14" s="1">
        <f t="shared" si="6"/>
        <v>700</v>
      </c>
      <c r="Y14" s="1">
        <f>Results!F16</f>
        <v>0</v>
      </c>
      <c r="Z14" s="1">
        <f>Results!G16</f>
        <v>0</v>
      </c>
      <c r="AA14" s="1">
        <f>Results!H16</f>
        <v>0</v>
      </c>
      <c r="AB14" s="1">
        <f>Results!I16</f>
        <v>0</v>
      </c>
      <c r="AC14" s="1" t="e">
        <f>IF(ISBLANK(Input!$O$4),NA(),'Reaction Information'!$E$5-'Reaction Information'!$G$5*(Calculations!$O14-Calculations!$C$8)+'Reaction Information'!$I$5*(Calculations!$O14-Calculations!$C$8-Calculations!$O14*LN(Calculations!$O14/Calculations!$C$8))+'Reaction Information'!$J$5*0.001/2*(2*Calculations!$O14*Calculations!$C$8-Calculations!$O14^2-Calculations!$C$8^2) + 'Reaction Information'!$K$5*100000*(Calculations!$O14^2 + Calculations!$C$8^2 - 2*Calculations!$O14*Calculations!$C$8)/(2*Calculations!$O14*Calculations!$C$8^2))</f>
        <v>#N/A</v>
      </c>
      <c r="AD14" s="8" t="e">
        <f>IF(ISBLANK(Input!$R$4),NA(),'Reaction Information'!$E$9-'Reaction Information'!$G$9*(Calculations!$O14-Calculations!$C$8)+'Reaction Information'!$I$9*(Calculations!$O14-Calculations!$C$8-Calculations!$O14*LN(Calculations!$O14/Calculations!$C$8))+'Reaction Information'!$J$9*0.001/2*(2*Calculations!$O14*Calculations!$C$8-Calculations!$O14^2-Calculations!$C$8^2) + 'Reaction Information'!$K$9*100000*(Calculations!$O14^2 + Calculations!$C$8^2 - 2*Calculations!$O14*Calculations!$C$8)/(2*Calculations!$O14*Calculations!$C$8^2))</f>
        <v>#N/A</v>
      </c>
      <c r="AE14" s="8">
        <f>IF(AE$5="H2O",IF($D$24=3,IF(T14=0,NA(),T14),calculateGibbsOfWater(M14,N14,$D$24,$D$20,$D$19=3)),NA())</f>
        <v>-73111.035478825564</v>
      </c>
      <c r="AF14" s="8">
        <f>IF(ISBLANK(Input!$X$4),NA(),'Reaction Information'!$E$13-'Reaction Information'!$G$13*(Calculations!O14-Calculations!$C$8)-'Reaction Information'!$N$13*(Calculations!O14*LN(Calculations!O14/Calculations!$C$8)-Calculations!O14+Calculations!$C$8)-'Reaction Information'!$O$13*10^4*(((1/(Calculations!O14-Calculations!$C$13))-(1/(Calculations!$C$8-Calculations!$C$13)))*((Calculations!$C$13-Calculations!O14)/(Calculations!$C$13))-(Calculations!O14/(Calculations!$C$13*Calculations!$C$13))*LN((Calculations!$C$8*(Calculations!O14-Calculations!$C$13))/(Calculations!O14*(Calculations!$C$8-Calculations!$C$13))))+'Reaction Information'!$J$13*10^-1*(Calculations!M14-Calculations!$C$9)+'Reaction Information'!$K$13*10^2*LN((Calculations!$C$12+Calculations!M14)/(Calculations!$C$12+Calculations!$C$9))+(1/(Calculations!O14-Calculations!$C$13))*('Reaction Information'!$L$13*(Calculations!M14-Calculations!$C$9)+'Reaction Information'!$M$13*10^4*LN((Calculations!$C$12+Calculations!M14)/(Calculations!$C$12+Calculations!$C$9)))+calculateOmega(Calculations!M14,Calculations!N14,Calculations!Q14,'Reaction Information'!$C$13,'Reaction Information'!$P$13*10^5,'Reaction Information'!$Q$13)*((1/Calculations!S14)-1)-'Reaction Information'!$P$13*10^5*((1/Calculations!$C$10)-1)+'Reaction Information'!$P$13*10^5*Calculations!$C$14*(Calculations!O14-Calculations!$C$8))</f>
        <v>-119653.83801059506</v>
      </c>
      <c r="AG14" s="8" t="e">
        <f>IF(ISBLANK(Input!$AA$4),NA(),'Reaction Information'!$E$17-'Reaction Information'!$G$17*(Calculations!$O14-Calculations!$C$8)-'Reaction Information'!$N$17*(Calculations!$O14*LN(Calculations!$O14/Calculations!$C$8)-Calculations!$O14+Calculations!$C$8)-'Reaction Information'!$O$17*10^4*(((1/(Calculations!$O14-Calculations!$C$13))-(1/(Calculations!$C$8-Calculations!$C$13)))*((Calculations!$C$13-Calculations!$O14)/(Calculations!$C$13))-(Calculations!$O14/(Calculations!$C$13*Calculations!$C$13))*LN((Calculations!$C$8*(Calculations!$O14-Calculations!$C$13))/(Calculations!$O14*(Calculations!$C$8-Calculations!$C$13))))+'Reaction Information'!$J$17*10^-1*(Calculations!$M14-Calculations!$C$9)+'Reaction Information'!$K$17*10^2*LN((Calculations!$C$12+Calculations!$M14)/(Calculations!$C$12+Calculations!$C$9))+(1/(Calculations!$O14-Calculations!$C$13))*('Reaction Information'!$L$17*(Calculations!$M14-Calculations!$C$9)+'Reaction Information'!$M$17*10^4*LN((Calculations!$C$12+Calculations!$M14)/(Calculations!$C$12+Calculations!$C$9)))+calculateOmega(Calculations!M14,Calculations!N14,Calculations!Q14,'Reaction Information'!$C$17,'Reaction Information'!$P$17*10^5,'Reaction Information'!$Q$17)*((1/Calculations!$S14)-1)-'Reaction Information'!$P$17*10^5*((1/Calculations!$C$10)-1)+'Reaction Information'!$P$17*10^5*Calculations!$C$14*(Calculations!$O14-Calculations!$C$8))</f>
        <v>#N/A</v>
      </c>
      <c r="AH14" s="8" t="e">
        <f>IF(ISBLANK(Input!$AD$4),NA(),'Reaction Information'!$E$21-'Reaction Information'!$G$21*(Calculations!$O14-Calculations!$C$8)-'Reaction Information'!$N$21*(Calculations!$O14*LN(Calculations!$O14/Calculations!$C$8)-Calculations!$O14+Calculations!$C$8)-'Reaction Information'!$O$21*10^4*(((1/(Calculations!$O14-Calculations!$C$13))-(1/(Calculations!$C$8-Calculations!$C$13)))*((Calculations!$C$13-Calculations!$O14)/(Calculations!$C$13))-(Calculations!$O14/(Calculations!$C$13*Calculations!$C$13))*LN((Calculations!$C$8*(Calculations!$O14-Calculations!$C$13))/(Calculations!$O14*(Calculations!$C$8-Calculations!$C$13))))+'Reaction Information'!$J$21*10^-1*(Calculations!$M14-Calculations!$C$9)+'Reaction Information'!$K$21*10^2*LN((Calculations!$C$12+Calculations!$M14)/(Calculations!$C$12+Calculations!$C$9))+(1/(Calculations!$O14-Calculations!$C$13))*('Reaction Information'!$L$21*(Calculations!$M14-Calculations!$C$9)+'Reaction Information'!$M$21*10^4*LN((Calculations!$C$12+Calculations!$M14)/(Calculations!$C$12+Calculations!$C$9)))+calculateOmega(Calculations!M14,Calculations!N14,Calculations!Q14,'Reaction Information'!$C$21,'Reaction Information'!$P$21*10^5,'Reaction Information'!$Q$21)*((1/Calculations!$S14)-1)-'Reaction Information'!$P$21*10^5*((1/Calculations!$C$10)-1)+'Reaction Information'!$P$21*10^5*Calculations!$C$14*(Calculations!$O14-Calculations!$C$8))</f>
        <v>#N/A</v>
      </c>
      <c r="AI14" s="8" t="e">
        <f>IF(ISBLANK(Input!$AG$4),NA(),'Reaction Information'!$E$25-'Reaction Information'!$G$25*(Calculations!$O14-Calculations!$C$8)-'Reaction Information'!$N$25*(Calculations!$O14*LN(Calculations!$O14/Calculations!$C$8)-Calculations!$O14+Calculations!$C$8)-'Reaction Information'!$O$25*10^4*(((1/(Calculations!$O14-Calculations!$C$13))-(1/(Calculations!$C$8-Calculations!$C$13)))*((Calculations!$C$13-Calculations!$O14)/(Calculations!$C$13))-(Calculations!$O14/(Calculations!$C$13*Calculations!$C$13))*LN((Calculations!$C$8*(Calculations!$O14-Calculations!$C$13))/(Calculations!$O14*(Calculations!$C$8-Calculations!$C$13))))+'Reaction Information'!$J$25*10^-1*(Calculations!$M14-Calculations!$C$9)+'Reaction Information'!$K$25*10^2*LN((Calculations!$C$12+Calculations!$M14)/(Calculations!$C$12+Calculations!$C$9))+(1/(Calculations!$O14-Calculations!$C$13))*('Reaction Information'!$L$25*(Calculations!$M14-Calculations!$C$9)+'Reaction Information'!$M$25*10^4*LN((Calculations!$C$12+Calculations!$M14)/(Calculations!$C$12+Calculations!$C$9)))+calculateOmega(Calculations!M14,Calculations!N14,Calculations!Q14,'Reaction Information'!$C$25,'Reaction Information'!$P$25*10^5,'Reaction Information'!$Q$25)*((1/Calculations!$S14)-1)-'Reaction Information'!$P$25*10^5*((1/Calculations!$C$10)-1)+'Reaction Information'!$P$25*10^5*Calculations!$C$14*(Calculations!$O14-Calculations!$C$8))</f>
        <v>#N/A</v>
      </c>
      <c r="AJ14" s="8" t="e">
        <f>IF(ISBLANK(Input!$AJ$4),NA(),'Reaction Information'!$E$29-'Reaction Information'!$G$29*(Calculations!$O14-Calculations!$C$8)-'Reaction Information'!$N$29*(Calculations!$O14*LN(Calculations!$O14/Calculations!$C$8)-Calculations!$O14+Calculations!$C$8)-'Reaction Information'!$O$29*10^4*(((1/(Calculations!$O14-Calculations!$C$13))-(1/(Calculations!$C$8-Calculations!$C$13)))*((Calculations!$C$13-Calculations!$O14)/(Calculations!$C$13))-(Calculations!$O14/(Calculations!$C$13*Calculations!$C$13))*LN((Calculations!$C$8*(Calculations!$O14-Calculations!$C$13))/(Calculations!$O14*(Calculations!$C$8-Calculations!$C$13))))+'Reaction Information'!$J$29*10^-1*(Calculations!$M14-Calculations!$C$9)+'Reaction Information'!$K$29*10^2*LN((Calculations!$C$12+Calculations!$M14)/(Calculations!$C$12+Calculations!$C$9))+(1/(Calculations!$O14-Calculations!$C$13))*('Reaction Information'!$L$29*(Calculations!$M14-Calculations!$C$9)+'Reaction Information'!$M$29*10^4*LN((Calculations!$C$12+Calculations!$M14)/(Calculations!$C$12+Calculations!$C$9)))+calculateOmega(Calculations!M14,Calculations!N14,Calculations!Q14,'Reaction Information'!$C$29,'Reaction Information'!$P$29*10^5,'Reaction Information'!$Q$29)*((1/Calculations!$S14)-1)-'Reaction Information'!$P$29*10^5*((1/Calculations!$C$10)-1)+'Reaction Information'!$P$29*10^5*Calculations!$C$14*(Calculations!$O14-Calculations!$C$8))</f>
        <v>#N/A</v>
      </c>
      <c r="AK14" s="8" t="e">
        <f>IF(ISBLANK(Input!$AM$4),NA(),'Reaction Information'!$E$33-'Reaction Information'!$G$33*(Calculations!$O14-Calculations!$C$8)-'Reaction Information'!$N$33*(Calculations!$O14*LN(Calculations!$O14/Calculations!$C$8)-Calculations!$O14+Calculations!$C$8)-'Reaction Information'!$O$33*10^4*(((1/(Calculations!$O14-Calculations!$C$13))-(1/(Calculations!$C$8-Calculations!$C$13)))*((Calculations!$C$13-Calculations!$O14)/(Calculations!$C$13))-(Calculations!$O14/(Calculations!$C$13*Calculations!$C$13))*LN((Calculations!$C$8*(Calculations!$O14-Calculations!$C$13))/(Calculations!$O14*(Calculations!$C$8-Calculations!$C$13))))+'Reaction Information'!$J$33*10^-1*(Calculations!$M14-Calculations!$C$9)+'Reaction Information'!$K$33*10^2*LN((Calculations!$C$12+Calculations!$M14)/(Calculations!$C$12+Calculations!$C$9))+(1/(Calculations!$O14-Calculations!$C$13))*('Reaction Information'!$L$33*(Calculations!$M14-Calculations!$C$9)+'Reaction Information'!$M$33*10^4*LN((Calculations!$C$12+Calculations!$M14)/(Calculations!$C$12+Calculations!$C$9)))+calculateOmega(Calculations!M14,Calculations!N14,Calculations!Q14,'Reaction Information'!$C$33,'Reaction Information'!$P$33*10^5,'Reaction Information'!$Q$33)*((1/Calculations!$S14)-1)-'Reaction Information'!$P$33*10^5*((1/Calculations!$C$10)-1)+'Reaction Information'!$P$33*10^5*Calculations!$C$14*(Calculations!$O14-Calculations!$C$8))</f>
        <v>#N/A</v>
      </c>
      <c r="AL14" s="1">
        <f>Results!S16</f>
        <v>0</v>
      </c>
      <c r="AM14" s="1">
        <f>Results!T16</f>
        <v>0</v>
      </c>
      <c r="AN14" s="1">
        <f>Results!U16</f>
        <v>0</v>
      </c>
      <c r="AO14" s="1">
        <f>Results!V16</f>
        <v>0</v>
      </c>
      <c r="AP14" s="8" t="e">
        <f>IF(ISBLANK(Input!$BB$4),NA(),'Reaction Information'!$E$38-'Reaction Information'!$G$38*(Calculations!$O14-Calculations!$C$8)+'Reaction Information'!$I$38*(Calculations!$O14-Calculations!$C$8-Calculations!$O14*LN(Calculations!$O14/Calculations!$C$8))+'Reaction Information'!$J$38*0.001/2*(2*Calculations!$O14*Calculations!$C$8-Calculations!$O14^2-Calculations!$C$8^2) + 'Reaction Information'!$K$38*100000*(Calculations!$O14^2 + Calculations!$C$8^2 - 2*Calculations!$O14*Calculations!$C$8)/(2*Calculations!$O14*Calculations!$C$8^2))</f>
        <v>#N/A</v>
      </c>
      <c r="AQ14" s="8" t="e">
        <f>IF(ISBLANK(Input!$BE$4),NA(),'Reaction Information'!$E$42-'Reaction Information'!$G$42*(Calculations!$O14-Calculations!$C$8)+'Reaction Information'!$I$42*(Calculations!$O14-Calculations!$C$8-Calculations!$O14*LN(Calculations!$O14/Calculations!$C$8))+'Reaction Information'!$J$42*0.001/2*(2*Calculations!$O14*Calculations!$C$8-Calculations!$O14^2-Calculations!$C$8^2) + 'Reaction Information'!$K$42*100000*(Calculations!$O14^2 + Calculations!$C$8^2 - 2*Calculations!$O14*Calculations!$C$8)/(2*Calculations!$O14*Calculations!$C$8^2))</f>
        <v>#N/A</v>
      </c>
      <c r="AR14" s="8" t="e">
        <f>IF(AR$5="H2O", IF($D$24=3,IF(T14=0,NA(),T14),calculateGibbsOfWater(M14,N14,$D$24,$D$20,$D$19=3)),NA())</f>
        <v>#N/A</v>
      </c>
      <c r="AS14" s="8">
        <f>IF(ISBLANK(Input!$BK$4),NA(),'Reaction Information'!$E$46-'Reaction Information'!$G$46*(Calculations!O14-Calculations!$C$8)-'Reaction Information'!$N$46*(Calculations!O14*LN(Calculations!O14/Calculations!$C$8)-Calculations!O14+Calculations!$C$8)-'Reaction Information'!$O$46*10^4*(((1/(Calculations!O14-Calculations!$C$13))-(1/(Calculations!$C$8-Calculations!$C$13)))*((Calculations!$C$13-Calculations!O14)/(Calculations!$C$13))-(Calculations!O14/(Calculations!$C$13*Calculations!$C$13))*LN((Calculations!$C$8*(Calculations!O14-Calculations!$C$13))/(Calculations!O14*(Calculations!$C$8-Calculations!$C$13))))+'Reaction Information'!$J$46*10^-1*(Calculations!$M14-Calculations!$C$9)+'Reaction Information'!$K$46*10^2*LN((Calculations!$C$12+Calculations!$M14)/(Calculations!$C$12+Calculations!$C$9))+(1/(Calculations!O14-Calculations!$C$13))*('Reaction Information'!$L$46*(Calculations!$M14-Calculations!$C$9)+'Reaction Information'!$M$46*10^4*LN((Calculations!$C$12+Calculations!$M14)/(Calculations!$C$12+Calculations!$C$9)))+calculateOmega(Calculations!M14,Calculations!N14,Calculations!Q14,'Reaction Information'!$C$46,'Reaction Information'!$P$46*10^5,'Reaction Information'!$Q$46)*((1/Calculations!S14)-1)-'Reaction Information'!$P$46*10^5*((1/Calculations!$C$10)-1)+'Reaction Information'!$P$46*10^5*Calculations!$C$14*(Calculations!O14-Calculations!$C$8))</f>
        <v>0</v>
      </c>
      <c r="AT14" s="8">
        <f>IF(ISBLANK(Input!$BN$4),NA(),'Reaction Information'!$E$50-'Reaction Information'!$G$50*(Calculations!O14-Calculations!$C$8)-'Reaction Information'!$N$50*(Calculations!O14*LN(Calculations!O14/Calculations!$C$8)-Calculations!O14+Calculations!$C$8)-'Reaction Information'!$O$50*10^4*(((1/(Calculations!O14-Calculations!$C$13))-(1/(Calculations!$C$8-Calculations!$C$13)))*((Calculations!$C$13-Calculations!O14)/(Calculations!$C$13))-(Calculations!O14/(Calculations!$C$13*Calculations!$C$13))*LN((Calculations!$C$8*(Calculations!O14-Calculations!$C$13))/(Calculations!O14*(Calculations!$C$8-Calculations!$C$13))))+'Reaction Information'!$J$50*10^-1*(Calculations!$M14-Calculations!$C$9)+'Reaction Information'!$K$50*10^2*LN((Calculations!$C$12+Calculations!$M14)/(Calculations!$C$12+Calculations!$C$9))+(1/(Calculations!O14-Calculations!$C$13))*('Reaction Information'!$L$50*(Calculations!$M14-Calculations!$C$9)+'Reaction Information'!$M$50*10^4*LN((Calculations!$C$12+Calculations!$M14)/(Calculations!$C$12+Calculations!$C$9)))+calculateOmega(Calculations!M14,Calculations!N14,Calculations!Q14,'Reaction Information'!$C$50,'Reaction Information'!$P$50*10^5,'Reaction Information'!$Q$50)*((1/Calculations!S14)-1)-'Reaction Information'!$P$50*10^5*((1/Calculations!$C$10)-1)+'Reaction Information'!$P$50*10^5*Calculations!$C$14*(Calculations!O14-Calculations!$C$8))</f>
        <v>-152415.71117914727</v>
      </c>
      <c r="AU14" s="8" t="e">
        <f>IF(ISBLANK(Input!$BQ$4),NA(),'Reaction Information'!$E$54-'Reaction Information'!$G$54*(Calculations!$O14-Calculations!$C$8)-'Reaction Information'!$N$54*(Calculations!$O14*LN(Calculations!$O14/Calculations!$C$8)-Calculations!$O14+Calculations!$C$8)-'Reaction Information'!$O$54*10^4*(((1/(Calculations!$O14-Calculations!$C$13))-(1/(Calculations!$C$8-Calculations!$C$13)))*((Calculations!$C$13-Calculations!$O14)/(Calculations!$C$13))-(Calculations!$O14/(Calculations!$C$13*Calculations!$C$13))*LN((Calculations!$C$8*(Calculations!$O14-Calculations!$C$13))/(Calculations!$O14*(Calculations!$C$8-Calculations!$C$13))))+'Reaction Information'!$J$54*10^-1*(Calculations!$M14-Calculations!$C$9)+'Reaction Information'!$K$54*10^2*LN((Calculations!$C$12+Calculations!$M14)/(Calculations!$C$12+Calculations!$C$9))+(1/(Calculations!$O14-Calculations!$C$13))*('Reaction Information'!$L$54*(Calculations!$M14-Calculations!$C$9)+'Reaction Information'!$M$54*10^4*LN((Calculations!$C$12+Calculations!$M14)/(Calculations!$C$12+Calculations!$C$9)))+calculateOmega(Calculations!M14,Calculations!N14,Calculations!Q14,'Reaction Information'!$C$54,'Reaction Information'!$P$54*10^5,'Reaction Information'!$Q$54)*((1/Calculations!$S14)-1)-'Reaction Information'!$P$54*10^5*((1/Calculations!$C$10)-1)+'Reaction Information'!$P$54*10^5*Calculations!$C$14*(Calculations!$O14-Calculations!$C$8))</f>
        <v>#N/A</v>
      </c>
      <c r="AV14" s="8" t="e">
        <f>IF(ISBLANK(Input!$BT$4),NA(),'Reaction Information'!$E$58-'Reaction Information'!$G$58*(Calculations!$O14-Calculations!$C$8)-'Reaction Information'!$N$58*(Calculations!$O14*LN(Calculations!$O14/Calculations!$C$8)-Calculations!$O14+Calculations!$C$8)-'Reaction Information'!$O$58*10^4*(((1/(Calculations!$O14-Calculations!$C$13))-(1/(Calculations!$C$8-Calculations!$C$13)))*((Calculations!$C$13-Calculations!$O14)/(Calculations!$C$13))-(Calculations!$O14/(Calculations!$C$13*Calculations!$C$13))*LN((Calculations!$C$8*(Calculations!$O14-Calculations!$C$13))/(Calculations!$O14*(Calculations!$C$8-Calculations!$C$13))))+'Reaction Information'!$J$58*10^-1*(Calculations!$M14-Calculations!$C$9)+'Reaction Information'!$K$58*10^2*LN((Calculations!$C$12+Calculations!$M14)/(Calculations!$C$12+Calculations!$C$9))+(1/(Calculations!$O14-Calculations!$C$13))*('Reaction Information'!$L$58*(Calculations!$M14-Calculations!$C$9)+'Reaction Information'!$M$58*10^4*LN((Calculations!$C$12+Calculations!$M14)/(Calculations!$C$12+Calculations!$C$9)))+calculateOmega(Calculations!M14,Calculations!N14,Calculations!Q14,'Reaction Information'!$C$58,'Reaction Information'!$P$58*10^5,'Reaction Information'!$Q$58)*((1/Calculations!$S14)-1)-'Reaction Information'!$P$58*10^5*((1/Calculations!$C$10)-1)+'Reaction Information'!$P$58*10^5*Calculations!$C$14*(Calculations!$O14-Calculations!$C$8))</f>
        <v>#N/A</v>
      </c>
      <c r="AW14" s="8" t="e">
        <f>IF(ISBLANK(Input!$BW$4),NA(),'Reaction Information'!$E$62-'Reaction Information'!$G$62*(Calculations!$O14-Calculations!$C$8)-'Reaction Information'!$N$62*(Calculations!$O14*LN(Calculations!$O14/Calculations!$C$8)-Calculations!$O14+Calculations!$C$8)-'Reaction Information'!$O$62*10^4*(((1/(Calculations!$O14-Calculations!$C$13))-(1/(Calculations!$C$8-Calculations!$C$13)))*((Calculations!$C$13-Calculations!$O14)/(Calculations!$C$13))-(Calculations!$O14/(Calculations!$C$13*Calculations!$C$13))*LN((Calculations!$C$8*(Calculations!$O14-Calculations!$C$13))/(Calculations!$O14*(Calculations!$C$8-Calculations!$C$13))))+'Reaction Information'!$J$62*10^-1*(Calculations!$M14-Calculations!$C$9)+'Reaction Information'!$K$62*10^2*LN((Calculations!$C$12+Calculations!$M14)/(Calculations!$C$12+Calculations!$C$9))+(1/(Calculations!$O14-Calculations!$C$13))*('Reaction Information'!$L$62*(Calculations!$M14-Calculations!$C$9)+'Reaction Information'!$M$62*10^4*LN((Calculations!$C$12+Calculations!$M14)/(Calculations!$C$12+Calculations!$C$9)))+calculateOmega(Calculations!M14,Calculations!N14,Calculations!Q14,'Reaction Information'!$C$62,'Reaction Information'!$P$62*10^5,'Reaction Information'!$Q$62)*((1/Calculations!$S14)-1)-'Reaction Information'!$P$62*10^5*((1/Calculations!$C$10)-1)+'Reaction Information'!$P$62*10^5*Calculations!$C$14*(Calculations!$O14-Calculations!$C$8))</f>
        <v>#N/A</v>
      </c>
      <c r="AX14" s="8" t="e">
        <f>IF(ISBLANK(Input!$BZ$4),NA(),'Reaction Information'!$E$66-'Reaction Information'!$G$66*(Calculations!$O14-Calculations!$C$8)-'Reaction Information'!$N$66*(Calculations!$O14*LN(Calculations!$O14/Calculations!$C$8)-Calculations!$O14+Calculations!$C$8)-'Reaction Information'!$O$66*10^4*(((1/(Calculations!$O14-Calculations!$C$13))-(1/(Calculations!$C$8-Calculations!$C$13)))*((Calculations!$C$13-Calculations!$O14)/(Calculations!$C$13))-(Calculations!$O14/(Calculations!$C$13*Calculations!$C$13))*LN((Calculations!$C$8*(Calculations!$O14-Calculations!$C$13))/(Calculations!$O14*(Calculations!$C$8-Calculations!$C$13))))+'Reaction Information'!$J$66*10^-1*(Calculations!$M14-Calculations!$C$9)+'Reaction Information'!$K$66*10^2*LN((Calculations!$C$12+Calculations!$M14)/(Calculations!$C$12+Calculations!$C$9))+(1/(Calculations!$O14-Calculations!$C$13))*('Reaction Information'!$L$66*(Calculations!$M14-Calculations!$C$9)+'Reaction Information'!$M$66*10^4*LN((Calculations!$C$12+Calculations!$M14)/(Calculations!$C$12+Calculations!$C$9)))+calculateOmega(Calculations!M14,Calculations!N14,Calculations!Q14,'Reaction Information'!$C$66,'Reaction Information'!$P$66*10^5,'Reaction Information'!$Q$66)*((1/Calculations!$S14)-1)-'Reaction Information'!$P$66*10^5*((1/Calculations!$C$10)-1)+'Reaction Information'!$P$66*10^5*Calculations!$C$14*(Calculations!$O14-Calculations!$C$8))</f>
        <v>#N/A</v>
      </c>
      <c r="AY14" s="31">
        <f>(AL14*Input!$AO$4+AM14*Input!$AR$4+AN14*Input!$AU$4+AO14*Input!$AX$4+IF(ISNA(AP14),0,AP14*Input!$BA$4)+IF(ISNA(AQ14),0,AQ14*Input!$BD$4)+IF(ISNA(AR14),0,AR14*Input!$BG$4)+IF(ISNA(AS14),0,AS14*Input!$BJ$4)+IF(ISNA(AT14),0,AT14*Input!$BM$4)+IF(ISNA(AU14),0,AU14*Input!$BP$4)+IF(ISNA(AV14),0,AV14*Input!$BS$4)+IF(ISNA(AW14),0,AW14*Input!$BV$4)+IF(ISNA(AX14),0,AX14*Input!$BY$4))-(Y14*Input!$B$4+Z14*Input!$E$4+AA14*Input!$H$4+AB14*Input!$K$4+IF(ISNA(AC14),0,AC14*Input!$N$4)+IF(ISNA(AD14),0,AD14*Input!$Q$4)+IF(ISNA(AE14),0,AE14*Input!$T$4)+IF(ISNA(AF14),0,AF14*Input!$W$4)+IF(ISNA(AG14),0,AG14*Input!$Z$4)+IF(ISNA(AH14),0,AH14*Input!$AC$4)+IF(ISNA(AI14),0,AI14*Input!$AF$4)+IF(ISNA(AJ14),0,AJ14*Input!$AI$4)+IF(ISNA(AK14),0,AK14*Input!$AL$4))</f>
        <v>40349.162310273357</v>
      </c>
      <c r="AZ14" s="42">
        <f t="shared" si="7"/>
        <v>-9.067480062600012</v>
      </c>
      <c r="BA14" s="1">
        <f t="shared" si="8"/>
        <v>700</v>
      </c>
      <c r="BB14" s="46">
        <f t="shared" si="9"/>
        <v>5000</v>
      </c>
      <c r="BC14" s="1"/>
      <c r="BD14" s="2">
        <f t="shared" si="10"/>
        <v>5000</v>
      </c>
      <c r="BE14" s="46">
        <f t="shared" si="11"/>
        <v>700</v>
      </c>
      <c r="BF14" s="1">
        <f>Results!AJ16</f>
        <v>0</v>
      </c>
      <c r="BG14" s="1">
        <f>Results!AK16</f>
        <v>0</v>
      </c>
      <c r="BH14" s="1">
        <f>Results!AL16</f>
        <v>0</v>
      </c>
      <c r="BI14" s="1">
        <f>Results!AM16</f>
        <v>0</v>
      </c>
      <c r="BJ14" s="1" t="e">
        <f>IF(OR(ISNA('Reaction Information'!$D$5), $N14 = "", $D$27 = FALSE, 'Reaction Information'!$D$5 = ""), NA(), 24.465)</f>
        <v>#N/A</v>
      </c>
      <c r="BK14" s="1" t="e">
        <f>IF(OR(ISNA('Reaction Information'!$D$9), $N14 = "", $D$27 = FALSE, 'Reaction Information'!$D$9 = ""), NA(), 24.465)</f>
        <v>#N/A</v>
      </c>
      <c r="BL14" s="8">
        <f t="shared" si="0"/>
        <v>24.166093525533398</v>
      </c>
      <c r="BM14" s="8">
        <f>IF(OR(ISBLANK(Input!$X$4),$D$27=FALSE),NA(),('Reaction Information'!$J$13/10+'Reaction Information'!$K$13*100/(Calculations!$C$12+Calculations!$M14)+('Reaction Information'!$L$13+'Reaction Information'!$M$13*10^4/(Calculations!$C$12+Calculations!$M14))/(Calculations!$O14-Calculations!$C$13) -calculateOmega(Calculations!$M14,Calculations!$N14,Calculations!$Q14,'Reaction Information'!$C$13,'Reaction Information'!$P$13*10^5,'Reaction Information'!$Q$13)*Calculations!$U14*10^-6 + (1/$S14 - 1)*calculate_domegadP(Calculations!$M14,Calculations!$N14,Calculations!$Q14,'Reaction Information'!$C$13,'Reaction Information'!$P$13*10^5,'Reaction Information'!$Q$13,$D$20,$D$19=3))*41.84)</f>
        <v>48.395646531913812</v>
      </c>
      <c r="BN14" s="8" t="e">
        <f>IF(OR(ISBLANK(Input!$AA$4),$D$27=FALSE),NA(),('Reaction Information'!$J$17/10+'Reaction Information'!$K$17*100/(Calculations!$C$12+Calculations!$M14)+('Reaction Information'!$L$17+'Reaction Information'!$M$17*10000/(Calculations!$C$12+Calculations!$M14))/(Calculations!$O14-Calculations!$C$13)-calculateOmega(Calculations!M14,Calculations!N14,Calculations!Q14,'Reaction Information'!$C$17,'Reaction Information'!$P$17*10^5,'Reaction Information'!$Q$17)*Calculations!$U14*10^-6 + (1/$S14 - 1)*calculate_domegadP(Calculations!M14,Calculations!N14,Calculations!Q14,'Reaction Information'!$C$17,'Reaction Information'!$P$17*10^5,'Reaction Information'!$Q$17,$D$20,$D$19=3))*41.84)</f>
        <v>#N/A</v>
      </c>
      <c r="BO14" s="8" t="e">
        <f>IF(OR(ISBLANK(Input!$AD$4),$D$27=FALSE),NA(),('Reaction Information'!$J$21/10+'Reaction Information'!$K$21*100/(Calculations!$C$12+Calculations!$M14)+('Reaction Information'!$L$21+'Reaction Information'!$M$21*10000/(Calculations!$C$12+Calculations!$M14))/(Calculations!$O14-Calculations!$C$13)-calculateOmega(Calculations!M14,Calculations!N14,Calculations!Q14,'Reaction Information'!$C$21,'Reaction Information'!$P$21*10^5,'Reaction Information'!$Q$21)*Calculations!$U14*10^-6 + (1/$S14 - 1)*calculate_domegadP(Calculations!M14,Calculations!N14,Calculations!Q14,'Reaction Information'!$C$21,'Reaction Information'!$P$21*10^5,'Reaction Information'!$Q$21,$D$20,$D$19=3))*41.84)</f>
        <v>#N/A</v>
      </c>
      <c r="BP14" s="8" t="e">
        <f>IF(OR(ISBLANK(Input!$AG$4),$D$27=FALSE),NA(),('Reaction Information'!$J$25/10+'Reaction Information'!$K$25*100/(Calculations!$C$12+Calculations!$M14)+('Reaction Information'!$L$25+'Reaction Information'!$M$25*10000/(Calculations!$C$12+Calculations!$M14))/(Calculations!$O14-Calculations!$C$13)-calculateOmega(Calculations!M14,Calculations!N14,Calculations!Q14,'Reaction Information'!$C$25,'Reaction Information'!$P$25*10^5,'Reaction Information'!$Q$25)*Calculations!$U14*10^-6 + (1/$S14 - 1)*calculate_domegadP(Calculations!M14,Calculations!N14,Calculations!Q14,'Reaction Information'!$C$25,'Reaction Information'!$P$25*10^5,'Reaction Information'!$Q$25,$D$20,$D$19=3))*41.84)</f>
        <v>#N/A</v>
      </c>
      <c r="BQ14" s="8" t="e">
        <f>IF(OR(ISBLANK(Input!$AJ$4),$D$27=FALSE),NA(),('Reaction Information'!$J$29/10+'Reaction Information'!$K$29*100/(Calculations!$C$12+Calculations!$M14)+('Reaction Information'!$L$29+'Reaction Information'!$M$29*10000/(Calculations!$C$12+Calculations!$M14))/(Calculations!$O14-Calculations!$C$13)-calculateOmega(Calculations!M14,Calculations!N14,Calculations!Q14,'Reaction Information'!$C$29,'Reaction Information'!$P$29*10^5,'Reaction Information'!$Q$29)*Calculations!$U14*10^-6 + (1/$S14 - 1)*calculate_domegadP(Calculations!M14,Calculations!N14,Calculations!Q14,'Reaction Information'!$C$29,'Reaction Information'!$P$29*10^5,'Reaction Information'!$Q$29,$D$20,$D$19=3))*41.84)</f>
        <v>#N/A</v>
      </c>
      <c r="BR14" s="8" t="e">
        <f>IF(OR(ISBLANK(Input!$AM$4),$D$27=FALSE),NA(),('Reaction Information'!$J$33/10+'Reaction Information'!$K$33*100/(Calculations!$C$12+Calculations!$M14)+('Reaction Information'!$L$33+'Reaction Information'!$M$33*10000/(Calculations!$C$12+Calculations!$M14))/(Calculations!$O14-Calculations!$C$13)-calculateOmega(Calculations!M14,Calculations!N14,Calculations!Q14,'Reaction Information'!$C$33,'Reaction Information'!$P$33*10^5,'Reaction Information'!$Q$33)*Calculations!$U14*10^-6 + (1/$S14 - 1)*calculate_domegadP(Calculations!M14,Calculations!N14,Calculations!Q14,'Reaction Information'!$C$33,'Reaction Information'!$P$33*10^5,'Reaction Information'!$Q$33,$D$20,$D$19=3))*41.84)</f>
        <v>#N/A</v>
      </c>
      <c r="BS14" s="1">
        <f>Results!AW16</f>
        <v>0</v>
      </c>
      <c r="BT14" s="1">
        <f>Results!AX16</f>
        <v>0</v>
      </c>
      <c r="BU14" s="1">
        <f>Results!AY16</f>
        <v>0</v>
      </c>
      <c r="BV14" s="1">
        <f>Results!AZ16</f>
        <v>0</v>
      </c>
      <c r="BW14" s="1" t="e">
        <f>IF(OR(ISNA('Reaction Information'!$D$38), $N14 = "", $D$27 = FALSE, 'Reaction Information'!$D$38 = ""), NA(), 24.465)</f>
        <v>#N/A</v>
      </c>
      <c r="BX14" s="1" t="e">
        <f>IF(OR(ISNA('Reaction Information'!$D$42), $N14 = "", $D$27 = FALSE, 'Reaction Information'!$D$42 = ""), NA(), 24.465)</f>
        <v>#N/A</v>
      </c>
      <c r="BY14" s="8" t="e">
        <f t="shared" si="1"/>
        <v>#N/A</v>
      </c>
      <c r="BZ14" s="8">
        <f>IF(OR(ISBLANK(Input!$BK$4),$D$27=FALSE),NA(),('Reaction Information'!$J$46/10+'Reaction Information'!$K$46*100/(Calculations!$C$12+Calculations!$M14)+('Reaction Information'!$L$46+'Reaction Information'!$M$46*10000/(Calculations!$C$12+Calculations!$M14))/(Calculations!$O14-Calculations!$C$13)-calculateOmega(Calculations!M14,Calculations!N14,Calculations!Q14,'Reaction Information'!$C$46,'Reaction Information'!$P$46*10^5,'Reaction Information'!$Q$46)*Calculations!$U14*10^-6 + (1/$S14 - 1)*calculate_domegadP(Calculations!M14,Calculations!N14,Calculations!Q14,'Reaction Information'!$C$46,'Reaction Information'!$P$46*10^5,'Reaction Information'!$Q$46,$D$20,$D$19=3))*41.84)</f>
        <v>0</v>
      </c>
      <c r="CA14" s="8">
        <f>IF(OR(ISBLANK(Input!$BN$4),$D$27=FALSE),NA(),('Reaction Information'!$J$50/10+'Reaction Information'!$K$50*100/(Calculations!$C$12+Calculations!$M14)+('Reaction Information'!$L$50+'Reaction Information'!$M$50*10000/(Calculations!$C$12+Calculations!$M14))/(Calculations!$O14-Calculations!$C$13)-calculateOmega(Calculations!M14,Calculations!N14,Calculations!Q14,'Reaction Information'!$C$50,'Reaction Information'!$P$50*10^5,'Reaction Information'!$Q$50)*Calculations!$U14*10^-6 + (1/$S14 - 1)*calculate_domegadP(Calculations!M14,Calculations!N14,Calculations!Q14,'Reaction Information'!$C$50,'Reaction Information'!$P$50*10^5,'Reaction Information'!$Q$50,$D$20,$D$19=3))*41.84)</f>
        <v>5.6171725582632979</v>
      </c>
      <c r="CB14" s="8" t="e">
        <f>IF(OR(ISBLANK(Input!$BQ$4),$D$27=FALSE),NA(),('Reaction Information'!$J$54/10+'Reaction Information'!$K$54*100/(Calculations!$C$12+Calculations!$M14)+('Reaction Information'!$L$54+'Reaction Information'!$M$54*10000/(Calculations!$C$12+Calculations!$M14))/(Calculations!$O14-Calculations!$C$13)-calculateOmega(Calculations!M14,Calculations!N14,Calculations!Q14,'Reaction Information'!$C$54,'Reaction Information'!$P$54*10^5,'Reaction Information'!$Q$54)*Calculations!$U14*10^-6 + (1/$S14 - 1)*calculate_domegadP(Calculations!M14,Calculations!N14,Calculations!Q14,'Reaction Information'!$C$54,'Reaction Information'!$P$54*10^5,'Reaction Information'!$Q$54,$D$20,$D$19=3))*41.84)</f>
        <v>#N/A</v>
      </c>
      <c r="CC14" s="8" t="e">
        <f>IF(OR(ISBLANK(Input!$BT$4),$D$27=FALSE),NA(),('Reaction Information'!$J$58/10+'Reaction Information'!$K$58*100/(Calculations!$C$12+Calculations!$M14)+('Reaction Information'!$L$58+'Reaction Information'!$M$58*10000/(Calculations!$C$12+Calculations!$M14))/(Calculations!$O14-Calculations!$C$13)-calculateOmega(Calculations!M14,Calculations!N14,Calculations!Q14,'Reaction Information'!$C$58,'Reaction Information'!$P$58*10^5,'Reaction Information'!$Q$58)*Calculations!$U14*10^-6 + (1/$S14 - 1)*calculate_domegadP(Calculations!M14,Calculations!N14,Calculations!Q14,'Reaction Information'!$C$58,'Reaction Information'!$P$58*10^5,'Reaction Information'!$Q$58,$D$20,$D$19=3))*41.84)</f>
        <v>#N/A</v>
      </c>
      <c r="CD14" s="8" t="e">
        <f>IF(OR(ISBLANK(Input!$BW$4),$D$27=FALSE),NA(),('Reaction Information'!$J$62/10+'Reaction Information'!$K$62*100/(Calculations!$C$12+Calculations!$M14)+('Reaction Information'!$L$62+'Reaction Information'!$M$62*10000/(Calculations!$C$12+Calculations!$M14))/(Calculations!$O14-Calculations!$C$13)-calculateOmega(Calculations!M14,Calculations!N14,Calculations!Q14,'Reaction Information'!$C$62,'Reaction Information'!$P$62*10^5,'Reaction Information'!$Q$62)*Calculations!$U14*10^-6 + (1/$S14 - 1)*calculate_domegadP(Calculations!M14,Calculations!N14,Calculations!Q14,'Reaction Information'!$C$62,'Reaction Information'!$P$62*10^5,'Reaction Information'!$Q$62,$D$20,$D$19=3))*41.84)</f>
        <v>#N/A</v>
      </c>
      <c r="CE14" s="8" t="e">
        <f>IF(OR(ISBLANK(Input!$BZ$4),$D$27=FALSE),NA(),('Reaction Information'!$J$66/10+'Reaction Information'!$K$66*100/(Calculations!$C$12+Calculations!$M14)+('Reaction Information'!$L$66+'Reaction Information'!$M$66*10000/(Calculations!$C$12+Calculations!$M14))/(Calculations!$O14-Calculations!$C$13)-calculateOmega(Calculations!M14,Calculations!N14,Calculations!Q14,'Reaction Information'!$C$66,'Reaction Information'!$P$66*10^5,'Reaction Information'!$Q$66)*Calculations!$U14*10^-6 + (1/$S14 - 1)*calculate_domegadP(Calculations!M14,Calculations!N14,Calculations!Q14,'Reaction Information'!$C$66,'Reaction Information'!$P$66*10^5,'Reaction Information'!$Q$66,$D$20,$D$19=3))*41.84)</f>
        <v>#N/A</v>
      </c>
      <c r="CF14" s="31">
        <f>(BS14*Input!$AO$4+BT14*Input!$AR$4+BU14*Input!$AU$4+BV14*Input!$AX$4+IF(ISNA(BW14),0,BW14*Input!$BA$4)+IF(ISNA(BX14),0,BX14*Input!$BD$4)+IF(ISNA(BY14),0,BY14*Input!$BG$4)+IF(ISNA(BZ14),0,BZ14*Input!$BJ$4)+IF(ISNA(CA14),0,CA14*Input!$BM$4)+IF(ISNA(CB14),0,CB14*Input!$BP$4)+IF(ISNA(CC14),0,CC14*Input!$BS$4)+IF(ISNA(CD14),0,CD14*Input!$BV$4)+IF(ISNA(CE14),0,CE14*Input!$BY$4))-(BF14*Input!$B$4+BG14*Input!$E$4+BH14*Input!$H$4+BI14*Input!$K$4+IF(ISNA(BJ14),0,BJ14*Input!$N$4)+IF(ISNA(BK14),0,BK14*Input!$Q$4)+IF(ISNA(BL14),0,BL14*Input!$T$4)+IF(ISNA(BM14),0,BM14*Input!$W$4)+IF(ISNA(BN14),0,BN14*Input!$Z$4)+IF(ISNA(BO14),0,BO14*Input!$AC$4)+IF(ISNA(BP14),0,BP14*Input!$AF$4)+IF(ISNA(BQ14),0,BQ14*Input!$AI$4)+IF(ISNA(BR14),0,BR14*Input!$AL$4))</f>
        <v>-66.944567499183918</v>
      </c>
      <c r="CG14" s="1">
        <f t="shared" si="12"/>
        <v>700</v>
      </c>
      <c r="CH14" s="46">
        <f t="shared" si="13"/>
        <v>5000</v>
      </c>
      <c r="CI14" s="1"/>
    </row>
    <row r="15" spans="1:87" ht="15" customHeight="1" x14ac:dyDescent="0.2">
      <c r="A15" s="1"/>
      <c r="B15" s="7" t="s">
        <v>475</v>
      </c>
      <c r="C15" s="7">
        <v>41.839300000000001</v>
      </c>
      <c r="D15" s="7" t="s">
        <v>442</v>
      </c>
      <c r="E15" s="1"/>
      <c r="F15" s="2">
        <v>10</v>
      </c>
      <c r="G15" s="1" t="str">
        <f>IF(ISBLANK(Input!CB15), "", Input!CB15*1000)</f>
        <v/>
      </c>
      <c r="H15" s="1" t="str">
        <f>IF(ISBLANK(Input!CC15), "", Input!CC15)</f>
        <v/>
      </c>
      <c r="I15" s="1">
        <f>IF(Input!$CF$5 + Input!$CF$6*(FLOOR((Calculations!$F15-1)/(FLOOR((Input!$CF$12-Input!$CF$10)/Input!$CF$11,1)+1),1)) &gt; Input!$CF$7, "", (Input!$CF$5 + Input!$CF$6*(FLOOR((Calculations!$F15-1)/(FLOOR((Input!$CF$12-Input!$CF$10)/Input!$CF$11,1)+1),1)))*1000)</f>
        <v>5000</v>
      </c>
      <c r="J15" s="1">
        <f>IF(Calculations!I15 = "", "", Input!$CF$10 + Input!$CF$11*(Calculations!$F15-1) - (FLOOR((Input!$CF$12-Input!$CF$10)/Input!$CF$11,1)+1)*Input!$CF$11*FLOOR((Calculations!$F15-1)/(FLOOR((Input!$CF$12-Input!$CF$10)/Input!$CF$11,1)+1),1))</f>
        <v>750</v>
      </c>
      <c r="K15" s="8">
        <f t="shared" si="14"/>
        <v>25.685457944038262</v>
      </c>
      <c r="L15" s="117">
        <f>IF(OR(Input!$CJ$5 + Input!$CJ$6*(Calculations!F15-1) &gt; Input!$CJ$7, Input!$CJ$5 + Input!$CJ$6*(Calculations!F15-1) &gt; 350), "", Input!$CJ$5 + Input!$CJ$6*(Calculations!F15-1))</f>
        <v>225</v>
      </c>
      <c r="M15" s="1">
        <f t="shared" si="2"/>
        <v>5000</v>
      </c>
      <c r="N15" s="1">
        <f t="shared" si="3"/>
        <v>750</v>
      </c>
      <c r="O15" s="1">
        <f t="shared" si="4"/>
        <v>1023.15</v>
      </c>
      <c r="P15" s="1" t="e">
        <f>IF(OR($D$20=3,AND($D$21=TRUE,M15&lt;1000)),INDEX('Water Density'!$C$6:$CX$120,MATCH(Calculations!N15,'Water Density'!$B$6:$B$120),MATCH(Calculations!M15/1000,'Water Density'!$C$5:$CX$5)),NA())</f>
        <v>#N/A</v>
      </c>
      <c r="Q15" s="182">
        <f>IF(OR($D$20=3,AND($D$21=TRUE,M15&lt;1000)), IF(P15&lt;&gt;0,P15,NA()), calculateDensity(M15,N15,$D$20,0.01,$D$19 = 3))</f>
        <v>0.71762917121410363</v>
      </c>
      <c r="R15" s="1" t="e">
        <f>IF($D$22=5,INDEX('Dielectric Constant'!$C$6:$CX$120,MATCH(Calculations!N15,'Dielectric Constant'!$B$6:$B$120),MATCH(Calculations!M15/1000,'Dielectric Constant'!$C$5:$CX$5)),NA())</f>
        <v>#N/A</v>
      </c>
      <c r="S15" s="58">
        <f>IF($D$22=5, IF(R15&lt;&gt;0,R15,NA()), IF(AND($D$23,M15&lt;=5000,$D$19 &lt;&gt; 3),calculateEpsilon(Q15,N15,1,FALSE),calculateEpsilon(Q15,N15,$D$22,$D$19 = 3)))</f>
        <v>10.267223678505939</v>
      </c>
      <c r="T15" s="1" t="e">
        <f>IF($D$24=3,INDEX('Water Free Energy'!$C$6:$CX$120,MATCH(Calculations!N15,'Water Free Energy'!$B$6:$B$120),MATCH(Calculations!M15/1000,'Water Free Energy'!$C$5:$CX$5)),NA())</f>
        <v>#N/A</v>
      </c>
      <c r="U15" s="179">
        <f>IF($D$27,calculateQ(M15,N15,Q15,$D$20,$D$22,$D$19=3)*10^6,NA())</f>
        <v>6.5119776920892427</v>
      </c>
      <c r="V15"/>
      <c r="W15" s="2">
        <f t="shared" si="5"/>
        <v>5000</v>
      </c>
      <c r="X15" s="1">
        <f t="shared" si="6"/>
        <v>750</v>
      </c>
      <c r="Y15" s="1">
        <f>Results!F17</f>
        <v>0</v>
      </c>
      <c r="Z15" s="1">
        <f>Results!G17</f>
        <v>0</v>
      </c>
      <c r="AA15" s="1">
        <f>Results!H17</f>
        <v>0</v>
      </c>
      <c r="AB15" s="1">
        <f>Results!I17</f>
        <v>0</v>
      </c>
      <c r="AC15" s="1" t="e">
        <f>IF(ISBLANK(Input!$O$4),NA(),'Reaction Information'!$E$5-'Reaction Information'!$G$5*(Calculations!$O15-Calculations!$C$8)+'Reaction Information'!$I$5*(Calculations!$O15-Calculations!$C$8-Calculations!$O15*LN(Calculations!$O15/Calculations!$C$8))+'Reaction Information'!$J$5*0.001/2*(2*Calculations!$O15*Calculations!$C$8-Calculations!$O15^2-Calculations!$C$8^2) + 'Reaction Information'!$K$5*100000*(Calculations!$O15^2 + Calculations!$C$8^2 - 2*Calculations!$O15*Calculations!$C$8)/(2*Calculations!$O15*Calculations!$C$8^2))</f>
        <v>#N/A</v>
      </c>
      <c r="AD15" s="8" t="e">
        <f>IF(ISBLANK(Input!$R$4),NA(),'Reaction Information'!$E$9-'Reaction Information'!$G$9*(Calculations!$O15-Calculations!$C$8)+'Reaction Information'!$I$9*(Calculations!$O15-Calculations!$C$8-Calculations!$O15*LN(Calculations!$O15/Calculations!$C$8))+'Reaction Information'!$J$9*0.001/2*(2*Calculations!$O15*Calculations!$C$8-Calculations!$O15^2-Calculations!$C$8^2) + 'Reaction Information'!$K$9*100000*(Calculations!$O15^2 + Calculations!$C$8^2 - 2*Calculations!$O15*Calculations!$C$8)/(2*Calculations!$O15*Calculations!$C$8^2))</f>
        <v>#N/A</v>
      </c>
      <c r="AE15" s="8">
        <f>IF(AE$5="H2O",IF($D$24=3,IF(T15=0,NA(),T15),calculateGibbsOfWater(M15,N15,$D$24,$D$20,$D$19=3)),NA())</f>
        <v>-74871.612707994282</v>
      </c>
      <c r="AF15" s="8">
        <f>IF(ISBLANK(Input!$X$4),NA(),'Reaction Information'!$E$13-'Reaction Information'!$G$13*(Calculations!O15-Calculations!$C$8)-'Reaction Information'!$N$13*(Calculations!O15*LN(Calculations!O15/Calculations!$C$8)-Calculations!O15+Calculations!$C$8)-'Reaction Information'!$O$13*10^4*(((1/(Calculations!O15-Calculations!$C$13))-(1/(Calculations!$C$8-Calculations!$C$13)))*((Calculations!$C$13-Calculations!O15)/(Calculations!$C$13))-(Calculations!O15/(Calculations!$C$13*Calculations!$C$13))*LN((Calculations!$C$8*(Calculations!O15-Calculations!$C$13))/(Calculations!O15*(Calculations!$C$8-Calculations!$C$13))))+'Reaction Information'!$J$13*10^-1*(Calculations!M15-Calculations!$C$9)+'Reaction Information'!$K$13*10^2*LN((Calculations!$C$12+Calculations!M15)/(Calculations!$C$12+Calculations!$C$9))+(1/(Calculations!O15-Calculations!$C$13))*('Reaction Information'!$L$13*(Calculations!M15-Calculations!$C$9)+'Reaction Information'!$M$13*10^4*LN((Calculations!$C$12+Calculations!M15)/(Calculations!$C$12+Calculations!$C$9)))+calculateOmega(Calculations!M15,Calculations!N15,Calculations!Q15,'Reaction Information'!$C$13,'Reaction Information'!$P$13*10^5,'Reaction Information'!$Q$13)*((1/Calculations!S15)-1)-'Reaction Information'!$P$13*10^5*((1/Calculations!$C$10)-1)+'Reaction Information'!$P$13*10^5*Calculations!$C$14*(Calculations!O15-Calculations!$C$8))</f>
        <v>-122610.15426876825</v>
      </c>
      <c r="AG15" s="8" t="e">
        <f>IF(ISBLANK(Input!$AA$4),NA(),'Reaction Information'!$E$17-'Reaction Information'!$G$17*(Calculations!$O15-Calculations!$C$8)-'Reaction Information'!$N$17*(Calculations!$O15*LN(Calculations!$O15/Calculations!$C$8)-Calculations!$O15+Calculations!$C$8)-'Reaction Information'!$O$17*10^4*(((1/(Calculations!$O15-Calculations!$C$13))-(1/(Calculations!$C$8-Calculations!$C$13)))*((Calculations!$C$13-Calculations!$O15)/(Calculations!$C$13))-(Calculations!$O15/(Calculations!$C$13*Calculations!$C$13))*LN((Calculations!$C$8*(Calculations!$O15-Calculations!$C$13))/(Calculations!$O15*(Calculations!$C$8-Calculations!$C$13))))+'Reaction Information'!$J$17*10^-1*(Calculations!$M15-Calculations!$C$9)+'Reaction Information'!$K$17*10^2*LN((Calculations!$C$12+Calculations!$M15)/(Calculations!$C$12+Calculations!$C$9))+(1/(Calculations!$O15-Calculations!$C$13))*('Reaction Information'!$L$17*(Calculations!$M15-Calculations!$C$9)+'Reaction Information'!$M$17*10^4*LN((Calculations!$C$12+Calculations!$M15)/(Calculations!$C$12+Calculations!$C$9)))+calculateOmega(Calculations!M15,Calculations!N15,Calculations!Q15,'Reaction Information'!$C$17,'Reaction Information'!$P$17*10^5,'Reaction Information'!$Q$17)*((1/Calculations!$S15)-1)-'Reaction Information'!$P$17*10^5*((1/Calculations!$C$10)-1)+'Reaction Information'!$P$17*10^5*Calculations!$C$14*(Calculations!$O15-Calculations!$C$8))</f>
        <v>#N/A</v>
      </c>
      <c r="AH15" s="8" t="e">
        <f>IF(ISBLANK(Input!$AD$4),NA(),'Reaction Information'!$E$21-'Reaction Information'!$G$21*(Calculations!$O15-Calculations!$C$8)-'Reaction Information'!$N$21*(Calculations!$O15*LN(Calculations!$O15/Calculations!$C$8)-Calculations!$O15+Calculations!$C$8)-'Reaction Information'!$O$21*10^4*(((1/(Calculations!$O15-Calculations!$C$13))-(1/(Calculations!$C$8-Calculations!$C$13)))*((Calculations!$C$13-Calculations!$O15)/(Calculations!$C$13))-(Calculations!$O15/(Calculations!$C$13*Calculations!$C$13))*LN((Calculations!$C$8*(Calculations!$O15-Calculations!$C$13))/(Calculations!$O15*(Calculations!$C$8-Calculations!$C$13))))+'Reaction Information'!$J$21*10^-1*(Calculations!$M15-Calculations!$C$9)+'Reaction Information'!$K$21*10^2*LN((Calculations!$C$12+Calculations!$M15)/(Calculations!$C$12+Calculations!$C$9))+(1/(Calculations!$O15-Calculations!$C$13))*('Reaction Information'!$L$21*(Calculations!$M15-Calculations!$C$9)+'Reaction Information'!$M$21*10^4*LN((Calculations!$C$12+Calculations!$M15)/(Calculations!$C$12+Calculations!$C$9)))+calculateOmega(Calculations!M15,Calculations!N15,Calculations!Q15,'Reaction Information'!$C$21,'Reaction Information'!$P$21*10^5,'Reaction Information'!$Q$21)*((1/Calculations!$S15)-1)-'Reaction Information'!$P$21*10^5*((1/Calculations!$C$10)-1)+'Reaction Information'!$P$21*10^5*Calculations!$C$14*(Calculations!$O15-Calculations!$C$8))</f>
        <v>#N/A</v>
      </c>
      <c r="AI15" s="8" t="e">
        <f>IF(ISBLANK(Input!$AG$4),NA(),'Reaction Information'!$E$25-'Reaction Information'!$G$25*(Calculations!$O15-Calculations!$C$8)-'Reaction Information'!$N$25*(Calculations!$O15*LN(Calculations!$O15/Calculations!$C$8)-Calculations!$O15+Calculations!$C$8)-'Reaction Information'!$O$25*10^4*(((1/(Calculations!$O15-Calculations!$C$13))-(1/(Calculations!$C$8-Calculations!$C$13)))*((Calculations!$C$13-Calculations!$O15)/(Calculations!$C$13))-(Calculations!$O15/(Calculations!$C$13*Calculations!$C$13))*LN((Calculations!$C$8*(Calculations!$O15-Calculations!$C$13))/(Calculations!$O15*(Calculations!$C$8-Calculations!$C$13))))+'Reaction Information'!$J$25*10^-1*(Calculations!$M15-Calculations!$C$9)+'Reaction Information'!$K$25*10^2*LN((Calculations!$C$12+Calculations!$M15)/(Calculations!$C$12+Calculations!$C$9))+(1/(Calculations!$O15-Calculations!$C$13))*('Reaction Information'!$L$25*(Calculations!$M15-Calculations!$C$9)+'Reaction Information'!$M$25*10^4*LN((Calculations!$C$12+Calculations!$M15)/(Calculations!$C$12+Calculations!$C$9)))+calculateOmega(Calculations!M15,Calculations!N15,Calculations!Q15,'Reaction Information'!$C$25,'Reaction Information'!$P$25*10^5,'Reaction Information'!$Q$25)*((1/Calculations!$S15)-1)-'Reaction Information'!$P$25*10^5*((1/Calculations!$C$10)-1)+'Reaction Information'!$P$25*10^5*Calculations!$C$14*(Calculations!$O15-Calculations!$C$8))</f>
        <v>#N/A</v>
      </c>
      <c r="AJ15" s="8" t="e">
        <f>IF(ISBLANK(Input!$AJ$4),NA(),'Reaction Information'!$E$29-'Reaction Information'!$G$29*(Calculations!$O15-Calculations!$C$8)-'Reaction Information'!$N$29*(Calculations!$O15*LN(Calculations!$O15/Calculations!$C$8)-Calculations!$O15+Calculations!$C$8)-'Reaction Information'!$O$29*10^4*(((1/(Calculations!$O15-Calculations!$C$13))-(1/(Calculations!$C$8-Calculations!$C$13)))*((Calculations!$C$13-Calculations!$O15)/(Calculations!$C$13))-(Calculations!$O15/(Calculations!$C$13*Calculations!$C$13))*LN((Calculations!$C$8*(Calculations!$O15-Calculations!$C$13))/(Calculations!$O15*(Calculations!$C$8-Calculations!$C$13))))+'Reaction Information'!$J$29*10^-1*(Calculations!$M15-Calculations!$C$9)+'Reaction Information'!$K$29*10^2*LN((Calculations!$C$12+Calculations!$M15)/(Calculations!$C$12+Calculations!$C$9))+(1/(Calculations!$O15-Calculations!$C$13))*('Reaction Information'!$L$29*(Calculations!$M15-Calculations!$C$9)+'Reaction Information'!$M$29*10^4*LN((Calculations!$C$12+Calculations!$M15)/(Calculations!$C$12+Calculations!$C$9)))+calculateOmega(Calculations!M15,Calculations!N15,Calculations!Q15,'Reaction Information'!$C$29,'Reaction Information'!$P$29*10^5,'Reaction Information'!$Q$29)*((1/Calculations!$S15)-1)-'Reaction Information'!$P$29*10^5*((1/Calculations!$C$10)-1)+'Reaction Information'!$P$29*10^5*Calculations!$C$14*(Calculations!$O15-Calculations!$C$8))</f>
        <v>#N/A</v>
      </c>
      <c r="AK15" s="8" t="e">
        <f>IF(ISBLANK(Input!$AM$4),NA(),'Reaction Information'!$E$33-'Reaction Information'!$G$33*(Calculations!$O15-Calculations!$C$8)-'Reaction Information'!$N$33*(Calculations!$O15*LN(Calculations!$O15/Calculations!$C$8)-Calculations!$O15+Calculations!$C$8)-'Reaction Information'!$O$33*10^4*(((1/(Calculations!$O15-Calculations!$C$13))-(1/(Calculations!$C$8-Calculations!$C$13)))*((Calculations!$C$13-Calculations!$O15)/(Calculations!$C$13))-(Calculations!$O15/(Calculations!$C$13*Calculations!$C$13))*LN((Calculations!$C$8*(Calculations!$O15-Calculations!$C$13))/(Calculations!$O15*(Calculations!$C$8-Calculations!$C$13))))+'Reaction Information'!$J$33*10^-1*(Calculations!$M15-Calculations!$C$9)+'Reaction Information'!$K$33*10^2*LN((Calculations!$C$12+Calculations!$M15)/(Calculations!$C$12+Calculations!$C$9))+(1/(Calculations!$O15-Calculations!$C$13))*('Reaction Information'!$L$33*(Calculations!$M15-Calculations!$C$9)+'Reaction Information'!$M$33*10^4*LN((Calculations!$C$12+Calculations!$M15)/(Calculations!$C$12+Calculations!$C$9)))+calculateOmega(Calculations!M15,Calculations!N15,Calculations!Q15,'Reaction Information'!$C$33,'Reaction Information'!$P$33*10^5,'Reaction Information'!$Q$33)*((1/Calculations!$S15)-1)-'Reaction Information'!$P$33*10^5*((1/Calculations!$C$10)-1)+'Reaction Information'!$P$33*10^5*Calculations!$C$14*(Calculations!$O15-Calculations!$C$8))</f>
        <v>#N/A</v>
      </c>
      <c r="AL15" s="1">
        <f>Results!S17</f>
        <v>0</v>
      </c>
      <c r="AM15" s="1">
        <f>Results!T17</f>
        <v>0</v>
      </c>
      <c r="AN15" s="1">
        <f>Results!U17</f>
        <v>0</v>
      </c>
      <c r="AO15" s="1">
        <f>Results!V17</f>
        <v>0</v>
      </c>
      <c r="AP15" s="8" t="e">
        <f>IF(ISBLANK(Input!$BB$4),NA(),'Reaction Information'!$E$38-'Reaction Information'!$G$38*(Calculations!$O15-Calculations!$C$8)+'Reaction Information'!$I$38*(Calculations!$O15-Calculations!$C$8-Calculations!$O15*LN(Calculations!$O15/Calculations!$C$8))+'Reaction Information'!$J$38*0.001/2*(2*Calculations!$O15*Calculations!$C$8-Calculations!$O15^2-Calculations!$C$8^2) + 'Reaction Information'!$K$38*100000*(Calculations!$O15^2 + Calculations!$C$8^2 - 2*Calculations!$O15*Calculations!$C$8)/(2*Calculations!$O15*Calculations!$C$8^2))</f>
        <v>#N/A</v>
      </c>
      <c r="AQ15" s="8" t="e">
        <f>IF(ISBLANK(Input!$BE$4),NA(),'Reaction Information'!$E$42-'Reaction Information'!$G$42*(Calculations!$O15-Calculations!$C$8)+'Reaction Information'!$I$42*(Calculations!$O15-Calculations!$C$8-Calculations!$O15*LN(Calculations!$O15/Calculations!$C$8))+'Reaction Information'!$J$42*0.001/2*(2*Calculations!$O15*Calculations!$C$8-Calculations!$O15^2-Calculations!$C$8^2) + 'Reaction Information'!$K$42*100000*(Calculations!$O15^2 + Calculations!$C$8^2 - 2*Calculations!$O15*Calculations!$C$8)/(2*Calculations!$O15*Calculations!$C$8^2))</f>
        <v>#N/A</v>
      </c>
      <c r="AR15" s="8" t="e">
        <f>IF(AR$5="H2O", IF($D$24=3,IF(T15=0,NA(),T15),calculateGibbsOfWater(M15,N15,$D$24,$D$20,$D$19=3)),NA())</f>
        <v>#N/A</v>
      </c>
      <c r="AS15" s="8">
        <f>IF(ISBLANK(Input!$BK$4),NA(),'Reaction Information'!$E$46-'Reaction Information'!$G$46*(Calculations!O15-Calculations!$C$8)-'Reaction Information'!$N$46*(Calculations!O15*LN(Calculations!O15/Calculations!$C$8)-Calculations!O15+Calculations!$C$8)-'Reaction Information'!$O$46*10^4*(((1/(Calculations!O15-Calculations!$C$13))-(1/(Calculations!$C$8-Calculations!$C$13)))*((Calculations!$C$13-Calculations!O15)/(Calculations!$C$13))-(Calculations!O15/(Calculations!$C$13*Calculations!$C$13))*LN((Calculations!$C$8*(Calculations!O15-Calculations!$C$13))/(Calculations!O15*(Calculations!$C$8-Calculations!$C$13))))+'Reaction Information'!$J$46*10^-1*(Calculations!$M15-Calculations!$C$9)+'Reaction Information'!$K$46*10^2*LN((Calculations!$C$12+Calculations!$M15)/(Calculations!$C$12+Calculations!$C$9))+(1/(Calculations!O15-Calculations!$C$13))*('Reaction Information'!$L$46*(Calculations!$M15-Calculations!$C$9)+'Reaction Information'!$M$46*10^4*LN((Calculations!$C$12+Calculations!$M15)/(Calculations!$C$12+Calculations!$C$9)))+calculateOmega(Calculations!M15,Calculations!N15,Calculations!Q15,'Reaction Information'!$C$46,'Reaction Information'!$P$46*10^5,'Reaction Information'!$Q$46)*((1/Calculations!S15)-1)-'Reaction Information'!$P$46*10^5*((1/Calculations!$C$10)-1)+'Reaction Information'!$P$46*10^5*Calculations!$C$14*(Calculations!O15-Calculations!$C$8))</f>
        <v>0</v>
      </c>
      <c r="AT15" s="8">
        <f>IF(ISBLANK(Input!$BN$4),NA(),'Reaction Information'!$E$50-'Reaction Information'!$G$50*(Calculations!O15-Calculations!$C$8)-'Reaction Information'!$N$50*(Calculations!O15*LN(Calculations!O15/Calculations!$C$8)-Calculations!O15+Calculations!$C$8)-'Reaction Information'!$O$50*10^4*(((1/(Calculations!O15-Calculations!$C$13))-(1/(Calculations!$C$8-Calculations!$C$13)))*((Calculations!$C$13-Calculations!O15)/(Calculations!$C$13))-(Calculations!O15/(Calculations!$C$13*Calculations!$C$13))*LN((Calculations!$C$8*(Calculations!O15-Calculations!$C$13))/(Calculations!O15*(Calculations!$C$8-Calculations!$C$13))))+'Reaction Information'!$J$50*10^-1*(Calculations!$M15-Calculations!$C$9)+'Reaction Information'!$K$50*10^2*LN((Calculations!$C$12+Calculations!$M15)/(Calculations!$C$12+Calculations!$C$9))+(1/(Calculations!O15-Calculations!$C$13))*('Reaction Information'!$L$50*(Calculations!$M15-Calculations!$C$9)+'Reaction Information'!$M$50*10^4*LN((Calculations!$C$12+Calculations!$M15)/(Calculations!$C$12+Calculations!$C$9)))+calculateOmega(Calculations!M15,Calculations!N15,Calculations!Q15,'Reaction Information'!$C$50,'Reaction Information'!$P$50*10^5,'Reaction Information'!$Q$50)*((1/Calculations!S15)-1)-'Reaction Information'!$P$50*10^5*((1/Calculations!$C$10)-1)+'Reaction Information'!$P$50*10^5*Calculations!$C$14*(Calculations!O15-Calculations!$C$8))</f>
        <v>-153191.25663115131</v>
      </c>
      <c r="AU15" s="8" t="e">
        <f>IF(ISBLANK(Input!$BQ$4),NA(),'Reaction Information'!$E$54-'Reaction Information'!$G$54*(Calculations!$O15-Calculations!$C$8)-'Reaction Information'!$N$54*(Calculations!$O15*LN(Calculations!$O15/Calculations!$C$8)-Calculations!$O15+Calculations!$C$8)-'Reaction Information'!$O$54*10^4*(((1/(Calculations!$O15-Calculations!$C$13))-(1/(Calculations!$C$8-Calculations!$C$13)))*((Calculations!$C$13-Calculations!$O15)/(Calculations!$C$13))-(Calculations!$O15/(Calculations!$C$13*Calculations!$C$13))*LN((Calculations!$C$8*(Calculations!$O15-Calculations!$C$13))/(Calculations!$O15*(Calculations!$C$8-Calculations!$C$13))))+'Reaction Information'!$J$54*10^-1*(Calculations!$M15-Calculations!$C$9)+'Reaction Information'!$K$54*10^2*LN((Calculations!$C$12+Calculations!$M15)/(Calculations!$C$12+Calculations!$C$9))+(1/(Calculations!$O15-Calculations!$C$13))*('Reaction Information'!$L$54*(Calculations!$M15-Calculations!$C$9)+'Reaction Information'!$M$54*10^4*LN((Calculations!$C$12+Calculations!$M15)/(Calculations!$C$12+Calculations!$C$9)))+calculateOmega(Calculations!M15,Calculations!N15,Calculations!Q15,'Reaction Information'!$C$54,'Reaction Information'!$P$54*10^5,'Reaction Information'!$Q$54)*((1/Calculations!$S15)-1)-'Reaction Information'!$P$54*10^5*((1/Calculations!$C$10)-1)+'Reaction Information'!$P$54*10^5*Calculations!$C$14*(Calculations!$O15-Calculations!$C$8))</f>
        <v>#N/A</v>
      </c>
      <c r="AV15" s="8" t="e">
        <f>IF(ISBLANK(Input!$BT$4),NA(),'Reaction Information'!$E$58-'Reaction Information'!$G$58*(Calculations!$O15-Calculations!$C$8)-'Reaction Information'!$N$58*(Calculations!$O15*LN(Calculations!$O15/Calculations!$C$8)-Calculations!$O15+Calculations!$C$8)-'Reaction Information'!$O$58*10^4*(((1/(Calculations!$O15-Calculations!$C$13))-(1/(Calculations!$C$8-Calculations!$C$13)))*((Calculations!$C$13-Calculations!$O15)/(Calculations!$C$13))-(Calculations!$O15/(Calculations!$C$13*Calculations!$C$13))*LN((Calculations!$C$8*(Calculations!$O15-Calculations!$C$13))/(Calculations!$O15*(Calculations!$C$8-Calculations!$C$13))))+'Reaction Information'!$J$58*10^-1*(Calculations!$M15-Calculations!$C$9)+'Reaction Information'!$K$58*10^2*LN((Calculations!$C$12+Calculations!$M15)/(Calculations!$C$12+Calculations!$C$9))+(1/(Calculations!$O15-Calculations!$C$13))*('Reaction Information'!$L$58*(Calculations!$M15-Calculations!$C$9)+'Reaction Information'!$M$58*10^4*LN((Calculations!$C$12+Calculations!$M15)/(Calculations!$C$12+Calculations!$C$9)))+calculateOmega(Calculations!M15,Calculations!N15,Calculations!Q15,'Reaction Information'!$C$58,'Reaction Information'!$P$58*10^5,'Reaction Information'!$Q$58)*((1/Calculations!$S15)-1)-'Reaction Information'!$P$58*10^5*((1/Calculations!$C$10)-1)+'Reaction Information'!$P$58*10^5*Calculations!$C$14*(Calculations!$O15-Calculations!$C$8))</f>
        <v>#N/A</v>
      </c>
      <c r="AW15" s="8" t="e">
        <f>IF(ISBLANK(Input!$BW$4),NA(),'Reaction Information'!$E$62-'Reaction Information'!$G$62*(Calculations!$O15-Calculations!$C$8)-'Reaction Information'!$N$62*(Calculations!$O15*LN(Calculations!$O15/Calculations!$C$8)-Calculations!$O15+Calculations!$C$8)-'Reaction Information'!$O$62*10^4*(((1/(Calculations!$O15-Calculations!$C$13))-(1/(Calculations!$C$8-Calculations!$C$13)))*((Calculations!$C$13-Calculations!$O15)/(Calculations!$C$13))-(Calculations!$O15/(Calculations!$C$13*Calculations!$C$13))*LN((Calculations!$C$8*(Calculations!$O15-Calculations!$C$13))/(Calculations!$O15*(Calculations!$C$8-Calculations!$C$13))))+'Reaction Information'!$J$62*10^-1*(Calculations!$M15-Calculations!$C$9)+'Reaction Information'!$K$62*10^2*LN((Calculations!$C$12+Calculations!$M15)/(Calculations!$C$12+Calculations!$C$9))+(1/(Calculations!$O15-Calculations!$C$13))*('Reaction Information'!$L$62*(Calculations!$M15-Calculations!$C$9)+'Reaction Information'!$M$62*10^4*LN((Calculations!$C$12+Calculations!$M15)/(Calculations!$C$12+Calculations!$C$9)))+calculateOmega(Calculations!M15,Calculations!N15,Calculations!Q15,'Reaction Information'!$C$62,'Reaction Information'!$P$62*10^5,'Reaction Information'!$Q$62)*((1/Calculations!$S15)-1)-'Reaction Information'!$P$62*10^5*((1/Calculations!$C$10)-1)+'Reaction Information'!$P$62*10^5*Calculations!$C$14*(Calculations!$O15-Calculations!$C$8))</f>
        <v>#N/A</v>
      </c>
      <c r="AX15" s="8" t="e">
        <f>IF(ISBLANK(Input!$BZ$4),NA(),'Reaction Information'!$E$66-'Reaction Information'!$G$66*(Calculations!$O15-Calculations!$C$8)-'Reaction Information'!$N$66*(Calculations!$O15*LN(Calculations!$O15/Calculations!$C$8)-Calculations!$O15+Calculations!$C$8)-'Reaction Information'!$O$66*10^4*(((1/(Calculations!$O15-Calculations!$C$13))-(1/(Calculations!$C$8-Calculations!$C$13)))*((Calculations!$C$13-Calculations!$O15)/(Calculations!$C$13))-(Calculations!$O15/(Calculations!$C$13*Calculations!$C$13))*LN((Calculations!$C$8*(Calculations!$O15-Calculations!$C$13))/(Calculations!$O15*(Calculations!$C$8-Calculations!$C$13))))+'Reaction Information'!$J$66*10^-1*(Calculations!$M15-Calculations!$C$9)+'Reaction Information'!$K$66*10^2*LN((Calculations!$C$12+Calculations!$M15)/(Calculations!$C$12+Calculations!$C$9))+(1/(Calculations!$O15-Calculations!$C$13))*('Reaction Information'!$L$66*(Calculations!$M15-Calculations!$C$9)+'Reaction Information'!$M$66*10^4*LN((Calculations!$C$12+Calculations!$M15)/(Calculations!$C$12+Calculations!$C$9)))+calculateOmega(Calculations!M15,Calculations!N15,Calculations!Q15,'Reaction Information'!$C$66,'Reaction Information'!$P$66*10^5,'Reaction Information'!$Q$66)*((1/Calculations!$S15)-1)-'Reaction Information'!$P$66*10^5*((1/Calculations!$C$10)-1)+'Reaction Information'!$P$66*10^5*Calculations!$C$14*(Calculations!$O15-Calculations!$C$8))</f>
        <v>#N/A</v>
      </c>
      <c r="AY15" s="31">
        <f>(AL15*Input!$AO$4+AM15*Input!$AR$4+AN15*Input!$AU$4+AO15*Input!$AX$4+IF(ISNA(AP15),0,AP15*Input!$BA$4)+IF(ISNA(AQ15),0,AQ15*Input!$BD$4)+IF(ISNA(AR15),0,AR15*Input!$BG$4)+IF(ISNA(AS15),0,AS15*Input!$BJ$4)+IF(ISNA(AT15),0,AT15*Input!$BM$4)+IF(ISNA(AU15),0,AU15*Input!$BP$4)+IF(ISNA(AV15),0,AV15*Input!$BS$4)+IF(ISNA(AW15),0,AW15*Input!$BV$4)+IF(ISNA(AX15),0,AX15*Input!$BY$4))-(Y15*Input!$B$4+Z15*Input!$E$4+AA15*Input!$H$4+AB15*Input!$K$4+IF(ISNA(AC15),0,AC15*Input!$N$4)+IF(ISNA(AD15),0,AD15*Input!$Q$4)+IF(ISNA(AE15),0,AE15*Input!$T$4)+IF(ISNA(AF15),0,AF15*Input!$W$4)+IF(ISNA(AG15),0,AG15*Input!$Z$4)+IF(ISNA(AH15),0,AH15*Input!$AC$4)+IF(ISNA(AI15),0,AI15*Input!$AF$4)+IF(ISNA(AJ15),0,AJ15*Input!$AI$4)+IF(ISNA(AK15),0,AK15*Input!$AL$4))</f>
        <v>44290.510345611227</v>
      </c>
      <c r="AZ15" s="42">
        <f t="shared" si="7"/>
        <v>-9.4668010336215147</v>
      </c>
      <c r="BA15" s="1">
        <f t="shared" si="8"/>
        <v>750</v>
      </c>
      <c r="BB15" s="46">
        <f t="shared" si="9"/>
        <v>5000</v>
      </c>
      <c r="BC15" s="1"/>
      <c r="BD15" s="2">
        <f t="shared" si="10"/>
        <v>5000</v>
      </c>
      <c r="BE15" s="46">
        <f t="shared" si="11"/>
        <v>750</v>
      </c>
      <c r="BF15" s="1">
        <f>Results!AJ17</f>
        <v>0</v>
      </c>
      <c r="BG15" s="1">
        <f>Results!AK17</f>
        <v>0</v>
      </c>
      <c r="BH15" s="1">
        <f>Results!AL17</f>
        <v>0</v>
      </c>
      <c r="BI15" s="1">
        <f>Results!AM17</f>
        <v>0</v>
      </c>
      <c r="BJ15" s="1" t="e">
        <f>IF(OR(ISNA('Reaction Information'!$D$5), $N15 = "", $D$27 = FALSE, 'Reaction Information'!$D$5 = ""), NA(), 24.465)</f>
        <v>#N/A</v>
      </c>
      <c r="BK15" s="1" t="e">
        <f>IF(OR(ISNA('Reaction Information'!$D$9), $N15 = "", $D$27 = FALSE, 'Reaction Information'!$D$9 = ""), NA(), 24.465)</f>
        <v>#N/A</v>
      </c>
      <c r="BL15" s="8">
        <f t="shared" si="0"/>
        <v>25.103884739692624</v>
      </c>
      <c r="BM15" s="8">
        <f>IF(OR(ISBLANK(Input!$X$4),$D$27=FALSE),NA(),('Reaction Information'!$J$13/10+'Reaction Information'!$K$13*100/(Calculations!$C$12+Calculations!$M15)+('Reaction Information'!$L$13+'Reaction Information'!$M$13*10^4/(Calculations!$C$12+Calculations!$M15))/(Calculations!$O15-Calculations!$C$13) -calculateOmega(Calculations!$M15,Calculations!$N15,Calculations!$Q15,'Reaction Information'!$C$13,'Reaction Information'!$P$13*10^5,'Reaction Information'!$Q$13)*Calculations!$U15*10^-6 + (1/$S15 - 1)*calculate_domegadP(Calculations!$M15,Calculations!$N15,Calculations!$Q15,'Reaction Information'!$C$13,'Reaction Information'!$P$13*10^5,'Reaction Information'!$Q$13,$D$20,$D$19=3))*41.84)</f>
        <v>52.173622769793901</v>
      </c>
      <c r="BN15" s="8" t="e">
        <f>IF(OR(ISBLANK(Input!$AA$4),$D$27=FALSE),NA(),('Reaction Information'!$J$17/10+'Reaction Information'!$K$17*100/(Calculations!$C$12+Calculations!$M15)+('Reaction Information'!$L$17+'Reaction Information'!$M$17*10000/(Calculations!$C$12+Calculations!$M15))/(Calculations!$O15-Calculations!$C$13)-calculateOmega(Calculations!M15,Calculations!N15,Calculations!Q15,'Reaction Information'!$C$17,'Reaction Information'!$P$17*10^5,'Reaction Information'!$Q$17)*Calculations!$U15*10^-6 + (1/$S15 - 1)*calculate_domegadP(Calculations!M15,Calculations!N15,Calculations!Q15,'Reaction Information'!$C$17,'Reaction Information'!$P$17*10^5,'Reaction Information'!$Q$17,$D$20,$D$19=3))*41.84)</f>
        <v>#N/A</v>
      </c>
      <c r="BO15" s="8" t="e">
        <f>IF(OR(ISBLANK(Input!$AD$4),$D$27=FALSE),NA(),('Reaction Information'!$J$21/10+'Reaction Information'!$K$21*100/(Calculations!$C$12+Calculations!$M15)+('Reaction Information'!$L$21+'Reaction Information'!$M$21*10000/(Calculations!$C$12+Calculations!$M15))/(Calculations!$O15-Calculations!$C$13)-calculateOmega(Calculations!M15,Calculations!N15,Calculations!Q15,'Reaction Information'!$C$21,'Reaction Information'!$P$21*10^5,'Reaction Information'!$Q$21)*Calculations!$U15*10^-6 + (1/$S15 - 1)*calculate_domegadP(Calculations!M15,Calculations!N15,Calculations!Q15,'Reaction Information'!$C$21,'Reaction Information'!$P$21*10^5,'Reaction Information'!$Q$21,$D$20,$D$19=3))*41.84)</f>
        <v>#N/A</v>
      </c>
      <c r="BP15" s="8" t="e">
        <f>IF(OR(ISBLANK(Input!$AG$4),$D$27=FALSE),NA(),('Reaction Information'!$J$25/10+'Reaction Information'!$K$25*100/(Calculations!$C$12+Calculations!$M15)+('Reaction Information'!$L$25+'Reaction Information'!$M$25*10000/(Calculations!$C$12+Calculations!$M15))/(Calculations!$O15-Calculations!$C$13)-calculateOmega(Calculations!M15,Calculations!N15,Calculations!Q15,'Reaction Information'!$C$25,'Reaction Information'!$P$25*10^5,'Reaction Information'!$Q$25)*Calculations!$U15*10^-6 + (1/$S15 - 1)*calculate_domegadP(Calculations!M15,Calculations!N15,Calculations!Q15,'Reaction Information'!$C$25,'Reaction Information'!$P$25*10^5,'Reaction Information'!$Q$25,$D$20,$D$19=3))*41.84)</f>
        <v>#N/A</v>
      </c>
      <c r="BQ15" s="8" t="e">
        <f>IF(OR(ISBLANK(Input!$AJ$4),$D$27=FALSE),NA(),('Reaction Information'!$J$29/10+'Reaction Information'!$K$29*100/(Calculations!$C$12+Calculations!$M15)+('Reaction Information'!$L$29+'Reaction Information'!$M$29*10000/(Calculations!$C$12+Calculations!$M15))/(Calculations!$O15-Calculations!$C$13)-calculateOmega(Calculations!M15,Calculations!N15,Calculations!Q15,'Reaction Information'!$C$29,'Reaction Information'!$P$29*10^5,'Reaction Information'!$Q$29)*Calculations!$U15*10^-6 + (1/$S15 - 1)*calculate_domegadP(Calculations!M15,Calculations!N15,Calculations!Q15,'Reaction Information'!$C$29,'Reaction Information'!$P$29*10^5,'Reaction Information'!$Q$29,$D$20,$D$19=3))*41.84)</f>
        <v>#N/A</v>
      </c>
      <c r="BR15" s="8" t="e">
        <f>IF(OR(ISBLANK(Input!$AM$4),$D$27=FALSE),NA(),('Reaction Information'!$J$33/10+'Reaction Information'!$K$33*100/(Calculations!$C$12+Calculations!$M15)+('Reaction Information'!$L$33+'Reaction Information'!$M$33*10000/(Calculations!$C$12+Calculations!$M15))/(Calculations!$O15-Calculations!$C$13)-calculateOmega(Calculations!M15,Calculations!N15,Calculations!Q15,'Reaction Information'!$C$33,'Reaction Information'!$P$33*10^5,'Reaction Information'!$Q$33)*Calculations!$U15*10^-6 + (1/$S15 - 1)*calculate_domegadP(Calculations!M15,Calculations!N15,Calculations!Q15,'Reaction Information'!$C$33,'Reaction Information'!$P$33*10^5,'Reaction Information'!$Q$33,$D$20,$D$19=3))*41.84)</f>
        <v>#N/A</v>
      </c>
      <c r="BS15" s="1">
        <f>Results!AW17</f>
        <v>0</v>
      </c>
      <c r="BT15" s="1">
        <f>Results!AX17</f>
        <v>0</v>
      </c>
      <c r="BU15" s="1">
        <f>Results!AY17</f>
        <v>0</v>
      </c>
      <c r="BV15" s="1">
        <f>Results!AZ17</f>
        <v>0</v>
      </c>
      <c r="BW15" s="1" t="e">
        <f>IF(OR(ISNA('Reaction Information'!$D$38), $N15 = "", $D$27 = FALSE, 'Reaction Information'!$D$38 = ""), NA(), 24.465)</f>
        <v>#N/A</v>
      </c>
      <c r="BX15" s="1" t="e">
        <f>IF(OR(ISNA('Reaction Information'!$D$42), $N15 = "", $D$27 = FALSE, 'Reaction Information'!$D$42 = ""), NA(), 24.465)</f>
        <v>#N/A</v>
      </c>
      <c r="BY15" s="8" t="e">
        <f t="shared" si="1"/>
        <v>#N/A</v>
      </c>
      <c r="BZ15" s="8">
        <f>IF(OR(ISBLANK(Input!$BK$4),$D$27=FALSE),NA(),('Reaction Information'!$J$46/10+'Reaction Information'!$K$46*100/(Calculations!$C$12+Calculations!$M15)+('Reaction Information'!$L$46+'Reaction Information'!$M$46*10000/(Calculations!$C$12+Calculations!$M15))/(Calculations!$O15-Calculations!$C$13)-calculateOmega(Calculations!M15,Calculations!N15,Calculations!Q15,'Reaction Information'!$C$46,'Reaction Information'!$P$46*10^5,'Reaction Information'!$Q$46)*Calculations!$U15*10^-6 + (1/$S15 - 1)*calculate_domegadP(Calculations!M15,Calculations!N15,Calculations!Q15,'Reaction Information'!$C$46,'Reaction Information'!$P$46*10^5,'Reaction Information'!$Q$46,$D$20,$D$19=3))*41.84)</f>
        <v>0</v>
      </c>
      <c r="CA15" s="8">
        <f>IF(OR(ISBLANK(Input!$BN$4),$D$27=FALSE),NA(),('Reaction Information'!$J$50/10+'Reaction Information'!$K$50*100/(Calculations!$C$12+Calculations!$M15)+('Reaction Information'!$L$50+'Reaction Information'!$M$50*10000/(Calculations!$C$12+Calculations!$M15))/(Calculations!$O15-Calculations!$C$13)-calculateOmega(Calculations!M15,Calculations!N15,Calculations!Q15,'Reaction Information'!$C$50,'Reaction Information'!$P$50*10^5,'Reaction Information'!$Q$50)*Calculations!$U15*10^-6 + (1/$S15 - 1)*calculate_domegadP(Calculations!M15,Calculations!N15,Calculations!Q15,'Reaction Information'!$C$50,'Reaction Information'!$P$50*10^5,'Reaction Information'!$Q$50,$D$20,$D$19=3))*41.84)</f>
        <v>-3.5831574369417744E-2</v>
      </c>
      <c r="CB15" s="8" t="e">
        <f>IF(OR(ISBLANK(Input!$BQ$4),$D$27=FALSE),NA(),('Reaction Information'!$J$54/10+'Reaction Information'!$K$54*100/(Calculations!$C$12+Calculations!$M15)+('Reaction Information'!$L$54+'Reaction Information'!$M$54*10000/(Calculations!$C$12+Calculations!$M15))/(Calculations!$O15-Calculations!$C$13)-calculateOmega(Calculations!M15,Calculations!N15,Calculations!Q15,'Reaction Information'!$C$54,'Reaction Information'!$P$54*10^5,'Reaction Information'!$Q$54)*Calculations!$U15*10^-6 + (1/$S15 - 1)*calculate_domegadP(Calculations!M15,Calculations!N15,Calculations!Q15,'Reaction Information'!$C$54,'Reaction Information'!$P$54*10^5,'Reaction Information'!$Q$54,$D$20,$D$19=3))*41.84)</f>
        <v>#N/A</v>
      </c>
      <c r="CC15" s="8" t="e">
        <f>IF(OR(ISBLANK(Input!$BT$4),$D$27=FALSE),NA(),('Reaction Information'!$J$58/10+'Reaction Information'!$K$58*100/(Calculations!$C$12+Calculations!$M15)+('Reaction Information'!$L$58+'Reaction Information'!$M$58*10000/(Calculations!$C$12+Calculations!$M15))/(Calculations!$O15-Calculations!$C$13)-calculateOmega(Calculations!M15,Calculations!N15,Calculations!Q15,'Reaction Information'!$C$58,'Reaction Information'!$P$58*10^5,'Reaction Information'!$Q$58)*Calculations!$U15*10^-6 + (1/$S15 - 1)*calculate_domegadP(Calculations!M15,Calculations!N15,Calculations!Q15,'Reaction Information'!$C$58,'Reaction Information'!$P$58*10^5,'Reaction Information'!$Q$58,$D$20,$D$19=3))*41.84)</f>
        <v>#N/A</v>
      </c>
      <c r="CD15" s="8" t="e">
        <f>IF(OR(ISBLANK(Input!$BW$4),$D$27=FALSE),NA(),('Reaction Information'!$J$62/10+'Reaction Information'!$K$62*100/(Calculations!$C$12+Calculations!$M15)+('Reaction Information'!$L$62+'Reaction Information'!$M$62*10000/(Calculations!$C$12+Calculations!$M15))/(Calculations!$O15-Calculations!$C$13)-calculateOmega(Calculations!M15,Calculations!N15,Calculations!Q15,'Reaction Information'!$C$62,'Reaction Information'!$P$62*10^5,'Reaction Information'!$Q$62)*Calculations!$U15*10^-6 + (1/$S15 - 1)*calculate_domegadP(Calculations!M15,Calculations!N15,Calculations!Q15,'Reaction Information'!$C$62,'Reaction Information'!$P$62*10^5,'Reaction Information'!$Q$62,$D$20,$D$19=3))*41.84)</f>
        <v>#N/A</v>
      </c>
      <c r="CE15" s="8" t="e">
        <f>IF(OR(ISBLANK(Input!$BZ$4),$D$27=FALSE),NA(),('Reaction Information'!$J$66/10+'Reaction Information'!$K$66*100/(Calculations!$C$12+Calculations!$M15)+('Reaction Information'!$L$66+'Reaction Information'!$M$66*10000/(Calculations!$C$12+Calculations!$M15))/(Calculations!$O15-Calculations!$C$13)-calculateOmega(Calculations!M15,Calculations!N15,Calculations!Q15,'Reaction Information'!$C$66,'Reaction Information'!$P$66*10^5,'Reaction Information'!$Q$66)*Calculations!$U15*10^-6 + (1/$S15 - 1)*calculate_domegadP(Calculations!M15,Calculations!N15,Calculations!Q15,'Reaction Information'!$C$66,'Reaction Information'!$P$66*10^5,'Reaction Information'!$Q$66,$D$20,$D$19=3))*41.84)</f>
        <v>#N/A</v>
      </c>
      <c r="CF15" s="31">
        <f>(BS15*Input!$AO$4+BT15*Input!$AR$4+BU15*Input!$AU$4+BV15*Input!$AX$4+IF(ISNA(BW15),0,BW15*Input!$BA$4)+IF(ISNA(BX15),0,BX15*Input!$BD$4)+IF(ISNA(BY15),0,BY15*Input!$BG$4)+IF(ISNA(BZ15),0,BZ15*Input!$BJ$4)+IF(ISNA(CA15),0,CA15*Input!$BM$4)+IF(ISNA(CB15),0,CB15*Input!$BP$4)+IF(ISNA(CC15),0,CC15*Input!$BS$4)+IF(ISNA(CD15),0,CD15*Input!$BV$4)+IF(ISNA(CE15),0,CE15*Input!$BY$4))-(BF15*Input!$B$4+BG15*Input!$E$4+BH15*Input!$H$4+BI15*Input!$K$4+IF(ISNA(BJ15),0,BJ15*Input!$N$4)+IF(ISNA(BK15),0,BK15*Input!$Q$4)+IF(ISNA(BL15),0,BL15*Input!$T$4)+IF(ISNA(BM15),0,BM15*Input!$W$4)+IF(ISNA(BN15),0,BN15*Input!$Z$4)+IF(ISNA(BO15),0,BO15*Input!$AC$4)+IF(ISNA(BP15),0,BP15*Input!$AF$4)+IF(ISNA(BQ15),0,BQ15*Input!$AI$4)+IF(ISNA(BR15),0,BR15*Input!$AL$4))</f>
        <v>-77.313339083855936</v>
      </c>
      <c r="CG15" s="1">
        <f t="shared" si="12"/>
        <v>750</v>
      </c>
      <c r="CH15" s="46">
        <f t="shared" si="13"/>
        <v>5000</v>
      </c>
      <c r="CI15" s="1"/>
    </row>
    <row r="16" spans="1:87" ht="15" customHeight="1" x14ac:dyDescent="0.2">
      <c r="A16" s="1"/>
      <c r="B16" s="1"/>
      <c r="C16" s="107"/>
      <c r="D16" s="1"/>
      <c r="E16" s="1"/>
      <c r="F16" s="2">
        <v>11</v>
      </c>
      <c r="G16" s="1" t="str">
        <f>IF(ISBLANK(Input!CB16), "", Input!CB16*1000)</f>
        <v/>
      </c>
      <c r="H16" s="1" t="str">
        <f>IF(ISBLANK(Input!CC16), "", Input!CC16)</f>
        <v/>
      </c>
      <c r="I16" s="1">
        <f>IF(Input!$CF$5 + Input!$CF$6*(FLOOR((Calculations!$F16-1)/(FLOOR((Input!$CF$12-Input!$CF$10)/Input!$CF$11,1)+1),1)) &gt; Input!$CF$7, "", (Input!$CF$5 + Input!$CF$6*(FLOOR((Calculations!$F16-1)/(FLOOR((Input!$CF$12-Input!$CF$10)/Input!$CF$11,1)+1),1)))*1000)</f>
        <v>5000</v>
      </c>
      <c r="J16" s="1">
        <f>IF(Calculations!I16 = "", "", Input!$CF$10 + Input!$CF$11*(Calculations!$F16-1) - (FLOOR((Input!$CF$12-Input!$CF$10)/Input!$CF$11,1)+1)*Input!$CF$11*FLOOR((Calculations!$F16-1)/(FLOOR((Input!$CF$12-Input!$CF$10)/Input!$CF$11,1)+1),1))</f>
        <v>800</v>
      </c>
      <c r="K16" s="8">
        <f t="shared" si="14"/>
        <v>39.905090163529145</v>
      </c>
      <c r="L16" s="117">
        <f>IF(OR(Input!$CJ$5 + Input!$CJ$6*(Calculations!F16-1) &gt; Input!$CJ$7, Input!$CJ$5 + Input!$CJ$6*(Calculations!F16-1) &gt; 350), "", Input!$CJ$5 + Input!$CJ$6*(Calculations!F16-1))</f>
        <v>250</v>
      </c>
      <c r="M16" s="1">
        <f t="shared" si="2"/>
        <v>5000</v>
      </c>
      <c r="N16" s="1">
        <f t="shared" si="3"/>
        <v>800</v>
      </c>
      <c r="O16" s="1">
        <f t="shared" si="4"/>
        <v>1073.1500000000001</v>
      </c>
      <c r="P16" s="1" t="e">
        <f>IF(OR($D$20=3,AND($D$21=TRUE,M16&lt;1000)),INDEX('Water Density'!$C$6:$CX$120,MATCH(Calculations!N16,'Water Density'!$B$6:$B$120),MATCH(Calculations!M16/1000,'Water Density'!$C$5:$CX$5)),NA())</f>
        <v>#N/A</v>
      </c>
      <c r="Q16" s="182">
        <f>IF(OR($D$20=3,AND($D$21=TRUE,M16&lt;1000)), IF(P16&lt;&gt;0,P16,NA()), calculateDensity(M16,N16,$D$20,0.01,$D$19 = 3))</f>
        <v>0.69100865124702471</v>
      </c>
      <c r="R16" s="1" t="e">
        <f>IF($D$22=5,INDEX('Dielectric Constant'!$C$6:$CX$120,MATCH(Calculations!N16,'Dielectric Constant'!$B$6:$B$120),MATCH(Calculations!M16/1000,'Dielectric Constant'!$C$5:$CX$5)),NA())</f>
        <v>#N/A</v>
      </c>
      <c r="S16" s="58">
        <f>IF($D$22=5, IF(R16&lt;&gt;0,R16,NA()), IF(AND($D$23,M16&lt;=5000,$D$19 &lt;&gt; 3),calculateEpsilon(Q16,N16,1,FALSE),calculateEpsilon(Q16,N16,$D$22,$D$19 = 3)))</f>
        <v>9.1651765617395675</v>
      </c>
      <c r="T16" s="1" t="e">
        <f>IF($D$24=3,INDEX('Water Free Energy'!$C$6:$CX$120,MATCH(Calculations!N16,'Water Free Energy'!$B$6:$B$120),MATCH(Calculations!M16/1000,'Water Free Energy'!$C$5:$CX$5)),NA())</f>
        <v>#N/A</v>
      </c>
      <c r="U16" s="179">
        <f>IF($D$27,calculateQ(M16,N16,Q16,$D$20,$D$22,$D$19=3)*10^6,NA())</f>
        <v>7.8027735813445886</v>
      </c>
      <c r="V16"/>
      <c r="W16" s="2">
        <f t="shared" si="5"/>
        <v>5000</v>
      </c>
      <c r="X16" s="1">
        <f t="shared" si="6"/>
        <v>800</v>
      </c>
      <c r="Y16" s="1">
        <f>Results!F18</f>
        <v>0</v>
      </c>
      <c r="Z16" s="1">
        <f>Results!G18</f>
        <v>0</v>
      </c>
      <c r="AA16" s="1">
        <f>Results!H18</f>
        <v>0</v>
      </c>
      <c r="AB16" s="1">
        <f>Results!I18</f>
        <v>0</v>
      </c>
      <c r="AC16" s="1" t="e">
        <f>IF(ISBLANK(Input!$O$4),NA(),'Reaction Information'!$E$5-'Reaction Information'!$G$5*(Calculations!$O16-Calculations!$C$8)+'Reaction Information'!$I$5*(Calculations!$O16-Calculations!$C$8-Calculations!$O16*LN(Calculations!$O16/Calculations!$C$8))+'Reaction Information'!$J$5*0.001/2*(2*Calculations!$O16*Calculations!$C$8-Calculations!$O16^2-Calculations!$C$8^2) + 'Reaction Information'!$K$5*100000*(Calculations!$O16^2 + Calculations!$C$8^2 - 2*Calculations!$O16*Calculations!$C$8)/(2*Calculations!$O16*Calculations!$C$8^2))</f>
        <v>#N/A</v>
      </c>
      <c r="AD16" s="8" t="e">
        <f>IF(ISBLANK(Input!$R$4),NA(),'Reaction Information'!$E$9-'Reaction Information'!$G$9*(Calculations!$O16-Calculations!$C$8)+'Reaction Information'!$I$9*(Calculations!$O16-Calculations!$C$8-Calculations!$O16*LN(Calculations!$O16/Calculations!$C$8))+'Reaction Information'!$J$9*0.001/2*(2*Calculations!$O16*Calculations!$C$8-Calculations!$O16^2-Calculations!$C$8^2) + 'Reaction Information'!$K$9*100000*(Calculations!$O16^2 + Calculations!$C$8^2 - 2*Calculations!$O16*Calculations!$C$8)/(2*Calculations!$O16*Calculations!$C$8^2))</f>
        <v>#N/A</v>
      </c>
      <c r="AE16" s="8">
        <f>IF(AE$5="H2O",IF($D$24=3,IF(T16=0,NA(),T16),calculateGibbsOfWater(M16,N16,$D$24,$D$20,$D$19=3)),NA())</f>
        <v>-76684.535803328094</v>
      </c>
      <c r="AF16" s="8">
        <f>IF(ISBLANK(Input!$X$4),NA(),'Reaction Information'!$E$13-'Reaction Information'!$G$13*(Calculations!O16-Calculations!$C$8)-'Reaction Information'!$N$13*(Calculations!O16*LN(Calculations!O16/Calculations!$C$8)-Calculations!O16+Calculations!$C$8)-'Reaction Information'!$O$13*10^4*(((1/(Calculations!O16-Calculations!$C$13))-(1/(Calculations!$C$8-Calculations!$C$13)))*((Calculations!$C$13-Calculations!O16)/(Calculations!$C$13))-(Calculations!O16/(Calculations!$C$13*Calculations!$C$13))*LN((Calculations!$C$8*(Calculations!O16-Calculations!$C$13))/(Calculations!O16*(Calculations!$C$8-Calculations!$C$13))))+'Reaction Information'!$J$13*10^-1*(Calculations!M16-Calculations!$C$9)+'Reaction Information'!$K$13*10^2*LN((Calculations!$C$12+Calculations!M16)/(Calculations!$C$12+Calculations!$C$9))+(1/(Calculations!O16-Calculations!$C$13))*('Reaction Information'!$L$13*(Calculations!M16-Calculations!$C$9)+'Reaction Information'!$M$13*10^4*LN((Calculations!$C$12+Calculations!M16)/(Calculations!$C$12+Calculations!$C$9)))+calculateOmega(Calculations!M16,Calculations!N16,Calculations!Q16,'Reaction Information'!$C$13,'Reaction Information'!$P$13*10^5,'Reaction Information'!$Q$13)*((1/Calculations!S16)-1)-'Reaction Information'!$P$13*10^5*((1/Calculations!$C$10)-1)+'Reaction Information'!$P$13*10^5*Calculations!$C$14*(Calculations!O16-Calculations!$C$8))</f>
        <v>-125657.71813567133</v>
      </c>
      <c r="AG16" s="8" t="e">
        <f>IF(ISBLANK(Input!$AA$4),NA(),'Reaction Information'!$E$17-'Reaction Information'!$G$17*(Calculations!$O16-Calculations!$C$8)-'Reaction Information'!$N$17*(Calculations!$O16*LN(Calculations!$O16/Calculations!$C$8)-Calculations!$O16+Calculations!$C$8)-'Reaction Information'!$O$17*10^4*(((1/(Calculations!$O16-Calculations!$C$13))-(1/(Calculations!$C$8-Calculations!$C$13)))*((Calculations!$C$13-Calculations!$O16)/(Calculations!$C$13))-(Calculations!$O16/(Calculations!$C$13*Calculations!$C$13))*LN((Calculations!$C$8*(Calculations!$O16-Calculations!$C$13))/(Calculations!$O16*(Calculations!$C$8-Calculations!$C$13))))+'Reaction Information'!$J$17*10^-1*(Calculations!$M16-Calculations!$C$9)+'Reaction Information'!$K$17*10^2*LN((Calculations!$C$12+Calculations!$M16)/(Calculations!$C$12+Calculations!$C$9))+(1/(Calculations!$O16-Calculations!$C$13))*('Reaction Information'!$L$17*(Calculations!$M16-Calculations!$C$9)+'Reaction Information'!$M$17*10^4*LN((Calculations!$C$12+Calculations!$M16)/(Calculations!$C$12+Calculations!$C$9)))+calculateOmega(Calculations!M16,Calculations!N16,Calculations!Q16,'Reaction Information'!$C$17,'Reaction Information'!$P$17*10^5,'Reaction Information'!$Q$17)*((1/Calculations!$S16)-1)-'Reaction Information'!$P$17*10^5*((1/Calculations!$C$10)-1)+'Reaction Information'!$P$17*10^5*Calculations!$C$14*(Calculations!$O16-Calculations!$C$8))</f>
        <v>#N/A</v>
      </c>
      <c r="AH16" s="8" t="e">
        <f>IF(ISBLANK(Input!$AD$4),NA(),'Reaction Information'!$E$21-'Reaction Information'!$G$21*(Calculations!$O16-Calculations!$C$8)-'Reaction Information'!$N$21*(Calculations!$O16*LN(Calculations!$O16/Calculations!$C$8)-Calculations!$O16+Calculations!$C$8)-'Reaction Information'!$O$21*10^4*(((1/(Calculations!$O16-Calculations!$C$13))-(1/(Calculations!$C$8-Calculations!$C$13)))*((Calculations!$C$13-Calculations!$O16)/(Calculations!$C$13))-(Calculations!$O16/(Calculations!$C$13*Calculations!$C$13))*LN((Calculations!$C$8*(Calculations!$O16-Calculations!$C$13))/(Calculations!$O16*(Calculations!$C$8-Calculations!$C$13))))+'Reaction Information'!$J$21*10^-1*(Calculations!$M16-Calculations!$C$9)+'Reaction Information'!$K$21*10^2*LN((Calculations!$C$12+Calculations!$M16)/(Calculations!$C$12+Calculations!$C$9))+(1/(Calculations!$O16-Calculations!$C$13))*('Reaction Information'!$L$21*(Calculations!$M16-Calculations!$C$9)+'Reaction Information'!$M$21*10^4*LN((Calculations!$C$12+Calculations!$M16)/(Calculations!$C$12+Calculations!$C$9)))+calculateOmega(Calculations!M16,Calculations!N16,Calculations!Q16,'Reaction Information'!$C$21,'Reaction Information'!$P$21*10^5,'Reaction Information'!$Q$21)*((1/Calculations!$S16)-1)-'Reaction Information'!$P$21*10^5*((1/Calculations!$C$10)-1)+'Reaction Information'!$P$21*10^5*Calculations!$C$14*(Calculations!$O16-Calculations!$C$8))</f>
        <v>#N/A</v>
      </c>
      <c r="AI16" s="8" t="e">
        <f>IF(ISBLANK(Input!$AG$4),NA(),'Reaction Information'!$E$25-'Reaction Information'!$G$25*(Calculations!$O16-Calculations!$C$8)-'Reaction Information'!$N$25*(Calculations!$O16*LN(Calculations!$O16/Calculations!$C$8)-Calculations!$O16+Calculations!$C$8)-'Reaction Information'!$O$25*10^4*(((1/(Calculations!$O16-Calculations!$C$13))-(1/(Calculations!$C$8-Calculations!$C$13)))*((Calculations!$C$13-Calculations!$O16)/(Calculations!$C$13))-(Calculations!$O16/(Calculations!$C$13*Calculations!$C$13))*LN((Calculations!$C$8*(Calculations!$O16-Calculations!$C$13))/(Calculations!$O16*(Calculations!$C$8-Calculations!$C$13))))+'Reaction Information'!$J$25*10^-1*(Calculations!$M16-Calculations!$C$9)+'Reaction Information'!$K$25*10^2*LN((Calculations!$C$12+Calculations!$M16)/(Calculations!$C$12+Calculations!$C$9))+(1/(Calculations!$O16-Calculations!$C$13))*('Reaction Information'!$L$25*(Calculations!$M16-Calculations!$C$9)+'Reaction Information'!$M$25*10^4*LN((Calculations!$C$12+Calculations!$M16)/(Calculations!$C$12+Calculations!$C$9)))+calculateOmega(Calculations!M16,Calculations!N16,Calculations!Q16,'Reaction Information'!$C$25,'Reaction Information'!$P$25*10^5,'Reaction Information'!$Q$25)*((1/Calculations!$S16)-1)-'Reaction Information'!$P$25*10^5*((1/Calculations!$C$10)-1)+'Reaction Information'!$P$25*10^5*Calculations!$C$14*(Calculations!$O16-Calculations!$C$8))</f>
        <v>#N/A</v>
      </c>
      <c r="AJ16" s="8" t="e">
        <f>IF(ISBLANK(Input!$AJ$4),NA(),'Reaction Information'!$E$29-'Reaction Information'!$G$29*(Calculations!$O16-Calculations!$C$8)-'Reaction Information'!$N$29*(Calculations!$O16*LN(Calculations!$O16/Calculations!$C$8)-Calculations!$O16+Calculations!$C$8)-'Reaction Information'!$O$29*10^4*(((1/(Calculations!$O16-Calculations!$C$13))-(1/(Calculations!$C$8-Calculations!$C$13)))*((Calculations!$C$13-Calculations!$O16)/(Calculations!$C$13))-(Calculations!$O16/(Calculations!$C$13*Calculations!$C$13))*LN((Calculations!$C$8*(Calculations!$O16-Calculations!$C$13))/(Calculations!$O16*(Calculations!$C$8-Calculations!$C$13))))+'Reaction Information'!$J$29*10^-1*(Calculations!$M16-Calculations!$C$9)+'Reaction Information'!$K$29*10^2*LN((Calculations!$C$12+Calculations!$M16)/(Calculations!$C$12+Calculations!$C$9))+(1/(Calculations!$O16-Calculations!$C$13))*('Reaction Information'!$L$29*(Calculations!$M16-Calculations!$C$9)+'Reaction Information'!$M$29*10^4*LN((Calculations!$C$12+Calculations!$M16)/(Calculations!$C$12+Calculations!$C$9)))+calculateOmega(Calculations!M16,Calculations!N16,Calculations!Q16,'Reaction Information'!$C$29,'Reaction Information'!$P$29*10^5,'Reaction Information'!$Q$29)*((1/Calculations!$S16)-1)-'Reaction Information'!$P$29*10^5*((1/Calculations!$C$10)-1)+'Reaction Information'!$P$29*10^5*Calculations!$C$14*(Calculations!$O16-Calculations!$C$8))</f>
        <v>#N/A</v>
      </c>
      <c r="AK16" s="8" t="e">
        <f>IF(ISBLANK(Input!$AM$4),NA(),'Reaction Information'!$E$33-'Reaction Information'!$G$33*(Calculations!$O16-Calculations!$C$8)-'Reaction Information'!$N$33*(Calculations!$O16*LN(Calculations!$O16/Calculations!$C$8)-Calculations!$O16+Calculations!$C$8)-'Reaction Information'!$O$33*10^4*(((1/(Calculations!$O16-Calculations!$C$13))-(1/(Calculations!$C$8-Calculations!$C$13)))*((Calculations!$C$13-Calculations!$O16)/(Calculations!$C$13))-(Calculations!$O16/(Calculations!$C$13*Calculations!$C$13))*LN((Calculations!$C$8*(Calculations!$O16-Calculations!$C$13))/(Calculations!$O16*(Calculations!$C$8-Calculations!$C$13))))+'Reaction Information'!$J$33*10^-1*(Calculations!$M16-Calculations!$C$9)+'Reaction Information'!$K$33*10^2*LN((Calculations!$C$12+Calculations!$M16)/(Calculations!$C$12+Calculations!$C$9))+(1/(Calculations!$O16-Calculations!$C$13))*('Reaction Information'!$L$33*(Calculations!$M16-Calculations!$C$9)+'Reaction Information'!$M$33*10^4*LN((Calculations!$C$12+Calculations!$M16)/(Calculations!$C$12+Calculations!$C$9)))+calculateOmega(Calculations!M16,Calculations!N16,Calculations!Q16,'Reaction Information'!$C$33,'Reaction Information'!$P$33*10^5,'Reaction Information'!$Q$33)*((1/Calculations!$S16)-1)-'Reaction Information'!$P$33*10^5*((1/Calculations!$C$10)-1)+'Reaction Information'!$P$33*10^5*Calculations!$C$14*(Calculations!$O16-Calculations!$C$8))</f>
        <v>#N/A</v>
      </c>
      <c r="AL16" s="1">
        <f>Results!S18</f>
        <v>0</v>
      </c>
      <c r="AM16" s="1">
        <f>Results!T18</f>
        <v>0</v>
      </c>
      <c r="AN16" s="1">
        <f>Results!U18</f>
        <v>0</v>
      </c>
      <c r="AO16" s="1">
        <f>Results!V18</f>
        <v>0</v>
      </c>
      <c r="AP16" s="8" t="e">
        <f>IF(ISBLANK(Input!$BB$4),NA(),'Reaction Information'!$E$38-'Reaction Information'!$G$38*(Calculations!$O16-Calculations!$C$8)+'Reaction Information'!$I$38*(Calculations!$O16-Calculations!$C$8-Calculations!$O16*LN(Calculations!$O16/Calculations!$C$8))+'Reaction Information'!$J$38*0.001/2*(2*Calculations!$O16*Calculations!$C$8-Calculations!$O16^2-Calculations!$C$8^2) + 'Reaction Information'!$K$38*100000*(Calculations!$O16^2 + Calculations!$C$8^2 - 2*Calculations!$O16*Calculations!$C$8)/(2*Calculations!$O16*Calculations!$C$8^2))</f>
        <v>#N/A</v>
      </c>
      <c r="AQ16" s="8" t="e">
        <f>IF(ISBLANK(Input!$BE$4),NA(),'Reaction Information'!$E$42-'Reaction Information'!$G$42*(Calculations!$O16-Calculations!$C$8)+'Reaction Information'!$I$42*(Calculations!$O16-Calculations!$C$8-Calculations!$O16*LN(Calculations!$O16/Calculations!$C$8))+'Reaction Information'!$J$42*0.001/2*(2*Calculations!$O16*Calculations!$C$8-Calculations!$O16^2-Calculations!$C$8^2) + 'Reaction Information'!$K$42*100000*(Calculations!$O16^2 + Calculations!$C$8^2 - 2*Calculations!$O16*Calculations!$C$8)/(2*Calculations!$O16*Calculations!$C$8^2))</f>
        <v>#N/A</v>
      </c>
      <c r="AR16" s="8" t="e">
        <f>IF(AR$5="H2O", IF($D$24=3,IF(T16=0,NA(),T16),calculateGibbsOfWater(M16,N16,$D$24,$D$20,$D$19=3)),NA())</f>
        <v>#N/A</v>
      </c>
      <c r="AS16" s="8">
        <f>IF(ISBLANK(Input!$BK$4),NA(),'Reaction Information'!$E$46-'Reaction Information'!$G$46*(Calculations!O16-Calculations!$C$8)-'Reaction Information'!$N$46*(Calculations!O16*LN(Calculations!O16/Calculations!$C$8)-Calculations!O16+Calculations!$C$8)-'Reaction Information'!$O$46*10^4*(((1/(Calculations!O16-Calculations!$C$13))-(1/(Calculations!$C$8-Calculations!$C$13)))*((Calculations!$C$13-Calculations!O16)/(Calculations!$C$13))-(Calculations!O16/(Calculations!$C$13*Calculations!$C$13))*LN((Calculations!$C$8*(Calculations!O16-Calculations!$C$13))/(Calculations!O16*(Calculations!$C$8-Calculations!$C$13))))+'Reaction Information'!$J$46*10^-1*(Calculations!$M16-Calculations!$C$9)+'Reaction Information'!$K$46*10^2*LN((Calculations!$C$12+Calculations!$M16)/(Calculations!$C$12+Calculations!$C$9))+(1/(Calculations!O16-Calculations!$C$13))*('Reaction Information'!$L$46*(Calculations!$M16-Calculations!$C$9)+'Reaction Information'!$M$46*10^4*LN((Calculations!$C$12+Calculations!$M16)/(Calculations!$C$12+Calculations!$C$9)))+calculateOmega(Calculations!M16,Calculations!N16,Calculations!Q16,'Reaction Information'!$C$46,'Reaction Information'!$P$46*10^5,'Reaction Information'!$Q$46)*((1/Calculations!S16)-1)-'Reaction Information'!$P$46*10^5*((1/Calculations!$C$10)-1)+'Reaction Information'!$P$46*10^5*Calculations!$C$14*(Calculations!O16-Calculations!$C$8))</f>
        <v>0</v>
      </c>
      <c r="AT16" s="8">
        <f>IF(ISBLANK(Input!$BN$4),NA(),'Reaction Information'!$E$50-'Reaction Information'!$G$50*(Calculations!O16-Calculations!$C$8)-'Reaction Information'!$N$50*(Calculations!O16*LN(Calculations!O16/Calculations!$C$8)-Calculations!O16+Calculations!$C$8)-'Reaction Information'!$O$50*10^4*(((1/(Calculations!O16-Calculations!$C$13))-(1/(Calculations!$C$8-Calculations!$C$13)))*((Calculations!$C$13-Calculations!O16)/(Calculations!$C$13))-(Calculations!O16/(Calculations!$C$13*Calculations!$C$13))*LN((Calculations!$C$8*(Calculations!O16-Calculations!$C$13))/(Calculations!O16*(Calculations!$C$8-Calculations!$C$13))))+'Reaction Information'!$J$50*10^-1*(Calculations!$M16-Calculations!$C$9)+'Reaction Information'!$K$50*10^2*LN((Calculations!$C$12+Calculations!$M16)/(Calculations!$C$12+Calculations!$C$9))+(1/(Calculations!O16-Calculations!$C$13))*('Reaction Information'!$L$50*(Calculations!$M16-Calculations!$C$9)+'Reaction Information'!$M$50*10^4*LN((Calculations!$C$12+Calculations!$M16)/(Calculations!$C$12+Calculations!$C$9)))+calculateOmega(Calculations!M16,Calculations!N16,Calculations!Q16,'Reaction Information'!$C$50,'Reaction Information'!$P$50*10^5,'Reaction Information'!$Q$50)*((1/Calculations!S16)-1)-'Reaction Information'!$P$50*10^5*((1/Calculations!$C$10)-1)+'Reaction Information'!$P$50*10^5*Calculations!$C$14*(Calculations!O16-Calculations!$C$8))</f>
        <v>-153877.51409687131</v>
      </c>
      <c r="AU16" s="8" t="e">
        <f>IF(ISBLANK(Input!$BQ$4),NA(),'Reaction Information'!$E$54-'Reaction Information'!$G$54*(Calculations!$O16-Calculations!$C$8)-'Reaction Information'!$N$54*(Calculations!$O16*LN(Calculations!$O16/Calculations!$C$8)-Calculations!$O16+Calculations!$C$8)-'Reaction Information'!$O$54*10^4*(((1/(Calculations!$O16-Calculations!$C$13))-(1/(Calculations!$C$8-Calculations!$C$13)))*((Calculations!$C$13-Calculations!$O16)/(Calculations!$C$13))-(Calculations!$O16/(Calculations!$C$13*Calculations!$C$13))*LN((Calculations!$C$8*(Calculations!$O16-Calculations!$C$13))/(Calculations!$O16*(Calculations!$C$8-Calculations!$C$13))))+'Reaction Information'!$J$54*10^-1*(Calculations!$M16-Calculations!$C$9)+'Reaction Information'!$K$54*10^2*LN((Calculations!$C$12+Calculations!$M16)/(Calculations!$C$12+Calculations!$C$9))+(1/(Calculations!$O16-Calculations!$C$13))*('Reaction Information'!$L$54*(Calculations!$M16-Calculations!$C$9)+'Reaction Information'!$M$54*10^4*LN((Calculations!$C$12+Calculations!$M16)/(Calculations!$C$12+Calculations!$C$9)))+calculateOmega(Calculations!M16,Calculations!N16,Calculations!Q16,'Reaction Information'!$C$54,'Reaction Information'!$P$54*10^5,'Reaction Information'!$Q$54)*((1/Calculations!$S16)-1)-'Reaction Information'!$P$54*10^5*((1/Calculations!$C$10)-1)+'Reaction Information'!$P$54*10^5*Calculations!$C$14*(Calculations!$O16-Calculations!$C$8))</f>
        <v>#N/A</v>
      </c>
      <c r="AV16" s="8" t="e">
        <f>IF(ISBLANK(Input!$BT$4),NA(),'Reaction Information'!$E$58-'Reaction Information'!$G$58*(Calculations!$O16-Calculations!$C$8)-'Reaction Information'!$N$58*(Calculations!$O16*LN(Calculations!$O16/Calculations!$C$8)-Calculations!$O16+Calculations!$C$8)-'Reaction Information'!$O$58*10^4*(((1/(Calculations!$O16-Calculations!$C$13))-(1/(Calculations!$C$8-Calculations!$C$13)))*((Calculations!$C$13-Calculations!$O16)/(Calculations!$C$13))-(Calculations!$O16/(Calculations!$C$13*Calculations!$C$13))*LN((Calculations!$C$8*(Calculations!$O16-Calculations!$C$13))/(Calculations!$O16*(Calculations!$C$8-Calculations!$C$13))))+'Reaction Information'!$J$58*10^-1*(Calculations!$M16-Calculations!$C$9)+'Reaction Information'!$K$58*10^2*LN((Calculations!$C$12+Calculations!$M16)/(Calculations!$C$12+Calculations!$C$9))+(1/(Calculations!$O16-Calculations!$C$13))*('Reaction Information'!$L$58*(Calculations!$M16-Calculations!$C$9)+'Reaction Information'!$M$58*10^4*LN((Calculations!$C$12+Calculations!$M16)/(Calculations!$C$12+Calculations!$C$9)))+calculateOmega(Calculations!M16,Calculations!N16,Calculations!Q16,'Reaction Information'!$C$58,'Reaction Information'!$P$58*10^5,'Reaction Information'!$Q$58)*((1/Calculations!$S16)-1)-'Reaction Information'!$P$58*10^5*((1/Calculations!$C$10)-1)+'Reaction Information'!$P$58*10^5*Calculations!$C$14*(Calculations!$O16-Calculations!$C$8))</f>
        <v>#N/A</v>
      </c>
      <c r="AW16" s="8" t="e">
        <f>IF(ISBLANK(Input!$BW$4),NA(),'Reaction Information'!$E$62-'Reaction Information'!$G$62*(Calculations!$O16-Calculations!$C$8)-'Reaction Information'!$N$62*(Calculations!$O16*LN(Calculations!$O16/Calculations!$C$8)-Calculations!$O16+Calculations!$C$8)-'Reaction Information'!$O$62*10^4*(((1/(Calculations!$O16-Calculations!$C$13))-(1/(Calculations!$C$8-Calculations!$C$13)))*((Calculations!$C$13-Calculations!$O16)/(Calculations!$C$13))-(Calculations!$O16/(Calculations!$C$13*Calculations!$C$13))*LN((Calculations!$C$8*(Calculations!$O16-Calculations!$C$13))/(Calculations!$O16*(Calculations!$C$8-Calculations!$C$13))))+'Reaction Information'!$J$62*10^-1*(Calculations!$M16-Calculations!$C$9)+'Reaction Information'!$K$62*10^2*LN((Calculations!$C$12+Calculations!$M16)/(Calculations!$C$12+Calculations!$C$9))+(1/(Calculations!$O16-Calculations!$C$13))*('Reaction Information'!$L$62*(Calculations!$M16-Calculations!$C$9)+'Reaction Information'!$M$62*10^4*LN((Calculations!$C$12+Calculations!$M16)/(Calculations!$C$12+Calculations!$C$9)))+calculateOmega(Calculations!M16,Calculations!N16,Calculations!Q16,'Reaction Information'!$C$62,'Reaction Information'!$P$62*10^5,'Reaction Information'!$Q$62)*((1/Calculations!$S16)-1)-'Reaction Information'!$P$62*10^5*((1/Calculations!$C$10)-1)+'Reaction Information'!$P$62*10^5*Calculations!$C$14*(Calculations!$O16-Calculations!$C$8))</f>
        <v>#N/A</v>
      </c>
      <c r="AX16" s="8" t="e">
        <f>IF(ISBLANK(Input!$BZ$4),NA(),'Reaction Information'!$E$66-'Reaction Information'!$G$66*(Calculations!$O16-Calculations!$C$8)-'Reaction Information'!$N$66*(Calculations!$O16*LN(Calculations!$O16/Calculations!$C$8)-Calculations!$O16+Calculations!$C$8)-'Reaction Information'!$O$66*10^4*(((1/(Calculations!$O16-Calculations!$C$13))-(1/(Calculations!$C$8-Calculations!$C$13)))*((Calculations!$C$13-Calculations!$O16)/(Calculations!$C$13))-(Calculations!$O16/(Calculations!$C$13*Calculations!$C$13))*LN((Calculations!$C$8*(Calculations!$O16-Calculations!$C$13))/(Calculations!$O16*(Calculations!$C$8-Calculations!$C$13))))+'Reaction Information'!$J$66*10^-1*(Calculations!$M16-Calculations!$C$9)+'Reaction Information'!$K$66*10^2*LN((Calculations!$C$12+Calculations!$M16)/(Calculations!$C$12+Calculations!$C$9))+(1/(Calculations!$O16-Calculations!$C$13))*('Reaction Information'!$L$66*(Calculations!$M16-Calculations!$C$9)+'Reaction Information'!$M$66*10^4*LN((Calculations!$C$12+Calculations!$M16)/(Calculations!$C$12+Calculations!$C$9)))+calculateOmega(Calculations!M16,Calculations!N16,Calculations!Q16,'Reaction Information'!$C$66,'Reaction Information'!$P$66*10^5,'Reaction Information'!$Q$66)*((1/Calculations!$S16)-1)-'Reaction Information'!$P$66*10^5*((1/Calculations!$C$10)-1)+'Reaction Information'!$P$66*10^5*Calculations!$C$14*(Calculations!$O16-Calculations!$C$8))</f>
        <v>#N/A</v>
      </c>
      <c r="AY16" s="31">
        <f>(AL16*Input!$AO$4+AM16*Input!$AR$4+AN16*Input!$AU$4+AO16*Input!$AX$4+IF(ISNA(AP16),0,AP16*Input!$BA$4)+IF(ISNA(AQ16),0,AQ16*Input!$BD$4)+IF(ISNA(AR16),0,AR16*Input!$BG$4)+IF(ISNA(AS16),0,AS16*Input!$BJ$4)+IF(ISNA(AT16),0,AT16*Input!$BM$4)+IF(ISNA(AU16),0,AU16*Input!$BP$4)+IF(ISNA(AV16),0,AV16*Input!$BS$4)+IF(ISNA(AW16),0,AW16*Input!$BV$4)+IF(ISNA(AX16),0,AX16*Input!$BY$4))-(Y16*Input!$B$4+Z16*Input!$E$4+AA16*Input!$H$4+AB16*Input!$K$4+IF(ISNA(AC16),0,AC16*Input!$N$4)+IF(ISNA(AD16),0,AD16*Input!$Q$4)+IF(ISNA(AE16),0,AE16*Input!$T$4)+IF(ISNA(AF16),0,AF16*Input!$W$4)+IF(ISNA(AG16),0,AG16*Input!$Z$4)+IF(ISNA(AH16),0,AH16*Input!$AC$4)+IF(ISNA(AI16),0,AI16*Input!$AF$4)+IF(ISNA(AJ16),0,AJ16*Input!$AI$4)+IF(ISNA(AK16),0,AK16*Input!$AL$4))</f>
        <v>48464.739842128125</v>
      </c>
      <c r="AZ16" s="42">
        <f t="shared" si="7"/>
        <v>-9.8763694961074115</v>
      </c>
      <c r="BA16" s="1">
        <f t="shared" si="8"/>
        <v>800</v>
      </c>
      <c r="BB16" s="46">
        <f t="shared" si="9"/>
        <v>5000</v>
      </c>
      <c r="BC16" s="1"/>
      <c r="BD16" s="2">
        <f t="shared" si="10"/>
        <v>5000</v>
      </c>
      <c r="BE16" s="46">
        <f t="shared" si="11"/>
        <v>800</v>
      </c>
      <c r="BF16" s="1">
        <f>Results!AJ18</f>
        <v>0</v>
      </c>
      <c r="BG16" s="1">
        <f>Results!AK18</f>
        <v>0</v>
      </c>
      <c r="BH16" s="1">
        <f>Results!AL18</f>
        <v>0</v>
      </c>
      <c r="BI16" s="1">
        <f>Results!AM18</f>
        <v>0</v>
      </c>
      <c r="BJ16" s="1" t="e">
        <f>IF(OR(ISNA('Reaction Information'!$D$5), $N16 = "", $D$27 = FALSE, 'Reaction Information'!$D$5 = ""), NA(), 24.465)</f>
        <v>#N/A</v>
      </c>
      <c r="BK16" s="1" t="e">
        <f>IF(OR(ISNA('Reaction Information'!$D$9), $N16 = "", $D$27 = FALSE, 'Reaction Information'!$D$9 = ""), NA(), 24.465)</f>
        <v>#N/A</v>
      </c>
      <c r="BL16" s="8">
        <f t="shared" si="0"/>
        <v>26.070990525934562</v>
      </c>
      <c r="BM16" s="8">
        <f>IF(OR(ISBLANK(Input!$X$4),$D$27=FALSE),NA(),('Reaction Information'!$J$13/10+'Reaction Information'!$K$13*100/(Calculations!$C$12+Calculations!$M16)+('Reaction Information'!$L$13+'Reaction Information'!$M$13*10^4/(Calculations!$C$12+Calculations!$M16))/(Calculations!$O16-Calculations!$C$13) -calculateOmega(Calculations!$M16,Calculations!$N16,Calculations!$Q16,'Reaction Information'!$C$13,'Reaction Information'!$P$13*10^5,'Reaction Information'!$Q$13)*Calculations!$U16*10^-6 + (1/$S16 - 1)*calculate_domegadP(Calculations!$M16,Calculations!$N16,Calculations!$Q16,'Reaction Information'!$C$13,'Reaction Information'!$P$13*10^5,'Reaction Information'!$Q$13,$D$20,$D$19=3))*41.84)</f>
        <v>56.497018375070503</v>
      </c>
      <c r="BN16" s="8" t="e">
        <f>IF(OR(ISBLANK(Input!$AA$4),$D$27=FALSE),NA(),('Reaction Information'!$J$17/10+'Reaction Information'!$K$17*100/(Calculations!$C$12+Calculations!$M16)+('Reaction Information'!$L$17+'Reaction Information'!$M$17*10000/(Calculations!$C$12+Calculations!$M16))/(Calculations!$O16-Calculations!$C$13)-calculateOmega(Calculations!M16,Calculations!N16,Calculations!Q16,'Reaction Information'!$C$17,'Reaction Information'!$P$17*10^5,'Reaction Information'!$Q$17)*Calculations!$U16*10^-6 + (1/$S16 - 1)*calculate_domegadP(Calculations!M16,Calculations!N16,Calculations!Q16,'Reaction Information'!$C$17,'Reaction Information'!$P$17*10^5,'Reaction Information'!$Q$17,$D$20,$D$19=3))*41.84)</f>
        <v>#N/A</v>
      </c>
      <c r="BO16" s="8" t="e">
        <f>IF(OR(ISBLANK(Input!$AD$4),$D$27=FALSE),NA(),('Reaction Information'!$J$21/10+'Reaction Information'!$K$21*100/(Calculations!$C$12+Calculations!$M16)+('Reaction Information'!$L$21+'Reaction Information'!$M$21*10000/(Calculations!$C$12+Calculations!$M16))/(Calculations!$O16-Calculations!$C$13)-calculateOmega(Calculations!M16,Calculations!N16,Calculations!Q16,'Reaction Information'!$C$21,'Reaction Information'!$P$21*10^5,'Reaction Information'!$Q$21)*Calculations!$U16*10^-6 + (1/$S16 - 1)*calculate_domegadP(Calculations!M16,Calculations!N16,Calculations!Q16,'Reaction Information'!$C$21,'Reaction Information'!$P$21*10^5,'Reaction Information'!$Q$21,$D$20,$D$19=3))*41.84)</f>
        <v>#N/A</v>
      </c>
      <c r="BP16" s="8" t="e">
        <f>IF(OR(ISBLANK(Input!$AG$4),$D$27=FALSE),NA(),('Reaction Information'!$J$25/10+'Reaction Information'!$K$25*100/(Calculations!$C$12+Calculations!$M16)+('Reaction Information'!$L$25+'Reaction Information'!$M$25*10000/(Calculations!$C$12+Calculations!$M16))/(Calculations!$O16-Calculations!$C$13)-calculateOmega(Calculations!M16,Calculations!N16,Calculations!Q16,'Reaction Information'!$C$25,'Reaction Information'!$P$25*10^5,'Reaction Information'!$Q$25)*Calculations!$U16*10^-6 + (1/$S16 - 1)*calculate_domegadP(Calculations!M16,Calculations!N16,Calculations!Q16,'Reaction Information'!$C$25,'Reaction Information'!$P$25*10^5,'Reaction Information'!$Q$25,$D$20,$D$19=3))*41.84)</f>
        <v>#N/A</v>
      </c>
      <c r="BQ16" s="8" t="e">
        <f>IF(OR(ISBLANK(Input!$AJ$4),$D$27=FALSE),NA(),('Reaction Information'!$J$29/10+'Reaction Information'!$K$29*100/(Calculations!$C$12+Calculations!$M16)+('Reaction Information'!$L$29+'Reaction Information'!$M$29*10000/(Calculations!$C$12+Calculations!$M16))/(Calculations!$O16-Calculations!$C$13)-calculateOmega(Calculations!M16,Calculations!N16,Calculations!Q16,'Reaction Information'!$C$29,'Reaction Information'!$P$29*10^5,'Reaction Information'!$Q$29)*Calculations!$U16*10^-6 + (1/$S16 - 1)*calculate_domegadP(Calculations!M16,Calculations!N16,Calculations!Q16,'Reaction Information'!$C$29,'Reaction Information'!$P$29*10^5,'Reaction Information'!$Q$29,$D$20,$D$19=3))*41.84)</f>
        <v>#N/A</v>
      </c>
      <c r="BR16" s="8" t="e">
        <f>IF(OR(ISBLANK(Input!$AM$4),$D$27=FALSE),NA(),('Reaction Information'!$J$33/10+'Reaction Information'!$K$33*100/(Calculations!$C$12+Calculations!$M16)+('Reaction Information'!$L$33+'Reaction Information'!$M$33*10000/(Calculations!$C$12+Calculations!$M16))/(Calculations!$O16-Calculations!$C$13)-calculateOmega(Calculations!M16,Calculations!N16,Calculations!Q16,'Reaction Information'!$C$33,'Reaction Information'!$P$33*10^5,'Reaction Information'!$Q$33)*Calculations!$U16*10^-6 + (1/$S16 - 1)*calculate_domegadP(Calculations!M16,Calculations!N16,Calculations!Q16,'Reaction Information'!$C$33,'Reaction Information'!$P$33*10^5,'Reaction Information'!$Q$33,$D$20,$D$19=3))*41.84)</f>
        <v>#N/A</v>
      </c>
      <c r="BS16" s="1">
        <f>Results!AW18</f>
        <v>0</v>
      </c>
      <c r="BT16" s="1">
        <f>Results!AX18</f>
        <v>0</v>
      </c>
      <c r="BU16" s="1">
        <f>Results!AY18</f>
        <v>0</v>
      </c>
      <c r="BV16" s="1">
        <f>Results!AZ18</f>
        <v>0</v>
      </c>
      <c r="BW16" s="1" t="e">
        <f>IF(OR(ISNA('Reaction Information'!$D$38), $N16 = "", $D$27 = FALSE, 'Reaction Information'!$D$38 = ""), NA(), 24.465)</f>
        <v>#N/A</v>
      </c>
      <c r="BX16" s="1" t="e">
        <f>IF(OR(ISNA('Reaction Information'!$D$42), $N16 = "", $D$27 = FALSE, 'Reaction Information'!$D$42 = ""), NA(), 24.465)</f>
        <v>#N/A</v>
      </c>
      <c r="BY16" s="8" t="e">
        <f t="shared" si="1"/>
        <v>#N/A</v>
      </c>
      <c r="BZ16" s="8">
        <f>IF(OR(ISBLANK(Input!$BK$4),$D$27=FALSE),NA(),('Reaction Information'!$J$46/10+'Reaction Information'!$K$46*100/(Calculations!$C$12+Calculations!$M16)+('Reaction Information'!$L$46+'Reaction Information'!$M$46*10000/(Calculations!$C$12+Calculations!$M16))/(Calculations!$O16-Calculations!$C$13)-calculateOmega(Calculations!M16,Calculations!N16,Calculations!Q16,'Reaction Information'!$C$46,'Reaction Information'!$P$46*10^5,'Reaction Information'!$Q$46)*Calculations!$U16*10^-6 + (1/$S16 - 1)*calculate_domegadP(Calculations!M16,Calculations!N16,Calculations!Q16,'Reaction Information'!$C$46,'Reaction Information'!$P$46*10^5,'Reaction Information'!$Q$46,$D$20,$D$19=3))*41.84)</f>
        <v>0</v>
      </c>
      <c r="CA16" s="8">
        <f>IF(OR(ISBLANK(Input!$BN$4),$D$27=FALSE),NA(),('Reaction Information'!$J$50/10+'Reaction Information'!$K$50*100/(Calculations!$C$12+Calculations!$M16)+('Reaction Information'!$L$50+'Reaction Information'!$M$50*10000/(Calculations!$C$12+Calculations!$M16))/(Calculations!$O16-Calculations!$C$13)-calculateOmega(Calculations!M16,Calculations!N16,Calculations!Q16,'Reaction Information'!$C$50,'Reaction Information'!$P$50*10^5,'Reaction Information'!$Q$50)*Calculations!$U16*10^-6 + (1/$S16 - 1)*calculate_domegadP(Calculations!M16,Calculations!N16,Calculations!Q16,'Reaction Information'!$C$50,'Reaction Information'!$P$50*10^5,'Reaction Information'!$Q$50,$D$20,$D$19=3))*41.84)</f>
        <v>-6.6405844576095081</v>
      </c>
      <c r="CB16" s="8" t="e">
        <f>IF(OR(ISBLANK(Input!$BQ$4),$D$27=FALSE),NA(),('Reaction Information'!$J$54/10+'Reaction Information'!$K$54*100/(Calculations!$C$12+Calculations!$M16)+('Reaction Information'!$L$54+'Reaction Information'!$M$54*10000/(Calculations!$C$12+Calculations!$M16))/(Calculations!$O16-Calculations!$C$13)-calculateOmega(Calculations!M16,Calculations!N16,Calculations!Q16,'Reaction Information'!$C$54,'Reaction Information'!$P$54*10^5,'Reaction Information'!$Q$54)*Calculations!$U16*10^-6 + (1/$S16 - 1)*calculate_domegadP(Calculations!M16,Calculations!N16,Calculations!Q16,'Reaction Information'!$C$54,'Reaction Information'!$P$54*10^5,'Reaction Information'!$Q$54,$D$20,$D$19=3))*41.84)</f>
        <v>#N/A</v>
      </c>
      <c r="CC16" s="8" t="e">
        <f>IF(OR(ISBLANK(Input!$BT$4),$D$27=FALSE),NA(),('Reaction Information'!$J$58/10+'Reaction Information'!$K$58*100/(Calculations!$C$12+Calculations!$M16)+('Reaction Information'!$L$58+'Reaction Information'!$M$58*10000/(Calculations!$C$12+Calculations!$M16))/(Calculations!$O16-Calculations!$C$13)-calculateOmega(Calculations!M16,Calculations!N16,Calculations!Q16,'Reaction Information'!$C$58,'Reaction Information'!$P$58*10^5,'Reaction Information'!$Q$58)*Calculations!$U16*10^-6 + (1/$S16 - 1)*calculate_domegadP(Calculations!M16,Calculations!N16,Calculations!Q16,'Reaction Information'!$C$58,'Reaction Information'!$P$58*10^5,'Reaction Information'!$Q$58,$D$20,$D$19=3))*41.84)</f>
        <v>#N/A</v>
      </c>
      <c r="CD16" s="8" t="e">
        <f>IF(OR(ISBLANK(Input!$BW$4),$D$27=FALSE),NA(),('Reaction Information'!$J$62/10+'Reaction Information'!$K$62*100/(Calculations!$C$12+Calculations!$M16)+('Reaction Information'!$L$62+'Reaction Information'!$M$62*10000/(Calculations!$C$12+Calculations!$M16))/(Calculations!$O16-Calculations!$C$13)-calculateOmega(Calculations!M16,Calculations!N16,Calculations!Q16,'Reaction Information'!$C$62,'Reaction Information'!$P$62*10^5,'Reaction Information'!$Q$62)*Calculations!$U16*10^-6 + (1/$S16 - 1)*calculate_domegadP(Calculations!M16,Calculations!N16,Calculations!Q16,'Reaction Information'!$C$62,'Reaction Information'!$P$62*10^5,'Reaction Information'!$Q$62,$D$20,$D$19=3))*41.84)</f>
        <v>#N/A</v>
      </c>
      <c r="CE16" s="8" t="e">
        <f>IF(OR(ISBLANK(Input!$BZ$4),$D$27=FALSE),NA(),('Reaction Information'!$J$66/10+'Reaction Information'!$K$66*100/(Calculations!$C$12+Calculations!$M16)+('Reaction Information'!$L$66+'Reaction Information'!$M$66*10000/(Calculations!$C$12+Calculations!$M16))/(Calculations!$O16-Calculations!$C$13)-calculateOmega(Calculations!M16,Calculations!N16,Calculations!Q16,'Reaction Information'!$C$66,'Reaction Information'!$P$66*10^5,'Reaction Information'!$Q$66)*Calculations!$U16*10^-6 + (1/$S16 - 1)*calculate_domegadP(Calculations!M16,Calculations!N16,Calculations!Q16,'Reaction Information'!$C$66,'Reaction Information'!$P$66*10^5,'Reaction Information'!$Q$66,$D$20,$D$19=3))*41.84)</f>
        <v>#N/A</v>
      </c>
      <c r="CF16" s="31">
        <f>(BS16*Input!$AO$4+BT16*Input!$AR$4+BU16*Input!$AU$4+BV16*Input!$AX$4+IF(ISNA(BW16),0,BW16*Input!$BA$4)+IF(ISNA(BX16),0,BX16*Input!$BD$4)+IF(ISNA(BY16),0,BY16*Input!$BG$4)+IF(ISNA(BZ16),0,BZ16*Input!$BJ$4)+IF(ISNA(CA16),0,CA16*Input!$BM$4)+IF(ISNA(CB16),0,CB16*Input!$BP$4)+IF(ISNA(CC16),0,CC16*Input!$BS$4)+IF(ISNA(CD16),0,CD16*Input!$BV$4)+IF(ISNA(CE16),0,CE16*Input!$BY$4))-(BF16*Input!$B$4+BG16*Input!$E$4+BH16*Input!$H$4+BI16*Input!$K$4+IF(ISNA(BJ16),0,BJ16*Input!$N$4)+IF(ISNA(BK16),0,BK16*Input!$Q$4)+IF(ISNA(BL16),0,BL16*Input!$T$4)+IF(ISNA(BM16),0,BM16*Input!$W$4)+IF(ISNA(BN16),0,BN16*Input!$Z$4)+IF(ISNA(BO16),0,BO16*Input!$AC$4)+IF(ISNA(BP16),0,BP16*Input!$AF$4)+IF(ISNA(BQ16),0,BQ16*Input!$AI$4)+IF(ISNA(BR16),0,BR16*Input!$AL$4))</f>
        <v>-89.208593358614579</v>
      </c>
      <c r="CG16" s="1">
        <f t="shared" si="12"/>
        <v>800</v>
      </c>
      <c r="CH16" s="46">
        <f t="shared" si="13"/>
        <v>5000</v>
      </c>
      <c r="CI16" s="1"/>
    </row>
    <row r="17" spans="1:87" ht="15" customHeight="1" x14ac:dyDescent="0.2">
      <c r="A17" s="1"/>
      <c r="B17" s="1"/>
      <c r="C17" s="108"/>
      <c r="D17" s="1"/>
      <c r="E17" s="22"/>
      <c r="F17" s="2">
        <v>12</v>
      </c>
      <c r="G17" s="1" t="str">
        <f>IF(ISBLANK(Input!CB17), "", Input!CB17*1000)</f>
        <v/>
      </c>
      <c r="H17" s="1" t="str">
        <f>IF(ISBLANK(Input!CC17), "", Input!CC17)</f>
        <v/>
      </c>
      <c r="I17" s="1">
        <f>IF(Input!$CF$5 + Input!$CF$6*(FLOOR((Calculations!$F17-1)/(FLOOR((Input!$CF$12-Input!$CF$10)/Input!$CF$11,1)+1),1)) &gt; Input!$CF$7, "", (Input!$CF$5 + Input!$CF$6*(FLOOR((Calculations!$F17-1)/(FLOOR((Input!$CF$12-Input!$CF$10)/Input!$CF$11,1)+1),1)))*1000)</f>
        <v>5000</v>
      </c>
      <c r="J17" s="1">
        <f>IF(Calculations!I17 = "", "", Input!$CF$10 + Input!$CF$11*(Calculations!$F17-1) - (FLOOR((Input!$CF$12-Input!$CF$10)/Input!$CF$11,1)+1)*Input!$CF$11*FLOOR((Calculations!$F17-1)/(FLOOR((Input!$CF$12-Input!$CF$10)/Input!$CF$11,1)+1),1))</f>
        <v>850</v>
      </c>
      <c r="K17" s="8">
        <f t="shared" si="14"/>
        <v>59.432935924620594</v>
      </c>
      <c r="L17" s="117">
        <f>IF(OR(Input!$CJ$5 + Input!$CJ$6*(Calculations!F17-1) &gt; Input!$CJ$7, Input!$CJ$5 + Input!$CJ$6*(Calculations!F17-1) &gt; 350), "", Input!$CJ$5 + Input!$CJ$6*(Calculations!F17-1))</f>
        <v>275</v>
      </c>
      <c r="M17" s="1">
        <f t="shared" si="2"/>
        <v>5000</v>
      </c>
      <c r="N17" s="1">
        <f t="shared" si="3"/>
        <v>850</v>
      </c>
      <c r="O17" s="1">
        <f t="shared" si="4"/>
        <v>1123.1500000000001</v>
      </c>
      <c r="P17" s="1" t="e">
        <f>IF(OR($D$20=3,AND($D$21=TRUE,M17&lt;1000)),INDEX('Water Density'!$C$6:$CX$120,MATCH(Calculations!N17,'Water Density'!$B$6:$B$120),MATCH(Calculations!M17/1000,'Water Density'!$C$5:$CX$5)),NA())</f>
        <v>#N/A</v>
      </c>
      <c r="Q17" s="182">
        <f>IF(OR($D$20=3,AND($D$21=TRUE,M17&lt;1000)), IF(P17&lt;&gt;0,P17,NA()), calculateDensity(M17,N17,$D$20,0.01,$D$19 = 3))</f>
        <v>0.66568154689788828</v>
      </c>
      <c r="R17" s="1" t="e">
        <f>IF($D$22=5,INDEX('Dielectric Constant'!$C$6:$CX$120,MATCH(Calculations!N17,'Dielectric Constant'!$B$6:$B$120),MATCH(Calculations!M17/1000,'Dielectric Constant'!$C$5:$CX$5)),NA())</f>
        <v>#N/A</v>
      </c>
      <c r="S17" s="58">
        <f>IF($D$22=5, IF(R17&lt;&gt;0,R17,NA()), IF(AND($D$23,M17&lt;=5000,$D$19 &lt;&gt; 3),calculateEpsilon(Q17,N17,1,FALSE),calculateEpsilon(Q17,N17,$D$22,$D$19 = 3)))</f>
        <v>8.2195184290443848</v>
      </c>
      <c r="T17" s="1" t="e">
        <f>IF($D$24=3,INDEX('Water Free Energy'!$C$6:$CX$120,MATCH(Calculations!N17,'Water Free Energy'!$B$6:$B$120),MATCH(Calculations!M17/1000,'Water Free Energy'!$C$5:$CX$5)),NA())</f>
        <v>#N/A</v>
      </c>
      <c r="U17" s="179">
        <f>IF($D$27,calculateQ(M17,N17,Q17,$D$20,$D$22,$D$19=3)*10^6,NA())</f>
        <v>9.2566118443029666</v>
      </c>
      <c r="V17"/>
      <c r="W17" s="2">
        <f t="shared" si="5"/>
        <v>5000</v>
      </c>
      <c r="X17" s="1">
        <f t="shared" si="6"/>
        <v>850</v>
      </c>
      <c r="Y17" s="1">
        <f>Results!F19</f>
        <v>0</v>
      </c>
      <c r="Z17" s="1">
        <f>Results!G19</f>
        <v>0</v>
      </c>
      <c r="AA17" s="1">
        <f>Results!H19</f>
        <v>0</v>
      </c>
      <c r="AB17" s="1">
        <f>Results!I19</f>
        <v>0</v>
      </c>
      <c r="AC17" s="1" t="e">
        <f>IF(ISBLANK(Input!$O$4),NA(),'Reaction Information'!$E$5-'Reaction Information'!$G$5*(Calculations!$O17-Calculations!$C$8)+'Reaction Information'!$I$5*(Calculations!$O17-Calculations!$C$8-Calculations!$O17*LN(Calculations!$O17/Calculations!$C$8))+'Reaction Information'!$J$5*0.001/2*(2*Calculations!$O17*Calculations!$C$8-Calculations!$O17^2-Calculations!$C$8^2) + 'Reaction Information'!$K$5*100000*(Calculations!$O17^2 + Calculations!$C$8^2 - 2*Calculations!$O17*Calculations!$C$8)/(2*Calculations!$O17*Calculations!$C$8^2))</f>
        <v>#N/A</v>
      </c>
      <c r="AD17" s="8" t="e">
        <f>IF(ISBLANK(Input!$R$4),NA(),'Reaction Information'!$E$9-'Reaction Information'!$G$9*(Calculations!$O17-Calculations!$C$8)+'Reaction Information'!$I$9*(Calculations!$O17-Calculations!$C$8-Calculations!$O17*LN(Calculations!$O17/Calculations!$C$8))+'Reaction Information'!$J$9*0.001/2*(2*Calculations!$O17*Calculations!$C$8-Calculations!$O17^2-Calculations!$C$8^2) + 'Reaction Information'!$K$9*100000*(Calculations!$O17^2 + Calculations!$C$8^2 - 2*Calculations!$O17*Calculations!$C$8)/(2*Calculations!$O17*Calculations!$C$8^2))</f>
        <v>#N/A</v>
      </c>
      <c r="AE17" s="8">
        <f>IF(AE$5="H2O",IF($D$24=3,IF(T17=0,NA(),T17),calculateGibbsOfWater(M17,N17,$D$24,$D$20,$D$19=3)),NA())</f>
        <v>-78540.856182018906</v>
      </c>
      <c r="AF17" s="8">
        <f>IF(ISBLANK(Input!$X$4),NA(),'Reaction Information'!$E$13-'Reaction Information'!$G$13*(Calculations!O17-Calculations!$C$8)-'Reaction Information'!$N$13*(Calculations!O17*LN(Calculations!O17/Calculations!$C$8)-Calculations!O17+Calculations!$C$8)-'Reaction Information'!$O$13*10^4*(((1/(Calculations!O17-Calculations!$C$13))-(1/(Calculations!$C$8-Calculations!$C$13)))*((Calculations!$C$13-Calculations!O17)/(Calculations!$C$13))-(Calculations!O17/(Calculations!$C$13*Calculations!$C$13))*LN((Calculations!$C$8*(Calculations!O17-Calculations!$C$13))/(Calculations!O17*(Calculations!$C$8-Calculations!$C$13))))+'Reaction Information'!$J$13*10^-1*(Calculations!M17-Calculations!$C$9)+'Reaction Information'!$K$13*10^2*LN((Calculations!$C$12+Calculations!M17)/(Calculations!$C$12+Calculations!$C$9))+(1/(Calculations!O17-Calculations!$C$13))*('Reaction Information'!$L$13*(Calculations!M17-Calculations!$C$9)+'Reaction Information'!$M$13*10^4*LN((Calculations!$C$12+Calculations!M17)/(Calculations!$C$12+Calculations!$C$9)))+calculateOmega(Calculations!M17,Calculations!N17,Calculations!Q17,'Reaction Information'!$C$13,'Reaction Information'!$P$13*10^5,'Reaction Information'!$Q$13)*((1/Calculations!S17)-1)-'Reaction Information'!$P$13*10^5*((1/Calculations!$C$10)-1)+'Reaction Information'!$P$13*10^5*Calculations!$C$14*(Calculations!O17-Calculations!$C$8))</f>
        <v>-128793.04105810044</v>
      </c>
      <c r="AG17" s="8" t="e">
        <f>IF(ISBLANK(Input!$AA$4),NA(),'Reaction Information'!$E$17-'Reaction Information'!$G$17*(Calculations!$O17-Calculations!$C$8)-'Reaction Information'!$N$17*(Calculations!$O17*LN(Calculations!$O17/Calculations!$C$8)-Calculations!$O17+Calculations!$C$8)-'Reaction Information'!$O$17*10^4*(((1/(Calculations!$O17-Calculations!$C$13))-(1/(Calculations!$C$8-Calculations!$C$13)))*((Calculations!$C$13-Calculations!$O17)/(Calculations!$C$13))-(Calculations!$O17/(Calculations!$C$13*Calculations!$C$13))*LN((Calculations!$C$8*(Calculations!$O17-Calculations!$C$13))/(Calculations!$O17*(Calculations!$C$8-Calculations!$C$13))))+'Reaction Information'!$J$17*10^-1*(Calculations!$M17-Calculations!$C$9)+'Reaction Information'!$K$17*10^2*LN((Calculations!$C$12+Calculations!$M17)/(Calculations!$C$12+Calculations!$C$9))+(1/(Calculations!$O17-Calculations!$C$13))*('Reaction Information'!$L$17*(Calculations!$M17-Calculations!$C$9)+'Reaction Information'!$M$17*10^4*LN((Calculations!$C$12+Calculations!$M17)/(Calculations!$C$12+Calculations!$C$9)))+calculateOmega(Calculations!M17,Calculations!N17,Calculations!Q17,'Reaction Information'!$C$17,'Reaction Information'!$P$17*10^5,'Reaction Information'!$Q$17)*((1/Calculations!$S17)-1)-'Reaction Information'!$P$17*10^5*((1/Calculations!$C$10)-1)+'Reaction Information'!$P$17*10^5*Calculations!$C$14*(Calculations!$O17-Calculations!$C$8))</f>
        <v>#N/A</v>
      </c>
      <c r="AH17" s="8" t="e">
        <f>IF(ISBLANK(Input!$AD$4),NA(),'Reaction Information'!$E$21-'Reaction Information'!$G$21*(Calculations!$O17-Calculations!$C$8)-'Reaction Information'!$N$21*(Calculations!$O17*LN(Calculations!$O17/Calculations!$C$8)-Calculations!$O17+Calculations!$C$8)-'Reaction Information'!$O$21*10^4*(((1/(Calculations!$O17-Calculations!$C$13))-(1/(Calculations!$C$8-Calculations!$C$13)))*((Calculations!$C$13-Calculations!$O17)/(Calculations!$C$13))-(Calculations!$O17/(Calculations!$C$13*Calculations!$C$13))*LN((Calculations!$C$8*(Calculations!$O17-Calculations!$C$13))/(Calculations!$O17*(Calculations!$C$8-Calculations!$C$13))))+'Reaction Information'!$J$21*10^-1*(Calculations!$M17-Calculations!$C$9)+'Reaction Information'!$K$21*10^2*LN((Calculations!$C$12+Calculations!$M17)/(Calculations!$C$12+Calculations!$C$9))+(1/(Calculations!$O17-Calculations!$C$13))*('Reaction Information'!$L$21*(Calculations!$M17-Calculations!$C$9)+'Reaction Information'!$M$21*10^4*LN((Calculations!$C$12+Calculations!$M17)/(Calculations!$C$12+Calculations!$C$9)))+calculateOmega(Calculations!M17,Calculations!N17,Calculations!Q17,'Reaction Information'!$C$21,'Reaction Information'!$P$21*10^5,'Reaction Information'!$Q$21)*((1/Calculations!$S17)-1)-'Reaction Information'!$P$21*10^5*((1/Calculations!$C$10)-1)+'Reaction Information'!$P$21*10^5*Calculations!$C$14*(Calculations!$O17-Calculations!$C$8))</f>
        <v>#N/A</v>
      </c>
      <c r="AI17" s="8" t="e">
        <f>IF(ISBLANK(Input!$AG$4),NA(),'Reaction Information'!$E$25-'Reaction Information'!$G$25*(Calculations!$O17-Calculations!$C$8)-'Reaction Information'!$N$25*(Calculations!$O17*LN(Calculations!$O17/Calculations!$C$8)-Calculations!$O17+Calculations!$C$8)-'Reaction Information'!$O$25*10^4*(((1/(Calculations!$O17-Calculations!$C$13))-(1/(Calculations!$C$8-Calculations!$C$13)))*((Calculations!$C$13-Calculations!$O17)/(Calculations!$C$13))-(Calculations!$O17/(Calculations!$C$13*Calculations!$C$13))*LN((Calculations!$C$8*(Calculations!$O17-Calculations!$C$13))/(Calculations!$O17*(Calculations!$C$8-Calculations!$C$13))))+'Reaction Information'!$J$25*10^-1*(Calculations!$M17-Calculations!$C$9)+'Reaction Information'!$K$25*10^2*LN((Calculations!$C$12+Calculations!$M17)/(Calculations!$C$12+Calculations!$C$9))+(1/(Calculations!$O17-Calculations!$C$13))*('Reaction Information'!$L$25*(Calculations!$M17-Calculations!$C$9)+'Reaction Information'!$M$25*10^4*LN((Calculations!$C$12+Calculations!$M17)/(Calculations!$C$12+Calculations!$C$9)))+calculateOmega(Calculations!M17,Calculations!N17,Calculations!Q17,'Reaction Information'!$C$25,'Reaction Information'!$P$25*10^5,'Reaction Information'!$Q$25)*((1/Calculations!$S17)-1)-'Reaction Information'!$P$25*10^5*((1/Calculations!$C$10)-1)+'Reaction Information'!$P$25*10^5*Calculations!$C$14*(Calculations!$O17-Calculations!$C$8))</f>
        <v>#N/A</v>
      </c>
      <c r="AJ17" s="8" t="e">
        <f>IF(ISBLANK(Input!$AJ$4),NA(),'Reaction Information'!$E$29-'Reaction Information'!$G$29*(Calculations!$O17-Calculations!$C$8)-'Reaction Information'!$N$29*(Calculations!$O17*LN(Calculations!$O17/Calculations!$C$8)-Calculations!$O17+Calculations!$C$8)-'Reaction Information'!$O$29*10^4*(((1/(Calculations!$O17-Calculations!$C$13))-(1/(Calculations!$C$8-Calculations!$C$13)))*((Calculations!$C$13-Calculations!$O17)/(Calculations!$C$13))-(Calculations!$O17/(Calculations!$C$13*Calculations!$C$13))*LN((Calculations!$C$8*(Calculations!$O17-Calculations!$C$13))/(Calculations!$O17*(Calculations!$C$8-Calculations!$C$13))))+'Reaction Information'!$J$29*10^-1*(Calculations!$M17-Calculations!$C$9)+'Reaction Information'!$K$29*10^2*LN((Calculations!$C$12+Calculations!$M17)/(Calculations!$C$12+Calculations!$C$9))+(1/(Calculations!$O17-Calculations!$C$13))*('Reaction Information'!$L$29*(Calculations!$M17-Calculations!$C$9)+'Reaction Information'!$M$29*10^4*LN((Calculations!$C$12+Calculations!$M17)/(Calculations!$C$12+Calculations!$C$9)))+calculateOmega(Calculations!M17,Calculations!N17,Calculations!Q17,'Reaction Information'!$C$29,'Reaction Information'!$P$29*10^5,'Reaction Information'!$Q$29)*((1/Calculations!$S17)-1)-'Reaction Information'!$P$29*10^5*((1/Calculations!$C$10)-1)+'Reaction Information'!$P$29*10^5*Calculations!$C$14*(Calculations!$O17-Calculations!$C$8))</f>
        <v>#N/A</v>
      </c>
      <c r="AK17" s="8" t="e">
        <f>IF(ISBLANK(Input!$AM$4),NA(),'Reaction Information'!$E$33-'Reaction Information'!$G$33*(Calculations!$O17-Calculations!$C$8)-'Reaction Information'!$N$33*(Calculations!$O17*LN(Calculations!$O17/Calculations!$C$8)-Calculations!$O17+Calculations!$C$8)-'Reaction Information'!$O$33*10^4*(((1/(Calculations!$O17-Calculations!$C$13))-(1/(Calculations!$C$8-Calculations!$C$13)))*((Calculations!$C$13-Calculations!$O17)/(Calculations!$C$13))-(Calculations!$O17/(Calculations!$C$13*Calculations!$C$13))*LN((Calculations!$C$8*(Calculations!$O17-Calculations!$C$13))/(Calculations!$O17*(Calculations!$C$8-Calculations!$C$13))))+'Reaction Information'!$J$33*10^-1*(Calculations!$M17-Calculations!$C$9)+'Reaction Information'!$K$33*10^2*LN((Calculations!$C$12+Calculations!$M17)/(Calculations!$C$12+Calculations!$C$9))+(1/(Calculations!$O17-Calculations!$C$13))*('Reaction Information'!$L$33*(Calculations!$M17-Calculations!$C$9)+'Reaction Information'!$M$33*10^4*LN((Calculations!$C$12+Calculations!$M17)/(Calculations!$C$12+Calculations!$C$9)))+calculateOmega(Calculations!M17,Calculations!N17,Calculations!Q17,'Reaction Information'!$C$33,'Reaction Information'!$P$33*10^5,'Reaction Information'!$Q$33)*((1/Calculations!$S17)-1)-'Reaction Information'!$P$33*10^5*((1/Calculations!$C$10)-1)+'Reaction Information'!$P$33*10^5*Calculations!$C$14*(Calculations!$O17-Calculations!$C$8))</f>
        <v>#N/A</v>
      </c>
      <c r="AL17" s="1">
        <f>Results!S19</f>
        <v>0</v>
      </c>
      <c r="AM17" s="1">
        <f>Results!T19</f>
        <v>0</v>
      </c>
      <c r="AN17" s="1">
        <f>Results!U19</f>
        <v>0</v>
      </c>
      <c r="AO17" s="1">
        <f>Results!V19</f>
        <v>0</v>
      </c>
      <c r="AP17" s="8" t="e">
        <f>IF(ISBLANK(Input!$BB$4),NA(),'Reaction Information'!$E$38-'Reaction Information'!$G$38*(Calculations!$O17-Calculations!$C$8)+'Reaction Information'!$I$38*(Calculations!$O17-Calculations!$C$8-Calculations!$O17*LN(Calculations!$O17/Calculations!$C$8))+'Reaction Information'!$J$38*0.001/2*(2*Calculations!$O17*Calculations!$C$8-Calculations!$O17^2-Calculations!$C$8^2) + 'Reaction Information'!$K$38*100000*(Calculations!$O17^2 + Calculations!$C$8^2 - 2*Calculations!$O17*Calculations!$C$8)/(2*Calculations!$O17*Calculations!$C$8^2))</f>
        <v>#N/A</v>
      </c>
      <c r="AQ17" s="8" t="e">
        <f>IF(ISBLANK(Input!$BE$4),NA(),'Reaction Information'!$E$42-'Reaction Information'!$G$42*(Calculations!$O17-Calculations!$C$8)+'Reaction Information'!$I$42*(Calculations!$O17-Calculations!$C$8-Calculations!$O17*LN(Calculations!$O17/Calculations!$C$8))+'Reaction Information'!$J$42*0.001/2*(2*Calculations!$O17*Calculations!$C$8-Calculations!$O17^2-Calculations!$C$8^2) + 'Reaction Information'!$K$42*100000*(Calculations!$O17^2 + Calculations!$C$8^2 - 2*Calculations!$O17*Calculations!$C$8)/(2*Calculations!$O17*Calculations!$C$8^2))</f>
        <v>#N/A</v>
      </c>
      <c r="AR17" s="8" t="e">
        <f>IF(AR$5="H2O", IF($D$24=3,IF(T17=0,NA(),T17),calculateGibbsOfWater(M17,N17,$D$24,$D$20,$D$19=3)),NA())</f>
        <v>#N/A</v>
      </c>
      <c r="AS17" s="8">
        <f>IF(ISBLANK(Input!$BK$4),NA(),'Reaction Information'!$E$46-'Reaction Information'!$G$46*(Calculations!O17-Calculations!$C$8)-'Reaction Information'!$N$46*(Calculations!O17*LN(Calculations!O17/Calculations!$C$8)-Calculations!O17+Calculations!$C$8)-'Reaction Information'!$O$46*10^4*(((1/(Calculations!O17-Calculations!$C$13))-(1/(Calculations!$C$8-Calculations!$C$13)))*((Calculations!$C$13-Calculations!O17)/(Calculations!$C$13))-(Calculations!O17/(Calculations!$C$13*Calculations!$C$13))*LN((Calculations!$C$8*(Calculations!O17-Calculations!$C$13))/(Calculations!O17*(Calculations!$C$8-Calculations!$C$13))))+'Reaction Information'!$J$46*10^-1*(Calculations!$M17-Calculations!$C$9)+'Reaction Information'!$K$46*10^2*LN((Calculations!$C$12+Calculations!$M17)/(Calculations!$C$12+Calculations!$C$9))+(1/(Calculations!O17-Calculations!$C$13))*('Reaction Information'!$L$46*(Calculations!$M17-Calculations!$C$9)+'Reaction Information'!$M$46*10^4*LN((Calculations!$C$12+Calculations!$M17)/(Calculations!$C$12+Calculations!$C$9)))+calculateOmega(Calculations!M17,Calculations!N17,Calculations!Q17,'Reaction Information'!$C$46,'Reaction Information'!$P$46*10^5,'Reaction Information'!$Q$46)*((1/Calculations!S17)-1)-'Reaction Information'!$P$46*10^5*((1/Calculations!$C$10)-1)+'Reaction Information'!$P$46*10^5*Calculations!$C$14*(Calculations!O17-Calculations!$C$8))</f>
        <v>0</v>
      </c>
      <c r="AT17" s="8">
        <f>IF(ISBLANK(Input!$BN$4),NA(),'Reaction Information'!$E$50-'Reaction Information'!$G$50*(Calculations!O17-Calculations!$C$8)-'Reaction Information'!$N$50*(Calculations!O17*LN(Calculations!O17/Calculations!$C$8)-Calculations!O17+Calculations!$C$8)-'Reaction Information'!$O$50*10^4*(((1/(Calculations!O17-Calculations!$C$13))-(1/(Calculations!$C$8-Calculations!$C$13)))*((Calculations!$C$13-Calculations!O17)/(Calculations!$C$13))-(Calculations!O17/(Calculations!$C$13*Calculations!$C$13))*LN((Calculations!$C$8*(Calculations!O17-Calculations!$C$13))/(Calculations!O17*(Calculations!$C$8-Calculations!$C$13))))+'Reaction Information'!$J$50*10^-1*(Calculations!$M17-Calculations!$C$9)+'Reaction Information'!$K$50*10^2*LN((Calculations!$C$12+Calculations!$M17)/(Calculations!$C$12+Calculations!$C$9))+(1/(Calculations!O17-Calculations!$C$13))*('Reaction Information'!$L$50*(Calculations!$M17-Calculations!$C$9)+'Reaction Information'!$M$50*10^4*LN((Calculations!$C$12+Calculations!$M17)/(Calculations!$C$12+Calculations!$C$9)))+calculateOmega(Calculations!M17,Calculations!N17,Calculations!Q17,'Reaction Information'!$C$50,'Reaction Information'!$P$50*10^5,'Reaction Information'!$Q$50)*((1/Calculations!S17)-1)-'Reaction Information'!$P$50*10^5*((1/Calculations!$C$10)-1)+'Reaction Information'!$P$50*10^5*Calculations!$C$14*(Calculations!O17-Calculations!$C$8))</f>
        <v>-154476.74560176165</v>
      </c>
      <c r="AU17" s="8" t="e">
        <f>IF(ISBLANK(Input!$BQ$4),NA(),'Reaction Information'!$E$54-'Reaction Information'!$G$54*(Calculations!$O17-Calculations!$C$8)-'Reaction Information'!$N$54*(Calculations!$O17*LN(Calculations!$O17/Calculations!$C$8)-Calculations!$O17+Calculations!$C$8)-'Reaction Information'!$O$54*10^4*(((1/(Calculations!$O17-Calculations!$C$13))-(1/(Calculations!$C$8-Calculations!$C$13)))*((Calculations!$C$13-Calculations!$O17)/(Calculations!$C$13))-(Calculations!$O17/(Calculations!$C$13*Calculations!$C$13))*LN((Calculations!$C$8*(Calculations!$O17-Calculations!$C$13))/(Calculations!$O17*(Calculations!$C$8-Calculations!$C$13))))+'Reaction Information'!$J$54*10^-1*(Calculations!$M17-Calculations!$C$9)+'Reaction Information'!$K$54*10^2*LN((Calculations!$C$12+Calculations!$M17)/(Calculations!$C$12+Calculations!$C$9))+(1/(Calculations!$O17-Calculations!$C$13))*('Reaction Information'!$L$54*(Calculations!$M17-Calculations!$C$9)+'Reaction Information'!$M$54*10^4*LN((Calculations!$C$12+Calculations!$M17)/(Calculations!$C$12+Calculations!$C$9)))+calculateOmega(Calculations!M17,Calculations!N17,Calculations!Q17,'Reaction Information'!$C$54,'Reaction Information'!$P$54*10^5,'Reaction Information'!$Q$54)*((1/Calculations!$S17)-1)-'Reaction Information'!$P$54*10^5*((1/Calculations!$C$10)-1)+'Reaction Information'!$P$54*10^5*Calculations!$C$14*(Calculations!$O17-Calculations!$C$8))</f>
        <v>#N/A</v>
      </c>
      <c r="AV17" s="8" t="e">
        <f>IF(ISBLANK(Input!$BT$4),NA(),'Reaction Information'!$E$58-'Reaction Information'!$G$58*(Calculations!$O17-Calculations!$C$8)-'Reaction Information'!$N$58*(Calculations!$O17*LN(Calculations!$O17/Calculations!$C$8)-Calculations!$O17+Calculations!$C$8)-'Reaction Information'!$O$58*10^4*(((1/(Calculations!$O17-Calculations!$C$13))-(1/(Calculations!$C$8-Calculations!$C$13)))*((Calculations!$C$13-Calculations!$O17)/(Calculations!$C$13))-(Calculations!$O17/(Calculations!$C$13*Calculations!$C$13))*LN((Calculations!$C$8*(Calculations!$O17-Calculations!$C$13))/(Calculations!$O17*(Calculations!$C$8-Calculations!$C$13))))+'Reaction Information'!$J$58*10^-1*(Calculations!$M17-Calculations!$C$9)+'Reaction Information'!$K$58*10^2*LN((Calculations!$C$12+Calculations!$M17)/(Calculations!$C$12+Calculations!$C$9))+(1/(Calculations!$O17-Calculations!$C$13))*('Reaction Information'!$L$58*(Calculations!$M17-Calculations!$C$9)+'Reaction Information'!$M$58*10^4*LN((Calculations!$C$12+Calculations!$M17)/(Calculations!$C$12+Calculations!$C$9)))+calculateOmega(Calculations!M17,Calculations!N17,Calculations!Q17,'Reaction Information'!$C$58,'Reaction Information'!$P$58*10^5,'Reaction Information'!$Q$58)*((1/Calculations!$S17)-1)-'Reaction Information'!$P$58*10^5*((1/Calculations!$C$10)-1)+'Reaction Information'!$P$58*10^5*Calculations!$C$14*(Calculations!$O17-Calculations!$C$8))</f>
        <v>#N/A</v>
      </c>
      <c r="AW17" s="8" t="e">
        <f>IF(ISBLANK(Input!$BW$4),NA(),'Reaction Information'!$E$62-'Reaction Information'!$G$62*(Calculations!$O17-Calculations!$C$8)-'Reaction Information'!$N$62*(Calculations!$O17*LN(Calculations!$O17/Calculations!$C$8)-Calculations!$O17+Calculations!$C$8)-'Reaction Information'!$O$62*10^4*(((1/(Calculations!$O17-Calculations!$C$13))-(1/(Calculations!$C$8-Calculations!$C$13)))*((Calculations!$C$13-Calculations!$O17)/(Calculations!$C$13))-(Calculations!$O17/(Calculations!$C$13*Calculations!$C$13))*LN((Calculations!$C$8*(Calculations!$O17-Calculations!$C$13))/(Calculations!$O17*(Calculations!$C$8-Calculations!$C$13))))+'Reaction Information'!$J$62*10^-1*(Calculations!$M17-Calculations!$C$9)+'Reaction Information'!$K$62*10^2*LN((Calculations!$C$12+Calculations!$M17)/(Calculations!$C$12+Calculations!$C$9))+(1/(Calculations!$O17-Calculations!$C$13))*('Reaction Information'!$L$62*(Calculations!$M17-Calculations!$C$9)+'Reaction Information'!$M$62*10^4*LN((Calculations!$C$12+Calculations!$M17)/(Calculations!$C$12+Calculations!$C$9)))+calculateOmega(Calculations!M17,Calculations!N17,Calculations!Q17,'Reaction Information'!$C$62,'Reaction Information'!$P$62*10^5,'Reaction Information'!$Q$62)*((1/Calculations!$S17)-1)-'Reaction Information'!$P$62*10^5*((1/Calculations!$C$10)-1)+'Reaction Information'!$P$62*10^5*Calculations!$C$14*(Calculations!$O17-Calculations!$C$8))</f>
        <v>#N/A</v>
      </c>
      <c r="AX17" s="8" t="e">
        <f>IF(ISBLANK(Input!$BZ$4),NA(),'Reaction Information'!$E$66-'Reaction Information'!$G$66*(Calculations!$O17-Calculations!$C$8)-'Reaction Information'!$N$66*(Calculations!$O17*LN(Calculations!$O17/Calculations!$C$8)-Calculations!$O17+Calculations!$C$8)-'Reaction Information'!$O$66*10^4*(((1/(Calculations!$O17-Calculations!$C$13))-(1/(Calculations!$C$8-Calculations!$C$13)))*((Calculations!$C$13-Calculations!$O17)/(Calculations!$C$13))-(Calculations!$O17/(Calculations!$C$13*Calculations!$C$13))*LN((Calculations!$C$8*(Calculations!$O17-Calculations!$C$13))/(Calculations!$O17*(Calculations!$C$8-Calculations!$C$13))))+'Reaction Information'!$J$66*10^-1*(Calculations!$M17-Calculations!$C$9)+'Reaction Information'!$K$66*10^2*LN((Calculations!$C$12+Calculations!$M17)/(Calculations!$C$12+Calculations!$C$9))+(1/(Calculations!$O17-Calculations!$C$13))*('Reaction Information'!$L$66*(Calculations!$M17-Calculations!$C$9)+'Reaction Information'!$M$66*10^4*LN((Calculations!$C$12+Calculations!$M17)/(Calculations!$C$12+Calculations!$C$9)))+calculateOmega(Calculations!M17,Calculations!N17,Calculations!Q17,'Reaction Information'!$C$66,'Reaction Information'!$P$66*10^5,'Reaction Information'!$Q$66)*((1/Calculations!$S17)-1)-'Reaction Information'!$P$66*10^5*((1/Calculations!$C$10)-1)+'Reaction Information'!$P$66*10^5*Calculations!$C$14*(Calculations!$O17-Calculations!$C$8))</f>
        <v>#N/A</v>
      </c>
      <c r="AY17" s="31">
        <f>(AL17*Input!$AO$4+AM17*Input!$AR$4+AN17*Input!$AU$4+AO17*Input!$AX$4+IF(ISNA(AP17),0,AP17*Input!$BA$4)+IF(ISNA(AQ17),0,AQ17*Input!$BD$4)+IF(ISNA(AR17),0,AR17*Input!$BG$4)+IF(ISNA(AS17),0,AS17*Input!$BJ$4)+IF(ISNA(AT17),0,AT17*Input!$BM$4)+IF(ISNA(AU17),0,AU17*Input!$BP$4)+IF(ISNA(AV17),0,AV17*Input!$BS$4)+IF(ISNA(AW17),0,AW17*Input!$BV$4)+IF(ISNA(AX17),0,AX17*Input!$BY$4))-(Y17*Input!$B$4+Z17*Input!$E$4+AA17*Input!$H$4+AB17*Input!$K$4+IF(ISNA(AC17),0,AC17*Input!$N$4)+IF(ISNA(AD17),0,AD17*Input!$Q$4)+IF(ISNA(AE17),0,AE17*Input!$T$4)+IF(ISNA(AF17),0,AF17*Input!$W$4)+IF(ISNA(AG17),0,AG17*Input!$Z$4)+IF(ISNA(AH17),0,AH17*Input!$AC$4)+IF(ISNA(AI17),0,AI17*Input!$AF$4)+IF(ISNA(AJ17),0,AJ17*Input!$AI$4)+IF(ISNA(AK17),0,AK17*Input!$AL$4))</f>
        <v>52857.151638357696</v>
      </c>
      <c r="AZ17" s="42">
        <f t="shared" si="7"/>
        <v>-10.291954754987106</v>
      </c>
      <c r="BA17" s="1">
        <f t="shared" si="8"/>
        <v>850</v>
      </c>
      <c r="BB17" s="46">
        <f t="shared" si="9"/>
        <v>5000</v>
      </c>
      <c r="BC17" s="1"/>
      <c r="BD17" s="2">
        <f t="shared" si="10"/>
        <v>5000</v>
      </c>
      <c r="BE17" s="46">
        <f t="shared" si="11"/>
        <v>850</v>
      </c>
      <c r="BF17" s="1">
        <f>Results!AJ19</f>
        <v>0</v>
      </c>
      <c r="BG17" s="1">
        <f>Results!AK19</f>
        <v>0</v>
      </c>
      <c r="BH17" s="1">
        <f>Results!AL19</f>
        <v>0</v>
      </c>
      <c r="BI17" s="1">
        <f>Results!AM19</f>
        <v>0</v>
      </c>
      <c r="BJ17" s="1" t="e">
        <f>IF(OR(ISNA('Reaction Information'!$D$5), $N17 = "", $D$27 = FALSE, 'Reaction Information'!$D$5 = ""), NA(), 24.465)</f>
        <v>#N/A</v>
      </c>
      <c r="BK17" s="1" t="e">
        <f>IF(OR(ISNA('Reaction Information'!$D$9), $N17 = "", $D$27 = FALSE, 'Reaction Information'!$D$9 = ""), NA(), 24.465)</f>
        <v>#N/A</v>
      </c>
      <c r="BL17" s="8">
        <f t="shared" si="0"/>
        <v>27.062910311923428</v>
      </c>
      <c r="BM17" s="8">
        <f>IF(OR(ISBLANK(Input!$X$4),$D$27=FALSE),NA(),('Reaction Information'!$J$13/10+'Reaction Information'!$K$13*100/(Calculations!$C$12+Calculations!$M17)+('Reaction Information'!$L$13+'Reaction Information'!$M$13*10^4/(Calculations!$C$12+Calculations!$M17))/(Calculations!$O17-Calculations!$C$13) -calculateOmega(Calculations!$M17,Calculations!$N17,Calculations!$Q17,'Reaction Information'!$C$13,'Reaction Information'!$P$13*10^5,'Reaction Information'!$Q$13)*Calculations!$U17*10^-6 + (1/$S17 - 1)*calculate_domegadP(Calculations!$M17,Calculations!$N17,Calculations!$Q17,'Reaction Information'!$C$13,'Reaction Information'!$P$13*10^5,'Reaction Information'!$Q$13,$D$20,$D$19=3))*41.84)</f>
        <v>61.365831745643987</v>
      </c>
      <c r="BN17" s="8" t="e">
        <f>IF(OR(ISBLANK(Input!$AA$4),$D$27=FALSE),NA(),('Reaction Information'!$J$17/10+'Reaction Information'!$K$17*100/(Calculations!$C$12+Calculations!$M17)+('Reaction Information'!$L$17+'Reaction Information'!$M$17*10000/(Calculations!$C$12+Calculations!$M17))/(Calculations!$O17-Calculations!$C$13)-calculateOmega(Calculations!M17,Calculations!N17,Calculations!Q17,'Reaction Information'!$C$17,'Reaction Information'!$P$17*10^5,'Reaction Information'!$Q$17)*Calculations!$U17*10^-6 + (1/$S17 - 1)*calculate_domegadP(Calculations!M17,Calculations!N17,Calculations!Q17,'Reaction Information'!$C$17,'Reaction Information'!$P$17*10^5,'Reaction Information'!$Q$17,$D$20,$D$19=3))*41.84)</f>
        <v>#N/A</v>
      </c>
      <c r="BO17" s="8" t="e">
        <f>IF(OR(ISBLANK(Input!$AD$4),$D$27=FALSE),NA(),('Reaction Information'!$J$21/10+'Reaction Information'!$K$21*100/(Calculations!$C$12+Calculations!$M17)+('Reaction Information'!$L$21+'Reaction Information'!$M$21*10000/(Calculations!$C$12+Calculations!$M17))/(Calculations!$O17-Calculations!$C$13)-calculateOmega(Calculations!M17,Calculations!N17,Calculations!Q17,'Reaction Information'!$C$21,'Reaction Information'!$P$21*10^5,'Reaction Information'!$Q$21)*Calculations!$U17*10^-6 + (1/$S17 - 1)*calculate_domegadP(Calculations!M17,Calculations!N17,Calculations!Q17,'Reaction Information'!$C$21,'Reaction Information'!$P$21*10^5,'Reaction Information'!$Q$21,$D$20,$D$19=3))*41.84)</f>
        <v>#N/A</v>
      </c>
      <c r="BP17" s="8" t="e">
        <f>IF(OR(ISBLANK(Input!$AG$4),$D$27=FALSE),NA(),('Reaction Information'!$J$25/10+'Reaction Information'!$K$25*100/(Calculations!$C$12+Calculations!$M17)+('Reaction Information'!$L$25+'Reaction Information'!$M$25*10000/(Calculations!$C$12+Calculations!$M17))/(Calculations!$O17-Calculations!$C$13)-calculateOmega(Calculations!M17,Calculations!N17,Calculations!Q17,'Reaction Information'!$C$25,'Reaction Information'!$P$25*10^5,'Reaction Information'!$Q$25)*Calculations!$U17*10^-6 + (1/$S17 - 1)*calculate_domegadP(Calculations!M17,Calculations!N17,Calculations!Q17,'Reaction Information'!$C$25,'Reaction Information'!$P$25*10^5,'Reaction Information'!$Q$25,$D$20,$D$19=3))*41.84)</f>
        <v>#N/A</v>
      </c>
      <c r="BQ17" s="8" t="e">
        <f>IF(OR(ISBLANK(Input!$AJ$4),$D$27=FALSE),NA(),('Reaction Information'!$J$29/10+'Reaction Information'!$K$29*100/(Calculations!$C$12+Calculations!$M17)+('Reaction Information'!$L$29+'Reaction Information'!$M$29*10000/(Calculations!$C$12+Calculations!$M17))/(Calculations!$O17-Calculations!$C$13)-calculateOmega(Calculations!M17,Calculations!N17,Calculations!Q17,'Reaction Information'!$C$29,'Reaction Information'!$P$29*10^5,'Reaction Information'!$Q$29)*Calculations!$U17*10^-6 + (1/$S17 - 1)*calculate_domegadP(Calculations!M17,Calculations!N17,Calculations!Q17,'Reaction Information'!$C$29,'Reaction Information'!$P$29*10^5,'Reaction Information'!$Q$29,$D$20,$D$19=3))*41.84)</f>
        <v>#N/A</v>
      </c>
      <c r="BR17" s="8" t="e">
        <f>IF(OR(ISBLANK(Input!$AM$4),$D$27=FALSE),NA(),('Reaction Information'!$J$33/10+'Reaction Information'!$K$33*100/(Calculations!$C$12+Calculations!$M17)+('Reaction Information'!$L$33+'Reaction Information'!$M$33*10000/(Calculations!$C$12+Calculations!$M17))/(Calculations!$O17-Calculations!$C$13)-calculateOmega(Calculations!M17,Calculations!N17,Calculations!Q17,'Reaction Information'!$C$33,'Reaction Information'!$P$33*10^5,'Reaction Information'!$Q$33)*Calculations!$U17*10^-6 + (1/$S17 - 1)*calculate_domegadP(Calculations!M17,Calculations!N17,Calculations!Q17,'Reaction Information'!$C$33,'Reaction Information'!$P$33*10^5,'Reaction Information'!$Q$33,$D$20,$D$19=3))*41.84)</f>
        <v>#N/A</v>
      </c>
      <c r="BS17" s="1">
        <f>Results!AW19</f>
        <v>0</v>
      </c>
      <c r="BT17" s="1">
        <f>Results!AX19</f>
        <v>0</v>
      </c>
      <c r="BU17" s="1">
        <f>Results!AY19</f>
        <v>0</v>
      </c>
      <c r="BV17" s="1">
        <f>Results!AZ19</f>
        <v>0</v>
      </c>
      <c r="BW17" s="1" t="e">
        <f>IF(OR(ISNA('Reaction Information'!$D$38), $N17 = "", $D$27 = FALSE, 'Reaction Information'!$D$38 = ""), NA(), 24.465)</f>
        <v>#N/A</v>
      </c>
      <c r="BX17" s="1" t="e">
        <f>IF(OR(ISNA('Reaction Information'!$D$42), $N17 = "", $D$27 = FALSE, 'Reaction Information'!$D$42 = ""), NA(), 24.465)</f>
        <v>#N/A</v>
      </c>
      <c r="BY17" s="8" t="e">
        <f t="shared" si="1"/>
        <v>#N/A</v>
      </c>
      <c r="BZ17" s="8">
        <f>IF(OR(ISBLANK(Input!$BK$4),$D$27=FALSE),NA(),('Reaction Information'!$J$46/10+'Reaction Information'!$K$46*100/(Calculations!$C$12+Calculations!$M17)+('Reaction Information'!$L$46+'Reaction Information'!$M$46*10000/(Calculations!$C$12+Calculations!$M17))/(Calculations!$O17-Calculations!$C$13)-calculateOmega(Calculations!M17,Calculations!N17,Calculations!Q17,'Reaction Information'!$C$46,'Reaction Information'!$P$46*10^5,'Reaction Information'!$Q$46)*Calculations!$U17*10^-6 + (1/$S17 - 1)*calculate_domegadP(Calculations!M17,Calculations!N17,Calculations!Q17,'Reaction Information'!$C$46,'Reaction Information'!$P$46*10^5,'Reaction Information'!$Q$46,$D$20,$D$19=3))*41.84)</f>
        <v>0</v>
      </c>
      <c r="CA17" s="8">
        <f>IF(OR(ISBLANK(Input!$BN$4),$D$27=FALSE),NA(),('Reaction Information'!$J$50/10+'Reaction Information'!$K$50*100/(Calculations!$C$12+Calculations!$M17)+('Reaction Information'!$L$50+'Reaction Information'!$M$50*10000/(Calculations!$C$12+Calculations!$M17))/(Calculations!$O17-Calculations!$C$13)-calculateOmega(Calculations!M17,Calculations!N17,Calculations!Q17,'Reaction Information'!$C$50,'Reaction Information'!$P$50*10^5,'Reaction Information'!$Q$50)*Calculations!$U17*10^-6 + (1/$S17 - 1)*calculate_domegadP(Calculations!M17,Calculations!N17,Calculations!Q17,'Reaction Information'!$C$50,'Reaction Information'!$P$50*10^5,'Reaction Information'!$Q$50,$D$20,$D$19=3))*41.84)</f>
        <v>-14.219211066318083</v>
      </c>
      <c r="CB17" s="8" t="e">
        <f>IF(OR(ISBLANK(Input!$BQ$4),$D$27=FALSE),NA(),('Reaction Information'!$J$54/10+'Reaction Information'!$K$54*100/(Calculations!$C$12+Calculations!$M17)+('Reaction Information'!$L$54+'Reaction Information'!$M$54*10000/(Calculations!$C$12+Calculations!$M17))/(Calculations!$O17-Calculations!$C$13)-calculateOmega(Calculations!M17,Calculations!N17,Calculations!Q17,'Reaction Information'!$C$54,'Reaction Information'!$P$54*10^5,'Reaction Information'!$Q$54)*Calculations!$U17*10^-6 + (1/$S17 - 1)*calculate_domegadP(Calculations!M17,Calculations!N17,Calculations!Q17,'Reaction Information'!$C$54,'Reaction Information'!$P$54*10^5,'Reaction Information'!$Q$54,$D$20,$D$19=3))*41.84)</f>
        <v>#N/A</v>
      </c>
      <c r="CC17" s="8" t="e">
        <f>IF(OR(ISBLANK(Input!$BT$4),$D$27=FALSE),NA(),('Reaction Information'!$J$58/10+'Reaction Information'!$K$58*100/(Calculations!$C$12+Calculations!$M17)+('Reaction Information'!$L$58+'Reaction Information'!$M$58*10000/(Calculations!$C$12+Calculations!$M17))/(Calculations!$O17-Calculations!$C$13)-calculateOmega(Calculations!M17,Calculations!N17,Calculations!Q17,'Reaction Information'!$C$58,'Reaction Information'!$P$58*10^5,'Reaction Information'!$Q$58)*Calculations!$U17*10^-6 + (1/$S17 - 1)*calculate_domegadP(Calculations!M17,Calculations!N17,Calculations!Q17,'Reaction Information'!$C$58,'Reaction Information'!$P$58*10^5,'Reaction Information'!$Q$58,$D$20,$D$19=3))*41.84)</f>
        <v>#N/A</v>
      </c>
      <c r="CD17" s="8" t="e">
        <f>IF(OR(ISBLANK(Input!$BW$4),$D$27=FALSE),NA(),('Reaction Information'!$J$62/10+'Reaction Information'!$K$62*100/(Calculations!$C$12+Calculations!$M17)+('Reaction Information'!$L$62+'Reaction Information'!$M$62*10000/(Calculations!$C$12+Calculations!$M17))/(Calculations!$O17-Calculations!$C$13)-calculateOmega(Calculations!M17,Calculations!N17,Calculations!Q17,'Reaction Information'!$C$62,'Reaction Information'!$P$62*10^5,'Reaction Information'!$Q$62)*Calculations!$U17*10^-6 + (1/$S17 - 1)*calculate_domegadP(Calculations!M17,Calculations!N17,Calculations!Q17,'Reaction Information'!$C$62,'Reaction Information'!$P$62*10^5,'Reaction Information'!$Q$62,$D$20,$D$19=3))*41.84)</f>
        <v>#N/A</v>
      </c>
      <c r="CE17" s="8" t="e">
        <f>IF(OR(ISBLANK(Input!$BZ$4),$D$27=FALSE),NA(),('Reaction Information'!$J$66/10+'Reaction Information'!$K$66*100/(Calculations!$C$12+Calculations!$M17)+('Reaction Information'!$L$66+'Reaction Information'!$M$66*10000/(Calculations!$C$12+Calculations!$M17))/(Calculations!$O17-Calculations!$C$13)-calculateOmega(Calculations!M17,Calculations!N17,Calculations!Q17,'Reaction Information'!$C$66,'Reaction Information'!$P$66*10^5,'Reaction Information'!$Q$66)*Calculations!$U17*10^-6 + (1/$S17 - 1)*calculate_domegadP(Calculations!M17,Calculations!N17,Calculations!Q17,'Reaction Information'!$C$66,'Reaction Information'!$P$66*10^5,'Reaction Information'!$Q$66,$D$20,$D$19=3))*41.84)</f>
        <v>#N/A</v>
      </c>
      <c r="CF17" s="31">
        <f>(BS17*Input!$AO$4+BT17*Input!$AR$4+BU17*Input!$AU$4+BV17*Input!$AX$4+IF(ISNA(BW17),0,BW17*Input!$BA$4)+IF(ISNA(BX17),0,BX17*Input!$BD$4)+IF(ISNA(BY17),0,BY17*Input!$BG$4)+IF(ISNA(BZ17),0,BZ17*Input!$BJ$4)+IF(ISNA(CA17),0,CA17*Input!$BM$4)+IF(ISNA(CB17),0,CB17*Input!$BP$4)+IF(ISNA(CC17),0,CC17*Input!$BS$4)+IF(ISNA(CD17),0,CD17*Input!$BV$4)+IF(ISNA(CE17),0,CE17*Input!$BY$4))-(BF17*Input!$B$4+BG17*Input!$E$4+BH17*Input!$H$4+BI17*Input!$K$4+IF(ISNA(BJ17),0,BJ17*Input!$N$4)+IF(ISNA(BK17),0,BK17*Input!$Q$4)+IF(ISNA(BL17),0,BL17*Input!$T$4)+IF(ISNA(BM17),0,BM17*Input!$W$4)+IF(ISNA(BN17),0,BN17*Input!$Z$4)+IF(ISNA(BO17),0,BO17*Input!$AC$4)+IF(ISNA(BP17),0,BP17*Input!$AF$4)+IF(ISNA(BQ17),0,BQ17*Input!$AI$4)+IF(ISNA(BR17),0,BR17*Input!$AL$4))</f>
        <v>-102.6479531238855</v>
      </c>
      <c r="CG17" s="1">
        <f t="shared" si="12"/>
        <v>850</v>
      </c>
      <c r="CH17" s="46">
        <f t="shared" si="13"/>
        <v>5000</v>
      </c>
      <c r="CI17" s="1"/>
    </row>
    <row r="18" spans="1:87" ht="15" customHeight="1" x14ac:dyDescent="0.2">
      <c r="A18" s="1"/>
      <c r="B18" s="259" t="s">
        <v>587</v>
      </c>
      <c r="C18" s="259"/>
      <c r="D18" s="259"/>
      <c r="E18" s="8"/>
      <c r="F18" s="2">
        <v>13</v>
      </c>
      <c r="G18" s="1" t="str">
        <f>IF(ISBLANK(Input!CB18), "", Input!CB18*1000)</f>
        <v/>
      </c>
      <c r="H18" s="1" t="str">
        <f>IF(ISBLANK(Input!CC18), "", Input!CC18)</f>
        <v/>
      </c>
      <c r="I18" s="1">
        <f>IF(Input!$CF$5 + Input!$CF$6*(FLOOR((Calculations!$F18-1)/(FLOOR((Input!$CF$12-Input!$CF$10)/Input!$CF$11,1)+1),1)) &gt; Input!$CF$7, "", (Input!$CF$5 + Input!$CF$6*(FLOOR((Calculations!$F18-1)/(FLOOR((Input!$CF$12-Input!$CF$10)/Input!$CF$11,1)+1),1)))*1000)</f>
        <v>5000</v>
      </c>
      <c r="J18" s="1">
        <f>IF(Calculations!I18 = "", "", Input!$CF$10 + Input!$CF$11*(Calculations!$F18-1) - (FLOOR((Input!$CF$12-Input!$CF$10)/Input!$CF$11,1)+1)*Input!$CF$11*FLOOR((Calculations!$F18-1)/(FLOOR((Input!$CF$12-Input!$CF$10)/Input!$CF$11,1)+1),1))</f>
        <v>900</v>
      </c>
      <c r="K18" s="8">
        <f t="shared" si="14"/>
        <v>85.67080684383069</v>
      </c>
      <c r="L18" s="117">
        <f>IF(OR(Input!$CJ$5 + Input!$CJ$6*(Calculations!F18-1) &gt; Input!$CJ$7, Input!$CJ$5 + Input!$CJ$6*(Calculations!F18-1) &gt; 350), "", Input!$CJ$5 + Input!$CJ$6*(Calculations!F18-1))</f>
        <v>300</v>
      </c>
      <c r="M18" s="1">
        <f t="shared" si="2"/>
        <v>5000</v>
      </c>
      <c r="N18" s="1">
        <f t="shared" si="3"/>
        <v>900</v>
      </c>
      <c r="O18" s="1">
        <f t="shared" si="4"/>
        <v>1173.1500000000001</v>
      </c>
      <c r="P18" s="1" t="e">
        <f>IF(OR($D$20=3,AND($D$21=TRUE,M18&lt;1000)),INDEX('Water Density'!$C$6:$CX$120,MATCH(Calculations!N18,'Water Density'!$B$6:$B$120),MATCH(Calculations!M18/1000,'Water Density'!$C$5:$CX$5)),NA())</f>
        <v>#N/A</v>
      </c>
      <c r="Q18" s="182">
        <f>IF(OR($D$20=3,AND($D$21=TRUE,M18&lt;1000)), IF(P18&lt;&gt;0,P18,NA()), calculateDensity(M18,N18,$D$20,0.01,$D$19 = 3))</f>
        <v>0.64167766036987306</v>
      </c>
      <c r="R18" s="1" t="e">
        <f>IF($D$22=5,INDEX('Dielectric Constant'!$C$6:$CX$120,MATCH(Calculations!N18,'Dielectric Constant'!$B$6:$B$120),MATCH(Calculations!M18/1000,'Dielectric Constant'!$C$5:$CX$5)),NA())</f>
        <v>#N/A</v>
      </c>
      <c r="S18" s="58">
        <f>IF($D$22=5, IF(R18&lt;&gt;0,R18,NA()), IF(AND($D$23,M18&lt;=5000,$D$19 &lt;&gt; 3),calculateEpsilon(Q18,N18,1,FALSE),calculateEpsilon(Q18,N18,$D$22,$D$19 = 3)))</f>
        <v>7.4069521540343946</v>
      </c>
      <c r="T18" s="1" t="e">
        <f>IF($D$24=3,INDEX('Water Free Energy'!$C$6:$CX$120,MATCH(Calculations!N18,'Water Free Energy'!$B$6:$B$120),MATCH(Calculations!M18/1000,'Water Free Energy'!$C$5:$CX$5)),NA())</f>
        <v>#N/A</v>
      </c>
      <c r="U18" s="179">
        <f>IF($D$27,calculateQ(M18,N18,Q18,$D$20,$D$22,$D$19=3)*10^6,NA())</f>
        <v>10.867362575357083</v>
      </c>
      <c r="V18"/>
      <c r="W18" s="2">
        <f t="shared" si="5"/>
        <v>5000</v>
      </c>
      <c r="X18" s="1">
        <f t="shared" si="6"/>
        <v>900</v>
      </c>
      <c r="Y18" s="1">
        <f>Results!F20</f>
        <v>0</v>
      </c>
      <c r="Z18" s="1">
        <f>Results!G20</f>
        <v>0</v>
      </c>
      <c r="AA18" s="1">
        <f>Results!H20</f>
        <v>0</v>
      </c>
      <c r="AB18" s="1">
        <f>Results!I20</f>
        <v>0</v>
      </c>
      <c r="AC18" s="1" t="e">
        <f>IF(ISBLANK(Input!$O$4),NA(),'Reaction Information'!$E$5-'Reaction Information'!$G$5*(Calculations!$O18-Calculations!$C$8)+'Reaction Information'!$I$5*(Calculations!$O18-Calculations!$C$8-Calculations!$O18*LN(Calculations!$O18/Calculations!$C$8))+'Reaction Information'!$J$5*0.001/2*(2*Calculations!$O18*Calculations!$C$8-Calculations!$O18^2-Calculations!$C$8^2) + 'Reaction Information'!$K$5*100000*(Calculations!$O18^2 + Calculations!$C$8^2 - 2*Calculations!$O18*Calculations!$C$8)/(2*Calculations!$O18*Calculations!$C$8^2))</f>
        <v>#N/A</v>
      </c>
      <c r="AD18" s="8" t="e">
        <f>IF(ISBLANK(Input!$R$4),NA(),'Reaction Information'!$E$9-'Reaction Information'!$G$9*(Calculations!$O18-Calculations!$C$8)+'Reaction Information'!$I$9*(Calculations!$O18-Calculations!$C$8-Calculations!$O18*LN(Calculations!$O18/Calculations!$C$8))+'Reaction Information'!$J$9*0.001/2*(2*Calculations!$O18*Calculations!$C$8-Calculations!$O18^2-Calculations!$C$8^2) + 'Reaction Information'!$K$9*100000*(Calculations!$O18^2 + Calculations!$C$8^2 - 2*Calculations!$O18*Calculations!$C$8)/(2*Calculations!$O18*Calculations!$C$8^2))</f>
        <v>#N/A</v>
      </c>
      <c r="AE18" s="8">
        <f>IF(AE$5="H2O",IF($D$24=3,IF(T18=0,NA(),T18),calculateGibbsOfWater(M18,N18,$D$24,$D$20,$D$19=3)),NA())</f>
        <v>-80416.966774105313</v>
      </c>
      <c r="AF18" s="8">
        <f>IF(ISBLANK(Input!$X$4),NA(),'Reaction Information'!$E$13-'Reaction Information'!$G$13*(Calculations!O18-Calculations!$C$8)-'Reaction Information'!$N$13*(Calculations!O18*LN(Calculations!O18/Calculations!$C$8)-Calculations!O18+Calculations!$C$8)-'Reaction Information'!$O$13*10^4*(((1/(Calculations!O18-Calculations!$C$13))-(1/(Calculations!$C$8-Calculations!$C$13)))*((Calculations!$C$13-Calculations!O18)/(Calculations!$C$13))-(Calculations!O18/(Calculations!$C$13*Calculations!$C$13))*LN((Calculations!$C$8*(Calculations!O18-Calculations!$C$13))/(Calculations!O18*(Calculations!$C$8-Calculations!$C$13))))+'Reaction Information'!$J$13*10^-1*(Calculations!M18-Calculations!$C$9)+'Reaction Information'!$K$13*10^2*LN((Calculations!$C$12+Calculations!M18)/(Calculations!$C$12+Calculations!$C$9))+(1/(Calculations!O18-Calculations!$C$13))*('Reaction Information'!$L$13*(Calculations!M18-Calculations!$C$9)+'Reaction Information'!$M$13*10^4*LN((Calculations!$C$12+Calculations!M18)/(Calculations!$C$12+Calculations!$C$9)))+calculateOmega(Calculations!M18,Calculations!N18,Calculations!Q18,'Reaction Information'!$C$13,'Reaction Information'!$P$13*10^5,'Reaction Information'!$Q$13)*((1/Calculations!S18)-1)-'Reaction Information'!$P$13*10^5*((1/Calculations!$C$10)-1)+'Reaction Information'!$P$13*10^5*Calculations!$C$14*(Calculations!O18-Calculations!$C$8))</f>
        <v>-132011.35877278692</v>
      </c>
      <c r="AG18" s="8" t="e">
        <f>IF(ISBLANK(Input!$AA$4),NA(),'Reaction Information'!$E$17-'Reaction Information'!$G$17*(Calculations!$O18-Calculations!$C$8)-'Reaction Information'!$N$17*(Calculations!$O18*LN(Calculations!$O18/Calculations!$C$8)-Calculations!$O18+Calculations!$C$8)-'Reaction Information'!$O$17*10^4*(((1/(Calculations!$O18-Calculations!$C$13))-(1/(Calculations!$C$8-Calculations!$C$13)))*((Calculations!$C$13-Calculations!$O18)/(Calculations!$C$13))-(Calculations!$O18/(Calculations!$C$13*Calculations!$C$13))*LN((Calculations!$C$8*(Calculations!$O18-Calculations!$C$13))/(Calculations!$O18*(Calculations!$C$8-Calculations!$C$13))))+'Reaction Information'!$J$17*10^-1*(Calculations!$M18-Calculations!$C$9)+'Reaction Information'!$K$17*10^2*LN((Calculations!$C$12+Calculations!$M18)/(Calculations!$C$12+Calculations!$C$9))+(1/(Calculations!$O18-Calculations!$C$13))*('Reaction Information'!$L$17*(Calculations!$M18-Calculations!$C$9)+'Reaction Information'!$M$17*10^4*LN((Calculations!$C$12+Calculations!$M18)/(Calculations!$C$12+Calculations!$C$9)))+calculateOmega(Calculations!M18,Calculations!N18,Calculations!Q18,'Reaction Information'!$C$17,'Reaction Information'!$P$17*10^5,'Reaction Information'!$Q$17)*((1/Calculations!$S18)-1)-'Reaction Information'!$P$17*10^5*((1/Calculations!$C$10)-1)+'Reaction Information'!$P$17*10^5*Calculations!$C$14*(Calculations!$O18-Calculations!$C$8))</f>
        <v>#N/A</v>
      </c>
      <c r="AH18" s="8" t="e">
        <f>IF(ISBLANK(Input!$AD$4),NA(),'Reaction Information'!$E$21-'Reaction Information'!$G$21*(Calculations!$O18-Calculations!$C$8)-'Reaction Information'!$N$21*(Calculations!$O18*LN(Calculations!$O18/Calculations!$C$8)-Calculations!$O18+Calculations!$C$8)-'Reaction Information'!$O$21*10^4*(((1/(Calculations!$O18-Calculations!$C$13))-(1/(Calculations!$C$8-Calculations!$C$13)))*((Calculations!$C$13-Calculations!$O18)/(Calculations!$C$13))-(Calculations!$O18/(Calculations!$C$13*Calculations!$C$13))*LN((Calculations!$C$8*(Calculations!$O18-Calculations!$C$13))/(Calculations!$O18*(Calculations!$C$8-Calculations!$C$13))))+'Reaction Information'!$J$21*10^-1*(Calculations!$M18-Calculations!$C$9)+'Reaction Information'!$K$21*10^2*LN((Calculations!$C$12+Calculations!$M18)/(Calculations!$C$12+Calculations!$C$9))+(1/(Calculations!$O18-Calculations!$C$13))*('Reaction Information'!$L$21*(Calculations!$M18-Calculations!$C$9)+'Reaction Information'!$M$21*10^4*LN((Calculations!$C$12+Calculations!$M18)/(Calculations!$C$12+Calculations!$C$9)))+calculateOmega(Calculations!M18,Calculations!N18,Calculations!Q18,'Reaction Information'!$C$21,'Reaction Information'!$P$21*10^5,'Reaction Information'!$Q$21)*((1/Calculations!$S18)-1)-'Reaction Information'!$P$21*10^5*((1/Calculations!$C$10)-1)+'Reaction Information'!$P$21*10^5*Calculations!$C$14*(Calculations!$O18-Calculations!$C$8))</f>
        <v>#N/A</v>
      </c>
      <c r="AI18" s="8" t="e">
        <f>IF(ISBLANK(Input!$AG$4),NA(),'Reaction Information'!$E$25-'Reaction Information'!$G$25*(Calculations!$O18-Calculations!$C$8)-'Reaction Information'!$N$25*(Calculations!$O18*LN(Calculations!$O18/Calculations!$C$8)-Calculations!$O18+Calculations!$C$8)-'Reaction Information'!$O$25*10^4*(((1/(Calculations!$O18-Calculations!$C$13))-(1/(Calculations!$C$8-Calculations!$C$13)))*((Calculations!$C$13-Calculations!$O18)/(Calculations!$C$13))-(Calculations!$O18/(Calculations!$C$13*Calculations!$C$13))*LN((Calculations!$C$8*(Calculations!$O18-Calculations!$C$13))/(Calculations!$O18*(Calculations!$C$8-Calculations!$C$13))))+'Reaction Information'!$J$25*10^-1*(Calculations!$M18-Calculations!$C$9)+'Reaction Information'!$K$25*10^2*LN((Calculations!$C$12+Calculations!$M18)/(Calculations!$C$12+Calculations!$C$9))+(1/(Calculations!$O18-Calculations!$C$13))*('Reaction Information'!$L$25*(Calculations!$M18-Calculations!$C$9)+'Reaction Information'!$M$25*10^4*LN((Calculations!$C$12+Calculations!$M18)/(Calculations!$C$12+Calculations!$C$9)))+calculateOmega(Calculations!M18,Calculations!N18,Calculations!Q18,'Reaction Information'!$C$25,'Reaction Information'!$P$25*10^5,'Reaction Information'!$Q$25)*((1/Calculations!$S18)-1)-'Reaction Information'!$P$25*10^5*((1/Calculations!$C$10)-1)+'Reaction Information'!$P$25*10^5*Calculations!$C$14*(Calculations!$O18-Calculations!$C$8))</f>
        <v>#N/A</v>
      </c>
      <c r="AJ18" s="8" t="e">
        <f>IF(ISBLANK(Input!$AJ$4),NA(),'Reaction Information'!$E$29-'Reaction Information'!$G$29*(Calculations!$O18-Calculations!$C$8)-'Reaction Information'!$N$29*(Calculations!$O18*LN(Calculations!$O18/Calculations!$C$8)-Calculations!$O18+Calculations!$C$8)-'Reaction Information'!$O$29*10^4*(((1/(Calculations!$O18-Calculations!$C$13))-(1/(Calculations!$C$8-Calculations!$C$13)))*((Calculations!$C$13-Calculations!$O18)/(Calculations!$C$13))-(Calculations!$O18/(Calculations!$C$13*Calculations!$C$13))*LN((Calculations!$C$8*(Calculations!$O18-Calculations!$C$13))/(Calculations!$O18*(Calculations!$C$8-Calculations!$C$13))))+'Reaction Information'!$J$29*10^-1*(Calculations!$M18-Calculations!$C$9)+'Reaction Information'!$K$29*10^2*LN((Calculations!$C$12+Calculations!$M18)/(Calculations!$C$12+Calculations!$C$9))+(1/(Calculations!$O18-Calculations!$C$13))*('Reaction Information'!$L$29*(Calculations!$M18-Calculations!$C$9)+'Reaction Information'!$M$29*10^4*LN((Calculations!$C$12+Calculations!$M18)/(Calculations!$C$12+Calculations!$C$9)))+calculateOmega(Calculations!M18,Calculations!N18,Calculations!Q18,'Reaction Information'!$C$29,'Reaction Information'!$P$29*10^5,'Reaction Information'!$Q$29)*((1/Calculations!$S18)-1)-'Reaction Information'!$P$29*10^5*((1/Calculations!$C$10)-1)+'Reaction Information'!$P$29*10^5*Calculations!$C$14*(Calculations!$O18-Calculations!$C$8))</f>
        <v>#N/A</v>
      </c>
      <c r="AK18" s="8" t="e">
        <f>IF(ISBLANK(Input!$AM$4),NA(),'Reaction Information'!$E$33-'Reaction Information'!$G$33*(Calculations!$O18-Calculations!$C$8)-'Reaction Information'!$N$33*(Calculations!$O18*LN(Calculations!$O18/Calculations!$C$8)-Calculations!$O18+Calculations!$C$8)-'Reaction Information'!$O$33*10^4*(((1/(Calculations!$O18-Calculations!$C$13))-(1/(Calculations!$C$8-Calculations!$C$13)))*((Calculations!$C$13-Calculations!$O18)/(Calculations!$C$13))-(Calculations!$O18/(Calculations!$C$13*Calculations!$C$13))*LN((Calculations!$C$8*(Calculations!$O18-Calculations!$C$13))/(Calculations!$O18*(Calculations!$C$8-Calculations!$C$13))))+'Reaction Information'!$J$33*10^-1*(Calculations!$M18-Calculations!$C$9)+'Reaction Information'!$K$33*10^2*LN((Calculations!$C$12+Calculations!$M18)/(Calculations!$C$12+Calculations!$C$9))+(1/(Calculations!$O18-Calculations!$C$13))*('Reaction Information'!$L$33*(Calculations!$M18-Calculations!$C$9)+'Reaction Information'!$M$33*10^4*LN((Calculations!$C$12+Calculations!$M18)/(Calculations!$C$12+Calculations!$C$9)))+calculateOmega(Calculations!M18,Calculations!N18,Calculations!Q18,'Reaction Information'!$C$33,'Reaction Information'!$P$33*10^5,'Reaction Information'!$Q$33)*((1/Calculations!$S18)-1)-'Reaction Information'!$P$33*10^5*((1/Calculations!$C$10)-1)+'Reaction Information'!$P$33*10^5*Calculations!$C$14*(Calculations!$O18-Calculations!$C$8))</f>
        <v>#N/A</v>
      </c>
      <c r="AL18" s="1">
        <f>Results!S20</f>
        <v>0</v>
      </c>
      <c r="AM18" s="1">
        <f>Results!T20</f>
        <v>0</v>
      </c>
      <c r="AN18" s="1">
        <f>Results!U20</f>
        <v>0</v>
      </c>
      <c r="AO18" s="1">
        <f>Results!V20</f>
        <v>0</v>
      </c>
      <c r="AP18" s="8" t="e">
        <f>IF(ISBLANK(Input!$BB$4),NA(),'Reaction Information'!$E$38-'Reaction Information'!$G$38*(Calculations!$O18-Calculations!$C$8)+'Reaction Information'!$I$38*(Calculations!$O18-Calculations!$C$8-Calculations!$O18*LN(Calculations!$O18/Calculations!$C$8))+'Reaction Information'!$J$38*0.001/2*(2*Calculations!$O18*Calculations!$C$8-Calculations!$O18^2-Calculations!$C$8^2) + 'Reaction Information'!$K$38*100000*(Calculations!$O18^2 + Calculations!$C$8^2 - 2*Calculations!$O18*Calculations!$C$8)/(2*Calculations!$O18*Calculations!$C$8^2))</f>
        <v>#N/A</v>
      </c>
      <c r="AQ18" s="8" t="e">
        <f>IF(ISBLANK(Input!$BE$4),NA(),'Reaction Information'!$E$42-'Reaction Information'!$G$42*(Calculations!$O18-Calculations!$C$8)+'Reaction Information'!$I$42*(Calculations!$O18-Calculations!$C$8-Calculations!$O18*LN(Calculations!$O18/Calculations!$C$8))+'Reaction Information'!$J$42*0.001/2*(2*Calculations!$O18*Calculations!$C$8-Calculations!$O18^2-Calculations!$C$8^2) + 'Reaction Information'!$K$42*100000*(Calculations!$O18^2 + Calculations!$C$8^2 - 2*Calculations!$O18*Calculations!$C$8)/(2*Calculations!$O18*Calculations!$C$8^2))</f>
        <v>#N/A</v>
      </c>
      <c r="AR18" s="8" t="e">
        <f>IF(AR$5="H2O", IF($D$24=3,IF(T18=0,NA(),T18),calculateGibbsOfWater(M18,N18,$D$24,$D$20,$D$19=3)),NA())</f>
        <v>#N/A</v>
      </c>
      <c r="AS18" s="8">
        <f>IF(ISBLANK(Input!$BK$4),NA(),'Reaction Information'!$E$46-'Reaction Information'!$G$46*(Calculations!O18-Calculations!$C$8)-'Reaction Information'!$N$46*(Calculations!O18*LN(Calculations!O18/Calculations!$C$8)-Calculations!O18+Calculations!$C$8)-'Reaction Information'!$O$46*10^4*(((1/(Calculations!O18-Calculations!$C$13))-(1/(Calculations!$C$8-Calculations!$C$13)))*((Calculations!$C$13-Calculations!O18)/(Calculations!$C$13))-(Calculations!O18/(Calculations!$C$13*Calculations!$C$13))*LN((Calculations!$C$8*(Calculations!O18-Calculations!$C$13))/(Calculations!O18*(Calculations!$C$8-Calculations!$C$13))))+'Reaction Information'!$J$46*10^-1*(Calculations!$M18-Calculations!$C$9)+'Reaction Information'!$K$46*10^2*LN((Calculations!$C$12+Calculations!$M18)/(Calculations!$C$12+Calculations!$C$9))+(1/(Calculations!O18-Calculations!$C$13))*('Reaction Information'!$L$46*(Calculations!$M18-Calculations!$C$9)+'Reaction Information'!$M$46*10^4*LN((Calculations!$C$12+Calculations!$M18)/(Calculations!$C$12+Calculations!$C$9)))+calculateOmega(Calculations!M18,Calculations!N18,Calculations!Q18,'Reaction Information'!$C$46,'Reaction Information'!$P$46*10^5,'Reaction Information'!$Q$46)*((1/Calculations!S18)-1)-'Reaction Information'!$P$46*10^5*((1/Calculations!$C$10)-1)+'Reaction Information'!$P$46*10^5*Calculations!$C$14*(Calculations!O18-Calculations!$C$8))</f>
        <v>0</v>
      </c>
      <c r="AT18" s="8">
        <f>IF(ISBLANK(Input!$BN$4),NA(),'Reaction Information'!$E$50-'Reaction Information'!$G$50*(Calculations!O18-Calculations!$C$8)-'Reaction Information'!$N$50*(Calculations!O18*LN(Calculations!O18/Calculations!$C$8)-Calculations!O18+Calculations!$C$8)-'Reaction Information'!$O$50*10^4*(((1/(Calculations!O18-Calculations!$C$13))-(1/(Calculations!$C$8-Calculations!$C$13)))*((Calculations!$C$13-Calculations!O18)/(Calculations!$C$13))-(Calculations!O18/(Calculations!$C$13*Calculations!$C$13))*LN((Calculations!$C$8*(Calculations!O18-Calculations!$C$13))/(Calculations!O18*(Calculations!$C$8-Calculations!$C$13))))+'Reaction Information'!$J$50*10^-1*(Calculations!$M18-Calculations!$C$9)+'Reaction Information'!$K$50*10^2*LN((Calculations!$C$12+Calculations!$M18)/(Calculations!$C$12+Calculations!$C$9))+(1/(Calculations!O18-Calculations!$C$13))*('Reaction Information'!$L$50*(Calculations!$M18-Calculations!$C$9)+'Reaction Information'!$M$50*10^4*LN((Calculations!$C$12+Calculations!$M18)/(Calculations!$C$12+Calculations!$C$9)))+calculateOmega(Calculations!M18,Calculations!N18,Calculations!Q18,'Reaction Information'!$C$50,'Reaction Information'!$P$50*10^5,'Reaction Information'!$Q$50)*((1/Calculations!S18)-1)-'Reaction Information'!$P$50*10^5*((1/Calculations!$C$10)-1)+'Reaction Information'!$P$50*10^5*Calculations!$C$14*(Calculations!O18-Calculations!$C$8))</f>
        <v>-154994.4125993558</v>
      </c>
      <c r="AU18" s="8" t="e">
        <f>IF(ISBLANK(Input!$BQ$4),NA(),'Reaction Information'!$E$54-'Reaction Information'!$G$54*(Calculations!$O18-Calculations!$C$8)-'Reaction Information'!$N$54*(Calculations!$O18*LN(Calculations!$O18/Calculations!$C$8)-Calculations!$O18+Calculations!$C$8)-'Reaction Information'!$O$54*10^4*(((1/(Calculations!$O18-Calculations!$C$13))-(1/(Calculations!$C$8-Calculations!$C$13)))*((Calculations!$C$13-Calculations!$O18)/(Calculations!$C$13))-(Calculations!$O18/(Calculations!$C$13*Calculations!$C$13))*LN((Calculations!$C$8*(Calculations!$O18-Calculations!$C$13))/(Calculations!$O18*(Calculations!$C$8-Calculations!$C$13))))+'Reaction Information'!$J$54*10^-1*(Calculations!$M18-Calculations!$C$9)+'Reaction Information'!$K$54*10^2*LN((Calculations!$C$12+Calculations!$M18)/(Calculations!$C$12+Calculations!$C$9))+(1/(Calculations!$O18-Calculations!$C$13))*('Reaction Information'!$L$54*(Calculations!$M18-Calculations!$C$9)+'Reaction Information'!$M$54*10^4*LN((Calculations!$C$12+Calculations!$M18)/(Calculations!$C$12+Calculations!$C$9)))+calculateOmega(Calculations!M18,Calculations!N18,Calculations!Q18,'Reaction Information'!$C$54,'Reaction Information'!$P$54*10^5,'Reaction Information'!$Q$54)*((1/Calculations!$S18)-1)-'Reaction Information'!$P$54*10^5*((1/Calculations!$C$10)-1)+'Reaction Information'!$P$54*10^5*Calculations!$C$14*(Calculations!$O18-Calculations!$C$8))</f>
        <v>#N/A</v>
      </c>
      <c r="AV18" s="8" t="e">
        <f>IF(ISBLANK(Input!$BT$4),NA(),'Reaction Information'!$E$58-'Reaction Information'!$G$58*(Calculations!$O18-Calculations!$C$8)-'Reaction Information'!$N$58*(Calculations!$O18*LN(Calculations!$O18/Calculations!$C$8)-Calculations!$O18+Calculations!$C$8)-'Reaction Information'!$O$58*10^4*(((1/(Calculations!$O18-Calculations!$C$13))-(1/(Calculations!$C$8-Calculations!$C$13)))*((Calculations!$C$13-Calculations!$O18)/(Calculations!$C$13))-(Calculations!$O18/(Calculations!$C$13*Calculations!$C$13))*LN((Calculations!$C$8*(Calculations!$O18-Calculations!$C$13))/(Calculations!$O18*(Calculations!$C$8-Calculations!$C$13))))+'Reaction Information'!$J$58*10^-1*(Calculations!$M18-Calculations!$C$9)+'Reaction Information'!$K$58*10^2*LN((Calculations!$C$12+Calculations!$M18)/(Calculations!$C$12+Calculations!$C$9))+(1/(Calculations!$O18-Calculations!$C$13))*('Reaction Information'!$L$58*(Calculations!$M18-Calculations!$C$9)+'Reaction Information'!$M$58*10^4*LN((Calculations!$C$12+Calculations!$M18)/(Calculations!$C$12+Calculations!$C$9)))+calculateOmega(Calculations!M18,Calculations!N18,Calculations!Q18,'Reaction Information'!$C$58,'Reaction Information'!$P$58*10^5,'Reaction Information'!$Q$58)*((1/Calculations!$S18)-1)-'Reaction Information'!$P$58*10^5*((1/Calculations!$C$10)-1)+'Reaction Information'!$P$58*10^5*Calculations!$C$14*(Calculations!$O18-Calculations!$C$8))</f>
        <v>#N/A</v>
      </c>
      <c r="AW18" s="8" t="e">
        <f>IF(ISBLANK(Input!$BW$4),NA(),'Reaction Information'!$E$62-'Reaction Information'!$G$62*(Calculations!$O18-Calculations!$C$8)-'Reaction Information'!$N$62*(Calculations!$O18*LN(Calculations!$O18/Calculations!$C$8)-Calculations!$O18+Calculations!$C$8)-'Reaction Information'!$O$62*10^4*(((1/(Calculations!$O18-Calculations!$C$13))-(1/(Calculations!$C$8-Calculations!$C$13)))*((Calculations!$C$13-Calculations!$O18)/(Calculations!$C$13))-(Calculations!$O18/(Calculations!$C$13*Calculations!$C$13))*LN((Calculations!$C$8*(Calculations!$O18-Calculations!$C$13))/(Calculations!$O18*(Calculations!$C$8-Calculations!$C$13))))+'Reaction Information'!$J$62*10^-1*(Calculations!$M18-Calculations!$C$9)+'Reaction Information'!$K$62*10^2*LN((Calculations!$C$12+Calculations!$M18)/(Calculations!$C$12+Calculations!$C$9))+(1/(Calculations!$O18-Calculations!$C$13))*('Reaction Information'!$L$62*(Calculations!$M18-Calculations!$C$9)+'Reaction Information'!$M$62*10^4*LN((Calculations!$C$12+Calculations!$M18)/(Calculations!$C$12+Calculations!$C$9)))+calculateOmega(Calculations!M18,Calculations!N18,Calculations!Q18,'Reaction Information'!$C$62,'Reaction Information'!$P$62*10^5,'Reaction Information'!$Q$62)*((1/Calculations!$S18)-1)-'Reaction Information'!$P$62*10^5*((1/Calculations!$C$10)-1)+'Reaction Information'!$P$62*10^5*Calculations!$C$14*(Calculations!$O18-Calculations!$C$8))</f>
        <v>#N/A</v>
      </c>
      <c r="AX18" s="8" t="e">
        <f>IF(ISBLANK(Input!$BZ$4),NA(),'Reaction Information'!$E$66-'Reaction Information'!$G$66*(Calculations!$O18-Calculations!$C$8)-'Reaction Information'!$N$66*(Calculations!$O18*LN(Calculations!$O18/Calculations!$C$8)-Calculations!$O18+Calculations!$C$8)-'Reaction Information'!$O$66*10^4*(((1/(Calculations!$O18-Calculations!$C$13))-(1/(Calculations!$C$8-Calculations!$C$13)))*((Calculations!$C$13-Calculations!$O18)/(Calculations!$C$13))-(Calculations!$O18/(Calculations!$C$13*Calculations!$C$13))*LN((Calculations!$C$8*(Calculations!$O18-Calculations!$C$13))/(Calculations!$O18*(Calculations!$C$8-Calculations!$C$13))))+'Reaction Information'!$J$66*10^-1*(Calculations!$M18-Calculations!$C$9)+'Reaction Information'!$K$66*10^2*LN((Calculations!$C$12+Calculations!$M18)/(Calculations!$C$12+Calculations!$C$9))+(1/(Calculations!$O18-Calculations!$C$13))*('Reaction Information'!$L$66*(Calculations!$M18-Calculations!$C$9)+'Reaction Information'!$M$66*10^4*LN((Calculations!$C$12+Calculations!$M18)/(Calculations!$C$12+Calculations!$C$9)))+calculateOmega(Calculations!M18,Calculations!N18,Calculations!Q18,'Reaction Information'!$C$66,'Reaction Information'!$P$66*10^5,'Reaction Information'!$Q$66)*((1/Calculations!$S18)-1)-'Reaction Information'!$P$66*10^5*((1/Calculations!$C$10)-1)+'Reaction Information'!$P$66*10^5*Calculations!$C$14*(Calculations!$O18-Calculations!$C$8))</f>
        <v>#N/A</v>
      </c>
      <c r="AY18" s="31">
        <f>(AL18*Input!$AO$4+AM18*Input!$AR$4+AN18*Input!$AU$4+AO18*Input!$AX$4+IF(ISNA(AP18),0,AP18*Input!$BA$4)+IF(ISNA(AQ18),0,AQ18*Input!$BD$4)+IF(ISNA(AR18),0,AR18*Input!$BG$4)+IF(ISNA(AS18),0,AS18*Input!$BJ$4)+IF(ISNA(AT18),0,AT18*Input!$BM$4)+IF(ISNA(AU18),0,AU18*Input!$BP$4)+IF(ISNA(AV18),0,AV18*Input!$BS$4)+IF(ISNA(AW18),0,AW18*Input!$BV$4)+IF(ISNA(AX18),0,AX18*Input!$BY$4))-(Y18*Input!$B$4+Z18*Input!$E$4+AA18*Input!$H$4+AB18*Input!$K$4+IF(ISNA(AC18),0,AC18*Input!$N$4)+IF(ISNA(AD18),0,AD18*Input!$Q$4)+IF(ISNA(AE18),0,AE18*Input!$T$4)+IF(ISNA(AF18),0,AF18*Input!$W$4)+IF(ISNA(AG18),0,AG18*Input!$Z$4)+IF(ISNA(AH18),0,AH18*Input!$AC$4)+IF(ISNA(AI18),0,AI18*Input!$AF$4)+IF(ISNA(AJ18),0,AJ18*Input!$AI$4)+IF(ISNA(AK18),0,AK18*Input!$AL$4))</f>
        <v>57433.912947536446</v>
      </c>
      <c r="AZ18" s="42">
        <f t="shared" si="7"/>
        <v>-10.706480595081764</v>
      </c>
      <c r="BA18" s="1">
        <f t="shared" si="8"/>
        <v>900</v>
      </c>
      <c r="BB18" s="46">
        <f t="shared" si="9"/>
        <v>5000</v>
      </c>
      <c r="BC18" s="1"/>
      <c r="BD18" s="2">
        <f t="shared" si="10"/>
        <v>5000</v>
      </c>
      <c r="BE18" s="46">
        <f t="shared" si="11"/>
        <v>900</v>
      </c>
      <c r="BF18" s="1">
        <f>Results!AJ20</f>
        <v>0</v>
      </c>
      <c r="BG18" s="1">
        <f>Results!AK20</f>
        <v>0</v>
      </c>
      <c r="BH18" s="1">
        <f>Results!AL20</f>
        <v>0</v>
      </c>
      <c r="BI18" s="1">
        <f>Results!AM20</f>
        <v>0</v>
      </c>
      <c r="BJ18" s="1" t="e">
        <f>IF(OR(ISNA('Reaction Information'!$D$5), $N18 = "", $D$27 = FALSE, 'Reaction Information'!$D$5 = ""), NA(), 24.465)</f>
        <v>#N/A</v>
      </c>
      <c r="BK18" s="1" t="e">
        <f>IF(OR(ISNA('Reaction Information'!$D$9), $N18 = "", $D$27 = FALSE, 'Reaction Information'!$D$9 = ""), NA(), 24.465)</f>
        <v>#N/A</v>
      </c>
      <c r="BL18" s="8">
        <f t="shared" si="0"/>
        <v>28.075280023954257</v>
      </c>
      <c r="BM18" s="8">
        <f>IF(OR(ISBLANK(Input!$X$4),$D$27=FALSE),NA(),('Reaction Information'!$J$13/10+'Reaction Information'!$K$13*100/(Calculations!$C$12+Calculations!$M18)+('Reaction Information'!$L$13+'Reaction Information'!$M$13*10^4/(Calculations!$C$12+Calculations!$M18))/(Calculations!$O18-Calculations!$C$13) -calculateOmega(Calculations!$M18,Calculations!$N18,Calculations!$Q18,'Reaction Information'!$C$13,'Reaction Information'!$P$13*10^5,'Reaction Information'!$Q$13)*Calculations!$U18*10^-6 + (1/$S18 - 1)*calculate_domegadP(Calculations!$M18,Calculations!$N18,Calculations!$Q18,'Reaction Information'!$C$13,'Reaction Information'!$P$13*10^5,'Reaction Information'!$Q$13,$D$20,$D$19=3))*41.84)</f>
        <v>66.759595276949156</v>
      </c>
      <c r="BN18" s="8" t="e">
        <f>IF(OR(ISBLANK(Input!$AA$4),$D$27=FALSE),NA(),('Reaction Information'!$J$17/10+'Reaction Information'!$K$17*100/(Calculations!$C$12+Calculations!$M18)+('Reaction Information'!$L$17+'Reaction Information'!$M$17*10000/(Calculations!$C$12+Calculations!$M18))/(Calculations!$O18-Calculations!$C$13)-calculateOmega(Calculations!M18,Calculations!N18,Calculations!Q18,'Reaction Information'!$C$17,'Reaction Information'!$P$17*10^5,'Reaction Information'!$Q$17)*Calculations!$U18*10^-6 + (1/$S18 - 1)*calculate_domegadP(Calculations!M18,Calculations!N18,Calculations!Q18,'Reaction Information'!$C$17,'Reaction Information'!$P$17*10^5,'Reaction Information'!$Q$17,$D$20,$D$19=3))*41.84)</f>
        <v>#N/A</v>
      </c>
      <c r="BO18" s="8" t="e">
        <f>IF(OR(ISBLANK(Input!$AD$4),$D$27=FALSE),NA(),('Reaction Information'!$J$21/10+'Reaction Information'!$K$21*100/(Calculations!$C$12+Calculations!$M18)+('Reaction Information'!$L$21+'Reaction Information'!$M$21*10000/(Calculations!$C$12+Calculations!$M18))/(Calculations!$O18-Calculations!$C$13)-calculateOmega(Calculations!M18,Calculations!N18,Calculations!Q18,'Reaction Information'!$C$21,'Reaction Information'!$P$21*10^5,'Reaction Information'!$Q$21)*Calculations!$U18*10^-6 + (1/$S18 - 1)*calculate_domegadP(Calculations!M18,Calculations!N18,Calculations!Q18,'Reaction Information'!$C$21,'Reaction Information'!$P$21*10^5,'Reaction Information'!$Q$21,$D$20,$D$19=3))*41.84)</f>
        <v>#N/A</v>
      </c>
      <c r="BP18" s="8" t="e">
        <f>IF(OR(ISBLANK(Input!$AG$4),$D$27=FALSE),NA(),('Reaction Information'!$J$25/10+'Reaction Information'!$K$25*100/(Calculations!$C$12+Calculations!$M18)+('Reaction Information'!$L$25+'Reaction Information'!$M$25*10000/(Calculations!$C$12+Calculations!$M18))/(Calculations!$O18-Calculations!$C$13)-calculateOmega(Calculations!M18,Calculations!N18,Calculations!Q18,'Reaction Information'!$C$25,'Reaction Information'!$P$25*10^5,'Reaction Information'!$Q$25)*Calculations!$U18*10^-6 + (1/$S18 - 1)*calculate_domegadP(Calculations!M18,Calculations!N18,Calculations!Q18,'Reaction Information'!$C$25,'Reaction Information'!$P$25*10^5,'Reaction Information'!$Q$25,$D$20,$D$19=3))*41.84)</f>
        <v>#N/A</v>
      </c>
      <c r="BQ18" s="8" t="e">
        <f>IF(OR(ISBLANK(Input!$AJ$4),$D$27=FALSE),NA(),('Reaction Information'!$J$29/10+'Reaction Information'!$K$29*100/(Calculations!$C$12+Calculations!$M18)+('Reaction Information'!$L$29+'Reaction Information'!$M$29*10000/(Calculations!$C$12+Calculations!$M18))/(Calculations!$O18-Calculations!$C$13)-calculateOmega(Calculations!M18,Calculations!N18,Calculations!Q18,'Reaction Information'!$C$29,'Reaction Information'!$P$29*10^5,'Reaction Information'!$Q$29)*Calculations!$U18*10^-6 + (1/$S18 - 1)*calculate_domegadP(Calculations!M18,Calculations!N18,Calculations!Q18,'Reaction Information'!$C$29,'Reaction Information'!$P$29*10^5,'Reaction Information'!$Q$29,$D$20,$D$19=3))*41.84)</f>
        <v>#N/A</v>
      </c>
      <c r="BR18" s="8" t="e">
        <f>IF(OR(ISBLANK(Input!$AM$4),$D$27=FALSE),NA(),('Reaction Information'!$J$33/10+'Reaction Information'!$K$33*100/(Calculations!$C$12+Calculations!$M18)+('Reaction Information'!$L$33+'Reaction Information'!$M$33*10000/(Calculations!$C$12+Calculations!$M18))/(Calculations!$O18-Calculations!$C$13)-calculateOmega(Calculations!M18,Calculations!N18,Calculations!Q18,'Reaction Information'!$C$33,'Reaction Information'!$P$33*10^5,'Reaction Information'!$Q$33)*Calculations!$U18*10^-6 + (1/$S18 - 1)*calculate_domegadP(Calculations!M18,Calculations!N18,Calculations!Q18,'Reaction Information'!$C$33,'Reaction Information'!$P$33*10^5,'Reaction Information'!$Q$33,$D$20,$D$19=3))*41.84)</f>
        <v>#N/A</v>
      </c>
      <c r="BS18" s="1">
        <f>Results!AW20</f>
        <v>0</v>
      </c>
      <c r="BT18" s="1">
        <f>Results!AX20</f>
        <v>0</v>
      </c>
      <c r="BU18" s="1">
        <f>Results!AY20</f>
        <v>0</v>
      </c>
      <c r="BV18" s="1">
        <f>Results!AZ20</f>
        <v>0</v>
      </c>
      <c r="BW18" s="1" t="e">
        <f>IF(OR(ISNA('Reaction Information'!$D$38), $N18 = "", $D$27 = FALSE, 'Reaction Information'!$D$38 = ""), NA(), 24.465)</f>
        <v>#N/A</v>
      </c>
      <c r="BX18" s="1" t="e">
        <f>IF(OR(ISNA('Reaction Information'!$D$42), $N18 = "", $D$27 = FALSE, 'Reaction Information'!$D$42 = ""), NA(), 24.465)</f>
        <v>#N/A</v>
      </c>
      <c r="BY18" s="8" t="e">
        <f t="shared" si="1"/>
        <v>#N/A</v>
      </c>
      <c r="BZ18" s="8">
        <f>IF(OR(ISBLANK(Input!$BK$4),$D$27=FALSE),NA(),('Reaction Information'!$J$46/10+'Reaction Information'!$K$46*100/(Calculations!$C$12+Calculations!$M18)+('Reaction Information'!$L$46+'Reaction Information'!$M$46*10000/(Calculations!$C$12+Calculations!$M18))/(Calculations!$O18-Calculations!$C$13)-calculateOmega(Calculations!M18,Calculations!N18,Calculations!Q18,'Reaction Information'!$C$46,'Reaction Information'!$P$46*10^5,'Reaction Information'!$Q$46)*Calculations!$U18*10^-6 + (1/$S18 - 1)*calculate_domegadP(Calculations!M18,Calculations!N18,Calculations!Q18,'Reaction Information'!$C$46,'Reaction Information'!$P$46*10^5,'Reaction Information'!$Q$46,$D$20,$D$19=3))*41.84)</f>
        <v>0</v>
      </c>
      <c r="CA18" s="8">
        <f>IF(OR(ISBLANK(Input!$BN$4),$D$27=FALSE),NA(),('Reaction Information'!$J$50/10+'Reaction Information'!$K$50*100/(Calculations!$C$12+Calculations!$M18)+('Reaction Information'!$L$50+'Reaction Information'!$M$50*10000/(Calculations!$C$12+Calculations!$M18))/(Calculations!$O18-Calculations!$C$13)-calculateOmega(Calculations!M18,Calculations!N18,Calculations!Q18,'Reaction Information'!$C$50,'Reaction Information'!$P$50*10^5,'Reaction Information'!$Q$50)*Calculations!$U18*10^-6 + (1/$S18 - 1)*calculate_domegadP(Calculations!M18,Calculations!N18,Calculations!Q18,'Reaction Information'!$C$50,'Reaction Information'!$P$50*10^5,'Reaction Information'!$Q$50,$D$20,$D$19=3))*41.84)</f>
        <v>-22.7477762786989</v>
      </c>
      <c r="CB18" s="8" t="e">
        <f>IF(OR(ISBLANK(Input!$BQ$4),$D$27=FALSE),NA(),('Reaction Information'!$J$54/10+'Reaction Information'!$K$54*100/(Calculations!$C$12+Calculations!$M18)+('Reaction Information'!$L$54+'Reaction Information'!$M$54*10000/(Calculations!$C$12+Calculations!$M18))/(Calculations!$O18-Calculations!$C$13)-calculateOmega(Calculations!M18,Calculations!N18,Calculations!Q18,'Reaction Information'!$C$54,'Reaction Information'!$P$54*10^5,'Reaction Information'!$Q$54)*Calculations!$U18*10^-6 + (1/$S18 - 1)*calculate_domegadP(Calculations!M18,Calculations!N18,Calculations!Q18,'Reaction Information'!$C$54,'Reaction Information'!$P$54*10^5,'Reaction Information'!$Q$54,$D$20,$D$19=3))*41.84)</f>
        <v>#N/A</v>
      </c>
      <c r="CC18" s="8" t="e">
        <f>IF(OR(ISBLANK(Input!$BT$4),$D$27=FALSE),NA(),('Reaction Information'!$J$58/10+'Reaction Information'!$K$58*100/(Calculations!$C$12+Calculations!$M18)+('Reaction Information'!$L$58+'Reaction Information'!$M$58*10000/(Calculations!$C$12+Calculations!$M18))/(Calculations!$O18-Calculations!$C$13)-calculateOmega(Calculations!M18,Calculations!N18,Calculations!Q18,'Reaction Information'!$C$58,'Reaction Information'!$P$58*10^5,'Reaction Information'!$Q$58)*Calculations!$U18*10^-6 + (1/$S18 - 1)*calculate_domegadP(Calculations!M18,Calculations!N18,Calculations!Q18,'Reaction Information'!$C$58,'Reaction Information'!$P$58*10^5,'Reaction Information'!$Q$58,$D$20,$D$19=3))*41.84)</f>
        <v>#N/A</v>
      </c>
      <c r="CD18" s="8" t="e">
        <f>IF(OR(ISBLANK(Input!$BW$4),$D$27=FALSE),NA(),('Reaction Information'!$J$62/10+'Reaction Information'!$K$62*100/(Calculations!$C$12+Calculations!$M18)+('Reaction Information'!$L$62+'Reaction Information'!$M$62*10000/(Calculations!$C$12+Calculations!$M18))/(Calculations!$O18-Calculations!$C$13)-calculateOmega(Calculations!M18,Calculations!N18,Calculations!Q18,'Reaction Information'!$C$62,'Reaction Information'!$P$62*10^5,'Reaction Information'!$Q$62)*Calculations!$U18*10^-6 + (1/$S18 - 1)*calculate_domegadP(Calculations!M18,Calculations!N18,Calculations!Q18,'Reaction Information'!$C$62,'Reaction Information'!$P$62*10^5,'Reaction Information'!$Q$62,$D$20,$D$19=3))*41.84)</f>
        <v>#N/A</v>
      </c>
      <c r="CE18" s="8" t="e">
        <f>IF(OR(ISBLANK(Input!$BZ$4),$D$27=FALSE),NA(),('Reaction Information'!$J$66/10+'Reaction Information'!$K$66*100/(Calculations!$C$12+Calculations!$M18)+('Reaction Information'!$L$66+'Reaction Information'!$M$66*10000/(Calculations!$C$12+Calculations!$M18))/(Calculations!$O18-Calculations!$C$13)-calculateOmega(Calculations!M18,Calculations!N18,Calculations!Q18,'Reaction Information'!$C$66,'Reaction Information'!$P$66*10^5,'Reaction Information'!$Q$66)*Calculations!$U18*10^-6 + (1/$S18 - 1)*calculate_domegadP(Calculations!M18,Calculations!N18,Calculations!Q18,'Reaction Information'!$C$66,'Reaction Information'!$P$66*10^5,'Reaction Information'!$Q$66,$D$20,$D$19=3))*41.84)</f>
        <v>#N/A</v>
      </c>
      <c r="CF18" s="31">
        <f>(BS18*Input!$AO$4+BT18*Input!$AR$4+BU18*Input!$AU$4+BV18*Input!$AX$4+IF(ISNA(BW18),0,BW18*Input!$BA$4)+IF(ISNA(BX18),0,BX18*Input!$BD$4)+IF(ISNA(BY18),0,BY18*Input!$BG$4)+IF(ISNA(BZ18),0,BZ18*Input!$BJ$4)+IF(ISNA(CA18),0,CA18*Input!$BM$4)+IF(ISNA(CB18),0,CB18*Input!$BP$4)+IF(ISNA(CC18),0,CC18*Input!$BS$4)+IF(ISNA(CD18),0,CD18*Input!$BV$4)+IF(ISNA(CE18),0,CE18*Input!$BY$4))-(BF18*Input!$B$4+BG18*Input!$E$4+BH18*Input!$H$4+BI18*Input!$K$4+IF(ISNA(BJ18),0,BJ18*Input!$N$4)+IF(ISNA(BK18),0,BK18*Input!$Q$4)+IF(ISNA(BL18),0,BL18*Input!$T$4)+IF(ISNA(BM18),0,BM18*Input!$W$4)+IF(ISNA(BN18),0,BN18*Input!$Z$4)+IF(ISNA(BO18),0,BO18*Input!$AC$4)+IF(ISNA(BP18),0,BP18*Input!$AF$4)+IF(ISNA(BQ18),0,BQ18*Input!$AI$4)+IF(ISNA(BR18),0,BR18*Input!$AL$4))</f>
        <v>-117.5826515796023</v>
      </c>
      <c r="CG18" s="1">
        <f t="shared" si="12"/>
        <v>900</v>
      </c>
      <c r="CH18" s="46">
        <f t="shared" si="13"/>
        <v>5000</v>
      </c>
      <c r="CI18" s="1"/>
    </row>
    <row r="19" spans="1:87" ht="15" customHeight="1" x14ac:dyDescent="0.2">
      <c r="A19" s="1"/>
      <c r="B19" s="273" t="s">
        <v>588</v>
      </c>
      <c r="C19" s="273"/>
      <c r="D19" s="7">
        <v>2</v>
      </c>
      <c r="E19" s="1"/>
      <c r="F19" s="2">
        <v>14</v>
      </c>
      <c r="G19" s="1" t="str">
        <f>IF(ISBLANK(Input!CB19), "", Input!CB19*1000)</f>
        <v/>
      </c>
      <c r="H19" s="1" t="str">
        <f>IF(ISBLANK(Input!CC19), "", Input!CC19)</f>
        <v/>
      </c>
      <c r="I19" s="1">
        <f>IF(Input!$CF$5 + Input!$CF$6*(FLOOR((Calculations!$F19-1)/(FLOOR((Input!$CF$12-Input!$CF$10)/Input!$CF$11,1)+1),1)) &gt; Input!$CF$7, "", (Input!$CF$5 + Input!$CF$6*(FLOOR((Calculations!$F19-1)/(FLOOR((Input!$CF$12-Input!$CF$10)/Input!$CF$11,1)+1),1)))*1000)</f>
        <v>5000</v>
      </c>
      <c r="J19" s="1">
        <f>IF(Calculations!I19 = "", "", Input!$CF$10 + Input!$CF$11*(Calculations!$F19-1) - (FLOOR((Input!$CF$12-Input!$CF$10)/Input!$CF$11,1)+1)*Input!$CF$11*FLOOR((Calculations!$F19-1)/(FLOOR((Input!$CF$12-Input!$CF$10)/Input!$CF$11,1)+1),1))</f>
        <v>950</v>
      </c>
      <c r="K19" s="8">
        <f t="shared" si="14"/>
        <v>120.29960825318339</v>
      </c>
      <c r="L19" s="117">
        <f>IF(OR(Input!$CJ$5 + Input!$CJ$6*(Calculations!F19-1) &gt; Input!$CJ$7, Input!$CJ$5 + Input!$CJ$6*(Calculations!F19-1) &gt; 350), "", Input!$CJ$5 + Input!$CJ$6*(Calculations!F19-1))</f>
        <v>325</v>
      </c>
      <c r="M19" s="1">
        <f t="shared" si="2"/>
        <v>5000</v>
      </c>
      <c r="N19" s="1">
        <f t="shared" si="3"/>
        <v>950</v>
      </c>
      <c r="O19" s="1">
        <f t="shared" si="4"/>
        <v>1223.1500000000001</v>
      </c>
      <c r="P19" s="1" t="e">
        <f>IF(OR($D$20=3,AND($D$21=TRUE,M19&lt;1000)),INDEX('Water Density'!$C$6:$CX$120,MATCH(Calculations!N19,'Water Density'!$B$6:$B$120),MATCH(Calculations!M19/1000,'Water Density'!$C$5:$CX$5)),NA())</f>
        <v>#N/A</v>
      </c>
      <c r="Q19" s="182">
        <f>IF(OR($D$20=3,AND($D$21=TRUE,M19&lt;1000)), IF(P19&lt;&gt;0,P19,NA()), calculateDensity(M19,N19,$D$20,0.01,$D$19 = 3))</f>
        <v>0.61899818375110627</v>
      </c>
      <c r="R19" s="1" t="e">
        <f>IF($D$22=5,INDEX('Dielectric Constant'!$C$6:$CX$120,MATCH(Calculations!N19,'Dielectric Constant'!$B$6:$B$120),MATCH(Calculations!M19/1000,'Dielectric Constant'!$C$5:$CX$5)),NA())</f>
        <v>#N/A</v>
      </c>
      <c r="S19" s="58">
        <f>IF($D$22=5, IF(R19&lt;&gt;0,R19,NA()), IF(AND($D$23,M19&lt;=5000,$D$19 &lt;&gt; 3),calculateEpsilon(Q19,N19,1,FALSE),calculateEpsilon(Q19,N19,$D$22,$D$19 = 3)))</f>
        <v>6.707617140399285</v>
      </c>
      <c r="T19" s="1" t="e">
        <f>IF($D$24=3,INDEX('Water Free Energy'!$C$6:$CX$120,MATCH(Calculations!N19,'Water Free Energy'!$B$6:$B$120),MATCH(Calculations!M19/1000,'Water Free Energy'!$C$5:$CX$5)),NA())</f>
        <v>#N/A</v>
      </c>
      <c r="U19" s="179">
        <f>IF($D$27,calculateQ(M19,N19,Q19,$D$20,$D$22,$D$19=3)*10^6,NA())</f>
        <v>12.622451814463561</v>
      </c>
      <c r="V19"/>
      <c r="W19" s="2">
        <f t="shared" si="5"/>
        <v>5000</v>
      </c>
      <c r="X19" s="1">
        <f t="shared" si="6"/>
        <v>950</v>
      </c>
      <c r="Y19" s="1">
        <f>Results!F21</f>
        <v>0</v>
      </c>
      <c r="Z19" s="1">
        <f>Results!G21</f>
        <v>0</v>
      </c>
      <c r="AA19" s="1">
        <f>Results!H21</f>
        <v>0</v>
      </c>
      <c r="AB19" s="1">
        <f>Results!I21</f>
        <v>0</v>
      </c>
      <c r="AC19" s="1" t="e">
        <f>IF(ISBLANK(Input!$O$4),NA(),'Reaction Information'!$E$5-'Reaction Information'!$G$5*(Calculations!$O19-Calculations!$C$8)+'Reaction Information'!$I$5*(Calculations!$O19-Calculations!$C$8-Calculations!$O19*LN(Calculations!$O19/Calculations!$C$8))+'Reaction Information'!$J$5*0.001/2*(2*Calculations!$O19*Calculations!$C$8-Calculations!$O19^2-Calculations!$C$8^2) + 'Reaction Information'!$K$5*100000*(Calculations!$O19^2 + Calculations!$C$8^2 - 2*Calculations!$O19*Calculations!$C$8)/(2*Calculations!$O19*Calculations!$C$8^2))</f>
        <v>#N/A</v>
      </c>
      <c r="AD19" s="8" t="e">
        <f>IF(ISBLANK(Input!$R$4),NA(),'Reaction Information'!$E$9-'Reaction Information'!$G$9*(Calculations!$O19-Calculations!$C$8)+'Reaction Information'!$I$9*(Calculations!$O19-Calculations!$C$8-Calculations!$O19*LN(Calculations!$O19/Calculations!$C$8))+'Reaction Information'!$J$9*0.001/2*(2*Calculations!$O19*Calculations!$C$8-Calculations!$O19^2-Calculations!$C$8^2) + 'Reaction Information'!$K$9*100000*(Calculations!$O19^2 + Calculations!$C$8^2 - 2*Calculations!$O19*Calculations!$C$8)/(2*Calculations!$O19*Calculations!$C$8^2))</f>
        <v>#N/A</v>
      </c>
      <c r="AE19" s="8">
        <f>IF(AE$5="H2O",IF($D$24=3,IF(T19=0,NA(),T19),calculateGibbsOfWater(M19,N19,$D$24,$D$20,$D$19=3)),NA())</f>
        <v>-82331.898265521158</v>
      </c>
      <c r="AF19" s="8">
        <f>IF(ISBLANK(Input!$X$4),NA(),'Reaction Information'!$E$13-'Reaction Information'!$G$13*(Calculations!O19-Calculations!$C$8)-'Reaction Information'!$N$13*(Calculations!O19*LN(Calculations!O19/Calculations!$C$8)-Calculations!O19+Calculations!$C$8)-'Reaction Information'!$O$13*10^4*(((1/(Calculations!O19-Calculations!$C$13))-(1/(Calculations!$C$8-Calculations!$C$13)))*((Calculations!$C$13-Calculations!O19)/(Calculations!$C$13))-(Calculations!O19/(Calculations!$C$13*Calculations!$C$13))*LN((Calculations!$C$8*(Calculations!O19-Calculations!$C$13))/(Calculations!O19*(Calculations!$C$8-Calculations!$C$13))))+'Reaction Information'!$J$13*10^-1*(Calculations!M19-Calculations!$C$9)+'Reaction Information'!$K$13*10^2*LN((Calculations!$C$12+Calculations!M19)/(Calculations!$C$12+Calculations!$C$9))+(1/(Calculations!O19-Calculations!$C$13))*('Reaction Information'!$L$13*(Calculations!M19-Calculations!$C$9)+'Reaction Information'!$M$13*10^4*LN((Calculations!$C$12+Calculations!M19)/(Calculations!$C$12+Calculations!$C$9)))+calculateOmega(Calculations!M19,Calculations!N19,Calculations!Q19,'Reaction Information'!$C$13,'Reaction Information'!$P$13*10^5,'Reaction Information'!$Q$13)*((1/Calculations!S19)-1)-'Reaction Information'!$P$13*10^5*((1/Calculations!$C$10)-1)+'Reaction Information'!$P$13*10^5*Calculations!$C$14*(Calculations!O19-Calculations!$C$8))</f>
        <v>-135306.67311824718</v>
      </c>
      <c r="AG19" s="8" t="e">
        <f>IF(ISBLANK(Input!$AA$4),NA(),'Reaction Information'!$E$17-'Reaction Information'!$G$17*(Calculations!$O19-Calculations!$C$8)-'Reaction Information'!$N$17*(Calculations!$O19*LN(Calculations!$O19/Calculations!$C$8)-Calculations!$O19+Calculations!$C$8)-'Reaction Information'!$O$17*10^4*(((1/(Calculations!$O19-Calculations!$C$13))-(1/(Calculations!$C$8-Calculations!$C$13)))*((Calculations!$C$13-Calculations!$O19)/(Calculations!$C$13))-(Calculations!$O19/(Calculations!$C$13*Calculations!$C$13))*LN((Calculations!$C$8*(Calculations!$O19-Calculations!$C$13))/(Calculations!$O19*(Calculations!$C$8-Calculations!$C$13))))+'Reaction Information'!$J$17*10^-1*(Calculations!$M19-Calculations!$C$9)+'Reaction Information'!$K$17*10^2*LN((Calculations!$C$12+Calculations!$M19)/(Calculations!$C$12+Calculations!$C$9))+(1/(Calculations!$O19-Calculations!$C$13))*('Reaction Information'!$L$17*(Calculations!$M19-Calculations!$C$9)+'Reaction Information'!$M$17*10^4*LN((Calculations!$C$12+Calculations!$M19)/(Calculations!$C$12+Calculations!$C$9)))+calculateOmega(Calculations!M19,Calculations!N19,Calculations!Q19,'Reaction Information'!$C$17,'Reaction Information'!$P$17*10^5,'Reaction Information'!$Q$17)*((1/Calculations!$S19)-1)-'Reaction Information'!$P$17*10^5*((1/Calculations!$C$10)-1)+'Reaction Information'!$P$17*10^5*Calculations!$C$14*(Calculations!$O19-Calculations!$C$8))</f>
        <v>#N/A</v>
      </c>
      <c r="AH19" s="8" t="e">
        <f>IF(ISBLANK(Input!$AD$4),NA(),'Reaction Information'!$E$21-'Reaction Information'!$G$21*(Calculations!$O19-Calculations!$C$8)-'Reaction Information'!$N$21*(Calculations!$O19*LN(Calculations!$O19/Calculations!$C$8)-Calculations!$O19+Calculations!$C$8)-'Reaction Information'!$O$21*10^4*(((1/(Calculations!$O19-Calculations!$C$13))-(1/(Calculations!$C$8-Calculations!$C$13)))*((Calculations!$C$13-Calculations!$O19)/(Calculations!$C$13))-(Calculations!$O19/(Calculations!$C$13*Calculations!$C$13))*LN((Calculations!$C$8*(Calculations!$O19-Calculations!$C$13))/(Calculations!$O19*(Calculations!$C$8-Calculations!$C$13))))+'Reaction Information'!$J$21*10^-1*(Calculations!$M19-Calculations!$C$9)+'Reaction Information'!$K$21*10^2*LN((Calculations!$C$12+Calculations!$M19)/(Calculations!$C$12+Calculations!$C$9))+(1/(Calculations!$O19-Calculations!$C$13))*('Reaction Information'!$L$21*(Calculations!$M19-Calculations!$C$9)+'Reaction Information'!$M$21*10^4*LN((Calculations!$C$12+Calculations!$M19)/(Calculations!$C$12+Calculations!$C$9)))+calculateOmega(Calculations!M19,Calculations!N19,Calculations!Q19,'Reaction Information'!$C$21,'Reaction Information'!$P$21*10^5,'Reaction Information'!$Q$21)*((1/Calculations!$S19)-1)-'Reaction Information'!$P$21*10^5*((1/Calculations!$C$10)-1)+'Reaction Information'!$P$21*10^5*Calculations!$C$14*(Calculations!$O19-Calculations!$C$8))</f>
        <v>#N/A</v>
      </c>
      <c r="AI19" s="8" t="e">
        <f>IF(ISBLANK(Input!$AG$4),NA(),'Reaction Information'!$E$25-'Reaction Information'!$G$25*(Calculations!$O19-Calculations!$C$8)-'Reaction Information'!$N$25*(Calculations!$O19*LN(Calculations!$O19/Calculations!$C$8)-Calculations!$O19+Calculations!$C$8)-'Reaction Information'!$O$25*10^4*(((1/(Calculations!$O19-Calculations!$C$13))-(1/(Calculations!$C$8-Calculations!$C$13)))*((Calculations!$C$13-Calculations!$O19)/(Calculations!$C$13))-(Calculations!$O19/(Calculations!$C$13*Calculations!$C$13))*LN((Calculations!$C$8*(Calculations!$O19-Calculations!$C$13))/(Calculations!$O19*(Calculations!$C$8-Calculations!$C$13))))+'Reaction Information'!$J$25*10^-1*(Calculations!$M19-Calculations!$C$9)+'Reaction Information'!$K$25*10^2*LN((Calculations!$C$12+Calculations!$M19)/(Calculations!$C$12+Calculations!$C$9))+(1/(Calculations!$O19-Calculations!$C$13))*('Reaction Information'!$L$25*(Calculations!$M19-Calculations!$C$9)+'Reaction Information'!$M$25*10^4*LN((Calculations!$C$12+Calculations!$M19)/(Calculations!$C$12+Calculations!$C$9)))+calculateOmega(Calculations!M19,Calculations!N19,Calculations!Q19,'Reaction Information'!$C$25,'Reaction Information'!$P$25*10^5,'Reaction Information'!$Q$25)*((1/Calculations!$S19)-1)-'Reaction Information'!$P$25*10^5*((1/Calculations!$C$10)-1)+'Reaction Information'!$P$25*10^5*Calculations!$C$14*(Calculations!$O19-Calculations!$C$8))</f>
        <v>#N/A</v>
      </c>
      <c r="AJ19" s="8" t="e">
        <f>IF(ISBLANK(Input!$AJ$4),NA(),'Reaction Information'!$E$29-'Reaction Information'!$G$29*(Calculations!$O19-Calculations!$C$8)-'Reaction Information'!$N$29*(Calculations!$O19*LN(Calculations!$O19/Calculations!$C$8)-Calculations!$O19+Calculations!$C$8)-'Reaction Information'!$O$29*10^4*(((1/(Calculations!$O19-Calculations!$C$13))-(1/(Calculations!$C$8-Calculations!$C$13)))*((Calculations!$C$13-Calculations!$O19)/(Calculations!$C$13))-(Calculations!$O19/(Calculations!$C$13*Calculations!$C$13))*LN((Calculations!$C$8*(Calculations!$O19-Calculations!$C$13))/(Calculations!$O19*(Calculations!$C$8-Calculations!$C$13))))+'Reaction Information'!$J$29*10^-1*(Calculations!$M19-Calculations!$C$9)+'Reaction Information'!$K$29*10^2*LN((Calculations!$C$12+Calculations!$M19)/(Calculations!$C$12+Calculations!$C$9))+(1/(Calculations!$O19-Calculations!$C$13))*('Reaction Information'!$L$29*(Calculations!$M19-Calculations!$C$9)+'Reaction Information'!$M$29*10^4*LN((Calculations!$C$12+Calculations!$M19)/(Calculations!$C$12+Calculations!$C$9)))+calculateOmega(Calculations!M19,Calculations!N19,Calculations!Q19,'Reaction Information'!$C$29,'Reaction Information'!$P$29*10^5,'Reaction Information'!$Q$29)*((1/Calculations!$S19)-1)-'Reaction Information'!$P$29*10^5*((1/Calculations!$C$10)-1)+'Reaction Information'!$P$29*10^5*Calculations!$C$14*(Calculations!$O19-Calculations!$C$8))</f>
        <v>#N/A</v>
      </c>
      <c r="AK19" s="8" t="e">
        <f>IF(ISBLANK(Input!$AM$4),NA(),'Reaction Information'!$E$33-'Reaction Information'!$G$33*(Calculations!$O19-Calculations!$C$8)-'Reaction Information'!$N$33*(Calculations!$O19*LN(Calculations!$O19/Calculations!$C$8)-Calculations!$O19+Calculations!$C$8)-'Reaction Information'!$O$33*10^4*(((1/(Calculations!$O19-Calculations!$C$13))-(1/(Calculations!$C$8-Calculations!$C$13)))*((Calculations!$C$13-Calculations!$O19)/(Calculations!$C$13))-(Calculations!$O19/(Calculations!$C$13*Calculations!$C$13))*LN((Calculations!$C$8*(Calculations!$O19-Calculations!$C$13))/(Calculations!$O19*(Calculations!$C$8-Calculations!$C$13))))+'Reaction Information'!$J$33*10^-1*(Calculations!$M19-Calculations!$C$9)+'Reaction Information'!$K$33*10^2*LN((Calculations!$C$12+Calculations!$M19)/(Calculations!$C$12+Calculations!$C$9))+(1/(Calculations!$O19-Calculations!$C$13))*('Reaction Information'!$L$33*(Calculations!$M19-Calculations!$C$9)+'Reaction Information'!$M$33*10^4*LN((Calculations!$C$12+Calculations!$M19)/(Calculations!$C$12+Calculations!$C$9)))+calculateOmega(Calculations!M19,Calculations!N19,Calculations!Q19,'Reaction Information'!$C$33,'Reaction Information'!$P$33*10^5,'Reaction Information'!$Q$33)*((1/Calculations!$S19)-1)-'Reaction Information'!$P$33*10^5*((1/Calculations!$C$10)-1)+'Reaction Information'!$P$33*10^5*Calculations!$C$14*(Calculations!$O19-Calculations!$C$8))</f>
        <v>#N/A</v>
      </c>
      <c r="AL19" s="1">
        <f>Results!S21</f>
        <v>0</v>
      </c>
      <c r="AM19" s="1">
        <f>Results!T21</f>
        <v>0</v>
      </c>
      <c r="AN19" s="1">
        <f>Results!U21</f>
        <v>0</v>
      </c>
      <c r="AO19" s="1">
        <f>Results!V21</f>
        <v>0</v>
      </c>
      <c r="AP19" s="8" t="e">
        <f>IF(ISBLANK(Input!$BB$4),NA(),'Reaction Information'!$E$38-'Reaction Information'!$G$38*(Calculations!$O19-Calculations!$C$8)+'Reaction Information'!$I$38*(Calculations!$O19-Calculations!$C$8-Calculations!$O19*LN(Calculations!$O19/Calculations!$C$8))+'Reaction Information'!$J$38*0.001/2*(2*Calculations!$O19*Calculations!$C$8-Calculations!$O19^2-Calculations!$C$8^2) + 'Reaction Information'!$K$38*100000*(Calculations!$O19^2 + Calculations!$C$8^2 - 2*Calculations!$O19*Calculations!$C$8)/(2*Calculations!$O19*Calculations!$C$8^2))</f>
        <v>#N/A</v>
      </c>
      <c r="AQ19" s="8" t="e">
        <f>IF(ISBLANK(Input!$BE$4),NA(),'Reaction Information'!$E$42-'Reaction Information'!$G$42*(Calculations!$O19-Calculations!$C$8)+'Reaction Information'!$I$42*(Calculations!$O19-Calculations!$C$8-Calculations!$O19*LN(Calculations!$O19/Calculations!$C$8))+'Reaction Information'!$J$42*0.001/2*(2*Calculations!$O19*Calculations!$C$8-Calculations!$O19^2-Calculations!$C$8^2) + 'Reaction Information'!$K$42*100000*(Calculations!$O19^2 + Calculations!$C$8^2 - 2*Calculations!$O19*Calculations!$C$8)/(2*Calculations!$O19*Calculations!$C$8^2))</f>
        <v>#N/A</v>
      </c>
      <c r="AR19" s="8" t="e">
        <f>IF(AR$5="H2O", IF($D$24=3,IF(T19=0,NA(),T19),calculateGibbsOfWater(M19,N19,$D$24,$D$20,$D$19=3)),NA())</f>
        <v>#N/A</v>
      </c>
      <c r="AS19" s="8">
        <f>IF(ISBLANK(Input!$BK$4),NA(),'Reaction Information'!$E$46-'Reaction Information'!$G$46*(Calculations!O19-Calculations!$C$8)-'Reaction Information'!$N$46*(Calculations!O19*LN(Calculations!O19/Calculations!$C$8)-Calculations!O19+Calculations!$C$8)-'Reaction Information'!$O$46*10^4*(((1/(Calculations!O19-Calculations!$C$13))-(1/(Calculations!$C$8-Calculations!$C$13)))*((Calculations!$C$13-Calculations!O19)/(Calculations!$C$13))-(Calculations!O19/(Calculations!$C$13*Calculations!$C$13))*LN((Calculations!$C$8*(Calculations!O19-Calculations!$C$13))/(Calculations!O19*(Calculations!$C$8-Calculations!$C$13))))+'Reaction Information'!$J$46*10^-1*(Calculations!$M19-Calculations!$C$9)+'Reaction Information'!$K$46*10^2*LN((Calculations!$C$12+Calculations!$M19)/(Calculations!$C$12+Calculations!$C$9))+(1/(Calculations!O19-Calculations!$C$13))*('Reaction Information'!$L$46*(Calculations!$M19-Calculations!$C$9)+'Reaction Information'!$M$46*10^4*LN((Calculations!$C$12+Calculations!$M19)/(Calculations!$C$12+Calculations!$C$9)))+calculateOmega(Calculations!M19,Calculations!N19,Calculations!Q19,'Reaction Information'!$C$46,'Reaction Information'!$P$46*10^5,'Reaction Information'!$Q$46)*((1/Calculations!S19)-1)-'Reaction Information'!$P$46*10^5*((1/Calculations!$C$10)-1)+'Reaction Information'!$P$46*10^5*Calculations!$C$14*(Calculations!O19-Calculations!$C$8))</f>
        <v>0</v>
      </c>
      <c r="AT19" s="8">
        <f>IF(ISBLANK(Input!$BN$4),NA(),'Reaction Information'!$E$50-'Reaction Information'!$G$50*(Calculations!O19-Calculations!$C$8)-'Reaction Information'!$N$50*(Calculations!O19*LN(Calculations!O19/Calculations!$C$8)-Calculations!O19+Calculations!$C$8)-'Reaction Information'!$O$50*10^4*(((1/(Calculations!O19-Calculations!$C$13))-(1/(Calculations!$C$8-Calculations!$C$13)))*((Calculations!$C$13-Calculations!O19)/(Calculations!$C$13))-(Calculations!O19/(Calculations!$C$13*Calculations!$C$13))*LN((Calculations!$C$8*(Calculations!O19-Calculations!$C$13))/(Calculations!O19*(Calculations!$C$8-Calculations!$C$13))))+'Reaction Information'!$J$50*10^-1*(Calculations!$M19-Calculations!$C$9)+'Reaction Information'!$K$50*10^2*LN((Calculations!$C$12+Calculations!$M19)/(Calculations!$C$12+Calculations!$C$9))+(1/(Calculations!O19-Calculations!$C$13))*('Reaction Information'!$L$50*(Calculations!$M19-Calculations!$C$9)+'Reaction Information'!$M$50*10^4*LN((Calculations!$C$12+Calculations!$M19)/(Calculations!$C$12+Calculations!$C$9)))+calculateOmega(Calculations!M19,Calculations!N19,Calculations!Q19,'Reaction Information'!$C$50,'Reaction Information'!$P$50*10^5,'Reaction Information'!$Q$50)*((1/Calculations!S19)-1)-'Reaction Information'!$P$50*10^5*((1/Calculations!$C$10)-1)+'Reaction Information'!$P$50*10^5*Calculations!$C$14*(Calculations!O19-Calculations!$C$8))</f>
        <v>-155438.77253588333</v>
      </c>
      <c r="AU19" s="8" t="e">
        <f>IF(ISBLANK(Input!$BQ$4),NA(),'Reaction Information'!$E$54-'Reaction Information'!$G$54*(Calculations!$O19-Calculations!$C$8)-'Reaction Information'!$N$54*(Calculations!$O19*LN(Calculations!$O19/Calculations!$C$8)-Calculations!$O19+Calculations!$C$8)-'Reaction Information'!$O$54*10^4*(((1/(Calculations!$O19-Calculations!$C$13))-(1/(Calculations!$C$8-Calculations!$C$13)))*((Calculations!$C$13-Calculations!$O19)/(Calculations!$C$13))-(Calculations!$O19/(Calculations!$C$13*Calculations!$C$13))*LN((Calculations!$C$8*(Calculations!$O19-Calculations!$C$13))/(Calculations!$O19*(Calculations!$C$8-Calculations!$C$13))))+'Reaction Information'!$J$54*10^-1*(Calculations!$M19-Calculations!$C$9)+'Reaction Information'!$K$54*10^2*LN((Calculations!$C$12+Calculations!$M19)/(Calculations!$C$12+Calculations!$C$9))+(1/(Calculations!$O19-Calculations!$C$13))*('Reaction Information'!$L$54*(Calculations!$M19-Calculations!$C$9)+'Reaction Information'!$M$54*10^4*LN((Calculations!$C$12+Calculations!$M19)/(Calculations!$C$12+Calculations!$C$9)))+calculateOmega(Calculations!M19,Calculations!N19,Calculations!Q19,'Reaction Information'!$C$54,'Reaction Information'!$P$54*10^5,'Reaction Information'!$Q$54)*((1/Calculations!$S19)-1)-'Reaction Information'!$P$54*10^5*((1/Calculations!$C$10)-1)+'Reaction Information'!$P$54*10^5*Calculations!$C$14*(Calculations!$O19-Calculations!$C$8))</f>
        <v>#N/A</v>
      </c>
      <c r="AV19" s="8" t="e">
        <f>IF(ISBLANK(Input!$BT$4),NA(),'Reaction Information'!$E$58-'Reaction Information'!$G$58*(Calculations!$O19-Calculations!$C$8)-'Reaction Information'!$N$58*(Calculations!$O19*LN(Calculations!$O19/Calculations!$C$8)-Calculations!$O19+Calculations!$C$8)-'Reaction Information'!$O$58*10^4*(((1/(Calculations!$O19-Calculations!$C$13))-(1/(Calculations!$C$8-Calculations!$C$13)))*((Calculations!$C$13-Calculations!$O19)/(Calculations!$C$13))-(Calculations!$O19/(Calculations!$C$13*Calculations!$C$13))*LN((Calculations!$C$8*(Calculations!$O19-Calculations!$C$13))/(Calculations!$O19*(Calculations!$C$8-Calculations!$C$13))))+'Reaction Information'!$J$58*10^-1*(Calculations!$M19-Calculations!$C$9)+'Reaction Information'!$K$58*10^2*LN((Calculations!$C$12+Calculations!$M19)/(Calculations!$C$12+Calculations!$C$9))+(1/(Calculations!$O19-Calculations!$C$13))*('Reaction Information'!$L$58*(Calculations!$M19-Calculations!$C$9)+'Reaction Information'!$M$58*10^4*LN((Calculations!$C$12+Calculations!$M19)/(Calculations!$C$12+Calculations!$C$9)))+calculateOmega(Calculations!M19,Calculations!N19,Calculations!Q19,'Reaction Information'!$C$58,'Reaction Information'!$P$58*10^5,'Reaction Information'!$Q$58)*((1/Calculations!$S19)-1)-'Reaction Information'!$P$58*10^5*((1/Calculations!$C$10)-1)+'Reaction Information'!$P$58*10^5*Calculations!$C$14*(Calculations!$O19-Calculations!$C$8))</f>
        <v>#N/A</v>
      </c>
      <c r="AW19" s="8" t="e">
        <f>IF(ISBLANK(Input!$BW$4),NA(),'Reaction Information'!$E$62-'Reaction Information'!$G$62*(Calculations!$O19-Calculations!$C$8)-'Reaction Information'!$N$62*(Calculations!$O19*LN(Calculations!$O19/Calculations!$C$8)-Calculations!$O19+Calculations!$C$8)-'Reaction Information'!$O$62*10^4*(((1/(Calculations!$O19-Calculations!$C$13))-(1/(Calculations!$C$8-Calculations!$C$13)))*((Calculations!$C$13-Calculations!$O19)/(Calculations!$C$13))-(Calculations!$O19/(Calculations!$C$13*Calculations!$C$13))*LN((Calculations!$C$8*(Calculations!$O19-Calculations!$C$13))/(Calculations!$O19*(Calculations!$C$8-Calculations!$C$13))))+'Reaction Information'!$J$62*10^-1*(Calculations!$M19-Calculations!$C$9)+'Reaction Information'!$K$62*10^2*LN((Calculations!$C$12+Calculations!$M19)/(Calculations!$C$12+Calculations!$C$9))+(1/(Calculations!$O19-Calculations!$C$13))*('Reaction Information'!$L$62*(Calculations!$M19-Calculations!$C$9)+'Reaction Information'!$M$62*10^4*LN((Calculations!$C$12+Calculations!$M19)/(Calculations!$C$12+Calculations!$C$9)))+calculateOmega(Calculations!M19,Calculations!N19,Calculations!Q19,'Reaction Information'!$C$62,'Reaction Information'!$P$62*10^5,'Reaction Information'!$Q$62)*((1/Calculations!$S19)-1)-'Reaction Information'!$P$62*10^5*((1/Calculations!$C$10)-1)+'Reaction Information'!$P$62*10^5*Calculations!$C$14*(Calculations!$O19-Calculations!$C$8))</f>
        <v>#N/A</v>
      </c>
      <c r="AX19" s="8" t="e">
        <f>IF(ISBLANK(Input!$BZ$4),NA(),'Reaction Information'!$E$66-'Reaction Information'!$G$66*(Calculations!$O19-Calculations!$C$8)-'Reaction Information'!$N$66*(Calculations!$O19*LN(Calculations!$O19/Calculations!$C$8)-Calculations!$O19+Calculations!$C$8)-'Reaction Information'!$O$66*10^4*(((1/(Calculations!$O19-Calculations!$C$13))-(1/(Calculations!$C$8-Calculations!$C$13)))*((Calculations!$C$13-Calculations!$O19)/(Calculations!$C$13))-(Calculations!$O19/(Calculations!$C$13*Calculations!$C$13))*LN((Calculations!$C$8*(Calculations!$O19-Calculations!$C$13))/(Calculations!$O19*(Calculations!$C$8-Calculations!$C$13))))+'Reaction Information'!$J$66*10^-1*(Calculations!$M19-Calculations!$C$9)+'Reaction Information'!$K$66*10^2*LN((Calculations!$C$12+Calculations!$M19)/(Calculations!$C$12+Calculations!$C$9))+(1/(Calculations!$O19-Calculations!$C$13))*('Reaction Information'!$L$66*(Calculations!$M19-Calculations!$C$9)+'Reaction Information'!$M$66*10^4*LN((Calculations!$C$12+Calculations!$M19)/(Calculations!$C$12+Calculations!$C$9)))+calculateOmega(Calculations!M19,Calculations!N19,Calculations!Q19,'Reaction Information'!$C$66,'Reaction Information'!$P$66*10^5,'Reaction Information'!$Q$66)*((1/Calculations!$S19)-1)-'Reaction Information'!$P$66*10^5*((1/Calculations!$C$10)-1)+'Reaction Information'!$P$66*10^5*Calculations!$C$14*(Calculations!$O19-Calculations!$C$8))</f>
        <v>#N/A</v>
      </c>
      <c r="AY19" s="31">
        <f>(AL19*Input!$AO$4+AM19*Input!$AR$4+AN19*Input!$AU$4+AO19*Input!$AX$4+IF(ISNA(AP19),0,AP19*Input!$BA$4)+IF(ISNA(AQ19),0,AQ19*Input!$BD$4)+IF(ISNA(AR19),0,AR19*Input!$BG$4)+IF(ISNA(AS19),0,AS19*Input!$BJ$4)+IF(ISNA(AT19),0,AT19*Input!$BM$4)+IF(ISNA(AU19),0,AU19*Input!$BP$4)+IF(ISNA(AV19),0,AV19*Input!$BS$4)+IF(ISNA(AW19),0,AW19*Input!$BV$4)+IF(ISNA(AX19),0,AX19*Input!$BY$4))-(Y19*Input!$B$4+Z19*Input!$E$4+AA19*Input!$H$4+AB19*Input!$K$4+IF(ISNA(AC19),0,AC19*Input!$N$4)+IF(ISNA(AD19),0,AD19*Input!$Q$4)+IF(ISNA(AE19),0,AE19*Input!$T$4)+IF(ISNA(AF19),0,AF19*Input!$W$4)+IF(ISNA(AG19),0,AG19*Input!$Z$4)+IF(ISNA(AH19),0,AH19*Input!$AC$4)+IF(ISNA(AI19),0,AI19*Input!$AF$4)+IF(ISNA(AJ19),0,AJ19*Input!$AI$4)+IF(ISNA(AK19),0,AK19*Input!$AL$4))</f>
        <v>62199.798847885017</v>
      </c>
      <c r="AZ19" s="42">
        <f t="shared" si="7"/>
        <v>-11.120930691136657</v>
      </c>
      <c r="BA19" s="1">
        <f t="shared" si="8"/>
        <v>950</v>
      </c>
      <c r="BB19" s="46">
        <f t="shared" si="9"/>
        <v>5000</v>
      </c>
      <c r="BC19" s="1"/>
      <c r="BD19" s="2">
        <f t="shared" si="10"/>
        <v>5000</v>
      </c>
      <c r="BE19" s="46">
        <f t="shared" si="11"/>
        <v>950</v>
      </c>
      <c r="BF19" s="1">
        <f>Results!AJ21</f>
        <v>0</v>
      </c>
      <c r="BG19" s="1">
        <f>Results!AK21</f>
        <v>0</v>
      </c>
      <c r="BH19" s="1">
        <f>Results!AL21</f>
        <v>0</v>
      </c>
      <c r="BI19" s="1">
        <f>Results!AM21</f>
        <v>0</v>
      </c>
      <c r="BJ19" s="1" t="e">
        <f>IF(OR(ISNA('Reaction Information'!$D$5), $N19 = "", $D$27 = FALSE, 'Reaction Information'!$D$5 = ""), NA(), 24.465)</f>
        <v>#N/A</v>
      </c>
      <c r="BK19" s="1" t="e">
        <f>IF(OR(ISNA('Reaction Information'!$D$9), $N19 = "", $D$27 = FALSE, 'Reaction Information'!$D$9 = ""), NA(), 24.465)</f>
        <v>#N/A</v>
      </c>
      <c r="BL19" s="8">
        <f t="shared" si="0"/>
        <v>29.103930306916354</v>
      </c>
      <c r="BM19" s="8">
        <f>IF(OR(ISBLANK(Input!$X$4),$D$27=FALSE),NA(),('Reaction Information'!$J$13/10+'Reaction Information'!$K$13*100/(Calculations!$C$12+Calculations!$M19)+('Reaction Information'!$L$13+'Reaction Information'!$M$13*10^4/(Calculations!$C$12+Calculations!$M19))/(Calculations!$O19-Calculations!$C$13) -calculateOmega(Calculations!$M19,Calculations!$N19,Calculations!$Q19,'Reaction Information'!$C$13,'Reaction Information'!$P$13*10^5,'Reaction Information'!$Q$13)*Calculations!$U19*10^-6 + (1/$S19 - 1)*calculate_domegadP(Calculations!$M19,Calculations!$N19,Calculations!$Q19,'Reaction Information'!$C$13,'Reaction Information'!$P$13*10^5,'Reaction Information'!$Q$13,$D$20,$D$19=3))*41.84)</f>
        <v>72.636261693174333</v>
      </c>
      <c r="BN19" s="8" t="e">
        <f>IF(OR(ISBLANK(Input!$AA$4),$D$27=FALSE),NA(),('Reaction Information'!$J$17/10+'Reaction Information'!$K$17*100/(Calculations!$C$12+Calculations!$M19)+('Reaction Information'!$L$17+'Reaction Information'!$M$17*10000/(Calculations!$C$12+Calculations!$M19))/(Calculations!$O19-Calculations!$C$13)-calculateOmega(Calculations!M19,Calculations!N19,Calculations!Q19,'Reaction Information'!$C$17,'Reaction Information'!$P$17*10^5,'Reaction Information'!$Q$17)*Calculations!$U19*10^-6 + (1/$S19 - 1)*calculate_domegadP(Calculations!M19,Calculations!N19,Calculations!Q19,'Reaction Information'!$C$17,'Reaction Information'!$P$17*10^5,'Reaction Information'!$Q$17,$D$20,$D$19=3))*41.84)</f>
        <v>#N/A</v>
      </c>
      <c r="BO19" s="8" t="e">
        <f>IF(OR(ISBLANK(Input!$AD$4),$D$27=FALSE),NA(),('Reaction Information'!$J$21/10+'Reaction Information'!$K$21*100/(Calculations!$C$12+Calculations!$M19)+('Reaction Information'!$L$21+'Reaction Information'!$M$21*10000/(Calculations!$C$12+Calculations!$M19))/(Calculations!$O19-Calculations!$C$13)-calculateOmega(Calculations!M19,Calculations!N19,Calculations!Q19,'Reaction Information'!$C$21,'Reaction Information'!$P$21*10^5,'Reaction Information'!$Q$21)*Calculations!$U19*10^-6 + (1/$S19 - 1)*calculate_domegadP(Calculations!M19,Calculations!N19,Calculations!Q19,'Reaction Information'!$C$21,'Reaction Information'!$P$21*10^5,'Reaction Information'!$Q$21,$D$20,$D$19=3))*41.84)</f>
        <v>#N/A</v>
      </c>
      <c r="BP19" s="8" t="e">
        <f>IF(OR(ISBLANK(Input!$AG$4),$D$27=FALSE),NA(),('Reaction Information'!$J$25/10+'Reaction Information'!$K$25*100/(Calculations!$C$12+Calculations!$M19)+('Reaction Information'!$L$25+'Reaction Information'!$M$25*10000/(Calculations!$C$12+Calculations!$M19))/(Calculations!$O19-Calculations!$C$13)-calculateOmega(Calculations!M19,Calculations!N19,Calculations!Q19,'Reaction Information'!$C$25,'Reaction Information'!$P$25*10^5,'Reaction Information'!$Q$25)*Calculations!$U19*10^-6 + (1/$S19 - 1)*calculate_domegadP(Calculations!M19,Calculations!N19,Calculations!Q19,'Reaction Information'!$C$25,'Reaction Information'!$P$25*10^5,'Reaction Information'!$Q$25,$D$20,$D$19=3))*41.84)</f>
        <v>#N/A</v>
      </c>
      <c r="BQ19" s="8" t="e">
        <f>IF(OR(ISBLANK(Input!$AJ$4),$D$27=FALSE),NA(),('Reaction Information'!$J$29/10+'Reaction Information'!$K$29*100/(Calculations!$C$12+Calculations!$M19)+('Reaction Information'!$L$29+'Reaction Information'!$M$29*10000/(Calculations!$C$12+Calculations!$M19))/(Calculations!$O19-Calculations!$C$13)-calculateOmega(Calculations!M19,Calculations!N19,Calculations!Q19,'Reaction Information'!$C$29,'Reaction Information'!$P$29*10^5,'Reaction Information'!$Q$29)*Calculations!$U19*10^-6 + (1/$S19 - 1)*calculate_domegadP(Calculations!M19,Calculations!N19,Calculations!Q19,'Reaction Information'!$C$29,'Reaction Information'!$P$29*10^5,'Reaction Information'!$Q$29,$D$20,$D$19=3))*41.84)</f>
        <v>#N/A</v>
      </c>
      <c r="BR19" s="8" t="e">
        <f>IF(OR(ISBLANK(Input!$AM$4),$D$27=FALSE),NA(),('Reaction Information'!$J$33/10+'Reaction Information'!$K$33*100/(Calculations!$C$12+Calculations!$M19)+('Reaction Information'!$L$33+'Reaction Information'!$M$33*10000/(Calculations!$C$12+Calculations!$M19))/(Calculations!$O19-Calculations!$C$13)-calculateOmega(Calculations!M19,Calculations!N19,Calculations!Q19,'Reaction Information'!$C$33,'Reaction Information'!$P$33*10^5,'Reaction Information'!$Q$33)*Calculations!$U19*10^-6 + (1/$S19 - 1)*calculate_domegadP(Calculations!M19,Calculations!N19,Calculations!Q19,'Reaction Information'!$C$33,'Reaction Information'!$P$33*10^5,'Reaction Information'!$Q$33,$D$20,$D$19=3))*41.84)</f>
        <v>#N/A</v>
      </c>
      <c r="BS19" s="1">
        <f>Results!AW21</f>
        <v>0</v>
      </c>
      <c r="BT19" s="1">
        <f>Results!AX21</f>
        <v>0</v>
      </c>
      <c r="BU19" s="1">
        <f>Results!AY21</f>
        <v>0</v>
      </c>
      <c r="BV19" s="1">
        <f>Results!AZ21</f>
        <v>0</v>
      </c>
      <c r="BW19" s="1" t="e">
        <f>IF(OR(ISNA('Reaction Information'!$D$38), $N19 = "", $D$27 = FALSE, 'Reaction Information'!$D$38 = ""), NA(), 24.465)</f>
        <v>#N/A</v>
      </c>
      <c r="BX19" s="1" t="e">
        <f>IF(OR(ISNA('Reaction Information'!$D$42), $N19 = "", $D$27 = FALSE, 'Reaction Information'!$D$42 = ""), NA(), 24.465)</f>
        <v>#N/A</v>
      </c>
      <c r="BY19" s="8" t="e">
        <f t="shared" si="1"/>
        <v>#N/A</v>
      </c>
      <c r="BZ19" s="8">
        <f>IF(OR(ISBLANK(Input!$BK$4),$D$27=FALSE),NA(),('Reaction Information'!$J$46/10+'Reaction Information'!$K$46*100/(Calculations!$C$12+Calculations!$M19)+('Reaction Information'!$L$46+'Reaction Information'!$M$46*10000/(Calculations!$C$12+Calculations!$M19))/(Calculations!$O19-Calculations!$C$13)-calculateOmega(Calculations!M19,Calculations!N19,Calculations!Q19,'Reaction Information'!$C$46,'Reaction Information'!$P$46*10^5,'Reaction Information'!$Q$46)*Calculations!$U19*10^-6 + (1/$S19 - 1)*calculate_domegadP(Calculations!M19,Calculations!N19,Calculations!Q19,'Reaction Information'!$C$46,'Reaction Information'!$P$46*10^5,'Reaction Information'!$Q$46,$D$20,$D$19=3))*41.84)</f>
        <v>0</v>
      </c>
      <c r="CA19" s="8">
        <f>IF(OR(ISBLANK(Input!$BN$4),$D$27=FALSE),NA(),('Reaction Information'!$J$50/10+'Reaction Information'!$K$50*100/(Calculations!$C$12+Calculations!$M19)+('Reaction Information'!$L$50+'Reaction Information'!$M$50*10000/(Calculations!$C$12+Calculations!$M19))/(Calculations!$O19-Calculations!$C$13)-calculateOmega(Calculations!M19,Calculations!N19,Calculations!Q19,'Reaction Information'!$C$50,'Reaction Information'!$P$50*10^5,'Reaction Information'!$Q$50)*Calculations!$U19*10^-6 + (1/$S19 - 1)*calculate_domegadP(Calculations!M19,Calculations!N19,Calculations!Q19,'Reaction Information'!$C$50,'Reaction Information'!$P$50*10^5,'Reaction Information'!$Q$50,$D$20,$D$19=3))*41.84)</f>
        <v>-32.154498581121992</v>
      </c>
      <c r="CB19" s="8" t="e">
        <f>IF(OR(ISBLANK(Input!$BQ$4),$D$27=FALSE),NA(),('Reaction Information'!$J$54/10+'Reaction Information'!$K$54*100/(Calculations!$C$12+Calculations!$M19)+('Reaction Information'!$L$54+'Reaction Information'!$M$54*10000/(Calculations!$C$12+Calculations!$M19))/(Calculations!$O19-Calculations!$C$13)-calculateOmega(Calculations!M19,Calculations!N19,Calculations!Q19,'Reaction Information'!$C$54,'Reaction Information'!$P$54*10^5,'Reaction Information'!$Q$54)*Calculations!$U19*10^-6 + (1/$S19 - 1)*calculate_domegadP(Calculations!M19,Calculations!N19,Calculations!Q19,'Reaction Information'!$C$54,'Reaction Information'!$P$54*10^5,'Reaction Information'!$Q$54,$D$20,$D$19=3))*41.84)</f>
        <v>#N/A</v>
      </c>
      <c r="CC19" s="8" t="e">
        <f>IF(OR(ISBLANK(Input!$BT$4),$D$27=FALSE),NA(),('Reaction Information'!$J$58/10+'Reaction Information'!$K$58*100/(Calculations!$C$12+Calculations!$M19)+('Reaction Information'!$L$58+'Reaction Information'!$M$58*10000/(Calculations!$C$12+Calculations!$M19))/(Calculations!$O19-Calculations!$C$13)-calculateOmega(Calculations!M19,Calculations!N19,Calculations!Q19,'Reaction Information'!$C$58,'Reaction Information'!$P$58*10^5,'Reaction Information'!$Q$58)*Calculations!$U19*10^-6 + (1/$S19 - 1)*calculate_domegadP(Calculations!M19,Calculations!N19,Calculations!Q19,'Reaction Information'!$C$58,'Reaction Information'!$P$58*10^5,'Reaction Information'!$Q$58,$D$20,$D$19=3))*41.84)</f>
        <v>#N/A</v>
      </c>
      <c r="CD19" s="8" t="e">
        <f>IF(OR(ISBLANK(Input!$BW$4),$D$27=FALSE),NA(),('Reaction Information'!$J$62/10+'Reaction Information'!$K$62*100/(Calculations!$C$12+Calculations!$M19)+('Reaction Information'!$L$62+'Reaction Information'!$M$62*10000/(Calculations!$C$12+Calculations!$M19))/(Calculations!$O19-Calculations!$C$13)-calculateOmega(Calculations!M19,Calculations!N19,Calculations!Q19,'Reaction Information'!$C$62,'Reaction Information'!$P$62*10^5,'Reaction Information'!$Q$62)*Calculations!$U19*10^-6 + (1/$S19 - 1)*calculate_domegadP(Calculations!M19,Calculations!N19,Calculations!Q19,'Reaction Information'!$C$62,'Reaction Information'!$P$62*10^5,'Reaction Information'!$Q$62,$D$20,$D$19=3))*41.84)</f>
        <v>#N/A</v>
      </c>
      <c r="CE19" s="8" t="e">
        <f>IF(OR(ISBLANK(Input!$BZ$4),$D$27=FALSE),NA(),('Reaction Information'!$J$66/10+'Reaction Information'!$K$66*100/(Calculations!$C$12+Calculations!$M19)+('Reaction Information'!$L$66+'Reaction Information'!$M$66*10000/(Calculations!$C$12+Calculations!$M19))/(Calculations!$O19-Calculations!$C$13)-calculateOmega(Calculations!M19,Calculations!N19,Calculations!Q19,'Reaction Information'!$C$66,'Reaction Information'!$P$66*10^5,'Reaction Information'!$Q$66)*Calculations!$U19*10^-6 + (1/$S19 - 1)*calculate_domegadP(Calculations!M19,Calculations!N19,Calculations!Q19,'Reaction Information'!$C$66,'Reaction Information'!$P$66*10^5,'Reaction Information'!$Q$66,$D$20,$D$19=3))*41.84)</f>
        <v>#N/A</v>
      </c>
      <c r="CF19" s="31">
        <f>(BS19*Input!$AO$4+BT19*Input!$AR$4+BU19*Input!$AU$4+BV19*Input!$AX$4+IF(ISNA(BW19),0,BW19*Input!$BA$4)+IF(ISNA(BX19),0,BX19*Input!$BD$4)+IF(ISNA(BY19),0,BY19*Input!$BG$4)+IF(ISNA(BZ19),0,BZ19*Input!$BJ$4)+IF(ISNA(CA19),0,CA19*Input!$BM$4)+IF(ISNA(CB19),0,CB19*Input!$BP$4)+IF(ISNA(CC19),0,CC19*Input!$BS$4)+IF(ISNA(CD19),0,CD19*Input!$BV$4)+IF(ISNA(CE19),0,CE19*Input!$BY$4))-(BF19*Input!$B$4+BG19*Input!$E$4+BH19*Input!$H$4+BI19*Input!$K$4+IF(ISNA(BJ19),0,BJ19*Input!$N$4)+IF(ISNA(BK19),0,BK19*Input!$Q$4)+IF(ISNA(BL19),0,BL19*Input!$T$4)+IF(ISNA(BM19),0,BM19*Input!$W$4)+IF(ISNA(BN19),0,BN19*Input!$Z$4)+IF(ISNA(BO19),0,BO19*Input!$AC$4)+IF(ISNA(BP19),0,BP19*Input!$AF$4)+IF(ISNA(BQ19),0,BQ19*Input!$AI$4)+IF(ISNA(BR19),0,BR19*Input!$AL$4))</f>
        <v>-133.89469058121267</v>
      </c>
      <c r="CG19" s="1">
        <f t="shared" si="12"/>
        <v>950</v>
      </c>
      <c r="CH19" s="46">
        <f t="shared" si="13"/>
        <v>5000</v>
      </c>
      <c r="CI19" s="1"/>
    </row>
    <row r="20" spans="1:87" ht="15" customHeight="1" x14ac:dyDescent="0.2">
      <c r="A20" s="1"/>
      <c r="B20" s="273" t="s">
        <v>589</v>
      </c>
      <c r="C20" s="273"/>
      <c r="D20" s="7">
        <v>1</v>
      </c>
      <c r="E20" s="1"/>
      <c r="F20" s="2">
        <v>15</v>
      </c>
      <c r="G20" s="1" t="str">
        <f>IF(ISBLANK(Input!CB20), "", Input!CB20*1000)</f>
        <v/>
      </c>
      <c r="H20" s="1" t="str">
        <f>IF(ISBLANK(Input!CC20), "", Input!CC20)</f>
        <v/>
      </c>
      <c r="I20" s="1">
        <f>IF(Input!$CF$5 + Input!$CF$6*(FLOOR((Calculations!$F20-1)/(FLOOR((Input!$CF$12-Input!$CF$10)/Input!$CF$11,1)+1),1)) &gt; Input!$CF$7, "", (Input!$CF$5 + Input!$CF$6*(FLOOR((Calculations!$F20-1)/(FLOOR((Input!$CF$12-Input!$CF$10)/Input!$CF$11,1)+1),1)))*1000)</f>
        <v>5000</v>
      </c>
      <c r="J20" s="1">
        <f>IF(Calculations!I20 = "", "", Input!$CF$10 + Input!$CF$11*(Calculations!$F20-1) - (FLOOR((Input!$CF$12-Input!$CF$10)/Input!$CF$11,1)+1)*Input!$CF$11*FLOOR((Calculations!$F20-1)/(FLOOR((Input!$CF$12-Input!$CF$10)/Input!$CF$11,1)+1),1))</f>
        <v>1000</v>
      </c>
      <c r="K20" s="8">
        <f t="shared" si="14"/>
        <v>165.30471135616352</v>
      </c>
      <c r="L20" s="117">
        <f>IF(OR(Input!$CJ$5 + Input!$CJ$6*(Calculations!F20-1) &gt; Input!$CJ$7, Input!$CJ$5 + Input!$CJ$6*(Calculations!F20-1) &gt; 350), "", Input!$CJ$5 + Input!$CJ$6*(Calculations!F20-1))</f>
        <v>350</v>
      </c>
      <c r="M20" s="1">
        <f t="shared" si="2"/>
        <v>5000</v>
      </c>
      <c r="N20" s="1">
        <f t="shared" si="3"/>
        <v>1000</v>
      </c>
      <c r="O20" s="1">
        <f t="shared" si="4"/>
        <v>1273.1500000000001</v>
      </c>
      <c r="P20" s="1" t="e">
        <f>IF(OR($D$20=3,AND($D$21=TRUE,M20&lt;1000)),INDEX('Water Density'!$C$6:$CX$120,MATCH(Calculations!N20,'Water Density'!$B$6:$B$120),MATCH(Calculations!M20/1000,'Water Density'!$C$5:$CX$5)),NA())</f>
        <v>#N/A</v>
      </c>
      <c r="Q20" s="182">
        <f>IF(OR($D$20=3,AND($D$21=TRUE,M20&lt;1000)), IF(P20&lt;&gt;0,P20,NA()), calculateDensity(M20,N20,$D$20,0.01,$D$19 = 3))</f>
        <v>0.59762285154342643</v>
      </c>
      <c r="R20" s="1" t="e">
        <f>IF($D$22=5,INDEX('Dielectric Constant'!$C$6:$CX$120,MATCH(Calculations!N20,'Dielectric Constant'!$B$6:$B$120),MATCH(Calculations!M20/1000,'Dielectric Constant'!$C$5:$CX$5)),NA())</f>
        <v>#N/A</v>
      </c>
      <c r="S20" s="58">
        <f>IF($D$22=5, IF(R20&lt;&gt;0,R20,NA()), IF(AND($D$23,M20&lt;=5000,$D$19 &lt;&gt; 3),calculateEpsilon(Q20,N20,1,FALSE),calculateEpsilon(Q20,N20,$D$22,$D$19 = 3)))</f>
        <v>6.1046493061137701</v>
      </c>
      <c r="T20" s="1" t="e">
        <f>IF($D$24=3,INDEX('Water Free Energy'!$C$6:$CX$120,MATCH(Calculations!N20,'Water Free Energy'!$B$6:$B$120),MATCH(Calculations!M20/1000,'Water Free Energy'!$C$5:$CX$5)),NA())</f>
        <v>#N/A</v>
      </c>
      <c r="U20" s="179">
        <f>IF($D$27,calculateQ(M20,N20,Q20,$D$20,$D$22,$D$19=3)*10^6,NA())</f>
        <v>14.502860919090068</v>
      </c>
      <c r="V20"/>
      <c r="W20" s="2">
        <f t="shared" si="5"/>
        <v>5000</v>
      </c>
      <c r="X20" s="1">
        <f t="shared" si="6"/>
        <v>1000</v>
      </c>
      <c r="Y20" s="1">
        <f>Results!F22</f>
        <v>0</v>
      </c>
      <c r="Z20" s="1">
        <f>Results!G22</f>
        <v>0</v>
      </c>
      <c r="AA20" s="1">
        <f>Results!H22</f>
        <v>0</v>
      </c>
      <c r="AB20" s="1">
        <f>Results!I22</f>
        <v>0</v>
      </c>
      <c r="AC20" s="1" t="e">
        <f>IF(ISBLANK(Input!$O$4),NA(),'Reaction Information'!$E$5-'Reaction Information'!$G$5*(Calculations!$O20-Calculations!$C$8)+'Reaction Information'!$I$5*(Calculations!$O20-Calculations!$C$8-Calculations!$O20*LN(Calculations!$O20/Calculations!$C$8))+'Reaction Information'!$J$5*0.001/2*(2*Calculations!$O20*Calculations!$C$8-Calculations!$O20^2-Calculations!$C$8^2) + 'Reaction Information'!$K$5*100000*(Calculations!$O20^2 + Calculations!$C$8^2 - 2*Calculations!$O20*Calculations!$C$8)/(2*Calculations!$O20*Calculations!$C$8^2))</f>
        <v>#N/A</v>
      </c>
      <c r="AD20" s="8" t="e">
        <f>IF(ISBLANK(Input!$R$4),NA(),'Reaction Information'!$E$9-'Reaction Information'!$G$9*(Calculations!$O20-Calculations!$C$8)+'Reaction Information'!$I$9*(Calculations!$O20-Calculations!$C$8-Calculations!$O20*LN(Calculations!$O20/Calculations!$C$8))+'Reaction Information'!$J$9*0.001/2*(2*Calculations!$O20*Calculations!$C$8-Calculations!$O20^2-Calculations!$C$8^2) + 'Reaction Information'!$K$9*100000*(Calculations!$O20^2 + Calculations!$C$8^2 - 2*Calculations!$O20*Calculations!$C$8)/(2*Calculations!$O20*Calculations!$C$8^2))</f>
        <v>#N/A</v>
      </c>
      <c r="AE20" s="8">
        <f>IF(AE$5="H2O",IF($D$24=3,IF(T20=0,NA(),T20),calculateGibbsOfWater(M20,N20,$D$24,$D$20,$D$19=3)),NA())</f>
        <v>-84262.028821197993</v>
      </c>
      <c r="AF20" s="8">
        <f>IF(ISBLANK(Input!$X$4),NA(),'Reaction Information'!$E$13-'Reaction Information'!$G$13*(Calculations!O20-Calculations!$C$8)-'Reaction Information'!$N$13*(Calculations!O20*LN(Calculations!O20/Calculations!$C$8)-Calculations!O20+Calculations!$C$8)-'Reaction Information'!$O$13*10^4*(((1/(Calculations!O20-Calculations!$C$13))-(1/(Calculations!$C$8-Calculations!$C$13)))*((Calculations!$C$13-Calculations!O20)/(Calculations!$C$13))-(Calculations!O20/(Calculations!$C$13*Calculations!$C$13))*LN((Calculations!$C$8*(Calculations!O20-Calculations!$C$13))/(Calculations!O20*(Calculations!$C$8-Calculations!$C$13))))+'Reaction Information'!$J$13*10^-1*(Calculations!M20-Calculations!$C$9)+'Reaction Information'!$K$13*10^2*LN((Calculations!$C$12+Calculations!M20)/(Calculations!$C$12+Calculations!$C$9))+(1/(Calculations!O20-Calculations!$C$13))*('Reaction Information'!$L$13*(Calculations!M20-Calculations!$C$9)+'Reaction Information'!$M$13*10^4*LN((Calculations!$C$12+Calculations!M20)/(Calculations!$C$12+Calculations!$C$9)))+calculateOmega(Calculations!M20,Calculations!N20,Calculations!Q20,'Reaction Information'!$C$13,'Reaction Information'!$P$13*10^5,'Reaction Information'!$Q$13)*((1/Calculations!S20)-1)-'Reaction Information'!$P$13*10^5*((1/Calculations!$C$10)-1)+'Reaction Information'!$P$13*10^5*Calculations!$C$14*(Calculations!O20-Calculations!$C$8))</f>
        <v>-138671.81963938457</v>
      </c>
      <c r="AG20" s="8" t="e">
        <f>IF(ISBLANK(Input!$AA$4),NA(),'Reaction Information'!$E$17-'Reaction Information'!$G$17*(Calculations!$O20-Calculations!$C$8)-'Reaction Information'!$N$17*(Calculations!$O20*LN(Calculations!$O20/Calculations!$C$8)-Calculations!$O20+Calculations!$C$8)-'Reaction Information'!$O$17*10^4*(((1/(Calculations!$O20-Calculations!$C$13))-(1/(Calculations!$C$8-Calculations!$C$13)))*((Calculations!$C$13-Calculations!$O20)/(Calculations!$C$13))-(Calculations!$O20/(Calculations!$C$13*Calculations!$C$13))*LN((Calculations!$C$8*(Calculations!$O20-Calculations!$C$13))/(Calculations!$O20*(Calculations!$C$8-Calculations!$C$13))))+'Reaction Information'!$J$17*10^-1*(Calculations!$M20-Calculations!$C$9)+'Reaction Information'!$K$17*10^2*LN((Calculations!$C$12+Calculations!$M20)/(Calculations!$C$12+Calculations!$C$9))+(1/(Calculations!$O20-Calculations!$C$13))*('Reaction Information'!$L$17*(Calculations!$M20-Calculations!$C$9)+'Reaction Information'!$M$17*10^4*LN((Calculations!$C$12+Calculations!$M20)/(Calculations!$C$12+Calculations!$C$9)))+calculateOmega(Calculations!M20,Calculations!N20,Calculations!Q20,'Reaction Information'!$C$17,'Reaction Information'!$P$17*10^5,'Reaction Information'!$Q$17)*((1/Calculations!$S20)-1)-'Reaction Information'!$P$17*10^5*((1/Calculations!$C$10)-1)+'Reaction Information'!$P$17*10^5*Calculations!$C$14*(Calculations!$O20-Calculations!$C$8))</f>
        <v>#N/A</v>
      </c>
      <c r="AH20" s="8" t="e">
        <f>IF(ISBLANK(Input!$AD$4),NA(),'Reaction Information'!$E$21-'Reaction Information'!$G$21*(Calculations!$O20-Calculations!$C$8)-'Reaction Information'!$N$21*(Calculations!$O20*LN(Calculations!$O20/Calculations!$C$8)-Calculations!$O20+Calculations!$C$8)-'Reaction Information'!$O$21*10^4*(((1/(Calculations!$O20-Calculations!$C$13))-(1/(Calculations!$C$8-Calculations!$C$13)))*((Calculations!$C$13-Calculations!$O20)/(Calculations!$C$13))-(Calculations!$O20/(Calculations!$C$13*Calculations!$C$13))*LN((Calculations!$C$8*(Calculations!$O20-Calculations!$C$13))/(Calculations!$O20*(Calculations!$C$8-Calculations!$C$13))))+'Reaction Information'!$J$21*10^-1*(Calculations!$M20-Calculations!$C$9)+'Reaction Information'!$K$21*10^2*LN((Calculations!$C$12+Calculations!$M20)/(Calculations!$C$12+Calculations!$C$9))+(1/(Calculations!$O20-Calculations!$C$13))*('Reaction Information'!$L$21*(Calculations!$M20-Calculations!$C$9)+'Reaction Information'!$M$21*10^4*LN((Calculations!$C$12+Calculations!$M20)/(Calculations!$C$12+Calculations!$C$9)))+calculateOmega(Calculations!M20,Calculations!N20,Calculations!Q20,'Reaction Information'!$C$21,'Reaction Information'!$P$21*10^5,'Reaction Information'!$Q$21)*((1/Calculations!$S20)-1)-'Reaction Information'!$P$21*10^5*((1/Calculations!$C$10)-1)+'Reaction Information'!$P$21*10^5*Calculations!$C$14*(Calculations!$O20-Calculations!$C$8))</f>
        <v>#N/A</v>
      </c>
      <c r="AI20" s="8" t="e">
        <f>IF(ISBLANK(Input!$AG$4),NA(),'Reaction Information'!$E$25-'Reaction Information'!$G$25*(Calculations!$O20-Calculations!$C$8)-'Reaction Information'!$N$25*(Calculations!$O20*LN(Calculations!$O20/Calculations!$C$8)-Calculations!$O20+Calculations!$C$8)-'Reaction Information'!$O$25*10^4*(((1/(Calculations!$O20-Calculations!$C$13))-(1/(Calculations!$C$8-Calculations!$C$13)))*((Calculations!$C$13-Calculations!$O20)/(Calculations!$C$13))-(Calculations!$O20/(Calculations!$C$13*Calculations!$C$13))*LN((Calculations!$C$8*(Calculations!$O20-Calculations!$C$13))/(Calculations!$O20*(Calculations!$C$8-Calculations!$C$13))))+'Reaction Information'!$J$25*10^-1*(Calculations!$M20-Calculations!$C$9)+'Reaction Information'!$K$25*10^2*LN((Calculations!$C$12+Calculations!$M20)/(Calculations!$C$12+Calculations!$C$9))+(1/(Calculations!$O20-Calculations!$C$13))*('Reaction Information'!$L$25*(Calculations!$M20-Calculations!$C$9)+'Reaction Information'!$M$25*10^4*LN((Calculations!$C$12+Calculations!$M20)/(Calculations!$C$12+Calculations!$C$9)))+calculateOmega(Calculations!M20,Calculations!N20,Calculations!Q20,'Reaction Information'!$C$25,'Reaction Information'!$P$25*10^5,'Reaction Information'!$Q$25)*((1/Calculations!$S20)-1)-'Reaction Information'!$P$25*10^5*((1/Calculations!$C$10)-1)+'Reaction Information'!$P$25*10^5*Calculations!$C$14*(Calculations!$O20-Calculations!$C$8))</f>
        <v>#N/A</v>
      </c>
      <c r="AJ20" s="8" t="e">
        <f>IF(ISBLANK(Input!$AJ$4),NA(),'Reaction Information'!$E$29-'Reaction Information'!$G$29*(Calculations!$O20-Calculations!$C$8)-'Reaction Information'!$N$29*(Calculations!$O20*LN(Calculations!$O20/Calculations!$C$8)-Calculations!$O20+Calculations!$C$8)-'Reaction Information'!$O$29*10^4*(((1/(Calculations!$O20-Calculations!$C$13))-(1/(Calculations!$C$8-Calculations!$C$13)))*((Calculations!$C$13-Calculations!$O20)/(Calculations!$C$13))-(Calculations!$O20/(Calculations!$C$13*Calculations!$C$13))*LN((Calculations!$C$8*(Calculations!$O20-Calculations!$C$13))/(Calculations!$O20*(Calculations!$C$8-Calculations!$C$13))))+'Reaction Information'!$J$29*10^-1*(Calculations!$M20-Calculations!$C$9)+'Reaction Information'!$K$29*10^2*LN((Calculations!$C$12+Calculations!$M20)/(Calculations!$C$12+Calculations!$C$9))+(1/(Calculations!$O20-Calculations!$C$13))*('Reaction Information'!$L$29*(Calculations!$M20-Calculations!$C$9)+'Reaction Information'!$M$29*10^4*LN((Calculations!$C$12+Calculations!$M20)/(Calculations!$C$12+Calculations!$C$9)))+calculateOmega(Calculations!M20,Calculations!N20,Calculations!Q20,'Reaction Information'!$C$29,'Reaction Information'!$P$29*10^5,'Reaction Information'!$Q$29)*((1/Calculations!$S20)-1)-'Reaction Information'!$P$29*10^5*((1/Calculations!$C$10)-1)+'Reaction Information'!$P$29*10^5*Calculations!$C$14*(Calculations!$O20-Calculations!$C$8))</f>
        <v>#N/A</v>
      </c>
      <c r="AK20" s="8" t="e">
        <f>IF(ISBLANK(Input!$AM$4),NA(),'Reaction Information'!$E$33-'Reaction Information'!$G$33*(Calculations!$O20-Calculations!$C$8)-'Reaction Information'!$N$33*(Calculations!$O20*LN(Calculations!$O20/Calculations!$C$8)-Calculations!$O20+Calculations!$C$8)-'Reaction Information'!$O$33*10^4*(((1/(Calculations!$O20-Calculations!$C$13))-(1/(Calculations!$C$8-Calculations!$C$13)))*((Calculations!$C$13-Calculations!$O20)/(Calculations!$C$13))-(Calculations!$O20/(Calculations!$C$13*Calculations!$C$13))*LN((Calculations!$C$8*(Calculations!$O20-Calculations!$C$13))/(Calculations!$O20*(Calculations!$C$8-Calculations!$C$13))))+'Reaction Information'!$J$33*10^-1*(Calculations!$M20-Calculations!$C$9)+'Reaction Information'!$K$33*10^2*LN((Calculations!$C$12+Calculations!$M20)/(Calculations!$C$12+Calculations!$C$9))+(1/(Calculations!$O20-Calculations!$C$13))*('Reaction Information'!$L$33*(Calculations!$M20-Calculations!$C$9)+'Reaction Information'!$M$33*10^4*LN((Calculations!$C$12+Calculations!$M20)/(Calculations!$C$12+Calculations!$C$9)))+calculateOmega(Calculations!M20,Calculations!N20,Calculations!Q20,'Reaction Information'!$C$33,'Reaction Information'!$P$33*10^5,'Reaction Information'!$Q$33)*((1/Calculations!$S20)-1)-'Reaction Information'!$P$33*10^5*((1/Calculations!$C$10)-1)+'Reaction Information'!$P$33*10^5*Calculations!$C$14*(Calculations!$O20-Calculations!$C$8))</f>
        <v>#N/A</v>
      </c>
      <c r="AL20" s="1">
        <f>Results!S22</f>
        <v>0</v>
      </c>
      <c r="AM20" s="1">
        <f>Results!T22</f>
        <v>0</v>
      </c>
      <c r="AN20" s="1">
        <f>Results!U22</f>
        <v>0</v>
      </c>
      <c r="AO20" s="1">
        <f>Results!V22</f>
        <v>0</v>
      </c>
      <c r="AP20" s="8" t="e">
        <f>IF(ISBLANK(Input!$BB$4),NA(),'Reaction Information'!$E$38-'Reaction Information'!$G$38*(Calculations!$O20-Calculations!$C$8)+'Reaction Information'!$I$38*(Calculations!$O20-Calculations!$C$8-Calculations!$O20*LN(Calculations!$O20/Calculations!$C$8))+'Reaction Information'!$J$38*0.001/2*(2*Calculations!$O20*Calculations!$C$8-Calculations!$O20^2-Calculations!$C$8^2) + 'Reaction Information'!$K$38*100000*(Calculations!$O20^2 + Calculations!$C$8^2 - 2*Calculations!$O20*Calculations!$C$8)/(2*Calculations!$O20*Calculations!$C$8^2))</f>
        <v>#N/A</v>
      </c>
      <c r="AQ20" s="8" t="e">
        <f>IF(ISBLANK(Input!$BE$4),NA(),'Reaction Information'!$E$42-'Reaction Information'!$G$42*(Calculations!$O20-Calculations!$C$8)+'Reaction Information'!$I$42*(Calculations!$O20-Calculations!$C$8-Calculations!$O20*LN(Calculations!$O20/Calculations!$C$8))+'Reaction Information'!$J$42*0.001/2*(2*Calculations!$O20*Calculations!$C$8-Calculations!$O20^2-Calculations!$C$8^2) + 'Reaction Information'!$K$42*100000*(Calculations!$O20^2 + Calculations!$C$8^2 - 2*Calculations!$O20*Calculations!$C$8)/(2*Calculations!$O20*Calculations!$C$8^2))</f>
        <v>#N/A</v>
      </c>
      <c r="AR20" s="8" t="e">
        <f>IF(AR$5="H2O", IF($D$24=3,IF(T20=0,NA(),T20),calculateGibbsOfWater(M20,N20,$D$24,$D$20,$D$19=3)),NA())</f>
        <v>#N/A</v>
      </c>
      <c r="AS20" s="8">
        <f>IF(ISBLANK(Input!$BK$4),NA(),'Reaction Information'!$E$46-'Reaction Information'!$G$46*(Calculations!O20-Calculations!$C$8)-'Reaction Information'!$N$46*(Calculations!O20*LN(Calculations!O20/Calculations!$C$8)-Calculations!O20+Calculations!$C$8)-'Reaction Information'!$O$46*10^4*(((1/(Calculations!O20-Calculations!$C$13))-(1/(Calculations!$C$8-Calculations!$C$13)))*((Calculations!$C$13-Calculations!O20)/(Calculations!$C$13))-(Calculations!O20/(Calculations!$C$13*Calculations!$C$13))*LN((Calculations!$C$8*(Calculations!O20-Calculations!$C$13))/(Calculations!O20*(Calculations!$C$8-Calculations!$C$13))))+'Reaction Information'!$J$46*10^-1*(Calculations!$M20-Calculations!$C$9)+'Reaction Information'!$K$46*10^2*LN((Calculations!$C$12+Calculations!$M20)/(Calculations!$C$12+Calculations!$C$9))+(1/(Calculations!O20-Calculations!$C$13))*('Reaction Information'!$L$46*(Calculations!$M20-Calculations!$C$9)+'Reaction Information'!$M$46*10^4*LN((Calculations!$C$12+Calculations!$M20)/(Calculations!$C$12+Calculations!$C$9)))+calculateOmega(Calculations!M20,Calculations!N20,Calculations!Q20,'Reaction Information'!$C$46,'Reaction Information'!$P$46*10^5,'Reaction Information'!$Q$46)*((1/Calculations!S20)-1)-'Reaction Information'!$P$46*10^5*((1/Calculations!$C$10)-1)+'Reaction Information'!$P$46*10^5*Calculations!$C$14*(Calculations!O20-Calculations!$C$8))</f>
        <v>0</v>
      </c>
      <c r="AT20" s="8">
        <f>IF(ISBLANK(Input!$BN$4),NA(),'Reaction Information'!$E$50-'Reaction Information'!$G$50*(Calculations!O20-Calculations!$C$8)-'Reaction Information'!$N$50*(Calculations!O20*LN(Calculations!O20/Calculations!$C$8)-Calculations!O20+Calculations!$C$8)-'Reaction Information'!$O$50*10^4*(((1/(Calculations!O20-Calculations!$C$13))-(1/(Calculations!$C$8-Calculations!$C$13)))*((Calculations!$C$13-Calculations!O20)/(Calculations!$C$13))-(Calculations!O20/(Calculations!$C$13*Calculations!$C$13))*LN((Calculations!$C$8*(Calculations!O20-Calculations!$C$13))/(Calculations!O20*(Calculations!$C$8-Calculations!$C$13))))+'Reaction Information'!$J$50*10^-1*(Calculations!$M20-Calculations!$C$9)+'Reaction Information'!$K$50*10^2*LN((Calculations!$C$12+Calculations!$M20)/(Calculations!$C$12+Calculations!$C$9))+(1/(Calculations!O20-Calculations!$C$13))*('Reaction Information'!$L$50*(Calculations!$M20-Calculations!$C$9)+'Reaction Information'!$M$50*10^4*LN((Calculations!$C$12+Calculations!$M20)/(Calculations!$C$12+Calculations!$C$9)))+calculateOmega(Calculations!M20,Calculations!N20,Calculations!Q20,'Reaction Information'!$C$50,'Reaction Information'!$P$50*10^5,'Reaction Information'!$Q$50)*((1/Calculations!S20)-1)-'Reaction Information'!$P$50*10^5*((1/Calculations!$C$10)-1)+'Reaction Information'!$P$50*10^5*Calculations!$C$14*(Calculations!O20-Calculations!$C$8))</f>
        <v>-155820.39587809457</v>
      </c>
      <c r="AU20" s="8" t="e">
        <f>IF(ISBLANK(Input!$BQ$4),NA(),'Reaction Information'!$E$54-'Reaction Information'!$G$54*(Calculations!$O20-Calculations!$C$8)-'Reaction Information'!$N$54*(Calculations!$O20*LN(Calculations!$O20/Calculations!$C$8)-Calculations!$O20+Calculations!$C$8)-'Reaction Information'!$O$54*10^4*(((1/(Calculations!$O20-Calculations!$C$13))-(1/(Calculations!$C$8-Calculations!$C$13)))*((Calculations!$C$13-Calculations!$O20)/(Calculations!$C$13))-(Calculations!$O20/(Calculations!$C$13*Calculations!$C$13))*LN((Calculations!$C$8*(Calculations!$O20-Calculations!$C$13))/(Calculations!$O20*(Calculations!$C$8-Calculations!$C$13))))+'Reaction Information'!$J$54*10^-1*(Calculations!$M20-Calculations!$C$9)+'Reaction Information'!$K$54*10^2*LN((Calculations!$C$12+Calculations!$M20)/(Calculations!$C$12+Calculations!$C$9))+(1/(Calculations!$O20-Calculations!$C$13))*('Reaction Information'!$L$54*(Calculations!$M20-Calculations!$C$9)+'Reaction Information'!$M$54*10^4*LN((Calculations!$C$12+Calculations!$M20)/(Calculations!$C$12+Calculations!$C$9)))+calculateOmega(Calculations!M20,Calculations!N20,Calculations!Q20,'Reaction Information'!$C$54,'Reaction Information'!$P$54*10^5,'Reaction Information'!$Q$54)*((1/Calculations!$S20)-1)-'Reaction Information'!$P$54*10^5*((1/Calculations!$C$10)-1)+'Reaction Information'!$P$54*10^5*Calculations!$C$14*(Calculations!$O20-Calculations!$C$8))</f>
        <v>#N/A</v>
      </c>
      <c r="AV20" s="8" t="e">
        <f>IF(ISBLANK(Input!$BT$4),NA(),'Reaction Information'!$E$58-'Reaction Information'!$G$58*(Calculations!$O20-Calculations!$C$8)-'Reaction Information'!$N$58*(Calculations!$O20*LN(Calculations!$O20/Calculations!$C$8)-Calculations!$O20+Calculations!$C$8)-'Reaction Information'!$O$58*10^4*(((1/(Calculations!$O20-Calculations!$C$13))-(1/(Calculations!$C$8-Calculations!$C$13)))*((Calculations!$C$13-Calculations!$O20)/(Calculations!$C$13))-(Calculations!$O20/(Calculations!$C$13*Calculations!$C$13))*LN((Calculations!$C$8*(Calculations!$O20-Calculations!$C$13))/(Calculations!$O20*(Calculations!$C$8-Calculations!$C$13))))+'Reaction Information'!$J$58*10^-1*(Calculations!$M20-Calculations!$C$9)+'Reaction Information'!$K$58*10^2*LN((Calculations!$C$12+Calculations!$M20)/(Calculations!$C$12+Calculations!$C$9))+(1/(Calculations!$O20-Calculations!$C$13))*('Reaction Information'!$L$58*(Calculations!$M20-Calculations!$C$9)+'Reaction Information'!$M$58*10^4*LN((Calculations!$C$12+Calculations!$M20)/(Calculations!$C$12+Calculations!$C$9)))+calculateOmega(Calculations!M20,Calculations!N20,Calculations!Q20,'Reaction Information'!$C$58,'Reaction Information'!$P$58*10^5,'Reaction Information'!$Q$58)*((1/Calculations!$S20)-1)-'Reaction Information'!$P$58*10^5*((1/Calculations!$C$10)-1)+'Reaction Information'!$P$58*10^5*Calculations!$C$14*(Calculations!$O20-Calculations!$C$8))</f>
        <v>#N/A</v>
      </c>
      <c r="AW20" s="8" t="e">
        <f>IF(ISBLANK(Input!$BW$4),NA(),'Reaction Information'!$E$62-'Reaction Information'!$G$62*(Calculations!$O20-Calculations!$C$8)-'Reaction Information'!$N$62*(Calculations!$O20*LN(Calculations!$O20/Calculations!$C$8)-Calculations!$O20+Calculations!$C$8)-'Reaction Information'!$O$62*10^4*(((1/(Calculations!$O20-Calculations!$C$13))-(1/(Calculations!$C$8-Calculations!$C$13)))*((Calculations!$C$13-Calculations!$O20)/(Calculations!$C$13))-(Calculations!$O20/(Calculations!$C$13*Calculations!$C$13))*LN((Calculations!$C$8*(Calculations!$O20-Calculations!$C$13))/(Calculations!$O20*(Calculations!$C$8-Calculations!$C$13))))+'Reaction Information'!$J$62*10^-1*(Calculations!$M20-Calculations!$C$9)+'Reaction Information'!$K$62*10^2*LN((Calculations!$C$12+Calculations!$M20)/(Calculations!$C$12+Calculations!$C$9))+(1/(Calculations!$O20-Calculations!$C$13))*('Reaction Information'!$L$62*(Calculations!$M20-Calculations!$C$9)+'Reaction Information'!$M$62*10^4*LN((Calculations!$C$12+Calculations!$M20)/(Calculations!$C$12+Calculations!$C$9)))+calculateOmega(Calculations!M20,Calculations!N20,Calculations!Q20,'Reaction Information'!$C$62,'Reaction Information'!$P$62*10^5,'Reaction Information'!$Q$62)*((1/Calculations!$S20)-1)-'Reaction Information'!$P$62*10^5*((1/Calculations!$C$10)-1)+'Reaction Information'!$P$62*10^5*Calculations!$C$14*(Calculations!$O20-Calculations!$C$8))</f>
        <v>#N/A</v>
      </c>
      <c r="AX20" s="8" t="e">
        <f>IF(ISBLANK(Input!$BZ$4),NA(),'Reaction Information'!$E$66-'Reaction Information'!$G$66*(Calculations!$O20-Calculations!$C$8)-'Reaction Information'!$N$66*(Calculations!$O20*LN(Calculations!$O20/Calculations!$C$8)-Calculations!$O20+Calculations!$C$8)-'Reaction Information'!$O$66*10^4*(((1/(Calculations!$O20-Calculations!$C$13))-(1/(Calculations!$C$8-Calculations!$C$13)))*((Calculations!$C$13-Calculations!$O20)/(Calculations!$C$13))-(Calculations!$O20/(Calculations!$C$13*Calculations!$C$13))*LN((Calculations!$C$8*(Calculations!$O20-Calculations!$C$13))/(Calculations!$O20*(Calculations!$C$8-Calculations!$C$13))))+'Reaction Information'!$J$66*10^-1*(Calculations!$M20-Calculations!$C$9)+'Reaction Information'!$K$66*10^2*LN((Calculations!$C$12+Calculations!$M20)/(Calculations!$C$12+Calculations!$C$9))+(1/(Calculations!$O20-Calculations!$C$13))*('Reaction Information'!$L$66*(Calculations!$M20-Calculations!$C$9)+'Reaction Information'!$M$66*10^4*LN((Calculations!$C$12+Calculations!$M20)/(Calculations!$C$12+Calculations!$C$9)))+calculateOmega(Calculations!M20,Calculations!N20,Calculations!Q20,'Reaction Information'!$C$66,'Reaction Information'!$P$66*10^5,'Reaction Information'!$Q$66)*((1/Calculations!$S20)-1)-'Reaction Information'!$P$66*10^5*((1/Calculations!$C$10)-1)+'Reaction Information'!$P$66*10^5*Calculations!$C$14*(Calculations!$O20-Calculations!$C$8))</f>
        <v>#N/A</v>
      </c>
      <c r="AY20" s="31">
        <f>(AL20*Input!$AO$4+AM20*Input!$AR$4+AN20*Input!$AU$4+AO20*Input!$AX$4+IF(ISNA(AP20),0,AP20*Input!$BA$4)+IF(ISNA(AQ20),0,AQ20*Input!$BD$4)+IF(ISNA(AR20),0,AR20*Input!$BG$4)+IF(ISNA(AS20),0,AS20*Input!$BJ$4)+IF(ISNA(AT20),0,AT20*Input!$BM$4)+IF(ISNA(AU20),0,AU20*Input!$BP$4)+IF(ISNA(AV20),0,AV20*Input!$BS$4)+IF(ISNA(AW20),0,AW20*Input!$BV$4)+IF(ISNA(AX20),0,AX20*Input!$BY$4))-(Y20*Input!$B$4+Z20*Input!$E$4+AA20*Input!$H$4+AB20*Input!$K$4+IF(ISNA(AC20),0,AC20*Input!$N$4)+IF(ISNA(AD20),0,AD20*Input!$Q$4)+IF(ISNA(AE20),0,AE20*Input!$T$4)+IF(ISNA(AF20),0,AF20*Input!$W$4)+IF(ISNA(AG20),0,AG20*Input!$Z$4)+IF(ISNA(AH20),0,AH20*Input!$AC$4)+IF(ISNA(AI20),0,AI20*Input!$AF$4)+IF(ISNA(AJ20),0,AJ20*Input!$AI$4)+IF(ISNA(AK20),0,AK20*Input!$AL$4))</f>
        <v>67113.452582487982</v>
      </c>
      <c r="AZ20" s="42">
        <f t="shared" si="7"/>
        <v>-11.528210035511357</v>
      </c>
      <c r="BA20" s="1">
        <f t="shared" si="8"/>
        <v>1000</v>
      </c>
      <c r="BB20" s="46">
        <f t="shared" si="9"/>
        <v>5000</v>
      </c>
      <c r="BC20" s="1"/>
      <c r="BD20" s="2">
        <f t="shared" si="10"/>
        <v>5000</v>
      </c>
      <c r="BE20" s="46">
        <f t="shared" si="11"/>
        <v>1000</v>
      </c>
      <c r="BF20" s="1">
        <f>Results!AJ22</f>
        <v>0</v>
      </c>
      <c r="BG20" s="1">
        <f>Results!AK22</f>
        <v>0</v>
      </c>
      <c r="BH20" s="1">
        <f>Results!AL22</f>
        <v>0</v>
      </c>
      <c r="BI20" s="1">
        <f>Results!AM22</f>
        <v>0</v>
      </c>
      <c r="BJ20" s="1" t="e">
        <f>IF(OR(ISNA('Reaction Information'!$D$5), $N20 = "", $D$27 = FALSE, 'Reaction Information'!$D$5 = ""), NA(), 24.465)</f>
        <v>#N/A</v>
      </c>
      <c r="BK20" s="1" t="e">
        <f>IF(OR(ISNA('Reaction Information'!$D$9), $N20 = "", $D$27 = FALSE, 'Reaction Information'!$D$9 = ""), NA(), 24.465)</f>
        <v>#N/A</v>
      </c>
      <c r="BL20" s="8">
        <f t="shared" si="0"/>
        <v>30.144898163571838</v>
      </c>
      <c r="BM20" s="8">
        <f>IF(OR(ISBLANK(Input!$X$4),$D$27=FALSE),NA(),('Reaction Information'!$J$13/10+'Reaction Information'!$K$13*100/(Calculations!$C$12+Calculations!$M20)+('Reaction Information'!$L$13+'Reaction Information'!$M$13*10^4/(Calculations!$C$12+Calculations!$M20))/(Calculations!$O20-Calculations!$C$13) -calculateOmega(Calculations!$M20,Calculations!$N20,Calculations!$Q20,'Reaction Information'!$C$13,'Reaction Information'!$P$13*10^5,'Reaction Information'!$Q$13)*Calculations!$U20*10^-6 + (1/$S20 - 1)*calculate_domegadP(Calculations!$M20,Calculations!$N20,Calculations!$Q20,'Reaction Information'!$C$13,'Reaction Information'!$P$13*10^5,'Reaction Information'!$Q$13,$D$20,$D$19=3))*41.84)</f>
        <v>78.932204368675229</v>
      </c>
      <c r="BN20" s="8" t="e">
        <f>IF(OR(ISBLANK(Input!$AA$4),$D$27=FALSE),NA(),('Reaction Information'!$J$17/10+'Reaction Information'!$K$17*100/(Calculations!$C$12+Calculations!$M20)+('Reaction Information'!$L$17+'Reaction Information'!$M$17*10000/(Calculations!$C$12+Calculations!$M20))/(Calculations!$O20-Calculations!$C$13)-calculateOmega(Calculations!M20,Calculations!N20,Calculations!Q20,'Reaction Information'!$C$17,'Reaction Information'!$P$17*10^5,'Reaction Information'!$Q$17)*Calculations!$U20*10^-6 + (1/$S20 - 1)*calculate_domegadP(Calculations!M20,Calculations!N20,Calculations!Q20,'Reaction Information'!$C$17,'Reaction Information'!$P$17*10^5,'Reaction Information'!$Q$17,$D$20,$D$19=3))*41.84)</f>
        <v>#N/A</v>
      </c>
      <c r="BO20" s="8" t="e">
        <f>IF(OR(ISBLANK(Input!$AD$4),$D$27=FALSE),NA(),('Reaction Information'!$J$21/10+'Reaction Information'!$K$21*100/(Calculations!$C$12+Calculations!$M20)+('Reaction Information'!$L$21+'Reaction Information'!$M$21*10000/(Calculations!$C$12+Calculations!$M20))/(Calculations!$O20-Calculations!$C$13)-calculateOmega(Calculations!M20,Calculations!N20,Calculations!Q20,'Reaction Information'!$C$21,'Reaction Information'!$P$21*10^5,'Reaction Information'!$Q$21)*Calculations!$U20*10^-6 + (1/$S20 - 1)*calculate_domegadP(Calculations!M20,Calculations!N20,Calculations!Q20,'Reaction Information'!$C$21,'Reaction Information'!$P$21*10^5,'Reaction Information'!$Q$21,$D$20,$D$19=3))*41.84)</f>
        <v>#N/A</v>
      </c>
      <c r="BP20" s="8" t="e">
        <f>IF(OR(ISBLANK(Input!$AG$4),$D$27=FALSE),NA(),('Reaction Information'!$J$25/10+'Reaction Information'!$K$25*100/(Calculations!$C$12+Calculations!$M20)+('Reaction Information'!$L$25+'Reaction Information'!$M$25*10000/(Calculations!$C$12+Calculations!$M20))/(Calculations!$O20-Calculations!$C$13)-calculateOmega(Calculations!M20,Calculations!N20,Calculations!Q20,'Reaction Information'!$C$25,'Reaction Information'!$P$25*10^5,'Reaction Information'!$Q$25)*Calculations!$U20*10^-6 + (1/$S20 - 1)*calculate_domegadP(Calculations!M20,Calculations!N20,Calculations!Q20,'Reaction Information'!$C$25,'Reaction Information'!$P$25*10^5,'Reaction Information'!$Q$25,$D$20,$D$19=3))*41.84)</f>
        <v>#N/A</v>
      </c>
      <c r="BQ20" s="8" t="e">
        <f>IF(OR(ISBLANK(Input!$AJ$4),$D$27=FALSE),NA(),('Reaction Information'!$J$29/10+'Reaction Information'!$K$29*100/(Calculations!$C$12+Calculations!$M20)+('Reaction Information'!$L$29+'Reaction Information'!$M$29*10000/(Calculations!$C$12+Calculations!$M20))/(Calculations!$O20-Calculations!$C$13)-calculateOmega(Calculations!M20,Calculations!N20,Calculations!Q20,'Reaction Information'!$C$29,'Reaction Information'!$P$29*10^5,'Reaction Information'!$Q$29)*Calculations!$U20*10^-6 + (1/$S20 - 1)*calculate_domegadP(Calculations!M20,Calculations!N20,Calculations!Q20,'Reaction Information'!$C$29,'Reaction Information'!$P$29*10^5,'Reaction Information'!$Q$29,$D$20,$D$19=3))*41.84)</f>
        <v>#N/A</v>
      </c>
      <c r="BR20" s="8" t="e">
        <f>IF(OR(ISBLANK(Input!$AM$4),$D$27=FALSE),NA(),('Reaction Information'!$J$33/10+'Reaction Information'!$K$33*100/(Calculations!$C$12+Calculations!$M20)+('Reaction Information'!$L$33+'Reaction Information'!$M$33*10000/(Calculations!$C$12+Calculations!$M20))/(Calculations!$O20-Calculations!$C$13)-calculateOmega(Calculations!M20,Calculations!N20,Calculations!Q20,'Reaction Information'!$C$33,'Reaction Information'!$P$33*10^5,'Reaction Information'!$Q$33)*Calculations!$U20*10^-6 + (1/$S20 - 1)*calculate_domegadP(Calculations!M20,Calculations!N20,Calculations!Q20,'Reaction Information'!$C$33,'Reaction Information'!$P$33*10^5,'Reaction Information'!$Q$33,$D$20,$D$19=3))*41.84)</f>
        <v>#N/A</v>
      </c>
      <c r="BS20" s="1">
        <f>Results!AW22</f>
        <v>0</v>
      </c>
      <c r="BT20" s="1">
        <f>Results!AX22</f>
        <v>0</v>
      </c>
      <c r="BU20" s="1">
        <f>Results!AY22</f>
        <v>0</v>
      </c>
      <c r="BV20" s="1">
        <f>Results!AZ22</f>
        <v>0</v>
      </c>
      <c r="BW20" s="1" t="e">
        <f>IF(OR(ISNA('Reaction Information'!$D$38), $N20 = "", $D$27 = FALSE, 'Reaction Information'!$D$38 = ""), NA(), 24.465)</f>
        <v>#N/A</v>
      </c>
      <c r="BX20" s="1" t="e">
        <f>IF(OR(ISNA('Reaction Information'!$D$42), $N20 = "", $D$27 = FALSE, 'Reaction Information'!$D$42 = ""), NA(), 24.465)</f>
        <v>#N/A</v>
      </c>
      <c r="BY20" s="8" t="e">
        <f t="shared" si="1"/>
        <v>#N/A</v>
      </c>
      <c r="BZ20" s="8">
        <f>IF(OR(ISBLANK(Input!$BK$4),$D$27=FALSE),NA(),('Reaction Information'!$J$46/10+'Reaction Information'!$K$46*100/(Calculations!$C$12+Calculations!$M20)+('Reaction Information'!$L$46+'Reaction Information'!$M$46*10000/(Calculations!$C$12+Calculations!$M20))/(Calculations!$O20-Calculations!$C$13)-calculateOmega(Calculations!M20,Calculations!N20,Calculations!Q20,'Reaction Information'!$C$46,'Reaction Information'!$P$46*10^5,'Reaction Information'!$Q$46)*Calculations!$U20*10^-6 + (1/$S20 - 1)*calculate_domegadP(Calculations!M20,Calculations!N20,Calculations!Q20,'Reaction Information'!$C$46,'Reaction Information'!$P$46*10^5,'Reaction Information'!$Q$46,$D$20,$D$19=3))*41.84)</f>
        <v>0</v>
      </c>
      <c r="CA20" s="8">
        <f>IF(OR(ISBLANK(Input!$BN$4),$D$27=FALSE),NA(),('Reaction Information'!$J$50/10+'Reaction Information'!$K$50*100/(Calculations!$C$12+Calculations!$M20)+('Reaction Information'!$L$50+'Reaction Information'!$M$50*10000/(Calculations!$C$12+Calculations!$M20))/(Calculations!$O20-Calculations!$C$13)-calculateOmega(Calculations!M20,Calculations!N20,Calculations!Q20,'Reaction Information'!$C$50,'Reaction Information'!$P$50*10^5,'Reaction Information'!$Q$50)*Calculations!$U20*10^-6 + (1/$S20 - 1)*calculate_domegadP(Calculations!M20,Calculations!N20,Calculations!Q20,'Reaction Information'!$C$50,'Reaction Information'!$P$50*10^5,'Reaction Information'!$Q$50,$D$20,$D$19=3))*41.84)</f>
        <v>-42.322287501366247</v>
      </c>
      <c r="CB20" s="8" t="e">
        <f>IF(OR(ISBLANK(Input!$BQ$4),$D$27=FALSE),NA(),('Reaction Information'!$J$54/10+'Reaction Information'!$K$54*100/(Calculations!$C$12+Calculations!$M20)+('Reaction Information'!$L$54+'Reaction Information'!$M$54*10000/(Calculations!$C$12+Calculations!$M20))/(Calculations!$O20-Calculations!$C$13)-calculateOmega(Calculations!M20,Calculations!N20,Calculations!Q20,'Reaction Information'!$C$54,'Reaction Information'!$P$54*10^5,'Reaction Information'!$Q$54)*Calculations!$U20*10^-6 + (1/$S20 - 1)*calculate_domegadP(Calculations!M20,Calculations!N20,Calculations!Q20,'Reaction Information'!$C$54,'Reaction Information'!$P$54*10^5,'Reaction Information'!$Q$54,$D$20,$D$19=3))*41.84)</f>
        <v>#N/A</v>
      </c>
      <c r="CC20" s="8" t="e">
        <f>IF(OR(ISBLANK(Input!$BT$4),$D$27=FALSE),NA(),('Reaction Information'!$J$58/10+'Reaction Information'!$K$58*100/(Calculations!$C$12+Calculations!$M20)+('Reaction Information'!$L$58+'Reaction Information'!$M$58*10000/(Calculations!$C$12+Calculations!$M20))/(Calculations!$O20-Calculations!$C$13)-calculateOmega(Calculations!M20,Calculations!N20,Calculations!Q20,'Reaction Information'!$C$58,'Reaction Information'!$P$58*10^5,'Reaction Information'!$Q$58)*Calculations!$U20*10^-6 + (1/$S20 - 1)*calculate_domegadP(Calculations!M20,Calculations!N20,Calculations!Q20,'Reaction Information'!$C$58,'Reaction Information'!$P$58*10^5,'Reaction Information'!$Q$58,$D$20,$D$19=3))*41.84)</f>
        <v>#N/A</v>
      </c>
      <c r="CD20" s="8" t="e">
        <f>IF(OR(ISBLANK(Input!$BW$4),$D$27=FALSE),NA(),('Reaction Information'!$J$62/10+'Reaction Information'!$K$62*100/(Calculations!$C$12+Calculations!$M20)+('Reaction Information'!$L$62+'Reaction Information'!$M$62*10000/(Calculations!$C$12+Calculations!$M20))/(Calculations!$O20-Calculations!$C$13)-calculateOmega(Calculations!M20,Calculations!N20,Calculations!Q20,'Reaction Information'!$C$62,'Reaction Information'!$P$62*10^5,'Reaction Information'!$Q$62)*Calculations!$U20*10^-6 + (1/$S20 - 1)*calculate_domegadP(Calculations!M20,Calculations!N20,Calculations!Q20,'Reaction Information'!$C$62,'Reaction Information'!$P$62*10^5,'Reaction Information'!$Q$62,$D$20,$D$19=3))*41.84)</f>
        <v>#N/A</v>
      </c>
      <c r="CE20" s="8" t="e">
        <f>IF(OR(ISBLANK(Input!$BZ$4),$D$27=FALSE),NA(),('Reaction Information'!$J$66/10+'Reaction Information'!$K$66*100/(Calculations!$C$12+Calculations!$M20)+('Reaction Information'!$L$66+'Reaction Information'!$M$66*10000/(Calculations!$C$12+Calculations!$M20))/(Calculations!$O20-Calculations!$C$13)-calculateOmega(Calculations!M20,Calculations!N20,Calculations!Q20,'Reaction Information'!$C$66,'Reaction Information'!$P$66*10^5,'Reaction Information'!$Q$66)*Calculations!$U20*10^-6 + (1/$S20 - 1)*calculate_domegadP(Calculations!M20,Calculations!N20,Calculations!Q20,'Reaction Information'!$C$66,'Reaction Information'!$P$66*10^5,'Reaction Information'!$Q$66,$D$20,$D$19=3))*41.84)</f>
        <v>#N/A</v>
      </c>
      <c r="CF20" s="31">
        <f>(BS20*Input!$AO$4+BT20*Input!$AR$4+BU20*Input!$AU$4+BV20*Input!$AX$4+IF(ISNA(BW20),0,BW20*Input!$BA$4)+IF(ISNA(BX20),0,BX20*Input!$BD$4)+IF(ISNA(BY20),0,BY20*Input!$BG$4)+IF(ISNA(BZ20),0,BZ20*Input!$BJ$4)+IF(ISNA(CA20),0,CA20*Input!$BM$4)+IF(ISNA(CB20),0,CB20*Input!$BP$4)+IF(ISNA(CC20),0,CC20*Input!$BS$4)+IF(ISNA(CD20),0,CD20*Input!$BV$4)+IF(ISNA(CE20),0,CE20*Input!$BY$4))-(BF20*Input!$B$4+BG20*Input!$E$4+BH20*Input!$H$4+BI20*Input!$K$4+IF(ISNA(BJ20),0,BJ20*Input!$N$4)+IF(ISNA(BK20),0,BK20*Input!$Q$4)+IF(ISNA(BL20),0,BL20*Input!$T$4)+IF(ISNA(BM20),0,BM20*Input!$W$4)+IF(ISNA(BN20),0,BN20*Input!$Z$4)+IF(ISNA(BO20),0,BO20*Input!$AC$4)+IF(ISNA(BP20),0,BP20*Input!$AF$4)+IF(ISNA(BQ20),0,BQ20*Input!$AI$4)+IF(ISNA(BR20),0,BR20*Input!$AL$4))</f>
        <v>-151.39939003361332</v>
      </c>
      <c r="CG20" s="1">
        <f t="shared" si="12"/>
        <v>1000</v>
      </c>
      <c r="CH20" s="46">
        <f t="shared" si="13"/>
        <v>5000</v>
      </c>
      <c r="CI20" s="1"/>
    </row>
    <row r="21" spans="1:87" ht="15" customHeight="1" x14ac:dyDescent="0.2">
      <c r="A21" s="1"/>
      <c r="B21" s="273" t="s">
        <v>698</v>
      </c>
      <c r="C21" s="273"/>
      <c r="D21" s="7" t="b">
        <v>0</v>
      </c>
      <c r="E21" s="1"/>
      <c r="F21" s="2">
        <v>16</v>
      </c>
      <c r="G21" s="1" t="str">
        <f>IF(ISBLANK(Input!CB21), "", Input!CB21*1000)</f>
        <v/>
      </c>
      <c r="H21" s="1" t="str">
        <f>IF(ISBLANK(Input!CC21), "", Input!CC21)</f>
        <v/>
      </c>
      <c r="I21" s="1">
        <f>IF(Input!$CF$5 + Input!$CF$6*(FLOOR((Calculations!$F21-1)/(FLOOR((Input!$CF$12-Input!$CF$10)/Input!$CF$11,1)+1),1)) &gt; Input!$CF$7, "", (Input!$CF$5 + Input!$CF$6*(FLOOR((Calculations!$F21-1)/(FLOOR((Input!$CF$12-Input!$CF$10)/Input!$CF$11,1)+1),1)))*1000)</f>
        <v>10000</v>
      </c>
      <c r="J21" s="1">
        <f>IF(Calculations!I21 = "", "", Input!$CF$10 + Input!$CF$11*(Calculations!$F21-1) - (FLOOR((Input!$CF$12-Input!$CF$10)/Input!$CF$11,1)+1)*Input!$CF$11*FLOOR((Calculations!$F21-1)/(FLOOR((Input!$CF$12-Input!$CF$10)/Input!$CF$11,1)+1),1))</f>
        <v>300</v>
      </c>
      <c r="K21" s="8" t="str">
        <f t="shared" si="14"/>
        <v/>
      </c>
      <c r="L21" s="117" t="str">
        <f>IF(OR(Input!$CJ$5 + Input!$CJ$6*(Calculations!F21-1) &gt; Input!$CJ$7, Input!$CJ$5 + Input!$CJ$6*(Calculations!F21-1) &gt; 350), "", Input!$CJ$5 + Input!$CJ$6*(Calculations!F21-1))</f>
        <v/>
      </c>
      <c r="M21" s="1">
        <f t="shared" si="2"/>
        <v>10000</v>
      </c>
      <c r="N21" s="1">
        <f t="shared" si="3"/>
        <v>300</v>
      </c>
      <c r="O21" s="1">
        <f t="shared" si="4"/>
        <v>573.15</v>
      </c>
      <c r="P21" s="1" t="e">
        <f>IF(OR($D$20=3,AND($D$21=TRUE,M21&lt;1000)),INDEX('Water Density'!$C$6:$CX$120,MATCH(Calculations!N21,'Water Density'!$B$6:$B$120),MATCH(Calculations!M21/1000,'Water Density'!$C$5:$CX$5)),NA())</f>
        <v>#N/A</v>
      </c>
      <c r="Q21" s="182">
        <f>IF(OR($D$20=3,AND($D$21=TRUE,M21&lt;1000)), IF(P21&lt;&gt;0,P21,NA()), calculateDensity(M21,N21,$D$20,0.01,$D$19 = 3))</f>
        <v>1.1026655896842479</v>
      </c>
      <c r="R21" s="1" t="e">
        <f>IF($D$22=5,INDEX('Dielectric Constant'!$C$6:$CX$120,MATCH(Calculations!N21,'Dielectric Constant'!$B$6:$B$120),MATCH(Calculations!M21/1000,'Dielectric Constant'!$C$5:$CX$5)),NA())</f>
        <v>#N/A</v>
      </c>
      <c r="S21" s="58">
        <f>IF($D$22=5, IF(R21&lt;&gt;0,R21,NA()), IF(AND($D$23,M21&lt;=5000,$D$19 &lt;&gt; 3),calculateEpsilon(Q21,N21,1,FALSE),calculateEpsilon(Q21,N21,$D$22,$D$19 = 3)))</f>
        <v>39.510269371393598</v>
      </c>
      <c r="T21" s="1" t="e">
        <f>IF($D$24=3,INDEX('Water Free Energy'!$C$6:$CX$120,MATCH(Calculations!N21,'Water Free Energy'!$B$6:$B$120),MATCH(Calculations!M21/1000,'Water Free Energy'!$C$5:$CX$5)),NA())</f>
        <v>#N/A</v>
      </c>
      <c r="U21" s="179">
        <f>IF($D$27,calculateQ(M21,N21,Q21,$D$20,$D$22,$D$19=3)*10^6,NA())</f>
        <v>0.45618654406537956</v>
      </c>
      <c r="V21"/>
      <c r="W21" s="2">
        <f t="shared" si="5"/>
        <v>10000</v>
      </c>
      <c r="X21" s="1">
        <f t="shared" si="6"/>
        <v>300</v>
      </c>
      <c r="Y21" s="1">
        <f>Results!F23</f>
        <v>0</v>
      </c>
      <c r="Z21" s="1">
        <f>Results!G23</f>
        <v>0</v>
      </c>
      <c r="AA21" s="1">
        <f>Results!H23</f>
        <v>0</v>
      </c>
      <c r="AB21" s="1">
        <f>Results!I23</f>
        <v>0</v>
      </c>
      <c r="AC21" s="1" t="e">
        <f>IF(ISBLANK(Input!$O$4),NA(),'Reaction Information'!$E$5-'Reaction Information'!$G$5*(Calculations!$O21-Calculations!$C$8)+'Reaction Information'!$I$5*(Calculations!$O21-Calculations!$C$8-Calculations!$O21*LN(Calculations!$O21/Calculations!$C$8))+'Reaction Information'!$J$5*0.001/2*(2*Calculations!$O21*Calculations!$C$8-Calculations!$O21^2-Calculations!$C$8^2) + 'Reaction Information'!$K$5*100000*(Calculations!$O21^2 + Calculations!$C$8^2 - 2*Calculations!$O21*Calculations!$C$8)/(2*Calculations!$O21*Calculations!$C$8^2))</f>
        <v>#N/A</v>
      </c>
      <c r="AD21" s="8" t="e">
        <f>IF(ISBLANK(Input!$R$4),NA(),'Reaction Information'!$E$9-'Reaction Information'!$G$9*(Calculations!$O21-Calculations!$C$8)+'Reaction Information'!$I$9*(Calculations!$O21-Calculations!$C$8-Calculations!$O21*LN(Calculations!$O21/Calculations!$C$8))+'Reaction Information'!$J$9*0.001/2*(2*Calculations!$O21*Calculations!$C$8-Calculations!$O21^2-Calculations!$C$8^2) + 'Reaction Information'!$K$9*100000*(Calculations!$O21^2 + Calculations!$C$8^2 - 2*Calculations!$O21*Calculations!$C$8)/(2*Calculations!$O21*Calculations!$C$8^2))</f>
        <v>#N/A</v>
      </c>
      <c r="AE21" s="8">
        <f>IF(AE$5="H2O",IF($D$24=3,IF(T21=0,NA(),T21),calculateGibbsOfWater(M21,N21,$D$24,$D$20,$D$19=3)),NA())</f>
        <v>-58626.206579624632</v>
      </c>
      <c r="AF21" s="8">
        <f>IF(ISBLANK(Input!$X$4),NA(),'Reaction Information'!$E$13-'Reaction Information'!$G$13*(Calculations!O21-Calculations!$C$8)-'Reaction Information'!$N$13*(Calculations!O21*LN(Calculations!O21/Calculations!$C$8)-Calculations!O21+Calculations!$C$8)-'Reaction Information'!$O$13*10^4*(((1/(Calculations!O21-Calculations!$C$13))-(1/(Calculations!$C$8-Calculations!$C$13)))*((Calculations!$C$13-Calculations!O21)/(Calculations!$C$13))-(Calculations!O21/(Calculations!$C$13*Calculations!$C$13))*LN((Calculations!$C$8*(Calculations!O21-Calculations!$C$13))/(Calculations!O21*(Calculations!$C$8-Calculations!$C$13))))+'Reaction Information'!$J$13*10^-1*(Calculations!M21-Calculations!$C$9)+'Reaction Information'!$K$13*10^2*LN((Calculations!$C$12+Calculations!M21)/(Calculations!$C$12+Calculations!$C$9))+(1/(Calculations!O21-Calculations!$C$13))*('Reaction Information'!$L$13*(Calculations!M21-Calculations!$C$9)+'Reaction Information'!$M$13*10^4*LN((Calculations!$C$12+Calculations!M21)/(Calculations!$C$12+Calculations!$C$9)))+calculateOmega(Calculations!M21,Calculations!N21,Calculations!Q21,'Reaction Information'!$C$13,'Reaction Information'!$P$13*10^5,'Reaction Information'!$Q$13)*((1/Calculations!S21)-1)-'Reaction Information'!$P$13*10^5*((1/Calculations!$C$10)-1)+'Reaction Information'!$P$13*10^5*Calculations!$C$14*(Calculations!O21-Calculations!$C$8))</f>
        <v>-95384.731117360672</v>
      </c>
      <c r="AG21" s="8" t="e">
        <f>IF(ISBLANK(Input!$AA$4),NA(),'Reaction Information'!$E$17-'Reaction Information'!$G$17*(Calculations!$O21-Calculations!$C$8)-'Reaction Information'!$N$17*(Calculations!$O21*LN(Calculations!$O21/Calculations!$C$8)-Calculations!$O21+Calculations!$C$8)-'Reaction Information'!$O$17*10^4*(((1/(Calculations!$O21-Calculations!$C$13))-(1/(Calculations!$C$8-Calculations!$C$13)))*((Calculations!$C$13-Calculations!$O21)/(Calculations!$C$13))-(Calculations!$O21/(Calculations!$C$13*Calculations!$C$13))*LN((Calculations!$C$8*(Calculations!$O21-Calculations!$C$13))/(Calculations!$O21*(Calculations!$C$8-Calculations!$C$13))))+'Reaction Information'!$J$17*10^-1*(Calculations!$M21-Calculations!$C$9)+'Reaction Information'!$K$17*10^2*LN((Calculations!$C$12+Calculations!$M21)/(Calculations!$C$12+Calculations!$C$9))+(1/(Calculations!$O21-Calculations!$C$13))*('Reaction Information'!$L$17*(Calculations!$M21-Calculations!$C$9)+'Reaction Information'!$M$17*10^4*LN((Calculations!$C$12+Calculations!$M21)/(Calculations!$C$12+Calculations!$C$9)))+calculateOmega(Calculations!M21,Calculations!N21,Calculations!Q21,'Reaction Information'!$C$17,'Reaction Information'!$P$17*10^5,'Reaction Information'!$Q$17)*((1/Calculations!$S21)-1)-'Reaction Information'!$P$17*10^5*((1/Calculations!$C$10)-1)+'Reaction Information'!$P$17*10^5*Calculations!$C$14*(Calculations!$O21-Calculations!$C$8))</f>
        <v>#N/A</v>
      </c>
      <c r="AH21" s="8" t="e">
        <f>IF(ISBLANK(Input!$AD$4),NA(),'Reaction Information'!$E$21-'Reaction Information'!$G$21*(Calculations!$O21-Calculations!$C$8)-'Reaction Information'!$N$21*(Calculations!$O21*LN(Calculations!$O21/Calculations!$C$8)-Calculations!$O21+Calculations!$C$8)-'Reaction Information'!$O$21*10^4*(((1/(Calculations!$O21-Calculations!$C$13))-(1/(Calculations!$C$8-Calculations!$C$13)))*((Calculations!$C$13-Calculations!$O21)/(Calculations!$C$13))-(Calculations!$O21/(Calculations!$C$13*Calculations!$C$13))*LN((Calculations!$C$8*(Calculations!$O21-Calculations!$C$13))/(Calculations!$O21*(Calculations!$C$8-Calculations!$C$13))))+'Reaction Information'!$J$21*10^-1*(Calculations!$M21-Calculations!$C$9)+'Reaction Information'!$K$21*10^2*LN((Calculations!$C$12+Calculations!$M21)/(Calculations!$C$12+Calculations!$C$9))+(1/(Calculations!$O21-Calculations!$C$13))*('Reaction Information'!$L$21*(Calculations!$M21-Calculations!$C$9)+'Reaction Information'!$M$21*10^4*LN((Calculations!$C$12+Calculations!$M21)/(Calculations!$C$12+Calculations!$C$9)))+calculateOmega(Calculations!M21,Calculations!N21,Calculations!Q21,'Reaction Information'!$C$21,'Reaction Information'!$P$21*10^5,'Reaction Information'!$Q$21)*((1/Calculations!$S21)-1)-'Reaction Information'!$P$21*10^5*((1/Calculations!$C$10)-1)+'Reaction Information'!$P$21*10^5*Calculations!$C$14*(Calculations!$O21-Calculations!$C$8))</f>
        <v>#N/A</v>
      </c>
      <c r="AI21" s="8" t="e">
        <f>IF(ISBLANK(Input!$AG$4),NA(),'Reaction Information'!$E$25-'Reaction Information'!$G$25*(Calculations!$O21-Calculations!$C$8)-'Reaction Information'!$N$25*(Calculations!$O21*LN(Calculations!$O21/Calculations!$C$8)-Calculations!$O21+Calculations!$C$8)-'Reaction Information'!$O$25*10^4*(((1/(Calculations!$O21-Calculations!$C$13))-(1/(Calculations!$C$8-Calculations!$C$13)))*((Calculations!$C$13-Calculations!$O21)/(Calculations!$C$13))-(Calculations!$O21/(Calculations!$C$13*Calculations!$C$13))*LN((Calculations!$C$8*(Calculations!$O21-Calculations!$C$13))/(Calculations!$O21*(Calculations!$C$8-Calculations!$C$13))))+'Reaction Information'!$J$25*10^-1*(Calculations!$M21-Calculations!$C$9)+'Reaction Information'!$K$25*10^2*LN((Calculations!$C$12+Calculations!$M21)/(Calculations!$C$12+Calculations!$C$9))+(1/(Calculations!$O21-Calculations!$C$13))*('Reaction Information'!$L$25*(Calculations!$M21-Calculations!$C$9)+'Reaction Information'!$M$25*10^4*LN((Calculations!$C$12+Calculations!$M21)/(Calculations!$C$12+Calculations!$C$9)))+calculateOmega(Calculations!M21,Calculations!N21,Calculations!Q21,'Reaction Information'!$C$25,'Reaction Information'!$P$25*10^5,'Reaction Information'!$Q$25)*((1/Calculations!$S21)-1)-'Reaction Information'!$P$25*10^5*((1/Calculations!$C$10)-1)+'Reaction Information'!$P$25*10^5*Calculations!$C$14*(Calculations!$O21-Calculations!$C$8))</f>
        <v>#N/A</v>
      </c>
      <c r="AJ21" s="8" t="e">
        <f>IF(ISBLANK(Input!$AJ$4),NA(),'Reaction Information'!$E$29-'Reaction Information'!$G$29*(Calculations!$O21-Calculations!$C$8)-'Reaction Information'!$N$29*(Calculations!$O21*LN(Calculations!$O21/Calculations!$C$8)-Calculations!$O21+Calculations!$C$8)-'Reaction Information'!$O$29*10^4*(((1/(Calculations!$O21-Calculations!$C$13))-(1/(Calculations!$C$8-Calculations!$C$13)))*((Calculations!$C$13-Calculations!$O21)/(Calculations!$C$13))-(Calculations!$O21/(Calculations!$C$13*Calculations!$C$13))*LN((Calculations!$C$8*(Calculations!$O21-Calculations!$C$13))/(Calculations!$O21*(Calculations!$C$8-Calculations!$C$13))))+'Reaction Information'!$J$29*10^-1*(Calculations!$M21-Calculations!$C$9)+'Reaction Information'!$K$29*10^2*LN((Calculations!$C$12+Calculations!$M21)/(Calculations!$C$12+Calculations!$C$9))+(1/(Calculations!$O21-Calculations!$C$13))*('Reaction Information'!$L$29*(Calculations!$M21-Calculations!$C$9)+'Reaction Information'!$M$29*10^4*LN((Calculations!$C$12+Calculations!$M21)/(Calculations!$C$12+Calculations!$C$9)))+calculateOmega(Calculations!M21,Calculations!N21,Calculations!Q21,'Reaction Information'!$C$29,'Reaction Information'!$P$29*10^5,'Reaction Information'!$Q$29)*((1/Calculations!$S21)-1)-'Reaction Information'!$P$29*10^5*((1/Calculations!$C$10)-1)+'Reaction Information'!$P$29*10^5*Calculations!$C$14*(Calculations!$O21-Calculations!$C$8))</f>
        <v>#N/A</v>
      </c>
      <c r="AK21" s="8" t="e">
        <f>IF(ISBLANK(Input!$AM$4),NA(),'Reaction Information'!$E$33-'Reaction Information'!$G$33*(Calculations!$O21-Calculations!$C$8)-'Reaction Information'!$N$33*(Calculations!$O21*LN(Calculations!$O21/Calculations!$C$8)-Calculations!$O21+Calculations!$C$8)-'Reaction Information'!$O$33*10^4*(((1/(Calculations!$O21-Calculations!$C$13))-(1/(Calculations!$C$8-Calculations!$C$13)))*((Calculations!$C$13-Calculations!$O21)/(Calculations!$C$13))-(Calculations!$O21/(Calculations!$C$13*Calculations!$C$13))*LN((Calculations!$C$8*(Calculations!$O21-Calculations!$C$13))/(Calculations!$O21*(Calculations!$C$8-Calculations!$C$13))))+'Reaction Information'!$J$33*10^-1*(Calculations!$M21-Calculations!$C$9)+'Reaction Information'!$K$33*10^2*LN((Calculations!$C$12+Calculations!$M21)/(Calculations!$C$12+Calculations!$C$9))+(1/(Calculations!$O21-Calculations!$C$13))*('Reaction Information'!$L$33*(Calculations!$M21-Calculations!$C$9)+'Reaction Information'!$M$33*10^4*LN((Calculations!$C$12+Calculations!$M21)/(Calculations!$C$12+Calculations!$C$9)))+calculateOmega(Calculations!M21,Calculations!N21,Calculations!Q21,'Reaction Information'!$C$33,'Reaction Information'!$P$33*10^5,'Reaction Information'!$Q$33)*((1/Calculations!$S21)-1)-'Reaction Information'!$P$33*10^5*((1/Calculations!$C$10)-1)+'Reaction Information'!$P$33*10^5*Calculations!$C$14*(Calculations!$O21-Calculations!$C$8))</f>
        <v>#N/A</v>
      </c>
      <c r="AL21" s="1">
        <f>Results!S23</f>
        <v>0</v>
      </c>
      <c r="AM21" s="1">
        <f>Results!T23</f>
        <v>0</v>
      </c>
      <c r="AN21" s="1">
        <f>Results!U23</f>
        <v>0</v>
      </c>
      <c r="AO21" s="1">
        <f>Results!V23</f>
        <v>0</v>
      </c>
      <c r="AP21" s="8" t="e">
        <f>IF(ISBLANK(Input!$BB$4),NA(),'Reaction Information'!$E$38-'Reaction Information'!$G$38*(Calculations!$O21-Calculations!$C$8)+'Reaction Information'!$I$38*(Calculations!$O21-Calculations!$C$8-Calculations!$O21*LN(Calculations!$O21/Calculations!$C$8))+'Reaction Information'!$J$38*0.001/2*(2*Calculations!$O21*Calculations!$C$8-Calculations!$O21^2-Calculations!$C$8^2) + 'Reaction Information'!$K$38*100000*(Calculations!$O21^2 + Calculations!$C$8^2 - 2*Calculations!$O21*Calculations!$C$8)/(2*Calculations!$O21*Calculations!$C$8^2))</f>
        <v>#N/A</v>
      </c>
      <c r="AQ21" s="8" t="e">
        <f>IF(ISBLANK(Input!$BE$4),NA(),'Reaction Information'!$E$42-'Reaction Information'!$G$42*(Calculations!$O21-Calculations!$C$8)+'Reaction Information'!$I$42*(Calculations!$O21-Calculations!$C$8-Calculations!$O21*LN(Calculations!$O21/Calculations!$C$8))+'Reaction Information'!$J$42*0.001/2*(2*Calculations!$O21*Calculations!$C$8-Calculations!$O21^2-Calculations!$C$8^2) + 'Reaction Information'!$K$42*100000*(Calculations!$O21^2 + Calculations!$C$8^2 - 2*Calculations!$O21*Calculations!$C$8)/(2*Calculations!$O21*Calculations!$C$8^2))</f>
        <v>#N/A</v>
      </c>
      <c r="AR21" s="8" t="e">
        <f>IF(AR$5="H2O", IF($D$24=3,IF(T21=0,NA(),T21),calculateGibbsOfWater(M21,N21,$D$24,$D$20,$D$19=3)),NA())</f>
        <v>#N/A</v>
      </c>
      <c r="AS21" s="8">
        <f>IF(ISBLANK(Input!$BK$4),NA(),'Reaction Information'!$E$46-'Reaction Information'!$G$46*(Calculations!O21-Calculations!$C$8)-'Reaction Information'!$N$46*(Calculations!O21*LN(Calculations!O21/Calculations!$C$8)-Calculations!O21+Calculations!$C$8)-'Reaction Information'!$O$46*10^4*(((1/(Calculations!O21-Calculations!$C$13))-(1/(Calculations!$C$8-Calculations!$C$13)))*((Calculations!$C$13-Calculations!O21)/(Calculations!$C$13))-(Calculations!O21/(Calculations!$C$13*Calculations!$C$13))*LN((Calculations!$C$8*(Calculations!O21-Calculations!$C$13))/(Calculations!O21*(Calculations!$C$8-Calculations!$C$13))))+'Reaction Information'!$J$46*10^-1*(Calculations!$M21-Calculations!$C$9)+'Reaction Information'!$K$46*10^2*LN((Calculations!$C$12+Calculations!$M21)/(Calculations!$C$12+Calculations!$C$9))+(1/(Calculations!O21-Calculations!$C$13))*('Reaction Information'!$L$46*(Calculations!$M21-Calculations!$C$9)+'Reaction Information'!$M$46*10^4*LN((Calculations!$C$12+Calculations!$M21)/(Calculations!$C$12+Calculations!$C$9)))+calculateOmega(Calculations!M21,Calculations!N21,Calculations!Q21,'Reaction Information'!$C$46,'Reaction Information'!$P$46*10^5,'Reaction Information'!$Q$46)*((1/Calculations!S21)-1)-'Reaction Information'!$P$46*10^5*((1/Calculations!$C$10)-1)+'Reaction Information'!$P$46*10^5*Calculations!$C$14*(Calculations!O21-Calculations!$C$8))</f>
        <v>0</v>
      </c>
      <c r="AT21" s="8">
        <f>IF(ISBLANK(Input!$BN$4),NA(),'Reaction Information'!$E$50-'Reaction Information'!$G$50*(Calculations!O21-Calculations!$C$8)-'Reaction Information'!$N$50*(Calculations!O21*LN(Calculations!O21/Calculations!$C$8)-Calculations!O21+Calculations!$C$8)-'Reaction Information'!$O$50*10^4*(((1/(Calculations!O21-Calculations!$C$13))-(1/(Calculations!$C$8-Calculations!$C$13)))*((Calculations!$C$13-Calculations!O21)/(Calculations!$C$13))-(Calculations!O21/(Calculations!$C$13*Calculations!$C$13))*LN((Calculations!$C$8*(Calculations!O21-Calculations!$C$13))/(Calculations!O21*(Calculations!$C$8-Calculations!$C$13))))+'Reaction Information'!$J$50*10^-1*(Calculations!$M21-Calculations!$C$9)+'Reaction Information'!$K$50*10^2*LN((Calculations!$C$12+Calculations!$M21)/(Calculations!$C$12+Calculations!$C$9))+(1/(Calculations!O21-Calculations!$C$13))*('Reaction Information'!$L$50*(Calculations!$M21-Calculations!$C$9)+'Reaction Information'!$M$50*10^4*LN((Calculations!$C$12+Calculations!$M21)/(Calculations!$C$12+Calculations!$C$9)))+calculateOmega(Calculations!M21,Calculations!N21,Calculations!Q21,'Reaction Information'!$C$50,'Reaction Information'!$P$50*10^5,'Reaction Information'!$Q$50)*((1/Calculations!S21)-1)-'Reaction Information'!$P$50*10^5*((1/Calculations!$C$10)-1)+'Reaction Information'!$P$50*10^5*Calculations!$C$14*(Calculations!O21-Calculations!$C$8))</f>
        <v>-140336.07111091659</v>
      </c>
      <c r="AU21" s="8" t="e">
        <f>IF(ISBLANK(Input!$BQ$4),NA(),'Reaction Information'!$E$54-'Reaction Information'!$G$54*(Calculations!$O21-Calculations!$C$8)-'Reaction Information'!$N$54*(Calculations!$O21*LN(Calculations!$O21/Calculations!$C$8)-Calculations!$O21+Calculations!$C$8)-'Reaction Information'!$O$54*10^4*(((1/(Calculations!$O21-Calculations!$C$13))-(1/(Calculations!$C$8-Calculations!$C$13)))*((Calculations!$C$13-Calculations!$O21)/(Calculations!$C$13))-(Calculations!$O21/(Calculations!$C$13*Calculations!$C$13))*LN((Calculations!$C$8*(Calculations!$O21-Calculations!$C$13))/(Calculations!$O21*(Calculations!$C$8-Calculations!$C$13))))+'Reaction Information'!$J$54*10^-1*(Calculations!$M21-Calculations!$C$9)+'Reaction Information'!$K$54*10^2*LN((Calculations!$C$12+Calculations!$M21)/(Calculations!$C$12+Calculations!$C$9))+(1/(Calculations!$O21-Calculations!$C$13))*('Reaction Information'!$L$54*(Calculations!$M21-Calculations!$C$9)+'Reaction Information'!$M$54*10^4*LN((Calculations!$C$12+Calculations!$M21)/(Calculations!$C$12+Calculations!$C$9)))+calculateOmega(Calculations!M21,Calculations!N21,Calculations!Q21,'Reaction Information'!$C$54,'Reaction Information'!$P$54*10^5,'Reaction Information'!$Q$54)*((1/Calculations!$S21)-1)-'Reaction Information'!$P$54*10^5*((1/Calculations!$C$10)-1)+'Reaction Information'!$P$54*10^5*Calculations!$C$14*(Calculations!$O21-Calculations!$C$8))</f>
        <v>#N/A</v>
      </c>
      <c r="AV21" s="8" t="e">
        <f>IF(ISBLANK(Input!$BT$4),NA(),'Reaction Information'!$E$58-'Reaction Information'!$G$58*(Calculations!$O21-Calculations!$C$8)-'Reaction Information'!$N$58*(Calculations!$O21*LN(Calculations!$O21/Calculations!$C$8)-Calculations!$O21+Calculations!$C$8)-'Reaction Information'!$O$58*10^4*(((1/(Calculations!$O21-Calculations!$C$13))-(1/(Calculations!$C$8-Calculations!$C$13)))*((Calculations!$C$13-Calculations!$O21)/(Calculations!$C$13))-(Calculations!$O21/(Calculations!$C$13*Calculations!$C$13))*LN((Calculations!$C$8*(Calculations!$O21-Calculations!$C$13))/(Calculations!$O21*(Calculations!$C$8-Calculations!$C$13))))+'Reaction Information'!$J$58*10^-1*(Calculations!$M21-Calculations!$C$9)+'Reaction Information'!$K$58*10^2*LN((Calculations!$C$12+Calculations!$M21)/(Calculations!$C$12+Calculations!$C$9))+(1/(Calculations!$O21-Calculations!$C$13))*('Reaction Information'!$L$58*(Calculations!$M21-Calculations!$C$9)+'Reaction Information'!$M$58*10^4*LN((Calculations!$C$12+Calculations!$M21)/(Calculations!$C$12+Calculations!$C$9)))+calculateOmega(Calculations!M21,Calculations!N21,Calculations!Q21,'Reaction Information'!$C$58,'Reaction Information'!$P$58*10^5,'Reaction Information'!$Q$58)*((1/Calculations!$S21)-1)-'Reaction Information'!$P$58*10^5*((1/Calculations!$C$10)-1)+'Reaction Information'!$P$58*10^5*Calculations!$C$14*(Calculations!$O21-Calculations!$C$8))</f>
        <v>#N/A</v>
      </c>
      <c r="AW21" s="8" t="e">
        <f>IF(ISBLANK(Input!$BW$4),NA(),'Reaction Information'!$E$62-'Reaction Information'!$G$62*(Calculations!$O21-Calculations!$C$8)-'Reaction Information'!$N$62*(Calculations!$O21*LN(Calculations!$O21/Calculations!$C$8)-Calculations!$O21+Calculations!$C$8)-'Reaction Information'!$O$62*10^4*(((1/(Calculations!$O21-Calculations!$C$13))-(1/(Calculations!$C$8-Calculations!$C$13)))*((Calculations!$C$13-Calculations!$O21)/(Calculations!$C$13))-(Calculations!$O21/(Calculations!$C$13*Calculations!$C$13))*LN((Calculations!$C$8*(Calculations!$O21-Calculations!$C$13))/(Calculations!$O21*(Calculations!$C$8-Calculations!$C$13))))+'Reaction Information'!$J$62*10^-1*(Calculations!$M21-Calculations!$C$9)+'Reaction Information'!$K$62*10^2*LN((Calculations!$C$12+Calculations!$M21)/(Calculations!$C$12+Calculations!$C$9))+(1/(Calculations!$O21-Calculations!$C$13))*('Reaction Information'!$L$62*(Calculations!$M21-Calculations!$C$9)+'Reaction Information'!$M$62*10^4*LN((Calculations!$C$12+Calculations!$M21)/(Calculations!$C$12+Calculations!$C$9)))+calculateOmega(Calculations!M21,Calculations!N21,Calculations!Q21,'Reaction Information'!$C$62,'Reaction Information'!$P$62*10^5,'Reaction Information'!$Q$62)*((1/Calculations!$S21)-1)-'Reaction Information'!$P$62*10^5*((1/Calculations!$C$10)-1)+'Reaction Information'!$P$62*10^5*Calculations!$C$14*(Calculations!$O21-Calculations!$C$8))</f>
        <v>#N/A</v>
      </c>
      <c r="AX21" s="8" t="e">
        <f>IF(ISBLANK(Input!$BZ$4),NA(),'Reaction Information'!$E$66-'Reaction Information'!$G$66*(Calculations!$O21-Calculations!$C$8)-'Reaction Information'!$N$66*(Calculations!$O21*LN(Calculations!$O21/Calculations!$C$8)-Calculations!$O21+Calculations!$C$8)-'Reaction Information'!$O$66*10^4*(((1/(Calculations!$O21-Calculations!$C$13))-(1/(Calculations!$C$8-Calculations!$C$13)))*((Calculations!$C$13-Calculations!$O21)/(Calculations!$C$13))-(Calculations!$O21/(Calculations!$C$13*Calculations!$C$13))*LN((Calculations!$C$8*(Calculations!$O21-Calculations!$C$13))/(Calculations!$O21*(Calculations!$C$8-Calculations!$C$13))))+'Reaction Information'!$J$66*10^-1*(Calculations!$M21-Calculations!$C$9)+'Reaction Information'!$K$66*10^2*LN((Calculations!$C$12+Calculations!$M21)/(Calculations!$C$12+Calculations!$C$9))+(1/(Calculations!$O21-Calculations!$C$13))*('Reaction Information'!$L$66*(Calculations!$M21-Calculations!$C$9)+'Reaction Information'!$M$66*10^4*LN((Calculations!$C$12+Calculations!$M21)/(Calculations!$C$12+Calculations!$C$9)))+calculateOmega(Calculations!M21,Calculations!N21,Calculations!Q21,'Reaction Information'!$C$66,'Reaction Information'!$P$66*10^5,'Reaction Information'!$Q$66)*((1/Calculations!$S21)-1)-'Reaction Information'!$P$66*10^5*((1/Calculations!$C$10)-1)+'Reaction Information'!$P$66*10^5*Calculations!$C$14*(Calculations!$O21-Calculations!$C$8))</f>
        <v>#N/A</v>
      </c>
      <c r="AY21" s="31">
        <f>(AL21*Input!$AO$4+AM21*Input!$AR$4+AN21*Input!$AU$4+AO21*Input!$AX$4+IF(ISNA(AP21),0,AP21*Input!$BA$4)+IF(ISNA(AQ21),0,AQ21*Input!$BD$4)+IF(ISNA(AR21),0,AR21*Input!$BG$4)+IF(ISNA(AS21),0,AS21*Input!$BJ$4)+IF(ISNA(AT21),0,AT21*Input!$BM$4)+IF(ISNA(AU21),0,AU21*Input!$BP$4)+IF(ISNA(AV21),0,AV21*Input!$BS$4)+IF(ISNA(AW21),0,AW21*Input!$BV$4)+IF(ISNA(AX21),0,AX21*Input!$BY$4))-(Y21*Input!$B$4+Z21*Input!$E$4+AA21*Input!$H$4+AB21*Input!$K$4+IF(ISNA(AC21),0,AC21*Input!$N$4)+IF(ISNA(AD21),0,AD21*Input!$Q$4)+IF(ISNA(AE21),0,AE21*Input!$T$4)+IF(ISNA(AF21),0,AF21*Input!$W$4)+IF(ISNA(AG21),0,AG21*Input!$Z$4)+IF(ISNA(AH21),0,AH21*Input!$AC$4)+IF(ISNA(AI21),0,AI21*Input!$AF$4)+IF(ISNA(AJ21),0,AJ21*Input!$AI$4)+IF(ISNA(AK21),0,AK21*Input!$AL$4))</f>
        <v>13674.866586068732</v>
      </c>
      <c r="AZ21" s="42">
        <f t="shared" si="7"/>
        <v>-5.2177909455999387</v>
      </c>
      <c r="BA21" s="1">
        <f t="shared" si="8"/>
        <v>300</v>
      </c>
      <c r="BB21" s="46">
        <f t="shared" si="9"/>
        <v>10000</v>
      </c>
      <c r="BC21" s="1"/>
      <c r="BD21" s="2">
        <f t="shared" si="10"/>
        <v>10000</v>
      </c>
      <c r="BE21" s="46">
        <f t="shared" si="11"/>
        <v>300</v>
      </c>
      <c r="BF21" s="1">
        <f>Results!AJ23</f>
        <v>0</v>
      </c>
      <c r="BG21" s="1">
        <f>Results!AK23</f>
        <v>0</v>
      </c>
      <c r="BH21" s="1">
        <f>Results!AL23</f>
        <v>0</v>
      </c>
      <c r="BI21" s="1">
        <f>Results!AM23</f>
        <v>0</v>
      </c>
      <c r="BJ21" s="1" t="e">
        <f>IF(OR(ISNA('Reaction Information'!$D$5), $N21 = "", $D$27 = FALSE, 'Reaction Information'!$D$5 = ""), NA(), 24.465)</f>
        <v>#N/A</v>
      </c>
      <c r="BK21" s="1" t="e">
        <f>IF(OR(ISNA('Reaction Information'!$D$9), $N21 = "", $D$27 = FALSE, 'Reaction Information'!$D$9 = ""), NA(), 24.465)</f>
        <v>#N/A</v>
      </c>
      <c r="BL21" s="8">
        <f t="shared" si="0"/>
        <v>16.337936150849451</v>
      </c>
      <c r="BM21" s="8">
        <f>IF(OR(ISBLANK(Input!$X$4),$D$27=FALSE),NA(),('Reaction Information'!$J$13/10+'Reaction Information'!$K$13*100/(Calculations!$C$12+Calculations!$M21)+('Reaction Information'!$L$13+'Reaction Information'!$M$13*10^4/(Calculations!$C$12+Calculations!$M21))/(Calculations!$O21-Calculations!$C$13) -calculateOmega(Calculations!$M21,Calculations!$N21,Calculations!$Q21,'Reaction Information'!$C$13,'Reaction Information'!$P$13*10^5,'Reaction Information'!$Q$13)*Calculations!$U21*10^-6 + (1/$S21 - 1)*calculate_domegadP(Calculations!$M21,Calculations!$N21,Calculations!$Q21,'Reaction Information'!$C$13,'Reaction Information'!$P$13*10^5,'Reaction Information'!$Q$13,$D$20,$D$19=3))*41.84)</f>
        <v>31.510467091483982</v>
      </c>
      <c r="BN21" s="8" t="e">
        <f>IF(OR(ISBLANK(Input!$AA$4),$D$27=FALSE),NA(),('Reaction Information'!$J$17/10+'Reaction Information'!$K$17*100/(Calculations!$C$12+Calculations!$M21)+('Reaction Information'!$L$17+'Reaction Information'!$M$17*10000/(Calculations!$C$12+Calculations!$M21))/(Calculations!$O21-Calculations!$C$13)-calculateOmega(Calculations!M21,Calculations!N21,Calculations!Q21,'Reaction Information'!$C$17,'Reaction Information'!$P$17*10^5,'Reaction Information'!$Q$17)*Calculations!$U21*10^-6 + (1/$S21 - 1)*calculate_domegadP(Calculations!M21,Calculations!N21,Calculations!Q21,'Reaction Information'!$C$17,'Reaction Information'!$P$17*10^5,'Reaction Information'!$Q$17,$D$20,$D$19=3))*41.84)</f>
        <v>#N/A</v>
      </c>
      <c r="BO21" s="8" t="e">
        <f>IF(OR(ISBLANK(Input!$AD$4),$D$27=FALSE),NA(),('Reaction Information'!$J$21/10+'Reaction Information'!$K$21*100/(Calculations!$C$12+Calculations!$M21)+('Reaction Information'!$L$21+'Reaction Information'!$M$21*10000/(Calculations!$C$12+Calculations!$M21))/(Calculations!$O21-Calculations!$C$13)-calculateOmega(Calculations!M21,Calculations!N21,Calculations!Q21,'Reaction Information'!$C$21,'Reaction Information'!$P$21*10^5,'Reaction Information'!$Q$21)*Calculations!$U21*10^-6 + (1/$S21 - 1)*calculate_domegadP(Calculations!M21,Calculations!N21,Calculations!Q21,'Reaction Information'!$C$21,'Reaction Information'!$P$21*10^5,'Reaction Information'!$Q$21,$D$20,$D$19=3))*41.84)</f>
        <v>#N/A</v>
      </c>
      <c r="BP21" s="8" t="e">
        <f>IF(OR(ISBLANK(Input!$AG$4),$D$27=FALSE),NA(),('Reaction Information'!$J$25/10+'Reaction Information'!$K$25*100/(Calculations!$C$12+Calculations!$M21)+('Reaction Information'!$L$25+'Reaction Information'!$M$25*10000/(Calculations!$C$12+Calculations!$M21))/(Calculations!$O21-Calculations!$C$13)-calculateOmega(Calculations!M21,Calculations!N21,Calculations!Q21,'Reaction Information'!$C$25,'Reaction Information'!$P$25*10^5,'Reaction Information'!$Q$25)*Calculations!$U21*10^-6 + (1/$S21 - 1)*calculate_domegadP(Calculations!M21,Calculations!N21,Calculations!Q21,'Reaction Information'!$C$25,'Reaction Information'!$P$25*10^5,'Reaction Information'!$Q$25,$D$20,$D$19=3))*41.84)</f>
        <v>#N/A</v>
      </c>
      <c r="BQ21" s="8" t="e">
        <f>IF(OR(ISBLANK(Input!$AJ$4),$D$27=FALSE),NA(),('Reaction Information'!$J$29/10+'Reaction Information'!$K$29*100/(Calculations!$C$12+Calculations!$M21)+('Reaction Information'!$L$29+'Reaction Information'!$M$29*10000/(Calculations!$C$12+Calculations!$M21))/(Calculations!$O21-Calculations!$C$13)-calculateOmega(Calculations!M21,Calculations!N21,Calculations!Q21,'Reaction Information'!$C$29,'Reaction Information'!$P$29*10^5,'Reaction Information'!$Q$29)*Calculations!$U21*10^-6 + (1/$S21 - 1)*calculate_domegadP(Calculations!M21,Calculations!N21,Calculations!Q21,'Reaction Information'!$C$29,'Reaction Information'!$P$29*10^5,'Reaction Information'!$Q$29,$D$20,$D$19=3))*41.84)</f>
        <v>#N/A</v>
      </c>
      <c r="BR21" s="8" t="e">
        <f>IF(OR(ISBLANK(Input!$AM$4),$D$27=FALSE),NA(),('Reaction Information'!$J$33/10+'Reaction Information'!$K$33*100/(Calculations!$C$12+Calculations!$M21)+('Reaction Information'!$L$33+'Reaction Information'!$M$33*10000/(Calculations!$C$12+Calculations!$M21))/(Calculations!$O21-Calculations!$C$13)-calculateOmega(Calculations!M21,Calculations!N21,Calculations!Q21,'Reaction Information'!$C$33,'Reaction Information'!$P$33*10^5,'Reaction Information'!$Q$33)*Calculations!$U21*10^-6 + (1/$S21 - 1)*calculate_domegadP(Calculations!M21,Calculations!N21,Calculations!Q21,'Reaction Information'!$C$33,'Reaction Information'!$P$33*10^5,'Reaction Information'!$Q$33,$D$20,$D$19=3))*41.84)</f>
        <v>#N/A</v>
      </c>
      <c r="BS21" s="1">
        <f>Results!AW23</f>
        <v>0</v>
      </c>
      <c r="BT21" s="1">
        <f>Results!AX23</f>
        <v>0</v>
      </c>
      <c r="BU21" s="1">
        <f>Results!AY23</f>
        <v>0</v>
      </c>
      <c r="BV21" s="1">
        <f>Results!AZ23</f>
        <v>0</v>
      </c>
      <c r="BW21" s="1" t="e">
        <f>IF(OR(ISNA('Reaction Information'!$D$38), $N21 = "", $D$27 = FALSE, 'Reaction Information'!$D$38 = ""), NA(), 24.465)</f>
        <v>#N/A</v>
      </c>
      <c r="BX21" s="1" t="e">
        <f>IF(OR(ISNA('Reaction Information'!$D$42), $N21 = "", $D$27 = FALSE, 'Reaction Information'!$D$42 = ""), NA(), 24.465)</f>
        <v>#N/A</v>
      </c>
      <c r="BY21" s="8" t="e">
        <f t="shared" si="1"/>
        <v>#N/A</v>
      </c>
      <c r="BZ21" s="8">
        <f>IF(OR(ISBLANK(Input!$BK$4),$D$27=FALSE),NA(),('Reaction Information'!$J$46/10+'Reaction Information'!$K$46*100/(Calculations!$C$12+Calculations!$M21)+('Reaction Information'!$L$46+'Reaction Information'!$M$46*10000/(Calculations!$C$12+Calculations!$M21))/(Calculations!$O21-Calculations!$C$13)-calculateOmega(Calculations!M21,Calculations!N21,Calculations!Q21,'Reaction Information'!$C$46,'Reaction Information'!$P$46*10^5,'Reaction Information'!$Q$46)*Calculations!$U21*10^-6 + (1/$S21 - 1)*calculate_domegadP(Calculations!M21,Calculations!N21,Calculations!Q21,'Reaction Information'!$C$46,'Reaction Information'!$P$46*10^5,'Reaction Information'!$Q$46,$D$20,$D$19=3))*41.84)</f>
        <v>0</v>
      </c>
      <c r="CA21" s="8">
        <f>IF(OR(ISBLANK(Input!$BN$4),$D$27=FALSE),NA(),('Reaction Information'!$J$50/10+'Reaction Information'!$K$50*100/(Calculations!$C$12+Calculations!$M21)+('Reaction Information'!$L$50+'Reaction Information'!$M$50*10000/(Calculations!$C$12+Calculations!$M21))/(Calculations!$O21-Calculations!$C$13)-calculateOmega(Calculations!M21,Calculations!N21,Calculations!Q21,'Reaction Information'!$C$50,'Reaction Information'!$P$50*10^5,'Reaction Information'!$Q$50)*Calculations!$U21*10^-6 + (1/$S21 - 1)*calculate_domegadP(Calculations!M21,Calculations!N21,Calculations!Q21,'Reaction Information'!$C$50,'Reaction Information'!$P$50*10^5,'Reaction Information'!$Q$50,$D$20,$D$19=3))*41.84)</f>
        <v>29.684196181498525</v>
      </c>
      <c r="CB21" s="8" t="e">
        <f>IF(OR(ISBLANK(Input!$BQ$4),$D$27=FALSE),NA(),('Reaction Information'!$J$54/10+'Reaction Information'!$K$54*100/(Calculations!$C$12+Calculations!$M21)+('Reaction Information'!$L$54+'Reaction Information'!$M$54*10000/(Calculations!$C$12+Calculations!$M21))/(Calculations!$O21-Calculations!$C$13)-calculateOmega(Calculations!M21,Calculations!N21,Calculations!Q21,'Reaction Information'!$C$54,'Reaction Information'!$P$54*10^5,'Reaction Information'!$Q$54)*Calculations!$U21*10^-6 + (1/$S21 - 1)*calculate_domegadP(Calculations!M21,Calculations!N21,Calculations!Q21,'Reaction Information'!$C$54,'Reaction Information'!$P$54*10^5,'Reaction Information'!$Q$54,$D$20,$D$19=3))*41.84)</f>
        <v>#N/A</v>
      </c>
      <c r="CC21" s="8" t="e">
        <f>IF(OR(ISBLANK(Input!$BT$4),$D$27=FALSE),NA(),('Reaction Information'!$J$58/10+'Reaction Information'!$K$58*100/(Calculations!$C$12+Calculations!$M21)+('Reaction Information'!$L$58+'Reaction Information'!$M$58*10000/(Calculations!$C$12+Calculations!$M21))/(Calculations!$O21-Calculations!$C$13)-calculateOmega(Calculations!M21,Calculations!N21,Calculations!Q21,'Reaction Information'!$C$58,'Reaction Information'!$P$58*10^5,'Reaction Information'!$Q$58)*Calculations!$U21*10^-6 + (1/$S21 - 1)*calculate_domegadP(Calculations!M21,Calculations!N21,Calculations!Q21,'Reaction Information'!$C$58,'Reaction Information'!$P$58*10^5,'Reaction Information'!$Q$58,$D$20,$D$19=3))*41.84)</f>
        <v>#N/A</v>
      </c>
      <c r="CD21" s="8" t="e">
        <f>IF(OR(ISBLANK(Input!$BW$4),$D$27=FALSE),NA(),('Reaction Information'!$J$62/10+'Reaction Information'!$K$62*100/(Calculations!$C$12+Calculations!$M21)+('Reaction Information'!$L$62+'Reaction Information'!$M$62*10000/(Calculations!$C$12+Calculations!$M21))/(Calculations!$O21-Calculations!$C$13)-calculateOmega(Calculations!M21,Calculations!N21,Calculations!Q21,'Reaction Information'!$C$62,'Reaction Information'!$P$62*10^5,'Reaction Information'!$Q$62)*Calculations!$U21*10^-6 + (1/$S21 - 1)*calculate_domegadP(Calculations!M21,Calculations!N21,Calculations!Q21,'Reaction Information'!$C$62,'Reaction Information'!$P$62*10^5,'Reaction Information'!$Q$62,$D$20,$D$19=3))*41.84)</f>
        <v>#N/A</v>
      </c>
      <c r="CE21" s="8" t="e">
        <f>IF(OR(ISBLANK(Input!$BZ$4),$D$27=FALSE),NA(),('Reaction Information'!$J$66/10+'Reaction Information'!$K$66*100/(Calculations!$C$12+Calculations!$M21)+('Reaction Information'!$L$66+'Reaction Information'!$M$66*10000/(Calculations!$C$12+Calculations!$M21))/(Calculations!$O21-Calculations!$C$13)-calculateOmega(Calculations!M21,Calculations!N21,Calculations!Q21,'Reaction Information'!$C$66,'Reaction Information'!$P$66*10^5,'Reaction Information'!$Q$66)*Calculations!$U21*10^-6 + (1/$S21 - 1)*calculate_domegadP(Calculations!M21,Calculations!N21,Calculations!Q21,'Reaction Information'!$C$66,'Reaction Information'!$P$66*10^5,'Reaction Information'!$Q$66,$D$20,$D$19=3))*41.84)</f>
        <v>#N/A</v>
      </c>
      <c r="CF21" s="31">
        <f>(BS21*Input!$AO$4+BT21*Input!$AR$4+BU21*Input!$AU$4+BV21*Input!$AX$4+IF(ISNA(BW21),0,BW21*Input!$BA$4)+IF(ISNA(BX21),0,BX21*Input!$BD$4)+IF(ISNA(BY21),0,BY21*Input!$BG$4)+IF(ISNA(BZ21),0,BZ21*Input!$BJ$4)+IF(ISNA(CA21),0,CA21*Input!$BM$4)+IF(ISNA(CB21),0,CB21*Input!$BP$4)+IF(ISNA(CC21),0,CC21*Input!$BS$4)+IF(ISNA(CD21),0,CD21*Input!$BV$4)+IF(ISNA(CE21),0,CE21*Input!$BY$4))-(BF21*Input!$B$4+BG21*Input!$E$4+BH21*Input!$H$4+BI21*Input!$K$4+IF(ISNA(BJ21),0,BJ21*Input!$N$4)+IF(ISNA(BK21),0,BK21*Input!$Q$4)+IF(ISNA(BL21),0,BL21*Input!$T$4)+IF(ISNA(BM21),0,BM21*Input!$W$4)+IF(ISNA(BN21),0,BN21*Input!$Z$4)+IF(ISNA(BO21),0,BO21*Input!$AC$4)+IF(ISNA(BP21),0,BP21*Input!$AF$4)+IF(ISNA(BQ21),0,BQ21*Input!$AI$4)+IF(ISNA(BR21),0,BR21*Input!$AL$4))</f>
        <v>-18.164207060834908</v>
      </c>
      <c r="CG21" s="1">
        <f t="shared" si="12"/>
        <v>300</v>
      </c>
      <c r="CH21" s="46">
        <f t="shared" si="13"/>
        <v>10000</v>
      </c>
      <c r="CI21" s="1"/>
    </row>
    <row r="22" spans="1:87" ht="15" customHeight="1" x14ac:dyDescent="0.2">
      <c r="A22" s="1"/>
      <c r="B22" s="272" t="s">
        <v>590</v>
      </c>
      <c r="C22" s="272"/>
      <c r="D22" s="7">
        <v>4</v>
      </c>
      <c r="E22" s="1"/>
      <c r="F22" s="2">
        <v>17</v>
      </c>
      <c r="G22" s="1" t="str">
        <f>IF(ISBLANK(Input!CB22), "", Input!CB22*1000)</f>
        <v/>
      </c>
      <c r="H22" s="1" t="str">
        <f>IF(ISBLANK(Input!CC22), "", Input!CC22)</f>
        <v/>
      </c>
      <c r="I22" s="1">
        <f>IF(Input!$CF$5 + Input!$CF$6*(FLOOR((Calculations!$F22-1)/(FLOOR((Input!$CF$12-Input!$CF$10)/Input!$CF$11,1)+1),1)) &gt; Input!$CF$7, "", (Input!$CF$5 + Input!$CF$6*(FLOOR((Calculations!$F22-1)/(FLOOR((Input!$CF$12-Input!$CF$10)/Input!$CF$11,1)+1),1)))*1000)</f>
        <v>10000</v>
      </c>
      <c r="J22" s="1">
        <f>IF(Calculations!I22 = "", "", Input!$CF$10 + Input!$CF$11*(Calculations!$F22-1) - (FLOOR((Input!$CF$12-Input!$CF$10)/Input!$CF$11,1)+1)*Input!$CF$11*FLOOR((Calculations!$F22-1)/(FLOOR((Input!$CF$12-Input!$CF$10)/Input!$CF$11,1)+1),1))</f>
        <v>350</v>
      </c>
      <c r="K22" s="8" t="str">
        <f t="shared" si="14"/>
        <v/>
      </c>
      <c r="L22" s="117" t="str">
        <f>IF(OR(Input!$CJ$5 + Input!$CJ$6*(Calculations!F22-1) &gt; Input!$CJ$7, Input!$CJ$5 + Input!$CJ$6*(Calculations!F22-1) &gt; 350), "", Input!$CJ$5 + Input!$CJ$6*(Calculations!F22-1))</f>
        <v/>
      </c>
      <c r="M22" s="1">
        <f t="shared" si="2"/>
        <v>10000</v>
      </c>
      <c r="N22" s="1">
        <f t="shared" si="3"/>
        <v>350</v>
      </c>
      <c r="O22" s="1">
        <f t="shared" si="4"/>
        <v>623.15</v>
      </c>
      <c r="P22" s="1" t="e">
        <f>IF(OR($D$20=3,AND($D$21=TRUE,M22&lt;1000)),INDEX('Water Density'!$C$6:$CX$120,MATCH(Calculations!N22,'Water Density'!$B$6:$B$120),MATCH(Calculations!M22/1000,'Water Density'!$C$5:$CX$5)),NA())</f>
        <v>#N/A</v>
      </c>
      <c r="Q22" s="182">
        <f>IF(OR($D$20=3,AND($D$21=TRUE,M22&lt;1000)), IF(P22&lt;&gt;0,P22,NA()), calculateDensity(M22,N22,$D$20,0.01,$D$19 = 3))</f>
        <v>1.0787284600913523</v>
      </c>
      <c r="R22" s="1" t="e">
        <f>IF($D$22=5,INDEX('Dielectric Constant'!$C$6:$CX$120,MATCH(Calculations!N22,'Dielectric Constant'!$B$6:$B$120),MATCH(Calculations!M22/1000,'Dielectric Constant'!$C$5:$CX$5)),NA())</f>
        <v>#N/A</v>
      </c>
      <c r="S22" s="58">
        <f>IF($D$22=5, IF(R22&lt;&gt;0,R22,NA()), IF(AND($D$23,M22&lt;=5000,$D$19 &lt;&gt; 3),calculateEpsilon(Q22,N22,1,FALSE),calculateEpsilon(Q22,N22,$D$22,$D$19 = 3)))</f>
        <v>34.684799872717562</v>
      </c>
      <c r="T22" s="1" t="e">
        <f>IF($D$24=3,INDEX('Water Free Energy'!$C$6:$CX$120,MATCH(Calculations!N22,'Water Free Energy'!$B$6:$B$120),MATCH(Calculations!M22/1000,'Water Free Energy'!$C$5:$CX$5)),NA())</f>
        <v>#N/A</v>
      </c>
      <c r="U22" s="179">
        <f>IF($D$27,calculateQ(M22,N22,Q22,$D$20,$D$22,$D$19=3)*10^6,NA())</f>
        <v>0.54620693601763681</v>
      </c>
      <c r="V22"/>
      <c r="W22" s="2">
        <f t="shared" si="5"/>
        <v>10000</v>
      </c>
      <c r="X22" s="1">
        <f t="shared" si="6"/>
        <v>350</v>
      </c>
      <c r="Y22" s="1">
        <f>Results!F24</f>
        <v>0</v>
      </c>
      <c r="Z22" s="1">
        <f>Results!G24</f>
        <v>0</v>
      </c>
      <c r="AA22" s="1">
        <f>Results!H24</f>
        <v>0</v>
      </c>
      <c r="AB22" s="1">
        <f>Results!I24</f>
        <v>0</v>
      </c>
      <c r="AC22" s="1" t="e">
        <f>IF(ISBLANK(Input!$O$4),NA(),'Reaction Information'!$E$5-'Reaction Information'!$G$5*(Calculations!$O22-Calculations!$C$8)+'Reaction Information'!$I$5*(Calculations!$O22-Calculations!$C$8-Calculations!$O22*LN(Calculations!$O22/Calculations!$C$8))+'Reaction Information'!$J$5*0.001/2*(2*Calculations!$O22*Calculations!$C$8-Calculations!$O22^2-Calculations!$C$8^2) + 'Reaction Information'!$K$5*100000*(Calculations!$O22^2 + Calculations!$C$8^2 - 2*Calculations!$O22*Calculations!$C$8)/(2*Calculations!$O22*Calculations!$C$8^2))</f>
        <v>#N/A</v>
      </c>
      <c r="AD22" s="8" t="e">
        <f>IF(ISBLANK(Input!$R$4),NA(),'Reaction Information'!$E$9-'Reaction Information'!$G$9*(Calculations!$O22-Calculations!$C$8)+'Reaction Information'!$I$9*(Calculations!$O22-Calculations!$C$8-Calculations!$O22*LN(Calculations!$O22/Calculations!$C$8))+'Reaction Information'!$J$9*0.001/2*(2*Calculations!$O22*Calculations!$C$8-Calculations!$O22^2-Calculations!$C$8^2) + 'Reaction Information'!$K$9*100000*(Calculations!$O22^2 + Calculations!$C$8^2 - 2*Calculations!$O22*Calculations!$C$8)/(2*Calculations!$O22*Calculations!$C$8^2))</f>
        <v>#N/A</v>
      </c>
      <c r="AE22" s="8">
        <f>IF(AE$5="H2O",IF($D$24=3,IF(T22=0,NA(),T22),calculateGibbsOfWater(M22,N22,$D$24,$D$20,$D$19=3)),NA())</f>
        <v>-59931.231997896379</v>
      </c>
      <c r="AF22" s="8">
        <f>IF(ISBLANK(Input!$X$4),NA(),'Reaction Information'!$E$13-'Reaction Information'!$G$13*(Calculations!O22-Calculations!$C$8)-'Reaction Information'!$N$13*(Calculations!O22*LN(Calculations!O22/Calculations!$C$8)-Calculations!O22+Calculations!$C$8)-'Reaction Information'!$O$13*10^4*(((1/(Calculations!O22-Calculations!$C$13))-(1/(Calculations!$C$8-Calculations!$C$13)))*((Calculations!$C$13-Calculations!O22)/(Calculations!$C$13))-(Calculations!O22/(Calculations!$C$13*Calculations!$C$13))*LN((Calculations!$C$8*(Calculations!O22-Calculations!$C$13))/(Calculations!O22*(Calculations!$C$8-Calculations!$C$13))))+'Reaction Information'!$J$13*10^-1*(Calculations!M22-Calculations!$C$9)+'Reaction Information'!$K$13*10^2*LN((Calculations!$C$12+Calculations!M22)/(Calculations!$C$12+Calculations!$C$9))+(1/(Calculations!O22-Calculations!$C$13))*('Reaction Information'!$L$13*(Calculations!M22-Calculations!$C$9)+'Reaction Information'!$M$13*10^4*LN((Calculations!$C$12+Calculations!M22)/(Calculations!$C$12+Calculations!$C$9)))+calculateOmega(Calculations!M22,Calculations!N22,Calculations!Q22,'Reaction Information'!$C$13,'Reaction Information'!$P$13*10^5,'Reaction Information'!$Q$13)*((1/Calculations!S22)-1)-'Reaction Information'!$P$13*10^5*((1/Calculations!$C$10)-1)+'Reaction Information'!$P$13*10^5*Calculations!$C$14*(Calculations!O22-Calculations!$C$8))</f>
        <v>-97527.674933702947</v>
      </c>
      <c r="AG22" s="8" t="e">
        <f>IF(ISBLANK(Input!$AA$4),NA(),'Reaction Information'!$E$17-'Reaction Information'!$G$17*(Calculations!$O22-Calculations!$C$8)-'Reaction Information'!$N$17*(Calculations!$O22*LN(Calculations!$O22/Calculations!$C$8)-Calculations!$O22+Calculations!$C$8)-'Reaction Information'!$O$17*10^4*(((1/(Calculations!$O22-Calculations!$C$13))-(1/(Calculations!$C$8-Calculations!$C$13)))*((Calculations!$C$13-Calculations!$O22)/(Calculations!$C$13))-(Calculations!$O22/(Calculations!$C$13*Calculations!$C$13))*LN((Calculations!$C$8*(Calculations!$O22-Calculations!$C$13))/(Calculations!$O22*(Calculations!$C$8-Calculations!$C$13))))+'Reaction Information'!$J$17*10^-1*(Calculations!$M22-Calculations!$C$9)+'Reaction Information'!$K$17*10^2*LN((Calculations!$C$12+Calculations!$M22)/(Calculations!$C$12+Calculations!$C$9))+(1/(Calculations!$O22-Calculations!$C$13))*('Reaction Information'!$L$17*(Calculations!$M22-Calculations!$C$9)+'Reaction Information'!$M$17*10^4*LN((Calculations!$C$12+Calculations!$M22)/(Calculations!$C$12+Calculations!$C$9)))+calculateOmega(Calculations!M22,Calculations!N22,Calculations!Q22,'Reaction Information'!$C$17,'Reaction Information'!$P$17*10^5,'Reaction Information'!$Q$17)*((1/Calculations!$S22)-1)-'Reaction Information'!$P$17*10^5*((1/Calculations!$C$10)-1)+'Reaction Information'!$P$17*10^5*Calculations!$C$14*(Calculations!$O22-Calculations!$C$8))</f>
        <v>#N/A</v>
      </c>
      <c r="AH22" s="8" t="e">
        <f>IF(ISBLANK(Input!$AD$4),NA(),'Reaction Information'!$E$21-'Reaction Information'!$G$21*(Calculations!$O22-Calculations!$C$8)-'Reaction Information'!$N$21*(Calculations!$O22*LN(Calculations!$O22/Calculations!$C$8)-Calculations!$O22+Calculations!$C$8)-'Reaction Information'!$O$21*10^4*(((1/(Calculations!$O22-Calculations!$C$13))-(1/(Calculations!$C$8-Calculations!$C$13)))*((Calculations!$C$13-Calculations!$O22)/(Calculations!$C$13))-(Calculations!$O22/(Calculations!$C$13*Calculations!$C$13))*LN((Calculations!$C$8*(Calculations!$O22-Calculations!$C$13))/(Calculations!$O22*(Calculations!$C$8-Calculations!$C$13))))+'Reaction Information'!$J$21*10^-1*(Calculations!$M22-Calculations!$C$9)+'Reaction Information'!$K$21*10^2*LN((Calculations!$C$12+Calculations!$M22)/(Calculations!$C$12+Calculations!$C$9))+(1/(Calculations!$O22-Calculations!$C$13))*('Reaction Information'!$L$21*(Calculations!$M22-Calculations!$C$9)+'Reaction Information'!$M$21*10^4*LN((Calculations!$C$12+Calculations!$M22)/(Calculations!$C$12+Calculations!$C$9)))+calculateOmega(Calculations!M22,Calculations!N22,Calculations!Q22,'Reaction Information'!$C$21,'Reaction Information'!$P$21*10^5,'Reaction Information'!$Q$21)*((1/Calculations!$S22)-1)-'Reaction Information'!$P$21*10^5*((1/Calculations!$C$10)-1)+'Reaction Information'!$P$21*10^5*Calculations!$C$14*(Calculations!$O22-Calculations!$C$8))</f>
        <v>#N/A</v>
      </c>
      <c r="AI22" s="8" t="e">
        <f>IF(ISBLANK(Input!$AG$4),NA(),'Reaction Information'!$E$25-'Reaction Information'!$G$25*(Calculations!$O22-Calculations!$C$8)-'Reaction Information'!$N$25*(Calculations!$O22*LN(Calculations!$O22/Calculations!$C$8)-Calculations!$O22+Calculations!$C$8)-'Reaction Information'!$O$25*10^4*(((1/(Calculations!$O22-Calculations!$C$13))-(1/(Calculations!$C$8-Calculations!$C$13)))*((Calculations!$C$13-Calculations!$O22)/(Calculations!$C$13))-(Calculations!$O22/(Calculations!$C$13*Calculations!$C$13))*LN((Calculations!$C$8*(Calculations!$O22-Calculations!$C$13))/(Calculations!$O22*(Calculations!$C$8-Calculations!$C$13))))+'Reaction Information'!$J$25*10^-1*(Calculations!$M22-Calculations!$C$9)+'Reaction Information'!$K$25*10^2*LN((Calculations!$C$12+Calculations!$M22)/(Calculations!$C$12+Calculations!$C$9))+(1/(Calculations!$O22-Calculations!$C$13))*('Reaction Information'!$L$25*(Calculations!$M22-Calculations!$C$9)+'Reaction Information'!$M$25*10^4*LN((Calculations!$C$12+Calculations!$M22)/(Calculations!$C$12+Calculations!$C$9)))+calculateOmega(Calculations!M22,Calculations!N22,Calculations!Q22,'Reaction Information'!$C$25,'Reaction Information'!$P$25*10^5,'Reaction Information'!$Q$25)*((1/Calculations!$S22)-1)-'Reaction Information'!$P$25*10^5*((1/Calculations!$C$10)-1)+'Reaction Information'!$P$25*10^5*Calculations!$C$14*(Calculations!$O22-Calculations!$C$8))</f>
        <v>#N/A</v>
      </c>
      <c r="AJ22" s="8" t="e">
        <f>IF(ISBLANK(Input!$AJ$4),NA(),'Reaction Information'!$E$29-'Reaction Information'!$G$29*(Calculations!$O22-Calculations!$C$8)-'Reaction Information'!$N$29*(Calculations!$O22*LN(Calculations!$O22/Calculations!$C$8)-Calculations!$O22+Calculations!$C$8)-'Reaction Information'!$O$29*10^4*(((1/(Calculations!$O22-Calculations!$C$13))-(1/(Calculations!$C$8-Calculations!$C$13)))*((Calculations!$C$13-Calculations!$O22)/(Calculations!$C$13))-(Calculations!$O22/(Calculations!$C$13*Calculations!$C$13))*LN((Calculations!$C$8*(Calculations!$O22-Calculations!$C$13))/(Calculations!$O22*(Calculations!$C$8-Calculations!$C$13))))+'Reaction Information'!$J$29*10^-1*(Calculations!$M22-Calculations!$C$9)+'Reaction Information'!$K$29*10^2*LN((Calculations!$C$12+Calculations!$M22)/(Calculations!$C$12+Calculations!$C$9))+(1/(Calculations!$O22-Calculations!$C$13))*('Reaction Information'!$L$29*(Calculations!$M22-Calculations!$C$9)+'Reaction Information'!$M$29*10^4*LN((Calculations!$C$12+Calculations!$M22)/(Calculations!$C$12+Calculations!$C$9)))+calculateOmega(Calculations!M22,Calculations!N22,Calculations!Q22,'Reaction Information'!$C$29,'Reaction Information'!$P$29*10^5,'Reaction Information'!$Q$29)*((1/Calculations!$S22)-1)-'Reaction Information'!$P$29*10^5*((1/Calculations!$C$10)-1)+'Reaction Information'!$P$29*10^5*Calculations!$C$14*(Calculations!$O22-Calculations!$C$8))</f>
        <v>#N/A</v>
      </c>
      <c r="AK22" s="8" t="e">
        <f>IF(ISBLANK(Input!$AM$4),NA(),'Reaction Information'!$E$33-'Reaction Information'!$G$33*(Calculations!$O22-Calculations!$C$8)-'Reaction Information'!$N$33*(Calculations!$O22*LN(Calculations!$O22/Calculations!$C$8)-Calculations!$O22+Calculations!$C$8)-'Reaction Information'!$O$33*10^4*(((1/(Calculations!$O22-Calculations!$C$13))-(1/(Calculations!$C$8-Calculations!$C$13)))*((Calculations!$C$13-Calculations!$O22)/(Calculations!$C$13))-(Calculations!$O22/(Calculations!$C$13*Calculations!$C$13))*LN((Calculations!$C$8*(Calculations!$O22-Calculations!$C$13))/(Calculations!$O22*(Calculations!$C$8-Calculations!$C$13))))+'Reaction Information'!$J$33*10^-1*(Calculations!$M22-Calculations!$C$9)+'Reaction Information'!$K$33*10^2*LN((Calculations!$C$12+Calculations!$M22)/(Calculations!$C$12+Calculations!$C$9))+(1/(Calculations!$O22-Calculations!$C$13))*('Reaction Information'!$L$33*(Calculations!$M22-Calculations!$C$9)+'Reaction Information'!$M$33*10^4*LN((Calculations!$C$12+Calculations!$M22)/(Calculations!$C$12+Calculations!$C$9)))+calculateOmega(Calculations!M22,Calculations!N22,Calculations!Q22,'Reaction Information'!$C$33,'Reaction Information'!$P$33*10^5,'Reaction Information'!$Q$33)*((1/Calculations!$S22)-1)-'Reaction Information'!$P$33*10^5*((1/Calculations!$C$10)-1)+'Reaction Information'!$P$33*10^5*Calculations!$C$14*(Calculations!$O22-Calculations!$C$8))</f>
        <v>#N/A</v>
      </c>
      <c r="AL22" s="1">
        <f>Results!S24</f>
        <v>0</v>
      </c>
      <c r="AM22" s="1">
        <f>Results!T24</f>
        <v>0</v>
      </c>
      <c r="AN22" s="1">
        <f>Results!U24</f>
        <v>0</v>
      </c>
      <c r="AO22" s="1">
        <f>Results!V24</f>
        <v>0</v>
      </c>
      <c r="AP22" s="8" t="e">
        <f>IF(ISBLANK(Input!$BB$4),NA(),'Reaction Information'!$E$38-'Reaction Information'!$G$38*(Calculations!$O22-Calculations!$C$8)+'Reaction Information'!$I$38*(Calculations!$O22-Calculations!$C$8-Calculations!$O22*LN(Calculations!$O22/Calculations!$C$8))+'Reaction Information'!$J$38*0.001/2*(2*Calculations!$O22*Calculations!$C$8-Calculations!$O22^2-Calculations!$C$8^2) + 'Reaction Information'!$K$38*100000*(Calculations!$O22^2 + Calculations!$C$8^2 - 2*Calculations!$O22*Calculations!$C$8)/(2*Calculations!$O22*Calculations!$C$8^2))</f>
        <v>#N/A</v>
      </c>
      <c r="AQ22" s="8" t="e">
        <f>IF(ISBLANK(Input!$BE$4),NA(),'Reaction Information'!$E$42-'Reaction Information'!$G$42*(Calculations!$O22-Calculations!$C$8)+'Reaction Information'!$I$42*(Calculations!$O22-Calculations!$C$8-Calculations!$O22*LN(Calculations!$O22/Calculations!$C$8))+'Reaction Information'!$J$42*0.001/2*(2*Calculations!$O22*Calculations!$C$8-Calculations!$O22^2-Calculations!$C$8^2) + 'Reaction Information'!$K$42*100000*(Calculations!$O22^2 + Calculations!$C$8^2 - 2*Calculations!$O22*Calculations!$C$8)/(2*Calculations!$O22*Calculations!$C$8^2))</f>
        <v>#N/A</v>
      </c>
      <c r="AR22" s="8" t="e">
        <f>IF(AR$5="H2O", IF($D$24=3,IF(T22=0,NA(),T22),calculateGibbsOfWater(M22,N22,$D$24,$D$20,$D$19=3)),NA())</f>
        <v>#N/A</v>
      </c>
      <c r="AS22" s="8">
        <f>IF(ISBLANK(Input!$BK$4),NA(),'Reaction Information'!$E$46-'Reaction Information'!$G$46*(Calculations!O22-Calculations!$C$8)-'Reaction Information'!$N$46*(Calculations!O22*LN(Calculations!O22/Calculations!$C$8)-Calculations!O22+Calculations!$C$8)-'Reaction Information'!$O$46*10^4*(((1/(Calculations!O22-Calculations!$C$13))-(1/(Calculations!$C$8-Calculations!$C$13)))*((Calculations!$C$13-Calculations!O22)/(Calculations!$C$13))-(Calculations!O22/(Calculations!$C$13*Calculations!$C$13))*LN((Calculations!$C$8*(Calculations!O22-Calculations!$C$13))/(Calculations!O22*(Calculations!$C$8-Calculations!$C$13))))+'Reaction Information'!$J$46*10^-1*(Calculations!$M22-Calculations!$C$9)+'Reaction Information'!$K$46*10^2*LN((Calculations!$C$12+Calculations!$M22)/(Calculations!$C$12+Calculations!$C$9))+(1/(Calculations!O22-Calculations!$C$13))*('Reaction Information'!$L$46*(Calculations!$M22-Calculations!$C$9)+'Reaction Information'!$M$46*10^4*LN((Calculations!$C$12+Calculations!$M22)/(Calculations!$C$12+Calculations!$C$9)))+calculateOmega(Calculations!M22,Calculations!N22,Calculations!Q22,'Reaction Information'!$C$46,'Reaction Information'!$P$46*10^5,'Reaction Information'!$Q$46)*((1/Calculations!S22)-1)-'Reaction Information'!$P$46*10^5*((1/Calculations!$C$10)-1)+'Reaction Information'!$P$46*10^5*Calculations!$C$14*(Calculations!O22-Calculations!$C$8))</f>
        <v>0</v>
      </c>
      <c r="AT22" s="8">
        <f>IF(ISBLANK(Input!$BN$4),NA(),'Reaction Information'!$E$50-'Reaction Information'!$G$50*(Calculations!O22-Calculations!$C$8)-'Reaction Information'!$N$50*(Calculations!O22*LN(Calculations!O22/Calculations!$C$8)-Calculations!O22+Calculations!$C$8)-'Reaction Information'!$O$50*10^4*(((1/(Calculations!O22-Calculations!$C$13))-(1/(Calculations!$C$8-Calculations!$C$13)))*((Calculations!$C$13-Calculations!O22)/(Calculations!$C$13))-(Calculations!O22/(Calculations!$C$13*Calculations!$C$13))*LN((Calculations!$C$8*(Calculations!O22-Calculations!$C$13))/(Calculations!O22*(Calculations!$C$8-Calculations!$C$13))))+'Reaction Information'!$J$50*10^-1*(Calculations!$M22-Calculations!$C$9)+'Reaction Information'!$K$50*10^2*LN((Calculations!$C$12+Calculations!$M22)/(Calculations!$C$12+Calculations!$C$9))+(1/(Calculations!O22-Calculations!$C$13))*('Reaction Information'!$L$50*(Calculations!$M22-Calculations!$C$9)+'Reaction Information'!$M$50*10^4*LN((Calculations!$C$12+Calculations!$M22)/(Calculations!$C$12+Calculations!$C$9)))+calculateOmega(Calculations!M22,Calculations!N22,Calculations!Q22,'Reaction Information'!$C$50,'Reaction Information'!$P$50*10^5,'Reaction Information'!$Q$50)*((1/Calculations!S22)-1)-'Reaction Information'!$P$50*10^5*((1/Calculations!$C$10)-1)+'Reaction Information'!$P$50*10^5*Calculations!$C$14*(Calculations!O22-Calculations!$C$8))</f>
        <v>-141741.13222491788</v>
      </c>
      <c r="AU22" s="8" t="e">
        <f>IF(ISBLANK(Input!$BQ$4),NA(),'Reaction Information'!$E$54-'Reaction Information'!$G$54*(Calculations!$O22-Calculations!$C$8)-'Reaction Information'!$N$54*(Calculations!$O22*LN(Calculations!$O22/Calculations!$C$8)-Calculations!$O22+Calculations!$C$8)-'Reaction Information'!$O$54*10^4*(((1/(Calculations!$O22-Calculations!$C$13))-(1/(Calculations!$C$8-Calculations!$C$13)))*((Calculations!$C$13-Calculations!$O22)/(Calculations!$C$13))-(Calculations!$O22/(Calculations!$C$13*Calculations!$C$13))*LN((Calculations!$C$8*(Calculations!$O22-Calculations!$C$13))/(Calculations!$O22*(Calculations!$C$8-Calculations!$C$13))))+'Reaction Information'!$J$54*10^-1*(Calculations!$M22-Calculations!$C$9)+'Reaction Information'!$K$54*10^2*LN((Calculations!$C$12+Calculations!$M22)/(Calculations!$C$12+Calculations!$C$9))+(1/(Calculations!$O22-Calculations!$C$13))*('Reaction Information'!$L$54*(Calculations!$M22-Calculations!$C$9)+'Reaction Information'!$M$54*10^4*LN((Calculations!$C$12+Calculations!$M22)/(Calculations!$C$12+Calculations!$C$9)))+calculateOmega(Calculations!M22,Calculations!N22,Calculations!Q22,'Reaction Information'!$C$54,'Reaction Information'!$P$54*10^5,'Reaction Information'!$Q$54)*((1/Calculations!$S22)-1)-'Reaction Information'!$P$54*10^5*((1/Calculations!$C$10)-1)+'Reaction Information'!$P$54*10^5*Calculations!$C$14*(Calculations!$O22-Calculations!$C$8))</f>
        <v>#N/A</v>
      </c>
      <c r="AV22" s="8" t="e">
        <f>IF(ISBLANK(Input!$BT$4),NA(),'Reaction Information'!$E$58-'Reaction Information'!$G$58*(Calculations!$O22-Calculations!$C$8)-'Reaction Information'!$N$58*(Calculations!$O22*LN(Calculations!$O22/Calculations!$C$8)-Calculations!$O22+Calculations!$C$8)-'Reaction Information'!$O$58*10^4*(((1/(Calculations!$O22-Calculations!$C$13))-(1/(Calculations!$C$8-Calculations!$C$13)))*((Calculations!$C$13-Calculations!$O22)/(Calculations!$C$13))-(Calculations!$O22/(Calculations!$C$13*Calculations!$C$13))*LN((Calculations!$C$8*(Calculations!$O22-Calculations!$C$13))/(Calculations!$O22*(Calculations!$C$8-Calculations!$C$13))))+'Reaction Information'!$J$58*10^-1*(Calculations!$M22-Calculations!$C$9)+'Reaction Information'!$K$58*10^2*LN((Calculations!$C$12+Calculations!$M22)/(Calculations!$C$12+Calculations!$C$9))+(1/(Calculations!$O22-Calculations!$C$13))*('Reaction Information'!$L$58*(Calculations!$M22-Calculations!$C$9)+'Reaction Information'!$M$58*10^4*LN((Calculations!$C$12+Calculations!$M22)/(Calculations!$C$12+Calculations!$C$9)))+calculateOmega(Calculations!M22,Calculations!N22,Calculations!Q22,'Reaction Information'!$C$58,'Reaction Information'!$P$58*10^5,'Reaction Information'!$Q$58)*((1/Calculations!$S22)-1)-'Reaction Information'!$P$58*10^5*((1/Calculations!$C$10)-1)+'Reaction Information'!$P$58*10^5*Calculations!$C$14*(Calculations!$O22-Calculations!$C$8))</f>
        <v>#N/A</v>
      </c>
      <c r="AW22" s="8" t="e">
        <f>IF(ISBLANK(Input!$BW$4),NA(),'Reaction Information'!$E$62-'Reaction Information'!$G$62*(Calculations!$O22-Calculations!$C$8)-'Reaction Information'!$N$62*(Calculations!$O22*LN(Calculations!$O22/Calculations!$C$8)-Calculations!$O22+Calculations!$C$8)-'Reaction Information'!$O$62*10^4*(((1/(Calculations!$O22-Calculations!$C$13))-(1/(Calculations!$C$8-Calculations!$C$13)))*((Calculations!$C$13-Calculations!$O22)/(Calculations!$C$13))-(Calculations!$O22/(Calculations!$C$13*Calculations!$C$13))*LN((Calculations!$C$8*(Calculations!$O22-Calculations!$C$13))/(Calculations!$O22*(Calculations!$C$8-Calculations!$C$13))))+'Reaction Information'!$J$62*10^-1*(Calculations!$M22-Calculations!$C$9)+'Reaction Information'!$K$62*10^2*LN((Calculations!$C$12+Calculations!$M22)/(Calculations!$C$12+Calculations!$C$9))+(1/(Calculations!$O22-Calculations!$C$13))*('Reaction Information'!$L$62*(Calculations!$M22-Calculations!$C$9)+'Reaction Information'!$M$62*10^4*LN((Calculations!$C$12+Calculations!$M22)/(Calculations!$C$12+Calculations!$C$9)))+calculateOmega(Calculations!M22,Calculations!N22,Calculations!Q22,'Reaction Information'!$C$62,'Reaction Information'!$P$62*10^5,'Reaction Information'!$Q$62)*((1/Calculations!$S22)-1)-'Reaction Information'!$P$62*10^5*((1/Calculations!$C$10)-1)+'Reaction Information'!$P$62*10^5*Calculations!$C$14*(Calculations!$O22-Calculations!$C$8))</f>
        <v>#N/A</v>
      </c>
      <c r="AX22" s="8" t="e">
        <f>IF(ISBLANK(Input!$BZ$4),NA(),'Reaction Information'!$E$66-'Reaction Information'!$G$66*(Calculations!$O22-Calculations!$C$8)-'Reaction Information'!$N$66*(Calculations!$O22*LN(Calculations!$O22/Calculations!$C$8)-Calculations!$O22+Calculations!$C$8)-'Reaction Information'!$O$66*10^4*(((1/(Calculations!$O22-Calculations!$C$13))-(1/(Calculations!$C$8-Calculations!$C$13)))*((Calculations!$C$13-Calculations!$O22)/(Calculations!$C$13))-(Calculations!$O22/(Calculations!$C$13*Calculations!$C$13))*LN((Calculations!$C$8*(Calculations!$O22-Calculations!$C$13))/(Calculations!$O22*(Calculations!$C$8-Calculations!$C$13))))+'Reaction Information'!$J$66*10^-1*(Calculations!$M22-Calculations!$C$9)+'Reaction Information'!$K$66*10^2*LN((Calculations!$C$12+Calculations!$M22)/(Calculations!$C$12+Calculations!$C$9))+(1/(Calculations!$O22-Calculations!$C$13))*('Reaction Information'!$L$66*(Calculations!$M22-Calculations!$C$9)+'Reaction Information'!$M$66*10^4*LN((Calculations!$C$12+Calculations!$M22)/(Calculations!$C$12+Calculations!$C$9)))+calculateOmega(Calculations!M22,Calculations!N22,Calculations!Q22,'Reaction Information'!$C$66,'Reaction Information'!$P$66*10^5,'Reaction Information'!$Q$66)*((1/Calculations!$S22)-1)-'Reaction Information'!$P$66*10^5*((1/Calculations!$C$10)-1)+'Reaction Information'!$P$66*10^5*Calculations!$C$14*(Calculations!$O22-Calculations!$C$8))</f>
        <v>#N/A</v>
      </c>
      <c r="AY22" s="31">
        <f>(AL22*Input!$AO$4+AM22*Input!$AR$4+AN22*Input!$AU$4+AO22*Input!$AX$4+IF(ISNA(AP22),0,AP22*Input!$BA$4)+IF(ISNA(AQ22),0,AQ22*Input!$BD$4)+IF(ISNA(AR22),0,AR22*Input!$BG$4)+IF(ISNA(AS22),0,AS22*Input!$BJ$4)+IF(ISNA(AT22),0,AT22*Input!$BM$4)+IF(ISNA(AU22),0,AU22*Input!$BP$4)+IF(ISNA(AV22),0,AV22*Input!$BS$4)+IF(ISNA(AW22),0,AW22*Input!$BV$4)+IF(ISNA(AX22),0,AX22*Input!$BY$4))-(Y22*Input!$B$4+Z22*Input!$E$4+AA22*Input!$H$4+AB22*Input!$K$4+IF(ISNA(AC22),0,AC22*Input!$N$4)+IF(ISNA(AD22),0,AD22*Input!$Q$4)+IF(ISNA(AE22),0,AE22*Input!$T$4)+IF(ISNA(AF22),0,AF22*Input!$W$4)+IF(ISNA(AG22),0,AG22*Input!$Z$4)+IF(ISNA(AH22),0,AH22*Input!$AC$4)+IF(ISNA(AI22),0,AI22*Input!$AF$4)+IF(ISNA(AJ22),0,AJ22*Input!$AI$4)+IF(ISNA(AK22),0,AK22*Input!$AL$4))</f>
        <v>15717.774706681434</v>
      </c>
      <c r="AZ22" s="42">
        <f t="shared" si="7"/>
        <v>-5.5160771740739154</v>
      </c>
      <c r="BA22" s="1">
        <f t="shared" si="8"/>
        <v>350</v>
      </c>
      <c r="BB22" s="46">
        <f t="shared" si="9"/>
        <v>10000</v>
      </c>
      <c r="BC22" s="1"/>
      <c r="BD22" s="2">
        <f t="shared" si="10"/>
        <v>10000</v>
      </c>
      <c r="BE22" s="46">
        <f t="shared" si="11"/>
        <v>350</v>
      </c>
      <c r="BF22" s="1">
        <f>Results!AJ24</f>
        <v>0</v>
      </c>
      <c r="BG22" s="1">
        <f>Results!AK24</f>
        <v>0</v>
      </c>
      <c r="BH22" s="1">
        <f>Results!AL24</f>
        <v>0</v>
      </c>
      <c r="BI22" s="1">
        <f>Results!AM24</f>
        <v>0</v>
      </c>
      <c r="BJ22" s="1" t="e">
        <f>IF(OR(ISNA('Reaction Information'!$D$5), $N22 = "", $D$27 = FALSE, 'Reaction Information'!$D$5 = ""), NA(), 24.465)</f>
        <v>#N/A</v>
      </c>
      <c r="BK22" s="1" t="e">
        <f>IF(OR(ISNA('Reaction Information'!$D$9), $N22 = "", $D$27 = FALSE, 'Reaction Information'!$D$9 = ""), NA(), 24.465)</f>
        <v>#N/A</v>
      </c>
      <c r="BL22" s="8">
        <f t="shared" si="0"/>
        <v>16.700477151102859</v>
      </c>
      <c r="BM22" s="8">
        <f>IF(OR(ISBLANK(Input!$X$4),$D$27=FALSE),NA(),('Reaction Information'!$J$13/10+'Reaction Information'!$K$13*100/(Calculations!$C$12+Calculations!$M22)+('Reaction Information'!$L$13+'Reaction Information'!$M$13*10^4/(Calculations!$C$12+Calculations!$M22))/(Calculations!$O22-Calculations!$C$13) -calculateOmega(Calculations!$M22,Calculations!$N22,Calculations!$Q22,'Reaction Information'!$C$13,'Reaction Information'!$P$13*10^5,'Reaction Information'!$Q$13)*Calculations!$U22*10^-6 + (1/$S22 - 1)*calculate_domegadP(Calculations!$M22,Calculations!$N22,Calculations!$Q22,'Reaction Information'!$C$13,'Reaction Information'!$P$13*10^5,'Reaction Information'!$Q$13,$D$20,$D$19=3))*41.84)</f>
        <v>31.802760947387839</v>
      </c>
      <c r="BN22" s="8" t="e">
        <f>IF(OR(ISBLANK(Input!$AA$4),$D$27=FALSE),NA(),('Reaction Information'!$J$17/10+'Reaction Information'!$K$17*100/(Calculations!$C$12+Calculations!$M22)+('Reaction Information'!$L$17+'Reaction Information'!$M$17*10000/(Calculations!$C$12+Calculations!$M22))/(Calculations!$O22-Calculations!$C$13)-calculateOmega(Calculations!M22,Calculations!N22,Calculations!Q22,'Reaction Information'!$C$17,'Reaction Information'!$P$17*10^5,'Reaction Information'!$Q$17)*Calculations!$U22*10^-6 + (1/$S22 - 1)*calculate_domegadP(Calculations!M22,Calculations!N22,Calculations!Q22,'Reaction Information'!$C$17,'Reaction Information'!$P$17*10^5,'Reaction Information'!$Q$17,$D$20,$D$19=3))*41.84)</f>
        <v>#N/A</v>
      </c>
      <c r="BO22" s="8" t="e">
        <f>IF(OR(ISBLANK(Input!$AD$4),$D$27=FALSE),NA(),('Reaction Information'!$J$21/10+'Reaction Information'!$K$21*100/(Calculations!$C$12+Calculations!$M22)+('Reaction Information'!$L$21+'Reaction Information'!$M$21*10000/(Calculations!$C$12+Calculations!$M22))/(Calculations!$O22-Calculations!$C$13)-calculateOmega(Calculations!M22,Calculations!N22,Calculations!Q22,'Reaction Information'!$C$21,'Reaction Information'!$P$21*10^5,'Reaction Information'!$Q$21)*Calculations!$U22*10^-6 + (1/$S22 - 1)*calculate_domegadP(Calculations!M22,Calculations!N22,Calculations!Q22,'Reaction Information'!$C$21,'Reaction Information'!$P$21*10^5,'Reaction Information'!$Q$21,$D$20,$D$19=3))*41.84)</f>
        <v>#N/A</v>
      </c>
      <c r="BP22" s="8" t="e">
        <f>IF(OR(ISBLANK(Input!$AG$4),$D$27=FALSE),NA(),('Reaction Information'!$J$25/10+'Reaction Information'!$K$25*100/(Calculations!$C$12+Calculations!$M22)+('Reaction Information'!$L$25+'Reaction Information'!$M$25*10000/(Calculations!$C$12+Calculations!$M22))/(Calculations!$O22-Calculations!$C$13)-calculateOmega(Calculations!M22,Calculations!N22,Calculations!Q22,'Reaction Information'!$C$25,'Reaction Information'!$P$25*10^5,'Reaction Information'!$Q$25)*Calculations!$U22*10^-6 + (1/$S22 - 1)*calculate_domegadP(Calculations!M22,Calculations!N22,Calculations!Q22,'Reaction Information'!$C$25,'Reaction Information'!$P$25*10^5,'Reaction Information'!$Q$25,$D$20,$D$19=3))*41.84)</f>
        <v>#N/A</v>
      </c>
      <c r="BQ22" s="8" t="e">
        <f>IF(OR(ISBLANK(Input!$AJ$4),$D$27=FALSE),NA(),('Reaction Information'!$J$29/10+'Reaction Information'!$K$29*100/(Calculations!$C$12+Calculations!$M22)+('Reaction Information'!$L$29+'Reaction Information'!$M$29*10000/(Calculations!$C$12+Calculations!$M22))/(Calculations!$O22-Calculations!$C$13)-calculateOmega(Calculations!M22,Calculations!N22,Calculations!Q22,'Reaction Information'!$C$29,'Reaction Information'!$P$29*10^5,'Reaction Information'!$Q$29)*Calculations!$U22*10^-6 + (1/$S22 - 1)*calculate_domegadP(Calculations!M22,Calculations!N22,Calculations!Q22,'Reaction Information'!$C$29,'Reaction Information'!$P$29*10^5,'Reaction Information'!$Q$29,$D$20,$D$19=3))*41.84)</f>
        <v>#N/A</v>
      </c>
      <c r="BR22" s="8" t="e">
        <f>IF(OR(ISBLANK(Input!$AM$4),$D$27=FALSE),NA(),('Reaction Information'!$J$33/10+'Reaction Information'!$K$33*100/(Calculations!$C$12+Calculations!$M22)+('Reaction Information'!$L$33+'Reaction Information'!$M$33*10000/(Calculations!$C$12+Calculations!$M22))/(Calculations!$O22-Calculations!$C$13)-calculateOmega(Calculations!M22,Calculations!N22,Calculations!Q22,'Reaction Information'!$C$33,'Reaction Information'!$P$33*10^5,'Reaction Information'!$Q$33)*Calculations!$U22*10^-6 + (1/$S22 - 1)*calculate_domegadP(Calculations!M22,Calculations!N22,Calculations!Q22,'Reaction Information'!$C$33,'Reaction Information'!$P$33*10^5,'Reaction Information'!$Q$33,$D$20,$D$19=3))*41.84)</f>
        <v>#N/A</v>
      </c>
      <c r="BS22" s="1">
        <f>Results!AW24</f>
        <v>0</v>
      </c>
      <c r="BT22" s="1">
        <f>Results!AX24</f>
        <v>0</v>
      </c>
      <c r="BU22" s="1">
        <f>Results!AY24</f>
        <v>0</v>
      </c>
      <c r="BV22" s="1">
        <f>Results!AZ24</f>
        <v>0</v>
      </c>
      <c r="BW22" s="1" t="e">
        <f>IF(OR(ISNA('Reaction Information'!$D$38), $N22 = "", $D$27 = FALSE, 'Reaction Information'!$D$38 = ""), NA(), 24.465)</f>
        <v>#N/A</v>
      </c>
      <c r="BX22" s="1" t="e">
        <f>IF(OR(ISNA('Reaction Information'!$D$42), $N22 = "", $D$27 = FALSE, 'Reaction Information'!$D$42 = ""), NA(), 24.465)</f>
        <v>#N/A</v>
      </c>
      <c r="BY22" s="8" t="e">
        <f t="shared" si="1"/>
        <v>#N/A</v>
      </c>
      <c r="BZ22" s="8">
        <f>IF(OR(ISBLANK(Input!$BK$4),$D$27=FALSE),NA(),('Reaction Information'!$J$46/10+'Reaction Information'!$K$46*100/(Calculations!$C$12+Calculations!$M22)+('Reaction Information'!$L$46+'Reaction Information'!$M$46*10000/(Calculations!$C$12+Calculations!$M22))/(Calculations!$O22-Calculations!$C$13)-calculateOmega(Calculations!M22,Calculations!N22,Calculations!Q22,'Reaction Information'!$C$46,'Reaction Information'!$P$46*10^5,'Reaction Information'!$Q$46)*Calculations!$U22*10^-6 + (1/$S22 - 1)*calculate_domegadP(Calculations!M22,Calculations!N22,Calculations!Q22,'Reaction Information'!$C$46,'Reaction Information'!$P$46*10^5,'Reaction Information'!$Q$46,$D$20,$D$19=3))*41.84)</f>
        <v>0</v>
      </c>
      <c r="CA22" s="8">
        <f>IF(OR(ISBLANK(Input!$BN$4),$D$27=FALSE),NA(),('Reaction Information'!$J$50/10+'Reaction Information'!$K$50*100/(Calculations!$C$12+Calculations!$M22)+('Reaction Information'!$L$50+'Reaction Information'!$M$50*10000/(Calculations!$C$12+Calculations!$M22))/(Calculations!$O22-Calculations!$C$13)-calculateOmega(Calculations!M22,Calculations!N22,Calculations!Q22,'Reaction Information'!$C$50,'Reaction Information'!$P$50*10^5,'Reaction Information'!$Q$50)*Calculations!$U22*10^-6 + (1/$S22 - 1)*calculate_domegadP(Calculations!M22,Calculations!N22,Calculations!Q22,'Reaction Information'!$C$50,'Reaction Information'!$P$50*10^5,'Reaction Information'!$Q$50,$D$20,$D$19=3))*41.84)</f>
        <v>29.2297401358312</v>
      </c>
      <c r="CB22" s="8" t="e">
        <f>IF(OR(ISBLANK(Input!$BQ$4),$D$27=FALSE),NA(),('Reaction Information'!$J$54/10+'Reaction Information'!$K$54*100/(Calculations!$C$12+Calculations!$M22)+('Reaction Information'!$L$54+'Reaction Information'!$M$54*10000/(Calculations!$C$12+Calculations!$M22))/(Calculations!$O22-Calculations!$C$13)-calculateOmega(Calculations!M22,Calculations!N22,Calculations!Q22,'Reaction Information'!$C$54,'Reaction Information'!$P$54*10^5,'Reaction Information'!$Q$54)*Calculations!$U22*10^-6 + (1/$S22 - 1)*calculate_domegadP(Calculations!M22,Calculations!N22,Calculations!Q22,'Reaction Information'!$C$54,'Reaction Information'!$P$54*10^5,'Reaction Information'!$Q$54,$D$20,$D$19=3))*41.84)</f>
        <v>#N/A</v>
      </c>
      <c r="CC22" s="8" t="e">
        <f>IF(OR(ISBLANK(Input!$BT$4),$D$27=FALSE),NA(),('Reaction Information'!$J$58/10+'Reaction Information'!$K$58*100/(Calculations!$C$12+Calculations!$M22)+('Reaction Information'!$L$58+'Reaction Information'!$M$58*10000/(Calculations!$C$12+Calculations!$M22))/(Calculations!$O22-Calculations!$C$13)-calculateOmega(Calculations!M22,Calculations!N22,Calculations!Q22,'Reaction Information'!$C$58,'Reaction Information'!$P$58*10^5,'Reaction Information'!$Q$58)*Calculations!$U22*10^-6 + (1/$S22 - 1)*calculate_domegadP(Calculations!M22,Calculations!N22,Calculations!Q22,'Reaction Information'!$C$58,'Reaction Information'!$P$58*10^5,'Reaction Information'!$Q$58,$D$20,$D$19=3))*41.84)</f>
        <v>#N/A</v>
      </c>
      <c r="CD22" s="8" t="e">
        <f>IF(OR(ISBLANK(Input!$BW$4),$D$27=FALSE),NA(),('Reaction Information'!$J$62/10+'Reaction Information'!$K$62*100/(Calculations!$C$12+Calculations!$M22)+('Reaction Information'!$L$62+'Reaction Information'!$M$62*10000/(Calculations!$C$12+Calculations!$M22))/(Calculations!$O22-Calculations!$C$13)-calculateOmega(Calculations!M22,Calculations!N22,Calculations!Q22,'Reaction Information'!$C$62,'Reaction Information'!$P$62*10^5,'Reaction Information'!$Q$62)*Calculations!$U22*10^-6 + (1/$S22 - 1)*calculate_domegadP(Calculations!M22,Calculations!N22,Calculations!Q22,'Reaction Information'!$C$62,'Reaction Information'!$P$62*10^5,'Reaction Information'!$Q$62,$D$20,$D$19=3))*41.84)</f>
        <v>#N/A</v>
      </c>
      <c r="CE22" s="8" t="e">
        <f>IF(OR(ISBLANK(Input!$BZ$4),$D$27=FALSE),NA(),('Reaction Information'!$J$66/10+'Reaction Information'!$K$66*100/(Calculations!$C$12+Calculations!$M22)+('Reaction Information'!$L$66+'Reaction Information'!$M$66*10000/(Calculations!$C$12+Calculations!$M22))/(Calculations!$O22-Calculations!$C$13)-calculateOmega(Calculations!M22,Calculations!N22,Calculations!Q22,'Reaction Information'!$C$66,'Reaction Information'!$P$66*10^5,'Reaction Information'!$Q$66)*Calculations!$U22*10^-6 + (1/$S22 - 1)*calculate_domegadP(Calculations!M22,Calculations!N22,Calculations!Q22,'Reaction Information'!$C$66,'Reaction Information'!$P$66*10^5,'Reaction Information'!$Q$66,$D$20,$D$19=3))*41.84)</f>
        <v>#N/A</v>
      </c>
      <c r="CF22" s="31">
        <f>(BS22*Input!$AO$4+BT22*Input!$AR$4+BU22*Input!$AU$4+BV22*Input!$AX$4+IF(ISNA(BW22),0,BW22*Input!$BA$4)+IF(ISNA(BX22),0,BX22*Input!$BD$4)+IF(ISNA(BY22),0,BY22*Input!$BG$4)+IF(ISNA(BZ22),0,BZ22*Input!$BJ$4)+IF(ISNA(CA22),0,CA22*Input!$BM$4)+IF(ISNA(CB22),0,CB22*Input!$BP$4)+IF(ISNA(CC22),0,CC22*Input!$BS$4)+IF(ISNA(CD22),0,CD22*Input!$BV$4)+IF(ISNA(CE22),0,CE22*Input!$BY$4))-(BF22*Input!$B$4+BG22*Input!$E$4+BH22*Input!$H$4+BI22*Input!$K$4+IF(ISNA(BJ22),0,BJ22*Input!$N$4)+IF(ISNA(BK22),0,BK22*Input!$Q$4)+IF(ISNA(BL22),0,BL22*Input!$T$4)+IF(ISNA(BM22),0,BM22*Input!$W$4)+IF(ISNA(BN22),0,BN22*Input!$Z$4)+IF(ISNA(BO22),0,BO22*Input!$AC$4)+IF(ISNA(BP22),0,BP22*Input!$AF$4)+IF(ISNA(BQ22),0,BQ22*Input!$AI$4)+IF(ISNA(BR22),0,BR22*Input!$AL$4))</f>
        <v>-19.273497962659498</v>
      </c>
      <c r="CG22" s="1">
        <f t="shared" si="12"/>
        <v>350</v>
      </c>
      <c r="CH22" s="46">
        <f t="shared" si="13"/>
        <v>10000</v>
      </c>
      <c r="CI22" s="1"/>
    </row>
    <row r="23" spans="1:87" ht="15" customHeight="1" x14ac:dyDescent="0.2">
      <c r="A23" s="1"/>
      <c r="B23" s="273" t="s">
        <v>592</v>
      </c>
      <c r="C23" s="273"/>
      <c r="D23" s="7" t="b">
        <v>0</v>
      </c>
      <c r="E23" s="1"/>
      <c r="F23" s="2">
        <v>18</v>
      </c>
      <c r="G23" s="1" t="str">
        <f>IF(ISBLANK(Input!CB23), "", Input!CB23*1000)</f>
        <v/>
      </c>
      <c r="H23" s="1" t="str">
        <f>IF(ISBLANK(Input!CC23), "", Input!CC23)</f>
        <v/>
      </c>
      <c r="I23" s="1">
        <f>IF(Input!$CF$5 + Input!$CF$6*(FLOOR((Calculations!$F23-1)/(FLOOR((Input!$CF$12-Input!$CF$10)/Input!$CF$11,1)+1),1)) &gt; Input!$CF$7, "", (Input!$CF$5 + Input!$CF$6*(FLOOR((Calculations!$F23-1)/(FLOOR((Input!$CF$12-Input!$CF$10)/Input!$CF$11,1)+1),1)))*1000)</f>
        <v>10000</v>
      </c>
      <c r="J23" s="1">
        <f>IF(Calculations!I23 = "", "", Input!$CF$10 + Input!$CF$11*(Calculations!$F23-1) - (FLOOR((Input!$CF$12-Input!$CF$10)/Input!$CF$11,1)+1)*Input!$CF$11*FLOOR((Calculations!$F23-1)/(FLOOR((Input!$CF$12-Input!$CF$10)/Input!$CF$11,1)+1),1))</f>
        <v>400</v>
      </c>
      <c r="K23" s="8" t="str">
        <f t="shared" si="14"/>
        <v/>
      </c>
      <c r="L23" s="117" t="str">
        <f>IF(OR(Input!$CJ$5 + Input!$CJ$6*(Calculations!F23-1) &gt; Input!$CJ$7, Input!$CJ$5 + Input!$CJ$6*(Calculations!F23-1) &gt; 350), "", Input!$CJ$5 + Input!$CJ$6*(Calculations!F23-1))</f>
        <v/>
      </c>
      <c r="M23" s="1">
        <f t="shared" si="2"/>
        <v>10000</v>
      </c>
      <c r="N23" s="1">
        <f t="shared" si="3"/>
        <v>400</v>
      </c>
      <c r="O23" s="1">
        <f t="shared" si="4"/>
        <v>673.15</v>
      </c>
      <c r="P23" s="1" t="e">
        <f>IF(OR($D$20=3,AND($D$21=TRUE,M23&lt;1000)),INDEX('Water Density'!$C$6:$CX$120,MATCH(Calculations!N23,'Water Density'!$B$6:$B$120),MATCH(Calculations!M23/1000,'Water Density'!$C$5:$CX$5)),NA())</f>
        <v>#N/A</v>
      </c>
      <c r="Q23" s="182">
        <f>IF(OR($D$20=3,AND($D$21=TRUE,M23&lt;1000)), IF(P23&lt;&gt;0,P23,NA()), calculateDensity(M23,N23,$D$20,0.01,$D$19 = 3))</f>
        <v>1.0547266597175597</v>
      </c>
      <c r="R23" s="1" t="e">
        <f>IF($D$22=5,INDEX('Dielectric Constant'!$C$6:$CX$120,MATCH(Calculations!N23,'Dielectric Constant'!$B$6:$B$120),MATCH(Calculations!M23/1000,'Dielectric Constant'!$C$5:$CX$5)),NA())</f>
        <v>#N/A</v>
      </c>
      <c r="S23" s="58">
        <f>IF($D$22=5, IF(R23&lt;&gt;0,R23,NA()), IF(AND($D$23,M23&lt;=5000,$D$19 &lt;&gt; 3),calculateEpsilon(Q23,N23,1,FALSE),calculateEpsilon(Q23,N23,$D$22,$D$19 = 3)))</f>
        <v>30.593252620892979</v>
      </c>
      <c r="T23" s="1" t="e">
        <f>IF($D$24=3,INDEX('Water Free Energy'!$C$6:$CX$120,MATCH(Calculations!N23,'Water Free Energy'!$B$6:$B$120),MATCH(Calculations!M23/1000,'Water Free Energy'!$C$5:$CX$5)),NA())</f>
        <v>#N/A</v>
      </c>
      <c r="U23" s="179">
        <f>IF($D$27,calculateQ(M23,N23,Q23,$D$20,$D$22,$D$19=3)*10^6,NA())</f>
        <v>0.6484296096568839</v>
      </c>
      <c r="V23"/>
      <c r="W23" s="2">
        <f t="shared" si="5"/>
        <v>10000</v>
      </c>
      <c r="X23" s="1">
        <f t="shared" si="6"/>
        <v>400</v>
      </c>
      <c r="Y23" s="1">
        <f>Results!F25</f>
        <v>0</v>
      </c>
      <c r="Z23" s="1">
        <f>Results!G25</f>
        <v>0</v>
      </c>
      <c r="AA23" s="1">
        <f>Results!H25</f>
        <v>0</v>
      </c>
      <c r="AB23" s="1">
        <f>Results!I25</f>
        <v>0</v>
      </c>
      <c r="AC23" s="1" t="e">
        <f>IF(ISBLANK(Input!$O$4),NA(),'Reaction Information'!$E$5-'Reaction Information'!$G$5*(Calculations!$O23-Calculations!$C$8)+'Reaction Information'!$I$5*(Calculations!$O23-Calculations!$C$8-Calculations!$O23*LN(Calculations!$O23/Calculations!$C$8))+'Reaction Information'!$J$5*0.001/2*(2*Calculations!$O23*Calculations!$C$8-Calculations!$O23^2-Calculations!$C$8^2) + 'Reaction Information'!$K$5*100000*(Calculations!$O23^2 + Calculations!$C$8^2 - 2*Calculations!$O23*Calculations!$C$8)/(2*Calculations!$O23*Calculations!$C$8^2))</f>
        <v>#N/A</v>
      </c>
      <c r="AD23" s="8" t="e">
        <f>IF(ISBLANK(Input!$R$4),NA(),'Reaction Information'!$E$9-'Reaction Information'!$G$9*(Calculations!$O23-Calculations!$C$8)+'Reaction Information'!$I$9*(Calculations!$O23-Calculations!$C$8-Calculations!$O23*LN(Calculations!$O23/Calculations!$C$8))+'Reaction Information'!$J$9*0.001/2*(2*Calculations!$O23*Calculations!$C$8-Calculations!$O23^2-Calculations!$C$8^2) + 'Reaction Information'!$K$9*100000*(Calculations!$O23^2 + Calculations!$C$8^2 - 2*Calculations!$O23*Calculations!$C$8)/(2*Calculations!$O23*Calculations!$C$8^2))</f>
        <v>#N/A</v>
      </c>
      <c r="AE23" s="8">
        <f>IF(AE$5="H2O",IF($D$24=3,IF(T23=0,NA(),T23),calculateGibbsOfWater(M23,N23,$D$24,$D$20,$D$19=3)),NA())</f>
        <v>-61302.14480512376</v>
      </c>
      <c r="AF23" s="8">
        <f>IF(ISBLANK(Input!$X$4),NA(),'Reaction Information'!$E$13-'Reaction Information'!$G$13*(Calculations!O23-Calculations!$C$8)-'Reaction Information'!$N$13*(Calculations!O23*LN(Calculations!O23/Calculations!$C$8)-Calculations!O23+Calculations!$C$8)-'Reaction Information'!$O$13*10^4*(((1/(Calculations!O23-Calculations!$C$13))-(1/(Calculations!$C$8-Calculations!$C$13)))*((Calculations!$C$13-Calculations!O23)/(Calculations!$C$13))-(Calculations!O23/(Calculations!$C$13*Calculations!$C$13))*LN((Calculations!$C$8*(Calculations!O23-Calculations!$C$13))/(Calculations!O23*(Calculations!$C$8-Calculations!$C$13))))+'Reaction Information'!$J$13*10^-1*(Calculations!M23-Calculations!$C$9)+'Reaction Information'!$K$13*10^2*LN((Calculations!$C$12+Calculations!M23)/(Calculations!$C$12+Calculations!$C$9))+(1/(Calculations!O23-Calculations!$C$13))*('Reaction Information'!$L$13*(Calculations!M23-Calculations!$C$9)+'Reaction Information'!$M$13*10^4*LN((Calculations!$C$12+Calculations!M23)/(Calculations!$C$12+Calculations!$C$9)))+calculateOmega(Calculations!M23,Calculations!N23,Calculations!Q23,'Reaction Information'!$C$13,'Reaction Information'!$P$13*10^5,'Reaction Information'!$Q$13)*((1/Calculations!S23)-1)-'Reaction Information'!$P$13*10^5*((1/Calculations!$C$10)-1)+'Reaction Information'!$P$13*10^5*Calculations!$C$14*(Calculations!O23-Calculations!$C$8))</f>
        <v>-99733.816022236482</v>
      </c>
      <c r="AG23" s="8" t="e">
        <f>IF(ISBLANK(Input!$AA$4),NA(),'Reaction Information'!$E$17-'Reaction Information'!$G$17*(Calculations!$O23-Calculations!$C$8)-'Reaction Information'!$N$17*(Calculations!$O23*LN(Calculations!$O23/Calculations!$C$8)-Calculations!$O23+Calculations!$C$8)-'Reaction Information'!$O$17*10^4*(((1/(Calculations!$O23-Calculations!$C$13))-(1/(Calculations!$C$8-Calculations!$C$13)))*((Calculations!$C$13-Calculations!$O23)/(Calculations!$C$13))-(Calculations!$O23/(Calculations!$C$13*Calculations!$C$13))*LN((Calculations!$C$8*(Calculations!$O23-Calculations!$C$13))/(Calculations!$O23*(Calculations!$C$8-Calculations!$C$13))))+'Reaction Information'!$J$17*10^-1*(Calculations!$M23-Calculations!$C$9)+'Reaction Information'!$K$17*10^2*LN((Calculations!$C$12+Calculations!$M23)/(Calculations!$C$12+Calculations!$C$9))+(1/(Calculations!$O23-Calculations!$C$13))*('Reaction Information'!$L$17*(Calculations!$M23-Calculations!$C$9)+'Reaction Information'!$M$17*10^4*LN((Calculations!$C$12+Calculations!$M23)/(Calculations!$C$12+Calculations!$C$9)))+calculateOmega(Calculations!M23,Calculations!N23,Calculations!Q23,'Reaction Information'!$C$17,'Reaction Information'!$P$17*10^5,'Reaction Information'!$Q$17)*((1/Calculations!$S23)-1)-'Reaction Information'!$P$17*10^5*((1/Calculations!$C$10)-1)+'Reaction Information'!$P$17*10^5*Calculations!$C$14*(Calculations!$O23-Calculations!$C$8))</f>
        <v>#N/A</v>
      </c>
      <c r="AH23" s="8" t="e">
        <f>IF(ISBLANK(Input!$AD$4),NA(),'Reaction Information'!$E$21-'Reaction Information'!$G$21*(Calculations!$O23-Calculations!$C$8)-'Reaction Information'!$N$21*(Calculations!$O23*LN(Calculations!$O23/Calculations!$C$8)-Calculations!$O23+Calculations!$C$8)-'Reaction Information'!$O$21*10^4*(((1/(Calculations!$O23-Calculations!$C$13))-(1/(Calculations!$C$8-Calculations!$C$13)))*((Calculations!$C$13-Calculations!$O23)/(Calculations!$C$13))-(Calculations!$O23/(Calculations!$C$13*Calculations!$C$13))*LN((Calculations!$C$8*(Calculations!$O23-Calculations!$C$13))/(Calculations!$O23*(Calculations!$C$8-Calculations!$C$13))))+'Reaction Information'!$J$21*10^-1*(Calculations!$M23-Calculations!$C$9)+'Reaction Information'!$K$21*10^2*LN((Calculations!$C$12+Calculations!$M23)/(Calculations!$C$12+Calculations!$C$9))+(1/(Calculations!$O23-Calculations!$C$13))*('Reaction Information'!$L$21*(Calculations!$M23-Calculations!$C$9)+'Reaction Information'!$M$21*10^4*LN((Calculations!$C$12+Calculations!$M23)/(Calculations!$C$12+Calculations!$C$9)))+calculateOmega(Calculations!M23,Calculations!N23,Calculations!Q23,'Reaction Information'!$C$21,'Reaction Information'!$P$21*10^5,'Reaction Information'!$Q$21)*((1/Calculations!$S23)-1)-'Reaction Information'!$P$21*10^5*((1/Calculations!$C$10)-1)+'Reaction Information'!$P$21*10^5*Calculations!$C$14*(Calculations!$O23-Calculations!$C$8))</f>
        <v>#N/A</v>
      </c>
      <c r="AI23" s="8" t="e">
        <f>IF(ISBLANK(Input!$AG$4),NA(),'Reaction Information'!$E$25-'Reaction Information'!$G$25*(Calculations!$O23-Calculations!$C$8)-'Reaction Information'!$N$25*(Calculations!$O23*LN(Calculations!$O23/Calculations!$C$8)-Calculations!$O23+Calculations!$C$8)-'Reaction Information'!$O$25*10^4*(((1/(Calculations!$O23-Calculations!$C$13))-(1/(Calculations!$C$8-Calculations!$C$13)))*((Calculations!$C$13-Calculations!$O23)/(Calculations!$C$13))-(Calculations!$O23/(Calculations!$C$13*Calculations!$C$13))*LN((Calculations!$C$8*(Calculations!$O23-Calculations!$C$13))/(Calculations!$O23*(Calculations!$C$8-Calculations!$C$13))))+'Reaction Information'!$J$25*10^-1*(Calculations!$M23-Calculations!$C$9)+'Reaction Information'!$K$25*10^2*LN((Calculations!$C$12+Calculations!$M23)/(Calculations!$C$12+Calculations!$C$9))+(1/(Calculations!$O23-Calculations!$C$13))*('Reaction Information'!$L$25*(Calculations!$M23-Calculations!$C$9)+'Reaction Information'!$M$25*10^4*LN((Calculations!$C$12+Calculations!$M23)/(Calculations!$C$12+Calculations!$C$9)))+calculateOmega(Calculations!M23,Calculations!N23,Calculations!Q23,'Reaction Information'!$C$25,'Reaction Information'!$P$25*10^5,'Reaction Information'!$Q$25)*((1/Calculations!$S23)-1)-'Reaction Information'!$P$25*10^5*((1/Calculations!$C$10)-1)+'Reaction Information'!$P$25*10^5*Calculations!$C$14*(Calculations!$O23-Calculations!$C$8))</f>
        <v>#N/A</v>
      </c>
      <c r="AJ23" s="8" t="e">
        <f>IF(ISBLANK(Input!$AJ$4),NA(),'Reaction Information'!$E$29-'Reaction Information'!$G$29*(Calculations!$O23-Calculations!$C$8)-'Reaction Information'!$N$29*(Calculations!$O23*LN(Calculations!$O23/Calculations!$C$8)-Calculations!$O23+Calculations!$C$8)-'Reaction Information'!$O$29*10^4*(((1/(Calculations!$O23-Calculations!$C$13))-(1/(Calculations!$C$8-Calculations!$C$13)))*((Calculations!$C$13-Calculations!$O23)/(Calculations!$C$13))-(Calculations!$O23/(Calculations!$C$13*Calculations!$C$13))*LN((Calculations!$C$8*(Calculations!$O23-Calculations!$C$13))/(Calculations!$O23*(Calculations!$C$8-Calculations!$C$13))))+'Reaction Information'!$J$29*10^-1*(Calculations!$M23-Calculations!$C$9)+'Reaction Information'!$K$29*10^2*LN((Calculations!$C$12+Calculations!$M23)/(Calculations!$C$12+Calculations!$C$9))+(1/(Calculations!$O23-Calculations!$C$13))*('Reaction Information'!$L$29*(Calculations!$M23-Calculations!$C$9)+'Reaction Information'!$M$29*10^4*LN((Calculations!$C$12+Calculations!$M23)/(Calculations!$C$12+Calculations!$C$9)))+calculateOmega(Calculations!M23,Calculations!N23,Calculations!Q23,'Reaction Information'!$C$29,'Reaction Information'!$P$29*10^5,'Reaction Information'!$Q$29)*((1/Calculations!$S23)-1)-'Reaction Information'!$P$29*10^5*((1/Calculations!$C$10)-1)+'Reaction Information'!$P$29*10^5*Calculations!$C$14*(Calculations!$O23-Calculations!$C$8))</f>
        <v>#N/A</v>
      </c>
      <c r="AK23" s="8" t="e">
        <f>IF(ISBLANK(Input!$AM$4),NA(),'Reaction Information'!$E$33-'Reaction Information'!$G$33*(Calculations!$O23-Calculations!$C$8)-'Reaction Information'!$N$33*(Calculations!$O23*LN(Calculations!$O23/Calculations!$C$8)-Calculations!$O23+Calculations!$C$8)-'Reaction Information'!$O$33*10^4*(((1/(Calculations!$O23-Calculations!$C$13))-(1/(Calculations!$C$8-Calculations!$C$13)))*((Calculations!$C$13-Calculations!$O23)/(Calculations!$C$13))-(Calculations!$O23/(Calculations!$C$13*Calculations!$C$13))*LN((Calculations!$C$8*(Calculations!$O23-Calculations!$C$13))/(Calculations!$O23*(Calculations!$C$8-Calculations!$C$13))))+'Reaction Information'!$J$33*10^-1*(Calculations!$M23-Calculations!$C$9)+'Reaction Information'!$K$33*10^2*LN((Calculations!$C$12+Calculations!$M23)/(Calculations!$C$12+Calculations!$C$9))+(1/(Calculations!$O23-Calculations!$C$13))*('Reaction Information'!$L$33*(Calculations!$M23-Calculations!$C$9)+'Reaction Information'!$M$33*10^4*LN((Calculations!$C$12+Calculations!$M23)/(Calculations!$C$12+Calculations!$C$9)))+calculateOmega(Calculations!M23,Calculations!N23,Calculations!Q23,'Reaction Information'!$C$33,'Reaction Information'!$P$33*10^5,'Reaction Information'!$Q$33)*((1/Calculations!$S23)-1)-'Reaction Information'!$P$33*10^5*((1/Calculations!$C$10)-1)+'Reaction Information'!$P$33*10^5*Calculations!$C$14*(Calculations!$O23-Calculations!$C$8))</f>
        <v>#N/A</v>
      </c>
      <c r="AL23" s="1">
        <f>Results!S25</f>
        <v>0</v>
      </c>
      <c r="AM23" s="1">
        <f>Results!T25</f>
        <v>0</v>
      </c>
      <c r="AN23" s="1">
        <f>Results!U25</f>
        <v>0</v>
      </c>
      <c r="AO23" s="1">
        <f>Results!V25</f>
        <v>0</v>
      </c>
      <c r="AP23" s="8" t="e">
        <f>IF(ISBLANK(Input!$BB$4),NA(),'Reaction Information'!$E$38-'Reaction Information'!$G$38*(Calculations!$O23-Calculations!$C$8)+'Reaction Information'!$I$38*(Calculations!$O23-Calculations!$C$8-Calculations!$O23*LN(Calculations!$O23/Calculations!$C$8))+'Reaction Information'!$J$38*0.001/2*(2*Calculations!$O23*Calculations!$C$8-Calculations!$O23^2-Calculations!$C$8^2) + 'Reaction Information'!$K$38*100000*(Calculations!$O23^2 + Calculations!$C$8^2 - 2*Calculations!$O23*Calculations!$C$8)/(2*Calculations!$O23*Calculations!$C$8^2))</f>
        <v>#N/A</v>
      </c>
      <c r="AQ23" s="8" t="e">
        <f>IF(ISBLANK(Input!$BE$4),NA(),'Reaction Information'!$E$42-'Reaction Information'!$G$42*(Calculations!$O23-Calculations!$C$8)+'Reaction Information'!$I$42*(Calculations!$O23-Calculations!$C$8-Calculations!$O23*LN(Calculations!$O23/Calculations!$C$8))+'Reaction Information'!$J$42*0.001/2*(2*Calculations!$O23*Calculations!$C$8-Calculations!$O23^2-Calculations!$C$8^2) + 'Reaction Information'!$K$42*100000*(Calculations!$O23^2 + Calculations!$C$8^2 - 2*Calculations!$O23*Calculations!$C$8)/(2*Calculations!$O23*Calculations!$C$8^2))</f>
        <v>#N/A</v>
      </c>
      <c r="AR23" s="8" t="e">
        <f>IF(AR$5="H2O", IF($D$24=3,IF(T23=0,NA(),T23),calculateGibbsOfWater(M23,N23,$D$24,$D$20,$D$19=3)),NA())</f>
        <v>#N/A</v>
      </c>
      <c r="AS23" s="8">
        <f>IF(ISBLANK(Input!$BK$4),NA(),'Reaction Information'!$E$46-'Reaction Information'!$G$46*(Calculations!O23-Calculations!$C$8)-'Reaction Information'!$N$46*(Calculations!O23*LN(Calculations!O23/Calculations!$C$8)-Calculations!O23+Calculations!$C$8)-'Reaction Information'!$O$46*10^4*(((1/(Calculations!O23-Calculations!$C$13))-(1/(Calculations!$C$8-Calculations!$C$13)))*((Calculations!$C$13-Calculations!O23)/(Calculations!$C$13))-(Calculations!O23/(Calculations!$C$13*Calculations!$C$13))*LN((Calculations!$C$8*(Calculations!O23-Calculations!$C$13))/(Calculations!O23*(Calculations!$C$8-Calculations!$C$13))))+'Reaction Information'!$J$46*10^-1*(Calculations!$M23-Calculations!$C$9)+'Reaction Information'!$K$46*10^2*LN((Calculations!$C$12+Calculations!$M23)/(Calculations!$C$12+Calculations!$C$9))+(1/(Calculations!O23-Calculations!$C$13))*('Reaction Information'!$L$46*(Calculations!$M23-Calculations!$C$9)+'Reaction Information'!$M$46*10^4*LN((Calculations!$C$12+Calculations!$M23)/(Calculations!$C$12+Calculations!$C$9)))+calculateOmega(Calculations!M23,Calculations!N23,Calculations!Q23,'Reaction Information'!$C$46,'Reaction Information'!$P$46*10^5,'Reaction Information'!$Q$46)*((1/Calculations!S23)-1)-'Reaction Information'!$P$46*10^5*((1/Calculations!$C$10)-1)+'Reaction Information'!$P$46*10^5*Calculations!$C$14*(Calculations!O23-Calculations!$C$8))</f>
        <v>0</v>
      </c>
      <c r="AT23" s="8">
        <f>IF(ISBLANK(Input!$BN$4),NA(),'Reaction Information'!$E$50-'Reaction Information'!$G$50*(Calculations!O23-Calculations!$C$8)-'Reaction Information'!$N$50*(Calculations!O23*LN(Calculations!O23/Calculations!$C$8)-Calculations!O23+Calculations!$C$8)-'Reaction Information'!$O$50*10^4*(((1/(Calculations!O23-Calculations!$C$13))-(1/(Calculations!$C$8-Calculations!$C$13)))*((Calculations!$C$13-Calculations!O23)/(Calculations!$C$13))-(Calculations!O23/(Calculations!$C$13*Calculations!$C$13))*LN((Calculations!$C$8*(Calculations!O23-Calculations!$C$13))/(Calculations!O23*(Calculations!$C$8-Calculations!$C$13))))+'Reaction Information'!$J$50*10^-1*(Calculations!$M23-Calculations!$C$9)+'Reaction Information'!$K$50*10^2*LN((Calculations!$C$12+Calculations!$M23)/(Calculations!$C$12+Calculations!$C$9))+(1/(Calculations!O23-Calculations!$C$13))*('Reaction Information'!$L$50*(Calculations!$M23-Calculations!$C$9)+'Reaction Information'!$M$50*10^4*LN((Calculations!$C$12+Calculations!$M23)/(Calculations!$C$12+Calculations!$C$9)))+calculateOmega(Calculations!M23,Calculations!N23,Calculations!Q23,'Reaction Information'!$C$50,'Reaction Information'!$P$50*10^5,'Reaction Information'!$Q$50)*((1/Calculations!S23)-1)-'Reaction Information'!$P$50*10^5*((1/Calculations!$C$10)-1)+'Reaction Information'!$P$50*10^5*Calculations!$C$14*(Calculations!O23-Calculations!$C$8))</f>
        <v>-143149.93877967689</v>
      </c>
      <c r="AU23" s="8" t="e">
        <f>IF(ISBLANK(Input!$BQ$4),NA(),'Reaction Information'!$E$54-'Reaction Information'!$G$54*(Calculations!$O23-Calculations!$C$8)-'Reaction Information'!$N$54*(Calculations!$O23*LN(Calculations!$O23/Calculations!$C$8)-Calculations!$O23+Calculations!$C$8)-'Reaction Information'!$O$54*10^4*(((1/(Calculations!$O23-Calculations!$C$13))-(1/(Calculations!$C$8-Calculations!$C$13)))*((Calculations!$C$13-Calculations!$O23)/(Calculations!$C$13))-(Calculations!$O23/(Calculations!$C$13*Calculations!$C$13))*LN((Calculations!$C$8*(Calculations!$O23-Calculations!$C$13))/(Calculations!$O23*(Calculations!$C$8-Calculations!$C$13))))+'Reaction Information'!$J$54*10^-1*(Calculations!$M23-Calculations!$C$9)+'Reaction Information'!$K$54*10^2*LN((Calculations!$C$12+Calculations!$M23)/(Calculations!$C$12+Calculations!$C$9))+(1/(Calculations!$O23-Calculations!$C$13))*('Reaction Information'!$L$54*(Calculations!$M23-Calculations!$C$9)+'Reaction Information'!$M$54*10^4*LN((Calculations!$C$12+Calculations!$M23)/(Calculations!$C$12+Calculations!$C$9)))+calculateOmega(Calculations!M23,Calculations!N23,Calculations!Q23,'Reaction Information'!$C$54,'Reaction Information'!$P$54*10^5,'Reaction Information'!$Q$54)*((1/Calculations!$S23)-1)-'Reaction Information'!$P$54*10^5*((1/Calculations!$C$10)-1)+'Reaction Information'!$P$54*10^5*Calculations!$C$14*(Calculations!$O23-Calculations!$C$8))</f>
        <v>#N/A</v>
      </c>
      <c r="AV23" s="8" t="e">
        <f>IF(ISBLANK(Input!$BT$4),NA(),'Reaction Information'!$E$58-'Reaction Information'!$G$58*(Calculations!$O23-Calculations!$C$8)-'Reaction Information'!$N$58*(Calculations!$O23*LN(Calculations!$O23/Calculations!$C$8)-Calculations!$O23+Calculations!$C$8)-'Reaction Information'!$O$58*10^4*(((1/(Calculations!$O23-Calculations!$C$13))-(1/(Calculations!$C$8-Calculations!$C$13)))*((Calculations!$C$13-Calculations!$O23)/(Calculations!$C$13))-(Calculations!$O23/(Calculations!$C$13*Calculations!$C$13))*LN((Calculations!$C$8*(Calculations!$O23-Calculations!$C$13))/(Calculations!$O23*(Calculations!$C$8-Calculations!$C$13))))+'Reaction Information'!$J$58*10^-1*(Calculations!$M23-Calculations!$C$9)+'Reaction Information'!$K$58*10^2*LN((Calculations!$C$12+Calculations!$M23)/(Calculations!$C$12+Calculations!$C$9))+(1/(Calculations!$O23-Calculations!$C$13))*('Reaction Information'!$L$58*(Calculations!$M23-Calculations!$C$9)+'Reaction Information'!$M$58*10^4*LN((Calculations!$C$12+Calculations!$M23)/(Calculations!$C$12+Calculations!$C$9)))+calculateOmega(Calculations!M23,Calculations!N23,Calculations!Q23,'Reaction Information'!$C$58,'Reaction Information'!$P$58*10^5,'Reaction Information'!$Q$58)*((1/Calculations!$S23)-1)-'Reaction Information'!$P$58*10^5*((1/Calculations!$C$10)-1)+'Reaction Information'!$P$58*10^5*Calculations!$C$14*(Calculations!$O23-Calculations!$C$8))</f>
        <v>#N/A</v>
      </c>
      <c r="AW23" s="8" t="e">
        <f>IF(ISBLANK(Input!$BW$4),NA(),'Reaction Information'!$E$62-'Reaction Information'!$G$62*(Calculations!$O23-Calculations!$C$8)-'Reaction Information'!$N$62*(Calculations!$O23*LN(Calculations!$O23/Calculations!$C$8)-Calculations!$O23+Calculations!$C$8)-'Reaction Information'!$O$62*10^4*(((1/(Calculations!$O23-Calculations!$C$13))-(1/(Calculations!$C$8-Calculations!$C$13)))*((Calculations!$C$13-Calculations!$O23)/(Calculations!$C$13))-(Calculations!$O23/(Calculations!$C$13*Calculations!$C$13))*LN((Calculations!$C$8*(Calculations!$O23-Calculations!$C$13))/(Calculations!$O23*(Calculations!$C$8-Calculations!$C$13))))+'Reaction Information'!$J$62*10^-1*(Calculations!$M23-Calculations!$C$9)+'Reaction Information'!$K$62*10^2*LN((Calculations!$C$12+Calculations!$M23)/(Calculations!$C$12+Calculations!$C$9))+(1/(Calculations!$O23-Calculations!$C$13))*('Reaction Information'!$L$62*(Calculations!$M23-Calculations!$C$9)+'Reaction Information'!$M$62*10^4*LN((Calculations!$C$12+Calculations!$M23)/(Calculations!$C$12+Calculations!$C$9)))+calculateOmega(Calculations!M23,Calculations!N23,Calculations!Q23,'Reaction Information'!$C$62,'Reaction Information'!$P$62*10^5,'Reaction Information'!$Q$62)*((1/Calculations!$S23)-1)-'Reaction Information'!$P$62*10^5*((1/Calculations!$C$10)-1)+'Reaction Information'!$P$62*10^5*Calculations!$C$14*(Calculations!$O23-Calculations!$C$8))</f>
        <v>#N/A</v>
      </c>
      <c r="AX23" s="8" t="e">
        <f>IF(ISBLANK(Input!$BZ$4),NA(),'Reaction Information'!$E$66-'Reaction Information'!$G$66*(Calculations!$O23-Calculations!$C$8)-'Reaction Information'!$N$66*(Calculations!$O23*LN(Calculations!$O23/Calculations!$C$8)-Calculations!$O23+Calculations!$C$8)-'Reaction Information'!$O$66*10^4*(((1/(Calculations!$O23-Calculations!$C$13))-(1/(Calculations!$C$8-Calculations!$C$13)))*((Calculations!$C$13-Calculations!$O23)/(Calculations!$C$13))-(Calculations!$O23/(Calculations!$C$13*Calculations!$C$13))*LN((Calculations!$C$8*(Calculations!$O23-Calculations!$C$13))/(Calculations!$O23*(Calculations!$C$8-Calculations!$C$13))))+'Reaction Information'!$J$66*10^-1*(Calculations!$M23-Calculations!$C$9)+'Reaction Information'!$K$66*10^2*LN((Calculations!$C$12+Calculations!$M23)/(Calculations!$C$12+Calculations!$C$9))+(1/(Calculations!$O23-Calculations!$C$13))*('Reaction Information'!$L$66*(Calculations!$M23-Calculations!$C$9)+'Reaction Information'!$M$66*10^4*LN((Calculations!$C$12+Calculations!$M23)/(Calculations!$C$12+Calculations!$C$9)))+calculateOmega(Calculations!M23,Calculations!N23,Calculations!Q23,'Reaction Information'!$C$66,'Reaction Information'!$P$66*10^5,'Reaction Information'!$Q$66)*((1/Calculations!$S23)-1)-'Reaction Information'!$P$66*10^5*((1/Calculations!$C$10)-1)+'Reaction Information'!$P$66*10^5*Calculations!$C$14*(Calculations!$O23-Calculations!$C$8))</f>
        <v>#N/A</v>
      </c>
      <c r="AY23" s="31">
        <f>(AL23*Input!$AO$4+AM23*Input!$AR$4+AN23*Input!$AU$4+AO23*Input!$AX$4+IF(ISNA(AP23),0,AP23*Input!$BA$4)+IF(ISNA(AQ23),0,AQ23*Input!$BD$4)+IF(ISNA(AR23),0,AR23*Input!$BG$4)+IF(ISNA(AS23),0,AS23*Input!$BJ$4)+IF(ISNA(AT23),0,AT23*Input!$BM$4)+IF(ISNA(AU23),0,AU23*Input!$BP$4)+IF(ISNA(AV23),0,AV23*Input!$BS$4)+IF(ISNA(AW23),0,AW23*Input!$BV$4)+IF(ISNA(AX23),0,AX23*Input!$BY$4))-(Y23*Input!$B$4+Z23*Input!$E$4+AA23*Input!$H$4+AB23*Input!$K$4+IF(ISNA(AC23),0,AC23*Input!$N$4)+IF(ISNA(AD23),0,AD23*Input!$Q$4)+IF(ISNA(AE23),0,AE23*Input!$T$4)+IF(ISNA(AF23),0,AF23*Input!$W$4)+IF(ISNA(AG23),0,AG23*Input!$Z$4)+IF(ISNA(AH23),0,AH23*Input!$AC$4)+IF(ISNA(AI23),0,AI23*Input!$AF$4)+IF(ISNA(AJ23),0,AJ23*Input!$AI$4)+IF(ISNA(AK23),0,AK23*Input!$AL$4))</f>
        <v>17886.022047683364</v>
      </c>
      <c r="AZ23" s="42">
        <f t="shared" si="7"/>
        <v>-5.8107713315153937</v>
      </c>
      <c r="BA23" s="1">
        <f t="shared" si="8"/>
        <v>400</v>
      </c>
      <c r="BB23" s="46">
        <f t="shared" si="9"/>
        <v>10000</v>
      </c>
      <c r="BC23" s="1"/>
      <c r="BD23" s="2">
        <f t="shared" si="10"/>
        <v>10000</v>
      </c>
      <c r="BE23" s="46">
        <f t="shared" si="11"/>
        <v>400</v>
      </c>
      <c r="BF23" s="1">
        <f>Results!AJ25</f>
        <v>0</v>
      </c>
      <c r="BG23" s="1">
        <f>Results!AK25</f>
        <v>0</v>
      </c>
      <c r="BH23" s="1">
        <f>Results!AL25</f>
        <v>0</v>
      </c>
      <c r="BI23" s="1">
        <f>Results!AM25</f>
        <v>0</v>
      </c>
      <c r="BJ23" s="1" t="e">
        <f>IF(OR(ISNA('Reaction Information'!$D$5), $N23 = "", $D$27 = FALSE, 'Reaction Information'!$D$5 = ""), NA(), 24.465)</f>
        <v>#N/A</v>
      </c>
      <c r="BK23" s="1" t="e">
        <f>IF(OR(ISNA('Reaction Information'!$D$9), $N23 = "", $D$27 = FALSE, 'Reaction Information'!$D$9 = ""), NA(), 24.465)</f>
        <v>#N/A</v>
      </c>
      <c r="BL23" s="8">
        <f t="shared" si="0"/>
        <v>17.080520184086584</v>
      </c>
      <c r="BM23" s="8">
        <f>IF(OR(ISBLANK(Input!$X$4),$D$27=FALSE),NA(),('Reaction Information'!$J$13/10+'Reaction Information'!$K$13*100/(Calculations!$C$12+Calculations!$M23)+('Reaction Information'!$L$13+'Reaction Information'!$M$13*10^4/(Calculations!$C$12+Calculations!$M23))/(Calculations!$O23-Calculations!$C$13) -calculateOmega(Calculations!$M23,Calculations!$N23,Calculations!$Q23,'Reaction Information'!$C$13,'Reaction Information'!$P$13*10^5,'Reaction Information'!$Q$13)*Calculations!$U23*10^-6 + (1/$S23 - 1)*calculate_domegadP(Calculations!$M23,Calculations!$N23,Calculations!$Q23,'Reaction Information'!$C$13,'Reaction Information'!$P$13*10^5,'Reaction Information'!$Q$13,$D$20,$D$19=3))*41.84)</f>
        <v>32.1379251029825</v>
      </c>
      <c r="BN23" s="8" t="e">
        <f>IF(OR(ISBLANK(Input!$AA$4),$D$27=FALSE),NA(),('Reaction Information'!$J$17/10+'Reaction Information'!$K$17*100/(Calculations!$C$12+Calculations!$M23)+('Reaction Information'!$L$17+'Reaction Information'!$M$17*10000/(Calculations!$C$12+Calculations!$M23))/(Calculations!$O23-Calculations!$C$13)-calculateOmega(Calculations!M23,Calculations!N23,Calculations!Q23,'Reaction Information'!$C$17,'Reaction Information'!$P$17*10^5,'Reaction Information'!$Q$17)*Calculations!$U23*10^-6 + (1/$S23 - 1)*calculate_domegadP(Calculations!M23,Calculations!N23,Calculations!Q23,'Reaction Information'!$C$17,'Reaction Information'!$P$17*10^5,'Reaction Information'!$Q$17,$D$20,$D$19=3))*41.84)</f>
        <v>#N/A</v>
      </c>
      <c r="BO23" s="8" t="e">
        <f>IF(OR(ISBLANK(Input!$AD$4),$D$27=FALSE),NA(),('Reaction Information'!$J$21/10+'Reaction Information'!$K$21*100/(Calculations!$C$12+Calculations!$M23)+('Reaction Information'!$L$21+'Reaction Information'!$M$21*10000/(Calculations!$C$12+Calculations!$M23))/(Calculations!$O23-Calculations!$C$13)-calculateOmega(Calculations!M23,Calculations!N23,Calculations!Q23,'Reaction Information'!$C$21,'Reaction Information'!$P$21*10^5,'Reaction Information'!$Q$21)*Calculations!$U23*10^-6 + (1/$S23 - 1)*calculate_domegadP(Calculations!M23,Calculations!N23,Calculations!Q23,'Reaction Information'!$C$21,'Reaction Information'!$P$21*10^5,'Reaction Information'!$Q$21,$D$20,$D$19=3))*41.84)</f>
        <v>#N/A</v>
      </c>
      <c r="BP23" s="8" t="e">
        <f>IF(OR(ISBLANK(Input!$AG$4),$D$27=FALSE),NA(),('Reaction Information'!$J$25/10+'Reaction Information'!$K$25*100/(Calculations!$C$12+Calculations!$M23)+('Reaction Information'!$L$25+'Reaction Information'!$M$25*10000/(Calculations!$C$12+Calculations!$M23))/(Calculations!$O23-Calculations!$C$13)-calculateOmega(Calculations!M23,Calculations!N23,Calculations!Q23,'Reaction Information'!$C$25,'Reaction Information'!$P$25*10^5,'Reaction Information'!$Q$25)*Calculations!$U23*10^-6 + (1/$S23 - 1)*calculate_domegadP(Calculations!M23,Calculations!N23,Calculations!Q23,'Reaction Information'!$C$25,'Reaction Information'!$P$25*10^5,'Reaction Information'!$Q$25,$D$20,$D$19=3))*41.84)</f>
        <v>#N/A</v>
      </c>
      <c r="BQ23" s="8" t="e">
        <f>IF(OR(ISBLANK(Input!$AJ$4),$D$27=FALSE),NA(),('Reaction Information'!$J$29/10+'Reaction Information'!$K$29*100/(Calculations!$C$12+Calculations!$M23)+('Reaction Information'!$L$29+'Reaction Information'!$M$29*10000/(Calculations!$C$12+Calculations!$M23))/(Calculations!$O23-Calculations!$C$13)-calculateOmega(Calculations!M23,Calculations!N23,Calculations!Q23,'Reaction Information'!$C$29,'Reaction Information'!$P$29*10^5,'Reaction Information'!$Q$29)*Calculations!$U23*10^-6 + (1/$S23 - 1)*calculate_domegadP(Calculations!M23,Calculations!N23,Calculations!Q23,'Reaction Information'!$C$29,'Reaction Information'!$P$29*10^5,'Reaction Information'!$Q$29,$D$20,$D$19=3))*41.84)</f>
        <v>#N/A</v>
      </c>
      <c r="BR23" s="8" t="e">
        <f>IF(OR(ISBLANK(Input!$AM$4),$D$27=FALSE),NA(),('Reaction Information'!$J$33/10+'Reaction Information'!$K$33*100/(Calculations!$C$12+Calculations!$M23)+('Reaction Information'!$L$33+'Reaction Information'!$M$33*10000/(Calculations!$C$12+Calculations!$M23))/(Calculations!$O23-Calculations!$C$13)-calculateOmega(Calculations!M23,Calculations!N23,Calculations!Q23,'Reaction Information'!$C$33,'Reaction Information'!$P$33*10^5,'Reaction Information'!$Q$33)*Calculations!$U23*10^-6 + (1/$S23 - 1)*calculate_domegadP(Calculations!M23,Calculations!N23,Calculations!Q23,'Reaction Information'!$C$33,'Reaction Information'!$P$33*10^5,'Reaction Information'!$Q$33,$D$20,$D$19=3))*41.84)</f>
        <v>#N/A</v>
      </c>
      <c r="BS23" s="1">
        <f>Results!AW25</f>
        <v>0</v>
      </c>
      <c r="BT23" s="1">
        <f>Results!AX25</f>
        <v>0</v>
      </c>
      <c r="BU23" s="1">
        <f>Results!AY25</f>
        <v>0</v>
      </c>
      <c r="BV23" s="1">
        <f>Results!AZ25</f>
        <v>0</v>
      </c>
      <c r="BW23" s="1" t="e">
        <f>IF(OR(ISNA('Reaction Information'!$D$38), $N23 = "", $D$27 = FALSE, 'Reaction Information'!$D$38 = ""), NA(), 24.465)</f>
        <v>#N/A</v>
      </c>
      <c r="BX23" s="1" t="e">
        <f>IF(OR(ISNA('Reaction Information'!$D$42), $N23 = "", $D$27 = FALSE, 'Reaction Information'!$D$42 = ""), NA(), 24.465)</f>
        <v>#N/A</v>
      </c>
      <c r="BY23" s="8" t="e">
        <f t="shared" si="1"/>
        <v>#N/A</v>
      </c>
      <c r="BZ23" s="8">
        <f>IF(OR(ISBLANK(Input!$BK$4),$D$27=FALSE),NA(),('Reaction Information'!$J$46/10+'Reaction Information'!$K$46*100/(Calculations!$C$12+Calculations!$M23)+('Reaction Information'!$L$46+'Reaction Information'!$M$46*10000/(Calculations!$C$12+Calculations!$M23))/(Calculations!$O23-Calculations!$C$13)-calculateOmega(Calculations!M23,Calculations!N23,Calculations!Q23,'Reaction Information'!$C$46,'Reaction Information'!$P$46*10^5,'Reaction Information'!$Q$46)*Calculations!$U23*10^-6 + (1/$S23 - 1)*calculate_domegadP(Calculations!M23,Calculations!N23,Calculations!Q23,'Reaction Information'!$C$46,'Reaction Information'!$P$46*10^5,'Reaction Information'!$Q$46,$D$20,$D$19=3))*41.84)</f>
        <v>0</v>
      </c>
      <c r="CA23" s="8">
        <f>IF(OR(ISBLANK(Input!$BN$4),$D$27=FALSE),NA(),('Reaction Information'!$J$50/10+'Reaction Information'!$K$50*100/(Calculations!$C$12+Calculations!$M23)+('Reaction Information'!$L$50+'Reaction Information'!$M$50*10000/(Calculations!$C$12+Calculations!$M23))/(Calculations!$O23-Calculations!$C$13)-calculateOmega(Calculations!M23,Calculations!N23,Calculations!Q23,'Reaction Information'!$C$50,'Reaction Information'!$P$50*10^5,'Reaction Information'!$Q$50)*Calculations!$U23*10^-6 + (1/$S23 - 1)*calculate_domegadP(Calculations!M23,Calculations!N23,Calculations!Q23,'Reaction Information'!$C$50,'Reaction Information'!$P$50*10^5,'Reaction Information'!$Q$50,$D$20,$D$19=3))*41.84)</f>
        <v>28.704632102246617</v>
      </c>
      <c r="CB23" s="8" t="e">
        <f>IF(OR(ISBLANK(Input!$BQ$4),$D$27=FALSE),NA(),('Reaction Information'!$J$54/10+'Reaction Information'!$K$54*100/(Calculations!$C$12+Calculations!$M23)+('Reaction Information'!$L$54+'Reaction Information'!$M$54*10000/(Calculations!$C$12+Calculations!$M23))/(Calculations!$O23-Calculations!$C$13)-calculateOmega(Calculations!M23,Calculations!N23,Calculations!Q23,'Reaction Information'!$C$54,'Reaction Information'!$P$54*10^5,'Reaction Information'!$Q$54)*Calculations!$U23*10^-6 + (1/$S23 - 1)*calculate_domegadP(Calculations!M23,Calculations!N23,Calculations!Q23,'Reaction Information'!$C$54,'Reaction Information'!$P$54*10^5,'Reaction Information'!$Q$54,$D$20,$D$19=3))*41.84)</f>
        <v>#N/A</v>
      </c>
      <c r="CC23" s="8" t="e">
        <f>IF(OR(ISBLANK(Input!$BT$4),$D$27=FALSE),NA(),('Reaction Information'!$J$58/10+'Reaction Information'!$K$58*100/(Calculations!$C$12+Calculations!$M23)+('Reaction Information'!$L$58+'Reaction Information'!$M$58*10000/(Calculations!$C$12+Calculations!$M23))/(Calculations!$O23-Calculations!$C$13)-calculateOmega(Calculations!M23,Calculations!N23,Calculations!Q23,'Reaction Information'!$C$58,'Reaction Information'!$P$58*10^5,'Reaction Information'!$Q$58)*Calculations!$U23*10^-6 + (1/$S23 - 1)*calculate_domegadP(Calculations!M23,Calculations!N23,Calculations!Q23,'Reaction Information'!$C$58,'Reaction Information'!$P$58*10^5,'Reaction Information'!$Q$58,$D$20,$D$19=3))*41.84)</f>
        <v>#N/A</v>
      </c>
      <c r="CD23" s="8" t="e">
        <f>IF(OR(ISBLANK(Input!$BW$4),$D$27=FALSE),NA(),('Reaction Information'!$J$62/10+'Reaction Information'!$K$62*100/(Calculations!$C$12+Calculations!$M23)+('Reaction Information'!$L$62+'Reaction Information'!$M$62*10000/(Calculations!$C$12+Calculations!$M23))/(Calculations!$O23-Calculations!$C$13)-calculateOmega(Calculations!M23,Calculations!N23,Calculations!Q23,'Reaction Information'!$C$62,'Reaction Information'!$P$62*10^5,'Reaction Information'!$Q$62)*Calculations!$U23*10^-6 + (1/$S23 - 1)*calculate_domegadP(Calculations!M23,Calculations!N23,Calculations!Q23,'Reaction Information'!$C$62,'Reaction Information'!$P$62*10^5,'Reaction Information'!$Q$62,$D$20,$D$19=3))*41.84)</f>
        <v>#N/A</v>
      </c>
      <c r="CE23" s="8" t="e">
        <f>IF(OR(ISBLANK(Input!$BZ$4),$D$27=FALSE),NA(),('Reaction Information'!$J$66/10+'Reaction Information'!$K$66*100/(Calculations!$C$12+Calculations!$M23)+('Reaction Information'!$L$66+'Reaction Information'!$M$66*10000/(Calculations!$C$12+Calculations!$M23))/(Calculations!$O23-Calculations!$C$13)-calculateOmega(Calculations!M23,Calculations!N23,Calculations!Q23,'Reaction Information'!$C$66,'Reaction Information'!$P$66*10^5,'Reaction Information'!$Q$66)*Calculations!$U23*10^-6 + (1/$S23 - 1)*calculate_domegadP(Calculations!M23,Calculations!N23,Calculations!Q23,'Reaction Information'!$C$66,'Reaction Information'!$P$66*10^5,'Reaction Information'!$Q$66,$D$20,$D$19=3))*41.84)</f>
        <v>#N/A</v>
      </c>
      <c r="CF23" s="31">
        <f>(BS23*Input!$AO$4+BT23*Input!$AR$4+BU23*Input!$AU$4+BV23*Input!$AX$4+IF(ISNA(BW23),0,BW23*Input!$BA$4)+IF(ISNA(BX23),0,BX23*Input!$BD$4)+IF(ISNA(BY23),0,BY23*Input!$BG$4)+IF(ISNA(BZ23),0,BZ23*Input!$BJ$4)+IF(ISNA(CA23),0,CA23*Input!$BM$4)+IF(ISNA(CB23),0,CB23*Input!$BP$4)+IF(ISNA(CC23),0,CC23*Input!$BS$4)+IF(ISNA(CD23),0,CD23*Input!$BV$4)+IF(ISNA(CE23),0,CE23*Input!$BY$4))-(BF23*Input!$B$4+BG23*Input!$E$4+BH23*Input!$H$4+BI23*Input!$K$4+IF(ISNA(BJ23),0,BJ23*Input!$N$4)+IF(ISNA(BK23),0,BK23*Input!$Q$4)+IF(ISNA(BL23),0,BL23*Input!$T$4)+IF(ISNA(BM23),0,BM23*Input!$W$4)+IF(ISNA(BN23),0,BN23*Input!$Z$4)+IF(ISNA(BO23),0,BO23*Input!$AC$4)+IF(ISNA(BP23),0,BP23*Input!$AF$4)+IF(ISNA(BQ23),0,BQ23*Input!$AI$4)+IF(ISNA(BR23),0,BR23*Input!$AL$4))</f>
        <v>-20.513813184822471</v>
      </c>
      <c r="CG23" s="1">
        <f t="shared" si="12"/>
        <v>400</v>
      </c>
      <c r="CH23" s="46">
        <f t="shared" si="13"/>
        <v>10000</v>
      </c>
      <c r="CI23" s="1"/>
    </row>
    <row r="24" spans="1:87" x14ac:dyDescent="0.2">
      <c r="A24" s="1"/>
      <c r="B24" s="273" t="s">
        <v>591</v>
      </c>
      <c r="C24" s="273"/>
      <c r="D24" s="7">
        <v>2</v>
      </c>
      <c r="E24" s="1"/>
      <c r="F24" s="2">
        <v>19</v>
      </c>
      <c r="G24" s="1" t="str">
        <f>IF(ISBLANK(Input!CB24), "", Input!CB24*1000)</f>
        <v/>
      </c>
      <c r="H24" s="1" t="str">
        <f>IF(ISBLANK(Input!CC24), "", Input!CC24)</f>
        <v/>
      </c>
      <c r="I24" s="1">
        <f>IF(Input!$CF$5 + Input!$CF$6*(FLOOR((Calculations!$F24-1)/(FLOOR((Input!$CF$12-Input!$CF$10)/Input!$CF$11,1)+1),1)) &gt; Input!$CF$7, "", (Input!$CF$5 + Input!$CF$6*(FLOOR((Calculations!$F24-1)/(FLOOR((Input!$CF$12-Input!$CF$10)/Input!$CF$11,1)+1),1)))*1000)</f>
        <v>10000</v>
      </c>
      <c r="J24" s="1">
        <f>IF(Calculations!I24 = "", "", Input!$CF$10 + Input!$CF$11*(Calculations!$F24-1) - (FLOOR((Input!$CF$12-Input!$CF$10)/Input!$CF$11,1)+1)*Input!$CF$11*FLOOR((Calculations!$F24-1)/(FLOOR((Input!$CF$12-Input!$CF$10)/Input!$CF$11,1)+1),1))</f>
        <v>450</v>
      </c>
      <c r="K24" s="8" t="str">
        <f t="shared" si="14"/>
        <v/>
      </c>
      <c r="L24" s="117" t="str">
        <f>IF(OR(Input!$CJ$5 + Input!$CJ$6*(Calculations!F24-1) &gt; Input!$CJ$7, Input!$CJ$5 + Input!$CJ$6*(Calculations!F24-1) &gt; 350), "", Input!$CJ$5 + Input!$CJ$6*(Calculations!F24-1))</f>
        <v/>
      </c>
      <c r="M24" s="1">
        <f t="shared" si="2"/>
        <v>10000</v>
      </c>
      <c r="N24" s="1">
        <f t="shared" si="3"/>
        <v>450</v>
      </c>
      <c r="O24" s="1">
        <f t="shared" si="4"/>
        <v>723.15</v>
      </c>
      <c r="P24" s="1" t="e">
        <f>IF(OR($D$20=3,AND($D$21=TRUE,M24&lt;1000)),INDEX('Water Density'!$C$6:$CX$120,MATCH(Calculations!N24,'Water Density'!$B$6:$B$120),MATCH(Calculations!M24/1000,'Water Density'!$C$5:$CX$5)),NA())</f>
        <v>#N/A</v>
      </c>
      <c r="Q24" s="182">
        <f>IF(OR($D$20=3,AND($D$21=TRUE,M24&lt;1000)), IF(P24&lt;&gt;0,P24,NA()), calculateDensity(M24,N24,$D$20,0.01,$D$19 = 3))</f>
        <v>1.030797278697491</v>
      </c>
      <c r="R24" s="1" t="e">
        <f>IF($D$22=5,INDEX('Dielectric Constant'!$C$6:$CX$120,MATCH(Calculations!N24,'Dielectric Constant'!$B$6:$B$120),MATCH(Calculations!M24/1000,'Dielectric Constant'!$C$5:$CX$5)),NA())</f>
        <v>#N/A</v>
      </c>
      <c r="S24" s="58">
        <f>IF($D$22=5, IF(R24&lt;&gt;0,R24,NA()), IF(AND($D$23,M24&lt;=5000,$D$19 &lt;&gt; 3),calculateEpsilon(Q24,N24,1,FALSE),calculateEpsilon(Q24,N24,$D$22,$D$19 = 3)))</f>
        <v>27.096612620129811</v>
      </c>
      <c r="T24" s="1" t="e">
        <f>IF($D$24=3,INDEX('Water Free Energy'!$C$6:$CX$120,MATCH(Calculations!N24,'Water Free Energy'!$B$6:$B$120),MATCH(Calculations!M24/1000,'Water Free Energy'!$C$5:$CX$5)),NA())</f>
        <v>#N/A</v>
      </c>
      <c r="U24" s="179">
        <f>IF($D$27,calculateQ(M24,N24,Q24,$D$20,$D$22,$D$19=3)*10^6,NA())</f>
        <v>0.76400057423574963</v>
      </c>
      <c r="V24"/>
      <c r="W24" s="2">
        <f t="shared" si="5"/>
        <v>10000</v>
      </c>
      <c r="X24" s="1">
        <f t="shared" si="6"/>
        <v>450</v>
      </c>
      <c r="Y24" s="1">
        <f>Results!F26</f>
        <v>0</v>
      </c>
      <c r="Z24" s="1">
        <f>Results!G26</f>
        <v>0</v>
      </c>
      <c r="AA24" s="1">
        <f>Results!H26</f>
        <v>0</v>
      </c>
      <c r="AB24" s="1">
        <f>Results!I26</f>
        <v>0</v>
      </c>
      <c r="AC24" s="1" t="e">
        <f>IF(ISBLANK(Input!$O$4),NA(),'Reaction Information'!$E$5-'Reaction Information'!$G$5*(Calculations!$O24-Calculations!$C$8)+'Reaction Information'!$I$5*(Calculations!$O24-Calculations!$C$8-Calculations!$O24*LN(Calculations!$O24/Calculations!$C$8))+'Reaction Information'!$J$5*0.001/2*(2*Calculations!$O24*Calculations!$C$8-Calculations!$O24^2-Calculations!$C$8^2) + 'Reaction Information'!$K$5*100000*(Calculations!$O24^2 + Calculations!$C$8^2 - 2*Calculations!$O24*Calculations!$C$8)/(2*Calculations!$O24*Calculations!$C$8^2))</f>
        <v>#N/A</v>
      </c>
      <c r="AD24" s="8" t="e">
        <f>IF(ISBLANK(Input!$R$4),NA(),'Reaction Information'!$E$9-'Reaction Information'!$G$9*(Calculations!$O24-Calculations!$C$8)+'Reaction Information'!$I$9*(Calculations!$O24-Calculations!$C$8-Calculations!$O24*LN(Calculations!$O24/Calculations!$C$8))+'Reaction Information'!$J$9*0.001/2*(2*Calculations!$O24*Calculations!$C$8-Calculations!$O24^2-Calculations!$C$8^2) + 'Reaction Information'!$K$9*100000*(Calculations!$O24^2 + Calculations!$C$8^2 - 2*Calculations!$O24*Calculations!$C$8)/(2*Calculations!$O24*Calculations!$C$8^2))</f>
        <v>#N/A</v>
      </c>
      <c r="AE24" s="8">
        <f>IF(AE$5="H2O",IF($D$24=3,IF(T24=0,NA(),T24),calculateGibbsOfWater(M24,N24,$D$24,$D$20,$D$19=3)),NA())</f>
        <v>-62730.849947091207</v>
      </c>
      <c r="AF24" s="8">
        <f>IF(ISBLANK(Input!$X$4),NA(),'Reaction Information'!$E$13-'Reaction Information'!$G$13*(Calculations!O24-Calculations!$C$8)-'Reaction Information'!$N$13*(Calculations!O24*LN(Calculations!O24/Calculations!$C$8)-Calculations!O24+Calculations!$C$8)-'Reaction Information'!$O$13*10^4*(((1/(Calculations!O24-Calculations!$C$13))-(1/(Calculations!$C$8-Calculations!$C$13)))*((Calculations!$C$13-Calculations!O24)/(Calculations!$C$13))-(Calculations!O24/(Calculations!$C$13*Calculations!$C$13))*LN((Calculations!$C$8*(Calculations!O24-Calculations!$C$13))/(Calculations!O24*(Calculations!$C$8-Calculations!$C$13))))+'Reaction Information'!$J$13*10^-1*(Calculations!M24-Calculations!$C$9)+'Reaction Information'!$K$13*10^2*LN((Calculations!$C$12+Calculations!M24)/(Calculations!$C$12+Calculations!$C$9))+(1/(Calculations!O24-Calculations!$C$13))*('Reaction Information'!$L$13*(Calculations!M24-Calculations!$C$9)+'Reaction Information'!$M$13*10^4*LN((Calculations!$C$12+Calculations!M24)/(Calculations!$C$12+Calculations!$C$9)))+calculateOmega(Calculations!M24,Calculations!N24,Calculations!Q24,'Reaction Information'!$C$13,'Reaction Information'!$P$13*10^5,'Reaction Information'!$Q$13)*((1/Calculations!S24)-1)-'Reaction Information'!$P$13*10^5*((1/Calculations!$C$10)-1)+'Reaction Information'!$P$13*10^5*Calculations!$C$14*(Calculations!O24-Calculations!$C$8))</f>
        <v>-102002.30795268684</v>
      </c>
      <c r="AG24" s="8" t="e">
        <f>IF(ISBLANK(Input!$AA$4),NA(),'Reaction Information'!$E$17-'Reaction Information'!$G$17*(Calculations!$O24-Calculations!$C$8)-'Reaction Information'!$N$17*(Calculations!$O24*LN(Calculations!$O24/Calculations!$C$8)-Calculations!$O24+Calculations!$C$8)-'Reaction Information'!$O$17*10^4*(((1/(Calculations!$O24-Calculations!$C$13))-(1/(Calculations!$C$8-Calculations!$C$13)))*((Calculations!$C$13-Calculations!$O24)/(Calculations!$C$13))-(Calculations!$O24/(Calculations!$C$13*Calculations!$C$13))*LN((Calculations!$C$8*(Calculations!$O24-Calculations!$C$13))/(Calculations!$O24*(Calculations!$C$8-Calculations!$C$13))))+'Reaction Information'!$J$17*10^-1*(Calculations!$M24-Calculations!$C$9)+'Reaction Information'!$K$17*10^2*LN((Calculations!$C$12+Calculations!$M24)/(Calculations!$C$12+Calculations!$C$9))+(1/(Calculations!$O24-Calculations!$C$13))*('Reaction Information'!$L$17*(Calculations!$M24-Calculations!$C$9)+'Reaction Information'!$M$17*10^4*LN((Calculations!$C$12+Calculations!$M24)/(Calculations!$C$12+Calculations!$C$9)))+calculateOmega(Calculations!M24,Calculations!N24,Calculations!Q24,'Reaction Information'!$C$17,'Reaction Information'!$P$17*10^5,'Reaction Information'!$Q$17)*((1/Calculations!$S24)-1)-'Reaction Information'!$P$17*10^5*((1/Calculations!$C$10)-1)+'Reaction Information'!$P$17*10^5*Calculations!$C$14*(Calculations!$O24-Calculations!$C$8))</f>
        <v>#N/A</v>
      </c>
      <c r="AH24" s="8" t="e">
        <f>IF(ISBLANK(Input!$AD$4),NA(),'Reaction Information'!$E$21-'Reaction Information'!$G$21*(Calculations!$O24-Calculations!$C$8)-'Reaction Information'!$N$21*(Calculations!$O24*LN(Calculations!$O24/Calculations!$C$8)-Calculations!$O24+Calculations!$C$8)-'Reaction Information'!$O$21*10^4*(((1/(Calculations!$O24-Calculations!$C$13))-(1/(Calculations!$C$8-Calculations!$C$13)))*((Calculations!$C$13-Calculations!$O24)/(Calculations!$C$13))-(Calculations!$O24/(Calculations!$C$13*Calculations!$C$13))*LN((Calculations!$C$8*(Calculations!$O24-Calculations!$C$13))/(Calculations!$O24*(Calculations!$C$8-Calculations!$C$13))))+'Reaction Information'!$J$21*10^-1*(Calculations!$M24-Calculations!$C$9)+'Reaction Information'!$K$21*10^2*LN((Calculations!$C$12+Calculations!$M24)/(Calculations!$C$12+Calculations!$C$9))+(1/(Calculations!$O24-Calculations!$C$13))*('Reaction Information'!$L$21*(Calculations!$M24-Calculations!$C$9)+'Reaction Information'!$M$21*10^4*LN((Calculations!$C$12+Calculations!$M24)/(Calculations!$C$12+Calculations!$C$9)))+calculateOmega(Calculations!M24,Calculations!N24,Calculations!Q24,'Reaction Information'!$C$21,'Reaction Information'!$P$21*10^5,'Reaction Information'!$Q$21)*((1/Calculations!$S24)-1)-'Reaction Information'!$P$21*10^5*((1/Calculations!$C$10)-1)+'Reaction Information'!$P$21*10^5*Calculations!$C$14*(Calculations!$O24-Calculations!$C$8))</f>
        <v>#N/A</v>
      </c>
      <c r="AI24" s="8" t="e">
        <f>IF(ISBLANK(Input!$AG$4),NA(),'Reaction Information'!$E$25-'Reaction Information'!$G$25*(Calculations!$O24-Calculations!$C$8)-'Reaction Information'!$N$25*(Calculations!$O24*LN(Calculations!$O24/Calculations!$C$8)-Calculations!$O24+Calculations!$C$8)-'Reaction Information'!$O$25*10^4*(((1/(Calculations!$O24-Calculations!$C$13))-(1/(Calculations!$C$8-Calculations!$C$13)))*((Calculations!$C$13-Calculations!$O24)/(Calculations!$C$13))-(Calculations!$O24/(Calculations!$C$13*Calculations!$C$13))*LN((Calculations!$C$8*(Calculations!$O24-Calculations!$C$13))/(Calculations!$O24*(Calculations!$C$8-Calculations!$C$13))))+'Reaction Information'!$J$25*10^-1*(Calculations!$M24-Calculations!$C$9)+'Reaction Information'!$K$25*10^2*LN((Calculations!$C$12+Calculations!$M24)/(Calculations!$C$12+Calculations!$C$9))+(1/(Calculations!$O24-Calculations!$C$13))*('Reaction Information'!$L$25*(Calculations!$M24-Calculations!$C$9)+'Reaction Information'!$M$25*10^4*LN((Calculations!$C$12+Calculations!$M24)/(Calculations!$C$12+Calculations!$C$9)))+calculateOmega(Calculations!M24,Calculations!N24,Calculations!Q24,'Reaction Information'!$C$25,'Reaction Information'!$P$25*10^5,'Reaction Information'!$Q$25)*((1/Calculations!$S24)-1)-'Reaction Information'!$P$25*10^5*((1/Calculations!$C$10)-1)+'Reaction Information'!$P$25*10^5*Calculations!$C$14*(Calculations!$O24-Calculations!$C$8))</f>
        <v>#N/A</v>
      </c>
      <c r="AJ24" s="8" t="e">
        <f>IF(ISBLANK(Input!$AJ$4),NA(),'Reaction Information'!$E$29-'Reaction Information'!$G$29*(Calculations!$O24-Calculations!$C$8)-'Reaction Information'!$N$29*(Calculations!$O24*LN(Calculations!$O24/Calculations!$C$8)-Calculations!$O24+Calculations!$C$8)-'Reaction Information'!$O$29*10^4*(((1/(Calculations!$O24-Calculations!$C$13))-(1/(Calculations!$C$8-Calculations!$C$13)))*((Calculations!$C$13-Calculations!$O24)/(Calculations!$C$13))-(Calculations!$O24/(Calculations!$C$13*Calculations!$C$13))*LN((Calculations!$C$8*(Calculations!$O24-Calculations!$C$13))/(Calculations!$O24*(Calculations!$C$8-Calculations!$C$13))))+'Reaction Information'!$J$29*10^-1*(Calculations!$M24-Calculations!$C$9)+'Reaction Information'!$K$29*10^2*LN((Calculations!$C$12+Calculations!$M24)/(Calculations!$C$12+Calculations!$C$9))+(1/(Calculations!$O24-Calculations!$C$13))*('Reaction Information'!$L$29*(Calculations!$M24-Calculations!$C$9)+'Reaction Information'!$M$29*10^4*LN((Calculations!$C$12+Calculations!$M24)/(Calculations!$C$12+Calculations!$C$9)))+calculateOmega(Calculations!M24,Calculations!N24,Calculations!Q24,'Reaction Information'!$C$29,'Reaction Information'!$P$29*10^5,'Reaction Information'!$Q$29)*((1/Calculations!$S24)-1)-'Reaction Information'!$P$29*10^5*((1/Calculations!$C$10)-1)+'Reaction Information'!$P$29*10^5*Calculations!$C$14*(Calculations!$O24-Calculations!$C$8))</f>
        <v>#N/A</v>
      </c>
      <c r="AK24" s="8" t="e">
        <f>IF(ISBLANK(Input!$AM$4),NA(),'Reaction Information'!$E$33-'Reaction Information'!$G$33*(Calculations!$O24-Calculations!$C$8)-'Reaction Information'!$N$33*(Calculations!$O24*LN(Calculations!$O24/Calculations!$C$8)-Calculations!$O24+Calculations!$C$8)-'Reaction Information'!$O$33*10^4*(((1/(Calculations!$O24-Calculations!$C$13))-(1/(Calculations!$C$8-Calculations!$C$13)))*((Calculations!$C$13-Calculations!$O24)/(Calculations!$C$13))-(Calculations!$O24/(Calculations!$C$13*Calculations!$C$13))*LN((Calculations!$C$8*(Calculations!$O24-Calculations!$C$13))/(Calculations!$O24*(Calculations!$C$8-Calculations!$C$13))))+'Reaction Information'!$J$33*10^-1*(Calculations!$M24-Calculations!$C$9)+'Reaction Information'!$K$33*10^2*LN((Calculations!$C$12+Calculations!$M24)/(Calculations!$C$12+Calculations!$C$9))+(1/(Calculations!$O24-Calculations!$C$13))*('Reaction Information'!$L$33*(Calculations!$M24-Calculations!$C$9)+'Reaction Information'!$M$33*10^4*LN((Calculations!$C$12+Calculations!$M24)/(Calculations!$C$12+Calculations!$C$9)))+calculateOmega(Calculations!M24,Calculations!N24,Calculations!Q24,'Reaction Information'!$C$33,'Reaction Information'!$P$33*10^5,'Reaction Information'!$Q$33)*((1/Calculations!$S24)-1)-'Reaction Information'!$P$33*10^5*((1/Calculations!$C$10)-1)+'Reaction Information'!$P$33*10^5*Calculations!$C$14*(Calculations!$O24-Calculations!$C$8))</f>
        <v>#N/A</v>
      </c>
      <c r="AL24" s="1">
        <f>Results!S26</f>
        <v>0</v>
      </c>
      <c r="AM24" s="1">
        <f>Results!T26</f>
        <v>0</v>
      </c>
      <c r="AN24" s="1">
        <f>Results!U26</f>
        <v>0</v>
      </c>
      <c r="AO24" s="1">
        <f>Results!V26</f>
        <v>0</v>
      </c>
      <c r="AP24" s="8" t="e">
        <f>IF(ISBLANK(Input!$BB$4),NA(),'Reaction Information'!$E$38-'Reaction Information'!$G$38*(Calculations!$O24-Calculations!$C$8)+'Reaction Information'!$I$38*(Calculations!$O24-Calculations!$C$8-Calculations!$O24*LN(Calculations!$O24/Calculations!$C$8))+'Reaction Information'!$J$38*0.001/2*(2*Calculations!$O24*Calculations!$C$8-Calculations!$O24^2-Calculations!$C$8^2) + 'Reaction Information'!$K$38*100000*(Calculations!$O24^2 + Calculations!$C$8^2 - 2*Calculations!$O24*Calculations!$C$8)/(2*Calculations!$O24*Calculations!$C$8^2))</f>
        <v>#N/A</v>
      </c>
      <c r="AQ24" s="8" t="e">
        <f>IF(ISBLANK(Input!$BE$4),NA(),'Reaction Information'!$E$42-'Reaction Information'!$G$42*(Calculations!$O24-Calculations!$C$8)+'Reaction Information'!$I$42*(Calculations!$O24-Calculations!$C$8-Calculations!$O24*LN(Calculations!$O24/Calculations!$C$8))+'Reaction Information'!$J$42*0.001/2*(2*Calculations!$O24*Calculations!$C$8-Calculations!$O24^2-Calculations!$C$8^2) + 'Reaction Information'!$K$42*100000*(Calculations!$O24^2 + Calculations!$C$8^2 - 2*Calculations!$O24*Calculations!$C$8)/(2*Calculations!$O24*Calculations!$C$8^2))</f>
        <v>#N/A</v>
      </c>
      <c r="AR24" s="8" t="e">
        <f>IF(AR$5="H2O", IF($D$24=3,IF(T24=0,NA(),T24),calculateGibbsOfWater(M24,N24,$D$24,$D$20,$D$19=3)),NA())</f>
        <v>#N/A</v>
      </c>
      <c r="AS24" s="8">
        <f>IF(ISBLANK(Input!$BK$4),NA(),'Reaction Information'!$E$46-'Reaction Information'!$G$46*(Calculations!O24-Calculations!$C$8)-'Reaction Information'!$N$46*(Calculations!O24*LN(Calculations!O24/Calculations!$C$8)-Calculations!O24+Calculations!$C$8)-'Reaction Information'!$O$46*10^4*(((1/(Calculations!O24-Calculations!$C$13))-(1/(Calculations!$C$8-Calculations!$C$13)))*((Calculations!$C$13-Calculations!O24)/(Calculations!$C$13))-(Calculations!O24/(Calculations!$C$13*Calculations!$C$13))*LN((Calculations!$C$8*(Calculations!O24-Calculations!$C$13))/(Calculations!O24*(Calculations!$C$8-Calculations!$C$13))))+'Reaction Information'!$J$46*10^-1*(Calculations!$M24-Calculations!$C$9)+'Reaction Information'!$K$46*10^2*LN((Calculations!$C$12+Calculations!$M24)/(Calculations!$C$12+Calculations!$C$9))+(1/(Calculations!O24-Calculations!$C$13))*('Reaction Information'!$L$46*(Calculations!$M24-Calculations!$C$9)+'Reaction Information'!$M$46*10^4*LN((Calculations!$C$12+Calculations!$M24)/(Calculations!$C$12+Calculations!$C$9)))+calculateOmega(Calculations!M24,Calculations!N24,Calculations!Q24,'Reaction Information'!$C$46,'Reaction Information'!$P$46*10^5,'Reaction Information'!$Q$46)*((1/Calculations!S24)-1)-'Reaction Information'!$P$46*10^5*((1/Calculations!$C$10)-1)+'Reaction Information'!$P$46*10^5*Calculations!$C$14*(Calculations!O24-Calculations!$C$8))</f>
        <v>0</v>
      </c>
      <c r="AT24" s="8">
        <f>IF(ISBLANK(Input!$BN$4),NA(),'Reaction Information'!$E$50-'Reaction Information'!$G$50*(Calculations!O24-Calculations!$C$8)-'Reaction Information'!$N$50*(Calculations!O24*LN(Calculations!O24/Calculations!$C$8)-Calculations!O24+Calculations!$C$8)-'Reaction Information'!$O$50*10^4*(((1/(Calculations!O24-Calculations!$C$13))-(1/(Calculations!$C$8-Calculations!$C$13)))*((Calculations!$C$13-Calculations!O24)/(Calculations!$C$13))-(Calculations!O24/(Calculations!$C$13*Calculations!$C$13))*LN((Calculations!$C$8*(Calculations!O24-Calculations!$C$13))/(Calculations!O24*(Calculations!$C$8-Calculations!$C$13))))+'Reaction Information'!$J$50*10^-1*(Calculations!$M24-Calculations!$C$9)+'Reaction Information'!$K$50*10^2*LN((Calculations!$C$12+Calculations!$M24)/(Calculations!$C$12+Calculations!$C$9))+(1/(Calculations!O24-Calculations!$C$13))*('Reaction Information'!$L$50*(Calculations!$M24-Calculations!$C$9)+'Reaction Information'!$M$50*10^4*LN((Calculations!$C$12+Calculations!$M24)/(Calculations!$C$12+Calculations!$C$9)))+calculateOmega(Calculations!M24,Calculations!N24,Calculations!Q24,'Reaction Information'!$C$50,'Reaction Information'!$P$50*10^5,'Reaction Information'!$Q$50)*((1/Calculations!S24)-1)-'Reaction Information'!$P$50*10^5*((1/Calculations!$C$10)-1)+'Reaction Information'!$P$50*10^5*Calculations!$C$14*(Calculations!O24-Calculations!$C$8))</f>
        <v>-144555.01196076334</v>
      </c>
      <c r="AU24" s="8" t="e">
        <f>IF(ISBLANK(Input!$BQ$4),NA(),'Reaction Information'!$E$54-'Reaction Information'!$G$54*(Calculations!$O24-Calculations!$C$8)-'Reaction Information'!$N$54*(Calculations!$O24*LN(Calculations!$O24/Calculations!$C$8)-Calculations!$O24+Calculations!$C$8)-'Reaction Information'!$O$54*10^4*(((1/(Calculations!$O24-Calculations!$C$13))-(1/(Calculations!$C$8-Calculations!$C$13)))*((Calculations!$C$13-Calculations!$O24)/(Calculations!$C$13))-(Calculations!$O24/(Calculations!$C$13*Calculations!$C$13))*LN((Calculations!$C$8*(Calculations!$O24-Calculations!$C$13))/(Calculations!$O24*(Calculations!$C$8-Calculations!$C$13))))+'Reaction Information'!$J$54*10^-1*(Calculations!$M24-Calculations!$C$9)+'Reaction Information'!$K$54*10^2*LN((Calculations!$C$12+Calculations!$M24)/(Calculations!$C$12+Calculations!$C$9))+(1/(Calculations!$O24-Calculations!$C$13))*('Reaction Information'!$L$54*(Calculations!$M24-Calculations!$C$9)+'Reaction Information'!$M$54*10^4*LN((Calculations!$C$12+Calculations!$M24)/(Calculations!$C$12+Calculations!$C$9)))+calculateOmega(Calculations!M24,Calculations!N24,Calculations!Q24,'Reaction Information'!$C$54,'Reaction Information'!$P$54*10^5,'Reaction Information'!$Q$54)*((1/Calculations!$S24)-1)-'Reaction Information'!$P$54*10^5*((1/Calculations!$C$10)-1)+'Reaction Information'!$P$54*10^5*Calculations!$C$14*(Calculations!$O24-Calculations!$C$8))</f>
        <v>#N/A</v>
      </c>
      <c r="AV24" s="8" t="e">
        <f>IF(ISBLANK(Input!$BT$4),NA(),'Reaction Information'!$E$58-'Reaction Information'!$G$58*(Calculations!$O24-Calculations!$C$8)-'Reaction Information'!$N$58*(Calculations!$O24*LN(Calculations!$O24/Calculations!$C$8)-Calculations!$O24+Calculations!$C$8)-'Reaction Information'!$O$58*10^4*(((1/(Calculations!$O24-Calculations!$C$13))-(1/(Calculations!$C$8-Calculations!$C$13)))*((Calculations!$C$13-Calculations!$O24)/(Calculations!$C$13))-(Calculations!$O24/(Calculations!$C$13*Calculations!$C$13))*LN((Calculations!$C$8*(Calculations!$O24-Calculations!$C$13))/(Calculations!$O24*(Calculations!$C$8-Calculations!$C$13))))+'Reaction Information'!$J$58*10^-1*(Calculations!$M24-Calculations!$C$9)+'Reaction Information'!$K$58*10^2*LN((Calculations!$C$12+Calculations!$M24)/(Calculations!$C$12+Calculations!$C$9))+(1/(Calculations!$O24-Calculations!$C$13))*('Reaction Information'!$L$58*(Calculations!$M24-Calculations!$C$9)+'Reaction Information'!$M$58*10^4*LN((Calculations!$C$12+Calculations!$M24)/(Calculations!$C$12+Calculations!$C$9)))+calculateOmega(Calculations!M24,Calculations!N24,Calculations!Q24,'Reaction Information'!$C$58,'Reaction Information'!$P$58*10^5,'Reaction Information'!$Q$58)*((1/Calculations!$S24)-1)-'Reaction Information'!$P$58*10^5*((1/Calculations!$C$10)-1)+'Reaction Information'!$P$58*10^5*Calculations!$C$14*(Calculations!$O24-Calculations!$C$8))</f>
        <v>#N/A</v>
      </c>
      <c r="AW24" s="8" t="e">
        <f>IF(ISBLANK(Input!$BW$4),NA(),'Reaction Information'!$E$62-'Reaction Information'!$G$62*(Calculations!$O24-Calculations!$C$8)-'Reaction Information'!$N$62*(Calculations!$O24*LN(Calculations!$O24/Calculations!$C$8)-Calculations!$O24+Calculations!$C$8)-'Reaction Information'!$O$62*10^4*(((1/(Calculations!$O24-Calculations!$C$13))-(1/(Calculations!$C$8-Calculations!$C$13)))*((Calculations!$C$13-Calculations!$O24)/(Calculations!$C$13))-(Calculations!$O24/(Calculations!$C$13*Calculations!$C$13))*LN((Calculations!$C$8*(Calculations!$O24-Calculations!$C$13))/(Calculations!$O24*(Calculations!$C$8-Calculations!$C$13))))+'Reaction Information'!$J$62*10^-1*(Calculations!$M24-Calculations!$C$9)+'Reaction Information'!$K$62*10^2*LN((Calculations!$C$12+Calculations!$M24)/(Calculations!$C$12+Calculations!$C$9))+(1/(Calculations!$O24-Calculations!$C$13))*('Reaction Information'!$L$62*(Calculations!$M24-Calculations!$C$9)+'Reaction Information'!$M$62*10^4*LN((Calculations!$C$12+Calculations!$M24)/(Calculations!$C$12+Calculations!$C$9)))+calculateOmega(Calculations!M24,Calculations!N24,Calculations!Q24,'Reaction Information'!$C$62,'Reaction Information'!$P$62*10^5,'Reaction Information'!$Q$62)*((1/Calculations!$S24)-1)-'Reaction Information'!$P$62*10^5*((1/Calculations!$C$10)-1)+'Reaction Information'!$P$62*10^5*Calculations!$C$14*(Calculations!$O24-Calculations!$C$8))</f>
        <v>#N/A</v>
      </c>
      <c r="AX24" s="8" t="e">
        <f>IF(ISBLANK(Input!$BZ$4),NA(),'Reaction Information'!$E$66-'Reaction Information'!$G$66*(Calculations!$O24-Calculations!$C$8)-'Reaction Information'!$N$66*(Calculations!$O24*LN(Calculations!$O24/Calculations!$C$8)-Calculations!$O24+Calculations!$C$8)-'Reaction Information'!$O$66*10^4*(((1/(Calculations!$O24-Calculations!$C$13))-(1/(Calculations!$C$8-Calculations!$C$13)))*((Calculations!$C$13-Calculations!$O24)/(Calculations!$C$13))-(Calculations!$O24/(Calculations!$C$13*Calculations!$C$13))*LN((Calculations!$C$8*(Calculations!$O24-Calculations!$C$13))/(Calculations!$O24*(Calculations!$C$8-Calculations!$C$13))))+'Reaction Information'!$J$66*10^-1*(Calculations!$M24-Calculations!$C$9)+'Reaction Information'!$K$66*10^2*LN((Calculations!$C$12+Calculations!$M24)/(Calculations!$C$12+Calculations!$C$9))+(1/(Calculations!$O24-Calculations!$C$13))*('Reaction Information'!$L$66*(Calculations!$M24-Calculations!$C$9)+'Reaction Information'!$M$66*10^4*LN((Calculations!$C$12+Calculations!$M24)/(Calculations!$C$12+Calculations!$C$9)))+calculateOmega(Calculations!M24,Calculations!N24,Calculations!Q24,'Reaction Information'!$C$66,'Reaction Information'!$P$66*10^5,'Reaction Information'!$Q$66)*((1/Calculations!$S24)-1)-'Reaction Information'!$P$66*10^5*((1/Calculations!$C$10)-1)+'Reaction Information'!$P$66*10^5*Calculations!$C$14*(Calculations!$O24-Calculations!$C$8))</f>
        <v>#N/A</v>
      </c>
      <c r="AY24" s="31">
        <f>(AL24*Input!$AO$4+AM24*Input!$AR$4+AN24*Input!$AU$4+AO24*Input!$AX$4+IF(ISNA(AP24),0,AP24*Input!$BA$4)+IF(ISNA(AQ24),0,AQ24*Input!$BD$4)+IF(ISNA(AR24),0,AR24*Input!$BG$4)+IF(ISNA(AS24),0,AS24*Input!$BJ$4)+IF(ISNA(AT24),0,AT24*Input!$BM$4)+IF(ISNA(AU24),0,AU24*Input!$BP$4)+IF(ISNA(AV24),0,AV24*Input!$BS$4)+IF(ISNA(AW24),0,AW24*Input!$BV$4)+IF(ISNA(AX24),0,AX24*Input!$BY$4))-(Y24*Input!$B$4+Z24*Input!$E$4+AA24*Input!$H$4+AB24*Input!$K$4+IF(ISNA(AC24),0,AC24*Input!$N$4)+IF(ISNA(AD24),0,AD24*Input!$Q$4)+IF(ISNA(AE24),0,AE24*Input!$T$4)+IF(ISNA(AF24),0,AF24*Input!$W$4)+IF(ISNA(AG24),0,AG24*Input!$Z$4)+IF(ISNA(AH24),0,AH24*Input!$AC$4)+IF(ISNA(AI24),0,AI24*Input!$AF$4)+IF(ISNA(AJ24),0,AJ24*Input!$AI$4)+IF(ISNA(AK24),0,AK24*Input!$AL$4))</f>
        <v>20178.145939014707</v>
      </c>
      <c r="AZ24" s="42">
        <f t="shared" si="7"/>
        <v>-6.1021761727711858</v>
      </c>
      <c r="BA24" s="1">
        <f t="shared" si="8"/>
        <v>450</v>
      </c>
      <c r="BB24" s="46">
        <f t="shared" si="9"/>
        <v>10000</v>
      </c>
      <c r="BC24" s="1"/>
      <c r="BD24" s="2">
        <f t="shared" si="10"/>
        <v>10000</v>
      </c>
      <c r="BE24" s="46">
        <f t="shared" si="11"/>
        <v>450</v>
      </c>
      <c r="BF24" s="1">
        <f>Results!AJ26</f>
        <v>0</v>
      </c>
      <c r="BG24" s="1">
        <f>Results!AK26</f>
        <v>0</v>
      </c>
      <c r="BH24" s="1">
        <f>Results!AL26</f>
        <v>0</v>
      </c>
      <c r="BI24" s="1">
        <f>Results!AM26</f>
        <v>0</v>
      </c>
      <c r="BJ24" s="1" t="e">
        <f>IF(OR(ISNA('Reaction Information'!$D$5), $N24 = "", $D$27 = FALSE, 'Reaction Information'!$D$5 = ""), NA(), 24.465)</f>
        <v>#N/A</v>
      </c>
      <c r="BK24" s="1" t="e">
        <f>IF(OR(ISNA('Reaction Information'!$D$9), $N24 = "", $D$27 = FALSE, 'Reaction Information'!$D$9 = ""), NA(), 24.465)</f>
        <v>#N/A</v>
      </c>
      <c r="BL24" s="8">
        <f t="shared" si="0"/>
        <v>17.477034885815758</v>
      </c>
      <c r="BM24" s="8">
        <f>IF(OR(ISBLANK(Input!$X$4),$D$27=FALSE),NA(),('Reaction Information'!$J$13/10+'Reaction Information'!$K$13*100/(Calculations!$C$12+Calculations!$M24)+('Reaction Information'!$L$13+'Reaction Information'!$M$13*10^4/(Calculations!$C$12+Calculations!$M24))/(Calculations!$O24-Calculations!$C$13) -calculateOmega(Calculations!$M24,Calculations!$N24,Calculations!$Q24,'Reaction Information'!$C$13,'Reaction Information'!$P$13*10^5,'Reaction Information'!$Q$13)*Calculations!$U24*10^-6 + (1/$S24 - 1)*calculate_domegadP(Calculations!$M24,Calculations!$N24,Calculations!$Q24,'Reaction Information'!$C$13,'Reaction Information'!$P$13*10^5,'Reaction Information'!$Q$13,$D$20,$D$19=3))*41.84)</f>
        <v>32.519181477885162</v>
      </c>
      <c r="BN24" s="8" t="e">
        <f>IF(OR(ISBLANK(Input!$AA$4),$D$27=FALSE),NA(),('Reaction Information'!$J$17/10+'Reaction Information'!$K$17*100/(Calculations!$C$12+Calculations!$M24)+('Reaction Information'!$L$17+'Reaction Information'!$M$17*10000/(Calculations!$C$12+Calculations!$M24))/(Calculations!$O24-Calculations!$C$13)-calculateOmega(Calculations!M24,Calculations!N24,Calculations!Q24,'Reaction Information'!$C$17,'Reaction Information'!$P$17*10^5,'Reaction Information'!$Q$17)*Calculations!$U24*10^-6 + (1/$S24 - 1)*calculate_domegadP(Calculations!M24,Calculations!N24,Calculations!Q24,'Reaction Information'!$C$17,'Reaction Information'!$P$17*10^5,'Reaction Information'!$Q$17,$D$20,$D$19=3))*41.84)</f>
        <v>#N/A</v>
      </c>
      <c r="BO24" s="8" t="e">
        <f>IF(OR(ISBLANK(Input!$AD$4),$D$27=FALSE),NA(),('Reaction Information'!$J$21/10+'Reaction Information'!$K$21*100/(Calculations!$C$12+Calculations!$M24)+('Reaction Information'!$L$21+'Reaction Information'!$M$21*10000/(Calculations!$C$12+Calculations!$M24))/(Calculations!$O24-Calculations!$C$13)-calculateOmega(Calculations!M24,Calculations!N24,Calculations!Q24,'Reaction Information'!$C$21,'Reaction Information'!$P$21*10^5,'Reaction Information'!$Q$21)*Calculations!$U24*10^-6 + (1/$S24 - 1)*calculate_domegadP(Calculations!M24,Calculations!N24,Calculations!Q24,'Reaction Information'!$C$21,'Reaction Information'!$P$21*10^5,'Reaction Information'!$Q$21,$D$20,$D$19=3))*41.84)</f>
        <v>#N/A</v>
      </c>
      <c r="BP24" s="8" t="e">
        <f>IF(OR(ISBLANK(Input!$AG$4),$D$27=FALSE),NA(),('Reaction Information'!$J$25/10+'Reaction Information'!$K$25*100/(Calculations!$C$12+Calculations!$M24)+('Reaction Information'!$L$25+'Reaction Information'!$M$25*10000/(Calculations!$C$12+Calculations!$M24))/(Calculations!$O24-Calculations!$C$13)-calculateOmega(Calculations!M24,Calculations!N24,Calculations!Q24,'Reaction Information'!$C$25,'Reaction Information'!$P$25*10^5,'Reaction Information'!$Q$25)*Calculations!$U24*10^-6 + (1/$S24 - 1)*calculate_domegadP(Calculations!M24,Calculations!N24,Calculations!Q24,'Reaction Information'!$C$25,'Reaction Information'!$P$25*10^5,'Reaction Information'!$Q$25,$D$20,$D$19=3))*41.84)</f>
        <v>#N/A</v>
      </c>
      <c r="BQ24" s="8" t="e">
        <f>IF(OR(ISBLANK(Input!$AJ$4),$D$27=FALSE),NA(),('Reaction Information'!$J$29/10+'Reaction Information'!$K$29*100/(Calculations!$C$12+Calculations!$M24)+('Reaction Information'!$L$29+'Reaction Information'!$M$29*10000/(Calculations!$C$12+Calculations!$M24))/(Calculations!$O24-Calculations!$C$13)-calculateOmega(Calculations!M24,Calculations!N24,Calculations!Q24,'Reaction Information'!$C$29,'Reaction Information'!$P$29*10^5,'Reaction Information'!$Q$29)*Calculations!$U24*10^-6 + (1/$S24 - 1)*calculate_domegadP(Calculations!M24,Calculations!N24,Calculations!Q24,'Reaction Information'!$C$29,'Reaction Information'!$P$29*10^5,'Reaction Information'!$Q$29,$D$20,$D$19=3))*41.84)</f>
        <v>#N/A</v>
      </c>
      <c r="BR24" s="8" t="e">
        <f>IF(OR(ISBLANK(Input!$AM$4),$D$27=FALSE),NA(),('Reaction Information'!$J$33/10+'Reaction Information'!$K$33*100/(Calculations!$C$12+Calculations!$M24)+('Reaction Information'!$L$33+'Reaction Information'!$M$33*10000/(Calculations!$C$12+Calculations!$M24))/(Calculations!$O24-Calculations!$C$13)-calculateOmega(Calculations!M24,Calculations!N24,Calculations!Q24,'Reaction Information'!$C$33,'Reaction Information'!$P$33*10^5,'Reaction Information'!$Q$33)*Calculations!$U24*10^-6 + (1/$S24 - 1)*calculate_domegadP(Calculations!M24,Calculations!N24,Calculations!Q24,'Reaction Information'!$C$33,'Reaction Information'!$P$33*10^5,'Reaction Information'!$Q$33,$D$20,$D$19=3))*41.84)</f>
        <v>#N/A</v>
      </c>
      <c r="BS24" s="1">
        <f>Results!AW26</f>
        <v>0</v>
      </c>
      <c r="BT24" s="1">
        <f>Results!AX26</f>
        <v>0</v>
      </c>
      <c r="BU24" s="1">
        <f>Results!AY26</f>
        <v>0</v>
      </c>
      <c r="BV24" s="1">
        <f>Results!AZ26</f>
        <v>0</v>
      </c>
      <c r="BW24" s="1" t="e">
        <f>IF(OR(ISNA('Reaction Information'!$D$38), $N24 = "", $D$27 = FALSE, 'Reaction Information'!$D$38 = ""), NA(), 24.465)</f>
        <v>#N/A</v>
      </c>
      <c r="BX24" s="1" t="e">
        <f>IF(OR(ISNA('Reaction Information'!$D$42), $N24 = "", $D$27 = FALSE, 'Reaction Information'!$D$42 = ""), NA(), 24.465)</f>
        <v>#N/A</v>
      </c>
      <c r="BY24" s="8" t="e">
        <f t="shared" si="1"/>
        <v>#N/A</v>
      </c>
      <c r="BZ24" s="8">
        <f>IF(OR(ISBLANK(Input!$BK$4),$D$27=FALSE),NA(),('Reaction Information'!$J$46/10+'Reaction Information'!$K$46*100/(Calculations!$C$12+Calculations!$M24)+('Reaction Information'!$L$46+'Reaction Information'!$M$46*10000/(Calculations!$C$12+Calculations!$M24))/(Calculations!$O24-Calculations!$C$13)-calculateOmega(Calculations!M24,Calculations!N24,Calculations!Q24,'Reaction Information'!$C$46,'Reaction Information'!$P$46*10^5,'Reaction Information'!$Q$46)*Calculations!$U24*10^-6 + (1/$S24 - 1)*calculate_domegadP(Calculations!M24,Calculations!N24,Calculations!Q24,'Reaction Information'!$C$46,'Reaction Information'!$P$46*10^5,'Reaction Information'!$Q$46,$D$20,$D$19=3))*41.84)</f>
        <v>0</v>
      </c>
      <c r="CA24" s="8">
        <f>IF(OR(ISBLANK(Input!$BN$4),$D$27=FALSE),NA(),('Reaction Information'!$J$50/10+'Reaction Information'!$K$50*100/(Calculations!$C$12+Calculations!$M24)+('Reaction Information'!$L$50+'Reaction Information'!$M$50*10000/(Calculations!$C$12+Calculations!$M24))/(Calculations!$O24-Calculations!$C$13)-calculateOmega(Calculations!M24,Calculations!N24,Calculations!Q24,'Reaction Information'!$C$50,'Reaction Information'!$P$50*10^5,'Reaction Information'!$Q$50)*Calculations!$U24*10^-6 + (1/$S24 - 1)*calculate_domegadP(Calculations!M24,Calculations!N24,Calculations!Q24,'Reaction Information'!$C$50,'Reaction Information'!$P$50*10^5,'Reaction Information'!$Q$50,$D$20,$D$19=3))*41.84)</f>
        <v>28.104476663994905</v>
      </c>
      <c r="CB24" s="8" t="e">
        <f>IF(OR(ISBLANK(Input!$BQ$4),$D$27=FALSE),NA(),('Reaction Information'!$J$54/10+'Reaction Information'!$K$54*100/(Calculations!$C$12+Calculations!$M24)+('Reaction Information'!$L$54+'Reaction Information'!$M$54*10000/(Calculations!$C$12+Calculations!$M24))/(Calculations!$O24-Calculations!$C$13)-calculateOmega(Calculations!M24,Calculations!N24,Calculations!Q24,'Reaction Information'!$C$54,'Reaction Information'!$P$54*10^5,'Reaction Information'!$Q$54)*Calculations!$U24*10^-6 + (1/$S24 - 1)*calculate_domegadP(Calculations!M24,Calculations!N24,Calculations!Q24,'Reaction Information'!$C$54,'Reaction Information'!$P$54*10^5,'Reaction Information'!$Q$54,$D$20,$D$19=3))*41.84)</f>
        <v>#N/A</v>
      </c>
      <c r="CC24" s="8" t="e">
        <f>IF(OR(ISBLANK(Input!$BT$4),$D$27=FALSE),NA(),('Reaction Information'!$J$58/10+'Reaction Information'!$K$58*100/(Calculations!$C$12+Calculations!$M24)+('Reaction Information'!$L$58+'Reaction Information'!$M$58*10000/(Calculations!$C$12+Calculations!$M24))/(Calculations!$O24-Calculations!$C$13)-calculateOmega(Calculations!M24,Calculations!N24,Calculations!Q24,'Reaction Information'!$C$58,'Reaction Information'!$P$58*10^5,'Reaction Information'!$Q$58)*Calculations!$U24*10^-6 + (1/$S24 - 1)*calculate_domegadP(Calculations!M24,Calculations!N24,Calculations!Q24,'Reaction Information'!$C$58,'Reaction Information'!$P$58*10^5,'Reaction Information'!$Q$58,$D$20,$D$19=3))*41.84)</f>
        <v>#N/A</v>
      </c>
      <c r="CD24" s="8" t="e">
        <f>IF(OR(ISBLANK(Input!$BW$4),$D$27=FALSE),NA(),('Reaction Information'!$J$62/10+'Reaction Information'!$K$62*100/(Calculations!$C$12+Calculations!$M24)+('Reaction Information'!$L$62+'Reaction Information'!$M$62*10000/(Calculations!$C$12+Calculations!$M24))/(Calculations!$O24-Calculations!$C$13)-calculateOmega(Calculations!M24,Calculations!N24,Calculations!Q24,'Reaction Information'!$C$62,'Reaction Information'!$P$62*10^5,'Reaction Information'!$Q$62)*Calculations!$U24*10^-6 + (1/$S24 - 1)*calculate_domegadP(Calculations!M24,Calculations!N24,Calculations!Q24,'Reaction Information'!$C$62,'Reaction Information'!$P$62*10^5,'Reaction Information'!$Q$62,$D$20,$D$19=3))*41.84)</f>
        <v>#N/A</v>
      </c>
      <c r="CE24" s="8" t="e">
        <f>IF(OR(ISBLANK(Input!$BZ$4),$D$27=FALSE),NA(),('Reaction Information'!$J$66/10+'Reaction Information'!$K$66*100/(Calculations!$C$12+Calculations!$M24)+('Reaction Information'!$L$66+'Reaction Information'!$M$66*10000/(Calculations!$C$12+Calculations!$M24))/(Calculations!$O24-Calculations!$C$13)-calculateOmega(Calculations!M24,Calculations!N24,Calculations!Q24,'Reaction Information'!$C$66,'Reaction Information'!$P$66*10^5,'Reaction Information'!$Q$66)*Calculations!$U24*10^-6 + (1/$S24 - 1)*calculate_domegadP(Calculations!M24,Calculations!N24,Calculations!Q24,'Reaction Information'!$C$66,'Reaction Information'!$P$66*10^5,'Reaction Information'!$Q$66,$D$20,$D$19=3))*41.84)</f>
        <v>#N/A</v>
      </c>
      <c r="CF24" s="31">
        <f>(BS24*Input!$AO$4+BT24*Input!$AR$4+BU24*Input!$AU$4+BV24*Input!$AX$4+IF(ISNA(BW24),0,BW24*Input!$BA$4)+IF(ISNA(BX24),0,BX24*Input!$BD$4)+IF(ISNA(BY24),0,BY24*Input!$BG$4)+IF(ISNA(BZ24),0,BZ24*Input!$BJ$4)+IF(ISNA(CA24),0,CA24*Input!$BM$4)+IF(ISNA(CB24),0,CB24*Input!$BP$4)+IF(ISNA(CC24),0,CC24*Input!$BS$4)+IF(ISNA(CD24),0,CD24*Input!$BV$4)+IF(ISNA(CE24),0,CE24*Input!$BY$4))-(BF24*Input!$B$4+BG24*Input!$E$4+BH24*Input!$H$4+BI24*Input!$K$4+IF(ISNA(BJ24),0,BJ24*Input!$N$4)+IF(ISNA(BK24),0,BK24*Input!$Q$4)+IF(ISNA(BL24),0,BL24*Input!$T$4)+IF(ISNA(BM24),0,BM24*Input!$W$4)+IF(ISNA(BN24),0,BN24*Input!$Z$4)+IF(ISNA(BO24),0,BO24*Input!$AC$4)+IF(ISNA(BP24),0,BP24*Input!$AF$4)+IF(ISNA(BQ24),0,BQ24*Input!$AI$4)+IF(ISNA(BR24),0,BR24*Input!$AL$4))</f>
        <v>-21.891739699706019</v>
      </c>
      <c r="CG24" s="1">
        <f t="shared" si="12"/>
        <v>450</v>
      </c>
      <c r="CH24" s="46">
        <f t="shared" si="13"/>
        <v>10000</v>
      </c>
      <c r="CI24" s="1"/>
    </row>
    <row r="25" spans="1:87" x14ac:dyDescent="0.2">
      <c r="A25" s="1"/>
      <c r="B25" s="301" t="s">
        <v>678</v>
      </c>
      <c r="C25" s="258"/>
      <c r="D25" s="7" t="b">
        <v>1</v>
      </c>
      <c r="E25" s="1"/>
      <c r="F25" s="2">
        <v>20</v>
      </c>
      <c r="G25" s="1" t="str">
        <f>IF(ISBLANK(Input!CB25), "", Input!CB25*1000)</f>
        <v/>
      </c>
      <c r="H25" s="1" t="str">
        <f>IF(ISBLANK(Input!CC25), "", Input!CC25)</f>
        <v/>
      </c>
      <c r="I25" s="1">
        <f>IF(Input!$CF$5 + Input!$CF$6*(FLOOR((Calculations!$F25-1)/(FLOOR((Input!$CF$12-Input!$CF$10)/Input!$CF$11,1)+1),1)) &gt; Input!$CF$7, "", (Input!$CF$5 + Input!$CF$6*(FLOOR((Calculations!$F25-1)/(FLOOR((Input!$CF$12-Input!$CF$10)/Input!$CF$11,1)+1),1)))*1000)</f>
        <v>10000</v>
      </c>
      <c r="J25" s="1">
        <f>IF(Calculations!I25 = "", "", Input!$CF$10 + Input!$CF$11*(Calculations!$F25-1) - (FLOOR((Input!$CF$12-Input!$CF$10)/Input!$CF$11,1)+1)*Input!$CF$11*FLOOR((Calculations!$F25-1)/(FLOOR((Input!$CF$12-Input!$CF$10)/Input!$CF$11,1)+1),1))</f>
        <v>500</v>
      </c>
      <c r="K25" s="8" t="str">
        <f t="shared" si="14"/>
        <v/>
      </c>
      <c r="L25" s="117" t="str">
        <f>IF(OR(Input!$CJ$5 + Input!$CJ$6*(Calculations!F25-1) &gt; Input!$CJ$7, Input!$CJ$5 + Input!$CJ$6*(Calculations!F25-1) &gt; 350), "", Input!$CJ$5 + Input!$CJ$6*(Calculations!F25-1))</f>
        <v/>
      </c>
      <c r="M25" s="1">
        <f t="shared" si="2"/>
        <v>10000</v>
      </c>
      <c r="N25" s="1">
        <f t="shared" si="3"/>
        <v>500</v>
      </c>
      <c r="O25" s="1">
        <f t="shared" si="4"/>
        <v>773.15</v>
      </c>
      <c r="P25" s="1" t="e">
        <f>IF(OR($D$20=3,AND($D$21=TRUE,M25&lt;1000)),INDEX('Water Density'!$C$6:$CX$120,MATCH(Calculations!N25,'Water Density'!$B$6:$B$120),MATCH(Calculations!M25/1000,'Water Density'!$C$5:$CX$5)),NA())</f>
        <v>#N/A</v>
      </c>
      <c r="Q25" s="182">
        <f>IF(OR($D$20=3,AND($D$21=TRUE,M25&lt;1000)), IF(P25&lt;&gt;0,P25,NA()), calculateDensity(M25,N25,$D$20,0.01,$D$19 = 3))</f>
        <v>1.007071744747162</v>
      </c>
      <c r="R25" s="1" t="e">
        <f>IF($D$22=5,INDEX('Dielectric Constant'!$C$6:$CX$120,MATCH(Calculations!N25,'Dielectric Constant'!$B$6:$B$120),MATCH(Calculations!M25/1000,'Dielectric Constant'!$C$5:$CX$5)),NA())</f>
        <v>#N/A</v>
      </c>
      <c r="S25" s="58">
        <f>IF($D$22=5, IF(R25&lt;&gt;0,R25,NA()), IF(AND($D$23,M25&lt;=5000,$D$19 &lt;&gt; 3),calculateEpsilon(Q25,N25,1,FALSE),calculateEpsilon(Q25,N25,$D$22,$D$19 = 3)))</f>
        <v>24.091171495390629</v>
      </c>
      <c r="T25" s="1" t="e">
        <f>IF($D$24=3,INDEX('Water Free Energy'!$C$6:$CX$120,MATCH(Calculations!N25,'Water Free Energy'!$B$6:$B$120),MATCH(Calculations!M25/1000,'Water Free Energy'!$C$5:$CX$5)),NA())</f>
        <v>#N/A</v>
      </c>
      <c r="U25" s="179">
        <f>IF($D$27,calculateQ(M25,N25,Q25,$D$20,$D$22,$D$19=3)*10^6,NA())</f>
        <v>0.8940255744021296</v>
      </c>
      <c r="V25"/>
      <c r="W25" s="2">
        <f t="shared" si="5"/>
        <v>10000</v>
      </c>
      <c r="X25" s="1">
        <f t="shared" si="6"/>
        <v>500</v>
      </c>
      <c r="Y25" s="1">
        <f>Results!F27</f>
        <v>0</v>
      </c>
      <c r="Z25" s="1">
        <f>Results!G27</f>
        <v>0</v>
      </c>
      <c r="AA25" s="1">
        <f>Results!H27</f>
        <v>0</v>
      </c>
      <c r="AB25" s="1">
        <f>Results!I27</f>
        <v>0</v>
      </c>
      <c r="AC25" s="1" t="e">
        <f>IF(ISBLANK(Input!$O$4),NA(),'Reaction Information'!$E$5-'Reaction Information'!$G$5*(Calculations!$O25-Calculations!$C$8)+'Reaction Information'!$I$5*(Calculations!$O25-Calculations!$C$8-Calculations!$O25*LN(Calculations!$O25/Calculations!$C$8))+'Reaction Information'!$J$5*0.001/2*(2*Calculations!$O25*Calculations!$C$8-Calculations!$O25^2-Calculations!$C$8^2) + 'Reaction Information'!$K$5*100000*(Calculations!$O25^2 + Calculations!$C$8^2 - 2*Calculations!$O25*Calculations!$C$8)/(2*Calculations!$O25*Calculations!$C$8^2))</f>
        <v>#N/A</v>
      </c>
      <c r="AD25" s="8" t="e">
        <f>IF(ISBLANK(Input!$R$4),NA(),'Reaction Information'!$E$9-'Reaction Information'!$G$9*(Calculations!$O25-Calculations!$C$8)+'Reaction Information'!$I$9*(Calculations!$O25-Calculations!$C$8-Calculations!$O25*LN(Calculations!$O25/Calculations!$C$8))+'Reaction Information'!$J$9*0.001/2*(2*Calculations!$O25*Calculations!$C$8-Calculations!$O25^2-Calculations!$C$8^2) + 'Reaction Information'!$K$9*100000*(Calculations!$O25^2 + Calculations!$C$8^2 - 2*Calculations!$O25*Calculations!$C$8)/(2*Calculations!$O25*Calculations!$C$8^2))</f>
        <v>#N/A</v>
      </c>
      <c r="AE25" s="8">
        <f>IF(AE$5="H2O",IF($D$24=3,IF(T25=0,NA(),T25),calculateGibbsOfWater(M25,N25,$D$24,$D$20,$D$19=3)),NA())</f>
        <v>-64210.031753341362</v>
      </c>
      <c r="AF25" s="8">
        <f>IF(ISBLANK(Input!$X$4),NA(),'Reaction Information'!$E$13-'Reaction Information'!$G$13*(Calculations!O25-Calculations!$C$8)-'Reaction Information'!$N$13*(Calculations!O25*LN(Calculations!O25/Calculations!$C$8)-Calculations!O25+Calculations!$C$8)-'Reaction Information'!$O$13*10^4*(((1/(Calculations!O25-Calculations!$C$13))-(1/(Calculations!$C$8-Calculations!$C$13)))*((Calculations!$C$13-Calculations!O25)/(Calculations!$C$13))-(Calculations!O25/(Calculations!$C$13*Calculations!$C$13))*LN((Calculations!$C$8*(Calculations!O25-Calculations!$C$13))/(Calculations!O25*(Calculations!$C$8-Calculations!$C$13))))+'Reaction Information'!$J$13*10^-1*(Calculations!M25-Calculations!$C$9)+'Reaction Information'!$K$13*10^2*LN((Calculations!$C$12+Calculations!M25)/(Calculations!$C$12+Calculations!$C$9))+(1/(Calculations!O25-Calculations!$C$13))*('Reaction Information'!$L$13*(Calculations!M25-Calculations!$C$9)+'Reaction Information'!$M$13*10^4*LN((Calculations!$C$12+Calculations!M25)/(Calculations!$C$12+Calculations!$C$9)))+calculateOmega(Calculations!M25,Calculations!N25,Calculations!Q25,'Reaction Information'!$C$13,'Reaction Information'!$P$13*10^5,'Reaction Information'!$Q$13)*((1/Calculations!S25)-1)-'Reaction Information'!$P$13*10^5*((1/Calculations!$C$10)-1)+'Reaction Information'!$P$13*10^5*Calculations!$C$14*(Calculations!O25-Calculations!$C$8))</f>
        <v>-104332.53223478999</v>
      </c>
      <c r="AG25" s="8" t="e">
        <f>IF(ISBLANK(Input!$AA$4),NA(),'Reaction Information'!$E$17-'Reaction Information'!$G$17*(Calculations!$O25-Calculations!$C$8)-'Reaction Information'!$N$17*(Calculations!$O25*LN(Calculations!$O25/Calculations!$C$8)-Calculations!$O25+Calculations!$C$8)-'Reaction Information'!$O$17*10^4*(((1/(Calculations!$O25-Calculations!$C$13))-(1/(Calculations!$C$8-Calculations!$C$13)))*((Calculations!$C$13-Calculations!$O25)/(Calculations!$C$13))-(Calculations!$O25/(Calculations!$C$13*Calculations!$C$13))*LN((Calculations!$C$8*(Calculations!$O25-Calculations!$C$13))/(Calculations!$O25*(Calculations!$C$8-Calculations!$C$13))))+'Reaction Information'!$J$17*10^-1*(Calculations!$M25-Calculations!$C$9)+'Reaction Information'!$K$17*10^2*LN((Calculations!$C$12+Calculations!$M25)/(Calculations!$C$12+Calculations!$C$9))+(1/(Calculations!$O25-Calculations!$C$13))*('Reaction Information'!$L$17*(Calculations!$M25-Calculations!$C$9)+'Reaction Information'!$M$17*10^4*LN((Calculations!$C$12+Calculations!$M25)/(Calculations!$C$12+Calculations!$C$9)))+calculateOmega(Calculations!M25,Calculations!N25,Calculations!Q25,'Reaction Information'!$C$17,'Reaction Information'!$P$17*10^5,'Reaction Information'!$Q$17)*((1/Calculations!$S25)-1)-'Reaction Information'!$P$17*10^5*((1/Calculations!$C$10)-1)+'Reaction Information'!$P$17*10^5*Calculations!$C$14*(Calculations!$O25-Calculations!$C$8))</f>
        <v>#N/A</v>
      </c>
      <c r="AH25" s="8" t="e">
        <f>IF(ISBLANK(Input!$AD$4),NA(),'Reaction Information'!$E$21-'Reaction Information'!$G$21*(Calculations!$O25-Calculations!$C$8)-'Reaction Information'!$N$21*(Calculations!$O25*LN(Calculations!$O25/Calculations!$C$8)-Calculations!$O25+Calculations!$C$8)-'Reaction Information'!$O$21*10^4*(((1/(Calculations!$O25-Calculations!$C$13))-(1/(Calculations!$C$8-Calculations!$C$13)))*((Calculations!$C$13-Calculations!$O25)/(Calculations!$C$13))-(Calculations!$O25/(Calculations!$C$13*Calculations!$C$13))*LN((Calculations!$C$8*(Calculations!$O25-Calculations!$C$13))/(Calculations!$O25*(Calculations!$C$8-Calculations!$C$13))))+'Reaction Information'!$J$21*10^-1*(Calculations!$M25-Calculations!$C$9)+'Reaction Information'!$K$21*10^2*LN((Calculations!$C$12+Calculations!$M25)/(Calculations!$C$12+Calculations!$C$9))+(1/(Calculations!$O25-Calculations!$C$13))*('Reaction Information'!$L$21*(Calculations!$M25-Calculations!$C$9)+'Reaction Information'!$M$21*10^4*LN((Calculations!$C$12+Calculations!$M25)/(Calculations!$C$12+Calculations!$C$9)))+calculateOmega(Calculations!M25,Calculations!N25,Calculations!Q25,'Reaction Information'!$C$21,'Reaction Information'!$P$21*10^5,'Reaction Information'!$Q$21)*((1/Calculations!$S25)-1)-'Reaction Information'!$P$21*10^5*((1/Calculations!$C$10)-1)+'Reaction Information'!$P$21*10^5*Calculations!$C$14*(Calculations!$O25-Calculations!$C$8))</f>
        <v>#N/A</v>
      </c>
      <c r="AI25" s="8" t="e">
        <f>IF(ISBLANK(Input!$AG$4),NA(),'Reaction Information'!$E$25-'Reaction Information'!$G$25*(Calculations!$O25-Calculations!$C$8)-'Reaction Information'!$N$25*(Calculations!$O25*LN(Calculations!$O25/Calculations!$C$8)-Calculations!$O25+Calculations!$C$8)-'Reaction Information'!$O$25*10^4*(((1/(Calculations!$O25-Calculations!$C$13))-(1/(Calculations!$C$8-Calculations!$C$13)))*((Calculations!$C$13-Calculations!$O25)/(Calculations!$C$13))-(Calculations!$O25/(Calculations!$C$13*Calculations!$C$13))*LN((Calculations!$C$8*(Calculations!$O25-Calculations!$C$13))/(Calculations!$O25*(Calculations!$C$8-Calculations!$C$13))))+'Reaction Information'!$J$25*10^-1*(Calculations!$M25-Calculations!$C$9)+'Reaction Information'!$K$25*10^2*LN((Calculations!$C$12+Calculations!$M25)/(Calculations!$C$12+Calculations!$C$9))+(1/(Calculations!$O25-Calculations!$C$13))*('Reaction Information'!$L$25*(Calculations!$M25-Calculations!$C$9)+'Reaction Information'!$M$25*10^4*LN((Calculations!$C$12+Calculations!$M25)/(Calculations!$C$12+Calculations!$C$9)))+calculateOmega(Calculations!M25,Calculations!N25,Calculations!Q25,'Reaction Information'!$C$25,'Reaction Information'!$P$25*10^5,'Reaction Information'!$Q$25)*((1/Calculations!$S25)-1)-'Reaction Information'!$P$25*10^5*((1/Calculations!$C$10)-1)+'Reaction Information'!$P$25*10^5*Calculations!$C$14*(Calculations!$O25-Calculations!$C$8))</f>
        <v>#N/A</v>
      </c>
      <c r="AJ25" s="8" t="e">
        <f>IF(ISBLANK(Input!$AJ$4),NA(),'Reaction Information'!$E$29-'Reaction Information'!$G$29*(Calculations!$O25-Calculations!$C$8)-'Reaction Information'!$N$29*(Calculations!$O25*LN(Calculations!$O25/Calculations!$C$8)-Calculations!$O25+Calculations!$C$8)-'Reaction Information'!$O$29*10^4*(((1/(Calculations!$O25-Calculations!$C$13))-(1/(Calculations!$C$8-Calculations!$C$13)))*((Calculations!$C$13-Calculations!$O25)/(Calculations!$C$13))-(Calculations!$O25/(Calculations!$C$13*Calculations!$C$13))*LN((Calculations!$C$8*(Calculations!$O25-Calculations!$C$13))/(Calculations!$O25*(Calculations!$C$8-Calculations!$C$13))))+'Reaction Information'!$J$29*10^-1*(Calculations!$M25-Calculations!$C$9)+'Reaction Information'!$K$29*10^2*LN((Calculations!$C$12+Calculations!$M25)/(Calculations!$C$12+Calculations!$C$9))+(1/(Calculations!$O25-Calculations!$C$13))*('Reaction Information'!$L$29*(Calculations!$M25-Calculations!$C$9)+'Reaction Information'!$M$29*10^4*LN((Calculations!$C$12+Calculations!$M25)/(Calculations!$C$12+Calculations!$C$9)))+calculateOmega(Calculations!M25,Calculations!N25,Calculations!Q25,'Reaction Information'!$C$29,'Reaction Information'!$P$29*10^5,'Reaction Information'!$Q$29)*((1/Calculations!$S25)-1)-'Reaction Information'!$P$29*10^5*((1/Calculations!$C$10)-1)+'Reaction Information'!$P$29*10^5*Calculations!$C$14*(Calculations!$O25-Calculations!$C$8))</f>
        <v>#N/A</v>
      </c>
      <c r="AK25" s="8" t="e">
        <f>IF(ISBLANK(Input!$AM$4),NA(),'Reaction Information'!$E$33-'Reaction Information'!$G$33*(Calculations!$O25-Calculations!$C$8)-'Reaction Information'!$N$33*(Calculations!$O25*LN(Calculations!$O25/Calculations!$C$8)-Calculations!$O25+Calculations!$C$8)-'Reaction Information'!$O$33*10^4*(((1/(Calculations!$O25-Calculations!$C$13))-(1/(Calculations!$C$8-Calculations!$C$13)))*((Calculations!$C$13-Calculations!$O25)/(Calculations!$C$13))-(Calculations!$O25/(Calculations!$C$13*Calculations!$C$13))*LN((Calculations!$C$8*(Calculations!$O25-Calculations!$C$13))/(Calculations!$O25*(Calculations!$C$8-Calculations!$C$13))))+'Reaction Information'!$J$33*10^-1*(Calculations!$M25-Calculations!$C$9)+'Reaction Information'!$K$33*10^2*LN((Calculations!$C$12+Calculations!$M25)/(Calculations!$C$12+Calculations!$C$9))+(1/(Calculations!$O25-Calculations!$C$13))*('Reaction Information'!$L$33*(Calculations!$M25-Calculations!$C$9)+'Reaction Information'!$M$33*10^4*LN((Calculations!$C$12+Calculations!$M25)/(Calculations!$C$12+Calculations!$C$9)))+calculateOmega(Calculations!M25,Calculations!N25,Calculations!Q25,'Reaction Information'!$C$33,'Reaction Information'!$P$33*10^5,'Reaction Information'!$Q$33)*((1/Calculations!$S25)-1)-'Reaction Information'!$P$33*10^5*((1/Calculations!$C$10)-1)+'Reaction Information'!$P$33*10^5*Calculations!$C$14*(Calculations!$O25-Calculations!$C$8))</f>
        <v>#N/A</v>
      </c>
      <c r="AL25" s="1">
        <f>Results!S27</f>
        <v>0</v>
      </c>
      <c r="AM25" s="1">
        <f>Results!T27</f>
        <v>0</v>
      </c>
      <c r="AN25" s="1">
        <f>Results!U27</f>
        <v>0</v>
      </c>
      <c r="AO25" s="1">
        <f>Results!V27</f>
        <v>0</v>
      </c>
      <c r="AP25" s="8" t="e">
        <f>IF(ISBLANK(Input!$BB$4),NA(),'Reaction Information'!$E$38-'Reaction Information'!$G$38*(Calculations!$O25-Calculations!$C$8)+'Reaction Information'!$I$38*(Calculations!$O25-Calculations!$C$8-Calculations!$O25*LN(Calculations!$O25/Calculations!$C$8))+'Reaction Information'!$J$38*0.001/2*(2*Calculations!$O25*Calculations!$C$8-Calculations!$O25^2-Calculations!$C$8^2) + 'Reaction Information'!$K$38*100000*(Calculations!$O25^2 + Calculations!$C$8^2 - 2*Calculations!$O25*Calculations!$C$8)/(2*Calculations!$O25*Calculations!$C$8^2))</f>
        <v>#N/A</v>
      </c>
      <c r="AQ25" s="8" t="e">
        <f>IF(ISBLANK(Input!$BE$4),NA(),'Reaction Information'!$E$42-'Reaction Information'!$G$42*(Calculations!$O25-Calculations!$C$8)+'Reaction Information'!$I$42*(Calculations!$O25-Calculations!$C$8-Calculations!$O25*LN(Calculations!$O25/Calculations!$C$8))+'Reaction Information'!$J$42*0.001/2*(2*Calculations!$O25*Calculations!$C$8-Calculations!$O25^2-Calculations!$C$8^2) + 'Reaction Information'!$K$42*100000*(Calculations!$O25^2 + Calculations!$C$8^2 - 2*Calculations!$O25*Calculations!$C$8)/(2*Calculations!$O25*Calculations!$C$8^2))</f>
        <v>#N/A</v>
      </c>
      <c r="AR25" s="8" t="e">
        <f>IF(AR$5="H2O", IF($D$24=3,IF(T25=0,NA(),T25),calculateGibbsOfWater(M25,N25,$D$24,$D$20,$D$19=3)),NA())</f>
        <v>#N/A</v>
      </c>
      <c r="AS25" s="8">
        <f>IF(ISBLANK(Input!$BK$4),NA(),'Reaction Information'!$E$46-'Reaction Information'!$G$46*(Calculations!O25-Calculations!$C$8)-'Reaction Information'!$N$46*(Calculations!O25*LN(Calculations!O25/Calculations!$C$8)-Calculations!O25+Calculations!$C$8)-'Reaction Information'!$O$46*10^4*(((1/(Calculations!O25-Calculations!$C$13))-(1/(Calculations!$C$8-Calculations!$C$13)))*((Calculations!$C$13-Calculations!O25)/(Calculations!$C$13))-(Calculations!O25/(Calculations!$C$13*Calculations!$C$13))*LN((Calculations!$C$8*(Calculations!O25-Calculations!$C$13))/(Calculations!O25*(Calculations!$C$8-Calculations!$C$13))))+'Reaction Information'!$J$46*10^-1*(Calculations!$M25-Calculations!$C$9)+'Reaction Information'!$K$46*10^2*LN((Calculations!$C$12+Calculations!$M25)/(Calculations!$C$12+Calculations!$C$9))+(1/(Calculations!O25-Calculations!$C$13))*('Reaction Information'!$L$46*(Calculations!$M25-Calculations!$C$9)+'Reaction Information'!$M$46*10^4*LN((Calculations!$C$12+Calculations!$M25)/(Calculations!$C$12+Calculations!$C$9)))+calculateOmega(Calculations!M25,Calculations!N25,Calculations!Q25,'Reaction Information'!$C$46,'Reaction Information'!$P$46*10^5,'Reaction Information'!$Q$46)*((1/Calculations!S25)-1)-'Reaction Information'!$P$46*10^5*((1/Calculations!$C$10)-1)+'Reaction Information'!$P$46*10^5*Calculations!$C$14*(Calculations!O25-Calculations!$C$8))</f>
        <v>0</v>
      </c>
      <c r="AT25" s="8">
        <f>IF(ISBLANK(Input!$BN$4),NA(),'Reaction Information'!$E$50-'Reaction Information'!$G$50*(Calculations!O25-Calculations!$C$8)-'Reaction Information'!$N$50*(Calculations!O25*LN(Calculations!O25/Calculations!$C$8)-Calculations!O25+Calculations!$C$8)-'Reaction Information'!$O$50*10^4*(((1/(Calculations!O25-Calculations!$C$13))-(1/(Calculations!$C$8-Calculations!$C$13)))*((Calculations!$C$13-Calculations!O25)/(Calculations!$C$13))-(Calculations!O25/(Calculations!$C$13*Calculations!$C$13))*LN((Calculations!$C$8*(Calculations!O25-Calculations!$C$13))/(Calculations!O25*(Calculations!$C$8-Calculations!$C$13))))+'Reaction Information'!$J$50*10^-1*(Calculations!$M25-Calculations!$C$9)+'Reaction Information'!$K$50*10^2*LN((Calculations!$C$12+Calculations!$M25)/(Calculations!$C$12+Calculations!$C$9))+(1/(Calculations!O25-Calculations!$C$13))*('Reaction Information'!$L$50*(Calculations!$M25-Calculations!$C$9)+'Reaction Information'!$M$50*10^4*LN((Calculations!$C$12+Calculations!$M25)/(Calculations!$C$12+Calculations!$C$9)))+calculateOmega(Calculations!M25,Calculations!N25,Calculations!Q25,'Reaction Information'!$C$50,'Reaction Information'!$P$50*10^5,'Reaction Information'!$Q$50)*((1/Calculations!S25)-1)-'Reaction Information'!$P$50*10^5*((1/Calculations!$C$10)-1)+'Reaction Information'!$P$50*10^5*Calculations!$C$14*(Calculations!O25-Calculations!$C$8))</f>
        <v>-145950.0603127295</v>
      </c>
      <c r="AU25" s="8" t="e">
        <f>IF(ISBLANK(Input!$BQ$4),NA(),'Reaction Information'!$E$54-'Reaction Information'!$G$54*(Calculations!$O25-Calculations!$C$8)-'Reaction Information'!$N$54*(Calculations!$O25*LN(Calculations!$O25/Calculations!$C$8)-Calculations!$O25+Calculations!$C$8)-'Reaction Information'!$O$54*10^4*(((1/(Calculations!$O25-Calculations!$C$13))-(1/(Calculations!$C$8-Calculations!$C$13)))*((Calculations!$C$13-Calculations!$O25)/(Calculations!$C$13))-(Calculations!$O25/(Calculations!$C$13*Calculations!$C$13))*LN((Calculations!$C$8*(Calculations!$O25-Calculations!$C$13))/(Calculations!$O25*(Calculations!$C$8-Calculations!$C$13))))+'Reaction Information'!$J$54*10^-1*(Calculations!$M25-Calculations!$C$9)+'Reaction Information'!$K$54*10^2*LN((Calculations!$C$12+Calculations!$M25)/(Calculations!$C$12+Calculations!$C$9))+(1/(Calculations!$O25-Calculations!$C$13))*('Reaction Information'!$L$54*(Calculations!$M25-Calculations!$C$9)+'Reaction Information'!$M$54*10^4*LN((Calculations!$C$12+Calculations!$M25)/(Calculations!$C$12+Calculations!$C$9)))+calculateOmega(Calculations!M25,Calculations!N25,Calculations!Q25,'Reaction Information'!$C$54,'Reaction Information'!$P$54*10^5,'Reaction Information'!$Q$54)*((1/Calculations!$S25)-1)-'Reaction Information'!$P$54*10^5*((1/Calculations!$C$10)-1)+'Reaction Information'!$P$54*10^5*Calculations!$C$14*(Calculations!$O25-Calculations!$C$8))</f>
        <v>#N/A</v>
      </c>
      <c r="AV25" s="8" t="e">
        <f>IF(ISBLANK(Input!$BT$4),NA(),'Reaction Information'!$E$58-'Reaction Information'!$G$58*(Calculations!$O25-Calculations!$C$8)-'Reaction Information'!$N$58*(Calculations!$O25*LN(Calculations!$O25/Calculations!$C$8)-Calculations!$O25+Calculations!$C$8)-'Reaction Information'!$O$58*10^4*(((1/(Calculations!$O25-Calculations!$C$13))-(1/(Calculations!$C$8-Calculations!$C$13)))*((Calculations!$C$13-Calculations!$O25)/(Calculations!$C$13))-(Calculations!$O25/(Calculations!$C$13*Calculations!$C$13))*LN((Calculations!$C$8*(Calculations!$O25-Calculations!$C$13))/(Calculations!$O25*(Calculations!$C$8-Calculations!$C$13))))+'Reaction Information'!$J$58*10^-1*(Calculations!$M25-Calculations!$C$9)+'Reaction Information'!$K$58*10^2*LN((Calculations!$C$12+Calculations!$M25)/(Calculations!$C$12+Calculations!$C$9))+(1/(Calculations!$O25-Calculations!$C$13))*('Reaction Information'!$L$58*(Calculations!$M25-Calculations!$C$9)+'Reaction Information'!$M$58*10^4*LN((Calculations!$C$12+Calculations!$M25)/(Calculations!$C$12+Calculations!$C$9)))+calculateOmega(Calculations!M25,Calculations!N25,Calculations!Q25,'Reaction Information'!$C$58,'Reaction Information'!$P$58*10^5,'Reaction Information'!$Q$58)*((1/Calculations!$S25)-1)-'Reaction Information'!$P$58*10^5*((1/Calculations!$C$10)-1)+'Reaction Information'!$P$58*10^5*Calculations!$C$14*(Calculations!$O25-Calculations!$C$8))</f>
        <v>#N/A</v>
      </c>
      <c r="AW25" s="8" t="e">
        <f>IF(ISBLANK(Input!$BW$4),NA(),'Reaction Information'!$E$62-'Reaction Information'!$G$62*(Calculations!$O25-Calculations!$C$8)-'Reaction Information'!$N$62*(Calculations!$O25*LN(Calculations!$O25/Calculations!$C$8)-Calculations!$O25+Calculations!$C$8)-'Reaction Information'!$O$62*10^4*(((1/(Calculations!$O25-Calculations!$C$13))-(1/(Calculations!$C$8-Calculations!$C$13)))*((Calculations!$C$13-Calculations!$O25)/(Calculations!$C$13))-(Calculations!$O25/(Calculations!$C$13*Calculations!$C$13))*LN((Calculations!$C$8*(Calculations!$O25-Calculations!$C$13))/(Calculations!$O25*(Calculations!$C$8-Calculations!$C$13))))+'Reaction Information'!$J$62*10^-1*(Calculations!$M25-Calculations!$C$9)+'Reaction Information'!$K$62*10^2*LN((Calculations!$C$12+Calculations!$M25)/(Calculations!$C$12+Calculations!$C$9))+(1/(Calculations!$O25-Calculations!$C$13))*('Reaction Information'!$L$62*(Calculations!$M25-Calculations!$C$9)+'Reaction Information'!$M$62*10^4*LN((Calculations!$C$12+Calculations!$M25)/(Calculations!$C$12+Calculations!$C$9)))+calculateOmega(Calculations!M25,Calculations!N25,Calculations!Q25,'Reaction Information'!$C$62,'Reaction Information'!$P$62*10^5,'Reaction Information'!$Q$62)*((1/Calculations!$S25)-1)-'Reaction Information'!$P$62*10^5*((1/Calculations!$C$10)-1)+'Reaction Information'!$P$62*10^5*Calculations!$C$14*(Calculations!$O25-Calculations!$C$8))</f>
        <v>#N/A</v>
      </c>
      <c r="AX25" s="8" t="e">
        <f>IF(ISBLANK(Input!$BZ$4),NA(),'Reaction Information'!$E$66-'Reaction Information'!$G$66*(Calculations!$O25-Calculations!$C$8)-'Reaction Information'!$N$66*(Calculations!$O25*LN(Calculations!$O25/Calculations!$C$8)-Calculations!$O25+Calculations!$C$8)-'Reaction Information'!$O$66*10^4*(((1/(Calculations!$O25-Calculations!$C$13))-(1/(Calculations!$C$8-Calculations!$C$13)))*((Calculations!$C$13-Calculations!$O25)/(Calculations!$C$13))-(Calculations!$O25/(Calculations!$C$13*Calculations!$C$13))*LN((Calculations!$C$8*(Calculations!$O25-Calculations!$C$13))/(Calculations!$O25*(Calculations!$C$8-Calculations!$C$13))))+'Reaction Information'!$J$66*10^-1*(Calculations!$M25-Calculations!$C$9)+'Reaction Information'!$K$66*10^2*LN((Calculations!$C$12+Calculations!$M25)/(Calculations!$C$12+Calculations!$C$9))+(1/(Calculations!$O25-Calculations!$C$13))*('Reaction Information'!$L$66*(Calculations!$M25-Calculations!$C$9)+'Reaction Information'!$M$66*10^4*LN((Calculations!$C$12+Calculations!$M25)/(Calculations!$C$12+Calculations!$C$9)))+calculateOmega(Calculations!M25,Calculations!N25,Calculations!Q25,'Reaction Information'!$C$66,'Reaction Information'!$P$66*10^5,'Reaction Information'!$Q$66)*((1/Calculations!$S25)-1)-'Reaction Information'!$P$66*10^5*((1/Calculations!$C$10)-1)+'Reaction Information'!$P$66*10^5*Calculations!$C$14*(Calculations!$O25-Calculations!$C$8))</f>
        <v>#N/A</v>
      </c>
      <c r="AY25" s="31">
        <f>(AL25*Input!$AO$4+AM25*Input!$AR$4+AN25*Input!$AU$4+AO25*Input!$AX$4+IF(ISNA(AP25),0,AP25*Input!$BA$4)+IF(ISNA(AQ25),0,AQ25*Input!$BD$4)+IF(ISNA(AR25),0,AR25*Input!$BG$4)+IF(ISNA(AS25),0,AS25*Input!$BJ$4)+IF(ISNA(AT25),0,AT25*Input!$BM$4)+IF(ISNA(AU25),0,AU25*Input!$BP$4)+IF(ISNA(AV25),0,AV25*Input!$BS$4)+IF(ISNA(AW25),0,AW25*Input!$BV$4)+IF(ISNA(AX25),0,AX25*Input!$BY$4))-(Y25*Input!$B$4+Z25*Input!$E$4+AA25*Input!$H$4+AB25*Input!$K$4+IF(ISNA(AC25),0,AC25*Input!$N$4)+IF(ISNA(AD25),0,AD25*Input!$Q$4)+IF(ISNA(AE25),0,AE25*Input!$T$4)+IF(ISNA(AF25),0,AF25*Input!$W$4)+IF(ISNA(AG25),0,AG25*Input!$Z$4)+IF(ISNA(AH25),0,AH25*Input!$AC$4)+IF(ISNA(AI25),0,AI25*Input!$AF$4)+IF(ISNA(AJ25),0,AJ25*Input!$AI$4)+IF(ISNA(AK25),0,AK25*Input!$AL$4))</f>
        <v>22592.503675401851</v>
      </c>
      <c r="AZ25" s="42">
        <f t="shared" si="7"/>
        <v>-6.3904652110951243</v>
      </c>
      <c r="BA25" s="1">
        <f t="shared" si="8"/>
        <v>500</v>
      </c>
      <c r="BB25" s="46">
        <f t="shared" si="9"/>
        <v>10000</v>
      </c>
      <c r="BC25" s="1"/>
      <c r="BD25" s="2">
        <f t="shared" si="10"/>
        <v>10000</v>
      </c>
      <c r="BE25" s="46">
        <f t="shared" si="11"/>
        <v>500</v>
      </c>
      <c r="BF25" s="1">
        <f>Results!AJ27</f>
        <v>0</v>
      </c>
      <c r="BG25" s="1">
        <f>Results!AK27</f>
        <v>0</v>
      </c>
      <c r="BH25" s="1">
        <f>Results!AL27</f>
        <v>0</v>
      </c>
      <c r="BI25" s="1">
        <f>Results!AM27</f>
        <v>0</v>
      </c>
      <c r="BJ25" s="1" t="e">
        <f>IF(OR(ISNA('Reaction Information'!$D$5), $N25 = "", $D$27 = FALSE, 'Reaction Information'!$D$5 = ""), NA(), 24.465)</f>
        <v>#N/A</v>
      </c>
      <c r="BK25" s="1" t="e">
        <f>IF(OR(ISNA('Reaction Information'!$D$9), $N25 = "", $D$27 = FALSE, 'Reaction Information'!$D$9 = ""), NA(), 24.465)</f>
        <v>#N/A</v>
      </c>
      <c r="BL25" s="8">
        <f t="shared" si="0"/>
        <v>17.888775148311765</v>
      </c>
      <c r="BM25" s="8">
        <f>IF(OR(ISBLANK(Input!$X$4),$D$27=FALSE),NA(),('Reaction Information'!$J$13/10+'Reaction Information'!$K$13*100/(Calculations!$C$12+Calculations!$M25)+('Reaction Information'!$L$13+'Reaction Information'!$M$13*10^4/(Calculations!$C$12+Calculations!$M25))/(Calculations!$O25-Calculations!$C$13) -calculateOmega(Calculations!$M25,Calculations!$N25,Calculations!$Q25,'Reaction Information'!$C$13,'Reaction Information'!$P$13*10^5,'Reaction Information'!$Q$13)*Calculations!$U25*10^-6 + (1/$S25 - 1)*calculate_domegadP(Calculations!$M25,Calculations!$N25,Calculations!$Q25,'Reaction Information'!$C$13,'Reaction Information'!$P$13*10^5,'Reaction Information'!$Q$13,$D$20,$D$19=3))*41.84)</f>
        <v>32.949842478067758</v>
      </c>
      <c r="BN25" s="8" t="e">
        <f>IF(OR(ISBLANK(Input!$AA$4),$D$27=FALSE),NA(),('Reaction Information'!$J$17/10+'Reaction Information'!$K$17*100/(Calculations!$C$12+Calculations!$M25)+('Reaction Information'!$L$17+'Reaction Information'!$M$17*10000/(Calculations!$C$12+Calculations!$M25))/(Calculations!$O25-Calculations!$C$13)-calculateOmega(Calculations!M25,Calculations!N25,Calculations!Q25,'Reaction Information'!$C$17,'Reaction Information'!$P$17*10^5,'Reaction Information'!$Q$17)*Calculations!$U25*10^-6 + (1/$S25 - 1)*calculate_domegadP(Calculations!M25,Calculations!N25,Calculations!Q25,'Reaction Information'!$C$17,'Reaction Information'!$P$17*10^5,'Reaction Information'!$Q$17,$D$20,$D$19=3))*41.84)</f>
        <v>#N/A</v>
      </c>
      <c r="BO25" s="8" t="e">
        <f>IF(OR(ISBLANK(Input!$AD$4),$D$27=FALSE),NA(),('Reaction Information'!$J$21/10+'Reaction Information'!$K$21*100/(Calculations!$C$12+Calculations!$M25)+('Reaction Information'!$L$21+'Reaction Information'!$M$21*10000/(Calculations!$C$12+Calculations!$M25))/(Calculations!$O25-Calculations!$C$13)-calculateOmega(Calculations!M25,Calculations!N25,Calculations!Q25,'Reaction Information'!$C$21,'Reaction Information'!$P$21*10^5,'Reaction Information'!$Q$21)*Calculations!$U25*10^-6 + (1/$S25 - 1)*calculate_domegadP(Calculations!M25,Calculations!N25,Calculations!Q25,'Reaction Information'!$C$21,'Reaction Information'!$P$21*10^5,'Reaction Information'!$Q$21,$D$20,$D$19=3))*41.84)</f>
        <v>#N/A</v>
      </c>
      <c r="BP25" s="8" t="e">
        <f>IF(OR(ISBLANK(Input!$AG$4),$D$27=FALSE),NA(),('Reaction Information'!$J$25/10+'Reaction Information'!$K$25*100/(Calculations!$C$12+Calculations!$M25)+('Reaction Information'!$L$25+'Reaction Information'!$M$25*10000/(Calculations!$C$12+Calculations!$M25))/(Calculations!$O25-Calculations!$C$13)-calculateOmega(Calculations!M25,Calculations!N25,Calculations!Q25,'Reaction Information'!$C$25,'Reaction Information'!$P$25*10^5,'Reaction Information'!$Q$25)*Calculations!$U25*10^-6 + (1/$S25 - 1)*calculate_domegadP(Calculations!M25,Calculations!N25,Calculations!Q25,'Reaction Information'!$C$25,'Reaction Information'!$P$25*10^5,'Reaction Information'!$Q$25,$D$20,$D$19=3))*41.84)</f>
        <v>#N/A</v>
      </c>
      <c r="BQ25" s="8" t="e">
        <f>IF(OR(ISBLANK(Input!$AJ$4),$D$27=FALSE),NA(),('Reaction Information'!$J$29/10+'Reaction Information'!$K$29*100/(Calculations!$C$12+Calculations!$M25)+('Reaction Information'!$L$29+'Reaction Information'!$M$29*10000/(Calculations!$C$12+Calculations!$M25))/(Calculations!$O25-Calculations!$C$13)-calculateOmega(Calculations!M25,Calculations!N25,Calculations!Q25,'Reaction Information'!$C$29,'Reaction Information'!$P$29*10^5,'Reaction Information'!$Q$29)*Calculations!$U25*10^-6 + (1/$S25 - 1)*calculate_domegadP(Calculations!M25,Calculations!N25,Calculations!Q25,'Reaction Information'!$C$29,'Reaction Information'!$P$29*10^5,'Reaction Information'!$Q$29,$D$20,$D$19=3))*41.84)</f>
        <v>#N/A</v>
      </c>
      <c r="BR25" s="8" t="e">
        <f>IF(OR(ISBLANK(Input!$AM$4),$D$27=FALSE),NA(),('Reaction Information'!$J$33/10+'Reaction Information'!$K$33*100/(Calculations!$C$12+Calculations!$M25)+('Reaction Information'!$L$33+'Reaction Information'!$M$33*10000/(Calculations!$C$12+Calculations!$M25))/(Calculations!$O25-Calculations!$C$13)-calculateOmega(Calculations!M25,Calculations!N25,Calculations!Q25,'Reaction Information'!$C$33,'Reaction Information'!$P$33*10^5,'Reaction Information'!$Q$33)*Calculations!$U25*10^-6 + (1/$S25 - 1)*calculate_domegadP(Calculations!M25,Calculations!N25,Calculations!Q25,'Reaction Information'!$C$33,'Reaction Information'!$P$33*10^5,'Reaction Information'!$Q$33,$D$20,$D$19=3))*41.84)</f>
        <v>#N/A</v>
      </c>
      <c r="BS25" s="1">
        <f>Results!AW27</f>
        <v>0</v>
      </c>
      <c r="BT25" s="1">
        <f>Results!AX27</f>
        <v>0</v>
      </c>
      <c r="BU25" s="1">
        <f>Results!AY27</f>
        <v>0</v>
      </c>
      <c r="BV25" s="1">
        <f>Results!AZ27</f>
        <v>0</v>
      </c>
      <c r="BW25" s="1" t="e">
        <f>IF(OR(ISNA('Reaction Information'!$D$38), $N25 = "", $D$27 = FALSE, 'Reaction Information'!$D$38 = ""), NA(), 24.465)</f>
        <v>#N/A</v>
      </c>
      <c r="BX25" s="1" t="e">
        <f>IF(OR(ISNA('Reaction Information'!$D$42), $N25 = "", $D$27 = FALSE, 'Reaction Information'!$D$42 = ""), NA(), 24.465)</f>
        <v>#N/A</v>
      </c>
      <c r="BY25" s="8" t="e">
        <f t="shared" si="1"/>
        <v>#N/A</v>
      </c>
      <c r="BZ25" s="8">
        <f>IF(OR(ISBLANK(Input!$BK$4),$D$27=FALSE),NA(),('Reaction Information'!$J$46/10+'Reaction Information'!$K$46*100/(Calculations!$C$12+Calculations!$M25)+('Reaction Information'!$L$46+'Reaction Information'!$M$46*10000/(Calculations!$C$12+Calculations!$M25))/(Calculations!$O25-Calculations!$C$13)-calculateOmega(Calculations!M25,Calculations!N25,Calculations!Q25,'Reaction Information'!$C$46,'Reaction Information'!$P$46*10^5,'Reaction Information'!$Q$46)*Calculations!$U25*10^-6 + (1/$S25 - 1)*calculate_domegadP(Calculations!M25,Calculations!N25,Calculations!Q25,'Reaction Information'!$C$46,'Reaction Information'!$P$46*10^5,'Reaction Information'!$Q$46,$D$20,$D$19=3))*41.84)</f>
        <v>0</v>
      </c>
      <c r="CA25" s="8">
        <f>IF(OR(ISBLANK(Input!$BN$4),$D$27=FALSE),NA(),('Reaction Information'!$J$50/10+'Reaction Information'!$K$50*100/(Calculations!$C$12+Calculations!$M25)+('Reaction Information'!$L$50+'Reaction Information'!$M$50*10000/(Calculations!$C$12+Calculations!$M25))/(Calculations!$O25-Calculations!$C$13)-calculateOmega(Calculations!M25,Calculations!N25,Calculations!Q25,'Reaction Information'!$C$50,'Reaction Information'!$P$50*10^5,'Reaction Information'!$Q$50)*Calculations!$U25*10^-6 + (1/$S25 - 1)*calculate_domegadP(Calculations!M25,Calculations!N25,Calculations!Q25,'Reaction Information'!$C$50,'Reaction Information'!$P$50*10^5,'Reaction Information'!$Q$50,$D$20,$D$19=3))*41.84)</f>
        <v>27.424465587848342</v>
      </c>
      <c r="CB25" s="8" t="e">
        <f>IF(OR(ISBLANK(Input!$BQ$4),$D$27=FALSE),NA(),('Reaction Information'!$J$54/10+'Reaction Information'!$K$54*100/(Calculations!$C$12+Calculations!$M25)+('Reaction Information'!$L$54+'Reaction Information'!$M$54*10000/(Calculations!$C$12+Calculations!$M25))/(Calculations!$O25-Calculations!$C$13)-calculateOmega(Calculations!M25,Calculations!N25,Calculations!Q25,'Reaction Information'!$C$54,'Reaction Information'!$P$54*10^5,'Reaction Information'!$Q$54)*Calculations!$U25*10^-6 + (1/$S25 - 1)*calculate_domegadP(Calculations!M25,Calculations!N25,Calculations!Q25,'Reaction Information'!$C$54,'Reaction Information'!$P$54*10^5,'Reaction Information'!$Q$54,$D$20,$D$19=3))*41.84)</f>
        <v>#N/A</v>
      </c>
      <c r="CC25" s="8" t="e">
        <f>IF(OR(ISBLANK(Input!$BT$4),$D$27=FALSE),NA(),('Reaction Information'!$J$58/10+'Reaction Information'!$K$58*100/(Calculations!$C$12+Calculations!$M25)+('Reaction Information'!$L$58+'Reaction Information'!$M$58*10000/(Calculations!$C$12+Calculations!$M25))/(Calculations!$O25-Calculations!$C$13)-calculateOmega(Calculations!M25,Calculations!N25,Calculations!Q25,'Reaction Information'!$C$58,'Reaction Information'!$P$58*10^5,'Reaction Information'!$Q$58)*Calculations!$U25*10^-6 + (1/$S25 - 1)*calculate_domegadP(Calculations!M25,Calculations!N25,Calculations!Q25,'Reaction Information'!$C$58,'Reaction Information'!$P$58*10^5,'Reaction Information'!$Q$58,$D$20,$D$19=3))*41.84)</f>
        <v>#N/A</v>
      </c>
      <c r="CD25" s="8" t="e">
        <f>IF(OR(ISBLANK(Input!$BW$4),$D$27=FALSE),NA(),('Reaction Information'!$J$62/10+'Reaction Information'!$K$62*100/(Calculations!$C$12+Calculations!$M25)+('Reaction Information'!$L$62+'Reaction Information'!$M$62*10000/(Calculations!$C$12+Calculations!$M25))/(Calculations!$O25-Calculations!$C$13)-calculateOmega(Calculations!M25,Calculations!N25,Calculations!Q25,'Reaction Information'!$C$62,'Reaction Information'!$P$62*10^5,'Reaction Information'!$Q$62)*Calculations!$U25*10^-6 + (1/$S25 - 1)*calculate_domegadP(Calculations!M25,Calculations!N25,Calculations!Q25,'Reaction Information'!$C$62,'Reaction Information'!$P$62*10^5,'Reaction Information'!$Q$62,$D$20,$D$19=3))*41.84)</f>
        <v>#N/A</v>
      </c>
      <c r="CE25" s="8" t="e">
        <f>IF(OR(ISBLANK(Input!$BZ$4),$D$27=FALSE),NA(),('Reaction Information'!$J$66/10+'Reaction Information'!$K$66*100/(Calculations!$C$12+Calculations!$M25)+('Reaction Information'!$L$66+'Reaction Information'!$M$66*10000/(Calculations!$C$12+Calculations!$M25))/(Calculations!$O25-Calculations!$C$13)-calculateOmega(Calculations!M25,Calculations!N25,Calculations!Q25,'Reaction Information'!$C$66,'Reaction Information'!$P$66*10^5,'Reaction Information'!$Q$66)*Calculations!$U25*10^-6 + (1/$S25 - 1)*calculate_domegadP(Calculations!M25,Calculations!N25,Calculations!Q25,'Reaction Information'!$C$66,'Reaction Information'!$P$66*10^5,'Reaction Information'!$Q$66,$D$20,$D$19=3))*41.84)</f>
        <v>#N/A</v>
      </c>
      <c r="CF25" s="31">
        <f>(BS25*Input!$AO$4+BT25*Input!$AR$4+BU25*Input!$AU$4+BV25*Input!$AX$4+IF(ISNA(BW25),0,BW25*Input!$BA$4)+IF(ISNA(BX25),0,BX25*Input!$BD$4)+IF(ISNA(BY25),0,BY25*Input!$BG$4)+IF(ISNA(BZ25),0,BZ25*Input!$BJ$4)+IF(ISNA(CA25),0,CA25*Input!$BM$4)+IF(ISNA(CB25),0,CB25*Input!$BP$4)+IF(ISNA(CC25),0,CC25*Input!$BS$4)+IF(ISNA(CD25),0,CD25*Input!$BV$4)+IF(ISNA(CE25),0,CE25*Input!$BY$4))-(BF25*Input!$B$4+BG25*Input!$E$4+BH25*Input!$H$4+BI25*Input!$K$4+IF(ISNA(BJ25),0,BJ25*Input!$N$4)+IF(ISNA(BK25),0,BK25*Input!$Q$4)+IF(ISNA(BL25),0,BL25*Input!$T$4)+IF(ISNA(BM25),0,BM25*Input!$W$4)+IF(ISNA(BN25),0,BN25*Input!$Z$4)+IF(ISNA(BO25),0,BO25*Input!$AC$4)+IF(ISNA(BP25),0,BP25*Input!$AF$4)+IF(ISNA(BQ25),0,BQ25*Input!$AI$4)+IF(ISNA(BR25),0,BR25*Input!$AL$4))</f>
        <v>-23.414152038531181</v>
      </c>
      <c r="CG25" s="1">
        <f t="shared" si="12"/>
        <v>500</v>
      </c>
      <c r="CH25" s="46">
        <f t="shared" si="13"/>
        <v>10000</v>
      </c>
      <c r="CI25" s="1"/>
    </row>
    <row r="26" spans="1:87" x14ac:dyDescent="0.2">
      <c r="A26" s="1"/>
      <c r="B26" s="273" t="s">
        <v>679</v>
      </c>
      <c r="C26" s="273"/>
      <c r="D26" s="7" t="b">
        <v>1</v>
      </c>
      <c r="E26" s="1"/>
      <c r="F26" s="2">
        <v>21</v>
      </c>
      <c r="G26" s="1" t="str">
        <f>IF(ISBLANK(Input!CB26), "", Input!CB26*1000)</f>
        <v/>
      </c>
      <c r="H26" s="1" t="str">
        <f>IF(ISBLANK(Input!CC26), "", Input!CC26)</f>
        <v/>
      </c>
      <c r="I26" s="1">
        <f>IF(Input!$CF$5 + Input!$CF$6*(FLOOR((Calculations!$F26-1)/(FLOOR((Input!$CF$12-Input!$CF$10)/Input!$CF$11,1)+1),1)) &gt; Input!$CF$7, "", (Input!$CF$5 + Input!$CF$6*(FLOOR((Calculations!$F26-1)/(FLOOR((Input!$CF$12-Input!$CF$10)/Input!$CF$11,1)+1),1)))*1000)</f>
        <v>10000</v>
      </c>
      <c r="J26" s="1">
        <f>IF(Calculations!I26 = "", "", Input!$CF$10 + Input!$CF$11*(Calculations!$F26-1) - (FLOOR((Input!$CF$12-Input!$CF$10)/Input!$CF$11,1)+1)*Input!$CF$11*FLOOR((Calculations!$F26-1)/(FLOOR((Input!$CF$12-Input!$CF$10)/Input!$CF$11,1)+1),1))</f>
        <v>550</v>
      </c>
      <c r="K26" s="8" t="str">
        <f t="shared" si="14"/>
        <v/>
      </c>
      <c r="L26" s="117" t="str">
        <f>IF(OR(Input!$CJ$5 + Input!$CJ$6*(Calculations!F26-1) &gt; Input!$CJ$7, Input!$CJ$5 + Input!$CJ$6*(Calculations!F26-1) &gt; 350), "", Input!$CJ$5 + Input!$CJ$6*(Calculations!F26-1))</f>
        <v/>
      </c>
      <c r="M26" s="1">
        <f t="shared" si="2"/>
        <v>10000</v>
      </c>
      <c r="N26" s="1">
        <f t="shared" si="3"/>
        <v>550</v>
      </c>
      <c r="O26" s="1">
        <f t="shared" si="4"/>
        <v>823.15</v>
      </c>
      <c r="P26" s="1" t="e">
        <f>IF(OR($D$20=3,AND($D$21=TRUE,M26&lt;1000)),INDEX('Water Density'!$C$6:$CX$120,MATCH(Calculations!N26,'Water Density'!$B$6:$B$120),MATCH(Calculations!M26/1000,'Water Density'!$C$5:$CX$5)),NA())</f>
        <v>#N/A</v>
      </c>
      <c r="Q26" s="182">
        <f>IF(OR($D$20=3,AND($D$21=TRUE,M26&lt;1000)), IF(P26&lt;&gt;0,P26,NA()), calculateDensity(M26,N26,$D$20,0.01,$D$19 = 3))</f>
        <v>0.98366628645896914</v>
      </c>
      <c r="R26" s="1" t="e">
        <f>IF($D$22=5,INDEX('Dielectric Constant'!$C$6:$CX$120,MATCH(Calculations!N26,'Dielectric Constant'!$B$6:$B$120),MATCH(Calculations!M26/1000,'Dielectric Constant'!$C$5:$CX$5)),NA())</f>
        <v>#N/A</v>
      </c>
      <c r="S26" s="58">
        <f>IF($D$22=5, IF(R26&lt;&gt;0,R26,NA()), IF(AND($D$23,M26&lt;=5000,$D$19 &lt;&gt; 3),calculateEpsilon(Q26,N26,1,FALSE),calculateEpsilon(Q26,N26,$D$22,$D$19 = 3)))</f>
        <v>21.496448956016682</v>
      </c>
      <c r="T26" s="1" t="e">
        <f>IF($D$24=3,INDEX('Water Free Energy'!$C$6:$CX$120,MATCH(Calculations!N26,'Water Free Energy'!$B$6:$B$120),MATCH(Calculations!M26/1000,'Water Free Energy'!$C$5:$CX$5)),NA())</f>
        <v>#N/A</v>
      </c>
      <c r="U26" s="179">
        <f>IF($D$27,calculateQ(M26,N26,Q26,$D$20,$D$22,$D$19=3)*10^6,NA())</f>
        <v>1.0395414830481229</v>
      </c>
      <c r="V26"/>
      <c r="W26" s="2">
        <f t="shared" si="5"/>
        <v>10000</v>
      </c>
      <c r="X26" s="1">
        <f t="shared" si="6"/>
        <v>550</v>
      </c>
      <c r="Y26" s="1">
        <f>Results!F28</f>
        <v>0</v>
      </c>
      <c r="Z26" s="1">
        <f>Results!G28</f>
        <v>0</v>
      </c>
      <c r="AA26" s="1">
        <f>Results!H28</f>
        <v>0</v>
      </c>
      <c r="AB26" s="1">
        <f>Results!I28</f>
        <v>0</v>
      </c>
      <c r="AC26" s="1" t="e">
        <f>IF(ISBLANK(Input!$O$4),NA(),'Reaction Information'!$E$5-'Reaction Information'!$G$5*(Calculations!$O26-Calculations!$C$8)+'Reaction Information'!$I$5*(Calculations!$O26-Calculations!$C$8-Calculations!$O26*LN(Calculations!$O26/Calculations!$C$8))+'Reaction Information'!$J$5*0.001/2*(2*Calculations!$O26*Calculations!$C$8-Calculations!$O26^2-Calculations!$C$8^2) + 'Reaction Information'!$K$5*100000*(Calculations!$O26^2 + Calculations!$C$8^2 - 2*Calculations!$O26*Calculations!$C$8)/(2*Calculations!$O26*Calculations!$C$8^2))</f>
        <v>#N/A</v>
      </c>
      <c r="AD26" s="8" t="e">
        <f>IF(ISBLANK(Input!$R$4),NA(),'Reaction Information'!$E$9-'Reaction Information'!$G$9*(Calculations!$O26-Calculations!$C$8)+'Reaction Information'!$I$9*(Calculations!$O26-Calculations!$C$8-Calculations!$O26*LN(Calculations!$O26/Calculations!$C$8))+'Reaction Information'!$J$9*0.001/2*(2*Calculations!$O26*Calculations!$C$8-Calculations!$O26^2-Calculations!$C$8^2) + 'Reaction Information'!$K$9*100000*(Calculations!$O26^2 + Calculations!$C$8^2 - 2*Calculations!$O26*Calculations!$C$8)/(2*Calculations!$O26*Calculations!$C$8^2))</f>
        <v>#N/A</v>
      </c>
      <c r="AE26" s="8">
        <f>IF(AE$5="H2O",IF($D$24=3,IF(T26=0,NA(),T26),calculateGibbsOfWater(M26,N26,$D$24,$D$20,$D$19=3)),NA())</f>
        <v>-65732.885032717299</v>
      </c>
      <c r="AF26" s="8">
        <f>IF(ISBLANK(Input!$X$4),NA(),'Reaction Information'!$E$13-'Reaction Information'!$G$13*(Calculations!O26-Calculations!$C$8)-'Reaction Information'!$N$13*(Calculations!O26*LN(Calculations!O26/Calculations!$C$8)-Calculations!O26+Calculations!$C$8)-'Reaction Information'!$O$13*10^4*(((1/(Calculations!O26-Calculations!$C$13))-(1/(Calculations!$C$8-Calculations!$C$13)))*((Calculations!$C$13-Calculations!O26)/(Calculations!$C$13))-(Calculations!O26/(Calculations!$C$13*Calculations!$C$13))*LN((Calculations!$C$8*(Calculations!O26-Calculations!$C$13))/(Calculations!O26*(Calculations!$C$8-Calculations!$C$13))))+'Reaction Information'!$J$13*10^-1*(Calculations!M26-Calculations!$C$9)+'Reaction Information'!$K$13*10^2*LN((Calculations!$C$12+Calculations!M26)/(Calculations!$C$12+Calculations!$C$9))+(1/(Calculations!O26-Calculations!$C$13))*('Reaction Information'!$L$13*(Calculations!M26-Calculations!$C$9)+'Reaction Information'!$M$13*10^4*LN((Calculations!$C$12+Calculations!M26)/(Calculations!$C$12+Calculations!$C$9)))+calculateOmega(Calculations!M26,Calculations!N26,Calculations!Q26,'Reaction Information'!$C$13,'Reaction Information'!$P$13*10^5,'Reaction Information'!$Q$13)*((1/Calculations!S26)-1)-'Reaction Information'!$P$13*10^5*((1/Calculations!$C$10)-1)+'Reaction Information'!$P$13*10^5*Calculations!$C$14*(Calculations!O26-Calculations!$C$8))</f>
        <v>-106723.98032500803</v>
      </c>
      <c r="AG26" s="8" t="e">
        <f>IF(ISBLANK(Input!$AA$4),NA(),'Reaction Information'!$E$17-'Reaction Information'!$G$17*(Calculations!$O26-Calculations!$C$8)-'Reaction Information'!$N$17*(Calculations!$O26*LN(Calculations!$O26/Calculations!$C$8)-Calculations!$O26+Calculations!$C$8)-'Reaction Information'!$O$17*10^4*(((1/(Calculations!$O26-Calculations!$C$13))-(1/(Calculations!$C$8-Calculations!$C$13)))*((Calculations!$C$13-Calculations!$O26)/(Calculations!$C$13))-(Calculations!$O26/(Calculations!$C$13*Calculations!$C$13))*LN((Calculations!$C$8*(Calculations!$O26-Calculations!$C$13))/(Calculations!$O26*(Calculations!$C$8-Calculations!$C$13))))+'Reaction Information'!$J$17*10^-1*(Calculations!$M26-Calculations!$C$9)+'Reaction Information'!$K$17*10^2*LN((Calculations!$C$12+Calculations!$M26)/(Calculations!$C$12+Calculations!$C$9))+(1/(Calculations!$O26-Calculations!$C$13))*('Reaction Information'!$L$17*(Calculations!$M26-Calculations!$C$9)+'Reaction Information'!$M$17*10^4*LN((Calculations!$C$12+Calculations!$M26)/(Calculations!$C$12+Calculations!$C$9)))+calculateOmega(Calculations!M26,Calculations!N26,Calculations!Q26,'Reaction Information'!$C$17,'Reaction Information'!$P$17*10^5,'Reaction Information'!$Q$17)*((1/Calculations!$S26)-1)-'Reaction Information'!$P$17*10^5*((1/Calculations!$C$10)-1)+'Reaction Information'!$P$17*10^5*Calculations!$C$14*(Calculations!$O26-Calculations!$C$8))</f>
        <v>#N/A</v>
      </c>
      <c r="AH26" s="8" t="e">
        <f>IF(ISBLANK(Input!$AD$4),NA(),'Reaction Information'!$E$21-'Reaction Information'!$G$21*(Calculations!$O26-Calculations!$C$8)-'Reaction Information'!$N$21*(Calculations!$O26*LN(Calculations!$O26/Calculations!$C$8)-Calculations!$O26+Calculations!$C$8)-'Reaction Information'!$O$21*10^4*(((1/(Calculations!$O26-Calculations!$C$13))-(1/(Calculations!$C$8-Calculations!$C$13)))*((Calculations!$C$13-Calculations!$O26)/(Calculations!$C$13))-(Calculations!$O26/(Calculations!$C$13*Calculations!$C$13))*LN((Calculations!$C$8*(Calculations!$O26-Calculations!$C$13))/(Calculations!$O26*(Calculations!$C$8-Calculations!$C$13))))+'Reaction Information'!$J$21*10^-1*(Calculations!$M26-Calculations!$C$9)+'Reaction Information'!$K$21*10^2*LN((Calculations!$C$12+Calculations!$M26)/(Calculations!$C$12+Calculations!$C$9))+(1/(Calculations!$O26-Calculations!$C$13))*('Reaction Information'!$L$21*(Calculations!$M26-Calculations!$C$9)+'Reaction Information'!$M$21*10^4*LN((Calculations!$C$12+Calculations!$M26)/(Calculations!$C$12+Calculations!$C$9)))+calculateOmega(Calculations!M26,Calculations!N26,Calculations!Q26,'Reaction Information'!$C$21,'Reaction Information'!$P$21*10^5,'Reaction Information'!$Q$21)*((1/Calculations!$S26)-1)-'Reaction Information'!$P$21*10^5*((1/Calculations!$C$10)-1)+'Reaction Information'!$P$21*10^5*Calculations!$C$14*(Calculations!$O26-Calculations!$C$8))</f>
        <v>#N/A</v>
      </c>
      <c r="AI26" s="8" t="e">
        <f>IF(ISBLANK(Input!$AG$4),NA(),'Reaction Information'!$E$25-'Reaction Information'!$G$25*(Calculations!$O26-Calculations!$C$8)-'Reaction Information'!$N$25*(Calculations!$O26*LN(Calculations!$O26/Calculations!$C$8)-Calculations!$O26+Calculations!$C$8)-'Reaction Information'!$O$25*10^4*(((1/(Calculations!$O26-Calculations!$C$13))-(1/(Calculations!$C$8-Calculations!$C$13)))*((Calculations!$C$13-Calculations!$O26)/(Calculations!$C$13))-(Calculations!$O26/(Calculations!$C$13*Calculations!$C$13))*LN((Calculations!$C$8*(Calculations!$O26-Calculations!$C$13))/(Calculations!$O26*(Calculations!$C$8-Calculations!$C$13))))+'Reaction Information'!$J$25*10^-1*(Calculations!$M26-Calculations!$C$9)+'Reaction Information'!$K$25*10^2*LN((Calculations!$C$12+Calculations!$M26)/(Calculations!$C$12+Calculations!$C$9))+(1/(Calculations!$O26-Calculations!$C$13))*('Reaction Information'!$L$25*(Calculations!$M26-Calculations!$C$9)+'Reaction Information'!$M$25*10^4*LN((Calculations!$C$12+Calculations!$M26)/(Calculations!$C$12+Calculations!$C$9)))+calculateOmega(Calculations!M26,Calculations!N26,Calculations!Q26,'Reaction Information'!$C$25,'Reaction Information'!$P$25*10^5,'Reaction Information'!$Q$25)*((1/Calculations!$S26)-1)-'Reaction Information'!$P$25*10^5*((1/Calculations!$C$10)-1)+'Reaction Information'!$P$25*10^5*Calculations!$C$14*(Calculations!$O26-Calculations!$C$8))</f>
        <v>#N/A</v>
      </c>
      <c r="AJ26" s="8" t="e">
        <f>IF(ISBLANK(Input!$AJ$4),NA(),'Reaction Information'!$E$29-'Reaction Information'!$G$29*(Calculations!$O26-Calculations!$C$8)-'Reaction Information'!$N$29*(Calculations!$O26*LN(Calculations!$O26/Calculations!$C$8)-Calculations!$O26+Calculations!$C$8)-'Reaction Information'!$O$29*10^4*(((1/(Calculations!$O26-Calculations!$C$13))-(1/(Calculations!$C$8-Calculations!$C$13)))*((Calculations!$C$13-Calculations!$O26)/(Calculations!$C$13))-(Calculations!$O26/(Calculations!$C$13*Calculations!$C$13))*LN((Calculations!$C$8*(Calculations!$O26-Calculations!$C$13))/(Calculations!$O26*(Calculations!$C$8-Calculations!$C$13))))+'Reaction Information'!$J$29*10^-1*(Calculations!$M26-Calculations!$C$9)+'Reaction Information'!$K$29*10^2*LN((Calculations!$C$12+Calculations!$M26)/(Calculations!$C$12+Calculations!$C$9))+(1/(Calculations!$O26-Calculations!$C$13))*('Reaction Information'!$L$29*(Calculations!$M26-Calculations!$C$9)+'Reaction Information'!$M$29*10^4*LN((Calculations!$C$12+Calculations!$M26)/(Calculations!$C$12+Calculations!$C$9)))+calculateOmega(Calculations!M26,Calculations!N26,Calculations!Q26,'Reaction Information'!$C$29,'Reaction Information'!$P$29*10^5,'Reaction Information'!$Q$29)*((1/Calculations!$S26)-1)-'Reaction Information'!$P$29*10^5*((1/Calculations!$C$10)-1)+'Reaction Information'!$P$29*10^5*Calculations!$C$14*(Calculations!$O26-Calculations!$C$8))</f>
        <v>#N/A</v>
      </c>
      <c r="AK26" s="8" t="e">
        <f>IF(ISBLANK(Input!$AM$4),NA(),'Reaction Information'!$E$33-'Reaction Information'!$G$33*(Calculations!$O26-Calculations!$C$8)-'Reaction Information'!$N$33*(Calculations!$O26*LN(Calculations!$O26/Calculations!$C$8)-Calculations!$O26+Calculations!$C$8)-'Reaction Information'!$O$33*10^4*(((1/(Calculations!$O26-Calculations!$C$13))-(1/(Calculations!$C$8-Calculations!$C$13)))*((Calculations!$C$13-Calculations!$O26)/(Calculations!$C$13))-(Calculations!$O26/(Calculations!$C$13*Calculations!$C$13))*LN((Calculations!$C$8*(Calculations!$O26-Calculations!$C$13))/(Calculations!$O26*(Calculations!$C$8-Calculations!$C$13))))+'Reaction Information'!$J$33*10^-1*(Calculations!$M26-Calculations!$C$9)+'Reaction Information'!$K$33*10^2*LN((Calculations!$C$12+Calculations!$M26)/(Calculations!$C$12+Calculations!$C$9))+(1/(Calculations!$O26-Calculations!$C$13))*('Reaction Information'!$L$33*(Calculations!$M26-Calculations!$C$9)+'Reaction Information'!$M$33*10^4*LN((Calculations!$C$12+Calculations!$M26)/(Calculations!$C$12+Calculations!$C$9)))+calculateOmega(Calculations!M26,Calculations!N26,Calculations!Q26,'Reaction Information'!$C$33,'Reaction Information'!$P$33*10^5,'Reaction Information'!$Q$33)*((1/Calculations!$S26)-1)-'Reaction Information'!$P$33*10^5*((1/Calculations!$C$10)-1)+'Reaction Information'!$P$33*10^5*Calculations!$C$14*(Calculations!$O26-Calculations!$C$8))</f>
        <v>#N/A</v>
      </c>
      <c r="AL26" s="1">
        <f>Results!S28</f>
        <v>0</v>
      </c>
      <c r="AM26" s="1">
        <f>Results!T28</f>
        <v>0</v>
      </c>
      <c r="AN26" s="1">
        <f>Results!U28</f>
        <v>0</v>
      </c>
      <c r="AO26" s="1">
        <f>Results!V28</f>
        <v>0</v>
      </c>
      <c r="AP26" s="8" t="e">
        <f>IF(ISBLANK(Input!$BB$4),NA(),'Reaction Information'!$E$38-'Reaction Information'!$G$38*(Calculations!$O26-Calculations!$C$8)+'Reaction Information'!$I$38*(Calculations!$O26-Calculations!$C$8-Calculations!$O26*LN(Calculations!$O26/Calculations!$C$8))+'Reaction Information'!$J$38*0.001/2*(2*Calculations!$O26*Calculations!$C$8-Calculations!$O26^2-Calculations!$C$8^2) + 'Reaction Information'!$K$38*100000*(Calculations!$O26^2 + Calculations!$C$8^2 - 2*Calculations!$O26*Calculations!$C$8)/(2*Calculations!$O26*Calculations!$C$8^2))</f>
        <v>#N/A</v>
      </c>
      <c r="AQ26" s="8" t="e">
        <f>IF(ISBLANK(Input!$BE$4),NA(),'Reaction Information'!$E$42-'Reaction Information'!$G$42*(Calculations!$O26-Calculations!$C$8)+'Reaction Information'!$I$42*(Calculations!$O26-Calculations!$C$8-Calculations!$O26*LN(Calculations!$O26/Calculations!$C$8))+'Reaction Information'!$J$42*0.001/2*(2*Calculations!$O26*Calculations!$C$8-Calculations!$O26^2-Calculations!$C$8^2) + 'Reaction Information'!$K$42*100000*(Calculations!$O26^2 + Calculations!$C$8^2 - 2*Calculations!$O26*Calculations!$C$8)/(2*Calculations!$O26*Calculations!$C$8^2))</f>
        <v>#N/A</v>
      </c>
      <c r="AR26" s="8" t="e">
        <f>IF(AR$5="H2O", IF($D$24=3,IF(T26=0,NA(),T26),calculateGibbsOfWater(M26,N26,$D$24,$D$20,$D$19=3)),NA())</f>
        <v>#N/A</v>
      </c>
      <c r="AS26" s="8">
        <f>IF(ISBLANK(Input!$BK$4),NA(),'Reaction Information'!$E$46-'Reaction Information'!$G$46*(Calculations!O26-Calculations!$C$8)-'Reaction Information'!$N$46*(Calculations!O26*LN(Calculations!O26/Calculations!$C$8)-Calculations!O26+Calculations!$C$8)-'Reaction Information'!$O$46*10^4*(((1/(Calculations!O26-Calculations!$C$13))-(1/(Calculations!$C$8-Calculations!$C$13)))*((Calculations!$C$13-Calculations!O26)/(Calculations!$C$13))-(Calculations!O26/(Calculations!$C$13*Calculations!$C$13))*LN((Calculations!$C$8*(Calculations!O26-Calculations!$C$13))/(Calculations!O26*(Calculations!$C$8-Calculations!$C$13))))+'Reaction Information'!$J$46*10^-1*(Calculations!$M26-Calculations!$C$9)+'Reaction Information'!$K$46*10^2*LN((Calculations!$C$12+Calculations!$M26)/(Calculations!$C$12+Calculations!$C$9))+(1/(Calculations!O26-Calculations!$C$13))*('Reaction Information'!$L$46*(Calculations!$M26-Calculations!$C$9)+'Reaction Information'!$M$46*10^4*LN((Calculations!$C$12+Calculations!$M26)/(Calculations!$C$12+Calculations!$C$9)))+calculateOmega(Calculations!M26,Calculations!N26,Calculations!Q26,'Reaction Information'!$C$46,'Reaction Information'!$P$46*10^5,'Reaction Information'!$Q$46)*((1/Calculations!S26)-1)-'Reaction Information'!$P$46*10^5*((1/Calculations!$C$10)-1)+'Reaction Information'!$P$46*10^5*Calculations!$C$14*(Calculations!O26-Calculations!$C$8))</f>
        <v>0</v>
      </c>
      <c r="AT26" s="8">
        <f>IF(ISBLANK(Input!$BN$4),NA(),'Reaction Information'!$E$50-'Reaction Information'!$G$50*(Calculations!O26-Calculations!$C$8)-'Reaction Information'!$N$50*(Calculations!O26*LN(Calculations!O26/Calculations!$C$8)-Calculations!O26+Calculations!$C$8)-'Reaction Information'!$O$50*10^4*(((1/(Calculations!O26-Calculations!$C$13))-(1/(Calculations!$C$8-Calculations!$C$13)))*((Calculations!$C$13-Calculations!O26)/(Calculations!$C$13))-(Calculations!O26/(Calculations!$C$13*Calculations!$C$13))*LN((Calculations!$C$8*(Calculations!O26-Calculations!$C$13))/(Calculations!O26*(Calculations!$C$8-Calculations!$C$13))))+'Reaction Information'!$J$50*10^-1*(Calculations!$M26-Calculations!$C$9)+'Reaction Information'!$K$50*10^2*LN((Calculations!$C$12+Calculations!$M26)/(Calculations!$C$12+Calculations!$C$9))+(1/(Calculations!O26-Calculations!$C$13))*('Reaction Information'!$L$50*(Calculations!$M26-Calculations!$C$9)+'Reaction Information'!$M$50*10^4*LN((Calculations!$C$12+Calculations!$M26)/(Calculations!$C$12+Calculations!$C$9)))+calculateOmega(Calculations!M26,Calculations!N26,Calculations!Q26,'Reaction Information'!$C$50,'Reaction Information'!$P$50*10^5,'Reaction Information'!$Q$50)*((1/Calculations!S26)-1)-'Reaction Information'!$P$50*10^5*((1/Calculations!$C$10)-1)+'Reaction Information'!$P$50*10^5*Calculations!$C$14*(Calculations!O26-Calculations!$C$8))</f>
        <v>-147329.74610759955</v>
      </c>
      <c r="AU26" s="8" t="e">
        <f>IF(ISBLANK(Input!$BQ$4),NA(),'Reaction Information'!$E$54-'Reaction Information'!$G$54*(Calculations!$O26-Calculations!$C$8)-'Reaction Information'!$N$54*(Calculations!$O26*LN(Calculations!$O26/Calculations!$C$8)-Calculations!$O26+Calculations!$C$8)-'Reaction Information'!$O$54*10^4*(((1/(Calculations!$O26-Calculations!$C$13))-(1/(Calculations!$C$8-Calculations!$C$13)))*((Calculations!$C$13-Calculations!$O26)/(Calculations!$C$13))-(Calculations!$O26/(Calculations!$C$13*Calculations!$C$13))*LN((Calculations!$C$8*(Calculations!$O26-Calculations!$C$13))/(Calculations!$O26*(Calculations!$C$8-Calculations!$C$13))))+'Reaction Information'!$J$54*10^-1*(Calculations!$M26-Calculations!$C$9)+'Reaction Information'!$K$54*10^2*LN((Calculations!$C$12+Calculations!$M26)/(Calculations!$C$12+Calculations!$C$9))+(1/(Calculations!$O26-Calculations!$C$13))*('Reaction Information'!$L$54*(Calculations!$M26-Calculations!$C$9)+'Reaction Information'!$M$54*10^4*LN((Calculations!$C$12+Calculations!$M26)/(Calculations!$C$12+Calculations!$C$9)))+calculateOmega(Calculations!M26,Calculations!N26,Calculations!Q26,'Reaction Information'!$C$54,'Reaction Information'!$P$54*10^5,'Reaction Information'!$Q$54)*((1/Calculations!$S26)-1)-'Reaction Information'!$P$54*10^5*((1/Calculations!$C$10)-1)+'Reaction Information'!$P$54*10^5*Calculations!$C$14*(Calculations!$O26-Calculations!$C$8))</f>
        <v>#N/A</v>
      </c>
      <c r="AV26" s="8" t="e">
        <f>IF(ISBLANK(Input!$BT$4),NA(),'Reaction Information'!$E$58-'Reaction Information'!$G$58*(Calculations!$O26-Calculations!$C$8)-'Reaction Information'!$N$58*(Calculations!$O26*LN(Calculations!$O26/Calculations!$C$8)-Calculations!$O26+Calculations!$C$8)-'Reaction Information'!$O$58*10^4*(((1/(Calculations!$O26-Calculations!$C$13))-(1/(Calculations!$C$8-Calculations!$C$13)))*((Calculations!$C$13-Calculations!$O26)/(Calculations!$C$13))-(Calculations!$O26/(Calculations!$C$13*Calculations!$C$13))*LN((Calculations!$C$8*(Calculations!$O26-Calculations!$C$13))/(Calculations!$O26*(Calculations!$C$8-Calculations!$C$13))))+'Reaction Information'!$J$58*10^-1*(Calculations!$M26-Calculations!$C$9)+'Reaction Information'!$K$58*10^2*LN((Calculations!$C$12+Calculations!$M26)/(Calculations!$C$12+Calculations!$C$9))+(1/(Calculations!$O26-Calculations!$C$13))*('Reaction Information'!$L$58*(Calculations!$M26-Calculations!$C$9)+'Reaction Information'!$M$58*10^4*LN((Calculations!$C$12+Calculations!$M26)/(Calculations!$C$12+Calculations!$C$9)))+calculateOmega(Calculations!M26,Calculations!N26,Calculations!Q26,'Reaction Information'!$C$58,'Reaction Information'!$P$58*10^5,'Reaction Information'!$Q$58)*((1/Calculations!$S26)-1)-'Reaction Information'!$P$58*10^5*((1/Calculations!$C$10)-1)+'Reaction Information'!$P$58*10^5*Calculations!$C$14*(Calculations!$O26-Calculations!$C$8))</f>
        <v>#N/A</v>
      </c>
      <c r="AW26" s="8" t="e">
        <f>IF(ISBLANK(Input!$BW$4),NA(),'Reaction Information'!$E$62-'Reaction Information'!$G$62*(Calculations!$O26-Calculations!$C$8)-'Reaction Information'!$N$62*(Calculations!$O26*LN(Calculations!$O26/Calculations!$C$8)-Calculations!$O26+Calculations!$C$8)-'Reaction Information'!$O$62*10^4*(((1/(Calculations!$O26-Calculations!$C$13))-(1/(Calculations!$C$8-Calculations!$C$13)))*((Calculations!$C$13-Calculations!$O26)/(Calculations!$C$13))-(Calculations!$O26/(Calculations!$C$13*Calculations!$C$13))*LN((Calculations!$C$8*(Calculations!$O26-Calculations!$C$13))/(Calculations!$O26*(Calculations!$C$8-Calculations!$C$13))))+'Reaction Information'!$J$62*10^-1*(Calculations!$M26-Calculations!$C$9)+'Reaction Information'!$K$62*10^2*LN((Calculations!$C$12+Calculations!$M26)/(Calculations!$C$12+Calculations!$C$9))+(1/(Calculations!$O26-Calculations!$C$13))*('Reaction Information'!$L$62*(Calculations!$M26-Calculations!$C$9)+'Reaction Information'!$M$62*10^4*LN((Calculations!$C$12+Calculations!$M26)/(Calculations!$C$12+Calculations!$C$9)))+calculateOmega(Calculations!M26,Calculations!N26,Calculations!Q26,'Reaction Information'!$C$62,'Reaction Information'!$P$62*10^5,'Reaction Information'!$Q$62)*((1/Calculations!$S26)-1)-'Reaction Information'!$P$62*10^5*((1/Calculations!$C$10)-1)+'Reaction Information'!$P$62*10^5*Calculations!$C$14*(Calculations!$O26-Calculations!$C$8))</f>
        <v>#N/A</v>
      </c>
      <c r="AX26" s="8" t="e">
        <f>IF(ISBLANK(Input!$BZ$4),NA(),'Reaction Information'!$E$66-'Reaction Information'!$G$66*(Calculations!$O26-Calculations!$C$8)-'Reaction Information'!$N$66*(Calculations!$O26*LN(Calculations!$O26/Calculations!$C$8)-Calculations!$O26+Calculations!$C$8)-'Reaction Information'!$O$66*10^4*(((1/(Calculations!$O26-Calculations!$C$13))-(1/(Calculations!$C$8-Calculations!$C$13)))*((Calculations!$C$13-Calculations!$O26)/(Calculations!$C$13))-(Calculations!$O26/(Calculations!$C$13*Calculations!$C$13))*LN((Calculations!$C$8*(Calculations!$O26-Calculations!$C$13))/(Calculations!$O26*(Calculations!$C$8-Calculations!$C$13))))+'Reaction Information'!$J$66*10^-1*(Calculations!$M26-Calculations!$C$9)+'Reaction Information'!$K$66*10^2*LN((Calculations!$C$12+Calculations!$M26)/(Calculations!$C$12+Calculations!$C$9))+(1/(Calculations!$O26-Calculations!$C$13))*('Reaction Information'!$L$66*(Calculations!$M26-Calculations!$C$9)+'Reaction Information'!$M$66*10^4*LN((Calculations!$C$12+Calculations!$M26)/(Calculations!$C$12+Calculations!$C$9)))+calculateOmega(Calculations!M26,Calculations!N26,Calculations!Q26,'Reaction Information'!$C$66,'Reaction Information'!$P$66*10^5,'Reaction Information'!$Q$66)*((1/Calculations!$S26)-1)-'Reaction Information'!$P$66*10^5*((1/Calculations!$C$10)-1)+'Reaction Information'!$P$66*10^5*Calculations!$C$14*(Calculations!$O26-Calculations!$C$8))</f>
        <v>#N/A</v>
      </c>
      <c r="AY26" s="31">
        <f>(AL26*Input!$AO$4+AM26*Input!$AR$4+AN26*Input!$AU$4+AO26*Input!$AX$4+IF(ISNA(AP26),0,AP26*Input!$BA$4)+IF(ISNA(AQ26),0,AQ26*Input!$BD$4)+IF(ISNA(AR26),0,AR26*Input!$BG$4)+IF(ISNA(AS26),0,AS26*Input!$BJ$4)+IF(ISNA(AT26),0,AT26*Input!$BM$4)+IF(ISNA(AU26),0,AU26*Input!$BP$4)+IF(ISNA(AV26),0,AV26*Input!$BS$4)+IF(ISNA(AW26),0,AW26*Input!$BV$4)+IF(ISNA(AX26),0,AX26*Input!$BY$4))-(Y26*Input!$B$4+Z26*Input!$E$4+AA26*Input!$H$4+AB26*Input!$K$4+IF(ISNA(AC26),0,AC26*Input!$N$4)+IF(ISNA(AD26),0,AD26*Input!$Q$4)+IF(ISNA(AE26),0,AE26*Input!$T$4)+IF(ISNA(AF26),0,AF26*Input!$W$4)+IF(ISNA(AG26),0,AG26*Input!$Z$4)+IF(ISNA(AH26),0,AH26*Input!$AC$4)+IF(ISNA(AI26),0,AI26*Input!$AF$4)+IF(ISNA(AJ26),0,AJ26*Input!$AI$4)+IF(ISNA(AK26),0,AK26*Input!$AL$4))</f>
        <v>25127.119250125776</v>
      </c>
      <c r="AZ26" s="42">
        <f t="shared" si="7"/>
        <v>-6.6756812510745664</v>
      </c>
      <c r="BA26" s="1">
        <f t="shared" si="8"/>
        <v>550</v>
      </c>
      <c r="BB26" s="46">
        <f t="shared" si="9"/>
        <v>10000</v>
      </c>
      <c r="BC26" s="1"/>
      <c r="BD26" s="2">
        <f t="shared" si="10"/>
        <v>10000</v>
      </c>
      <c r="BE26" s="46">
        <f t="shared" si="11"/>
        <v>550</v>
      </c>
      <c r="BF26" s="1">
        <f>Results!AJ28</f>
        <v>0</v>
      </c>
      <c r="BG26" s="1">
        <f>Results!AK28</f>
        <v>0</v>
      </c>
      <c r="BH26" s="1">
        <f>Results!AL28</f>
        <v>0</v>
      </c>
      <c r="BI26" s="1">
        <f>Results!AM28</f>
        <v>0</v>
      </c>
      <c r="BJ26" s="1" t="e">
        <f>IF(OR(ISNA('Reaction Information'!$D$5), $N26 = "", $D$27 = FALSE, 'Reaction Information'!$D$5 = ""), NA(), 24.465)</f>
        <v>#N/A</v>
      </c>
      <c r="BK26" s="1" t="e">
        <f>IF(OR(ISNA('Reaction Information'!$D$9), $N26 = "", $D$27 = FALSE, 'Reaction Information'!$D$9 = ""), NA(), 24.465)</f>
        <v>#N/A</v>
      </c>
      <c r="BL26" s="8">
        <f t="shared" si="0"/>
        <v>18.314422531295584</v>
      </c>
      <c r="BM26" s="8">
        <f>IF(OR(ISBLANK(Input!$X$4),$D$27=FALSE),NA(),('Reaction Information'!$J$13/10+'Reaction Information'!$K$13*100/(Calculations!$C$12+Calculations!$M26)+('Reaction Information'!$L$13+'Reaction Information'!$M$13*10^4/(Calculations!$C$12+Calculations!$M26))/(Calculations!$O26-Calculations!$C$13) -calculateOmega(Calculations!$M26,Calculations!$N26,Calculations!$Q26,'Reaction Information'!$C$13,'Reaction Information'!$P$13*10^5,'Reaction Information'!$Q$13)*Calculations!$U26*10^-6 + (1/$S26 - 1)*calculate_domegadP(Calculations!$M26,Calculations!$N26,Calculations!$Q26,'Reaction Information'!$C$13,'Reaction Information'!$P$13*10^5,'Reaction Information'!$Q$13,$D$20,$D$19=3))*41.84)</f>
        <v>33.433120618780009</v>
      </c>
      <c r="BN26" s="8" t="e">
        <f>IF(OR(ISBLANK(Input!$AA$4),$D$27=FALSE),NA(),('Reaction Information'!$J$17/10+'Reaction Information'!$K$17*100/(Calculations!$C$12+Calculations!$M26)+('Reaction Information'!$L$17+'Reaction Information'!$M$17*10000/(Calculations!$C$12+Calculations!$M26))/(Calculations!$O26-Calculations!$C$13)-calculateOmega(Calculations!M26,Calculations!N26,Calculations!Q26,'Reaction Information'!$C$17,'Reaction Information'!$P$17*10^5,'Reaction Information'!$Q$17)*Calculations!$U26*10^-6 + (1/$S26 - 1)*calculate_domegadP(Calculations!M26,Calculations!N26,Calculations!Q26,'Reaction Information'!$C$17,'Reaction Information'!$P$17*10^5,'Reaction Information'!$Q$17,$D$20,$D$19=3))*41.84)</f>
        <v>#N/A</v>
      </c>
      <c r="BO26" s="8" t="e">
        <f>IF(OR(ISBLANK(Input!$AD$4),$D$27=FALSE),NA(),('Reaction Information'!$J$21/10+'Reaction Information'!$K$21*100/(Calculations!$C$12+Calculations!$M26)+('Reaction Information'!$L$21+'Reaction Information'!$M$21*10000/(Calculations!$C$12+Calculations!$M26))/(Calculations!$O26-Calculations!$C$13)-calculateOmega(Calculations!M26,Calculations!N26,Calculations!Q26,'Reaction Information'!$C$21,'Reaction Information'!$P$21*10^5,'Reaction Information'!$Q$21)*Calculations!$U26*10^-6 + (1/$S26 - 1)*calculate_domegadP(Calculations!M26,Calculations!N26,Calculations!Q26,'Reaction Information'!$C$21,'Reaction Information'!$P$21*10^5,'Reaction Information'!$Q$21,$D$20,$D$19=3))*41.84)</f>
        <v>#N/A</v>
      </c>
      <c r="BP26" s="8" t="e">
        <f>IF(OR(ISBLANK(Input!$AG$4),$D$27=FALSE),NA(),('Reaction Information'!$J$25/10+'Reaction Information'!$K$25*100/(Calculations!$C$12+Calculations!$M26)+('Reaction Information'!$L$25+'Reaction Information'!$M$25*10000/(Calculations!$C$12+Calculations!$M26))/(Calculations!$O26-Calculations!$C$13)-calculateOmega(Calculations!M26,Calculations!N26,Calculations!Q26,'Reaction Information'!$C$25,'Reaction Information'!$P$25*10^5,'Reaction Information'!$Q$25)*Calculations!$U26*10^-6 + (1/$S26 - 1)*calculate_domegadP(Calculations!M26,Calculations!N26,Calculations!Q26,'Reaction Information'!$C$25,'Reaction Information'!$P$25*10^5,'Reaction Information'!$Q$25,$D$20,$D$19=3))*41.84)</f>
        <v>#N/A</v>
      </c>
      <c r="BQ26" s="8" t="e">
        <f>IF(OR(ISBLANK(Input!$AJ$4),$D$27=FALSE),NA(),('Reaction Information'!$J$29/10+'Reaction Information'!$K$29*100/(Calculations!$C$12+Calculations!$M26)+('Reaction Information'!$L$29+'Reaction Information'!$M$29*10000/(Calculations!$C$12+Calculations!$M26))/(Calculations!$O26-Calculations!$C$13)-calculateOmega(Calculations!M26,Calculations!N26,Calculations!Q26,'Reaction Information'!$C$29,'Reaction Information'!$P$29*10^5,'Reaction Information'!$Q$29)*Calculations!$U26*10^-6 + (1/$S26 - 1)*calculate_domegadP(Calculations!M26,Calculations!N26,Calculations!Q26,'Reaction Information'!$C$29,'Reaction Information'!$P$29*10^5,'Reaction Information'!$Q$29,$D$20,$D$19=3))*41.84)</f>
        <v>#N/A</v>
      </c>
      <c r="BR26" s="8" t="e">
        <f>IF(OR(ISBLANK(Input!$AM$4),$D$27=FALSE),NA(),('Reaction Information'!$J$33/10+'Reaction Information'!$K$33*100/(Calculations!$C$12+Calculations!$M26)+('Reaction Information'!$L$33+'Reaction Information'!$M$33*10000/(Calculations!$C$12+Calculations!$M26))/(Calculations!$O26-Calculations!$C$13)-calculateOmega(Calculations!M26,Calculations!N26,Calculations!Q26,'Reaction Information'!$C$33,'Reaction Information'!$P$33*10^5,'Reaction Information'!$Q$33)*Calculations!$U26*10^-6 + (1/$S26 - 1)*calculate_domegadP(Calculations!M26,Calculations!N26,Calculations!Q26,'Reaction Information'!$C$33,'Reaction Information'!$P$33*10^5,'Reaction Information'!$Q$33,$D$20,$D$19=3))*41.84)</f>
        <v>#N/A</v>
      </c>
      <c r="BS26" s="1">
        <f>Results!AW28</f>
        <v>0</v>
      </c>
      <c r="BT26" s="1">
        <f>Results!AX28</f>
        <v>0</v>
      </c>
      <c r="BU26" s="1">
        <f>Results!AY28</f>
        <v>0</v>
      </c>
      <c r="BV26" s="1">
        <f>Results!AZ28</f>
        <v>0</v>
      </c>
      <c r="BW26" s="1" t="e">
        <f>IF(OR(ISNA('Reaction Information'!$D$38), $N26 = "", $D$27 = FALSE, 'Reaction Information'!$D$38 = ""), NA(), 24.465)</f>
        <v>#N/A</v>
      </c>
      <c r="BX26" s="1" t="e">
        <f>IF(OR(ISNA('Reaction Information'!$D$42), $N26 = "", $D$27 = FALSE, 'Reaction Information'!$D$42 = ""), NA(), 24.465)</f>
        <v>#N/A</v>
      </c>
      <c r="BY26" s="8" t="e">
        <f t="shared" si="1"/>
        <v>#N/A</v>
      </c>
      <c r="BZ26" s="8">
        <f>IF(OR(ISBLANK(Input!$BK$4),$D$27=FALSE),NA(),('Reaction Information'!$J$46/10+'Reaction Information'!$K$46*100/(Calculations!$C$12+Calculations!$M26)+('Reaction Information'!$L$46+'Reaction Information'!$M$46*10000/(Calculations!$C$12+Calculations!$M26))/(Calculations!$O26-Calculations!$C$13)-calculateOmega(Calculations!M26,Calculations!N26,Calculations!Q26,'Reaction Information'!$C$46,'Reaction Information'!$P$46*10^5,'Reaction Information'!$Q$46)*Calculations!$U26*10^-6 + (1/$S26 - 1)*calculate_domegadP(Calculations!M26,Calculations!N26,Calculations!Q26,'Reaction Information'!$C$46,'Reaction Information'!$P$46*10^5,'Reaction Information'!$Q$46,$D$20,$D$19=3))*41.84)</f>
        <v>0</v>
      </c>
      <c r="CA26" s="8">
        <f>IF(OR(ISBLANK(Input!$BN$4),$D$27=FALSE),NA(),('Reaction Information'!$J$50/10+'Reaction Information'!$K$50*100/(Calculations!$C$12+Calculations!$M26)+('Reaction Information'!$L$50+'Reaction Information'!$M$50*10000/(Calculations!$C$12+Calculations!$M26))/(Calculations!$O26-Calculations!$C$13)-calculateOmega(Calculations!M26,Calculations!N26,Calculations!Q26,'Reaction Information'!$C$50,'Reaction Information'!$P$50*10^5,'Reaction Information'!$Q$50)*Calculations!$U26*10^-6 + (1/$S26 - 1)*calculate_domegadP(Calculations!M26,Calculations!N26,Calculations!Q26,'Reaction Information'!$C$50,'Reaction Information'!$P$50*10^5,'Reaction Information'!$Q$50,$D$20,$D$19=3))*41.84)</f>
        <v>26.659793744103403</v>
      </c>
      <c r="CB26" s="8" t="e">
        <f>IF(OR(ISBLANK(Input!$BQ$4),$D$27=FALSE),NA(),('Reaction Information'!$J$54/10+'Reaction Information'!$K$54*100/(Calculations!$C$12+Calculations!$M26)+('Reaction Information'!$L$54+'Reaction Information'!$M$54*10000/(Calculations!$C$12+Calculations!$M26))/(Calculations!$O26-Calculations!$C$13)-calculateOmega(Calculations!M26,Calculations!N26,Calculations!Q26,'Reaction Information'!$C$54,'Reaction Information'!$P$54*10^5,'Reaction Information'!$Q$54)*Calculations!$U26*10^-6 + (1/$S26 - 1)*calculate_domegadP(Calculations!M26,Calculations!N26,Calculations!Q26,'Reaction Information'!$C$54,'Reaction Information'!$P$54*10^5,'Reaction Information'!$Q$54,$D$20,$D$19=3))*41.84)</f>
        <v>#N/A</v>
      </c>
      <c r="CC26" s="8" t="e">
        <f>IF(OR(ISBLANK(Input!$BT$4),$D$27=FALSE),NA(),('Reaction Information'!$J$58/10+'Reaction Information'!$K$58*100/(Calculations!$C$12+Calculations!$M26)+('Reaction Information'!$L$58+'Reaction Information'!$M$58*10000/(Calculations!$C$12+Calculations!$M26))/(Calculations!$O26-Calculations!$C$13)-calculateOmega(Calculations!M26,Calculations!N26,Calculations!Q26,'Reaction Information'!$C$58,'Reaction Information'!$P$58*10^5,'Reaction Information'!$Q$58)*Calculations!$U26*10^-6 + (1/$S26 - 1)*calculate_domegadP(Calculations!M26,Calculations!N26,Calculations!Q26,'Reaction Information'!$C$58,'Reaction Information'!$P$58*10^5,'Reaction Information'!$Q$58,$D$20,$D$19=3))*41.84)</f>
        <v>#N/A</v>
      </c>
      <c r="CD26" s="8" t="e">
        <f>IF(OR(ISBLANK(Input!$BW$4),$D$27=FALSE),NA(),('Reaction Information'!$J$62/10+'Reaction Information'!$K$62*100/(Calculations!$C$12+Calculations!$M26)+('Reaction Information'!$L$62+'Reaction Information'!$M$62*10000/(Calculations!$C$12+Calculations!$M26))/(Calculations!$O26-Calculations!$C$13)-calculateOmega(Calculations!M26,Calculations!N26,Calculations!Q26,'Reaction Information'!$C$62,'Reaction Information'!$P$62*10^5,'Reaction Information'!$Q$62)*Calculations!$U26*10^-6 + (1/$S26 - 1)*calculate_domegadP(Calculations!M26,Calculations!N26,Calculations!Q26,'Reaction Information'!$C$62,'Reaction Information'!$P$62*10^5,'Reaction Information'!$Q$62,$D$20,$D$19=3))*41.84)</f>
        <v>#N/A</v>
      </c>
      <c r="CE26" s="8" t="e">
        <f>IF(OR(ISBLANK(Input!$BZ$4),$D$27=FALSE),NA(),('Reaction Information'!$J$66/10+'Reaction Information'!$K$66*100/(Calculations!$C$12+Calculations!$M26)+('Reaction Information'!$L$66+'Reaction Information'!$M$66*10000/(Calculations!$C$12+Calculations!$M26))/(Calculations!$O26-Calculations!$C$13)-calculateOmega(Calculations!M26,Calculations!N26,Calculations!Q26,'Reaction Information'!$C$66,'Reaction Information'!$P$66*10^5,'Reaction Information'!$Q$66)*Calculations!$U26*10^-6 + (1/$S26 - 1)*calculate_domegadP(Calculations!M26,Calculations!N26,Calculations!Q26,'Reaction Information'!$C$66,'Reaction Information'!$P$66*10^5,'Reaction Information'!$Q$66,$D$20,$D$19=3))*41.84)</f>
        <v>#N/A</v>
      </c>
      <c r="CF26" s="31">
        <f>(BS26*Input!$AO$4+BT26*Input!$AR$4+BU26*Input!$AU$4+BV26*Input!$AX$4+IF(ISNA(BW26),0,BW26*Input!$BA$4)+IF(ISNA(BX26),0,BX26*Input!$BD$4)+IF(ISNA(BY26),0,BY26*Input!$BG$4)+IF(ISNA(BZ26),0,BZ26*Input!$BJ$4)+IF(ISNA(CA26),0,CA26*Input!$BM$4)+IF(ISNA(CB26),0,CB26*Input!$BP$4)+IF(ISNA(CC26),0,CC26*Input!$BS$4)+IF(ISNA(CD26),0,CD26*Input!$BV$4)+IF(ISNA(CE26),0,CE26*Input!$BY$4))-(BF26*Input!$B$4+BG26*Input!$E$4+BH26*Input!$H$4+BI26*Input!$K$4+IF(ISNA(BJ26),0,BJ26*Input!$N$4)+IF(ISNA(BK26),0,BK26*Input!$Q$4)+IF(ISNA(BL26),0,BL26*Input!$T$4)+IF(ISNA(BM26),0,BM26*Input!$W$4)+IF(ISNA(BN26),0,BN26*Input!$Z$4)+IF(ISNA(BO26),0,BO26*Input!$AC$4)+IF(ISNA(BP26),0,BP26*Input!$AF$4)+IF(ISNA(BQ26),0,BQ26*Input!$AI$4)+IF(ISNA(BR26),0,BR26*Input!$AL$4))</f>
        <v>-25.08774940597219</v>
      </c>
      <c r="CG26" s="1">
        <f t="shared" si="12"/>
        <v>550</v>
      </c>
      <c r="CH26" s="46">
        <f t="shared" si="13"/>
        <v>10000</v>
      </c>
      <c r="CI26" s="1"/>
    </row>
    <row r="27" spans="1:87" x14ac:dyDescent="0.2">
      <c r="A27" s="1"/>
      <c r="B27" s="273" t="s">
        <v>680</v>
      </c>
      <c r="C27" s="273"/>
      <c r="D27" s="7" t="b">
        <f>OR(AND(D25,$D$19&lt;3),AND(D26,$D$19=3))</f>
        <v>1</v>
      </c>
      <c r="E27" s="1"/>
      <c r="F27" s="2">
        <v>22</v>
      </c>
      <c r="G27" s="1" t="str">
        <f>IF(ISBLANK(Input!CB27), "", Input!CB27*1000)</f>
        <v/>
      </c>
      <c r="H27" s="1" t="str">
        <f>IF(ISBLANK(Input!CC27), "", Input!CC27)</f>
        <v/>
      </c>
      <c r="I27" s="1">
        <f>IF(Input!$CF$5 + Input!$CF$6*(FLOOR((Calculations!$F27-1)/(FLOOR((Input!$CF$12-Input!$CF$10)/Input!$CF$11,1)+1),1)) &gt; Input!$CF$7, "", (Input!$CF$5 + Input!$CF$6*(FLOOR((Calculations!$F27-1)/(FLOOR((Input!$CF$12-Input!$CF$10)/Input!$CF$11,1)+1),1)))*1000)</f>
        <v>10000</v>
      </c>
      <c r="J27" s="1">
        <f>IF(Calculations!I27 = "", "", Input!$CF$10 + Input!$CF$11*(Calculations!$F27-1) - (FLOOR((Input!$CF$12-Input!$CF$10)/Input!$CF$11,1)+1)*Input!$CF$11*FLOOR((Calculations!$F27-1)/(FLOOR((Input!$CF$12-Input!$CF$10)/Input!$CF$11,1)+1),1))</f>
        <v>600</v>
      </c>
      <c r="K27" s="8" t="str">
        <f t="shared" si="14"/>
        <v/>
      </c>
      <c r="L27" s="117" t="str">
        <f>IF(OR(Input!$CJ$5 + Input!$CJ$6*(Calculations!F27-1) &gt; Input!$CJ$7, Input!$CJ$5 + Input!$CJ$6*(Calculations!F27-1) &gt; 350), "", Input!$CJ$5 + Input!$CJ$6*(Calculations!F27-1))</f>
        <v/>
      </c>
      <c r="M27" s="1">
        <f t="shared" si="2"/>
        <v>10000</v>
      </c>
      <c r="N27" s="1">
        <f t="shared" si="3"/>
        <v>600</v>
      </c>
      <c r="O27" s="1">
        <f t="shared" si="4"/>
        <v>873.15</v>
      </c>
      <c r="P27" s="1" t="e">
        <f>IF(OR($D$20=3,AND($D$21=TRUE,M27&lt;1000)),INDEX('Water Density'!$C$6:$CX$120,MATCH(Calculations!N27,'Water Density'!$B$6:$B$120),MATCH(Calculations!M27/1000,'Water Density'!$C$5:$CX$5)),NA())</f>
        <v>#N/A</v>
      </c>
      <c r="Q27" s="182">
        <f>IF(OR($D$20=3,AND($D$21=TRUE,M27&lt;1000)), IF(P27&lt;&gt;0,P27,NA()), calculateDensity(M27,N27,$D$20,0.01,$D$19 = 3))</f>
        <v>0.96067984714746479</v>
      </c>
      <c r="R27" s="1" t="e">
        <f>IF($D$22=5,INDEX('Dielectric Constant'!$C$6:$CX$120,MATCH(Calculations!N27,'Dielectric Constant'!$B$6:$B$120),MATCH(Calculations!M27/1000,'Dielectric Constant'!$C$5:$CX$5)),NA())</f>
        <v>#N/A</v>
      </c>
      <c r="S27" s="58">
        <f>IF($D$22=5, IF(R27&lt;&gt;0,R27,NA()), IF(AND($D$23,M27&lt;=5000,$D$19 &lt;&gt; 3),calculateEpsilon(Q27,N27,1,FALSE),calculateEpsilon(Q27,N27,$D$22,$D$19 = 3)))</f>
        <v>19.248241926725267</v>
      </c>
      <c r="T27" s="1" t="e">
        <f>IF($D$24=3,INDEX('Water Free Energy'!$C$6:$CX$120,MATCH(Calculations!N27,'Water Free Energy'!$B$6:$B$120),MATCH(Calculations!M27/1000,'Water Free Energy'!$C$5:$CX$5)),NA())</f>
        <v>#N/A</v>
      </c>
      <c r="U27" s="179">
        <f>IF($D$27,calculateQ(M27,N27,Q27,$D$20,$D$22,$D$19=3)*10^6,NA())</f>
        <v>1.2014702958390098</v>
      </c>
      <c r="V27"/>
      <c r="W27" s="2">
        <f t="shared" si="5"/>
        <v>10000</v>
      </c>
      <c r="X27" s="1">
        <f t="shared" si="6"/>
        <v>600</v>
      </c>
      <c r="Y27" s="1">
        <f>Results!F29</f>
        <v>0</v>
      </c>
      <c r="Z27" s="1">
        <f>Results!G29</f>
        <v>0</v>
      </c>
      <c r="AA27" s="1">
        <f>Results!H29</f>
        <v>0</v>
      </c>
      <c r="AB27" s="1">
        <f>Results!I29</f>
        <v>0</v>
      </c>
      <c r="AC27" s="1" t="e">
        <f>IF(ISBLANK(Input!$O$4),NA(),'Reaction Information'!$E$5-'Reaction Information'!$G$5*(Calculations!$O27-Calculations!$C$8)+'Reaction Information'!$I$5*(Calculations!$O27-Calculations!$C$8-Calculations!$O27*LN(Calculations!$O27/Calculations!$C$8))+'Reaction Information'!$J$5*0.001/2*(2*Calculations!$O27*Calculations!$C$8-Calculations!$O27^2-Calculations!$C$8^2) + 'Reaction Information'!$K$5*100000*(Calculations!$O27^2 + Calculations!$C$8^2 - 2*Calculations!$O27*Calculations!$C$8)/(2*Calculations!$O27*Calculations!$C$8^2))</f>
        <v>#N/A</v>
      </c>
      <c r="AD27" s="8" t="e">
        <f>IF(ISBLANK(Input!$R$4),NA(),'Reaction Information'!$E$9-'Reaction Information'!$G$9*(Calculations!$O27-Calculations!$C$8)+'Reaction Information'!$I$9*(Calculations!$O27-Calculations!$C$8-Calculations!$O27*LN(Calculations!$O27/Calculations!$C$8))+'Reaction Information'!$J$9*0.001/2*(2*Calculations!$O27*Calculations!$C$8-Calculations!$O27^2-Calculations!$C$8^2) + 'Reaction Information'!$K$9*100000*(Calculations!$O27^2 + Calculations!$C$8^2 - 2*Calculations!$O27*Calculations!$C$8)/(2*Calculations!$O27*Calculations!$C$8^2))</f>
        <v>#N/A</v>
      </c>
      <c r="AE27" s="8">
        <f>IF(AE$5="H2O",IF($D$24=3,IF(T27=0,NA(),T27),calculateGibbsOfWater(M27,N27,$D$24,$D$20,$D$19=3)),NA())</f>
        <v>-67287.608607038332</v>
      </c>
      <c r="AF27" s="8">
        <f>IF(ISBLANK(Input!$X$4),NA(),'Reaction Information'!$E$13-'Reaction Information'!$G$13*(Calculations!O27-Calculations!$C$8)-'Reaction Information'!$N$13*(Calculations!O27*LN(Calculations!O27/Calculations!$C$8)-Calculations!O27+Calculations!$C$8)-'Reaction Information'!$O$13*10^4*(((1/(Calculations!O27-Calculations!$C$13))-(1/(Calculations!$C$8-Calculations!$C$13)))*((Calculations!$C$13-Calculations!O27)/(Calculations!$C$13))-(Calculations!O27/(Calculations!$C$13*Calculations!$C$13))*LN((Calculations!$C$8*(Calculations!O27-Calculations!$C$13))/(Calculations!O27*(Calculations!$C$8-Calculations!$C$13))))+'Reaction Information'!$J$13*10^-1*(Calculations!M27-Calculations!$C$9)+'Reaction Information'!$K$13*10^2*LN((Calculations!$C$12+Calculations!M27)/(Calculations!$C$12+Calculations!$C$9))+(1/(Calculations!O27-Calculations!$C$13))*('Reaction Information'!$L$13*(Calculations!M27-Calculations!$C$9)+'Reaction Information'!$M$13*10^4*LN((Calculations!$C$12+Calculations!M27)/(Calculations!$C$12+Calculations!$C$9)))+calculateOmega(Calculations!M27,Calculations!N27,Calculations!Q27,'Reaction Information'!$C$13,'Reaction Information'!$P$13*10^5,'Reaction Information'!$Q$13)*((1/Calculations!S27)-1)-'Reaction Information'!$P$13*10^5*((1/Calculations!$C$10)-1)+'Reaction Information'!$P$13*10^5*Calculations!$C$14*(Calculations!O27-Calculations!$C$8))</f>
        <v>-109176.15587752072</v>
      </c>
      <c r="AG27" s="8" t="e">
        <f>IF(ISBLANK(Input!$AA$4),NA(),'Reaction Information'!$E$17-'Reaction Information'!$G$17*(Calculations!$O27-Calculations!$C$8)-'Reaction Information'!$N$17*(Calculations!$O27*LN(Calculations!$O27/Calculations!$C$8)-Calculations!$O27+Calculations!$C$8)-'Reaction Information'!$O$17*10^4*(((1/(Calculations!$O27-Calculations!$C$13))-(1/(Calculations!$C$8-Calculations!$C$13)))*((Calculations!$C$13-Calculations!$O27)/(Calculations!$C$13))-(Calculations!$O27/(Calculations!$C$13*Calculations!$C$13))*LN((Calculations!$C$8*(Calculations!$O27-Calculations!$C$13))/(Calculations!$O27*(Calculations!$C$8-Calculations!$C$13))))+'Reaction Information'!$J$17*10^-1*(Calculations!$M27-Calculations!$C$9)+'Reaction Information'!$K$17*10^2*LN((Calculations!$C$12+Calculations!$M27)/(Calculations!$C$12+Calculations!$C$9))+(1/(Calculations!$O27-Calculations!$C$13))*('Reaction Information'!$L$17*(Calculations!$M27-Calculations!$C$9)+'Reaction Information'!$M$17*10^4*LN((Calculations!$C$12+Calculations!$M27)/(Calculations!$C$12+Calculations!$C$9)))+calculateOmega(Calculations!M27,Calculations!N27,Calculations!Q27,'Reaction Information'!$C$17,'Reaction Information'!$P$17*10^5,'Reaction Information'!$Q$17)*((1/Calculations!$S27)-1)-'Reaction Information'!$P$17*10^5*((1/Calculations!$C$10)-1)+'Reaction Information'!$P$17*10^5*Calculations!$C$14*(Calculations!$O27-Calculations!$C$8))</f>
        <v>#N/A</v>
      </c>
      <c r="AH27" s="8" t="e">
        <f>IF(ISBLANK(Input!$AD$4),NA(),'Reaction Information'!$E$21-'Reaction Information'!$G$21*(Calculations!$O27-Calculations!$C$8)-'Reaction Information'!$N$21*(Calculations!$O27*LN(Calculations!$O27/Calculations!$C$8)-Calculations!$O27+Calculations!$C$8)-'Reaction Information'!$O$21*10^4*(((1/(Calculations!$O27-Calculations!$C$13))-(1/(Calculations!$C$8-Calculations!$C$13)))*((Calculations!$C$13-Calculations!$O27)/(Calculations!$C$13))-(Calculations!$O27/(Calculations!$C$13*Calculations!$C$13))*LN((Calculations!$C$8*(Calculations!$O27-Calculations!$C$13))/(Calculations!$O27*(Calculations!$C$8-Calculations!$C$13))))+'Reaction Information'!$J$21*10^-1*(Calculations!$M27-Calculations!$C$9)+'Reaction Information'!$K$21*10^2*LN((Calculations!$C$12+Calculations!$M27)/(Calculations!$C$12+Calculations!$C$9))+(1/(Calculations!$O27-Calculations!$C$13))*('Reaction Information'!$L$21*(Calculations!$M27-Calculations!$C$9)+'Reaction Information'!$M$21*10^4*LN((Calculations!$C$12+Calculations!$M27)/(Calculations!$C$12+Calculations!$C$9)))+calculateOmega(Calculations!M27,Calculations!N27,Calculations!Q27,'Reaction Information'!$C$21,'Reaction Information'!$P$21*10^5,'Reaction Information'!$Q$21)*((1/Calculations!$S27)-1)-'Reaction Information'!$P$21*10^5*((1/Calculations!$C$10)-1)+'Reaction Information'!$P$21*10^5*Calculations!$C$14*(Calculations!$O27-Calculations!$C$8))</f>
        <v>#N/A</v>
      </c>
      <c r="AI27" s="8" t="e">
        <f>IF(ISBLANK(Input!$AG$4),NA(),'Reaction Information'!$E$25-'Reaction Information'!$G$25*(Calculations!$O27-Calculations!$C$8)-'Reaction Information'!$N$25*(Calculations!$O27*LN(Calculations!$O27/Calculations!$C$8)-Calculations!$O27+Calculations!$C$8)-'Reaction Information'!$O$25*10^4*(((1/(Calculations!$O27-Calculations!$C$13))-(1/(Calculations!$C$8-Calculations!$C$13)))*((Calculations!$C$13-Calculations!$O27)/(Calculations!$C$13))-(Calculations!$O27/(Calculations!$C$13*Calculations!$C$13))*LN((Calculations!$C$8*(Calculations!$O27-Calculations!$C$13))/(Calculations!$O27*(Calculations!$C$8-Calculations!$C$13))))+'Reaction Information'!$J$25*10^-1*(Calculations!$M27-Calculations!$C$9)+'Reaction Information'!$K$25*10^2*LN((Calculations!$C$12+Calculations!$M27)/(Calculations!$C$12+Calculations!$C$9))+(1/(Calculations!$O27-Calculations!$C$13))*('Reaction Information'!$L$25*(Calculations!$M27-Calculations!$C$9)+'Reaction Information'!$M$25*10^4*LN((Calculations!$C$12+Calculations!$M27)/(Calculations!$C$12+Calculations!$C$9)))+calculateOmega(Calculations!M27,Calculations!N27,Calculations!Q27,'Reaction Information'!$C$25,'Reaction Information'!$P$25*10^5,'Reaction Information'!$Q$25)*((1/Calculations!$S27)-1)-'Reaction Information'!$P$25*10^5*((1/Calculations!$C$10)-1)+'Reaction Information'!$P$25*10^5*Calculations!$C$14*(Calculations!$O27-Calculations!$C$8))</f>
        <v>#N/A</v>
      </c>
      <c r="AJ27" s="8" t="e">
        <f>IF(ISBLANK(Input!$AJ$4),NA(),'Reaction Information'!$E$29-'Reaction Information'!$G$29*(Calculations!$O27-Calculations!$C$8)-'Reaction Information'!$N$29*(Calculations!$O27*LN(Calculations!$O27/Calculations!$C$8)-Calculations!$O27+Calculations!$C$8)-'Reaction Information'!$O$29*10^4*(((1/(Calculations!$O27-Calculations!$C$13))-(1/(Calculations!$C$8-Calculations!$C$13)))*((Calculations!$C$13-Calculations!$O27)/(Calculations!$C$13))-(Calculations!$O27/(Calculations!$C$13*Calculations!$C$13))*LN((Calculations!$C$8*(Calculations!$O27-Calculations!$C$13))/(Calculations!$O27*(Calculations!$C$8-Calculations!$C$13))))+'Reaction Information'!$J$29*10^-1*(Calculations!$M27-Calculations!$C$9)+'Reaction Information'!$K$29*10^2*LN((Calculations!$C$12+Calculations!$M27)/(Calculations!$C$12+Calculations!$C$9))+(1/(Calculations!$O27-Calculations!$C$13))*('Reaction Information'!$L$29*(Calculations!$M27-Calculations!$C$9)+'Reaction Information'!$M$29*10^4*LN((Calculations!$C$12+Calculations!$M27)/(Calculations!$C$12+Calculations!$C$9)))+calculateOmega(Calculations!M27,Calculations!N27,Calculations!Q27,'Reaction Information'!$C$29,'Reaction Information'!$P$29*10^5,'Reaction Information'!$Q$29)*((1/Calculations!$S27)-1)-'Reaction Information'!$P$29*10^5*((1/Calculations!$C$10)-1)+'Reaction Information'!$P$29*10^5*Calculations!$C$14*(Calculations!$O27-Calculations!$C$8))</f>
        <v>#N/A</v>
      </c>
      <c r="AK27" s="8" t="e">
        <f>IF(ISBLANK(Input!$AM$4),NA(),'Reaction Information'!$E$33-'Reaction Information'!$G$33*(Calculations!$O27-Calculations!$C$8)-'Reaction Information'!$N$33*(Calculations!$O27*LN(Calculations!$O27/Calculations!$C$8)-Calculations!$O27+Calculations!$C$8)-'Reaction Information'!$O$33*10^4*(((1/(Calculations!$O27-Calculations!$C$13))-(1/(Calculations!$C$8-Calculations!$C$13)))*((Calculations!$C$13-Calculations!$O27)/(Calculations!$C$13))-(Calculations!$O27/(Calculations!$C$13*Calculations!$C$13))*LN((Calculations!$C$8*(Calculations!$O27-Calculations!$C$13))/(Calculations!$O27*(Calculations!$C$8-Calculations!$C$13))))+'Reaction Information'!$J$33*10^-1*(Calculations!$M27-Calculations!$C$9)+'Reaction Information'!$K$33*10^2*LN((Calculations!$C$12+Calculations!$M27)/(Calculations!$C$12+Calculations!$C$9))+(1/(Calculations!$O27-Calculations!$C$13))*('Reaction Information'!$L$33*(Calculations!$M27-Calculations!$C$9)+'Reaction Information'!$M$33*10^4*LN((Calculations!$C$12+Calculations!$M27)/(Calculations!$C$12+Calculations!$C$9)))+calculateOmega(Calculations!M27,Calculations!N27,Calculations!Q27,'Reaction Information'!$C$33,'Reaction Information'!$P$33*10^5,'Reaction Information'!$Q$33)*((1/Calculations!$S27)-1)-'Reaction Information'!$P$33*10^5*((1/Calculations!$C$10)-1)+'Reaction Information'!$P$33*10^5*Calculations!$C$14*(Calculations!$O27-Calculations!$C$8))</f>
        <v>#N/A</v>
      </c>
      <c r="AL27" s="1">
        <f>Results!S29</f>
        <v>0</v>
      </c>
      <c r="AM27" s="1">
        <f>Results!T29</f>
        <v>0</v>
      </c>
      <c r="AN27" s="1">
        <f>Results!U29</f>
        <v>0</v>
      </c>
      <c r="AO27" s="1">
        <f>Results!V29</f>
        <v>0</v>
      </c>
      <c r="AP27" s="8" t="e">
        <f>IF(ISBLANK(Input!$BB$4),NA(),'Reaction Information'!$E$38-'Reaction Information'!$G$38*(Calculations!$O27-Calculations!$C$8)+'Reaction Information'!$I$38*(Calculations!$O27-Calculations!$C$8-Calculations!$O27*LN(Calculations!$O27/Calculations!$C$8))+'Reaction Information'!$J$38*0.001/2*(2*Calculations!$O27*Calculations!$C$8-Calculations!$O27^2-Calculations!$C$8^2) + 'Reaction Information'!$K$38*100000*(Calculations!$O27^2 + Calculations!$C$8^2 - 2*Calculations!$O27*Calculations!$C$8)/(2*Calculations!$O27*Calculations!$C$8^2))</f>
        <v>#N/A</v>
      </c>
      <c r="AQ27" s="8" t="e">
        <f>IF(ISBLANK(Input!$BE$4),NA(),'Reaction Information'!$E$42-'Reaction Information'!$G$42*(Calculations!$O27-Calculations!$C$8)+'Reaction Information'!$I$42*(Calculations!$O27-Calculations!$C$8-Calculations!$O27*LN(Calculations!$O27/Calculations!$C$8))+'Reaction Information'!$J$42*0.001/2*(2*Calculations!$O27*Calculations!$C$8-Calculations!$O27^2-Calculations!$C$8^2) + 'Reaction Information'!$K$42*100000*(Calculations!$O27^2 + Calculations!$C$8^2 - 2*Calculations!$O27*Calculations!$C$8)/(2*Calculations!$O27*Calculations!$C$8^2))</f>
        <v>#N/A</v>
      </c>
      <c r="AR27" s="8" t="e">
        <f>IF(AR$5="H2O", IF($D$24=3,IF(T27=0,NA(),T27),calculateGibbsOfWater(M27,N27,$D$24,$D$20,$D$19=3)),NA())</f>
        <v>#N/A</v>
      </c>
      <c r="AS27" s="8">
        <f>IF(ISBLANK(Input!$BK$4),NA(),'Reaction Information'!$E$46-'Reaction Information'!$G$46*(Calculations!O27-Calculations!$C$8)-'Reaction Information'!$N$46*(Calculations!O27*LN(Calculations!O27/Calculations!$C$8)-Calculations!O27+Calculations!$C$8)-'Reaction Information'!$O$46*10^4*(((1/(Calculations!O27-Calculations!$C$13))-(1/(Calculations!$C$8-Calculations!$C$13)))*((Calculations!$C$13-Calculations!O27)/(Calculations!$C$13))-(Calculations!O27/(Calculations!$C$13*Calculations!$C$13))*LN((Calculations!$C$8*(Calculations!O27-Calculations!$C$13))/(Calculations!O27*(Calculations!$C$8-Calculations!$C$13))))+'Reaction Information'!$J$46*10^-1*(Calculations!$M27-Calculations!$C$9)+'Reaction Information'!$K$46*10^2*LN((Calculations!$C$12+Calculations!$M27)/(Calculations!$C$12+Calculations!$C$9))+(1/(Calculations!O27-Calculations!$C$13))*('Reaction Information'!$L$46*(Calculations!$M27-Calculations!$C$9)+'Reaction Information'!$M$46*10^4*LN((Calculations!$C$12+Calculations!$M27)/(Calculations!$C$12+Calculations!$C$9)))+calculateOmega(Calculations!M27,Calculations!N27,Calculations!Q27,'Reaction Information'!$C$46,'Reaction Information'!$P$46*10^5,'Reaction Information'!$Q$46)*((1/Calculations!S27)-1)-'Reaction Information'!$P$46*10^5*((1/Calculations!$C$10)-1)+'Reaction Information'!$P$46*10^5*Calculations!$C$14*(Calculations!O27-Calculations!$C$8))</f>
        <v>0</v>
      </c>
      <c r="AT27" s="8">
        <f>IF(ISBLANK(Input!$BN$4),NA(),'Reaction Information'!$E$50-'Reaction Information'!$G$50*(Calculations!O27-Calculations!$C$8)-'Reaction Information'!$N$50*(Calculations!O27*LN(Calculations!O27/Calculations!$C$8)-Calculations!O27+Calculations!$C$8)-'Reaction Information'!$O$50*10^4*(((1/(Calculations!O27-Calculations!$C$13))-(1/(Calculations!$C$8-Calculations!$C$13)))*((Calculations!$C$13-Calculations!O27)/(Calculations!$C$13))-(Calculations!O27/(Calculations!$C$13*Calculations!$C$13))*LN((Calculations!$C$8*(Calculations!O27-Calculations!$C$13))/(Calculations!O27*(Calculations!$C$8-Calculations!$C$13))))+'Reaction Information'!$J$50*10^-1*(Calculations!$M27-Calculations!$C$9)+'Reaction Information'!$K$50*10^2*LN((Calculations!$C$12+Calculations!$M27)/(Calculations!$C$12+Calculations!$C$9))+(1/(Calculations!O27-Calculations!$C$13))*('Reaction Information'!$L$50*(Calculations!$M27-Calculations!$C$9)+'Reaction Information'!$M$50*10^4*LN((Calculations!$C$12+Calculations!$M27)/(Calculations!$C$12+Calculations!$C$9)))+calculateOmega(Calculations!M27,Calculations!N27,Calculations!Q27,'Reaction Information'!$C$50,'Reaction Information'!$P$50*10^5,'Reaction Information'!$Q$50)*((1/Calculations!S27)-1)-'Reaction Information'!$P$50*10^5*((1/Calculations!$C$10)-1)+'Reaction Information'!$P$50*10^5*Calculations!$C$14*(Calculations!O27-Calculations!$C$8))</f>
        <v>-148689.57205300726</v>
      </c>
      <c r="AU27" s="8" t="e">
        <f>IF(ISBLANK(Input!$BQ$4),NA(),'Reaction Information'!$E$54-'Reaction Information'!$G$54*(Calculations!$O27-Calculations!$C$8)-'Reaction Information'!$N$54*(Calculations!$O27*LN(Calculations!$O27/Calculations!$C$8)-Calculations!$O27+Calculations!$C$8)-'Reaction Information'!$O$54*10^4*(((1/(Calculations!$O27-Calculations!$C$13))-(1/(Calculations!$C$8-Calculations!$C$13)))*((Calculations!$C$13-Calculations!$O27)/(Calculations!$C$13))-(Calculations!$O27/(Calculations!$C$13*Calculations!$C$13))*LN((Calculations!$C$8*(Calculations!$O27-Calculations!$C$13))/(Calculations!$O27*(Calculations!$C$8-Calculations!$C$13))))+'Reaction Information'!$J$54*10^-1*(Calculations!$M27-Calculations!$C$9)+'Reaction Information'!$K$54*10^2*LN((Calculations!$C$12+Calculations!$M27)/(Calculations!$C$12+Calculations!$C$9))+(1/(Calculations!$O27-Calculations!$C$13))*('Reaction Information'!$L$54*(Calculations!$M27-Calculations!$C$9)+'Reaction Information'!$M$54*10^4*LN((Calculations!$C$12+Calculations!$M27)/(Calculations!$C$12+Calculations!$C$9)))+calculateOmega(Calculations!M27,Calculations!N27,Calculations!Q27,'Reaction Information'!$C$54,'Reaction Information'!$P$54*10^5,'Reaction Information'!$Q$54)*((1/Calculations!$S27)-1)-'Reaction Information'!$P$54*10^5*((1/Calculations!$C$10)-1)+'Reaction Information'!$P$54*10^5*Calculations!$C$14*(Calculations!$O27-Calculations!$C$8))</f>
        <v>#N/A</v>
      </c>
      <c r="AV27" s="8" t="e">
        <f>IF(ISBLANK(Input!$BT$4),NA(),'Reaction Information'!$E$58-'Reaction Information'!$G$58*(Calculations!$O27-Calculations!$C$8)-'Reaction Information'!$N$58*(Calculations!$O27*LN(Calculations!$O27/Calculations!$C$8)-Calculations!$O27+Calculations!$C$8)-'Reaction Information'!$O$58*10^4*(((1/(Calculations!$O27-Calculations!$C$13))-(1/(Calculations!$C$8-Calculations!$C$13)))*((Calculations!$C$13-Calculations!$O27)/(Calculations!$C$13))-(Calculations!$O27/(Calculations!$C$13*Calculations!$C$13))*LN((Calculations!$C$8*(Calculations!$O27-Calculations!$C$13))/(Calculations!$O27*(Calculations!$C$8-Calculations!$C$13))))+'Reaction Information'!$J$58*10^-1*(Calculations!$M27-Calculations!$C$9)+'Reaction Information'!$K$58*10^2*LN((Calculations!$C$12+Calculations!$M27)/(Calculations!$C$12+Calculations!$C$9))+(1/(Calculations!$O27-Calculations!$C$13))*('Reaction Information'!$L$58*(Calculations!$M27-Calculations!$C$9)+'Reaction Information'!$M$58*10^4*LN((Calculations!$C$12+Calculations!$M27)/(Calculations!$C$12+Calculations!$C$9)))+calculateOmega(Calculations!M27,Calculations!N27,Calculations!Q27,'Reaction Information'!$C$58,'Reaction Information'!$P$58*10^5,'Reaction Information'!$Q$58)*((1/Calculations!$S27)-1)-'Reaction Information'!$P$58*10^5*((1/Calculations!$C$10)-1)+'Reaction Information'!$P$58*10^5*Calculations!$C$14*(Calculations!$O27-Calculations!$C$8))</f>
        <v>#N/A</v>
      </c>
      <c r="AW27" s="8" t="e">
        <f>IF(ISBLANK(Input!$BW$4),NA(),'Reaction Information'!$E$62-'Reaction Information'!$G$62*(Calculations!$O27-Calculations!$C$8)-'Reaction Information'!$N$62*(Calculations!$O27*LN(Calculations!$O27/Calculations!$C$8)-Calculations!$O27+Calculations!$C$8)-'Reaction Information'!$O$62*10^4*(((1/(Calculations!$O27-Calculations!$C$13))-(1/(Calculations!$C$8-Calculations!$C$13)))*((Calculations!$C$13-Calculations!$O27)/(Calculations!$C$13))-(Calculations!$O27/(Calculations!$C$13*Calculations!$C$13))*LN((Calculations!$C$8*(Calculations!$O27-Calculations!$C$13))/(Calculations!$O27*(Calculations!$C$8-Calculations!$C$13))))+'Reaction Information'!$J$62*10^-1*(Calculations!$M27-Calculations!$C$9)+'Reaction Information'!$K$62*10^2*LN((Calculations!$C$12+Calculations!$M27)/(Calculations!$C$12+Calculations!$C$9))+(1/(Calculations!$O27-Calculations!$C$13))*('Reaction Information'!$L$62*(Calculations!$M27-Calculations!$C$9)+'Reaction Information'!$M$62*10^4*LN((Calculations!$C$12+Calculations!$M27)/(Calculations!$C$12+Calculations!$C$9)))+calculateOmega(Calculations!M27,Calculations!N27,Calculations!Q27,'Reaction Information'!$C$62,'Reaction Information'!$P$62*10^5,'Reaction Information'!$Q$62)*((1/Calculations!$S27)-1)-'Reaction Information'!$P$62*10^5*((1/Calculations!$C$10)-1)+'Reaction Information'!$P$62*10^5*Calculations!$C$14*(Calculations!$O27-Calculations!$C$8))</f>
        <v>#N/A</v>
      </c>
      <c r="AX27" s="8" t="e">
        <f>IF(ISBLANK(Input!$BZ$4),NA(),'Reaction Information'!$E$66-'Reaction Information'!$G$66*(Calculations!$O27-Calculations!$C$8)-'Reaction Information'!$N$66*(Calculations!$O27*LN(Calculations!$O27/Calculations!$C$8)-Calculations!$O27+Calculations!$C$8)-'Reaction Information'!$O$66*10^4*(((1/(Calculations!$O27-Calculations!$C$13))-(1/(Calculations!$C$8-Calculations!$C$13)))*((Calculations!$C$13-Calculations!$O27)/(Calculations!$C$13))-(Calculations!$O27/(Calculations!$C$13*Calculations!$C$13))*LN((Calculations!$C$8*(Calculations!$O27-Calculations!$C$13))/(Calculations!$O27*(Calculations!$C$8-Calculations!$C$13))))+'Reaction Information'!$J$66*10^-1*(Calculations!$M27-Calculations!$C$9)+'Reaction Information'!$K$66*10^2*LN((Calculations!$C$12+Calculations!$M27)/(Calculations!$C$12+Calculations!$C$9))+(1/(Calculations!$O27-Calculations!$C$13))*('Reaction Information'!$L$66*(Calculations!$M27-Calculations!$C$9)+'Reaction Information'!$M$66*10^4*LN((Calculations!$C$12+Calculations!$M27)/(Calculations!$C$12+Calculations!$C$9)))+calculateOmega(Calculations!M27,Calculations!N27,Calculations!Q27,'Reaction Information'!$C$66,'Reaction Information'!$P$66*10^5,'Reaction Information'!$Q$66)*((1/Calculations!$S27)-1)-'Reaction Information'!$P$66*10^5*((1/Calculations!$C$10)-1)+'Reaction Information'!$P$66*10^5*Calculations!$C$14*(Calculations!$O27-Calculations!$C$8))</f>
        <v>#N/A</v>
      </c>
      <c r="AY27" s="31">
        <f>(AL27*Input!$AO$4+AM27*Input!$AR$4+AN27*Input!$AU$4+AO27*Input!$AX$4+IF(ISNA(AP27),0,AP27*Input!$BA$4)+IF(ISNA(AQ27),0,AQ27*Input!$BD$4)+IF(ISNA(AR27),0,AR27*Input!$BG$4)+IF(ISNA(AS27),0,AS27*Input!$BJ$4)+IF(ISNA(AT27),0,AT27*Input!$BM$4)+IF(ISNA(AU27),0,AU27*Input!$BP$4)+IF(ISNA(AV27),0,AV27*Input!$BS$4)+IF(ISNA(AW27),0,AW27*Input!$BV$4)+IF(ISNA(AX27),0,AX27*Input!$BY$4))-(Y27*Input!$B$4+Z27*Input!$E$4+AA27*Input!$H$4+AB27*Input!$K$4+IF(ISNA(AC27),0,AC27*Input!$N$4)+IF(ISNA(AD27),0,AD27*Input!$Q$4)+IF(ISNA(AE27),0,AE27*Input!$T$4)+IF(ISNA(AF27),0,AF27*Input!$W$4)+IF(ISNA(AG27),0,AG27*Input!$Z$4)+IF(ISNA(AH27),0,AH27*Input!$AC$4)+IF(ISNA(AI27),0,AI27*Input!$AF$4)+IF(ISNA(AJ27),0,AJ27*Input!$AI$4)+IF(ISNA(AK27),0,AK27*Input!$AL$4))</f>
        <v>27774.192431551812</v>
      </c>
      <c r="AZ27" s="42">
        <f t="shared" si="7"/>
        <v>-6.9563985417072596</v>
      </c>
      <c r="BA27" s="1">
        <f t="shared" si="8"/>
        <v>600</v>
      </c>
      <c r="BB27" s="46">
        <f t="shared" si="9"/>
        <v>10000</v>
      </c>
      <c r="BC27" s="1"/>
      <c r="BD27" s="2">
        <f t="shared" si="10"/>
        <v>10000</v>
      </c>
      <c r="BE27" s="46">
        <f t="shared" si="11"/>
        <v>600</v>
      </c>
      <c r="BF27" s="1">
        <f>Results!AJ29</f>
        <v>0</v>
      </c>
      <c r="BG27" s="1">
        <f>Results!AK29</f>
        <v>0</v>
      </c>
      <c r="BH27" s="1">
        <f>Results!AL29</f>
        <v>0</v>
      </c>
      <c r="BI27" s="1">
        <f>Results!AM29</f>
        <v>0</v>
      </c>
      <c r="BJ27" s="1" t="e">
        <f>IF(OR(ISNA('Reaction Information'!$D$5), $N27 = "", $D$27 = FALSE, 'Reaction Information'!$D$5 = ""), NA(), 24.465)</f>
        <v>#N/A</v>
      </c>
      <c r="BK27" s="1" t="e">
        <f>IF(OR(ISNA('Reaction Information'!$D$9), $N27 = "", $D$27 = FALSE, 'Reaction Information'!$D$9 = ""), NA(), 24.465)</f>
        <v>#N/A</v>
      </c>
      <c r="BL27" s="8">
        <f t="shared" si="0"/>
        <v>18.752636534941953</v>
      </c>
      <c r="BM27" s="8">
        <f>IF(OR(ISBLANK(Input!$X$4),$D$27=FALSE),NA(),('Reaction Information'!$J$13/10+'Reaction Information'!$K$13*100/(Calculations!$C$12+Calculations!$M27)+('Reaction Information'!$L$13+'Reaction Information'!$M$13*10^4/(Calculations!$C$12+Calculations!$M27))/(Calculations!$O27-Calculations!$C$13) -calculateOmega(Calculations!$M27,Calculations!$N27,Calculations!$Q27,'Reaction Information'!$C$13,'Reaction Information'!$P$13*10^5,'Reaction Information'!$Q$13)*Calculations!$U27*10^-6 + (1/$S27 - 1)*calculate_domegadP(Calculations!$M27,Calculations!$N27,Calculations!$Q27,'Reaction Information'!$C$13,'Reaction Information'!$P$13*10^5,'Reaction Information'!$Q$13,$D$20,$D$19=3))*41.84)</f>
        <v>33.971923912383637</v>
      </c>
      <c r="BN27" s="8" t="e">
        <f>IF(OR(ISBLANK(Input!$AA$4),$D$27=FALSE),NA(),('Reaction Information'!$J$17/10+'Reaction Information'!$K$17*100/(Calculations!$C$12+Calculations!$M27)+('Reaction Information'!$L$17+'Reaction Information'!$M$17*10000/(Calculations!$C$12+Calculations!$M27))/(Calculations!$O27-Calculations!$C$13)-calculateOmega(Calculations!M27,Calculations!N27,Calculations!Q27,'Reaction Information'!$C$17,'Reaction Information'!$P$17*10^5,'Reaction Information'!$Q$17)*Calculations!$U27*10^-6 + (1/$S27 - 1)*calculate_domegadP(Calculations!M27,Calculations!N27,Calculations!Q27,'Reaction Information'!$C$17,'Reaction Information'!$P$17*10^5,'Reaction Information'!$Q$17,$D$20,$D$19=3))*41.84)</f>
        <v>#N/A</v>
      </c>
      <c r="BO27" s="8" t="e">
        <f>IF(OR(ISBLANK(Input!$AD$4),$D$27=FALSE),NA(),('Reaction Information'!$J$21/10+'Reaction Information'!$K$21*100/(Calculations!$C$12+Calculations!$M27)+('Reaction Information'!$L$21+'Reaction Information'!$M$21*10000/(Calculations!$C$12+Calculations!$M27))/(Calculations!$O27-Calculations!$C$13)-calculateOmega(Calculations!M27,Calculations!N27,Calculations!Q27,'Reaction Information'!$C$21,'Reaction Information'!$P$21*10^5,'Reaction Information'!$Q$21)*Calculations!$U27*10^-6 + (1/$S27 - 1)*calculate_domegadP(Calculations!M27,Calculations!N27,Calculations!Q27,'Reaction Information'!$C$21,'Reaction Information'!$P$21*10^5,'Reaction Information'!$Q$21,$D$20,$D$19=3))*41.84)</f>
        <v>#N/A</v>
      </c>
      <c r="BP27" s="8" t="e">
        <f>IF(OR(ISBLANK(Input!$AG$4),$D$27=FALSE),NA(),('Reaction Information'!$J$25/10+'Reaction Information'!$K$25*100/(Calculations!$C$12+Calculations!$M27)+('Reaction Information'!$L$25+'Reaction Information'!$M$25*10000/(Calculations!$C$12+Calculations!$M27))/(Calculations!$O27-Calculations!$C$13)-calculateOmega(Calculations!M27,Calculations!N27,Calculations!Q27,'Reaction Information'!$C$25,'Reaction Information'!$P$25*10^5,'Reaction Information'!$Q$25)*Calculations!$U27*10^-6 + (1/$S27 - 1)*calculate_domegadP(Calculations!M27,Calculations!N27,Calculations!Q27,'Reaction Information'!$C$25,'Reaction Information'!$P$25*10^5,'Reaction Information'!$Q$25,$D$20,$D$19=3))*41.84)</f>
        <v>#N/A</v>
      </c>
      <c r="BQ27" s="8" t="e">
        <f>IF(OR(ISBLANK(Input!$AJ$4),$D$27=FALSE),NA(),('Reaction Information'!$J$29/10+'Reaction Information'!$K$29*100/(Calculations!$C$12+Calculations!$M27)+('Reaction Information'!$L$29+'Reaction Information'!$M$29*10000/(Calculations!$C$12+Calculations!$M27))/(Calculations!$O27-Calculations!$C$13)-calculateOmega(Calculations!M27,Calculations!N27,Calculations!Q27,'Reaction Information'!$C$29,'Reaction Information'!$P$29*10^5,'Reaction Information'!$Q$29)*Calculations!$U27*10^-6 + (1/$S27 - 1)*calculate_domegadP(Calculations!M27,Calculations!N27,Calculations!Q27,'Reaction Information'!$C$29,'Reaction Information'!$P$29*10^5,'Reaction Information'!$Q$29,$D$20,$D$19=3))*41.84)</f>
        <v>#N/A</v>
      </c>
      <c r="BR27" s="8" t="e">
        <f>IF(OR(ISBLANK(Input!$AM$4),$D$27=FALSE),NA(),('Reaction Information'!$J$33/10+'Reaction Information'!$K$33*100/(Calculations!$C$12+Calculations!$M27)+('Reaction Information'!$L$33+'Reaction Information'!$M$33*10000/(Calculations!$C$12+Calculations!$M27))/(Calculations!$O27-Calculations!$C$13)-calculateOmega(Calculations!M27,Calculations!N27,Calculations!Q27,'Reaction Information'!$C$33,'Reaction Information'!$P$33*10^5,'Reaction Information'!$Q$33)*Calculations!$U27*10^-6 + (1/$S27 - 1)*calculate_domegadP(Calculations!M27,Calculations!N27,Calculations!Q27,'Reaction Information'!$C$33,'Reaction Information'!$P$33*10^5,'Reaction Information'!$Q$33,$D$20,$D$19=3))*41.84)</f>
        <v>#N/A</v>
      </c>
      <c r="BS27" s="1">
        <f>Results!AW29</f>
        <v>0</v>
      </c>
      <c r="BT27" s="1">
        <f>Results!AX29</f>
        <v>0</v>
      </c>
      <c r="BU27" s="1">
        <f>Results!AY29</f>
        <v>0</v>
      </c>
      <c r="BV27" s="1">
        <f>Results!AZ29</f>
        <v>0</v>
      </c>
      <c r="BW27" s="1" t="e">
        <f>IF(OR(ISNA('Reaction Information'!$D$38), $N27 = "", $D$27 = FALSE, 'Reaction Information'!$D$38 = ""), NA(), 24.465)</f>
        <v>#N/A</v>
      </c>
      <c r="BX27" s="1" t="e">
        <f>IF(OR(ISNA('Reaction Information'!$D$42), $N27 = "", $D$27 = FALSE, 'Reaction Information'!$D$42 = ""), NA(), 24.465)</f>
        <v>#N/A</v>
      </c>
      <c r="BY27" s="8" t="e">
        <f t="shared" si="1"/>
        <v>#N/A</v>
      </c>
      <c r="BZ27" s="8">
        <f>IF(OR(ISBLANK(Input!$BK$4),$D$27=FALSE),NA(),('Reaction Information'!$J$46/10+'Reaction Information'!$K$46*100/(Calculations!$C$12+Calculations!$M27)+('Reaction Information'!$L$46+'Reaction Information'!$M$46*10000/(Calculations!$C$12+Calculations!$M27))/(Calculations!$O27-Calculations!$C$13)-calculateOmega(Calculations!M27,Calculations!N27,Calculations!Q27,'Reaction Information'!$C$46,'Reaction Information'!$P$46*10^5,'Reaction Information'!$Q$46)*Calculations!$U27*10^-6 + (1/$S27 - 1)*calculate_domegadP(Calculations!M27,Calculations!N27,Calculations!Q27,'Reaction Information'!$C$46,'Reaction Information'!$P$46*10^5,'Reaction Information'!$Q$46,$D$20,$D$19=3))*41.84)</f>
        <v>0</v>
      </c>
      <c r="CA27" s="8">
        <f>IF(OR(ISBLANK(Input!$BN$4),$D$27=FALSE),NA(),('Reaction Information'!$J$50/10+'Reaction Information'!$K$50*100/(Calculations!$C$12+Calculations!$M27)+('Reaction Information'!$L$50+'Reaction Information'!$M$50*10000/(Calculations!$C$12+Calculations!$M27))/(Calculations!$O27-Calculations!$C$13)-calculateOmega(Calculations!M27,Calculations!N27,Calculations!Q27,'Reaction Information'!$C$50,'Reaction Information'!$P$50*10^5,'Reaction Information'!$Q$50)*Calculations!$U27*10^-6 + (1/$S27 - 1)*calculate_domegadP(Calculations!M27,Calculations!N27,Calculations!Q27,'Reaction Information'!$C$50,'Reaction Information'!$P$50*10^5,'Reaction Information'!$Q$50,$D$20,$D$19=3))*41.84)</f>
        <v>25.806045178931722</v>
      </c>
      <c r="CB27" s="8" t="e">
        <f>IF(OR(ISBLANK(Input!$BQ$4),$D$27=FALSE),NA(),('Reaction Information'!$J$54/10+'Reaction Information'!$K$54*100/(Calculations!$C$12+Calculations!$M27)+('Reaction Information'!$L$54+'Reaction Information'!$M$54*10000/(Calculations!$C$12+Calculations!$M27))/(Calculations!$O27-Calculations!$C$13)-calculateOmega(Calculations!M27,Calculations!N27,Calculations!Q27,'Reaction Information'!$C$54,'Reaction Information'!$P$54*10^5,'Reaction Information'!$Q$54)*Calculations!$U27*10^-6 + (1/$S27 - 1)*calculate_domegadP(Calculations!M27,Calculations!N27,Calculations!Q27,'Reaction Information'!$C$54,'Reaction Information'!$P$54*10^5,'Reaction Information'!$Q$54,$D$20,$D$19=3))*41.84)</f>
        <v>#N/A</v>
      </c>
      <c r="CC27" s="8" t="e">
        <f>IF(OR(ISBLANK(Input!$BT$4),$D$27=FALSE),NA(),('Reaction Information'!$J$58/10+'Reaction Information'!$K$58*100/(Calculations!$C$12+Calculations!$M27)+('Reaction Information'!$L$58+'Reaction Information'!$M$58*10000/(Calculations!$C$12+Calculations!$M27))/(Calculations!$O27-Calculations!$C$13)-calculateOmega(Calculations!M27,Calculations!N27,Calculations!Q27,'Reaction Information'!$C$58,'Reaction Information'!$P$58*10^5,'Reaction Information'!$Q$58)*Calculations!$U27*10^-6 + (1/$S27 - 1)*calculate_domegadP(Calculations!M27,Calculations!N27,Calculations!Q27,'Reaction Information'!$C$58,'Reaction Information'!$P$58*10^5,'Reaction Information'!$Q$58,$D$20,$D$19=3))*41.84)</f>
        <v>#N/A</v>
      </c>
      <c r="CD27" s="8" t="e">
        <f>IF(OR(ISBLANK(Input!$BW$4),$D$27=FALSE),NA(),('Reaction Information'!$J$62/10+'Reaction Information'!$K$62*100/(Calculations!$C$12+Calculations!$M27)+('Reaction Information'!$L$62+'Reaction Information'!$M$62*10000/(Calculations!$C$12+Calculations!$M27))/(Calculations!$O27-Calculations!$C$13)-calculateOmega(Calculations!M27,Calculations!N27,Calculations!Q27,'Reaction Information'!$C$62,'Reaction Information'!$P$62*10^5,'Reaction Information'!$Q$62)*Calculations!$U27*10^-6 + (1/$S27 - 1)*calculate_domegadP(Calculations!M27,Calculations!N27,Calculations!Q27,'Reaction Information'!$C$62,'Reaction Information'!$P$62*10^5,'Reaction Information'!$Q$62,$D$20,$D$19=3))*41.84)</f>
        <v>#N/A</v>
      </c>
      <c r="CE27" s="8" t="e">
        <f>IF(OR(ISBLANK(Input!$BZ$4),$D$27=FALSE),NA(),('Reaction Information'!$J$66/10+'Reaction Information'!$K$66*100/(Calculations!$C$12+Calculations!$M27)+('Reaction Information'!$L$66+'Reaction Information'!$M$66*10000/(Calculations!$C$12+Calculations!$M27))/(Calculations!$O27-Calculations!$C$13)-calculateOmega(Calculations!M27,Calculations!N27,Calculations!Q27,'Reaction Information'!$C$66,'Reaction Information'!$P$66*10^5,'Reaction Information'!$Q$66)*Calculations!$U27*10^-6 + (1/$S27 - 1)*calculate_domegadP(Calculations!M27,Calculations!N27,Calculations!Q27,'Reaction Information'!$C$66,'Reaction Information'!$P$66*10^5,'Reaction Information'!$Q$66,$D$20,$D$19=3))*41.84)</f>
        <v>#N/A</v>
      </c>
      <c r="CF27" s="31">
        <f>(BS27*Input!$AO$4+BT27*Input!$AR$4+BU27*Input!$AU$4+BV27*Input!$AX$4+IF(ISNA(BW27),0,BW27*Input!$BA$4)+IF(ISNA(BX27),0,BX27*Input!$BD$4)+IF(ISNA(BY27),0,BY27*Input!$BG$4)+IF(ISNA(BZ27),0,BZ27*Input!$BJ$4)+IF(ISNA(CA27),0,CA27*Input!$BM$4)+IF(ISNA(CB27),0,CB27*Input!$BP$4)+IF(ISNA(CC27),0,CC27*Input!$BS$4)+IF(ISNA(CD27),0,CD27*Input!$BV$4)+IF(ISNA(CE27),0,CE27*Input!$BY$4))-(BF27*Input!$B$4+BG27*Input!$E$4+BH27*Input!$H$4+BI27*Input!$K$4+IF(ISNA(BJ27),0,BJ27*Input!$N$4)+IF(ISNA(BK27),0,BK27*Input!$Q$4)+IF(ISNA(BL27),0,BL27*Input!$T$4)+IF(ISNA(BM27),0,BM27*Input!$W$4)+IF(ISNA(BN27),0,BN27*Input!$Z$4)+IF(ISNA(BO27),0,BO27*Input!$AC$4)+IF(ISNA(BP27),0,BP27*Input!$AF$4)+IF(ISNA(BQ27),0,BQ27*Input!$AI$4)+IF(ISNA(BR27),0,BR27*Input!$AL$4))</f>
        <v>-26.918515268393865</v>
      </c>
      <c r="CG27" s="1">
        <f t="shared" si="12"/>
        <v>600</v>
      </c>
      <c r="CH27" s="46">
        <f t="shared" si="13"/>
        <v>10000</v>
      </c>
      <c r="CI27" s="1"/>
    </row>
    <row r="28" spans="1:87" x14ac:dyDescent="0.2">
      <c r="A28" s="1"/>
      <c r="E28" s="1"/>
      <c r="F28" s="2">
        <v>23</v>
      </c>
      <c r="G28" s="1" t="str">
        <f>IF(ISBLANK(Input!CB28), "", Input!CB28*1000)</f>
        <v/>
      </c>
      <c r="H28" s="1" t="str">
        <f>IF(ISBLANK(Input!CC28), "", Input!CC28)</f>
        <v/>
      </c>
      <c r="I28" s="1">
        <f>IF(Input!$CF$5 + Input!$CF$6*(FLOOR((Calculations!$F28-1)/(FLOOR((Input!$CF$12-Input!$CF$10)/Input!$CF$11,1)+1),1)) &gt; Input!$CF$7, "", (Input!$CF$5 + Input!$CF$6*(FLOOR((Calculations!$F28-1)/(FLOOR((Input!$CF$12-Input!$CF$10)/Input!$CF$11,1)+1),1)))*1000)</f>
        <v>10000</v>
      </c>
      <c r="J28" s="1">
        <f>IF(Calculations!I28 = "", "", Input!$CF$10 + Input!$CF$11*(Calculations!$F28-1) - (FLOOR((Input!$CF$12-Input!$CF$10)/Input!$CF$11,1)+1)*Input!$CF$11*FLOOR((Calculations!$F28-1)/(FLOOR((Input!$CF$12-Input!$CF$10)/Input!$CF$11,1)+1),1))</f>
        <v>650</v>
      </c>
      <c r="K28" s="8" t="str">
        <f t="shared" si="14"/>
        <v/>
      </c>
      <c r="L28" s="117" t="str">
        <f>IF(OR(Input!$CJ$5 + Input!$CJ$6*(Calculations!F28-1) &gt; Input!$CJ$7, Input!$CJ$5 + Input!$CJ$6*(Calculations!F28-1) &gt; 350), "", Input!$CJ$5 + Input!$CJ$6*(Calculations!F28-1))</f>
        <v/>
      </c>
      <c r="M28" s="1">
        <f t="shared" si="2"/>
        <v>10000</v>
      </c>
      <c r="N28" s="1">
        <f t="shared" si="3"/>
        <v>650</v>
      </c>
      <c r="O28" s="1">
        <f t="shared" si="4"/>
        <v>923.15</v>
      </c>
      <c r="P28" s="1" t="e">
        <f>IF(OR($D$20=3,AND($D$21=TRUE,M28&lt;1000)),INDEX('Water Density'!$C$6:$CX$120,MATCH(Calculations!N28,'Water Density'!$B$6:$B$120),MATCH(Calculations!M28/1000,'Water Density'!$C$5:$CX$5)),NA())</f>
        <v>#N/A</v>
      </c>
      <c r="Q28" s="182">
        <f>IF(OR($D$20=3,AND($D$21=TRUE,M28&lt;1000)), IF(P28&lt;&gt;0,P28,NA()), calculateDensity(M28,N28,$D$20,0.01,$D$19 = 3))</f>
        <v>0.93819348880529407</v>
      </c>
      <c r="R28" s="1" t="e">
        <f>IF($D$22=5,INDEX('Dielectric Constant'!$C$6:$CX$120,MATCH(Calculations!N28,'Dielectric Constant'!$B$6:$B$120),MATCH(Calculations!M28/1000,'Dielectric Constant'!$C$5:$CX$5)),NA())</f>
        <v>#N/A</v>
      </c>
      <c r="S28" s="58">
        <f>IF($D$22=5, IF(R28&lt;&gt;0,R28,NA()), IF(AND($D$23,M28&lt;=5000,$D$19 &lt;&gt; 3),calculateEpsilon(Q28,N28,1,FALSE),calculateEpsilon(Q28,N28,$D$22,$D$19 = 3)))</f>
        <v>17.294287760748759</v>
      </c>
      <c r="T28" s="1" t="e">
        <f>IF($D$24=3,INDEX('Water Free Energy'!$C$6:$CX$120,MATCH(Calculations!N28,'Water Free Energy'!$B$6:$B$120),MATCH(Calculations!M28/1000,'Water Free Energy'!$C$5:$CX$5)),NA())</f>
        <v>#N/A</v>
      </c>
      <c r="U28" s="179">
        <f>IF($D$27,calculateQ(M28,N28,Q28,$D$20,$D$22,$D$19=3)*10^6,NA())</f>
        <v>1.3805730384174602</v>
      </c>
      <c r="V28"/>
      <c r="W28" s="2">
        <f t="shared" si="5"/>
        <v>10000</v>
      </c>
      <c r="X28" s="1">
        <f t="shared" si="6"/>
        <v>650</v>
      </c>
      <c r="Y28" s="1">
        <f>Results!F30</f>
        <v>0</v>
      </c>
      <c r="Z28" s="1">
        <f>Results!G30</f>
        <v>0</v>
      </c>
      <c r="AA28" s="1">
        <f>Results!H30</f>
        <v>0</v>
      </c>
      <c r="AB28" s="1">
        <f>Results!I30</f>
        <v>0</v>
      </c>
      <c r="AC28" s="1" t="e">
        <f>IF(ISBLANK(Input!$O$4),NA(),'Reaction Information'!$E$5-'Reaction Information'!$G$5*(Calculations!$O28-Calculations!$C$8)+'Reaction Information'!$I$5*(Calculations!$O28-Calculations!$C$8-Calculations!$O28*LN(Calculations!$O28/Calculations!$C$8))+'Reaction Information'!$J$5*0.001/2*(2*Calculations!$O28*Calculations!$C$8-Calculations!$O28^2-Calculations!$C$8^2) + 'Reaction Information'!$K$5*100000*(Calculations!$O28^2 + Calculations!$C$8^2 - 2*Calculations!$O28*Calculations!$C$8)/(2*Calculations!$O28*Calculations!$C$8^2))</f>
        <v>#N/A</v>
      </c>
      <c r="AD28" s="8" t="e">
        <f>IF(ISBLANK(Input!$R$4),NA(),'Reaction Information'!$E$9-'Reaction Information'!$G$9*(Calculations!$O28-Calculations!$C$8)+'Reaction Information'!$I$9*(Calculations!$O28-Calculations!$C$8-Calculations!$O28*LN(Calculations!$O28/Calculations!$C$8))+'Reaction Information'!$J$9*0.001/2*(2*Calculations!$O28*Calculations!$C$8-Calculations!$O28^2-Calculations!$C$8^2) + 'Reaction Information'!$K$9*100000*(Calculations!$O28^2 + Calculations!$C$8^2 - 2*Calculations!$O28*Calculations!$C$8)/(2*Calculations!$O28*Calculations!$C$8^2))</f>
        <v>#N/A</v>
      </c>
      <c r="AE28" s="8">
        <f>IF(AE$5="H2O",IF($D$24=3,IF(T28=0,NA(),T28),calculateGibbsOfWater(M28,N28,$D$24,$D$20,$D$19=3)),NA())</f>
        <v>-68887.084178311779</v>
      </c>
      <c r="AF28" s="8">
        <f>IF(ISBLANK(Input!$X$4),NA(),'Reaction Information'!$E$13-'Reaction Information'!$G$13*(Calculations!O28-Calculations!$C$8)-'Reaction Information'!$N$13*(Calculations!O28*LN(Calculations!O28/Calculations!$C$8)-Calculations!O28+Calculations!$C$8)-'Reaction Information'!$O$13*10^4*(((1/(Calculations!O28-Calculations!$C$13))-(1/(Calculations!$C$8-Calculations!$C$13)))*((Calculations!$C$13-Calculations!O28)/(Calculations!$C$13))-(Calculations!O28/(Calculations!$C$13*Calculations!$C$13))*LN((Calculations!$C$8*(Calculations!O28-Calculations!$C$13))/(Calculations!O28*(Calculations!$C$8-Calculations!$C$13))))+'Reaction Information'!$J$13*10^-1*(Calculations!M28-Calculations!$C$9)+'Reaction Information'!$K$13*10^2*LN((Calculations!$C$12+Calculations!M28)/(Calculations!$C$12+Calculations!$C$9))+(1/(Calculations!O28-Calculations!$C$13))*('Reaction Information'!$L$13*(Calculations!M28-Calculations!$C$9)+'Reaction Information'!$M$13*10^4*LN((Calculations!$C$12+Calculations!M28)/(Calculations!$C$12+Calculations!$C$9)))+calculateOmega(Calculations!M28,Calculations!N28,Calculations!Q28,'Reaction Information'!$C$13,'Reaction Information'!$P$13*10^5,'Reaction Information'!$Q$13)*((1/Calculations!S28)-1)-'Reaction Information'!$P$13*10^5*((1/Calculations!$C$10)-1)+'Reaction Information'!$P$13*10^5*Calculations!$C$14*(Calculations!O28-Calculations!$C$8))</f>
        <v>-111688.49990044355</v>
      </c>
      <c r="AG28" s="8" t="e">
        <f>IF(ISBLANK(Input!$AA$4),NA(),'Reaction Information'!$E$17-'Reaction Information'!$G$17*(Calculations!$O28-Calculations!$C$8)-'Reaction Information'!$N$17*(Calculations!$O28*LN(Calculations!$O28/Calculations!$C$8)-Calculations!$O28+Calculations!$C$8)-'Reaction Information'!$O$17*10^4*(((1/(Calculations!$O28-Calculations!$C$13))-(1/(Calculations!$C$8-Calculations!$C$13)))*((Calculations!$C$13-Calculations!$O28)/(Calculations!$C$13))-(Calculations!$O28/(Calculations!$C$13*Calculations!$C$13))*LN((Calculations!$C$8*(Calculations!$O28-Calculations!$C$13))/(Calculations!$O28*(Calculations!$C$8-Calculations!$C$13))))+'Reaction Information'!$J$17*10^-1*(Calculations!$M28-Calculations!$C$9)+'Reaction Information'!$K$17*10^2*LN((Calculations!$C$12+Calculations!$M28)/(Calculations!$C$12+Calculations!$C$9))+(1/(Calculations!$O28-Calculations!$C$13))*('Reaction Information'!$L$17*(Calculations!$M28-Calculations!$C$9)+'Reaction Information'!$M$17*10^4*LN((Calculations!$C$12+Calculations!$M28)/(Calculations!$C$12+Calculations!$C$9)))+calculateOmega(Calculations!M28,Calculations!N28,Calculations!Q28,'Reaction Information'!$C$17,'Reaction Information'!$P$17*10^5,'Reaction Information'!$Q$17)*((1/Calculations!$S28)-1)-'Reaction Information'!$P$17*10^5*((1/Calculations!$C$10)-1)+'Reaction Information'!$P$17*10^5*Calculations!$C$14*(Calculations!$O28-Calculations!$C$8))</f>
        <v>#N/A</v>
      </c>
      <c r="AH28" s="8" t="e">
        <f>IF(ISBLANK(Input!$AD$4),NA(),'Reaction Information'!$E$21-'Reaction Information'!$G$21*(Calculations!$O28-Calculations!$C$8)-'Reaction Information'!$N$21*(Calculations!$O28*LN(Calculations!$O28/Calculations!$C$8)-Calculations!$O28+Calculations!$C$8)-'Reaction Information'!$O$21*10^4*(((1/(Calculations!$O28-Calculations!$C$13))-(1/(Calculations!$C$8-Calculations!$C$13)))*((Calculations!$C$13-Calculations!$O28)/(Calculations!$C$13))-(Calculations!$O28/(Calculations!$C$13*Calculations!$C$13))*LN((Calculations!$C$8*(Calculations!$O28-Calculations!$C$13))/(Calculations!$O28*(Calculations!$C$8-Calculations!$C$13))))+'Reaction Information'!$J$21*10^-1*(Calculations!$M28-Calculations!$C$9)+'Reaction Information'!$K$21*10^2*LN((Calculations!$C$12+Calculations!$M28)/(Calculations!$C$12+Calculations!$C$9))+(1/(Calculations!$O28-Calculations!$C$13))*('Reaction Information'!$L$21*(Calculations!$M28-Calculations!$C$9)+'Reaction Information'!$M$21*10^4*LN((Calculations!$C$12+Calculations!$M28)/(Calculations!$C$12+Calculations!$C$9)))+calculateOmega(Calculations!M28,Calculations!N28,Calculations!Q28,'Reaction Information'!$C$21,'Reaction Information'!$P$21*10^5,'Reaction Information'!$Q$21)*((1/Calculations!$S28)-1)-'Reaction Information'!$P$21*10^5*((1/Calculations!$C$10)-1)+'Reaction Information'!$P$21*10^5*Calculations!$C$14*(Calculations!$O28-Calculations!$C$8))</f>
        <v>#N/A</v>
      </c>
      <c r="AI28" s="8" t="e">
        <f>IF(ISBLANK(Input!$AG$4),NA(),'Reaction Information'!$E$25-'Reaction Information'!$G$25*(Calculations!$O28-Calculations!$C$8)-'Reaction Information'!$N$25*(Calculations!$O28*LN(Calculations!$O28/Calculations!$C$8)-Calculations!$O28+Calculations!$C$8)-'Reaction Information'!$O$25*10^4*(((1/(Calculations!$O28-Calculations!$C$13))-(1/(Calculations!$C$8-Calculations!$C$13)))*((Calculations!$C$13-Calculations!$O28)/(Calculations!$C$13))-(Calculations!$O28/(Calculations!$C$13*Calculations!$C$13))*LN((Calculations!$C$8*(Calculations!$O28-Calculations!$C$13))/(Calculations!$O28*(Calculations!$C$8-Calculations!$C$13))))+'Reaction Information'!$J$25*10^-1*(Calculations!$M28-Calculations!$C$9)+'Reaction Information'!$K$25*10^2*LN((Calculations!$C$12+Calculations!$M28)/(Calculations!$C$12+Calculations!$C$9))+(1/(Calculations!$O28-Calculations!$C$13))*('Reaction Information'!$L$25*(Calculations!$M28-Calculations!$C$9)+'Reaction Information'!$M$25*10^4*LN((Calculations!$C$12+Calculations!$M28)/(Calculations!$C$12+Calculations!$C$9)))+calculateOmega(Calculations!M28,Calculations!N28,Calculations!Q28,'Reaction Information'!$C$25,'Reaction Information'!$P$25*10^5,'Reaction Information'!$Q$25)*((1/Calculations!$S28)-1)-'Reaction Information'!$P$25*10^5*((1/Calculations!$C$10)-1)+'Reaction Information'!$P$25*10^5*Calculations!$C$14*(Calculations!$O28-Calculations!$C$8))</f>
        <v>#N/A</v>
      </c>
      <c r="AJ28" s="8" t="e">
        <f>IF(ISBLANK(Input!$AJ$4),NA(),'Reaction Information'!$E$29-'Reaction Information'!$G$29*(Calculations!$O28-Calculations!$C$8)-'Reaction Information'!$N$29*(Calculations!$O28*LN(Calculations!$O28/Calculations!$C$8)-Calculations!$O28+Calculations!$C$8)-'Reaction Information'!$O$29*10^4*(((1/(Calculations!$O28-Calculations!$C$13))-(1/(Calculations!$C$8-Calculations!$C$13)))*((Calculations!$C$13-Calculations!$O28)/(Calculations!$C$13))-(Calculations!$O28/(Calculations!$C$13*Calculations!$C$13))*LN((Calculations!$C$8*(Calculations!$O28-Calculations!$C$13))/(Calculations!$O28*(Calculations!$C$8-Calculations!$C$13))))+'Reaction Information'!$J$29*10^-1*(Calculations!$M28-Calculations!$C$9)+'Reaction Information'!$K$29*10^2*LN((Calculations!$C$12+Calculations!$M28)/(Calculations!$C$12+Calculations!$C$9))+(1/(Calculations!$O28-Calculations!$C$13))*('Reaction Information'!$L$29*(Calculations!$M28-Calculations!$C$9)+'Reaction Information'!$M$29*10^4*LN((Calculations!$C$12+Calculations!$M28)/(Calculations!$C$12+Calculations!$C$9)))+calculateOmega(Calculations!M28,Calculations!N28,Calculations!Q28,'Reaction Information'!$C$29,'Reaction Information'!$P$29*10^5,'Reaction Information'!$Q$29)*((1/Calculations!$S28)-1)-'Reaction Information'!$P$29*10^5*((1/Calculations!$C$10)-1)+'Reaction Information'!$P$29*10^5*Calculations!$C$14*(Calculations!$O28-Calculations!$C$8))</f>
        <v>#N/A</v>
      </c>
      <c r="AK28" s="8" t="e">
        <f>IF(ISBLANK(Input!$AM$4),NA(),'Reaction Information'!$E$33-'Reaction Information'!$G$33*(Calculations!$O28-Calculations!$C$8)-'Reaction Information'!$N$33*(Calculations!$O28*LN(Calculations!$O28/Calculations!$C$8)-Calculations!$O28+Calculations!$C$8)-'Reaction Information'!$O$33*10^4*(((1/(Calculations!$O28-Calculations!$C$13))-(1/(Calculations!$C$8-Calculations!$C$13)))*((Calculations!$C$13-Calculations!$O28)/(Calculations!$C$13))-(Calculations!$O28/(Calculations!$C$13*Calculations!$C$13))*LN((Calculations!$C$8*(Calculations!$O28-Calculations!$C$13))/(Calculations!$O28*(Calculations!$C$8-Calculations!$C$13))))+'Reaction Information'!$J$33*10^-1*(Calculations!$M28-Calculations!$C$9)+'Reaction Information'!$K$33*10^2*LN((Calculations!$C$12+Calculations!$M28)/(Calculations!$C$12+Calculations!$C$9))+(1/(Calculations!$O28-Calculations!$C$13))*('Reaction Information'!$L$33*(Calculations!$M28-Calculations!$C$9)+'Reaction Information'!$M$33*10^4*LN((Calculations!$C$12+Calculations!$M28)/(Calculations!$C$12+Calculations!$C$9)))+calculateOmega(Calculations!M28,Calculations!N28,Calculations!Q28,'Reaction Information'!$C$33,'Reaction Information'!$P$33*10^5,'Reaction Information'!$Q$33)*((1/Calculations!$S28)-1)-'Reaction Information'!$P$33*10^5*((1/Calculations!$C$10)-1)+'Reaction Information'!$P$33*10^5*Calculations!$C$14*(Calculations!$O28-Calculations!$C$8))</f>
        <v>#N/A</v>
      </c>
      <c r="AL28" s="1">
        <f>Results!S30</f>
        <v>0</v>
      </c>
      <c r="AM28" s="1">
        <f>Results!T30</f>
        <v>0</v>
      </c>
      <c r="AN28" s="1">
        <f>Results!U30</f>
        <v>0</v>
      </c>
      <c r="AO28" s="1">
        <f>Results!V30</f>
        <v>0</v>
      </c>
      <c r="AP28" s="8" t="e">
        <f>IF(ISBLANK(Input!$BB$4),NA(),'Reaction Information'!$E$38-'Reaction Information'!$G$38*(Calculations!$O28-Calculations!$C$8)+'Reaction Information'!$I$38*(Calculations!$O28-Calculations!$C$8-Calculations!$O28*LN(Calculations!$O28/Calculations!$C$8))+'Reaction Information'!$J$38*0.001/2*(2*Calculations!$O28*Calculations!$C$8-Calculations!$O28^2-Calculations!$C$8^2) + 'Reaction Information'!$K$38*100000*(Calculations!$O28^2 + Calculations!$C$8^2 - 2*Calculations!$O28*Calculations!$C$8)/(2*Calculations!$O28*Calculations!$C$8^2))</f>
        <v>#N/A</v>
      </c>
      <c r="AQ28" s="8" t="e">
        <f>IF(ISBLANK(Input!$BE$4),NA(),'Reaction Information'!$E$42-'Reaction Information'!$G$42*(Calculations!$O28-Calculations!$C$8)+'Reaction Information'!$I$42*(Calculations!$O28-Calculations!$C$8-Calculations!$O28*LN(Calculations!$O28/Calculations!$C$8))+'Reaction Information'!$J$42*0.001/2*(2*Calculations!$O28*Calculations!$C$8-Calculations!$O28^2-Calculations!$C$8^2) + 'Reaction Information'!$K$42*100000*(Calculations!$O28^2 + Calculations!$C$8^2 - 2*Calculations!$O28*Calculations!$C$8)/(2*Calculations!$O28*Calculations!$C$8^2))</f>
        <v>#N/A</v>
      </c>
      <c r="AR28" s="8" t="e">
        <f>IF(AR$5="H2O", IF($D$24=3,IF(T28=0,NA(),T28),calculateGibbsOfWater(M28,N28,$D$24,$D$20,$D$19=3)),NA())</f>
        <v>#N/A</v>
      </c>
      <c r="AS28" s="8">
        <f>IF(ISBLANK(Input!$BK$4),NA(),'Reaction Information'!$E$46-'Reaction Information'!$G$46*(Calculations!O28-Calculations!$C$8)-'Reaction Information'!$N$46*(Calculations!O28*LN(Calculations!O28/Calculations!$C$8)-Calculations!O28+Calculations!$C$8)-'Reaction Information'!$O$46*10^4*(((1/(Calculations!O28-Calculations!$C$13))-(1/(Calculations!$C$8-Calculations!$C$13)))*((Calculations!$C$13-Calculations!O28)/(Calculations!$C$13))-(Calculations!O28/(Calculations!$C$13*Calculations!$C$13))*LN((Calculations!$C$8*(Calculations!O28-Calculations!$C$13))/(Calculations!O28*(Calculations!$C$8-Calculations!$C$13))))+'Reaction Information'!$J$46*10^-1*(Calculations!$M28-Calculations!$C$9)+'Reaction Information'!$K$46*10^2*LN((Calculations!$C$12+Calculations!$M28)/(Calculations!$C$12+Calculations!$C$9))+(1/(Calculations!O28-Calculations!$C$13))*('Reaction Information'!$L$46*(Calculations!$M28-Calculations!$C$9)+'Reaction Information'!$M$46*10^4*LN((Calculations!$C$12+Calculations!$M28)/(Calculations!$C$12+Calculations!$C$9)))+calculateOmega(Calculations!M28,Calculations!N28,Calculations!Q28,'Reaction Information'!$C$46,'Reaction Information'!$P$46*10^5,'Reaction Information'!$Q$46)*((1/Calculations!S28)-1)-'Reaction Information'!$P$46*10^5*((1/Calculations!$C$10)-1)+'Reaction Information'!$P$46*10^5*Calculations!$C$14*(Calculations!O28-Calculations!$C$8))</f>
        <v>0</v>
      </c>
      <c r="AT28" s="8">
        <f>IF(ISBLANK(Input!$BN$4),NA(),'Reaction Information'!$E$50-'Reaction Information'!$G$50*(Calculations!O28-Calculations!$C$8)-'Reaction Information'!$N$50*(Calculations!O28*LN(Calculations!O28/Calculations!$C$8)-Calculations!O28+Calculations!$C$8)-'Reaction Information'!$O$50*10^4*(((1/(Calculations!O28-Calculations!$C$13))-(1/(Calculations!$C$8-Calculations!$C$13)))*((Calculations!$C$13-Calculations!O28)/(Calculations!$C$13))-(Calculations!O28/(Calculations!$C$13*Calculations!$C$13))*LN((Calculations!$C$8*(Calculations!O28-Calculations!$C$13))/(Calculations!O28*(Calculations!$C$8-Calculations!$C$13))))+'Reaction Information'!$J$50*10^-1*(Calculations!$M28-Calculations!$C$9)+'Reaction Information'!$K$50*10^2*LN((Calculations!$C$12+Calculations!$M28)/(Calculations!$C$12+Calculations!$C$9))+(1/(Calculations!O28-Calculations!$C$13))*('Reaction Information'!$L$50*(Calculations!$M28-Calculations!$C$9)+'Reaction Information'!$M$50*10^4*LN((Calculations!$C$12+Calculations!$M28)/(Calculations!$C$12+Calculations!$C$9)))+calculateOmega(Calculations!M28,Calculations!N28,Calculations!Q28,'Reaction Information'!$C$50,'Reaction Information'!$P$50*10^5,'Reaction Information'!$Q$50)*((1/Calculations!S28)-1)-'Reaction Information'!$P$50*10^5*((1/Calculations!$C$10)-1)+'Reaction Information'!$P$50*10^5*Calculations!$C$14*(Calculations!O28-Calculations!$C$8))</f>
        <v>-150025.81746658677</v>
      </c>
      <c r="AU28" s="8" t="e">
        <f>IF(ISBLANK(Input!$BQ$4),NA(),'Reaction Information'!$E$54-'Reaction Information'!$G$54*(Calculations!$O28-Calculations!$C$8)-'Reaction Information'!$N$54*(Calculations!$O28*LN(Calculations!$O28/Calculations!$C$8)-Calculations!$O28+Calculations!$C$8)-'Reaction Information'!$O$54*10^4*(((1/(Calculations!$O28-Calculations!$C$13))-(1/(Calculations!$C$8-Calculations!$C$13)))*((Calculations!$C$13-Calculations!$O28)/(Calculations!$C$13))-(Calculations!$O28/(Calculations!$C$13*Calculations!$C$13))*LN((Calculations!$C$8*(Calculations!$O28-Calculations!$C$13))/(Calculations!$O28*(Calculations!$C$8-Calculations!$C$13))))+'Reaction Information'!$J$54*10^-1*(Calculations!$M28-Calculations!$C$9)+'Reaction Information'!$K$54*10^2*LN((Calculations!$C$12+Calculations!$M28)/(Calculations!$C$12+Calculations!$C$9))+(1/(Calculations!$O28-Calculations!$C$13))*('Reaction Information'!$L$54*(Calculations!$M28-Calculations!$C$9)+'Reaction Information'!$M$54*10^4*LN((Calculations!$C$12+Calculations!$M28)/(Calculations!$C$12+Calculations!$C$9)))+calculateOmega(Calculations!M28,Calculations!N28,Calculations!Q28,'Reaction Information'!$C$54,'Reaction Information'!$P$54*10^5,'Reaction Information'!$Q$54)*((1/Calculations!$S28)-1)-'Reaction Information'!$P$54*10^5*((1/Calculations!$C$10)-1)+'Reaction Information'!$P$54*10^5*Calculations!$C$14*(Calculations!$O28-Calculations!$C$8))</f>
        <v>#N/A</v>
      </c>
      <c r="AV28" s="8" t="e">
        <f>IF(ISBLANK(Input!$BT$4),NA(),'Reaction Information'!$E$58-'Reaction Information'!$G$58*(Calculations!$O28-Calculations!$C$8)-'Reaction Information'!$N$58*(Calculations!$O28*LN(Calculations!$O28/Calculations!$C$8)-Calculations!$O28+Calculations!$C$8)-'Reaction Information'!$O$58*10^4*(((1/(Calculations!$O28-Calculations!$C$13))-(1/(Calculations!$C$8-Calculations!$C$13)))*((Calculations!$C$13-Calculations!$O28)/(Calculations!$C$13))-(Calculations!$O28/(Calculations!$C$13*Calculations!$C$13))*LN((Calculations!$C$8*(Calculations!$O28-Calculations!$C$13))/(Calculations!$O28*(Calculations!$C$8-Calculations!$C$13))))+'Reaction Information'!$J$58*10^-1*(Calculations!$M28-Calculations!$C$9)+'Reaction Information'!$K$58*10^2*LN((Calculations!$C$12+Calculations!$M28)/(Calculations!$C$12+Calculations!$C$9))+(1/(Calculations!$O28-Calculations!$C$13))*('Reaction Information'!$L$58*(Calculations!$M28-Calculations!$C$9)+'Reaction Information'!$M$58*10^4*LN((Calculations!$C$12+Calculations!$M28)/(Calculations!$C$12+Calculations!$C$9)))+calculateOmega(Calculations!M28,Calculations!N28,Calculations!Q28,'Reaction Information'!$C$58,'Reaction Information'!$P$58*10^5,'Reaction Information'!$Q$58)*((1/Calculations!$S28)-1)-'Reaction Information'!$P$58*10^5*((1/Calculations!$C$10)-1)+'Reaction Information'!$P$58*10^5*Calculations!$C$14*(Calculations!$O28-Calculations!$C$8))</f>
        <v>#N/A</v>
      </c>
      <c r="AW28" s="8" t="e">
        <f>IF(ISBLANK(Input!$BW$4),NA(),'Reaction Information'!$E$62-'Reaction Information'!$G$62*(Calculations!$O28-Calculations!$C$8)-'Reaction Information'!$N$62*(Calculations!$O28*LN(Calculations!$O28/Calculations!$C$8)-Calculations!$O28+Calculations!$C$8)-'Reaction Information'!$O$62*10^4*(((1/(Calculations!$O28-Calculations!$C$13))-(1/(Calculations!$C$8-Calculations!$C$13)))*((Calculations!$C$13-Calculations!$O28)/(Calculations!$C$13))-(Calculations!$O28/(Calculations!$C$13*Calculations!$C$13))*LN((Calculations!$C$8*(Calculations!$O28-Calculations!$C$13))/(Calculations!$O28*(Calculations!$C$8-Calculations!$C$13))))+'Reaction Information'!$J$62*10^-1*(Calculations!$M28-Calculations!$C$9)+'Reaction Information'!$K$62*10^2*LN((Calculations!$C$12+Calculations!$M28)/(Calculations!$C$12+Calculations!$C$9))+(1/(Calculations!$O28-Calculations!$C$13))*('Reaction Information'!$L$62*(Calculations!$M28-Calculations!$C$9)+'Reaction Information'!$M$62*10^4*LN((Calculations!$C$12+Calculations!$M28)/(Calculations!$C$12+Calculations!$C$9)))+calculateOmega(Calculations!M28,Calculations!N28,Calculations!Q28,'Reaction Information'!$C$62,'Reaction Information'!$P$62*10^5,'Reaction Information'!$Q$62)*((1/Calculations!$S28)-1)-'Reaction Information'!$P$62*10^5*((1/Calculations!$C$10)-1)+'Reaction Information'!$P$62*10^5*Calculations!$C$14*(Calculations!$O28-Calculations!$C$8))</f>
        <v>#N/A</v>
      </c>
      <c r="AX28" s="8" t="e">
        <f>IF(ISBLANK(Input!$BZ$4),NA(),'Reaction Information'!$E$66-'Reaction Information'!$G$66*(Calculations!$O28-Calculations!$C$8)-'Reaction Information'!$N$66*(Calculations!$O28*LN(Calculations!$O28/Calculations!$C$8)-Calculations!$O28+Calculations!$C$8)-'Reaction Information'!$O$66*10^4*(((1/(Calculations!$O28-Calculations!$C$13))-(1/(Calculations!$C$8-Calculations!$C$13)))*((Calculations!$C$13-Calculations!$O28)/(Calculations!$C$13))-(Calculations!$O28/(Calculations!$C$13*Calculations!$C$13))*LN((Calculations!$C$8*(Calculations!$O28-Calculations!$C$13))/(Calculations!$O28*(Calculations!$C$8-Calculations!$C$13))))+'Reaction Information'!$J$66*10^-1*(Calculations!$M28-Calculations!$C$9)+'Reaction Information'!$K$66*10^2*LN((Calculations!$C$12+Calculations!$M28)/(Calculations!$C$12+Calculations!$C$9))+(1/(Calculations!$O28-Calculations!$C$13))*('Reaction Information'!$L$66*(Calculations!$M28-Calculations!$C$9)+'Reaction Information'!$M$66*10^4*LN((Calculations!$C$12+Calculations!$M28)/(Calculations!$C$12+Calculations!$C$9)))+calculateOmega(Calculations!M28,Calculations!N28,Calculations!Q28,'Reaction Information'!$C$66,'Reaction Information'!$P$66*10^5,'Reaction Information'!$Q$66)*((1/Calculations!$S28)-1)-'Reaction Information'!$P$66*10^5*((1/Calculations!$C$10)-1)+'Reaction Information'!$P$66*10^5*Calculations!$C$14*(Calculations!$O28-Calculations!$C$8))</f>
        <v>#N/A</v>
      </c>
      <c r="AY28" s="31">
        <f>(AL28*Input!$AO$4+AM28*Input!$AR$4+AN28*Input!$AU$4+AO28*Input!$AX$4+IF(ISNA(AP28),0,AP28*Input!$BA$4)+IF(ISNA(AQ28),0,AQ28*Input!$BD$4)+IF(ISNA(AR28),0,AR28*Input!$BG$4)+IF(ISNA(AS28),0,AS28*Input!$BJ$4)+IF(ISNA(AT28),0,AT28*Input!$BM$4)+IF(ISNA(AU28),0,AU28*Input!$BP$4)+IF(ISNA(AV28),0,AV28*Input!$BS$4)+IF(ISNA(AW28),0,AW28*Input!$BV$4)+IF(ISNA(AX28),0,AX28*Input!$BY$4))-(Y28*Input!$B$4+Z28*Input!$E$4+AA28*Input!$H$4+AB28*Input!$K$4+IF(ISNA(AC28),0,AC28*Input!$N$4)+IF(ISNA(AD28),0,AD28*Input!$Q$4)+IF(ISNA(AE28),0,AE28*Input!$T$4)+IF(ISNA(AF28),0,AF28*Input!$W$4)+IF(ISNA(AG28),0,AG28*Input!$Z$4)+IF(ISNA(AH28),0,AH28*Input!$AC$4)+IF(ISNA(AI28),0,AI28*Input!$AF$4)+IF(ISNA(AJ28),0,AJ28*Input!$AI$4)+IF(ISNA(AK28),0,AK28*Input!$AL$4))</f>
        <v>30549.766612168576</v>
      </c>
      <c r="AZ28" s="42">
        <f t="shared" si="7"/>
        <v>-7.2371487037799653</v>
      </c>
      <c r="BA28" s="1">
        <f t="shared" si="8"/>
        <v>650</v>
      </c>
      <c r="BB28" s="46">
        <f t="shared" si="9"/>
        <v>10000</v>
      </c>
      <c r="BC28" s="1"/>
      <c r="BD28" s="2">
        <f t="shared" si="10"/>
        <v>10000</v>
      </c>
      <c r="BE28" s="46">
        <f t="shared" si="11"/>
        <v>650</v>
      </c>
      <c r="BF28" s="1">
        <f>Results!AJ30</f>
        <v>0</v>
      </c>
      <c r="BG28" s="1">
        <f>Results!AK30</f>
        <v>0</v>
      </c>
      <c r="BH28" s="1">
        <f>Results!AL30</f>
        <v>0</v>
      </c>
      <c r="BI28" s="1">
        <f>Results!AM30</f>
        <v>0</v>
      </c>
      <c r="BJ28" s="1" t="e">
        <f>IF(OR(ISNA('Reaction Information'!$D$5), $N28 = "", $D$27 = FALSE, 'Reaction Information'!$D$5 = ""), NA(), 24.465)</f>
        <v>#N/A</v>
      </c>
      <c r="BK28" s="1" t="e">
        <f>IF(OR(ISNA('Reaction Information'!$D$9), $N28 = "", $D$27 = FALSE, 'Reaction Information'!$D$9 = ""), NA(), 24.465)</f>
        <v>#N/A</v>
      </c>
      <c r="BL28" s="8">
        <f t="shared" si="0"/>
        <v>19.202094466612486</v>
      </c>
      <c r="BM28" s="8">
        <f>IF(OR(ISBLANK(Input!$X$4),$D$27=FALSE),NA(),('Reaction Information'!$J$13/10+'Reaction Information'!$K$13*100/(Calculations!$C$12+Calculations!$M28)+('Reaction Information'!$L$13+'Reaction Information'!$M$13*10^4/(Calculations!$C$12+Calculations!$M28))/(Calculations!$O28-Calculations!$C$13) -calculateOmega(Calculations!$M28,Calculations!$N28,Calculations!$Q28,'Reaction Information'!$C$13,'Reaction Information'!$P$13*10^5,'Reaction Information'!$Q$13)*Calculations!$U28*10^-6 + (1/$S28 - 1)*calculate_domegadP(Calculations!$M28,Calculations!$N28,Calculations!$Q28,'Reaction Information'!$C$13,'Reaction Information'!$P$13*10^5,'Reaction Information'!$Q$13,$D$20,$D$19=3))*41.84)</f>
        <v>34.568672810682926</v>
      </c>
      <c r="BN28" s="8" t="e">
        <f>IF(OR(ISBLANK(Input!$AA$4),$D$27=FALSE),NA(),('Reaction Information'!$J$17/10+'Reaction Information'!$K$17*100/(Calculations!$C$12+Calculations!$M28)+('Reaction Information'!$L$17+'Reaction Information'!$M$17*10000/(Calculations!$C$12+Calculations!$M28))/(Calculations!$O28-Calculations!$C$13)-calculateOmega(Calculations!M28,Calculations!N28,Calculations!Q28,'Reaction Information'!$C$17,'Reaction Information'!$P$17*10^5,'Reaction Information'!$Q$17)*Calculations!$U28*10^-6 + (1/$S28 - 1)*calculate_domegadP(Calculations!M28,Calculations!N28,Calculations!Q28,'Reaction Information'!$C$17,'Reaction Information'!$P$17*10^5,'Reaction Information'!$Q$17,$D$20,$D$19=3))*41.84)</f>
        <v>#N/A</v>
      </c>
      <c r="BO28" s="8" t="e">
        <f>IF(OR(ISBLANK(Input!$AD$4),$D$27=FALSE),NA(),('Reaction Information'!$J$21/10+'Reaction Information'!$K$21*100/(Calculations!$C$12+Calculations!$M28)+('Reaction Information'!$L$21+'Reaction Information'!$M$21*10000/(Calculations!$C$12+Calculations!$M28))/(Calculations!$O28-Calculations!$C$13)-calculateOmega(Calculations!M28,Calculations!N28,Calculations!Q28,'Reaction Information'!$C$21,'Reaction Information'!$P$21*10^5,'Reaction Information'!$Q$21)*Calculations!$U28*10^-6 + (1/$S28 - 1)*calculate_domegadP(Calculations!M28,Calculations!N28,Calculations!Q28,'Reaction Information'!$C$21,'Reaction Information'!$P$21*10^5,'Reaction Information'!$Q$21,$D$20,$D$19=3))*41.84)</f>
        <v>#N/A</v>
      </c>
      <c r="BP28" s="8" t="e">
        <f>IF(OR(ISBLANK(Input!$AG$4),$D$27=FALSE),NA(),('Reaction Information'!$J$25/10+'Reaction Information'!$K$25*100/(Calculations!$C$12+Calculations!$M28)+('Reaction Information'!$L$25+'Reaction Information'!$M$25*10000/(Calculations!$C$12+Calculations!$M28))/(Calculations!$O28-Calculations!$C$13)-calculateOmega(Calculations!M28,Calculations!N28,Calculations!Q28,'Reaction Information'!$C$25,'Reaction Information'!$P$25*10^5,'Reaction Information'!$Q$25)*Calculations!$U28*10^-6 + (1/$S28 - 1)*calculate_domegadP(Calculations!M28,Calculations!N28,Calculations!Q28,'Reaction Information'!$C$25,'Reaction Information'!$P$25*10^5,'Reaction Information'!$Q$25,$D$20,$D$19=3))*41.84)</f>
        <v>#N/A</v>
      </c>
      <c r="BQ28" s="8" t="e">
        <f>IF(OR(ISBLANK(Input!$AJ$4),$D$27=FALSE),NA(),('Reaction Information'!$J$29/10+'Reaction Information'!$K$29*100/(Calculations!$C$12+Calculations!$M28)+('Reaction Information'!$L$29+'Reaction Information'!$M$29*10000/(Calculations!$C$12+Calculations!$M28))/(Calculations!$O28-Calculations!$C$13)-calculateOmega(Calculations!M28,Calculations!N28,Calculations!Q28,'Reaction Information'!$C$29,'Reaction Information'!$P$29*10^5,'Reaction Information'!$Q$29)*Calculations!$U28*10^-6 + (1/$S28 - 1)*calculate_domegadP(Calculations!M28,Calculations!N28,Calculations!Q28,'Reaction Information'!$C$29,'Reaction Information'!$P$29*10^5,'Reaction Information'!$Q$29,$D$20,$D$19=3))*41.84)</f>
        <v>#N/A</v>
      </c>
      <c r="BR28" s="8" t="e">
        <f>IF(OR(ISBLANK(Input!$AM$4),$D$27=FALSE),NA(),('Reaction Information'!$J$33/10+'Reaction Information'!$K$33*100/(Calculations!$C$12+Calculations!$M28)+('Reaction Information'!$L$33+'Reaction Information'!$M$33*10000/(Calculations!$C$12+Calculations!$M28))/(Calculations!$O28-Calculations!$C$13)-calculateOmega(Calculations!M28,Calculations!N28,Calculations!Q28,'Reaction Information'!$C$33,'Reaction Information'!$P$33*10^5,'Reaction Information'!$Q$33)*Calculations!$U28*10^-6 + (1/$S28 - 1)*calculate_domegadP(Calculations!M28,Calculations!N28,Calculations!Q28,'Reaction Information'!$C$33,'Reaction Information'!$P$33*10^5,'Reaction Information'!$Q$33,$D$20,$D$19=3))*41.84)</f>
        <v>#N/A</v>
      </c>
      <c r="BS28" s="1">
        <f>Results!AW30</f>
        <v>0</v>
      </c>
      <c r="BT28" s="1">
        <f>Results!AX30</f>
        <v>0</v>
      </c>
      <c r="BU28" s="1">
        <f>Results!AY30</f>
        <v>0</v>
      </c>
      <c r="BV28" s="1">
        <f>Results!AZ30</f>
        <v>0</v>
      </c>
      <c r="BW28" s="1" t="e">
        <f>IF(OR(ISNA('Reaction Information'!$D$38), $N28 = "", $D$27 = FALSE, 'Reaction Information'!$D$38 = ""), NA(), 24.465)</f>
        <v>#N/A</v>
      </c>
      <c r="BX28" s="1" t="e">
        <f>IF(OR(ISNA('Reaction Information'!$D$42), $N28 = "", $D$27 = FALSE, 'Reaction Information'!$D$42 = ""), NA(), 24.465)</f>
        <v>#N/A</v>
      </c>
      <c r="BY28" s="8" t="e">
        <f t="shared" si="1"/>
        <v>#N/A</v>
      </c>
      <c r="BZ28" s="8">
        <f>IF(OR(ISBLANK(Input!$BK$4),$D$27=FALSE),NA(),('Reaction Information'!$J$46/10+'Reaction Information'!$K$46*100/(Calculations!$C$12+Calculations!$M28)+('Reaction Information'!$L$46+'Reaction Information'!$M$46*10000/(Calculations!$C$12+Calculations!$M28))/(Calculations!$O28-Calculations!$C$13)-calculateOmega(Calculations!M28,Calculations!N28,Calculations!Q28,'Reaction Information'!$C$46,'Reaction Information'!$P$46*10^5,'Reaction Information'!$Q$46)*Calculations!$U28*10^-6 + (1/$S28 - 1)*calculate_domegadP(Calculations!M28,Calculations!N28,Calculations!Q28,'Reaction Information'!$C$46,'Reaction Information'!$P$46*10^5,'Reaction Information'!$Q$46,$D$20,$D$19=3))*41.84)</f>
        <v>0</v>
      </c>
      <c r="CA28" s="8">
        <f>IF(OR(ISBLANK(Input!$BN$4),$D$27=FALSE),NA(),('Reaction Information'!$J$50/10+'Reaction Information'!$K$50*100/(Calculations!$C$12+Calculations!$M28)+('Reaction Information'!$L$50+'Reaction Information'!$M$50*10000/(Calculations!$C$12+Calculations!$M28))/(Calculations!$O28-Calculations!$C$13)-calculateOmega(Calculations!M28,Calculations!N28,Calculations!Q28,'Reaction Information'!$C$50,'Reaction Information'!$P$50*10^5,'Reaction Information'!$Q$50)*Calculations!$U28*10^-6 + (1/$S28 - 1)*calculate_domegadP(Calculations!M28,Calculations!N28,Calculations!Q28,'Reaction Information'!$C$50,'Reaction Information'!$P$50*10^5,'Reaction Information'!$Q$50,$D$20,$D$19=3))*41.84)</f>
        <v>24.859518810928652</v>
      </c>
      <c r="CB28" s="8" t="e">
        <f>IF(OR(ISBLANK(Input!$BQ$4),$D$27=FALSE),NA(),('Reaction Information'!$J$54/10+'Reaction Information'!$K$54*100/(Calculations!$C$12+Calculations!$M28)+('Reaction Information'!$L$54+'Reaction Information'!$M$54*10000/(Calculations!$C$12+Calculations!$M28))/(Calculations!$O28-Calculations!$C$13)-calculateOmega(Calculations!M28,Calculations!N28,Calculations!Q28,'Reaction Information'!$C$54,'Reaction Information'!$P$54*10^5,'Reaction Information'!$Q$54)*Calculations!$U28*10^-6 + (1/$S28 - 1)*calculate_domegadP(Calculations!M28,Calculations!N28,Calculations!Q28,'Reaction Information'!$C$54,'Reaction Information'!$P$54*10^5,'Reaction Information'!$Q$54,$D$20,$D$19=3))*41.84)</f>
        <v>#N/A</v>
      </c>
      <c r="CC28" s="8" t="e">
        <f>IF(OR(ISBLANK(Input!$BT$4),$D$27=FALSE),NA(),('Reaction Information'!$J$58/10+'Reaction Information'!$K$58*100/(Calculations!$C$12+Calculations!$M28)+('Reaction Information'!$L$58+'Reaction Information'!$M$58*10000/(Calculations!$C$12+Calculations!$M28))/(Calculations!$O28-Calculations!$C$13)-calculateOmega(Calculations!M28,Calculations!N28,Calculations!Q28,'Reaction Information'!$C$58,'Reaction Information'!$P$58*10^5,'Reaction Information'!$Q$58)*Calculations!$U28*10^-6 + (1/$S28 - 1)*calculate_domegadP(Calculations!M28,Calculations!N28,Calculations!Q28,'Reaction Information'!$C$58,'Reaction Information'!$P$58*10^5,'Reaction Information'!$Q$58,$D$20,$D$19=3))*41.84)</f>
        <v>#N/A</v>
      </c>
      <c r="CD28" s="8" t="e">
        <f>IF(OR(ISBLANK(Input!$BW$4),$D$27=FALSE),NA(),('Reaction Information'!$J$62/10+'Reaction Information'!$K$62*100/(Calculations!$C$12+Calculations!$M28)+('Reaction Information'!$L$62+'Reaction Information'!$M$62*10000/(Calculations!$C$12+Calculations!$M28))/(Calculations!$O28-Calculations!$C$13)-calculateOmega(Calculations!M28,Calculations!N28,Calculations!Q28,'Reaction Information'!$C$62,'Reaction Information'!$P$62*10^5,'Reaction Information'!$Q$62)*Calculations!$U28*10^-6 + (1/$S28 - 1)*calculate_domegadP(Calculations!M28,Calculations!N28,Calculations!Q28,'Reaction Information'!$C$62,'Reaction Information'!$P$62*10^5,'Reaction Information'!$Q$62,$D$20,$D$19=3))*41.84)</f>
        <v>#N/A</v>
      </c>
      <c r="CE28" s="8" t="e">
        <f>IF(OR(ISBLANK(Input!$BZ$4),$D$27=FALSE),NA(),('Reaction Information'!$J$66/10+'Reaction Information'!$K$66*100/(Calculations!$C$12+Calculations!$M28)+('Reaction Information'!$L$66+'Reaction Information'!$M$66*10000/(Calculations!$C$12+Calculations!$M28))/(Calculations!$O28-Calculations!$C$13)-calculateOmega(Calculations!M28,Calculations!N28,Calculations!Q28,'Reaction Information'!$C$66,'Reaction Information'!$P$66*10^5,'Reaction Information'!$Q$66)*Calculations!$U28*10^-6 + (1/$S28 - 1)*calculate_domegadP(Calculations!M28,Calculations!N28,Calculations!Q28,'Reaction Information'!$C$66,'Reaction Information'!$P$66*10^5,'Reaction Information'!$Q$66,$D$20,$D$19=3))*41.84)</f>
        <v>#N/A</v>
      </c>
      <c r="CF28" s="31">
        <f>(BS28*Input!$AO$4+BT28*Input!$AR$4+BU28*Input!$AU$4+BV28*Input!$AX$4+IF(ISNA(BW28),0,BW28*Input!$BA$4)+IF(ISNA(BX28),0,BX28*Input!$BD$4)+IF(ISNA(BY28),0,BY28*Input!$BG$4)+IF(ISNA(BZ28),0,BZ28*Input!$BJ$4)+IF(ISNA(CA28),0,CA28*Input!$BM$4)+IF(ISNA(CB28),0,CB28*Input!$BP$4)+IF(ISNA(CC28),0,CC28*Input!$BS$4)+IF(ISNA(CD28),0,CD28*Input!$BV$4)+IF(ISNA(CE28),0,CE28*Input!$BY$4))-(BF28*Input!$B$4+BG28*Input!$E$4+BH28*Input!$H$4+BI28*Input!$K$4+IF(ISNA(BJ28),0,BJ28*Input!$N$4)+IF(ISNA(BK28),0,BK28*Input!$Q$4)+IF(ISNA(BL28),0,BL28*Input!$T$4)+IF(ISNA(BM28),0,BM28*Input!$W$4)+IF(ISNA(BN28),0,BN28*Input!$Z$4)+IF(ISNA(BO28),0,BO28*Input!$AC$4)+IF(ISNA(BP28),0,BP28*Input!$AF$4)+IF(ISNA(BQ28),0,BQ28*Input!$AI$4)+IF(ISNA(BR28),0,BR28*Input!$AL$4))</f>
        <v>-28.911248466366761</v>
      </c>
      <c r="CG28" s="1">
        <f t="shared" si="12"/>
        <v>650</v>
      </c>
      <c r="CH28" s="46">
        <f t="shared" si="13"/>
        <v>10000</v>
      </c>
      <c r="CI28" s="1"/>
    </row>
    <row r="29" spans="1:87" x14ac:dyDescent="0.2">
      <c r="A29" s="1"/>
      <c r="B29" s="259" t="s">
        <v>557</v>
      </c>
      <c r="C29" s="259"/>
      <c r="D29" s="259"/>
      <c r="E29" s="1"/>
      <c r="F29" s="2">
        <v>24</v>
      </c>
      <c r="G29" s="1" t="str">
        <f>IF(ISBLANK(Input!CB29), "", Input!CB29*1000)</f>
        <v/>
      </c>
      <c r="H29" s="1" t="str">
        <f>IF(ISBLANK(Input!CC29), "", Input!CC29)</f>
        <v/>
      </c>
      <c r="I29" s="1">
        <f>IF(Input!$CF$5 + Input!$CF$6*(FLOOR((Calculations!$F29-1)/(FLOOR((Input!$CF$12-Input!$CF$10)/Input!$CF$11,1)+1),1)) &gt; Input!$CF$7, "", (Input!$CF$5 + Input!$CF$6*(FLOOR((Calculations!$F29-1)/(FLOOR((Input!$CF$12-Input!$CF$10)/Input!$CF$11,1)+1),1)))*1000)</f>
        <v>10000</v>
      </c>
      <c r="J29" s="1">
        <f>IF(Calculations!I29 = "", "", Input!$CF$10 + Input!$CF$11*(Calculations!$F29-1) - (FLOOR((Input!$CF$12-Input!$CF$10)/Input!$CF$11,1)+1)*Input!$CF$11*FLOOR((Calculations!$F29-1)/(FLOOR((Input!$CF$12-Input!$CF$10)/Input!$CF$11,1)+1),1))</f>
        <v>700</v>
      </c>
      <c r="K29" s="8" t="str">
        <f t="shared" si="14"/>
        <v/>
      </c>
      <c r="L29" s="117" t="str">
        <f>IF(OR(Input!$CJ$5 + Input!$CJ$6*(Calculations!F29-1) &gt; Input!$CJ$7, Input!$CJ$5 + Input!$CJ$6*(Calculations!F29-1) &gt; 350), "", Input!$CJ$5 + Input!$CJ$6*(Calculations!F29-1))</f>
        <v/>
      </c>
      <c r="M29" s="1">
        <f t="shared" si="2"/>
        <v>10000</v>
      </c>
      <c r="N29" s="1">
        <f t="shared" si="3"/>
        <v>700</v>
      </c>
      <c r="O29" s="1">
        <f t="shared" si="4"/>
        <v>973.15</v>
      </c>
      <c r="P29" s="1" t="e">
        <f>IF(OR($D$20=3,AND($D$21=TRUE,M29&lt;1000)),INDEX('Water Density'!$C$6:$CX$120,MATCH(Calculations!N29,'Water Density'!$B$6:$B$120),MATCH(Calculations!M29/1000,'Water Density'!$C$5:$CX$5)),NA())</f>
        <v>#N/A</v>
      </c>
      <c r="Q29" s="182">
        <f>IF(OR($D$20=3,AND($D$21=TRUE,M29&lt;1000)), IF(P29&lt;&gt;0,P29,NA()), calculateDensity(M29,N29,$D$20,0.01,$D$19 = 3))</f>
        <v>0.91626979605913172</v>
      </c>
      <c r="R29" s="1" t="e">
        <f>IF($D$22=5,INDEX('Dielectric Constant'!$C$6:$CX$120,MATCH(Calculations!N29,'Dielectric Constant'!$B$6:$B$120),MATCH(Calculations!M29/1000,'Dielectric Constant'!$C$5:$CX$5)),NA())</f>
        <v>#N/A</v>
      </c>
      <c r="S29" s="58">
        <f>IF($D$22=5, IF(R29&lt;&gt;0,R29,NA()), IF(AND($D$23,M29&lt;=5000,$D$19 &lt;&gt; 3),calculateEpsilon(Q29,N29,1,FALSE),calculateEpsilon(Q29,N29,$D$22,$D$19 = 3)))</f>
        <v>15.591391268345303</v>
      </c>
      <c r="T29" s="1" t="e">
        <f>IF($D$24=3,INDEX('Water Free Energy'!$C$6:$CX$120,MATCH(Calculations!N29,'Water Free Energy'!$B$6:$B$120),MATCH(Calculations!M29/1000,'Water Free Energy'!$C$5:$CX$5)),NA())</f>
        <v>#N/A</v>
      </c>
      <c r="U29" s="179">
        <f>IF($D$27,calculateQ(M29,N29,Q29,$D$20,$D$22,$D$19=3)*10^6,NA())</f>
        <v>1.5774165761975911</v>
      </c>
      <c r="V29"/>
      <c r="W29" s="2">
        <f t="shared" si="5"/>
        <v>10000</v>
      </c>
      <c r="X29" s="1">
        <f t="shared" si="6"/>
        <v>700</v>
      </c>
      <c r="Y29" s="1">
        <f>Results!F31</f>
        <v>0</v>
      </c>
      <c r="Z29" s="1">
        <f>Results!G31</f>
        <v>0</v>
      </c>
      <c r="AA29" s="1">
        <f>Results!H31</f>
        <v>0</v>
      </c>
      <c r="AB29" s="1">
        <f>Results!I31</f>
        <v>0</v>
      </c>
      <c r="AC29" s="1" t="e">
        <f>IF(ISBLANK(Input!$O$4),NA(),'Reaction Information'!$E$5-'Reaction Information'!$G$5*(Calculations!$O29-Calculations!$C$8)+'Reaction Information'!$I$5*(Calculations!$O29-Calculations!$C$8-Calculations!$O29*LN(Calculations!$O29/Calculations!$C$8))+'Reaction Information'!$J$5*0.001/2*(2*Calculations!$O29*Calculations!$C$8-Calculations!$O29^2-Calculations!$C$8^2) + 'Reaction Information'!$K$5*100000*(Calculations!$O29^2 + Calculations!$C$8^2 - 2*Calculations!$O29*Calculations!$C$8)/(2*Calculations!$O29*Calculations!$C$8^2))</f>
        <v>#N/A</v>
      </c>
      <c r="AD29" s="8" t="e">
        <f>IF(ISBLANK(Input!$R$4),NA(),'Reaction Information'!$E$9-'Reaction Information'!$G$9*(Calculations!$O29-Calculations!$C$8)+'Reaction Information'!$I$9*(Calculations!$O29-Calculations!$C$8-Calculations!$O29*LN(Calculations!$O29/Calculations!$C$8))+'Reaction Information'!$J$9*0.001/2*(2*Calculations!$O29*Calculations!$C$8-Calculations!$O29^2-Calculations!$C$8^2) + 'Reaction Information'!$K$9*100000*(Calculations!$O29^2 + Calculations!$C$8^2 - 2*Calculations!$O29*Calculations!$C$8)/(2*Calculations!$O29*Calculations!$C$8^2))</f>
        <v>#N/A</v>
      </c>
      <c r="AE29" s="8">
        <f>IF(AE$5="H2O",IF($D$24=3,IF(T29=0,NA(),T29),calculateGibbsOfWater(M29,N29,$D$24,$D$20,$D$19=3)),NA())</f>
        <v>-70541.960104792641</v>
      </c>
      <c r="AF29" s="8">
        <f>IF(ISBLANK(Input!$X$4),NA(),'Reaction Information'!$E$13-'Reaction Information'!$G$13*(Calculations!O29-Calculations!$C$8)-'Reaction Information'!$N$13*(Calculations!O29*LN(Calculations!O29/Calculations!$C$8)-Calculations!O29+Calculations!$C$8)-'Reaction Information'!$O$13*10^4*(((1/(Calculations!O29-Calculations!$C$13))-(1/(Calculations!$C$8-Calculations!$C$13)))*((Calculations!$C$13-Calculations!O29)/(Calculations!$C$13))-(Calculations!O29/(Calculations!$C$13*Calculations!$C$13))*LN((Calculations!$C$8*(Calculations!O29-Calculations!$C$13))/(Calculations!O29*(Calculations!$C$8-Calculations!$C$13))))+'Reaction Information'!$J$13*10^-1*(Calculations!M29-Calculations!$C$9)+'Reaction Information'!$K$13*10^2*LN((Calculations!$C$12+Calculations!M29)/(Calculations!$C$12+Calculations!$C$9))+(1/(Calculations!O29-Calculations!$C$13))*('Reaction Information'!$L$13*(Calculations!M29-Calculations!$C$9)+'Reaction Information'!$M$13*10^4*LN((Calculations!$C$12+Calculations!M29)/(Calculations!$C$12+Calculations!$C$9)))+calculateOmega(Calculations!M29,Calculations!N29,Calculations!Q29,'Reaction Information'!$C$13,'Reaction Information'!$P$13*10^5,'Reaction Information'!$Q$13)*((1/Calculations!S29)-1)-'Reaction Information'!$P$13*10^5*((1/Calculations!$C$10)-1)+'Reaction Information'!$P$13*10^5*Calculations!$C$14*(Calculations!O29-Calculations!$C$8))</f>
        <v>-114260.34132937693</v>
      </c>
      <c r="AG29" s="8" t="e">
        <f>IF(ISBLANK(Input!$AA$4),NA(),'Reaction Information'!$E$17-'Reaction Information'!$G$17*(Calculations!$O29-Calculations!$C$8)-'Reaction Information'!$N$17*(Calculations!$O29*LN(Calculations!$O29/Calculations!$C$8)-Calculations!$O29+Calculations!$C$8)-'Reaction Information'!$O$17*10^4*(((1/(Calculations!$O29-Calculations!$C$13))-(1/(Calculations!$C$8-Calculations!$C$13)))*((Calculations!$C$13-Calculations!$O29)/(Calculations!$C$13))-(Calculations!$O29/(Calculations!$C$13*Calculations!$C$13))*LN((Calculations!$C$8*(Calculations!$O29-Calculations!$C$13))/(Calculations!$O29*(Calculations!$C$8-Calculations!$C$13))))+'Reaction Information'!$J$17*10^-1*(Calculations!$M29-Calculations!$C$9)+'Reaction Information'!$K$17*10^2*LN((Calculations!$C$12+Calculations!$M29)/(Calculations!$C$12+Calculations!$C$9))+(1/(Calculations!$O29-Calculations!$C$13))*('Reaction Information'!$L$17*(Calculations!$M29-Calculations!$C$9)+'Reaction Information'!$M$17*10^4*LN((Calculations!$C$12+Calculations!$M29)/(Calculations!$C$12+Calculations!$C$9)))+calculateOmega(Calculations!M29,Calculations!N29,Calculations!Q29,'Reaction Information'!$C$17,'Reaction Information'!$P$17*10^5,'Reaction Information'!$Q$17)*((1/Calculations!$S29)-1)-'Reaction Information'!$P$17*10^5*((1/Calculations!$C$10)-1)+'Reaction Information'!$P$17*10^5*Calculations!$C$14*(Calculations!$O29-Calculations!$C$8))</f>
        <v>#N/A</v>
      </c>
      <c r="AH29" s="8" t="e">
        <f>IF(ISBLANK(Input!$AD$4),NA(),'Reaction Information'!$E$21-'Reaction Information'!$G$21*(Calculations!$O29-Calculations!$C$8)-'Reaction Information'!$N$21*(Calculations!$O29*LN(Calculations!$O29/Calculations!$C$8)-Calculations!$O29+Calculations!$C$8)-'Reaction Information'!$O$21*10^4*(((1/(Calculations!$O29-Calculations!$C$13))-(1/(Calculations!$C$8-Calculations!$C$13)))*((Calculations!$C$13-Calculations!$O29)/(Calculations!$C$13))-(Calculations!$O29/(Calculations!$C$13*Calculations!$C$13))*LN((Calculations!$C$8*(Calculations!$O29-Calculations!$C$13))/(Calculations!$O29*(Calculations!$C$8-Calculations!$C$13))))+'Reaction Information'!$J$21*10^-1*(Calculations!$M29-Calculations!$C$9)+'Reaction Information'!$K$21*10^2*LN((Calculations!$C$12+Calculations!$M29)/(Calculations!$C$12+Calculations!$C$9))+(1/(Calculations!$O29-Calculations!$C$13))*('Reaction Information'!$L$21*(Calculations!$M29-Calculations!$C$9)+'Reaction Information'!$M$21*10^4*LN((Calculations!$C$12+Calculations!$M29)/(Calculations!$C$12+Calculations!$C$9)))+calculateOmega(Calculations!M29,Calculations!N29,Calculations!Q29,'Reaction Information'!$C$21,'Reaction Information'!$P$21*10^5,'Reaction Information'!$Q$21)*((1/Calculations!$S29)-1)-'Reaction Information'!$P$21*10^5*((1/Calculations!$C$10)-1)+'Reaction Information'!$P$21*10^5*Calculations!$C$14*(Calculations!$O29-Calculations!$C$8))</f>
        <v>#N/A</v>
      </c>
      <c r="AI29" s="8" t="e">
        <f>IF(ISBLANK(Input!$AG$4),NA(),'Reaction Information'!$E$25-'Reaction Information'!$G$25*(Calculations!$O29-Calculations!$C$8)-'Reaction Information'!$N$25*(Calculations!$O29*LN(Calculations!$O29/Calculations!$C$8)-Calculations!$O29+Calculations!$C$8)-'Reaction Information'!$O$25*10^4*(((1/(Calculations!$O29-Calculations!$C$13))-(1/(Calculations!$C$8-Calculations!$C$13)))*((Calculations!$C$13-Calculations!$O29)/(Calculations!$C$13))-(Calculations!$O29/(Calculations!$C$13*Calculations!$C$13))*LN((Calculations!$C$8*(Calculations!$O29-Calculations!$C$13))/(Calculations!$O29*(Calculations!$C$8-Calculations!$C$13))))+'Reaction Information'!$J$25*10^-1*(Calculations!$M29-Calculations!$C$9)+'Reaction Information'!$K$25*10^2*LN((Calculations!$C$12+Calculations!$M29)/(Calculations!$C$12+Calculations!$C$9))+(1/(Calculations!$O29-Calculations!$C$13))*('Reaction Information'!$L$25*(Calculations!$M29-Calculations!$C$9)+'Reaction Information'!$M$25*10^4*LN((Calculations!$C$12+Calculations!$M29)/(Calculations!$C$12+Calculations!$C$9)))+calculateOmega(Calculations!M29,Calculations!N29,Calculations!Q29,'Reaction Information'!$C$25,'Reaction Information'!$P$25*10^5,'Reaction Information'!$Q$25)*((1/Calculations!$S29)-1)-'Reaction Information'!$P$25*10^5*((1/Calculations!$C$10)-1)+'Reaction Information'!$P$25*10^5*Calculations!$C$14*(Calculations!$O29-Calculations!$C$8))</f>
        <v>#N/A</v>
      </c>
      <c r="AJ29" s="8" t="e">
        <f>IF(ISBLANK(Input!$AJ$4),NA(),'Reaction Information'!$E$29-'Reaction Information'!$G$29*(Calculations!$O29-Calculations!$C$8)-'Reaction Information'!$N$29*(Calculations!$O29*LN(Calculations!$O29/Calculations!$C$8)-Calculations!$O29+Calculations!$C$8)-'Reaction Information'!$O$29*10^4*(((1/(Calculations!$O29-Calculations!$C$13))-(1/(Calculations!$C$8-Calculations!$C$13)))*((Calculations!$C$13-Calculations!$O29)/(Calculations!$C$13))-(Calculations!$O29/(Calculations!$C$13*Calculations!$C$13))*LN((Calculations!$C$8*(Calculations!$O29-Calculations!$C$13))/(Calculations!$O29*(Calculations!$C$8-Calculations!$C$13))))+'Reaction Information'!$J$29*10^-1*(Calculations!$M29-Calculations!$C$9)+'Reaction Information'!$K$29*10^2*LN((Calculations!$C$12+Calculations!$M29)/(Calculations!$C$12+Calculations!$C$9))+(1/(Calculations!$O29-Calculations!$C$13))*('Reaction Information'!$L$29*(Calculations!$M29-Calculations!$C$9)+'Reaction Information'!$M$29*10^4*LN((Calculations!$C$12+Calculations!$M29)/(Calculations!$C$12+Calculations!$C$9)))+calculateOmega(Calculations!M29,Calculations!N29,Calculations!Q29,'Reaction Information'!$C$29,'Reaction Information'!$P$29*10^5,'Reaction Information'!$Q$29)*((1/Calculations!$S29)-1)-'Reaction Information'!$P$29*10^5*((1/Calculations!$C$10)-1)+'Reaction Information'!$P$29*10^5*Calculations!$C$14*(Calculations!$O29-Calculations!$C$8))</f>
        <v>#N/A</v>
      </c>
      <c r="AK29" s="8" t="e">
        <f>IF(ISBLANK(Input!$AM$4),NA(),'Reaction Information'!$E$33-'Reaction Information'!$G$33*(Calculations!$O29-Calculations!$C$8)-'Reaction Information'!$N$33*(Calculations!$O29*LN(Calculations!$O29/Calculations!$C$8)-Calculations!$O29+Calculations!$C$8)-'Reaction Information'!$O$33*10^4*(((1/(Calculations!$O29-Calculations!$C$13))-(1/(Calculations!$C$8-Calculations!$C$13)))*((Calculations!$C$13-Calculations!$O29)/(Calculations!$C$13))-(Calculations!$O29/(Calculations!$C$13*Calculations!$C$13))*LN((Calculations!$C$8*(Calculations!$O29-Calculations!$C$13))/(Calculations!$O29*(Calculations!$C$8-Calculations!$C$13))))+'Reaction Information'!$J$33*10^-1*(Calculations!$M29-Calculations!$C$9)+'Reaction Information'!$K$33*10^2*LN((Calculations!$C$12+Calculations!$M29)/(Calculations!$C$12+Calculations!$C$9))+(1/(Calculations!$O29-Calculations!$C$13))*('Reaction Information'!$L$33*(Calculations!$M29-Calculations!$C$9)+'Reaction Information'!$M$33*10^4*LN((Calculations!$C$12+Calculations!$M29)/(Calculations!$C$12+Calculations!$C$9)))+calculateOmega(Calculations!M29,Calculations!N29,Calculations!Q29,'Reaction Information'!$C$33,'Reaction Information'!$P$33*10^5,'Reaction Information'!$Q$33)*((1/Calculations!$S29)-1)-'Reaction Information'!$P$33*10^5*((1/Calculations!$C$10)-1)+'Reaction Information'!$P$33*10^5*Calculations!$C$14*(Calculations!$O29-Calculations!$C$8))</f>
        <v>#N/A</v>
      </c>
      <c r="AL29" s="1">
        <f>Results!S31</f>
        <v>0</v>
      </c>
      <c r="AM29" s="1">
        <f>Results!T31</f>
        <v>0</v>
      </c>
      <c r="AN29" s="1">
        <f>Results!U31</f>
        <v>0</v>
      </c>
      <c r="AO29" s="1">
        <f>Results!V31</f>
        <v>0</v>
      </c>
      <c r="AP29" s="8" t="e">
        <f>IF(ISBLANK(Input!$BB$4),NA(),'Reaction Information'!$E$38-'Reaction Information'!$G$38*(Calculations!$O29-Calculations!$C$8)+'Reaction Information'!$I$38*(Calculations!$O29-Calculations!$C$8-Calculations!$O29*LN(Calculations!$O29/Calculations!$C$8))+'Reaction Information'!$J$38*0.001/2*(2*Calculations!$O29*Calculations!$C$8-Calculations!$O29^2-Calculations!$C$8^2) + 'Reaction Information'!$K$38*100000*(Calculations!$O29^2 + Calculations!$C$8^2 - 2*Calculations!$O29*Calculations!$C$8)/(2*Calculations!$O29*Calculations!$C$8^2))</f>
        <v>#N/A</v>
      </c>
      <c r="AQ29" s="8" t="e">
        <f>IF(ISBLANK(Input!$BE$4),NA(),'Reaction Information'!$E$42-'Reaction Information'!$G$42*(Calculations!$O29-Calculations!$C$8)+'Reaction Information'!$I$42*(Calculations!$O29-Calculations!$C$8-Calculations!$O29*LN(Calculations!$O29/Calculations!$C$8))+'Reaction Information'!$J$42*0.001/2*(2*Calculations!$O29*Calculations!$C$8-Calculations!$O29^2-Calculations!$C$8^2) + 'Reaction Information'!$K$42*100000*(Calculations!$O29^2 + Calculations!$C$8^2 - 2*Calculations!$O29*Calculations!$C$8)/(2*Calculations!$O29*Calculations!$C$8^2))</f>
        <v>#N/A</v>
      </c>
      <c r="AR29" s="8" t="e">
        <f>IF(AR$5="H2O", IF($D$24=3,IF(T29=0,NA(),T29),calculateGibbsOfWater(M29,N29,$D$24,$D$20,$D$19=3)),NA())</f>
        <v>#N/A</v>
      </c>
      <c r="AS29" s="8">
        <f>IF(ISBLANK(Input!$BK$4),NA(),'Reaction Information'!$E$46-'Reaction Information'!$G$46*(Calculations!O29-Calculations!$C$8)-'Reaction Information'!$N$46*(Calculations!O29*LN(Calculations!O29/Calculations!$C$8)-Calculations!O29+Calculations!$C$8)-'Reaction Information'!$O$46*10^4*(((1/(Calculations!O29-Calculations!$C$13))-(1/(Calculations!$C$8-Calculations!$C$13)))*((Calculations!$C$13-Calculations!O29)/(Calculations!$C$13))-(Calculations!O29/(Calculations!$C$13*Calculations!$C$13))*LN((Calculations!$C$8*(Calculations!O29-Calculations!$C$13))/(Calculations!O29*(Calculations!$C$8-Calculations!$C$13))))+'Reaction Information'!$J$46*10^-1*(Calculations!$M29-Calculations!$C$9)+'Reaction Information'!$K$46*10^2*LN((Calculations!$C$12+Calculations!$M29)/(Calculations!$C$12+Calculations!$C$9))+(1/(Calculations!O29-Calculations!$C$13))*('Reaction Information'!$L$46*(Calculations!$M29-Calculations!$C$9)+'Reaction Information'!$M$46*10^4*LN((Calculations!$C$12+Calculations!$M29)/(Calculations!$C$12+Calculations!$C$9)))+calculateOmega(Calculations!M29,Calculations!N29,Calculations!Q29,'Reaction Information'!$C$46,'Reaction Information'!$P$46*10^5,'Reaction Information'!$Q$46)*((1/Calculations!S29)-1)-'Reaction Information'!$P$46*10^5*((1/Calculations!$C$10)-1)+'Reaction Information'!$P$46*10^5*Calculations!$C$14*(Calculations!O29-Calculations!$C$8))</f>
        <v>0</v>
      </c>
      <c r="AT29" s="8">
        <f>IF(ISBLANK(Input!$BN$4),NA(),'Reaction Information'!$E$50-'Reaction Information'!$G$50*(Calculations!O29-Calculations!$C$8)-'Reaction Information'!$N$50*(Calculations!O29*LN(Calculations!O29/Calculations!$C$8)-Calculations!O29+Calculations!$C$8)-'Reaction Information'!$O$50*10^4*(((1/(Calculations!O29-Calculations!$C$13))-(1/(Calculations!$C$8-Calculations!$C$13)))*((Calculations!$C$13-Calculations!O29)/(Calculations!$C$13))-(Calculations!O29/(Calculations!$C$13*Calculations!$C$13))*LN((Calculations!$C$8*(Calculations!O29-Calculations!$C$13))/(Calculations!O29*(Calculations!$C$8-Calculations!$C$13))))+'Reaction Information'!$J$50*10^-1*(Calculations!$M29-Calculations!$C$9)+'Reaction Information'!$K$50*10^2*LN((Calculations!$C$12+Calculations!$M29)/(Calculations!$C$12+Calculations!$C$9))+(1/(Calculations!O29-Calculations!$C$13))*('Reaction Information'!$L$50*(Calculations!$M29-Calculations!$C$9)+'Reaction Information'!$M$50*10^4*LN((Calculations!$C$12+Calculations!$M29)/(Calculations!$C$12+Calculations!$C$9)))+calculateOmega(Calculations!M29,Calculations!N29,Calculations!Q29,'Reaction Information'!$C$50,'Reaction Information'!$P$50*10^5,'Reaction Information'!$Q$50)*((1/Calculations!S29)-1)-'Reaction Information'!$P$50*10^5*((1/Calculations!$C$10)-1)+'Reaction Information'!$P$50*10^5*Calculations!$C$14*(Calculations!O29-Calculations!$C$8))</f>
        <v>-151335.48626900706</v>
      </c>
      <c r="AU29" s="8" t="e">
        <f>IF(ISBLANK(Input!$BQ$4),NA(),'Reaction Information'!$E$54-'Reaction Information'!$G$54*(Calculations!$O29-Calculations!$C$8)-'Reaction Information'!$N$54*(Calculations!$O29*LN(Calculations!$O29/Calculations!$C$8)-Calculations!$O29+Calculations!$C$8)-'Reaction Information'!$O$54*10^4*(((1/(Calculations!$O29-Calculations!$C$13))-(1/(Calculations!$C$8-Calculations!$C$13)))*((Calculations!$C$13-Calculations!$O29)/(Calculations!$C$13))-(Calculations!$O29/(Calculations!$C$13*Calculations!$C$13))*LN((Calculations!$C$8*(Calculations!$O29-Calculations!$C$13))/(Calculations!$O29*(Calculations!$C$8-Calculations!$C$13))))+'Reaction Information'!$J$54*10^-1*(Calculations!$M29-Calculations!$C$9)+'Reaction Information'!$K$54*10^2*LN((Calculations!$C$12+Calculations!$M29)/(Calculations!$C$12+Calculations!$C$9))+(1/(Calculations!$O29-Calculations!$C$13))*('Reaction Information'!$L$54*(Calculations!$M29-Calculations!$C$9)+'Reaction Information'!$M$54*10^4*LN((Calculations!$C$12+Calculations!$M29)/(Calculations!$C$12+Calculations!$C$9)))+calculateOmega(Calculations!M29,Calculations!N29,Calculations!Q29,'Reaction Information'!$C$54,'Reaction Information'!$P$54*10^5,'Reaction Information'!$Q$54)*((1/Calculations!$S29)-1)-'Reaction Information'!$P$54*10^5*((1/Calculations!$C$10)-1)+'Reaction Information'!$P$54*10^5*Calculations!$C$14*(Calculations!$O29-Calculations!$C$8))</f>
        <v>#N/A</v>
      </c>
      <c r="AV29" s="8" t="e">
        <f>IF(ISBLANK(Input!$BT$4),NA(),'Reaction Information'!$E$58-'Reaction Information'!$G$58*(Calculations!$O29-Calculations!$C$8)-'Reaction Information'!$N$58*(Calculations!$O29*LN(Calculations!$O29/Calculations!$C$8)-Calculations!$O29+Calculations!$C$8)-'Reaction Information'!$O$58*10^4*(((1/(Calculations!$O29-Calculations!$C$13))-(1/(Calculations!$C$8-Calculations!$C$13)))*((Calculations!$C$13-Calculations!$O29)/(Calculations!$C$13))-(Calculations!$O29/(Calculations!$C$13*Calculations!$C$13))*LN((Calculations!$C$8*(Calculations!$O29-Calculations!$C$13))/(Calculations!$O29*(Calculations!$C$8-Calculations!$C$13))))+'Reaction Information'!$J$58*10^-1*(Calculations!$M29-Calculations!$C$9)+'Reaction Information'!$K$58*10^2*LN((Calculations!$C$12+Calculations!$M29)/(Calculations!$C$12+Calculations!$C$9))+(1/(Calculations!$O29-Calculations!$C$13))*('Reaction Information'!$L$58*(Calculations!$M29-Calculations!$C$9)+'Reaction Information'!$M$58*10^4*LN((Calculations!$C$12+Calculations!$M29)/(Calculations!$C$12+Calculations!$C$9)))+calculateOmega(Calculations!M29,Calculations!N29,Calculations!Q29,'Reaction Information'!$C$58,'Reaction Information'!$P$58*10^5,'Reaction Information'!$Q$58)*((1/Calculations!$S29)-1)-'Reaction Information'!$P$58*10^5*((1/Calculations!$C$10)-1)+'Reaction Information'!$P$58*10^5*Calculations!$C$14*(Calculations!$O29-Calculations!$C$8))</f>
        <v>#N/A</v>
      </c>
      <c r="AW29" s="8" t="e">
        <f>IF(ISBLANK(Input!$BW$4),NA(),'Reaction Information'!$E$62-'Reaction Information'!$G$62*(Calculations!$O29-Calculations!$C$8)-'Reaction Information'!$N$62*(Calculations!$O29*LN(Calculations!$O29/Calculations!$C$8)-Calculations!$O29+Calculations!$C$8)-'Reaction Information'!$O$62*10^4*(((1/(Calculations!$O29-Calculations!$C$13))-(1/(Calculations!$C$8-Calculations!$C$13)))*((Calculations!$C$13-Calculations!$O29)/(Calculations!$C$13))-(Calculations!$O29/(Calculations!$C$13*Calculations!$C$13))*LN((Calculations!$C$8*(Calculations!$O29-Calculations!$C$13))/(Calculations!$O29*(Calculations!$C$8-Calculations!$C$13))))+'Reaction Information'!$J$62*10^-1*(Calculations!$M29-Calculations!$C$9)+'Reaction Information'!$K$62*10^2*LN((Calculations!$C$12+Calculations!$M29)/(Calculations!$C$12+Calculations!$C$9))+(1/(Calculations!$O29-Calculations!$C$13))*('Reaction Information'!$L$62*(Calculations!$M29-Calculations!$C$9)+'Reaction Information'!$M$62*10^4*LN((Calculations!$C$12+Calculations!$M29)/(Calculations!$C$12+Calculations!$C$9)))+calculateOmega(Calculations!M29,Calculations!N29,Calculations!Q29,'Reaction Information'!$C$62,'Reaction Information'!$P$62*10^5,'Reaction Information'!$Q$62)*((1/Calculations!$S29)-1)-'Reaction Information'!$P$62*10^5*((1/Calculations!$C$10)-1)+'Reaction Information'!$P$62*10^5*Calculations!$C$14*(Calculations!$O29-Calculations!$C$8))</f>
        <v>#N/A</v>
      </c>
      <c r="AX29" s="8" t="e">
        <f>IF(ISBLANK(Input!$BZ$4),NA(),'Reaction Information'!$E$66-'Reaction Information'!$G$66*(Calculations!$O29-Calculations!$C$8)-'Reaction Information'!$N$66*(Calculations!$O29*LN(Calculations!$O29/Calculations!$C$8)-Calculations!$O29+Calculations!$C$8)-'Reaction Information'!$O$66*10^4*(((1/(Calculations!$O29-Calculations!$C$13))-(1/(Calculations!$C$8-Calculations!$C$13)))*((Calculations!$C$13-Calculations!$O29)/(Calculations!$C$13))-(Calculations!$O29/(Calculations!$C$13*Calculations!$C$13))*LN((Calculations!$C$8*(Calculations!$O29-Calculations!$C$13))/(Calculations!$O29*(Calculations!$C$8-Calculations!$C$13))))+'Reaction Information'!$J$66*10^-1*(Calculations!$M29-Calculations!$C$9)+'Reaction Information'!$K$66*10^2*LN((Calculations!$C$12+Calculations!$M29)/(Calculations!$C$12+Calculations!$C$9))+(1/(Calculations!$O29-Calculations!$C$13))*('Reaction Information'!$L$66*(Calculations!$M29-Calculations!$C$9)+'Reaction Information'!$M$66*10^4*LN((Calculations!$C$12+Calculations!$M29)/(Calculations!$C$12+Calculations!$C$9)))+calculateOmega(Calculations!M29,Calculations!N29,Calculations!Q29,'Reaction Information'!$C$66,'Reaction Information'!$P$66*10^5,'Reaction Information'!$Q$66)*((1/Calculations!$S29)-1)-'Reaction Information'!$P$66*10^5*((1/Calculations!$C$10)-1)+'Reaction Information'!$P$66*10^5*Calculations!$C$14*(Calculations!$O29-Calculations!$C$8))</f>
        <v>#N/A</v>
      </c>
      <c r="AY29" s="31">
        <f>(AL29*Input!$AO$4+AM29*Input!$AR$4+AN29*Input!$AU$4+AO29*Input!$AX$4+IF(ISNA(AP29),0,AP29*Input!$BA$4)+IF(ISNA(AQ29),0,AQ29*Input!$BD$4)+IF(ISNA(AR29),0,AR29*Input!$BG$4)+IF(ISNA(AS29),0,AS29*Input!$BJ$4)+IF(ISNA(AT29),0,AT29*Input!$BM$4)+IF(ISNA(AU29),0,AU29*Input!$BP$4)+IF(ISNA(AV29),0,AV29*Input!$BS$4)+IF(ISNA(AW29),0,AW29*Input!$BV$4)+IF(ISNA(AX29),0,AX29*Input!$BY$4))-(Y29*Input!$B$4+Z29*Input!$E$4+AA29*Input!$H$4+AB29*Input!$K$4+IF(ISNA(AC29),0,AC29*Input!$N$4)+IF(ISNA(AD29),0,AD29*Input!$Q$4)+IF(ISNA(AE29),0,AE29*Input!$T$4)+IF(ISNA(AF29),0,AF29*Input!$W$4)+IF(ISNA(AG29),0,AG29*Input!$Z$4)+IF(ISNA(AH29),0,AH29*Input!$AC$4)+IF(ISNA(AI29),0,AI29*Input!$AF$4)+IF(ISNA(AJ29),0,AJ29*Input!$AI$4)+IF(ISNA(AK29),0,AK29*Input!$AL$4))</f>
        <v>33466.815165162523</v>
      </c>
      <c r="AZ29" s="42">
        <f t="shared" si="7"/>
        <v>-7.5208421165057651</v>
      </c>
      <c r="BA29" s="1">
        <f t="shared" si="8"/>
        <v>700</v>
      </c>
      <c r="BB29" s="46">
        <f t="shared" si="9"/>
        <v>10000</v>
      </c>
      <c r="BC29" s="1"/>
      <c r="BD29" s="2">
        <f t="shared" si="10"/>
        <v>10000</v>
      </c>
      <c r="BE29" s="46">
        <f t="shared" si="11"/>
        <v>700</v>
      </c>
      <c r="BF29" s="1">
        <f>Results!AJ31</f>
        <v>0</v>
      </c>
      <c r="BG29" s="1">
        <f>Results!AK31</f>
        <v>0</v>
      </c>
      <c r="BH29" s="1">
        <f>Results!AL31</f>
        <v>0</v>
      </c>
      <c r="BI29" s="1">
        <f>Results!AM31</f>
        <v>0</v>
      </c>
      <c r="BJ29" s="1" t="e">
        <f>IF(OR(ISNA('Reaction Information'!$D$5), $N29 = "", $D$27 = FALSE, 'Reaction Information'!$D$5 = ""), NA(), 24.465)</f>
        <v>#N/A</v>
      </c>
      <c r="BK29" s="1" t="e">
        <f>IF(OR(ISNA('Reaction Information'!$D$9), $N29 = "", $D$27 = FALSE, 'Reaction Information'!$D$9 = ""), NA(), 24.465)</f>
        <v>#N/A</v>
      </c>
      <c r="BL29" s="8">
        <f t="shared" si="0"/>
        <v>19.661545188418913</v>
      </c>
      <c r="BM29" s="8">
        <f>IF(OR(ISBLANK(Input!$X$4),$D$27=FALSE),NA(),('Reaction Information'!$J$13/10+'Reaction Information'!$K$13*100/(Calculations!$C$12+Calculations!$M29)+('Reaction Information'!$L$13+'Reaction Information'!$M$13*10^4/(Calculations!$C$12+Calculations!$M29))/(Calculations!$O29-Calculations!$C$13) -calculateOmega(Calculations!$M29,Calculations!$N29,Calculations!$Q29,'Reaction Information'!$C$13,'Reaction Information'!$P$13*10^5,'Reaction Information'!$Q$13)*Calculations!$U29*10^-6 + (1/$S29 - 1)*calculate_domegadP(Calculations!$M29,Calculations!$N29,Calculations!$Q29,'Reaction Information'!$C$13,'Reaction Information'!$P$13*10^5,'Reaction Information'!$Q$13,$D$20,$D$19=3))*41.84)</f>
        <v>35.225171920067503</v>
      </c>
      <c r="BN29" s="8" t="e">
        <f>IF(OR(ISBLANK(Input!$AA$4),$D$27=FALSE),NA(),('Reaction Information'!$J$17/10+'Reaction Information'!$K$17*100/(Calculations!$C$12+Calculations!$M29)+('Reaction Information'!$L$17+'Reaction Information'!$M$17*10000/(Calculations!$C$12+Calculations!$M29))/(Calculations!$O29-Calculations!$C$13)-calculateOmega(Calculations!M29,Calculations!N29,Calculations!Q29,'Reaction Information'!$C$17,'Reaction Information'!$P$17*10^5,'Reaction Information'!$Q$17)*Calculations!$U29*10^-6 + (1/$S29 - 1)*calculate_domegadP(Calculations!M29,Calculations!N29,Calculations!Q29,'Reaction Information'!$C$17,'Reaction Information'!$P$17*10^5,'Reaction Information'!$Q$17,$D$20,$D$19=3))*41.84)</f>
        <v>#N/A</v>
      </c>
      <c r="BO29" s="8" t="e">
        <f>IF(OR(ISBLANK(Input!$AD$4),$D$27=FALSE),NA(),('Reaction Information'!$J$21/10+'Reaction Information'!$K$21*100/(Calculations!$C$12+Calculations!$M29)+('Reaction Information'!$L$21+'Reaction Information'!$M$21*10000/(Calculations!$C$12+Calculations!$M29))/(Calculations!$O29-Calculations!$C$13)-calculateOmega(Calculations!M29,Calculations!N29,Calculations!Q29,'Reaction Information'!$C$21,'Reaction Information'!$P$21*10^5,'Reaction Information'!$Q$21)*Calculations!$U29*10^-6 + (1/$S29 - 1)*calculate_domegadP(Calculations!M29,Calculations!N29,Calculations!Q29,'Reaction Information'!$C$21,'Reaction Information'!$P$21*10^5,'Reaction Information'!$Q$21,$D$20,$D$19=3))*41.84)</f>
        <v>#N/A</v>
      </c>
      <c r="BP29" s="8" t="e">
        <f>IF(OR(ISBLANK(Input!$AG$4),$D$27=FALSE),NA(),('Reaction Information'!$J$25/10+'Reaction Information'!$K$25*100/(Calculations!$C$12+Calculations!$M29)+('Reaction Information'!$L$25+'Reaction Information'!$M$25*10000/(Calculations!$C$12+Calculations!$M29))/(Calculations!$O29-Calculations!$C$13)-calculateOmega(Calculations!M29,Calculations!N29,Calculations!Q29,'Reaction Information'!$C$25,'Reaction Information'!$P$25*10^5,'Reaction Information'!$Q$25)*Calculations!$U29*10^-6 + (1/$S29 - 1)*calculate_domegadP(Calculations!M29,Calculations!N29,Calculations!Q29,'Reaction Information'!$C$25,'Reaction Information'!$P$25*10^5,'Reaction Information'!$Q$25,$D$20,$D$19=3))*41.84)</f>
        <v>#N/A</v>
      </c>
      <c r="BQ29" s="8" t="e">
        <f>IF(OR(ISBLANK(Input!$AJ$4),$D$27=FALSE),NA(),('Reaction Information'!$J$29/10+'Reaction Information'!$K$29*100/(Calculations!$C$12+Calculations!$M29)+('Reaction Information'!$L$29+'Reaction Information'!$M$29*10000/(Calculations!$C$12+Calculations!$M29))/(Calculations!$O29-Calculations!$C$13)-calculateOmega(Calculations!M29,Calculations!N29,Calculations!Q29,'Reaction Information'!$C$29,'Reaction Information'!$P$29*10^5,'Reaction Information'!$Q$29)*Calculations!$U29*10^-6 + (1/$S29 - 1)*calculate_domegadP(Calculations!M29,Calculations!N29,Calculations!Q29,'Reaction Information'!$C$29,'Reaction Information'!$P$29*10^5,'Reaction Information'!$Q$29,$D$20,$D$19=3))*41.84)</f>
        <v>#N/A</v>
      </c>
      <c r="BR29" s="8" t="e">
        <f>IF(OR(ISBLANK(Input!$AM$4),$D$27=FALSE),NA(),('Reaction Information'!$J$33/10+'Reaction Information'!$K$33*100/(Calculations!$C$12+Calculations!$M29)+('Reaction Information'!$L$33+'Reaction Information'!$M$33*10000/(Calculations!$C$12+Calculations!$M29))/(Calculations!$O29-Calculations!$C$13)-calculateOmega(Calculations!M29,Calculations!N29,Calculations!Q29,'Reaction Information'!$C$33,'Reaction Information'!$P$33*10^5,'Reaction Information'!$Q$33)*Calculations!$U29*10^-6 + (1/$S29 - 1)*calculate_domegadP(Calculations!M29,Calculations!N29,Calculations!Q29,'Reaction Information'!$C$33,'Reaction Information'!$P$33*10^5,'Reaction Information'!$Q$33,$D$20,$D$19=3))*41.84)</f>
        <v>#N/A</v>
      </c>
      <c r="BS29" s="1">
        <f>Results!AW31</f>
        <v>0</v>
      </c>
      <c r="BT29" s="1">
        <f>Results!AX31</f>
        <v>0</v>
      </c>
      <c r="BU29" s="1">
        <f>Results!AY31</f>
        <v>0</v>
      </c>
      <c r="BV29" s="1">
        <f>Results!AZ31</f>
        <v>0</v>
      </c>
      <c r="BW29" s="1" t="e">
        <f>IF(OR(ISNA('Reaction Information'!$D$38), $N29 = "", $D$27 = FALSE, 'Reaction Information'!$D$38 = ""), NA(), 24.465)</f>
        <v>#N/A</v>
      </c>
      <c r="BX29" s="1" t="e">
        <f>IF(OR(ISNA('Reaction Information'!$D$42), $N29 = "", $D$27 = FALSE, 'Reaction Information'!$D$42 = ""), NA(), 24.465)</f>
        <v>#N/A</v>
      </c>
      <c r="BY29" s="8" t="e">
        <f t="shared" si="1"/>
        <v>#N/A</v>
      </c>
      <c r="BZ29" s="8">
        <f>IF(OR(ISBLANK(Input!$BK$4),$D$27=FALSE),NA(),('Reaction Information'!$J$46/10+'Reaction Information'!$K$46*100/(Calculations!$C$12+Calculations!$M29)+('Reaction Information'!$L$46+'Reaction Information'!$M$46*10000/(Calculations!$C$12+Calculations!$M29))/(Calculations!$O29-Calculations!$C$13)-calculateOmega(Calculations!M29,Calculations!N29,Calculations!Q29,'Reaction Information'!$C$46,'Reaction Information'!$P$46*10^5,'Reaction Information'!$Q$46)*Calculations!$U29*10^-6 + (1/$S29 - 1)*calculate_domegadP(Calculations!M29,Calculations!N29,Calculations!Q29,'Reaction Information'!$C$46,'Reaction Information'!$P$46*10^5,'Reaction Information'!$Q$46,$D$20,$D$19=3))*41.84)</f>
        <v>0</v>
      </c>
      <c r="CA29" s="8">
        <f>IF(OR(ISBLANK(Input!$BN$4),$D$27=FALSE),NA(),('Reaction Information'!$J$50/10+'Reaction Information'!$K$50*100/(Calculations!$C$12+Calculations!$M29)+('Reaction Information'!$L$50+'Reaction Information'!$M$50*10000/(Calculations!$C$12+Calculations!$M29))/(Calculations!$O29-Calculations!$C$13)-calculateOmega(Calculations!M29,Calculations!N29,Calculations!Q29,'Reaction Information'!$C$50,'Reaction Information'!$P$50*10^5,'Reaction Information'!$Q$50)*Calculations!$U29*10^-6 + (1/$S29 - 1)*calculate_domegadP(Calculations!M29,Calculations!N29,Calculations!Q29,'Reaction Information'!$C$50,'Reaction Information'!$P$50*10^5,'Reaction Information'!$Q$50,$D$20,$D$19=3))*41.84)</f>
        <v>23.817453125533032</v>
      </c>
      <c r="CB29" s="8" t="e">
        <f>IF(OR(ISBLANK(Input!$BQ$4),$D$27=FALSE),NA(),('Reaction Information'!$J$54/10+'Reaction Information'!$K$54*100/(Calculations!$C$12+Calculations!$M29)+('Reaction Information'!$L$54+'Reaction Information'!$M$54*10000/(Calculations!$C$12+Calculations!$M29))/(Calculations!$O29-Calculations!$C$13)-calculateOmega(Calculations!M29,Calculations!N29,Calculations!Q29,'Reaction Information'!$C$54,'Reaction Information'!$P$54*10^5,'Reaction Information'!$Q$54)*Calculations!$U29*10^-6 + (1/$S29 - 1)*calculate_domegadP(Calculations!M29,Calculations!N29,Calculations!Q29,'Reaction Information'!$C$54,'Reaction Information'!$P$54*10^5,'Reaction Information'!$Q$54,$D$20,$D$19=3))*41.84)</f>
        <v>#N/A</v>
      </c>
      <c r="CC29" s="8" t="e">
        <f>IF(OR(ISBLANK(Input!$BT$4),$D$27=FALSE),NA(),('Reaction Information'!$J$58/10+'Reaction Information'!$K$58*100/(Calculations!$C$12+Calculations!$M29)+('Reaction Information'!$L$58+'Reaction Information'!$M$58*10000/(Calculations!$C$12+Calculations!$M29))/(Calculations!$O29-Calculations!$C$13)-calculateOmega(Calculations!M29,Calculations!N29,Calculations!Q29,'Reaction Information'!$C$58,'Reaction Information'!$P$58*10^5,'Reaction Information'!$Q$58)*Calculations!$U29*10^-6 + (1/$S29 - 1)*calculate_domegadP(Calculations!M29,Calculations!N29,Calculations!Q29,'Reaction Information'!$C$58,'Reaction Information'!$P$58*10^5,'Reaction Information'!$Q$58,$D$20,$D$19=3))*41.84)</f>
        <v>#N/A</v>
      </c>
      <c r="CD29" s="8" t="e">
        <f>IF(OR(ISBLANK(Input!$BW$4),$D$27=FALSE),NA(),('Reaction Information'!$J$62/10+'Reaction Information'!$K$62*100/(Calculations!$C$12+Calculations!$M29)+('Reaction Information'!$L$62+'Reaction Information'!$M$62*10000/(Calculations!$C$12+Calculations!$M29))/(Calculations!$O29-Calculations!$C$13)-calculateOmega(Calculations!M29,Calculations!N29,Calculations!Q29,'Reaction Information'!$C$62,'Reaction Information'!$P$62*10^5,'Reaction Information'!$Q$62)*Calculations!$U29*10^-6 + (1/$S29 - 1)*calculate_domegadP(Calculations!M29,Calculations!N29,Calculations!Q29,'Reaction Information'!$C$62,'Reaction Information'!$P$62*10^5,'Reaction Information'!$Q$62,$D$20,$D$19=3))*41.84)</f>
        <v>#N/A</v>
      </c>
      <c r="CE29" s="8" t="e">
        <f>IF(OR(ISBLANK(Input!$BZ$4),$D$27=FALSE),NA(),('Reaction Information'!$J$66/10+'Reaction Information'!$K$66*100/(Calculations!$C$12+Calculations!$M29)+('Reaction Information'!$L$66+'Reaction Information'!$M$66*10000/(Calculations!$C$12+Calculations!$M29))/(Calculations!$O29-Calculations!$C$13)-calculateOmega(Calculations!M29,Calculations!N29,Calculations!Q29,'Reaction Information'!$C$66,'Reaction Information'!$P$66*10^5,'Reaction Information'!$Q$66)*Calculations!$U29*10^-6 + (1/$S29 - 1)*calculate_domegadP(Calculations!M29,Calculations!N29,Calculations!Q29,'Reaction Information'!$C$66,'Reaction Information'!$P$66*10^5,'Reaction Information'!$Q$66,$D$20,$D$19=3))*41.84)</f>
        <v>#N/A</v>
      </c>
      <c r="CF29" s="31">
        <f>(BS29*Input!$AO$4+BT29*Input!$AR$4+BU29*Input!$AU$4+BV29*Input!$AX$4+IF(ISNA(BW29),0,BW29*Input!$BA$4)+IF(ISNA(BX29),0,BX29*Input!$BD$4)+IF(ISNA(BY29),0,BY29*Input!$BG$4)+IF(ISNA(BZ29),0,BZ29*Input!$BJ$4)+IF(ISNA(CA29),0,CA29*Input!$BM$4)+IF(ISNA(CB29),0,CB29*Input!$BP$4)+IF(ISNA(CC29),0,CC29*Input!$BS$4)+IF(ISNA(CD29),0,CD29*Input!$BV$4)+IF(ISNA(CE29),0,CE29*Input!$BY$4))-(BF29*Input!$B$4+BG29*Input!$E$4+BH29*Input!$H$4+BI29*Input!$K$4+IF(ISNA(BJ29),0,BJ29*Input!$N$4)+IF(ISNA(BK29),0,BK29*Input!$Q$4)+IF(ISNA(BL29),0,BL29*Input!$T$4)+IF(ISNA(BM29),0,BM29*Input!$W$4)+IF(ISNA(BN29),0,BN29*Input!$Z$4)+IF(ISNA(BO29),0,BO29*Input!$AC$4)+IF(ISNA(BP29),0,BP29*Input!$AF$4)+IF(ISNA(BQ29),0,BQ29*Input!$AI$4)+IF(ISNA(BR29),0,BR29*Input!$AL$4))</f>
        <v>-31.069263982953384</v>
      </c>
      <c r="CG29" s="1">
        <f t="shared" si="12"/>
        <v>700</v>
      </c>
      <c r="CH29" s="46">
        <f t="shared" si="13"/>
        <v>10000</v>
      </c>
      <c r="CI29" s="1"/>
    </row>
    <row r="30" spans="1:87" x14ac:dyDescent="0.2">
      <c r="A30" s="1"/>
      <c r="B30" s="7">
        <v>1</v>
      </c>
      <c r="C30" s="266" t="s">
        <v>558</v>
      </c>
      <c r="D30" s="268"/>
      <c r="E30" s="1"/>
      <c r="F30" s="2">
        <v>25</v>
      </c>
      <c r="G30" s="1" t="str">
        <f>IF(ISBLANK(Input!CB30), "", Input!CB30*1000)</f>
        <v/>
      </c>
      <c r="H30" s="1" t="str">
        <f>IF(ISBLANK(Input!CC30), "", Input!CC30)</f>
        <v/>
      </c>
      <c r="I30" s="1">
        <f>IF(Input!$CF$5 + Input!$CF$6*(FLOOR((Calculations!$F30-1)/(FLOOR((Input!$CF$12-Input!$CF$10)/Input!$CF$11,1)+1),1)) &gt; Input!$CF$7, "", (Input!$CF$5 + Input!$CF$6*(FLOOR((Calculations!$F30-1)/(FLOOR((Input!$CF$12-Input!$CF$10)/Input!$CF$11,1)+1),1)))*1000)</f>
        <v>10000</v>
      </c>
      <c r="J30" s="1">
        <f>IF(Calculations!I30 = "", "", Input!$CF$10 + Input!$CF$11*(Calculations!$F30-1) - (FLOOR((Input!$CF$12-Input!$CF$10)/Input!$CF$11,1)+1)*Input!$CF$11*FLOOR((Calculations!$F30-1)/(FLOOR((Input!$CF$12-Input!$CF$10)/Input!$CF$11,1)+1),1))</f>
        <v>750</v>
      </c>
      <c r="K30" s="8" t="str">
        <f t="shared" si="14"/>
        <v/>
      </c>
      <c r="L30" s="117" t="str">
        <f>IF(OR(Input!$CJ$5 + Input!$CJ$6*(Calculations!F30-1) &gt; Input!$CJ$7, Input!$CJ$5 + Input!$CJ$6*(Calculations!F30-1) &gt; 350), "", Input!$CJ$5 + Input!$CJ$6*(Calculations!F30-1))</f>
        <v/>
      </c>
      <c r="M30" s="1">
        <f t="shared" si="2"/>
        <v>10000</v>
      </c>
      <c r="N30" s="1">
        <f t="shared" si="3"/>
        <v>750</v>
      </c>
      <c r="O30" s="1">
        <f t="shared" si="4"/>
        <v>1023.15</v>
      </c>
      <c r="P30" s="1" t="e">
        <f>IF(OR($D$20=3,AND($D$21=TRUE,M30&lt;1000)),INDEX('Water Density'!$C$6:$CX$120,MATCH(Calculations!N30,'Water Density'!$B$6:$B$120),MATCH(Calculations!M30/1000,'Water Density'!$C$5:$CX$5)),NA())</f>
        <v>#N/A</v>
      </c>
      <c r="Q30" s="182">
        <f>IF(OR($D$20=3,AND($D$21=TRUE,M30&lt;1000)), IF(P30&lt;&gt;0,P30,NA()), calculateDensity(M30,N30,$D$20,0.01,$D$19 = 3))</f>
        <v>0.8949570484781264</v>
      </c>
      <c r="R30" s="1" t="e">
        <f>IF($D$22=5,INDEX('Dielectric Constant'!$C$6:$CX$120,MATCH(Calculations!N30,'Dielectric Constant'!$B$6:$B$120),MATCH(Calculations!M30/1000,'Dielectric Constant'!$C$5:$CX$5)),NA())</f>
        <v>#N/A</v>
      </c>
      <c r="S30" s="58">
        <f>IF($D$22=5, IF(R30&lt;&gt;0,R30,NA()), IF(AND($D$23,M30&lt;=5000,$D$19 &lt;&gt; 3),calculateEpsilon(Q30,N30,1,FALSE),calculateEpsilon(Q30,N30,$D$22,$D$19 = 3)))</f>
        <v>14.103545592148011</v>
      </c>
      <c r="T30" s="1" t="e">
        <f>IF($D$24=3,INDEX('Water Free Energy'!$C$6:$CX$120,MATCH(Calculations!N30,'Water Free Energy'!$B$6:$B$120),MATCH(Calculations!M30/1000,'Water Free Energy'!$C$5:$CX$5)),NA())</f>
        <v>#N/A</v>
      </c>
      <c r="U30" s="179">
        <f>IF($D$27,calculateQ(M30,N30,Q30,$D$20,$D$22,$D$19=3)*10^6,NA())</f>
        <v>1.7923057691322404</v>
      </c>
      <c r="V30"/>
      <c r="W30" s="2">
        <f t="shared" si="5"/>
        <v>10000</v>
      </c>
      <c r="X30" s="1">
        <f t="shared" si="6"/>
        <v>750</v>
      </c>
      <c r="Y30" s="1">
        <f>Results!F32</f>
        <v>0</v>
      </c>
      <c r="Z30" s="1">
        <f>Results!G32</f>
        <v>0</v>
      </c>
      <c r="AA30" s="1">
        <f>Results!H32</f>
        <v>0</v>
      </c>
      <c r="AB30" s="1">
        <f>Results!I32</f>
        <v>0</v>
      </c>
      <c r="AC30" s="1" t="e">
        <f>IF(ISBLANK(Input!$O$4),NA(),'Reaction Information'!$E$5-'Reaction Information'!$G$5*(Calculations!$O30-Calculations!$C$8)+'Reaction Information'!$I$5*(Calculations!$O30-Calculations!$C$8-Calculations!$O30*LN(Calculations!$O30/Calculations!$C$8))+'Reaction Information'!$J$5*0.001/2*(2*Calculations!$O30*Calculations!$C$8-Calculations!$O30^2-Calculations!$C$8^2) + 'Reaction Information'!$K$5*100000*(Calculations!$O30^2 + Calculations!$C$8^2 - 2*Calculations!$O30*Calculations!$C$8)/(2*Calculations!$O30*Calculations!$C$8^2))</f>
        <v>#N/A</v>
      </c>
      <c r="AD30" s="8" t="e">
        <f>IF(ISBLANK(Input!$R$4),NA(),'Reaction Information'!$E$9-'Reaction Information'!$G$9*(Calculations!$O30-Calculations!$C$8)+'Reaction Information'!$I$9*(Calculations!$O30-Calculations!$C$8-Calculations!$O30*LN(Calculations!$O30/Calculations!$C$8))+'Reaction Information'!$J$9*0.001/2*(2*Calculations!$O30*Calculations!$C$8-Calculations!$O30^2-Calculations!$C$8^2) + 'Reaction Information'!$K$9*100000*(Calculations!$O30^2 + Calculations!$C$8^2 - 2*Calculations!$O30*Calculations!$C$8)/(2*Calculations!$O30*Calculations!$C$8^2))</f>
        <v>#N/A</v>
      </c>
      <c r="AE30" s="8">
        <f>IF(AE$5="H2O",IF($D$24=3,IF(T30=0,NA(),T30),calculateGibbsOfWater(M30,N30,$D$24,$D$20,$D$19=3)),NA())</f>
        <v>-72225.813683039218</v>
      </c>
      <c r="AF30" s="8">
        <f>IF(ISBLANK(Input!$X$4),NA(),'Reaction Information'!$E$13-'Reaction Information'!$G$13*(Calculations!O30-Calculations!$C$8)-'Reaction Information'!$N$13*(Calculations!O30*LN(Calculations!O30/Calculations!$C$8)-Calculations!O30+Calculations!$C$8)-'Reaction Information'!$O$13*10^4*(((1/(Calculations!O30-Calculations!$C$13))-(1/(Calculations!$C$8-Calculations!$C$13)))*((Calculations!$C$13-Calculations!O30)/(Calculations!$C$13))-(Calculations!O30/(Calculations!$C$13*Calculations!$C$13))*LN((Calculations!$C$8*(Calculations!O30-Calculations!$C$13))/(Calculations!O30*(Calculations!$C$8-Calculations!$C$13))))+'Reaction Information'!$J$13*10^-1*(Calculations!M30-Calculations!$C$9)+'Reaction Information'!$K$13*10^2*LN((Calculations!$C$12+Calculations!M30)/(Calculations!$C$12+Calculations!$C$9))+(1/(Calculations!O30-Calculations!$C$13))*('Reaction Information'!$L$13*(Calculations!M30-Calculations!$C$9)+'Reaction Information'!$M$13*10^4*LN((Calculations!$C$12+Calculations!M30)/(Calculations!$C$12+Calculations!$C$9)))+calculateOmega(Calculations!M30,Calculations!N30,Calculations!Q30,'Reaction Information'!$C$13,'Reaction Information'!$P$13*10^5,'Reaction Information'!$Q$13)*((1/Calculations!S30)-1)-'Reaction Information'!$P$13*10^5*((1/Calculations!$C$10)-1)+'Reaction Information'!$P$13*10^5*Calculations!$C$14*(Calculations!O30-Calculations!$C$8))</f>
        <v>-116890.83008846134</v>
      </c>
      <c r="AG30" s="8" t="e">
        <f>IF(ISBLANK(Input!$AA$4),NA(),'Reaction Information'!$E$17-'Reaction Information'!$G$17*(Calculations!$O30-Calculations!$C$8)-'Reaction Information'!$N$17*(Calculations!$O30*LN(Calculations!$O30/Calculations!$C$8)-Calculations!$O30+Calculations!$C$8)-'Reaction Information'!$O$17*10^4*(((1/(Calculations!$O30-Calculations!$C$13))-(1/(Calculations!$C$8-Calculations!$C$13)))*((Calculations!$C$13-Calculations!$O30)/(Calculations!$C$13))-(Calculations!$O30/(Calculations!$C$13*Calculations!$C$13))*LN((Calculations!$C$8*(Calculations!$O30-Calculations!$C$13))/(Calculations!$O30*(Calculations!$C$8-Calculations!$C$13))))+'Reaction Information'!$J$17*10^-1*(Calculations!$M30-Calculations!$C$9)+'Reaction Information'!$K$17*10^2*LN((Calculations!$C$12+Calculations!$M30)/(Calculations!$C$12+Calculations!$C$9))+(1/(Calculations!$O30-Calculations!$C$13))*('Reaction Information'!$L$17*(Calculations!$M30-Calculations!$C$9)+'Reaction Information'!$M$17*10^4*LN((Calculations!$C$12+Calculations!$M30)/(Calculations!$C$12+Calculations!$C$9)))+calculateOmega(Calculations!M30,Calculations!N30,Calculations!Q30,'Reaction Information'!$C$17,'Reaction Information'!$P$17*10^5,'Reaction Information'!$Q$17)*((1/Calculations!$S30)-1)-'Reaction Information'!$P$17*10^5*((1/Calculations!$C$10)-1)+'Reaction Information'!$P$17*10^5*Calculations!$C$14*(Calculations!$O30-Calculations!$C$8))</f>
        <v>#N/A</v>
      </c>
      <c r="AH30" s="8" t="e">
        <f>IF(ISBLANK(Input!$AD$4),NA(),'Reaction Information'!$E$21-'Reaction Information'!$G$21*(Calculations!$O30-Calculations!$C$8)-'Reaction Information'!$N$21*(Calculations!$O30*LN(Calculations!$O30/Calculations!$C$8)-Calculations!$O30+Calculations!$C$8)-'Reaction Information'!$O$21*10^4*(((1/(Calculations!$O30-Calculations!$C$13))-(1/(Calculations!$C$8-Calculations!$C$13)))*((Calculations!$C$13-Calculations!$O30)/(Calculations!$C$13))-(Calculations!$O30/(Calculations!$C$13*Calculations!$C$13))*LN((Calculations!$C$8*(Calculations!$O30-Calculations!$C$13))/(Calculations!$O30*(Calculations!$C$8-Calculations!$C$13))))+'Reaction Information'!$J$21*10^-1*(Calculations!$M30-Calculations!$C$9)+'Reaction Information'!$K$21*10^2*LN((Calculations!$C$12+Calculations!$M30)/(Calculations!$C$12+Calculations!$C$9))+(1/(Calculations!$O30-Calculations!$C$13))*('Reaction Information'!$L$21*(Calculations!$M30-Calculations!$C$9)+'Reaction Information'!$M$21*10^4*LN((Calculations!$C$12+Calculations!$M30)/(Calculations!$C$12+Calculations!$C$9)))+calculateOmega(Calculations!M30,Calculations!N30,Calculations!Q30,'Reaction Information'!$C$21,'Reaction Information'!$P$21*10^5,'Reaction Information'!$Q$21)*((1/Calculations!$S30)-1)-'Reaction Information'!$P$21*10^5*((1/Calculations!$C$10)-1)+'Reaction Information'!$P$21*10^5*Calculations!$C$14*(Calculations!$O30-Calculations!$C$8))</f>
        <v>#N/A</v>
      </c>
      <c r="AI30" s="8" t="e">
        <f>IF(ISBLANK(Input!$AG$4),NA(),'Reaction Information'!$E$25-'Reaction Information'!$G$25*(Calculations!$O30-Calculations!$C$8)-'Reaction Information'!$N$25*(Calculations!$O30*LN(Calculations!$O30/Calculations!$C$8)-Calculations!$O30+Calculations!$C$8)-'Reaction Information'!$O$25*10^4*(((1/(Calculations!$O30-Calculations!$C$13))-(1/(Calculations!$C$8-Calculations!$C$13)))*((Calculations!$C$13-Calculations!$O30)/(Calculations!$C$13))-(Calculations!$O30/(Calculations!$C$13*Calculations!$C$13))*LN((Calculations!$C$8*(Calculations!$O30-Calculations!$C$13))/(Calculations!$O30*(Calculations!$C$8-Calculations!$C$13))))+'Reaction Information'!$J$25*10^-1*(Calculations!$M30-Calculations!$C$9)+'Reaction Information'!$K$25*10^2*LN((Calculations!$C$12+Calculations!$M30)/(Calculations!$C$12+Calculations!$C$9))+(1/(Calculations!$O30-Calculations!$C$13))*('Reaction Information'!$L$25*(Calculations!$M30-Calculations!$C$9)+'Reaction Information'!$M$25*10^4*LN((Calculations!$C$12+Calculations!$M30)/(Calculations!$C$12+Calculations!$C$9)))+calculateOmega(Calculations!M30,Calculations!N30,Calculations!Q30,'Reaction Information'!$C$25,'Reaction Information'!$P$25*10^5,'Reaction Information'!$Q$25)*((1/Calculations!$S30)-1)-'Reaction Information'!$P$25*10^5*((1/Calculations!$C$10)-1)+'Reaction Information'!$P$25*10^5*Calculations!$C$14*(Calculations!$O30-Calculations!$C$8))</f>
        <v>#N/A</v>
      </c>
      <c r="AJ30" s="8" t="e">
        <f>IF(ISBLANK(Input!$AJ$4),NA(),'Reaction Information'!$E$29-'Reaction Information'!$G$29*(Calculations!$O30-Calculations!$C$8)-'Reaction Information'!$N$29*(Calculations!$O30*LN(Calculations!$O30/Calculations!$C$8)-Calculations!$O30+Calculations!$C$8)-'Reaction Information'!$O$29*10^4*(((1/(Calculations!$O30-Calculations!$C$13))-(1/(Calculations!$C$8-Calculations!$C$13)))*((Calculations!$C$13-Calculations!$O30)/(Calculations!$C$13))-(Calculations!$O30/(Calculations!$C$13*Calculations!$C$13))*LN((Calculations!$C$8*(Calculations!$O30-Calculations!$C$13))/(Calculations!$O30*(Calculations!$C$8-Calculations!$C$13))))+'Reaction Information'!$J$29*10^-1*(Calculations!$M30-Calculations!$C$9)+'Reaction Information'!$K$29*10^2*LN((Calculations!$C$12+Calculations!$M30)/(Calculations!$C$12+Calculations!$C$9))+(1/(Calculations!$O30-Calculations!$C$13))*('Reaction Information'!$L$29*(Calculations!$M30-Calculations!$C$9)+'Reaction Information'!$M$29*10^4*LN((Calculations!$C$12+Calculations!$M30)/(Calculations!$C$12+Calculations!$C$9)))+calculateOmega(Calculations!M30,Calculations!N30,Calculations!Q30,'Reaction Information'!$C$29,'Reaction Information'!$P$29*10^5,'Reaction Information'!$Q$29)*((1/Calculations!$S30)-1)-'Reaction Information'!$P$29*10^5*((1/Calculations!$C$10)-1)+'Reaction Information'!$P$29*10^5*Calculations!$C$14*(Calculations!$O30-Calculations!$C$8))</f>
        <v>#N/A</v>
      </c>
      <c r="AK30" s="8" t="e">
        <f>IF(ISBLANK(Input!$AM$4),NA(),'Reaction Information'!$E$33-'Reaction Information'!$G$33*(Calculations!$O30-Calculations!$C$8)-'Reaction Information'!$N$33*(Calculations!$O30*LN(Calculations!$O30/Calculations!$C$8)-Calculations!$O30+Calculations!$C$8)-'Reaction Information'!$O$33*10^4*(((1/(Calculations!$O30-Calculations!$C$13))-(1/(Calculations!$C$8-Calculations!$C$13)))*((Calculations!$C$13-Calculations!$O30)/(Calculations!$C$13))-(Calculations!$O30/(Calculations!$C$13*Calculations!$C$13))*LN((Calculations!$C$8*(Calculations!$O30-Calculations!$C$13))/(Calculations!$O30*(Calculations!$C$8-Calculations!$C$13))))+'Reaction Information'!$J$33*10^-1*(Calculations!$M30-Calculations!$C$9)+'Reaction Information'!$K$33*10^2*LN((Calculations!$C$12+Calculations!$M30)/(Calculations!$C$12+Calculations!$C$9))+(1/(Calculations!$O30-Calculations!$C$13))*('Reaction Information'!$L$33*(Calculations!$M30-Calculations!$C$9)+'Reaction Information'!$M$33*10^4*LN((Calculations!$C$12+Calculations!$M30)/(Calculations!$C$12+Calculations!$C$9)))+calculateOmega(Calculations!M30,Calculations!N30,Calculations!Q30,'Reaction Information'!$C$33,'Reaction Information'!$P$33*10^5,'Reaction Information'!$Q$33)*((1/Calculations!$S30)-1)-'Reaction Information'!$P$33*10^5*((1/Calculations!$C$10)-1)+'Reaction Information'!$P$33*10^5*Calculations!$C$14*(Calculations!$O30-Calculations!$C$8))</f>
        <v>#N/A</v>
      </c>
      <c r="AL30" s="1">
        <f>Results!S32</f>
        <v>0</v>
      </c>
      <c r="AM30" s="1">
        <f>Results!T32</f>
        <v>0</v>
      </c>
      <c r="AN30" s="1">
        <f>Results!U32</f>
        <v>0</v>
      </c>
      <c r="AO30" s="1">
        <f>Results!V32</f>
        <v>0</v>
      </c>
      <c r="AP30" s="8" t="e">
        <f>IF(ISBLANK(Input!$BB$4),NA(),'Reaction Information'!$E$38-'Reaction Information'!$G$38*(Calculations!$O30-Calculations!$C$8)+'Reaction Information'!$I$38*(Calculations!$O30-Calculations!$C$8-Calculations!$O30*LN(Calculations!$O30/Calculations!$C$8))+'Reaction Information'!$J$38*0.001/2*(2*Calculations!$O30*Calculations!$C$8-Calculations!$O30^2-Calculations!$C$8^2) + 'Reaction Information'!$K$38*100000*(Calculations!$O30^2 + Calculations!$C$8^2 - 2*Calculations!$O30*Calculations!$C$8)/(2*Calculations!$O30*Calculations!$C$8^2))</f>
        <v>#N/A</v>
      </c>
      <c r="AQ30" s="8" t="e">
        <f>IF(ISBLANK(Input!$BE$4),NA(),'Reaction Information'!$E$42-'Reaction Information'!$G$42*(Calculations!$O30-Calculations!$C$8)+'Reaction Information'!$I$42*(Calculations!$O30-Calculations!$C$8-Calculations!$O30*LN(Calculations!$O30/Calculations!$C$8))+'Reaction Information'!$J$42*0.001/2*(2*Calculations!$O30*Calculations!$C$8-Calculations!$O30^2-Calculations!$C$8^2) + 'Reaction Information'!$K$42*100000*(Calculations!$O30^2 + Calculations!$C$8^2 - 2*Calculations!$O30*Calculations!$C$8)/(2*Calculations!$O30*Calculations!$C$8^2))</f>
        <v>#N/A</v>
      </c>
      <c r="AR30" s="8" t="e">
        <f>IF(AR$5="H2O", IF($D$24=3,IF(T30=0,NA(),T30),calculateGibbsOfWater(M30,N30,$D$24,$D$20,$D$19=3)),NA())</f>
        <v>#N/A</v>
      </c>
      <c r="AS30" s="8">
        <f>IF(ISBLANK(Input!$BK$4),NA(),'Reaction Information'!$E$46-'Reaction Information'!$G$46*(Calculations!O30-Calculations!$C$8)-'Reaction Information'!$N$46*(Calculations!O30*LN(Calculations!O30/Calculations!$C$8)-Calculations!O30+Calculations!$C$8)-'Reaction Information'!$O$46*10^4*(((1/(Calculations!O30-Calculations!$C$13))-(1/(Calculations!$C$8-Calculations!$C$13)))*((Calculations!$C$13-Calculations!O30)/(Calculations!$C$13))-(Calculations!O30/(Calculations!$C$13*Calculations!$C$13))*LN((Calculations!$C$8*(Calculations!O30-Calculations!$C$13))/(Calculations!O30*(Calculations!$C$8-Calculations!$C$13))))+'Reaction Information'!$J$46*10^-1*(Calculations!$M30-Calculations!$C$9)+'Reaction Information'!$K$46*10^2*LN((Calculations!$C$12+Calculations!$M30)/(Calculations!$C$12+Calculations!$C$9))+(1/(Calculations!O30-Calculations!$C$13))*('Reaction Information'!$L$46*(Calculations!$M30-Calculations!$C$9)+'Reaction Information'!$M$46*10^4*LN((Calculations!$C$12+Calculations!$M30)/(Calculations!$C$12+Calculations!$C$9)))+calculateOmega(Calculations!M30,Calculations!N30,Calculations!Q30,'Reaction Information'!$C$46,'Reaction Information'!$P$46*10^5,'Reaction Information'!$Q$46)*((1/Calculations!S30)-1)-'Reaction Information'!$P$46*10^5*((1/Calculations!$C$10)-1)+'Reaction Information'!$P$46*10^5*Calculations!$C$14*(Calculations!O30-Calculations!$C$8))</f>
        <v>0</v>
      </c>
      <c r="AT30" s="8">
        <f>IF(ISBLANK(Input!$BN$4),NA(),'Reaction Information'!$E$50-'Reaction Information'!$G$50*(Calculations!O30-Calculations!$C$8)-'Reaction Information'!$N$50*(Calculations!O30*LN(Calculations!O30/Calculations!$C$8)-Calculations!O30+Calculations!$C$8)-'Reaction Information'!$O$50*10^4*(((1/(Calculations!O30-Calculations!$C$13))-(1/(Calculations!$C$8-Calculations!$C$13)))*((Calculations!$C$13-Calculations!O30)/(Calculations!$C$13))-(Calculations!O30/(Calculations!$C$13*Calculations!$C$13))*LN((Calculations!$C$8*(Calculations!O30-Calculations!$C$13))/(Calculations!O30*(Calculations!$C$8-Calculations!$C$13))))+'Reaction Information'!$J$50*10^-1*(Calculations!$M30-Calculations!$C$9)+'Reaction Information'!$K$50*10^2*LN((Calculations!$C$12+Calculations!$M30)/(Calculations!$C$12+Calculations!$C$9))+(1/(Calculations!O30-Calculations!$C$13))*('Reaction Information'!$L$50*(Calculations!$M30-Calculations!$C$9)+'Reaction Information'!$M$50*10^4*LN((Calculations!$C$12+Calculations!$M30)/(Calculations!$C$12+Calculations!$C$9)))+calculateOmega(Calculations!M30,Calculations!N30,Calculations!Q30,'Reaction Information'!$C$50,'Reaction Information'!$P$50*10^5,'Reaction Information'!$Q$50)*((1/Calculations!S30)-1)-'Reaction Information'!$P$50*10^5*((1/Calculations!$C$10)-1)+'Reaction Information'!$P$50*10^5*Calculations!$C$14*(Calculations!O30-Calculations!$C$8))</f>
        <v>-152616.31664828229</v>
      </c>
      <c r="AU30" s="8" t="e">
        <f>IF(ISBLANK(Input!$BQ$4),NA(),'Reaction Information'!$E$54-'Reaction Information'!$G$54*(Calculations!$O30-Calculations!$C$8)-'Reaction Information'!$N$54*(Calculations!$O30*LN(Calculations!$O30/Calculations!$C$8)-Calculations!$O30+Calculations!$C$8)-'Reaction Information'!$O$54*10^4*(((1/(Calculations!$O30-Calculations!$C$13))-(1/(Calculations!$C$8-Calculations!$C$13)))*((Calculations!$C$13-Calculations!$O30)/(Calculations!$C$13))-(Calculations!$O30/(Calculations!$C$13*Calculations!$C$13))*LN((Calculations!$C$8*(Calculations!$O30-Calculations!$C$13))/(Calculations!$O30*(Calculations!$C$8-Calculations!$C$13))))+'Reaction Information'!$J$54*10^-1*(Calculations!$M30-Calculations!$C$9)+'Reaction Information'!$K$54*10^2*LN((Calculations!$C$12+Calculations!$M30)/(Calculations!$C$12+Calculations!$C$9))+(1/(Calculations!$O30-Calculations!$C$13))*('Reaction Information'!$L$54*(Calculations!$M30-Calculations!$C$9)+'Reaction Information'!$M$54*10^4*LN((Calculations!$C$12+Calculations!$M30)/(Calculations!$C$12+Calculations!$C$9)))+calculateOmega(Calculations!M30,Calculations!N30,Calculations!Q30,'Reaction Information'!$C$54,'Reaction Information'!$P$54*10^5,'Reaction Information'!$Q$54)*((1/Calculations!$S30)-1)-'Reaction Information'!$P$54*10^5*((1/Calculations!$C$10)-1)+'Reaction Information'!$P$54*10^5*Calculations!$C$14*(Calculations!$O30-Calculations!$C$8))</f>
        <v>#N/A</v>
      </c>
      <c r="AV30" s="8" t="e">
        <f>IF(ISBLANK(Input!$BT$4),NA(),'Reaction Information'!$E$58-'Reaction Information'!$G$58*(Calculations!$O30-Calculations!$C$8)-'Reaction Information'!$N$58*(Calculations!$O30*LN(Calculations!$O30/Calculations!$C$8)-Calculations!$O30+Calculations!$C$8)-'Reaction Information'!$O$58*10^4*(((1/(Calculations!$O30-Calculations!$C$13))-(1/(Calculations!$C$8-Calculations!$C$13)))*((Calculations!$C$13-Calculations!$O30)/(Calculations!$C$13))-(Calculations!$O30/(Calculations!$C$13*Calculations!$C$13))*LN((Calculations!$C$8*(Calculations!$O30-Calculations!$C$13))/(Calculations!$O30*(Calculations!$C$8-Calculations!$C$13))))+'Reaction Information'!$J$58*10^-1*(Calculations!$M30-Calculations!$C$9)+'Reaction Information'!$K$58*10^2*LN((Calculations!$C$12+Calculations!$M30)/(Calculations!$C$12+Calculations!$C$9))+(1/(Calculations!$O30-Calculations!$C$13))*('Reaction Information'!$L$58*(Calculations!$M30-Calculations!$C$9)+'Reaction Information'!$M$58*10^4*LN((Calculations!$C$12+Calculations!$M30)/(Calculations!$C$12+Calculations!$C$9)))+calculateOmega(Calculations!M30,Calculations!N30,Calculations!Q30,'Reaction Information'!$C$58,'Reaction Information'!$P$58*10^5,'Reaction Information'!$Q$58)*((1/Calculations!$S30)-1)-'Reaction Information'!$P$58*10^5*((1/Calculations!$C$10)-1)+'Reaction Information'!$P$58*10^5*Calculations!$C$14*(Calculations!$O30-Calculations!$C$8))</f>
        <v>#N/A</v>
      </c>
      <c r="AW30" s="8" t="e">
        <f>IF(ISBLANK(Input!$BW$4),NA(),'Reaction Information'!$E$62-'Reaction Information'!$G$62*(Calculations!$O30-Calculations!$C$8)-'Reaction Information'!$N$62*(Calculations!$O30*LN(Calculations!$O30/Calculations!$C$8)-Calculations!$O30+Calculations!$C$8)-'Reaction Information'!$O$62*10^4*(((1/(Calculations!$O30-Calculations!$C$13))-(1/(Calculations!$C$8-Calculations!$C$13)))*((Calculations!$C$13-Calculations!$O30)/(Calculations!$C$13))-(Calculations!$O30/(Calculations!$C$13*Calculations!$C$13))*LN((Calculations!$C$8*(Calculations!$O30-Calculations!$C$13))/(Calculations!$O30*(Calculations!$C$8-Calculations!$C$13))))+'Reaction Information'!$J$62*10^-1*(Calculations!$M30-Calculations!$C$9)+'Reaction Information'!$K$62*10^2*LN((Calculations!$C$12+Calculations!$M30)/(Calculations!$C$12+Calculations!$C$9))+(1/(Calculations!$O30-Calculations!$C$13))*('Reaction Information'!$L$62*(Calculations!$M30-Calculations!$C$9)+'Reaction Information'!$M$62*10^4*LN((Calculations!$C$12+Calculations!$M30)/(Calculations!$C$12+Calculations!$C$9)))+calculateOmega(Calculations!M30,Calculations!N30,Calculations!Q30,'Reaction Information'!$C$62,'Reaction Information'!$P$62*10^5,'Reaction Information'!$Q$62)*((1/Calculations!$S30)-1)-'Reaction Information'!$P$62*10^5*((1/Calculations!$C$10)-1)+'Reaction Information'!$P$62*10^5*Calculations!$C$14*(Calculations!$O30-Calculations!$C$8))</f>
        <v>#N/A</v>
      </c>
      <c r="AX30" s="8" t="e">
        <f>IF(ISBLANK(Input!$BZ$4),NA(),'Reaction Information'!$E$66-'Reaction Information'!$G$66*(Calculations!$O30-Calculations!$C$8)-'Reaction Information'!$N$66*(Calculations!$O30*LN(Calculations!$O30/Calculations!$C$8)-Calculations!$O30+Calculations!$C$8)-'Reaction Information'!$O$66*10^4*(((1/(Calculations!$O30-Calculations!$C$13))-(1/(Calculations!$C$8-Calculations!$C$13)))*((Calculations!$C$13-Calculations!$O30)/(Calculations!$C$13))-(Calculations!$O30/(Calculations!$C$13*Calculations!$C$13))*LN((Calculations!$C$8*(Calculations!$O30-Calculations!$C$13))/(Calculations!$O30*(Calculations!$C$8-Calculations!$C$13))))+'Reaction Information'!$J$66*10^-1*(Calculations!$M30-Calculations!$C$9)+'Reaction Information'!$K$66*10^2*LN((Calculations!$C$12+Calculations!$M30)/(Calculations!$C$12+Calculations!$C$9))+(1/(Calculations!$O30-Calculations!$C$13))*('Reaction Information'!$L$66*(Calculations!$M30-Calculations!$C$9)+'Reaction Information'!$M$66*10^4*LN((Calculations!$C$12+Calculations!$M30)/(Calculations!$C$12+Calculations!$C$9)))+calculateOmega(Calculations!M30,Calculations!N30,Calculations!Q30,'Reaction Information'!$C$66,'Reaction Information'!$P$66*10^5,'Reaction Information'!$Q$66)*((1/Calculations!$S30)-1)-'Reaction Information'!$P$66*10^5*((1/Calculations!$C$10)-1)+'Reaction Information'!$P$66*10^5*Calculations!$C$14*(Calculations!$O30-Calculations!$C$8))</f>
        <v>#N/A</v>
      </c>
      <c r="AY30" s="31">
        <f>(AL30*Input!$AO$4+AM30*Input!$AR$4+AN30*Input!$AU$4+AO30*Input!$AX$4+IF(ISNA(AP30),0,AP30*Input!$BA$4)+IF(ISNA(AQ30),0,AQ30*Input!$BD$4)+IF(ISNA(AR30),0,AR30*Input!$BG$4)+IF(ISNA(AS30),0,AS30*Input!$BJ$4)+IF(ISNA(AT30),0,AT30*Input!$BM$4)+IF(ISNA(AU30),0,AU30*Input!$BP$4)+IF(ISNA(AV30),0,AV30*Input!$BS$4)+IF(ISNA(AW30),0,AW30*Input!$BV$4)+IF(ISNA(AX30),0,AX30*Input!$BY$4))-(Y30*Input!$B$4+Z30*Input!$E$4+AA30*Input!$H$4+AB30*Input!$K$4+IF(ISNA(AC30),0,AC30*Input!$N$4)+IF(ISNA(AD30),0,AD30*Input!$Q$4)+IF(ISNA(AE30),0,AE30*Input!$T$4)+IF(ISNA(AF30),0,AF30*Input!$W$4)+IF(ISNA(AG30),0,AG30*Input!$Z$4)+IF(ISNA(AH30),0,AH30*Input!$AC$4)+IF(ISNA(AI30),0,AI30*Input!$AF$4)+IF(ISNA(AJ30),0,AJ30*Input!$AI$4)+IF(ISNA(AK30),0,AK30*Input!$AL$4))</f>
        <v>36500.327123218274</v>
      </c>
      <c r="AZ30" s="42">
        <f t="shared" si="7"/>
        <v>-7.8017013541106346</v>
      </c>
      <c r="BA30" s="1">
        <f t="shared" si="8"/>
        <v>750</v>
      </c>
      <c r="BB30" s="46">
        <f t="shared" si="9"/>
        <v>10000</v>
      </c>
      <c r="BC30" s="1"/>
      <c r="BD30" s="2">
        <f t="shared" si="10"/>
        <v>10000</v>
      </c>
      <c r="BE30" s="46">
        <f t="shared" si="11"/>
        <v>750</v>
      </c>
      <c r="BF30" s="1">
        <f>Results!AJ32</f>
        <v>0</v>
      </c>
      <c r="BG30" s="1">
        <f>Results!AK32</f>
        <v>0</v>
      </c>
      <c r="BH30" s="1">
        <f>Results!AL32</f>
        <v>0</v>
      </c>
      <c r="BI30" s="1">
        <f>Results!AM32</f>
        <v>0</v>
      </c>
      <c r="BJ30" s="1" t="e">
        <f>IF(OR(ISNA('Reaction Information'!$D$5), $N30 = "", $D$27 = FALSE, 'Reaction Information'!$D$5 = ""), NA(), 24.465)</f>
        <v>#N/A</v>
      </c>
      <c r="BK30" s="1" t="e">
        <f>IF(OR(ISNA('Reaction Information'!$D$9), $N30 = "", $D$27 = FALSE, 'Reaction Information'!$D$9 = ""), NA(), 24.465)</f>
        <v>#N/A</v>
      </c>
      <c r="BL30" s="8">
        <f t="shared" si="0"/>
        <v>20.129770507573483</v>
      </c>
      <c r="BM30" s="8">
        <f>IF(OR(ISBLANK(Input!$X$4),$D$27=FALSE),NA(),('Reaction Information'!$J$13/10+'Reaction Information'!$K$13*100/(Calculations!$C$12+Calculations!$M30)+('Reaction Information'!$L$13+'Reaction Information'!$M$13*10^4/(Calculations!$C$12+Calculations!$M30))/(Calculations!$O30-Calculations!$C$13) -calculateOmega(Calculations!$M30,Calculations!$N30,Calculations!$Q30,'Reaction Information'!$C$13,'Reaction Information'!$P$13*10^5,'Reaction Information'!$Q$13)*Calculations!$U30*10^-6 + (1/$S30 - 1)*calculate_domegadP(Calculations!$M30,Calculations!$N30,Calculations!$Q30,'Reaction Information'!$C$13,'Reaction Information'!$P$13*10^5,'Reaction Information'!$Q$13,$D$20,$D$19=3))*41.84)</f>
        <v>35.94237220514438</v>
      </c>
      <c r="BN30" s="8" t="e">
        <f>IF(OR(ISBLANK(Input!$AA$4),$D$27=FALSE),NA(),('Reaction Information'!$J$17/10+'Reaction Information'!$K$17*100/(Calculations!$C$12+Calculations!$M30)+('Reaction Information'!$L$17+'Reaction Information'!$M$17*10000/(Calculations!$C$12+Calculations!$M30))/(Calculations!$O30-Calculations!$C$13)-calculateOmega(Calculations!M30,Calculations!N30,Calculations!Q30,'Reaction Information'!$C$17,'Reaction Information'!$P$17*10^5,'Reaction Information'!$Q$17)*Calculations!$U30*10^-6 + (1/$S30 - 1)*calculate_domegadP(Calculations!M30,Calculations!N30,Calculations!Q30,'Reaction Information'!$C$17,'Reaction Information'!$P$17*10^5,'Reaction Information'!$Q$17,$D$20,$D$19=3))*41.84)</f>
        <v>#N/A</v>
      </c>
      <c r="BO30" s="8" t="e">
        <f>IF(OR(ISBLANK(Input!$AD$4),$D$27=FALSE),NA(),('Reaction Information'!$J$21/10+'Reaction Information'!$K$21*100/(Calculations!$C$12+Calculations!$M30)+('Reaction Information'!$L$21+'Reaction Information'!$M$21*10000/(Calculations!$C$12+Calculations!$M30))/(Calculations!$O30-Calculations!$C$13)-calculateOmega(Calculations!M30,Calculations!N30,Calculations!Q30,'Reaction Information'!$C$21,'Reaction Information'!$P$21*10^5,'Reaction Information'!$Q$21)*Calculations!$U30*10^-6 + (1/$S30 - 1)*calculate_domegadP(Calculations!M30,Calculations!N30,Calculations!Q30,'Reaction Information'!$C$21,'Reaction Information'!$P$21*10^5,'Reaction Information'!$Q$21,$D$20,$D$19=3))*41.84)</f>
        <v>#N/A</v>
      </c>
      <c r="BP30" s="8" t="e">
        <f>IF(OR(ISBLANK(Input!$AG$4),$D$27=FALSE),NA(),('Reaction Information'!$J$25/10+'Reaction Information'!$K$25*100/(Calculations!$C$12+Calculations!$M30)+('Reaction Information'!$L$25+'Reaction Information'!$M$25*10000/(Calculations!$C$12+Calculations!$M30))/(Calculations!$O30-Calculations!$C$13)-calculateOmega(Calculations!M30,Calculations!N30,Calculations!Q30,'Reaction Information'!$C$25,'Reaction Information'!$P$25*10^5,'Reaction Information'!$Q$25)*Calculations!$U30*10^-6 + (1/$S30 - 1)*calculate_domegadP(Calculations!M30,Calculations!N30,Calculations!Q30,'Reaction Information'!$C$25,'Reaction Information'!$P$25*10^5,'Reaction Information'!$Q$25,$D$20,$D$19=3))*41.84)</f>
        <v>#N/A</v>
      </c>
      <c r="BQ30" s="8" t="e">
        <f>IF(OR(ISBLANK(Input!$AJ$4),$D$27=FALSE),NA(),('Reaction Information'!$J$29/10+'Reaction Information'!$K$29*100/(Calculations!$C$12+Calculations!$M30)+('Reaction Information'!$L$29+'Reaction Information'!$M$29*10000/(Calculations!$C$12+Calculations!$M30))/(Calculations!$O30-Calculations!$C$13)-calculateOmega(Calculations!M30,Calculations!N30,Calculations!Q30,'Reaction Information'!$C$29,'Reaction Information'!$P$29*10^5,'Reaction Information'!$Q$29)*Calculations!$U30*10^-6 + (1/$S30 - 1)*calculate_domegadP(Calculations!M30,Calculations!N30,Calculations!Q30,'Reaction Information'!$C$29,'Reaction Information'!$P$29*10^5,'Reaction Information'!$Q$29,$D$20,$D$19=3))*41.84)</f>
        <v>#N/A</v>
      </c>
      <c r="BR30" s="8" t="e">
        <f>IF(OR(ISBLANK(Input!$AM$4),$D$27=FALSE),NA(),('Reaction Information'!$J$33/10+'Reaction Information'!$K$33*100/(Calculations!$C$12+Calculations!$M30)+('Reaction Information'!$L$33+'Reaction Information'!$M$33*10000/(Calculations!$C$12+Calculations!$M30))/(Calculations!$O30-Calculations!$C$13)-calculateOmega(Calculations!M30,Calculations!N30,Calculations!Q30,'Reaction Information'!$C$33,'Reaction Information'!$P$33*10^5,'Reaction Information'!$Q$33)*Calculations!$U30*10^-6 + (1/$S30 - 1)*calculate_domegadP(Calculations!M30,Calculations!N30,Calculations!Q30,'Reaction Information'!$C$33,'Reaction Information'!$P$33*10^5,'Reaction Information'!$Q$33,$D$20,$D$19=3))*41.84)</f>
        <v>#N/A</v>
      </c>
      <c r="BS30" s="1">
        <f>Results!AW32</f>
        <v>0</v>
      </c>
      <c r="BT30" s="1">
        <f>Results!AX32</f>
        <v>0</v>
      </c>
      <c r="BU30" s="1">
        <f>Results!AY32</f>
        <v>0</v>
      </c>
      <c r="BV30" s="1">
        <f>Results!AZ32</f>
        <v>0</v>
      </c>
      <c r="BW30" s="1" t="e">
        <f>IF(OR(ISNA('Reaction Information'!$D$38), $N30 = "", $D$27 = FALSE, 'Reaction Information'!$D$38 = ""), NA(), 24.465)</f>
        <v>#N/A</v>
      </c>
      <c r="BX30" s="1" t="e">
        <f>IF(OR(ISNA('Reaction Information'!$D$42), $N30 = "", $D$27 = FALSE, 'Reaction Information'!$D$42 = ""), NA(), 24.465)</f>
        <v>#N/A</v>
      </c>
      <c r="BY30" s="8" t="e">
        <f t="shared" si="1"/>
        <v>#N/A</v>
      </c>
      <c r="BZ30" s="8">
        <f>IF(OR(ISBLANK(Input!$BK$4),$D$27=FALSE),NA(),('Reaction Information'!$J$46/10+'Reaction Information'!$K$46*100/(Calculations!$C$12+Calculations!$M30)+('Reaction Information'!$L$46+'Reaction Information'!$M$46*10000/(Calculations!$C$12+Calculations!$M30))/(Calculations!$O30-Calculations!$C$13)-calculateOmega(Calculations!M30,Calculations!N30,Calculations!Q30,'Reaction Information'!$C$46,'Reaction Information'!$P$46*10^5,'Reaction Information'!$Q$46)*Calculations!$U30*10^-6 + (1/$S30 - 1)*calculate_domegadP(Calculations!M30,Calculations!N30,Calculations!Q30,'Reaction Information'!$C$46,'Reaction Information'!$P$46*10^5,'Reaction Information'!$Q$46,$D$20,$D$19=3))*41.84)</f>
        <v>0</v>
      </c>
      <c r="CA30" s="8">
        <f>IF(OR(ISBLANK(Input!$BN$4),$D$27=FALSE),NA(),('Reaction Information'!$J$50/10+'Reaction Information'!$K$50*100/(Calculations!$C$12+Calculations!$M30)+('Reaction Information'!$L$50+'Reaction Information'!$M$50*10000/(Calculations!$C$12+Calculations!$M30))/(Calculations!$O30-Calculations!$C$13)-calculateOmega(Calculations!M30,Calculations!N30,Calculations!Q30,'Reaction Information'!$C$50,'Reaction Information'!$P$50*10^5,'Reaction Information'!$Q$50)*Calculations!$U30*10^-6 + (1/$S30 - 1)*calculate_domegadP(Calculations!M30,Calculations!N30,Calculations!Q30,'Reaction Information'!$C$50,'Reaction Information'!$P$50*10^5,'Reaction Information'!$Q$50,$D$20,$D$19=3))*41.84)</f>
        <v>22.678417431397676</v>
      </c>
      <c r="CB30" s="8" t="e">
        <f>IF(OR(ISBLANK(Input!$BQ$4),$D$27=FALSE),NA(),('Reaction Information'!$J$54/10+'Reaction Information'!$K$54*100/(Calculations!$C$12+Calculations!$M30)+('Reaction Information'!$L$54+'Reaction Information'!$M$54*10000/(Calculations!$C$12+Calculations!$M30))/(Calculations!$O30-Calculations!$C$13)-calculateOmega(Calculations!M30,Calculations!N30,Calculations!Q30,'Reaction Information'!$C$54,'Reaction Information'!$P$54*10^5,'Reaction Information'!$Q$54)*Calculations!$U30*10^-6 + (1/$S30 - 1)*calculate_domegadP(Calculations!M30,Calculations!N30,Calculations!Q30,'Reaction Information'!$C$54,'Reaction Information'!$P$54*10^5,'Reaction Information'!$Q$54,$D$20,$D$19=3))*41.84)</f>
        <v>#N/A</v>
      </c>
      <c r="CC30" s="8" t="e">
        <f>IF(OR(ISBLANK(Input!$BT$4),$D$27=FALSE),NA(),('Reaction Information'!$J$58/10+'Reaction Information'!$K$58*100/(Calculations!$C$12+Calculations!$M30)+('Reaction Information'!$L$58+'Reaction Information'!$M$58*10000/(Calculations!$C$12+Calculations!$M30))/(Calculations!$O30-Calculations!$C$13)-calculateOmega(Calculations!M30,Calculations!N30,Calculations!Q30,'Reaction Information'!$C$58,'Reaction Information'!$P$58*10^5,'Reaction Information'!$Q$58)*Calculations!$U30*10^-6 + (1/$S30 - 1)*calculate_domegadP(Calculations!M30,Calculations!N30,Calculations!Q30,'Reaction Information'!$C$58,'Reaction Information'!$P$58*10^5,'Reaction Information'!$Q$58,$D$20,$D$19=3))*41.84)</f>
        <v>#N/A</v>
      </c>
      <c r="CD30" s="8" t="e">
        <f>IF(OR(ISBLANK(Input!$BW$4),$D$27=FALSE),NA(),('Reaction Information'!$J$62/10+'Reaction Information'!$K$62*100/(Calculations!$C$12+Calculations!$M30)+('Reaction Information'!$L$62+'Reaction Information'!$M$62*10000/(Calculations!$C$12+Calculations!$M30))/(Calculations!$O30-Calculations!$C$13)-calculateOmega(Calculations!M30,Calculations!N30,Calculations!Q30,'Reaction Information'!$C$62,'Reaction Information'!$P$62*10^5,'Reaction Information'!$Q$62)*Calculations!$U30*10^-6 + (1/$S30 - 1)*calculate_domegadP(Calculations!M30,Calculations!N30,Calculations!Q30,'Reaction Information'!$C$62,'Reaction Information'!$P$62*10^5,'Reaction Information'!$Q$62,$D$20,$D$19=3))*41.84)</f>
        <v>#N/A</v>
      </c>
      <c r="CE30" s="8" t="e">
        <f>IF(OR(ISBLANK(Input!$BZ$4),$D$27=FALSE),NA(),('Reaction Information'!$J$66/10+'Reaction Information'!$K$66*100/(Calculations!$C$12+Calculations!$M30)+('Reaction Information'!$L$66+'Reaction Information'!$M$66*10000/(Calculations!$C$12+Calculations!$M30))/(Calculations!$O30-Calculations!$C$13)-calculateOmega(Calculations!M30,Calculations!N30,Calculations!Q30,'Reaction Information'!$C$66,'Reaction Information'!$P$66*10^5,'Reaction Information'!$Q$66)*Calculations!$U30*10^-6 + (1/$S30 - 1)*calculate_domegadP(Calculations!M30,Calculations!N30,Calculations!Q30,'Reaction Information'!$C$66,'Reaction Information'!$P$66*10^5,'Reaction Information'!$Q$66,$D$20,$D$19=3))*41.84)</f>
        <v>#N/A</v>
      </c>
      <c r="CF30" s="31">
        <f>(BS30*Input!$AO$4+BT30*Input!$AR$4+BU30*Input!$AU$4+BV30*Input!$AX$4+IF(ISNA(BW30),0,BW30*Input!$BA$4)+IF(ISNA(BX30),0,BX30*Input!$BD$4)+IF(ISNA(BY30),0,BY30*Input!$BG$4)+IF(ISNA(BZ30),0,BZ30*Input!$BJ$4)+IF(ISNA(CA30),0,CA30*Input!$BM$4)+IF(ISNA(CB30),0,CB30*Input!$BP$4)+IF(ISNA(CC30),0,CC30*Input!$BS$4)+IF(ISNA(CD30),0,CD30*Input!$BV$4)+IF(ISNA(CE30),0,CE30*Input!$BY$4))-(BF30*Input!$B$4+BG30*Input!$E$4+BH30*Input!$H$4+BI30*Input!$K$4+IF(ISNA(BJ30),0,BJ30*Input!$N$4)+IF(ISNA(BK30),0,BK30*Input!$Q$4)+IF(ISNA(BL30),0,BL30*Input!$T$4)+IF(ISNA(BM30),0,BM30*Input!$W$4)+IF(ISNA(BN30),0,BN30*Input!$Z$4)+IF(ISNA(BO30),0,BO30*Input!$AC$4)+IF(ISNA(BP30),0,BP30*Input!$AF$4)+IF(ISNA(BQ30),0,BQ30*Input!$AI$4)+IF(ISNA(BR30),0,BR30*Input!$AL$4))</f>
        <v>-33.393725281320187</v>
      </c>
      <c r="CG30" s="1">
        <f t="shared" si="12"/>
        <v>750</v>
      </c>
      <c r="CH30" s="46">
        <f t="shared" si="13"/>
        <v>10000</v>
      </c>
      <c r="CI30" s="1"/>
    </row>
    <row r="31" spans="1:87" x14ac:dyDescent="0.2">
      <c r="A31" s="1"/>
      <c r="B31" s="7">
        <v>2</v>
      </c>
      <c r="C31" s="266" t="s">
        <v>559</v>
      </c>
      <c r="D31" s="268"/>
      <c r="E31" s="1"/>
      <c r="F31" s="2">
        <v>26</v>
      </c>
      <c r="G31" s="1" t="str">
        <f>IF(ISBLANK(Input!CB31), "", Input!CB31*1000)</f>
        <v/>
      </c>
      <c r="H31" s="1" t="str">
        <f>IF(ISBLANK(Input!CC31), "", Input!CC31)</f>
        <v/>
      </c>
      <c r="I31" s="1">
        <f>IF(Input!$CF$5 + Input!$CF$6*(FLOOR((Calculations!$F31-1)/(FLOOR((Input!$CF$12-Input!$CF$10)/Input!$CF$11,1)+1),1)) &gt; Input!$CF$7, "", (Input!$CF$5 + Input!$CF$6*(FLOOR((Calculations!$F31-1)/(FLOOR((Input!$CF$12-Input!$CF$10)/Input!$CF$11,1)+1),1)))*1000)</f>
        <v>10000</v>
      </c>
      <c r="J31" s="1">
        <f>IF(Calculations!I31 = "", "", Input!$CF$10 + Input!$CF$11*(Calculations!$F31-1) - (FLOOR((Input!$CF$12-Input!$CF$10)/Input!$CF$11,1)+1)*Input!$CF$11*FLOOR((Calculations!$F31-1)/(FLOOR((Input!$CF$12-Input!$CF$10)/Input!$CF$11,1)+1),1))</f>
        <v>800</v>
      </c>
      <c r="K31" s="8" t="str">
        <f t="shared" si="14"/>
        <v/>
      </c>
      <c r="L31" s="117" t="str">
        <f>IF(OR(Input!$CJ$5 + Input!$CJ$6*(Calculations!F31-1) &gt; Input!$CJ$7, Input!$CJ$5 + Input!$CJ$6*(Calculations!F31-1) &gt; 350), "", Input!$CJ$5 + Input!$CJ$6*(Calculations!F31-1))</f>
        <v/>
      </c>
      <c r="M31" s="1">
        <f t="shared" si="2"/>
        <v>10000</v>
      </c>
      <c r="N31" s="1">
        <f t="shared" si="3"/>
        <v>800</v>
      </c>
      <c r="O31" s="1">
        <f t="shared" si="4"/>
        <v>1073.1500000000001</v>
      </c>
      <c r="P31" s="1" t="e">
        <f>IF(OR($D$20=3,AND($D$21=TRUE,M31&lt;1000)),INDEX('Water Density'!$C$6:$CX$120,MATCH(Calculations!N31,'Water Density'!$B$6:$B$120),MATCH(Calculations!M31/1000,'Water Density'!$C$5:$CX$5)),NA())</f>
        <v>#N/A</v>
      </c>
      <c r="Q31" s="182">
        <f>IF(OR($D$20=3,AND($D$21=TRUE,M31&lt;1000)), IF(P31&lt;&gt;0,P31,NA()), calculateDensity(M31,N31,$D$20,0.01,$D$19 = 3))</f>
        <v>0.87428802848577503</v>
      </c>
      <c r="R31" s="1" t="e">
        <f>IF($D$22=5,INDEX('Dielectric Constant'!$C$6:$CX$120,MATCH(Calculations!N31,'Dielectric Constant'!$B$6:$B$120),MATCH(Calculations!M31/1000,'Dielectric Constant'!$C$5:$CX$5)),NA())</f>
        <v>#N/A</v>
      </c>
      <c r="S31" s="58">
        <f>IF($D$22=5, IF(R31&lt;&gt;0,R31,NA()), IF(AND($D$23,M31&lt;=5000,$D$19 &lt;&gt; 3),calculateEpsilon(Q31,N31,1,FALSE),calculateEpsilon(Q31,N31,$D$22,$D$19 = 3)))</f>
        <v>12.800447983821453</v>
      </c>
      <c r="T31" s="1" t="e">
        <f>IF($D$24=3,INDEX('Water Free Energy'!$C$6:$CX$120,MATCH(Calculations!N31,'Water Free Energy'!$B$6:$B$120),MATCH(Calculations!M31/1000,'Water Free Energy'!$C$5:$CX$5)),NA())</f>
        <v>#N/A</v>
      </c>
      <c r="U31" s="179">
        <f>IF($D$27,calculateQ(M31,N31,Q31,$D$20,$D$22,$D$19=3)*10^6,NA())</f>
        <v>2.0252714006082919</v>
      </c>
      <c r="V31"/>
      <c r="W31" s="2">
        <f t="shared" si="5"/>
        <v>10000</v>
      </c>
      <c r="X31" s="1">
        <f t="shared" si="6"/>
        <v>800</v>
      </c>
      <c r="Y31" s="1">
        <f>Results!F33</f>
        <v>0</v>
      </c>
      <c r="Z31" s="1">
        <f>Results!G33</f>
        <v>0</v>
      </c>
      <c r="AA31" s="1">
        <f>Results!H33</f>
        <v>0</v>
      </c>
      <c r="AB31" s="1">
        <f>Results!I33</f>
        <v>0</v>
      </c>
      <c r="AC31" s="1" t="e">
        <f>IF(ISBLANK(Input!$O$4),NA(),'Reaction Information'!$E$5-'Reaction Information'!$G$5*(Calculations!$O31-Calculations!$C$8)+'Reaction Information'!$I$5*(Calculations!$O31-Calculations!$C$8-Calculations!$O31*LN(Calculations!$O31/Calculations!$C$8))+'Reaction Information'!$J$5*0.001/2*(2*Calculations!$O31*Calculations!$C$8-Calculations!$O31^2-Calculations!$C$8^2) + 'Reaction Information'!$K$5*100000*(Calculations!$O31^2 + Calculations!$C$8^2 - 2*Calculations!$O31*Calculations!$C$8)/(2*Calculations!$O31*Calculations!$C$8^2))</f>
        <v>#N/A</v>
      </c>
      <c r="AD31" s="8" t="e">
        <f>IF(ISBLANK(Input!$R$4),NA(),'Reaction Information'!$E$9-'Reaction Information'!$G$9*(Calculations!$O31-Calculations!$C$8)+'Reaction Information'!$I$9*(Calculations!$O31-Calculations!$C$8-Calculations!$O31*LN(Calculations!$O31/Calculations!$C$8))+'Reaction Information'!$J$9*0.001/2*(2*Calculations!$O31*Calculations!$C$8-Calculations!$O31^2-Calculations!$C$8^2) + 'Reaction Information'!$K$9*100000*(Calculations!$O31^2 + Calculations!$C$8^2 - 2*Calculations!$O31*Calculations!$C$8)/(2*Calculations!$O31*Calculations!$C$8^2))</f>
        <v>#N/A</v>
      </c>
      <c r="AE31" s="8">
        <f>IF(AE$5="H2O",IF($D$24=3,IF(T31=0,NA(),T31),calculateGibbsOfWater(M31,N31,$D$24,$D$20,$D$19=3)),NA())</f>
        <v>-73959.985727486361</v>
      </c>
      <c r="AF31" s="8">
        <f>IF(ISBLANK(Input!$X$4),NA(),'Reaction Information'!$E$13-'Reaction Information'!$G$13*(Calculations!O31-Calculations!$C$8)-'Reaction Information'!$N$13*(Calculations!O31*LN(Calculations!O31/Calculations!$C$8)-Calculations!O31+Calculations!$C$8)-'Reaction Information'!$O$13*10^4*(((1/(Calculations!O31-Calculations!$C$13))-(1/(Calculations!$C$8-Calculations!$C$13)))*((Calculations!$C$13-Calculations!O31)/(Calculations!$C$13))-(Calculations!O31/(Calculations!$C$13*Calculations!$C$13))*LN((Calculations!$C$8*(Calculations!O31-Calculations!$C$13))/(Calculations!O31*(Calculations!$C$8-Calculations!$C$13))))+'Reaction Information'!$J$13*10^-1*(Calculations!M31-Calculations!$C$9)+'Reaction Information'!$K$13*10^2*LN((Calculations!$C$12+Calculations!M31)/(Calculations!$C$12+Calculations!$C$9))+(1/(Calculations!O31-Calculations!$C$13))*('Reaction Information'!$L$13*(Calculations!M31-Calculations!$C$9)+'Reaction Information'!$M$13*10^4*LN((Calculations!$C$12+Calculations!M31)/(Calculations!$C$12+Calculations!$C$9)))+calculateOmega(Calculations!M31,Calculations!N31,Calculations!Q31,'Reaction Information'!$C$13,'Reaction Information'!$P$13*10^5,'Reaction Information'!$Q$13)*((1/Calculations!S31)-1)-'Reaction Information'!$P$13*10^5*((1/Calculations!$C$10)-1)+'Reaction Information'!$P$13*10^5*Calculations!$C$14*(Calculations!O31-Calculations!$C$8))</f>
        <v>-119578.92231325661</v>
      </c>
      <c r="AG31" s="8" t="e">
        <f>IF(ISBLANK(Input!$AA$4),NA(),'Reaction Information'!$E$17-'Reaction Information'!$G$17*(Calculations!$O31-Calculations!$C$8)-'Reaction Information'!$N$17*(Calculations!$O31*LN(Calculations!$O31/Calculations!$C$8)-Calculations!$O31+Calculations!$C$8)-'Reaction Information'!$O$17*10^4*(((1/(Calculations!$O31-Calculations!$C$13))-(1/(Calculations!$C$8-Calculations!$C$13)))*((Calculations!$C$13-Calculations!$O31)/(Calculations!$C$13))-(Calculations!$O31/(Calculations!$C$13*Calculations!$C$13))*LN((Calculations!$C$8*(Calculations!$O31-Calculations!$C$13))/(Calculations!$O31*(Calculations!$C$8-Calculations!$C$13))))+'Reaction Information'!$J$17*10^-1*(Calculations!$M31-Calculations!$C$9)+'Reaction Information'!$K$17*10^2*LN((Calculations!$C$12+Calculations!$M31)/(Calculations!$C$12+Calculations!$C$9))+(1/(Calculations!$O31-Calculations!$C$13))*('Reaction Information'!$L$17*(Calculations!$M31-Calculations!$C$9)+'Reaction Information'!$M$17*10^4*LN((Calculations!$C$12+Calculations!$M31)/(Calculations!$C$12+Calculations!$C$9)))+calculateOmega(Calculations!M31,Calculations!N31,Calculations!Q31,'Reaction Information'!$C$17,'Reaction Information'!$P$17*10^5,'Reaction Information'!$Q$17)*((1/Calculations!$S31)-1)-'Reaction Information'!$P$17*10^5*((1/Calculations!$C$10)-1)+'Reaction Information'!$P$17*10^5*Calculations!$C$14*(Calculations!$O31-Calculations!$C$8))</f>
        <v>#N/A</v>
      </c>
      <c r="AH31" s="8" t="e">
        <f>IF(ISBLANK(Input!$AD$4),NA(),'Reaction Information'!$E$21-'Reaction Information'!$G$21*(Calculations!$O31-Calculations!$C$8)-'Reaction Information'!$N$21*(Calculations!$O31*LN(Calculations!$O31/Calculations!$C$8)-Calculations!$O31+Calculations!$C$8)-'Reaction Information'!$O$21*10^4*(((1/(Calculations!$O31-Calculations!$C$13))-(1/(Calculations!$C$8-Calculations!$C$13)))*((Calculations!$C$13-Calculations!$O31)/(Calculations!$C$13))-(Calculations!$O31/(Calculations!$C$13*Calculations!$C$13))*LN((Calculations!$C$8*(Calculations!$O31-Calculations!$C$13))/(Calculations!$O31*(Calculations!$C$8-Calculations!$C$13))))+'Reaction Information'!$J$21*10^-1*(Calculations!$M31-Calculations!$C$9)+'Reaction Information'!$K$21*10^2*LN((Calculations!$C$12+Calculations!$M31)/(Calculations!$C$12+Calculations!$C$9))+(1/(Calculations!$O31-Calculations!$C$13))*('Reaction Information'!$L$21*(Calculations!$M31-Calculations!$C$9)+'Reaction Information'!$M$21*10^4*LN((Calculations!$C$12+Calculations!$M31)/(Calculations!$C$12+Calculations!$C$9)))+calculateOmega(Calculations!M31,Calculations!N31,Calculations!Q31,'Reaction Information'!$C$21,'Reaction Information'!$P$21*10^5,'Reaction Information'!$Q$21)*((1/Calculations!$S31)-1)-'Reaction Information'!$P$21*10^5*((1/Calculations!$C$10)-1)+'Reaction Information'!$P$21*10^5*Calculations!$C$14*(Calculations!$O31-Calculations!$C$8))</f>
        <v>#N/A</v>
      </c>
      <c r="AI31" s="8" t="e">
        <f>IF(ISBLANK(Input!$AG$4),NA(),'Reaction Information'!$E$25-'Reaction Information'!$G$25*(Calculations!$O31-Calculations!$C$8)-'Reaction Information'!$N$25*(Calculations!$O31*LN(Calculations!$O31/Calculations!$C$8)-Calculations!$O31+Calculations!$C$8)-'Reaction Information'!$O$25*10^4*(((1/(Calculations!$O31-Calculations!$C$13))-(1/(Calculations!$C$8-Calculations!$C$13)))*((Calculations!$C$13-Calculations!$O31)/(Calculations!$C$13))-(Calculations!$O31/(Calculations!$C$13*Calculations!$C$13))*LN((Calculations!$C$8*(Calculations!$O31-Calculations!$C$13))/(Calculations!$O31*(Calculations!$C$8-Calculations!$C$13))))+'Reaction Information'!$J$25*10^-1*(Calculations!$M31-Calculations!$C$9)+'Reaction Information'!$K$25*10^2*LN((Calculations!$C$12+Calculations!$M31)/(Calculations!$C$12+Calculations!$C$9))+(1/(Calculations!$O31-Calculations!$C$13))*('Reaction Information'!$L$25*(Calculations!$M31-Calculations!$C$9)+'Reaction Information'!$M$25*10^4*LN((Calculations!$C$12+Calculations!$M31)/(Calculations!$C$12+Calculations!$C$9)))+calculateOmega(Calculations!M31,Calculations!N31,Calculations!Q31,'Reaction Information'!$C$25,'Reaction Information'!$P$25*10^5,'Reaction Information'!$Q$25)*((1/Calculations!$S31)-1)-'Reaction Information'!$P$25*10^5*((1/Calculations!$C$10)-1)+'Reaction Information'!$P$25*10^5*Calculations!$C$14*(Calculations!$O31-Calculations!$C$8))</f>
        <v>#N/A</v>
      </c>
      <c r="AJ31" s="8" t="e">
        <f>IF(ISBLANK(Input!$AJ$4),NA(),'Reaction Information'!$E$29-'Reaction Information'!$G$29*(Calculations!$O31-Calculations!$C$8)-'Reaction Information'!$N$29*(Calculations!$O31*LN(Calculations!$O31/Calculations!$C$8)-Calculations!$O31+Calculations!$C$8)-'Reaction Information'!$O$29*10^4*(((1/(Calculations!$O31-Calculations!$C$13))-(1/(Calculations!$C$8-Calculations!$C$13)))*((Calculations!$C$13-Calculations!$O31)/(Calculations!$C$13))-(Calculations!$O31/(Calculations!$C$13*Calculations!$C$13))*LN((Calculations!$C$8*(Calculations!$O31-Calculations!$C$13))/(Calculations!$O31*(Calculations!$C$8-Calculations!$C$13))))+'Reaction Information'!$J$29*10^-1*(Calculations!$M31-Calculations!$C$9)+'Reaction Information'!$K$29*10^2*LN((Calculations!$C$12+Calculations!$M31)/(Calculations!$C$12+Calculations!$C$9))+(1/(Calculations!$O31-Calculations!$C$13))*('Reaction Information'!$L$29*(Calculations!$M31-Calculations!$C$9)+'Reaction Information'!$M$29*10^4*LN((Calculations!$C$12+Calculations!$M31)/(Calculations!$C$12+Calculations!$C$9)))+calculateOmega(Calculations!M31,Calculations!N31,Calculations!Q31,'Reaction Information'!$C$29,'Reaction Information'!$P$29*10^5,'Reaction Information'!$Q$29)*((1/Calculations!$S31)-1)-'Reaction Information'!$P$29*10^5*((1/Calculations!$C$10)-1)+'Reaction Information'!$P$29*10^5*Calculations!$C$14*(Calculations!$O31-Calculations!$C$8))</f>
        <v>#N/A</v>
      </c>
      <c r="AK31" s="8" t="e">
        <f>IF(ISBLANK(Input!$AM$4),NA(),'Reaction Information'!$E$33-'Reaction Information'!$G$33*(Calculations!$O31-Calculations!$C$8)-'Reaction Information'!$N$33*(Calculations!$O31*LN(Calculations!$O31/Calculations!$C$8)-Calculations!$O31+Calculations!$C$8)-'Reaction Information'!$O$33*10^4*(((1/(Calculations!$O31-Calculations!$C$13))-(1/(Calculations!$C$8-Calculations!$C$13)))*((Calculations!$C$13-Calculations!$O31)/(Calculations!$C$13))-(Calculations!$O31/(Calculations!$C$13*Calculations!$C$13))*LN((Calculations!$C$8*(Calculations!$O31-Calculations!$C$13))/(Calculations!$O31*(Calculations!$C$8-Calculations!$C$13))))+'Reaction Information'!$J$33*10^-1*(Calculations!$M31-Calculations!$C$9)+'Reaction Information'!$K$33*10^2*LN((Calculations!$C$12+Calculations!$M31)/(Calculations!$C$12+Calculations!$C$9))+(1/(Calculations!$O31-Calculations!$C$13))*('Reaction Information'!$L$33*(Calculations!$M31-Calculations!$C$9)+'Reaction Information'!$M$33*10^4*LN((Calculations!$C$12+Calculations!$M31)/(Calculations!$C$12+Calculations!$C$9)))+calculateOmega(Calculations!M31,Calculations!N31,Calculations!Q31,'Reaction Information'!$C$33,'Reaction Information'!$P$33*10^5,'Reaction Information'!$Q$33)*((1/Calculations!$S31)-1)-'Reaction Information'!$P$33*10^5*((1/Calculations!$C$10)-1)+'Reaction Information'!$P$33*10^5*Calculations!$C$14*(Calculations!$O31-Calculations!$C$8))</f>
        <v>#N/A</v>
      </c>
      <c r="AL31" s="1">
        <f>Results!S33</f>
        <v>0</v>
      </c>
      <c r="AM31" s="1">
        <f>Results!T33</f>
        <v>0</v>
      </c>
      <c r="AN31" s="1">
        <f>Results!U33</f>
        <v>0</v>
      </c>
      <c r="AO31" s="1">
        <f>Results!V33</f>
        <v>0</v>
      </c>
      <c r="AP31" s="8" t="e">
        <f>IF(ISBLANK(Input!$BB$4),NA(),'Reaction Information'!$E$38-'Reaction Information'!$G$38*(Calculations!$O31-Calculations!$C$8)+'Reaction Information'!$I$38*(Calculations!$O31-Calculations!$C$8-Calculations!$O31*LN(Calculations!$O31/Calculations!$C$8))+'Reaction Information'!$J$38*0.001/2*(2*Calculations!$O31*Calculations!$C$8-Calculations!$O31^2-Calculations!$C$8^2) + 'Reaction Information'!$K$38*100000*(Calculations!$O31^2 + Calculations!$C$8^2 - 2*Calculations!$O31*Calculations!$C$8)/(2*Calculations!$O31*Calculations!$C$8^2))</f>
        <v>#N/A</v>
      </c>
      <c r="AQ31" s="8" t="e">
        <f>IF(ISBLANK(Input!$BE$4),NA(),'Reaction Information'!$E$42-'Reaction Information'!$G$42*(Calculations!$O31-Calculations!$C$8)+'Reaction Information'!$I$42*(Calculations!$O31-Calculations!$C$8-Calculations!$O31*LN(Calculations!$O31/Calculations!$C$8))+'Reaction Information'!$J$42*0.001/2*(2*Calculations!$O31*Calculations!$C$8-Calculations!$O31^2-Calculations!$C$8^2) + 'Reaction Information'!$K$42*100000*(Calculations!$O31^2 + Calculations!$C$8^2 - 2*Calculations!$O31*Calculations!$C$8)/(2*Calculations!$O31*Calculations!$C$8^2))</f>
        <v>#N/A</v>
      </c>
      <c r="AR31" s="8" t="e">
        <f>IF(AR$5="H2O", IF($D$24=3,IF(T31=0,NA(),T31),calculateGibbsOfWater(M31,N31,$D$24,$D$20,$D$19=3)),NA())</f>
        <v>#N/A</v>
      </c>
      <c r="AS31" s="8">
        <f>IF(ISBLANK(Input!$BK$4),NA(),'Reaction Information'!$E$46-'Reaction Information'!$G$46*(Calculations!O31-Calculations!$C$8)-'Reaction Information'!$N$46*(Calculations!O31*LN(Calculations!O31/Calculations!$C$8)-Calculations!O31+Calculations!$C$8)-'Reaction Information'!$O$46*10^4*(((1/(Calculations!O31-Calculations!$C$13))-(1/(Calculations!$C$8-Calculations!$C$13)))*((Calculations!$C$13-Calculations!O31)/(Calculations!$C$13))-(Calculations!O31/(Calculations!$C$13*Calculations!$C$13))*LN((Calculations!$C$8*(Calculations!O31-Calculations!$C$13))/(Calculations!O31*(Calculations!$C$8-Calculations!$C$13))))+'Reaction Information'!$J$46*10^-1*(Calculations!$M31-Calculations!$C$9)+'Reaction Information'!$K$46*10^2*LN((Calculations!$C$12+Calculations!$M31)/(Calculations!$C$12+Calculations!$C$9))+(1/(Calculations!O31-Calculations!$C$13))*('Reaction Information'!$L$46*(Calculations!$M31-Calculations!$C$9)+'Reaction Information'!$M$46*10^4*LN((Calculations!$C$12+Calculations!$M31)/(Calculations!$C$12+Calculations!$C$9)))+calculateOmega(Calculations!M31,Calculations!N31,Calculations!Q31,'Reaction Information'!$C$46,'Reaction Information'!$P$46*10^5,'Reaction Information'!$Q$46)*((1/Calculations!S31)-1)-'Reaction Information'!$P$46*10^5*((1/Calculations!$C$10)-1)+'Reaction Information'!$P$46*10^5*Calculations!$C$14*(Calculations!O31-Calculations!$C$8))</f>
        <v>0</v>
      </c>
      <c r="AT31" s="8">
        <f>IF(ISBLANK(Input!$BN$4),NA(),'Reaction Information'!$E$50-'Reaction Information'!$G$50*(Calculations!O31-Calculations!$C$8)-'Reaction Information'!$N$50*(Calculations!O31*LN(Calculations!O31/Calculations!$C$8)-Calculations!O31+Calculations!$C$8)-'Reaction Information'!$O$50*10^4*(((1/(Calculations!O31-Calculations!$C$13))-(1/(Calculations!$C$8-Calculations!$C$13)))*((Calculations!$C$13-Calculations!O31)/(Calculations!$C$13))-(Calculations!O31/(Calculations!$C$13*Calculations!$C$13))*LN((Calculations!$C$8*(Calculations!O31-Calculations!$C$13))/(Calculations!O31*(Calculations!$C$8-Calculations!$C$13))))+'Reaction Information'!$J$50*10^-1*(Calculations!$M31-Calculations!$C$9)+'Reaction Information'!$K$50*10^2*LN((Calculations!$C$12+Calculations!$M31)/(Calculations!$C$12+Calculations!$C$9))+(1/(Calculations!O31-Calculations!$C$13))*('Reaction Information'!$L$50*(Calculations!$M31-Calculations!$C$9)+'Reaction Information'!$M$50*10^4*LN((Calculations!$C$12+Calculations!$M31)/(Calculations!$C$12+Calculations!$C$9)))+calculateOmega(Calculations!M31,Calculations!N31,Calculations!Q31,'Reaction Information'!$C$50,'Reaction Information'!$P$50*10^5,'Reaction Information'!$Q$50)*((1/Calculations!S31)-1)-'Reaction Information'!$P$50*10^5*((1/Calculations!$C$10)-1)+'Reaction Information'!$P$50*10^5*Calculations!$C$14*(Calculations!O31-Calculations!$C$8))</f>
        <v>-153866.73063631129</v>
      </c>
      <c r="AU31" s="8" t="e">
        <f>IF(ISBLANK(Input!$BQ$4),NA(),'Reaction Information'!$E$54-'Reaction Information'!$G$54*(Calculations!$O31-Calculations!$C$8)-'Reaction Information'!$N$54*(Calculations!$O31*LN(Calculations!$O31/Calculations!$C$8)-Calculations!$O31+Calculations!$C$8)-'Reaction Information'!$O$54*10^4*(((1/(Calculations!$O31-Calculations!$C$13))-(1/(Calculations!$C$8-Calculations!$C$13)))*((Calculations!$C$13-Calculations!$O31)/(Calculations!$C$13))-(Calculations!$O31/(Calculations!$C$13*Calculations!$C$13))*LN((Calculations!$C$8*(Calculations!$O31-Calculations!$C$13))/(Calculations!$O31*(Calculations!$C$8-Calculations!$C$13))))+'Reaction Information'!$J$54*10^-1*(Calculations!$M31-Calculations!$C$9)+'Reaction Information'!$K$54*10^2*LN((Calculations!$C$12+Calculations!$M31)/(Calculations!$C$12+Calculations!$C$9))+(1/(Calculations!$O31-Calculations!$C$13))*('Reaction Information'!$L$54*(Calculations!$M31-Calculations!$C$9)+'Reaction Information'!$M$54*10^4*LN((Calculations!$C$12+Calculations!$M31)/(Calculations!$C$12+Calculations!$C$9)))+calculateOmega(Calculations!M31,Calculations!N31,Calculations!Q31,'Reaction Information'!$C$54,'Reaction Information'!$P$54*10^5,'Reaction Information'!$Q$54)*((1/Calculations!$S31)-1)-'Reaction Information'!$P$54*10^5*((1/Calculations!$C$10)-1)+'Reaction Information'!$P$54*10^5*Calculations!$C$14*(Calculations!$O31-Calculations!$C$8))</f>
        <v>#N/A</v>
      </c>
      <c r="AV31" s="8" t="e">
        <f>IF(ISBLANK(Input!$BT$4),NA(),'Reaction Information'!$E$58-'Reaction Information'!$G$58*(Calculations!$O31-Calculations!$C$8)-'Reaction Information'!$N$58*(Calculations!$O31*LN(Calculations!$O31/Calculations!$C$8)-Calculations!$O31+Calculations!$C$8)-'Reaction Information'!$O$58*10^4*(((1/(Calculations!$O31-Calculations!$C$13))-(1/(Calculations!$C$8-Calculations!$C$13)))*((Calculations!$C$13-Calculations!$O31)/(Calculations!$C$13))-(Calculations!$O31/(Calculations!$C$13*Calculations!$C$13))*LN((Calculations!$C$8*(Calculations!$O31-Calculations!$C$13))/(Calculations!$O31*(Calculations!$C$8-Calculations!$C$13))))+'Reaction Information'!$J$58*10^-1*(Calculations!$M31-Calculations!$C$9)+'Reaction Information'!$K$58*10^2*LN((Calculations!$C$12+Calculations!$M31)/(Calculations!$C$12+Calculations!$C$9))+(1/(Calculations!$O31-Calculations!$C$13))*('Reaction Information'!$L$58*(Calculations!$M31-Calculations!$C$9)+'Reaction Information'!$M$58*10^4*LN((Calculations!$C$12+Calculations!$M31)/(Calculations!$C$12+Calculations!$C$9)))+calculateOmega(Calculations!M31,Calculations!N31,Calculations!Q31,'Reaction Information'!$C$58,'Reaction Information'!$P$58*10^5,'Reaction Information'!$Q$58)*((1/Calculations!$S31)-1)-'Reaction Information'!$P$58*10^5*((1/Calculations!$C$10)-1)+'Reaction Information'!$P$58*10^5*Calculations!$C$14*(Calculations!$O31-Calculations!$C$8))</f>
        <v>#N/A</v>
      </c>
      <c r="AW31" s="8" t="e">
        <f>IF(ISBLANK(Input!$BW$4),NA(),'Reaction Information'!$E$62-'Reaction Information'!$G$62*(Calculations!$O31-Calculations!$C$8)-'Reaction Information'!$N$62*(Calculations!$O31*LN(Calculations!$O31/Calculations!$C$8)-Calculations!$O31+Calculations!$C$8)-'Reaction Information'!$O$62*10^4*(((1/(Calculations!$O31-Calculations!$C$13))-(1/(Calculations!$C$8-Calculations!$C$13)))*((Calculations!$C$13-Calculations!$O31)/(Calculations!$C$13))-(Calculations!$O31/(Calculations!$C$13*Calculations!$C$13))*LN((Calculations!$C$8*(Calculations!$O31-Calculations!$C$13))/(Calculations!$O31*(Calculations!$C$8-Calculations!$C$13))))+'Reaction Information'!$J$62*10^-1*(Calculations!$M31-Calculations!$C$9)+'Reaction Information'!$K$62*10^2*LN((Calculations!$C$12+Calculations!$M31)/(Calculations!$C$12+Calculations!$C$9))+(1/(Calculations!$O31-Calculations!$C$13))*('Reaction Information'!$L$62*(Calculations!$M31-Calculations!$C$9)+'Reaction Information'!$M$62*10^4*LN((Calculations!$C$12+Calculations!$M31)/(Calculations!$C$12+Calculations!$C$9)))+calculateOmega(Calculations!M31,Calculations!N31,Calculations!Q31,'Reaction Information'!$C$62,'Reaction Information'!$P$62*10^5,'Reaction Information'!$Q$62)*((1/Calculations!$S31)-1)-'Reaction Information'!$P$62*10^5*((1/Calculations!$C$10)-1)+'Reaction Information'!$P$62*10^5*Calculations!$C$14*(Calculations!$O31-Calculations!$C$8))</f>
        <v>#N/A</v>
      </c>
      <c r="AX31" s="8" t="e">
        <f>IF(ISBLANK(Input!$BZ$4),NA(),'Reaction Information'!$E$66-'Reaction Information'!$G$66*(Calculations!$O31-Calculations!$C$8)-'Reaction Information'!$N$66*(Calculations!$O31*LN(Calculations!$O31/Calculations!$C$8)-Calculations!$O31+Calculations!$C$8)-'Reaction Information'!$O$66*10^4*(((1/(Calculations!$O31-Calculations!$C$13))-(1/(Calculations!$C$8-Calculations!$C$13)))*((Calculations!$C$13-Calculations!$O31)/(Calculations!$C$13))-(Calculations!$O31/(Calculations!$C$13*Calculations!$C$13))*LN((Calculations!$C$8*(Calculations!$O31-Calculations!$C$13))/(Calculations!$O31*(Calculations!$C$8-Calculations!$C$13))))+'Reaction Information'!$J$66*10^-1*(Calculations!$M31-Calculations!$C$9)+'Reaction Information'!$K$66*10^2*LN((Calculations!$C$12+Calculations!$M31)/(Calculations!$C$12+Calculations!$C$9))+(1/(Calculations!$O31-Calculations!$C$13))*('Reaction Information'!$L$66*(Calculations!$M31-Calculations!$C$9)+'Reaction Information'!$M$66*10^4*LN((Calculations!$C$12+Calculations!$M31)/(Calculations!$C$12+Calculations!$C$9)))+calculateOmega(Calculations!M31,Calculations!N31,Calculations!Q31,'Reaction Information'!$C$66,'Reaction Information'!$P$66*10^5,'Reaction Information'!$Q$66)*((1/Calculations!$S31)-1)-'Reaction Information'!$P$66*10^5*((1/Calculations!$C$10)-1)+'Reaction Information'!$P$66*10^5*Calculations!$C$14*(Calculations!$O31-Calculations!$C$8))</f>
        <v>#N/A</v>
      </c>
      <c r="AY31" s="31">
        <f>(AL31*Input!$AO$4+AM31*Input!$AR$4+AN31*Input!$AU$4+AO31*Input!$AX$4+IF(ISNA(AP31),0,AP31*Input!$BA$4)+IF(ISNA(AQ31),0,AQ31*Input!$BD$4)+IF(ISNA(AR31),0,AR31*Input!$BG$4)+IF(ISNA(AS31),0,AS31*Input!$BJ$4)+IF(ISNA(AT31),0,AT31*Input!$BM$4)+IF(ISNA(AU31),0,AU31*Input!$BP$4)+IF(ISNA(AV31),0,AV31*Input!$BS$4)+IF(ISNA(AW31),0,AW31*Input!$BV$4)+IF(ISNA(AX31),0,AX31*Input!$BY$4))-(Y31*Input!$B$4+Z31*Input!$E$4+AA31*Input!$H$4+AB31*Input!$K$4+IF(ISNA(AC31),0,AC31*Input!$N$4)+IF(ISNA(AD31),0,AD31*Input!$Q$4)+IF(ISNA(AE31),0,AE31*Input!$T$4)+IF(ISNA(AF31),0,AF31*Input!$W$4)+IF(ISNA(AG31),0,AG31*Input!$Z$4)+IF(ISNA(AH31),0,AH31*Input!$AC$4)+IF(ISNA(AI31),0,AI31*Input!$AF$4)+IF(ISNA(AJ31),0,AJ31*Input!$AI$4)+IF(ISNA(AK31),0,AK31*Input!$AL$4))</f>
        <v>39672.177404431684</v>
      </c>
      <c r="AZ31" s="42">
        <f t="shared" si="7"/>
        <v>-8.0845803369133655</v>
      </c>
      <c r="BA31" s="1">
        <f t="shared" si="8"/>
        <v>800</v>
      </c>
      <c r="BB31" s="46">
        <f t="shared" si="9"/>
        <v>10000</v>
      </c>
      <c r="BC31" s="1"/>
      <c r="BD31" s="2">
        <f t="shared" si="10"/>
        <v>10000</v>
      </c>
      <c r="BE31" s="46">
        <f t="shared" si="11"/>
        <v>800</v>
      </c>
      <c r="BF31" s="1">
        <f>Results!AJ33</f>
        <v>0</v>
      </c>
      <c r="BG31" s="1">
        <f>Results!AK33</f>
        <v>0</v>
      </c>
      <c r="BH31" s="1">
        <f>Results!AL33</f>
        <v>0</v>
      </c>
      <c r="BI31" s="1">
        <f>Results!AM33</f>
        <v>0</v>
      </c>
      <c r="BJ31" s="1" t="e">
        <f>IF(OR(ISNA('Reaction Information'!$D$5), $N31 = "", $D$27 = FALSE, 'Reaction Information'!$D$5 = ""), NA(), 24.465)</f>
        <v>#N/A</v>
      </c>
      <c r="BK31" s="1" t="e">
        <f>IF(OR(ISNA('Reaction Information'!$D$9), $N31 = "", $D$27 = FALSE, 'Reaction Information'!$D$9 = ""), NA(), 24.465)</f>
        <v>#N/A</v>
      </c>
      <c r="BL31" s="8">
        <f t="shared" si="0"/>
        <v>20.605657875930891</v>
      </c>
      <c r="BM31" s="8">
        <f>IF(OR(ISBLANK(Input!$X$4),$D$27=FALSE),NA(),('Reaction Information'!$J$13/10+'Reaction Information'!$K$13*100/(Calculations!$C$12+Calculations!$M31)+('Reaction Information'!$L$13+'Reaction Information'!$M$13*10^4/(Calculations!$C$12+Calculations!$M31))/(Calculations!$O31-Calculations!$C$13) -calculateOmega(Calculations!$M31,Calculations!$N31,Calculations!$Q31,'Reaction Information'!$C$13,'Reaction Information'!$P$13*10^5,'Reaction Information'!$Q$13)*Calculations!$U31*10^-6 + (1/$S31 - 1)*calculate_domegadP(Calculations!$M31,Calculations!$N31,Calculations!$Q31,'Reaction Information'!$C$13,'Reaction Information'!$P$13*10^5,'Reaction Information'!$Q$13,$D$20,$D$19=3))*41.84)</f>
        <v>36.720323679379575</v>
      </c>
      <c r="BN31" s="8" t="e">
        <f>IF(OR(ISBLANK(Input!$AA$4),$D$27=FALSE),NA(),('Reaction Information'!$J$17/10+'Reaction Information'!$K$17*100/(Calculations!$C$12+Calculations!$M31)+('Reaction Information'!$L$17+'Reaction Information'!$M$17*10000/(Calculations!$C$12+Calculations!$M31))/(Calculations!$O31-Calculations!$C$13)-calculateOmega(Calculations!M31,Calculations!N31,Calculations!Q31,'Reaction Information'!$C$17,'Reaction Information'!$P$17*10^5,'Reaction Information'!$Q$17)*Calculations!$U31*10^-6 + (1/$S31 - 1)*calculate_domegadP(Calculations!M31,Calculations!N31,Calculations!Q31,'Reaction Information'!$C$17,'Reaction Information'!$P$17*10^5,'Reaction Information'!$Q$17,$D$20,$D$19=3))*41.84)</f>
        <v>#N/A</v>
      </c>
      <c r="BO31" s="8" t="e">
        <f>IF(OR(ISBLANK(Input!$AD$4),$D$27=FALSE),NA(),('Reaction Information'!$J$21/10+'Reaction Information'!$K$21*100/(Calculations!$C$12+Calculations!$M31)+('Reaction Information'!$L$21+'Reaction Information'!$M$21*10000/(Calculations!$C$12+Calculations!$M31))/(Calculations!$O31-Calculations!$C$13)-calculateOmega(Calculations!M31,Calculations!N31,Calculations!Q31,'Reaction Information'!$C$21,'Reaction Information'!$P$21*10^5,'Reaction Information'!$Q$21)*Calculations!$U31*10^-6 + (1/$S31 - 1)*calculate_domegadP(Calculations!M31,Calculations!N31,Calculations!Q31,'Reaction Information'!$C$21,'Reaction Information'!$P$21*10^5,'Reaction Information'!$Q$21,$D$20,$D$19=3))*41.84)</f>
        <v>#N/A</v>
      </c>
      <c r="BP31" s="8" t="e">
        <f>IF(OR(ISBLANK(Input!$AG$4),$D$27=FALSE),NA(),('Reaction Information'!$J$25/10+'Reaction Information'!$K$25*100/(Calculations!$C$12+Calculations!$M31)+('Reaction Information'!$L$25+'Reaction Information'!$M$25*10000/(Calculations!$C$12+Calculations!$M31))/(Calculations!$O31-Calculations!$C$13)-calculateOmega(Calculations!M31,Calculations!N31,Calculations!Q31,'Reaction Information'!$C$25,'Reaction Information'!$P$25*10^5,'Reaction Information'!$Q$25)*Calculations!$U31*10^-6 + (1/$S31 - 1)*calculate_domegadP(Calculations!M31,Calculations!N31,Calculations!Q31,'Reaction Information'!$C$25,'Reaction Information'!$P$25*10^5,'Reaction Information'!$Q$25,$D$20,$D$19=3))*41.84)</f>
        <v>#N/A</v>
      </c>
      <c r="BQ31" s="8" t="e">
        <f>IF(OR(ISBLANK(Input!$AJ$4),$D$27=FALSE),NA(),('Reaction Information'!$J$29/10+'Reaction Information'!$K$29*100/(Calculations!$C$12+Calculations!$M31)+('Reaction Information'!$L$29+'Reaction Information'!$M$29*10000/(Calculations!$C$12+Calculations!$M31))/(Calculations!$O31-Calculations!$C$13)-calculateOmega(Calculations!M31,Calculations!N31,Calculations!Q31,'Reaction Information'!$C$29,'Reaction Information'!$P$29*10^5,'Reaction Information'!$Q$29)*Calculations!$U31*10^-6 + (1/$S31 - 1)*calculate_domegadP(Calculations!M31,Calculations!N31,Calculations!Q31,'Reaction Information'!$C$29,'Reaction Information'!$P$29*10^5,'Reaction Information'!$Q$29,$D$20,$D$19=3))*41.84)</f>
        <v>#N/A</v>
      </c>
      <c r="BR31" s="8" t="e">
        <f>IF(OR(ISBLANK(Input!$AM$4),$D$27=FALSE),NA(),('Reaction Information'!$J$33/10+'Reaction Information'!$K$33*100/(Calculations!$C$12+Calculations!$M31)+('Reaction Information'!$L$33+'Reaction Information'!$M$33*10000/(Calculations!$C$12+Calculations!$M31))/(Calculations!$O31-Calculations!$C$13)-calculateOmega(Calculations!M31,Calculations!N31,Calculations!Q31,'Reaction Information'!$C$33,'Reaction Information'!$P$33*10^5,'Reaction Information'!$Q$33)*Calculations!$U31*10^-6 + (1/$S31 - 1)*calculate_domegadP(Calculations!M31,Calculations!N31,Calculations!Q31,'Reaction Information'!$C$33,'Reaction Information'!$P$33*10^5,'Reaction Information'!$Q$33,$D$20,$D$19=3))*41.84)</f>
        <v>#N/A</v>
      </c>
      <c r="BS31" s="1">
        <f>Results!AW33</f>
        <v>0</v>
      </c>
      <c r="BT31" s="1">
        <f>Results!AX33</f>
        <v>0</v>
      </c>
      <c r="BU31" s="1">
        <f>Results!AY33</f>
        <v>0</v>
      </c>
      <c r="BV31" s="1">
        <f>Results!AZ33</f>
        <v>0</v>
      </c>
      <c r="BW31" s="1" t="e">
        <f>IF(OR(ISNA('Reaction Information'!$D$38), $N31 = "", $D$27 = FALSE, 'Reaction Information'!$D$38 = ""), NA(), 24.465)</f>
        <v>#N/A</v>
      </c>
      <c r="BX31" s="1" t="e">
        <f>IF(OR(ISNA('Reaction Information'!$D$42), $N31 = "", $D$27 = FALSE, 'Reaction Information'!$D$42 = ""), NA(), 24.465)</f>
        <v>#N/A</v>
      </c>
      <c r="BY31" s="8" t="e">
        <f t="shared" si="1"/>
        <v>#N/A</v>
      </c>
      <c r="BZ31" s="8">
        <f>IF(OR(ISBLANK(Input!$BK$4),$D$27=FALSE),NA(),('Reaction Information'!$J$46/10+'Reaction Information'!$K$46*100/(Calculations!$C$12+Calculations!$M31)+('Reaction Information'!$L$46+'Reaction Information'!$M$46*10000/(Calculations!$C$12+Calculations!$M31))/(Calculations!$O31-Calculations!$C$13)-calculateOmega(Calculations!M31,Calculations!N31,Calculations!Q31,'Reaction Information'!$C$46,'Reaction Information'!$P$46*10^5,'Reaction Information'!$Q$46)*Calculations!$U31*10^-6 + (1/$S31 - 1)*calculate_domegadP(Calculations!M31,Calculations!N31,Calculations!Q31,'Reaction Information'!$C$46,'Reaction Information'!$P$46*10^5,'Reaction Information'!$Q$46,$D$20,$D$19=3))*41.84)</f>
        <v>0</v>
      </c>
      <c r="CA31" s="8">
        <f>IF(OR(ISBLANK(Input!$BN$4),$D$27=FALSE),NA(),('Reaction Information'!$J$50/10+'Reaction Information'!$K$50*100/(Calculations!$C$12+Calculations!$M31)+('Reaction Information'!$L$50+'Reaction Information'!$M$50*10000/(Calculations!$C$12+Calculations!$M31))/(Calculations!$O31-Calculations!$C$13)-calculateOmega(Calculations!M31,Calculations!N31,Calculations!Q31,'Reaction Information'!$C$50,'Reaction Information'!$P$50*10^5,'Reaction Information'!$Q$50)*Calculations!$U31*10^-6 + (1/$S31 - 1)*calculate_domegadP(Calculations!M31,Calculations!N31,Calculations!Q31,'Reaction Information'!$C$50,'Reaction Information'!$P$50*10^5,'Reaction Information'!$Q$50,$D$20,$D$19=3))*41.84)</f>
        <v>21.442395398627777</v>
      </c>
      <c r="CB31" s="8" t="e">
        <f>IF(OR(ISBLANK(Input!$BQ$4),$D$27=FALSE),NA(),('Reaction Information'!$J$54/10+'Reaction Information'!$K$54*100/(Calculations!$C$12+Calculations!$M31)+('Reaction Information'!$L$54+'Reaction Information'!$M$54*10000/(Calculations!$C$12+Calculations!$M31))/(Calculations!$O31-Calculations!$C$13)-calculateOmega(Calculations!M31,Calculations!N31,Calculations!Q31,'Reaction Information'!$C$54,'Reaction Information'!$P$54*10^5,'Reaction Information'!$Q$54)*Calculations!$U31*10^-6 + (1/$S31 - 1)*calculate_domegadP(Calculations!M31,Calculations!N31,Calculations!Q31,'Reaction Information'!$C$54,'Reaction Information'!$P$54*10^5,'Reaction Information'!$Q$54,$D$20,$D$19=3))*41.84)</f>
        <v>#N/A</v>
      </c>
      <c r="CC31" s="8" t="e">
        <f>IF(OR(ISBLANK(Input!$BT$4),$D$27=FALSE),NA(),('Reaction Information'!$J$58/10+'Reaction Information'!$K$58*100/(Calculations!$C$12+Calculations!$M31)+('Reaction Information'!$L$58+'Reaction Information'!$M$58*10000/(Calculations!$C$12+Calculations!$M31))/(Calculations!$O31-Calculations!$C$13)-calculateOmega(Calculations!M31,Calculations!N31,Calculations!Q31,'Reaction Information'!$C$58,'Reaction Information'!$P$58*10^5,'Reaction Information'!$Q$58)*Calculations!$U31*10^-6 + (1/$S31 - 1)*calculate_domegadP(Calculations!M31,Calculations!N31,Calculations!Q31,'Reaction Information'!$C$58,'Reaction Information'!$P$58*10^5,'Reaction Information'!$Q$58,$D$20,$D$19=3))*41.84)</f>
        <v>#N/A</v>
      </c>
      <c r="CD31" s="8" t="e">
        <f>IF(OR(ISBLANK(Input!$BW$4),$D$27=FALSE),NA(),('Reaction Information'!$J$62/10+'Reaction Information'!$K$62*100/(Calculations!$C$12+Calculations!$M31)+('Reaction Information'!$L$62+'Reaction Information'!$M$62*10000/(Calculations!$C$12+Calculations!$M31))/(Calculations!$O31-Calculations!$C$13)-calculateOmega(Calculations!M31,Calculations!N31,Calculations!Q31,'Reaction Information'!$C$62,'Reaction Information'!$P$62*10^5,'Reaction Information'!$Q$62)*Calculations!$U31*10^-6 + (1/$S31 - 1)*calculate_domegadP(Calculations!M31,Calculations!N31,Calculations!Q31,'Reaction Information'!$C$62,'Reaction Information'!$P$62*10^5,'Reaction Information'!$Q$62,$D$20,$D$19=3))*41.84)</f>
        <v>#N/A</v>
      </c>
      <c r="CE31" s="8" t="e">
        <f>IF(OR(ISBLANK(Input!$BZ$4),$D$27=FALSE),NA(),('Reaction Information'!$J$66/10+'Reaction Information'!$K$66*100/(Calculations!$C$12+Calculations!$M31)+('Reaction Information'!$L$66+'Reaction Information'!$M$66*10000/(Calculations!$C$12+Calculations!$M31))/(Calculations!$O31-Calculations!$C$13)-calculateOmega(Calculations!M31,Calculations!N31,Calculations!Q31,'Reaction Information'!$C$66,'Reaction Information'!$P$66*10^5,'Reaction Information'!$Q$66)*Calculations!$U31*10^-6 + (1/$S31 - 1)*calculate_domegadP(Calculations!M31,Calculations!N31,Calculations!Q31,'Reaction Information'!$C$66,'Reaction Information'!$P$66*10^5,'Reaction Information'!$Q$66,$D$20,$D$19=3))*41.84)</f>
        <v>#N/A</v>
      </c>
      <c r="CF31" s="31">
        <f>(BS31*Input!$AO$4+BT31*Input!$AR$4+BU31*Input!$AU$4+BV31*Input!$AX$4+IF(ISNA(BW31),0,BW31*Input!$BA$4)+IF(ISNA(BX31),0,BX31*Input!$BD$4)+IF(ISNA(BY31),0,BY31*Input!$BG$4)+IF(ISNA(BZ31),0,BZ31*Input!$BJ$4)+IF(ISNA(CA31),0,CA31*Input!$BM$4)+IF(ISNA(CB31),0,CB31*Input!$BP$4)+IF(ISNA(CC31),0,CC31*Input!$BS$4)+IF(ISNA(CD31),0,CD31*Input!$BV$4)+IF(ISNA(CE31),0,CE31*Input!$BY$4))-(BF31*Input!$B$4+BG31*Input!$E$4+BH31*Input!$H$4+BI31*Input!$K$4+IF(ISNA(BJ31),0,BJ31*Input!$N$4)+IF(ISNA(BK31),0,BK31*Input!$Q$4)+IF(ISNA(BL31),0,BL31*Input!$T$4)+IF(ISNA(BM31),0,BM31*Input!$W$4)+IF(ISNA(BN31),0,BN31*Input!$Z$4)+IF(ISNA(BO31),0,BO31*Input!$AC$4)+IF(ISNA(BP31),0,BP31*Input!$AF$4)+IF(ISNA(BQ31),0,BQ31*Input!$AI$4)+IF(ISNA(BR31),0,BR31*Input!$AL$4))</f>
        <v>-35.883586156682682</v>
      </c>
      <c r="CG31" s="1">
        <f t="shared" si="12"/>
        <v>800</v>
      </c>
      <c r="CH31" s="46">
        <f t="shared" si="13"/>
        <v>10000</v>
      </c>
      <c r="CI31" s="1"/>
    </row>
    <row r="32" spans="1:87" ht="15" customHeight="1" x14ac:dyDescent="0.2">
      <c r="A32" s="1"/>
      <c r="B32" s="7">
        <v>3</v>
      </c>
      <c r="C32" s="273" t="s">
        <v>636</v>
      </c>
      <c r="D32" s="273"/>
      <c r="E32" s="1"/>
      <c r="F32" s="2">
        <v>27</v>
      </c>
      <c r="G32" s="1" t="str">
        <f>IF(ISBLANK(Input!CB32), "", Input!CB32*1000)</f>
        <v/>
      </c>
      <c r="H32" s="1" t="str">
        <f>IF(ISBLANK(Input!CC32), "", Input!CC32)</f>
        <v/>
      </c>
      <c r="I32" s="1">
        <f>IF(Input!$CF$5 + Input!$CF$6*(FLOOR((Calculations!$F32-1)/(FLOOR((Input!$CF$12-Input!$CF$10)/Input!$CF$11,1)+1),1)) &gt; Input!$CF$7, "", (Input!$CF$5 + Input!$CF$6*(FLOOR((Calculations!$F32-1)/(FLOOR((Input!$CF$12-Input!$CF$10)/Input!$CF$11,1)+1),1)))*1000)</f>
        <v>10000</v>
      </c>
      <c r="J32" s="1">
        <f>IF(Calculations!I32 = "", "", Input!$CF$10 + Input!$CF$11*(Calculations!$F32-1) - (FLOOR((Input!$CF$12-Input!$CF$10)/Input!$CF$11,1)+1)*Input!$CF$11*FLOOR((Calculations!$F32-1)/(FLOOR((Input!$CF$12-Input!$CF$10)/Input!$CF$11,1)+1),1))</f>
        <v>850</v>
      </c>
      <c r="K32" s="8" t="str">
        <f t="shared" si="14"/>
        <v/>
      </c>
      <c r="L32" s="117" t="str">
        <f>IF(OR(Input!$CJ$5 + Input!$CJ$6*(Calculations!F32-1) &gt; Input!$CJ$7, Input!$CJ$5 + Input!$CJ$6*(Calculations!F32-1) &gt; 350), "", Input!$CJ$5 + Input!$CJ$6*(Calculations!F32-1))</f>
        <v/>
      </c>
      <c r="M32" s="1">
        <f t="shared" si="2"/>
        <v>10000</v>
      </c>
      <c r="N32" s="1">
        <f t="shared" si="3"/>
        <v>850</v>
      </c>
      <c r="O32" s="1">
        <f t="shared" si="4"/>
        <v>1123.1500000000001</v>
      </c>
      <c r="P32" s="1" t="e">
        <f>IF(OR($D$20=3,AND($D$21=TRUE,M32&lt;1000)),INDEX('Water Density'!$C$6:$CX$120,MATCH(Calculations!N32,'Water Density'!$B$6:$B$120),MATCH(Calculations!M32/1000,'Water Density'!$C$5:$CX$5)),NA())</f>
        <v>#N/A</v>
      </c>
      <c r="Q32" s="182">
        <f>IF(OR($D$20=3,AND($D$21=TRUE,M32&lt;1000)), IF(P32&lt;&gt;0,P32,NA()), calculateDensity(M32,N32,$D$20,0.01,$D$19 = 3))</f>
        <v>0.8542841936683655</v>
      </c>
      <c r="R32" s="1" t="e">
        <f>IF($D$22=5,INDEX('Dielectric Constant'!$C$6:$CX$120,MATCH(Calculations!N32,'Dielectric Constant'!$B$6:$B$120),MATCH(Calculations!M32/1000,'Dielectric Constant'!$C$5:$CX$5)),NA())</f>
        <v>#N/A</v>
      </c>
      <c r="S32" s="58">
        <f>IF($D$22=5, IF(R32&lt;&gt;0,R32,NA()), IF(AND($D$23,M32&lt;=5000,$D$19 &lt;&gt; 3),calculateEpsilon(Q32,N32,1,FALSE),calculateEpsilon(Q32,N32,$D$22,$D$19 = 3)))</f>
        <v>11.656505114177619</v>
      </c>
      <c r="T32" s="1" t="e">
        <f>IF($D$24=3,INDEX('Water Free Energy'!$C$6:$CX$120,MATCH(Calculations!N32,'Water Free Energy'!$B$6:$B$120),MATCH(Calculations!M32/1000,'Water Free Energy'!$C$5:$CX$5)),NA())</f>
        <v>#N/A</v>
      </c>
      <c r="U32" s="179">
        <f>IF($D$27,calculateQ(M32,N32,Q32,$D$20,$D$22,$D$19=3)*10^6,NA())</f>
        <v>2.2760117420892603</v>
      </c>
      <c r="V32"/>
      <c r="W32" s="2">
        <f t="shared" si="5"/>
        <v>10000</v>
      </c>
      <c r="X32" s="1">
        <f t="shared" si="6"/>
        <v>850</v>
      </c>
      <c r="Y32" s="1">
        <f>Results!F34</f>
        <v>0</v>
      </c>
      <c r="Z32" s="1">
        <f>Results!G34</f>
        <v>0</v>
      </c>
      <c r="AA32" s="1">
        <f>Results!H34</f>
        <v>0</v>
      </c>
      <c r="AB32" s="1">
        <f>Results!I34</f>
        <v>0</v>
      </c>
      <c r="AC32" s="1" t="e">
        <f>IF(ISBLANK(Input!$O$4),NA(),'Reaction Information'!$E$5-'Reaction Information'!$G$5*(Calculations!$O32-Calculations!$C$8)+'Reaction Information'!$I$5*(Calculations!$O32-Calculations!$C$8-Calculations!$O32*LN(Calculations!$O32/Calculations!$C$8))+'Reaction Information'!$J$5*0.001/2*(2*Calculations!$O32*Calculations!$C$8-Calculations!$O32^2-Calculations!$C$8^2) + 'Reaction Information'!$K$5*100000*(Calculations!$O32^2 + Calculations!$C$8^2 - 2*Calculations!$O32*Calculations!$C$8)/(2*Calculations!$O32*Calculations!$C$8^2))</f>
        <v>#N/A</v>
      </c>
      <c r="AD32" s="8" t="e">
        <f>IF(ISBLANK(Input!$R$4),NA(),'Reaction Information'!$E$9-'Reaction Information'!$G$9*(Calculations!$O32-Calculations!$C$8)+'Reaction Information'!$I$9*(Calculations!$O32-Calculations!$C$8-Calculations!$O32*LN(Calculations!$O32/Calculations!$C$8))+'Reaction Information'!$J$9*0.001/2*(2*Calculations!$O32*Calculations!$C$8-Calculations!$O32^2-Calculations!$C$8^2) + 'Reaction Information'!$K$9*100000*(Calculations!$O32^2 + Calculations!$C$8^2 - 2*Calculations!$O32*Calculations!$C$8)/(2*Calculations!$O32*Calculations!$C$8^2))</f>
        <v>#N/A</v>
      </c>
      <c r="AE32" s="8">
        <f>IF(AE$5="H2O",IF($D$24=3,IF(T32=0,NA(),T32),calculateGibbsOfWater(M32,N32,$D$24,$D$20,$D$19=3)),NA())</f>
        <v>-75736.265904656597</v>
      </c>
      <c r="AF32" s="8">
        <f>IF(ISBLANK(Input!$X$4),NA(),'Reaction Information'!$E$13-'Reaction Information'!$G$13*(Calculations!O32-Calculations!$C$8)-'Reaction Information'!$N$13*(Calculations!O32*LN(Calculations!O32/Calculations!$C$8)-Calculations!O32+Calculations!$C$8)-'Reaction Information'!$O$13*10^4*(((1/(Calculations!O32-Calculations!$C$13))-(1/(Calculations!$C$8-Calculations!$C$13)))*((Calculations!$C$13-Calculations!O32)/(Calculations!$C$13))-(Calculations!O32/(Calculations!$C$13*Calculations!$C$13))*LN((Calculations!$C$8*(Calculations!O32-Calculations!$C$13))/(Calculations!O32*(Calculations!$C$8-Calculations!$C$13))))+'Reaction Information'!$J$13*10^-1*(Calculations!M32-Calculations!$C$9)+'Reaction Information'!$K$13*10^2*LN((Calculations!$C$12+Calculations!M32)/(Calculations!$C$12+Calculations!$C$9))+(1/(Calculations!O32-Calculations!$C$13))*('Reaction Information'!$L$13*(Calculations!M32-Calculations!$C$9)+'Reaction Information'!$M$13*10^4*LN((Calculations!$C$12+Calculations!M32)/(Calculations!$C$12+Calculations!$C$9)))+calculateOmega(Calculations!M32,Calculations!N32,Calculations!Q32,'Reaction Information'!$C$13,'Reaction Information'!$P$13*10^5,'Reaction Information'!$Q$13)*((1/Calculations!S32)-1)-'Reaction Information'!$P$13*10^5*((1/Calculations!$C$10)-1)+'Reaction Information'!$P$13*10^5*Calculations!$C$14*(Calculations!O32-Calculations!$C$8))</f>
        <v>-122323.33358851643</v>
      </c>
      <c r="AG32" s="8" t="e">
        <f>IF(ISBLANK(Input!$AA$4),NA(),'Reaction Information'!$E$17-'Reaction Information'!$G$17*(Calculations!$O32-Calculations!$C$8)-'Reaction Information'!$N$17*(Calculations!$O32*LN(Calculations!$O32/Calculations!$C$8)-Calculations!$O32+Calculations!$C$8)-'Reaction Information'!$O$17*10^4*(((1/(Calculations!$O32-Calculations!$C$13))-(1/(Calculations!$C$8-Calculations!$C$13)))*((Calculations!$C$13-Calculations!$O32)/(Calculations!$C$13))-(Calculations!$O32/(Calculations!$C$13*Calculations!$C$13))*LN((Calculations!$C$8*(Calculations!$O32-Calculations!$C$13))/(Calculations!$O32*(Calculations!$C$8-Calculations!$C$13))))+'Reaction Information'!$J$17*10^-1*(Calculations!$M32-Calculations!$C$9)+'Reaction Information'!$K$17*10^2*LN((Calculations!$C$12+Calculations!$M32)/(Calculations!$C$12+Calculations!$C$9))+(1/(Calculations!$O32-Calculations!$C$13))*('Reaction Information'!$L$17*(Calculations!$M32-Calculations!$C$9)+'Reaction Information'!$M$17*10^4*LN((Calculations!$C$12+Calculations!$M32)/(Calculations!$C$12+Calculations!$C$9)))+calculateOmega(Calculations!M32,Calculations!N32,Calculations!Q32,'Reaction Information'!$C$17,'Reaction Information'!$P$17*10^5,'Reaction Information'!$Q$17)*((1/Calculations!$S32)-1)-'Reaction Information'!$P$17*10^5*((1/Calculations!$C$10)-1)+'Reaction Information'!$P$17*10^5*Calculations!$C$14*(Calculations!$O32-Calculations!$C$8))</f>
        <v>#N/A</v>
      </c>
      <c r="AH32" s="8" t="e">
        <f>IF(ISBLANK(Input!$AD$4),NA(),'Reaction Information'!$E$21-'Reaction Information'!$G$21*(Calculations!$O32-Calculations!$C$8)-'Reaction Information'!$N$21*(Calculations!$O32*LN(Calculations!$O32/Calculations!$C$8)-Calculations!$O32+Calculations!$C$8)-'Reaction Information'!$O$21*10^4*(((1/(Calculations!$O32-Calculations!$C$13))-(1/(Calculations!$C$8-Calculations!$C$13)))*((Calculations!$C$13-Calculations!$O32)/(Calculations!$C$13))-(Calculations!$O32/(Calculations!$C$13*Calculations!$C$13))*LN((Calculations!$C$8*(Calculations!$O32-Calculations!$C$13))/(Calculations!$O32*(Calculations!$C$8-Calculations!$C$13))))+'Reaction Information'!$J$21*10^-1*(Calculations!$M32-Calculations!$C$9)+'Reaction Information'!$K$21*10^2*LN((Calculations!$C$12+Calculations!$M32)/(Calculations!$C$12+Calculations!$C$9))+(1/(Calculations!$O32-Calculations!$C$13))*('Reaction Information'!$L$21*(Calculations!$M32-Calculations!$C$9)+'Reaction Information'!$M$21*10^4*LN((Calculations!$C$12+Calculations!$M32)/(Calculations!$C$12+Calculations!$C$9)))+calculateOmega(Calculations!M32,Calculations!N32,Calculations!Q32,'Reaction Information'!$C$21,'Reaction Information'!$P$21*10^5,'Reaction Information'!$Q$21)*((1/Calculations!$S32)-1)-'Reaction Information'!$P$21*10^5*((1/Calculations!$C$10)-1)+'Reaction Information'!$P$21*10^5*Calculations!$C$14*(Calculations!$O32-Calculations!$C$8))</f>
        <v>#N/A</v>
      </c>
      <c r="AI32" s="8" t="e">
        <f>IF(ISBLANK(Input!$AG$4),NA(),'Reaction Information'!$E$25-'Reaction Information'!$G$25*(Calculations!$O32-Calculations!$C$8)-'Reaction Information'!$N$25*(Calculations!$O32*LN(Calculations!$O32/Calculations!$C$8)-Calculations!$O32+Calculations!$C$8)-'Reaction Information'!$O$25*10^4*(((1/(Calculations!$O32-Calculations!$C$13))-(1/(Calculations!$C$8-Calculations!$C$13)))*((Calculations!$C$13-Calculations!$O32)/(Calculations!$C$13))-(Calculations!$O32/(Calculations!$C$13*Calculations!$C$13))*LN((Calculations!$C$8*(Calculations!$O32-Calculations!$C$13))/(Calculations!$O32*(Calculations!$C$8-Calculations!$C$13))))+'Reaction Information'!$J$25*10^-1*(Calculations!$M32-Calculations!$C$9)+'Reaction Information'!$K$25*10^2*LN((Calculations!$C$12+Calculations!$M32)/(Calculations!$C$12+Calculations!$C$9))+(1/(Calculations!$O32-Calculations!$C$13))*('Reaction Information'!$L$25*(Calculations!$M32-Calculations!$C$9)+'Reaction Information'!$M$25*10^4*LN((Calculations!$C$12+Calculations!$M32)/(Calculations!$C$12+Calculations!$C$9)))+calculateOmega(Calculations!M32,Calculations!N32,Calculations!Q32,'Reaction Information'!$C$25,'Reaction Information'!$P$25*10^5,'Reaction Information'!$Q$25)*((1/Calculations!$S32)-1)-'Reaction Information'!$P$25*10^5*((1/Calculations!$C$10)-1)+'Reaction Information'!$P$25*10^5*Calculations!$C$14*(Calculations!$O32-Calculations!$C$8))</f>
        <v>#N/A</v>
      </c>
      <c r="AJ32" s="8" t="e">
        <f>IF(ISBLANK(Input!$AJ$4),NA(),'Reaction Information'!$E$29-'Reaction Information'!$G$29*(Calculations!$O32-Calculations!$C$8)-'Reaction Information'!$N$29*(Calculations!$O32*LN(Calculations!$O32/Calculations!$C$8)-Calculations!$O32+Calculations!$C$8)-'Reaction Information'!$O$29*10^4*(((1/(Calculations!$O32-Calculations!$C$13))-(1/(Calculations!$C$8-Calculations!$C$13)))*((Calculations!$C$13-Calculations!$O32)/(Calculations!$C$13))-(Calculations!$O32/(Calculations!$C$13*Calculations!$C$13))*LN((Calculations!$C$8*(Calculations!$O32-Calculations!$C$13))/(Calculations!$O32*(Calculations!$C$8-Calculations!$C$13))))+'Reaction Information'!$J$29*10^-1*(Calculations!$M32-Calculations!$C$9)+'Reaction Information'!$K$29*10^2*LN((Calculations!$C$12+Calculations!$M32)/(Calculations!$C$12+Calculations!$C$9))+(1/(Calculations!$O32-Calculations!$C$13))*('Reaction Information'!$L$29*(Calculations!$M32-Calculations!$C$9)+'Reaction Information'!$M$29*10^4*LN((Calculations!$C$12+Calculations!$M32)/(Calculations!$C$12+Calculations!$C$9)))+calculateOmega(Calculations!M32,Calculations!N32,Calculations!Q32,'Reaction Information'!$C$29,'Reaction Information'!$P$29*10^5,'Reaction Information'!$Q$29)*((1/Calculations!$S32)-1)-'Reaction Information'!$P$29*10^5*((1/Calculations!$C$10)-1)+'Reaction Information'!$P$29*10^5*Calculations!$C$14*(Calculations!$O32-Calculations!$C$8))</f>
        <v>#N/A</v>
      </c>
      <c r="AK32" s="8" t="e">
        <f>IF(ISBLANK(Input!$AM$4),NA(),'Reaction Information'!$E$33-'Reaction Information'!$G$33*(Calculations!$O32-Calculations!$C$8)-'Reaction Information'!$N$33*(Calculations!$O32*LN(Calculations!$O32/Calculations!$C$8)-Calculations!$O32+Calculations!$C$8)-'Reaction Information'!$O$33*10^4*(((1/(Calculations!$O32-Calculations!$C$13))-(1/(Calculations!$C$8-Calculations!$C$13)))*((Calculations!$C$13-Calculations!$O32)/(Calculations!$C$13))-(Calculations!$O32/(Calculations!$C$13*Calculations!$C$13))*LN((Calculations!$C$8*(Calculations!$O32-Calculations!$C$13))/(Calculations!$O32*(Calculations!$C$8-Calculations!$C$13))))+'Reaction Information'!$J$33*10^-1*(Calculations!$M32-Calculations!$C$9)+'Reaction Information'!$K$33*10^2*LN((Calculations!$C$12+Calculations!$M32)/(Calculations!$C$12+Calculations!$C$9))+(1/(Calculations!$O32-Calculations!$C$13))*('Reaction Information'!$L$33*(Calculations!$M32-Calculations!$C$9)+'Reaction Information'!$M$33*10^4*LN((Calculations!$C$12+Calculations!$M32)/(Calculations!$C$12+Calculations!$C$9)))+calculateOmega(Calculations!M32,Calculations!N32,Calculations!Q32,'Reaction Information'!$C$33,'Reaction Information'!$P$33*10^5,'Reaction Information'!$Q$33)*((1/Calculations!$S32)-1)-'Reaction Information'!$P$33*10^5*((1/Calculations!$C$10)-1)+'Reaction Information'!$P$33*10^5*Calculations!$C$14*(Calculations!$O32-Calculations!$C$8))</f>
        <v>#N/A</v>
      </c>
      <c r="AL32" s="1">
        <f>Results!S34</f>
        <v>0</v>
      </c>
      <c r="AM32" s="1">
        <f>Results!T34</f>
        <v>0</v>
      </c>
      <c r="AN32" s="1">
        <f>Results!U34</f>
        <v>0</v>
      </c>
      <c r="AO32" s="1">
        <f>Results!V34</f>
        <v>0</v>
      </c>
      <c r="AP32" s="8" t="e">
        <f>IF(ISBLANK(Input!$BB$4),NA(),'Reaction Information'!$E$38-'Reaction Information'!$G$38*(Calculations!$O32-Calculations!$C$8)+'Reaction Information'!$I$38*(Calculations!$O32-Calculations!$C$8-Calculations!$O32*LN(Calculations!$O32/Calculations!$C$8))+'Reaction Information'!$J$38*0.001/2*(2*Calculations!$O32*Calculations!$C$8-Calculations!$O32^2-Calculations!$C$8^2) + 'Reaction Information'!$K$38*100000*(Calculations!$O32^2 + Calculations!$C$8^2 - 2*Calculations!$O32*Calculations!$C$8)/(2*Calculations!$O32*Calculations!$C$8^2))</f>
        <v>#N/A</v>
      </c>
      <c r="AQ32" s="8" t="e">
        <f>IF(ISBLANK(Input!$BE$4),NA(),'Reaction Information'!$E$42-'Reaction Information'!$G$42*(Calculations!$O32-Calculations!$C$8)+'Reaction Information'!$I$42*(Calculations!$O32-Calculations!$C$8-Calculations!$O32*LN(Calculations!$O32/Calculations!$C$8))+'Reaction Information'!$J$42*0.001/2*(2*Calculations!$O32*Calculations!$C$8-Calculations!$O32^2-Calculations!$C$8^2) + 'Reaction Information'!$K$42*100000*(Calculations!$O32^2 + Calculations!$C$8^2 - 2*Calculations!$O32*Calculations!$C$8)/(2*Calculations!$O32*Calculations!$C$8^2))</f>
        <v>#N/A</v>
      </c>
      <c r="AR32" s="8" t="e">
        <f>IF(AR$5="H2O", IF($D$24=3,IF(T32=0,NA(),T32),calculateGibbsOfWater(M32,N32,$D$24,$D$20,$D$19=3)),NA())</f>
        <v>#N/A</v>
      </c>
      <c r="AS32" s="8">
        <f>IF(ISBLANK(Input!$BK$4),NA(),'Reaction Information'!$E$46-'Reaction Information'!$G$46*(Calculations!O32-Calculations!$C$8)-'Reaction Information'!$N$46*(Calculations!O32*LN(Calculations!O32/Calculations!$C$8)-Calculations!O32+Calculations!$C$8)-'Reaction Information'!$O$46*10^4*(((1/(Calculations!O32-Calculations!$C$13))-(1/(Calculations!$C$8-Calculations!$C$13)))*((Calculations!$C$13-Calculations!O32)/(Calculations!$C$13))-(Calculations!O32/(Calculations!$C$13*Calculations!$C$13))*LN((Calculations!$C$8*(Calculations!O32-Calculations!$C$13))/(Calculations!O32*(Calculations!$C$8-Calculations!$C$13))))+'Reaction Information'!$J$46*10^-1*(Calculations!$M32-Calculations!$C$9)+'Reaction Information'!$K$46*10^2*LN((Calculations!$C$12+Calculations!$M32)/(Calculations!$C$12+Calculations!$C$9))+(1/(Calculations!O32-Calculations!$C$13))*('Reaction Information'!$L$46*(Calculations!$M32-Calculations!$C$9)+'Reaction Information'!$M$46*10^4*LN((Calculations!$C$12+Calculations!$M32)/(Calculations!$C$12+Calculations!$C$9)))+calculateOmega(Calculations!M32,Calculations!N32,Calculations!Q32,'Reaction Information'!$C$46,'Reaction Information'!$P$46*10^5,'Reaction Information'!$Q$46)*((1/Calculations!S32)-1)-'Reaction Information'!$P$46*10^5*((1/Calculations!$C$10)-1)+'Reaction Information'!$P$46*10^5*Calculations!$C$14*(Calculations!O32-Calculations!$C$8))</f>
        <v>0</v>
      </c>
      <c r="AT32" s="8">
        <f>IF(ISBLANK(Input!$BN$4),NA(),'Reaction Information'!$E$50-'Reaction Information'!$G$50*(Calculations!O32-Calculations!$C$8)-'Reaction Information'!$N$50*(Calculations!O32*LN(Calculations!O32/Calculations!$C$8)-Calculations!O32+Calculations!$C$8)-'Reaction Information'!$O$50*10^4*(((1/(Calculations!O32-Calculations!$C$13))-(1/(Calculations!$C$8-Calculations!$C$13)))*((Calculations!$C$13-Calculations!O32)/(Calculations!$C$13))-(Calculations!O32/(Calculations!$C$13*Calculations!$C$13))*LN((Calculations!$C$8*(Calculations!O32-Calculations!$C$13))/(Calculations!O32*(Calculations!$C$8-Calculations!$C$13))))+'Reaction Information'!$J$50*10^-1*(Calculations!$M32-Calculations!$C$9)+'Reaction Information'!$K$50*10^2*LN((Calculations!$C$12+Calculations!$M32)/(Calculations!$C$12+Calculations!$C$9))+(1/(Calculations!O32-Calculations!$C$13))*('Reaction Information'!$L$50*(Calculations!$M32-Calculations!$C$9)+'Reaction Information'!$M$50*10^4*LN((Calculations!$C$12+Calculations!$M32)/(Calculations!$C$12+Calculations!$C$9)))+calculateOmega(Calculations!M32,Calculations!N32,Calculations!Q32,'Reaction Information'!$C$50,'Reaction Information'!$P$50*10^5,'Reaction Information'!$Q$50)*((1/Calculations!S32)-1)-'Reaction Information'!$P$50*10^5*((1/Calculations!$C$10)-1)+'Reaction Information'!$P$50*10^5*Calculations!$C$14*(Calculations!O32-Calculations!$C$8))</f>
        <v>-155085.85077037188</v>
      </c>
      <c r="AU32" s="8" t="e">
        <f>IF(ISBLANK(Input!$BQ$4),NA(),'Reaction Information'!$E$54-'Reaction Information'!$G$54*(Calculations!$O32-Calculations!$C$8)-'Reaction Information'!$N$54*(Calculations!$O32*LN(Calculations!$O32/Calculations!$C$8)-Calculations!$O32+Calculations!$C$8)-'Reaction Information'!$O$54*10^4*(((1/(Calculations!$O32-Calculations!$C$13))-(1/(Calculations!$C$8-Calculations!$C$13)))*((Calculations!$C$13-Calculations!$O32)/(Calculations!$C$13))-(Calculations!$O32/(Calculations!$C$13*Calculations!$C$13))*LN((Calculations!$C$8*(Calculations!$O32-Calculations!$C$13))/(Calculations!$O32*(Calculations!$C$8-Calculations!$C$13))))+'Reaction Information'!$J$54*10^-1*(Calculations!$M32-Calculations!$C$9)+'Reaction Information'!$K$54*10^2*LN((Calculations!$C$12+Calculations!$M32)/(Calculations!$C$12+Calculations!$C$9))+(1/(Calculations!$O32-Calculations!$C$13))*('Reaction Information'!$L$54*(Calculations!$M32-Calculations!$C$9)+'Reaction Information'!$M$54*10^4*LN((Calculations!$C$12+Calculations!$M32)/(Calculations!$C$12+Calculations!$C$9)))+calculateOmega(Calculations!M32,Calculations!N32,Calculations!Q32,'Reaction Information'!$C$54,'Reaction Information'!$P$54*10^5,'Reaction Information'!$Q$54)*((1/Calculations!$S32)-1)-'Reaction Information'!$P$54*10^5*((1/Calculations!$C$10)-1)+'Reaction Information'!$P$54*10^5*Calculations!$C$14*(Calculations!$O32-Calculations!$C$8))</f>
        <v>#N/A</v>
      </c>
      <c r="AV32" s="8" t="e">
        <f>IF(ISBLANK(Input!$BT$4),NA(),'Reaction Information'!$E$58-'Reaction Information'!$G$58*(Calculations!$O32-Calculations!$C$8)-'Reaction Information'!$N$58*(Calculations!$O32*LN(Calculations!$O32/Calculations!$C$8)-Calculations!$O32+Calculations!$C$8)-'Reaction Information'!$O$58*10^4*(((1/(Calculations!$O32-Calculations!$C$13))-(1/(Calculations!$C$8-Calculations!$C$13)))*((Calculations!$C$13-Calculations!$O32)/(Calculations!$C$13))-(Calculations!$O32/(Calculations!$C$13*Calculations!$C$13))*LN((Calculations!$C$8*(Calculations!$O32-Calculations!$C$13))/(Calculations!$O32*(Calculations!$C$8-Calculations!$C$13))))+'Reaction Information'!$J$58*10^-1*(Calculations!$M32-Calculations!$C$9)+'Reaction Information'!$K$58*10^2*LN((Calculations!$C$12+Calculations!$M32)/(Calculations!$C$12+Calculations!$C$9))+(1/(Calculations!$O32-Calculations!$C$13))*('Reaction Information'!$L$58*(Calculations!$M32-Calculations!$C$9)+'Reaction Information'!$M$58*10^4*LN((Calculations!$C$12+Calculations!$M32)/(Calculations!$C$12+Calculations!$C$9)))+calculateOmega(Calculations!M32,Calculations!N32,Calculations!Q32,'Reaction Information'!$C$58,'Reaction Information'!$P$58*10^5,'Reaction Information'!$Q$58)*((1/Calculations!$S32)-1)-'Reaction Information'!$P$58*10^5*((1/Calculations!$C$10)-1)+'Reaction Information'!$P$58*10^5*Calculations!$C$14*(Calculations!$O32-Calculations!$C$8))</f>
        <v>#N/A</v>
      </c>
      <c r="AW32" s="8" t="e">
        <f>IF(ISBLANK(Input!$BW$4),NA(),'Reaction Information'!$E$62-'Reaction Information'!$G$62*(Calculations!$O32-Calculations!$C$8)-'Reaction Information'!$N$62*(Calculations!$O32*LN(Calculations!$O32/Calculations!$C$8)-Calculations!$O32+Calculations!$C$8)-'Reaction Information'!$O$62*10^4*(((1/(Calculations!$O32-Calculations!$C$13))-(1/(Calculations!$C$8-Calculations!$C$13)))*((Calculations!$C$13-Calculations!$O32)/(Calculations!$C$13))-(Calculations!$O32/(Calculations!$C$13*Calculations!$C$13))*LN((Calculations!$C$8*(Calculations!$O32-Calculations!$C$13))/(Calculations!$O32*(Calculations!$C$8-Calculations!$C$13))))+'Reaction Information'!$J$62*10^-1*(Calculations!$M32-Calculations!$C$9)+'Reaction Information'!$K$62*10^2*LN((Calculations!$C$12+Calculations!$M32)/(Calculations!$C$12+Calculations!$C$9))+(1/(Calculations!$O32-Calculations!$C$13))*('Reaction Information'!$L$62*(Calculations!$M32-Calculations!$C$9)+'Reaction Information'!$M$62*10^4*LN((Calculations!$C$12+Calculations!$M32)/(Calculations!$C$12+Calculations!$C$9)))+calculateOmega(Calculations!M32,Calculations!N32,Calculations!Q32,'Reaction Information'!$C$62,'Reaction Information'!$P$62*10^5,'Reaction Information'!$Q$62)*((1/Calculations!$S32)-1)-'Reaction Information'!$P$62*10^5*((1/Calculations!$C$10)-1)+'Reaction Information'!$P$62*10^5*Calculations!$C$14*(Calculations!$O32-Calculations!$C$8))</f>
        <v>#N/A</v>
      </c>
      <c r="AX32" s="8" t="e">
        <f>IF(ISBLANK(Input!$BZ$4),NA(),'Reaction Information'!$E$66-'Reaction Information'!$G$66*(Calculations!$O32-Calculations!$C$8)-'Reaction Information'!$N$66*(Calculations!$O32*LN(Calculations!$O32/Calculations!$C$8)-Calculations!$O32+Calculations!$C$8)-'Reaction Information'!$O$66*10^4*(((1/(Calculations!$O32-Calculations!$C$13))-(1/(Calculations!$C$8-Calculations!$C$13)))*((Calculations!$C$13-Calculations!$O32)/(Calculations!$C$13))-(Calculations!$O32/(Calculations!$C$13*Calculations!$C$13))*LN((Calculations!$C$8*(Calculations!$O32-Calculations!$C$13))/(Calculations!$O32*(Calculations!$C$8-Calculations!$C$13))))+'Reaction Information'!$J$66*10^-1*(Calculations!$M32-Calculations!$C$9)+'Reaction Information'!$K$66*10^2*LN((Calculations!$C$12+Calculations!$M32)/(Calculations!$C$12+Calculations!$C$9))+(1/(Calculations!$O32-Calculations!$C$13))*('Reaction Information'!$L$66*(Calculations!$M32-Calculations!$C$9)+'Reaction Information'!$M$66*10^4*LN((Calculations!$C$12+Calculations!$M32)/(Calculations!$C$12+Calculations!$C$9)))+calculateOmega(Calculations!M32,Calculations!N32,Calculations!Q32,'Reaction Information'!$C$66,'Reaction Information'!$P$66*10^5,'Reaction Information'!$Q$66)*((1/Calculations!$S32)-1)-'Reaction Information'!$P$66*10^5*((1/Calculations!$C$10)-1)+'Reaction Information'!$P$66*10^5*Calculations!$C$14*(Calculations!$O32-Calculations!$C$8))</f>
        <v>#N/A</v>
      </c>
      <c r="AY32" s="31">
        <f>(AL32*Input!$AO$4+AM32*Input!$AR$4+AN32*Input!$AU$4+AO32*Input!$AX$4+IF(ISNA(AP32),0,AP32*Input!$BA$4)+IF(ISNA(AQ32),0,AQ32*Input!$BD$4)+IF(ISNA(AR32),0,AR32*Input!$BG$4)+IF(ISNA(AS32),0,AS32*Input!$BJ$4)+IF(ISNA(AT32),0,AT32*Input!$BM$4)+IF(ISNA(AU32),0,AU32*Input!$BP$4)+IF(ISNA(AV32),0,AV32*Input!$BS$4)+IF(ISNA(AW32),0,AW32*Input!$BV$4)+IF(ISNA(AX32),0,AX32*Input!$BY$4))-(Y32*Input!$B$4+Z32*Input!$E$4+AA32*Input!$H$4+AB32*Input!$K$4+IF(ISNA(AC32),0,AC32*Input!$N$4)+IF(ISNA(AD32),0,AD32*Input!$Q$4)+IF(ISNA(AE32),0,AE32*Input!$T$4)+IF(ISNA(AF32),0,AF32*Input!$W$4)+IF(ISNA(AG32),0,AG32*Input!$Z$4)+IF(ISNA(AH32),0,AH32*Input!$AC$4)+IF(ISNA(AI32),0,AI32*Input!$AF$4)+IF(ISNA(AJ32),0,AJ32*Input!$AI$4)+IF(ISNA(AK32),0,AK32*Input!$AL$4))</f>
        <v>42973.74872280113</v>
      </c>
      <c r="AZ32" s="42">
        <f t="shared" si="7"/>
        <v>-8.3675314275976795</v>
      </c>
      <c r="BA32" s="1">
        <f t="shared" si="8"/>
        <v>850</v>
      </c>
      <c r="BB32" s="46">
        <f t="shared" si="9"/>
        <v>10000</v>
      </c>
      <c r="BC32" s="1"/>
      <c r="BD32" s="2">
        <f t="shared" si="10"/>
        <v>10000</v>
      </c>
      <c r="BE32" s="46">
        <f t="shared" si="11"/>
        <v>850</v>
      </c>
      <c r="BF32" s="1">
        <f>Results!AJ34</f>
        <v>0</v>
      </c>
      <c r="BG32" s="1">
        <f>Results!AK34</f>
        <v>0</v>
      </c>
      <c r="BH32" s="1">
        <f>Results!AL34</f>
        <v>0</v>
      </c>
      <c r="BI32" s="1">
        <f>Results!AM34</f>
        <v>0</v>
      </c>
      <c r="BJ32" s="1" t="e">
        <f>IF(OR(ISNA('Reaction Information'!$D$5), $N32 = "", $D$27 = FALSE, 'Reaction Information'!$D$5 = ""), NA(), 24.465)</f>
        <v>#N/A</v>
      </c>
      <c r="BK32" s="1" t="e">
        <f>IF(OR(ISNA('Reaction Information'!$D$9), $N32 = "", $D$27 = FALSE, 'Reaction Information'!$D$9 = ""), NA(), 24.465)</f>
        <v>#N/A</v>
      </c>
      <c r="BL32" s="8">
        <f t="shared" si="0"/>
        <v>21.08815793798189</v>
      </c>
      <c r="BM32" s="8">
        <f>IF(OR(ISBLANK(Input!$X$4),$D$27=FALSE),NA(),('Reaction Information'!$J$13/10+'Reaction Information'!$K$13*100/(Calculations!$C$12+Calculations!$M32)+('Reaction Information'!$L$13+'Reaction Information'!$M$13*10^4/(Calculations!$C$12+Calculations!$M32))/(Calculations!$O32-Calculations!$C$13) -calculateOmega(Calculations!$M32,Calculations!$N32,Calculations!$Q32,'Reaction Information'!$C$13,'Reaction Information'!$P$13*10^5,'Reaction Information'!$Q$13)*Calculations!$U32*10^-6 + (1/$S32 - 1)*calculate_domegadP(Calculations!$M32,Calculations!$N32,Calculations!$Q32,'Reaction Information'!$C$13,'Reaction Information'!$P$13*10^5,'Reaction Information'!$Q$13,$D$20,$D$19=3))*41.84)</f>
        <v>37.557975219435598</v>
      </c>
      <c r="BN32" s="8" t="e">
        <f>IF(OR(ISBLANK(Input!$AA$4),$D$27=FALSE),NA(),('Reaction Information'!$J$17/10+'Reaction Information'!$K$17*100/(Calculations!$C$12+Calculations!$M32)+('Reaction Information'!$L$17+'Reaction Information'!$M$17*10000/(Calculations!$C$12+Calculations!$M32))/(Calculations!$O32-Calculations!$C$13)-calculateOmega(Calculations!M32,Calculations!N32,Calculations!Q32,'Reaction Information'!$C$17,'Reaction Information'!$P$17*10^5,'Reaction Information'!$Q$17)*Calculations!$U32*10^-6 + (1/$S32 - 1)*calculate_domegadP(Calculations!M32,Calculations!N32,Calculations!Q32,'Reaction Information'!$C$17,'Reaction Information'!$P$17*10^5,'Reaction Information'!$Q$17,$D$20,$D$19=3))*41.84)</f>
        <v>#N/A</v>
      </c>
      <c r="BO32" s="8" t="e">
        <f>IF(OR(ISBLANK(Input!$AD$4),$D$27=FALSE),NA(),('Reaction Information'!$J$21/10+'Reaction Information'!$K$21*100/(Calculations!$C$12+Calculations!$M32)+('Reaction Information'!$L$21+'Reaction Information'!$M$21*10000/(Calculations!$C$12+Calculations!$M32))/(Calculations!$O32-Calculations!$C$13)-calculateOmega(Calculations!M32,Calculations!N32,Calculations!Q32,'Reaction Information'!$C$21,'Reaction Information'!$P$21*10^5,'Reaction Information'!$Q$21)*Calculations!$U32*10^-6 + (1/$S32 - 1)*calculate_domegadP(Calculations!M32,Calculations!N32,Calculations!Q32,'Reaction Information'!$C$21,'Reaction Information'!$P$21*10^5,'Reaction Information'!$Q$21,$D$20,$D$19=3))*41.84)</f>
        <v>#N/A</v>
      </c>
      <c r="BP32" s="8" t="e">
        <f>IF(OR(ISBLANK(Input!$AG$4),$D$27=FALSE),NA(),('Reaction Information'!$J$25/10+'Reaction Information'!$K$25*100/(Calculations!$C$12+Calculations!$M32)+('Reaction Information'!$L$25+'Reaction Information'!$M$25*10000/(Calculations!$C$12+Calculations!$M32))/(Calculations!$O32-Calculations!$C$13)-calculateOmega(Calculations!M32,Calculations!N32,Calculations!Q32,'Reaction Information'!$C$25,'Reaction Information'!$P$25*10^5,'Reaction Information'!$Q$25)*Calculations!$U32*10^-6 + (1/$S32 - 1)*calculate_domegadP(Calculations!M32,Calculations!N32,Calculations!Q32,'Reaction Information'!$C$25,'Reaction Information'!$P$25*10^5,'Reaction Information'!$Q$25,$D$20,$D$19=3))*41.84)</f>
        <v>#N/A</v>
      </c>
      <c r="BQ32" s="8" t="e">
        <f>IF(OR(ISBLANK(Input!$AJ$4),$D$27=FALSE),NA(),('Reaction Information'!$J$29/10+'Reaction Information'!$K$29*100/(Calculations!$C$12+Calculations!$M32)+('Reaction Information'!$L$29+'Reaction Information'!$M$29*10000/(Calculations!$C$12+Calculations!$M32))/(Calculations!$O32-Calculations!$C$13)-calculateOmega(Calculations!M32,Calculations!N32,Calculations!Q32,'Reaction Information'!$C$29,'Reaction Information'!$P$29*10^5,'Reaction Information'!$Q$29)*Calculations!$U32*10^-6 + (1/$S32 - 1)*calculate_domegadP(Calculations!M32,Calculations!N32,Calculations!Q32,'Reaction Information'!$C$29,'Reaction Information'!$P$29*10^5,'Reaction Information'!$Q$29,$D$20,$D$19=3))*41.84)</f>
        <v>#N/A</v>
      </c>
      <c r="BR32" s="8" t="e">
        <f>IF(OR(ISBLANK(Input!$AM$4),$D$27=FALSE),NA(),('Reaction Information'!$J$33/10+'Reaction Information'!$K$33*100/(Calculations!$C$12+Calculations!$M32)+('Reaction Information'!$L$33+'Reaction Information'!$M$33*10000/(Calculations!$C$12+Calculations!$M32))/(Calculations!$O32-Calculations!$C$13)-calculateOmega(Calculations!M32,Calculations!N32,Calculations!Q32,'Reaction Information'!$C$33,'Reaction Information'!$P$33*10^5,'Reaction Information'!$Q$33)*Calculations!$U32*10^-6 + (1/$S32 - 1)*calculate_domegadP(Calculations!M32,Calculations!N32,Calculations!Q32,'Reaction Information'!$C$33,'Reaction Information'!$P$33*10^5,'Reaction Information'!$Q$33,$D$20,$D$19=3))*41.84)</f>
        <v>#N/A</v>
      </c>
      <c r="BS32" s="1">
        <f>Results!AW34</f>
        <v>0</v>
      </c>
      <c r="BT32" s="1">
        <f>Results!AX34</f>
        <v>0</v>
      </c>
      <c r="BU32" s="1">
        <f>Results!AY34</f>
        <v>0</v>
      </c>
      <c r="BV32" s="1">
        <f>Results!AZ34</f>
        <v>0</v>
      </c>
      <c r="BW32" s="1" t="e">
        <f>IF(OR(ISNA('Reaction Information'!$D$38), $N32 = "", $D$27 = FALSE, 'Reaction Information'!$D$38 = ""), NA(), 24.465)</f>
        <v>#N/A</v>
      </c>
      <c r="BX32" s="1" t="e">
        <f>IF(OR(ISNA('Reaction Information'!$D$42), $N32 = "", $D$27 = FALSE, 'Reaction Information'!$D$42 = ""), NA(), 24.465)</f>
        <v>#N/A</v>
      </c>
      <c r="BY32" s="8" t="e">
        <f t="shared" si="1"/>
        <v>#N/A</v>
      </c>
      <c r="BZ32" s="8">
        <f>IF(OR(ISBLANK(Input!$BK$4),$D$27=FALSE),NA(),('Reaction Information'!$J$46/10+'Reaction Information'!$K$46*100/(Calculations!$C$12+Calculations!$M32)+('Reaction Information'!$L$46+'Reaction Information'!$M$46*10000/(Calculations!$C$12+Calculations!$M32))/(Calculations!$O32-Calculations!$C$13)-calculateOmega(Calculations!M32,Calculations!N32,Calculations!Q32,'Reaction Information'!$C$46,'Reaction Information'!$P$46*10^5,'Reaction Information'!$Q$46)*Calculations!$U32*10^-6 + (1/$S32 - 1)*calculate_domegadP(Calculations!M32,Calculations!N32,Calculations!Q32,'Reaction Information'!$C$46,'Reaction Information'!$P$46*10^5,'Reaction Information'!$Q$46,$D$20,$D$19=3))*41.84)</f>
        <v>0</v>
      </c>
      <c r="CA32" s="8">
        <f>IF(OR(ISBLANK(Input!$BN$4),$D$27=FALSE),NA(),('Reaction Information'!$J$50/10+'Reaction Information'!$K$50*100/(Calculations!$C$12+Calculations!$M32)+('Reaction Information'!$L$50+'Reaction Information'!$M$50*10000/(Calculations!$C$12+Calculations!$M32))/(Calculations!$O32-Calculations!$C$13)-calculateOmega(Calculations!M32,Calculations!N32,Calculations!Q32,'Reaction Information'!$C$50,'Reaction Information'!$P$50*10^5,'Reaction Information'!$Q$50)*Calculations!$U32*10^-6 + (1/$S32 - 1)*calculate_domegadP(Calculations!M32,Calculations!N32,Calculations!Q32,'Reaction Information'!$C$50,'Reaction Information'!$P$50*10^5,'Reaction Information'!$Q$50,$D$20,$D$19=3))*41.84)</f>
        <v>20.111109157392125</v>
      </c>
      <c r="CB32" s="8" t="e">
        <f>IF(OR(ISBLANK(Input!$BQ$4),$D$27=FALSE),NA(),('Reaction Information'!$J$54/10+'Reaction Information'!$K$54*100/(Calculations!$C$12+Calculations!$M32)+('Reaction Information'!$L$54+'Reaction Information'!$M$54*10000/(Calculations!$C$12+Calculations!$M32))/(Calculations!$O32-Calculations!$C$13)-calculateOmega(Calculations!M32,Calculations!N32,Calculations!Q32,'Reaction Information'!$C$54,'Reaction Information'!$P$54*10^5,'Reaction Information'!$Q$54)*Calculations!$U32*10^-6 + (1/$S32 - 1)*calculate_domegadP(Calculations!M32,Calculations!N32,Calculations!Q32,'Reaction Information'!$C$54,'Reaction Information'!$P$54*10^5,'Reaction Information'!$Q$54,$D$20,$D$19=3))*41.84)</f>
        <v>#N/A</v>
      </c>
      <c r="CC32" s="8" t="e">
        <f>IF(OR(ISBLANK(Input!$BT$4),$D$27=FALSE),NA(),('Reaction Information'!$J$58/10+'Reaction Information'!$K$58*100/(Calculations!$C$12+Calculations!$M32)+('Reaction Information'!$L$58+'Reaction Information'!$M$58*10000/(Calculations!$C$12+Calculations!$M32))/(Calculations!$O32-Calculations!$C$13)-calculateOmega(Calculations!M32,Calculations!N32,Calculations!Q32,'Reaction Information'!$C$58,'Reaction Information'!$P$58*10^5,'Reaction Information'!$Q$58)*Calculations!$U32*10^-6 + (1/$S32 - 1)*calculate_domegadP(Calculations!M32,Calculations!N32,Calculations!Q32,'Reaction Information'!$C$58,'Reaction Information'!$P$58*10^5,'Reaction Information'!$Q$58,$D$20,$D$19=3))*41.84)</f>
        <v>#N/A</v>
      </c>
      <c r="CD32" s="8" t="e">
        <f>IF(OR(ISBLANK(Input!$BW$4),$D$27=FALSE),NA(),('Reaction Information'!$J$62/10+'Reaction Information'!$K$62*100/(Calculations!$C$12+Calculations!$M32)+('Reaction Information'!$L$62+'Reaction Information'!$M$62*10000/(Calculations!$C$12+Calculations!$M32))/(Calculations!$O32-Calculations!$C$13)-calculateOmega(Calculations!M32,Calculations!N32,Calculations!Q32,'Reaction Information'!$C$62,'Reaction Information'!$P$62*10^5,'Reaction Information'!$Q$62)*Calculations!$U32*10^-6 + (1/$S32 - 1)*calculate_domegadP(Calculations!M32,Calculations!N32,Calculations!Q32,'Reaction Information'!$C$62,'Reaction Information'!$P$62*10^5,'Reaction Information'!$Q$62,$D$20,$D$19=3))*41.84)</f>
        <v>#N/A</v>
      </c>
      <c r="CE32" s="8" t="e">
        <f>IF(OR(ISBLANK(Input!$BZ$4),$D$27=FALSE),NA(),('Reaction Information'!$J$66/10+'Reaction Information'!$K$66*100/(Calculations!$C$12+Calculations!$M32)+('Reaction Information'!$L$66+'Reaction Information'!$M$66*10000/(Calculations!$C$12+Calculations!$M32))/(Calculations!$O32-Calculations!$C$13)-calculateOmega(Calculations!M32,Calculations!N32,Calculations!Q32,'Reaction Information'!$C$66,'Reaction Information'!$P$66*10^5,'Reaction Information'!$Q$66)*Calculations!$U32*10^-6 + (1/$S32 - 1)*calculate_domegadP(Calculations!M32,Calculations!N32,Calculations!Q32,'Reaction Information'!$C$66,'Reaction Information'!$P$66*10^5,'Reaction Information'!$Q$66,$D$20,$D$19=3))*41.84)</f>
        <v>#N/A</v>
      </c>
      <c r="CF32" s="31">
        <f>(BS32*Input!$AO$4+BT32*Input!$AR$4+BU32*Input!$AU$4+BV32*Input!$AX$4+IF(ISNA(BW32),0,BW32*Input!$BA$4)+IF(ISNA(BX32),0,BX32*Input!$BD$4)+IF(ISNA(BY32),0,BY32*Input!$BG$4)+IF(ISNA(BZ32),0,BZ32*Input!$BJ$4)+IF(ISNA(CA32),0,CA32*Input!$BM$4)+IF(ISNA(CB32),0,CB32*Input!$BP$4)+IF(ISNA(CC32),0,CC32*Input!$BS$4)+IF(ISNA(CD32),0,CD32*Input!$BV$4)+IF(ISNA(CE32),0,CE32*Input!$BY$4))-(BF32*Input!$B$4+BG32*Input!$E$4+BH32*Input!$H$4+BI32*Input!$K$4+IF(ISNA(BJ32),0,BJ32*Input!$N$4)+IF(ISNA(BK32),0,BK32*Input!$Q$4)+IF(ISNA(BL32),0,BL32*Input!$T$4)+IF(ISNA(BM32),0,BM32*Input!$W$4)+IF(ISNA(BN32),0,BN32*Input!$Z$4)+IF(ISNA(BO32),0,BO32*Input!$AC$4)+IF(ISNA(BP32),0,BP32*Input!$AF$4)+IF(ISNA(BQ32),0,BQ32*Input!$AI$4)+IF(ISNA(BR32),0,BR32*Input!$AL$4))</f>
        <v>-38.535024000025359</v>
      </c>
      <c r="CG32" s="1">
        <f t="shared" si="12"/>
        <v>850</v>
      </c>
      <c r="CH32" s="46">
        <f t="shared" si="13"/>
        <v>10000</v>
      </c>
      <c r="CI32" s="1"/>
    </row>
    <row r="33" spans="1:87" ht="15" customHeight="1" x14ac:dyDescent="0.2">
      <c r="A33" s="1"/>
      <c r="B33" s="1"/>
      <c r="C33" s="1"/>
      <c r="D33" s="1"/>
      <c r="E33" s="1"/>
      <c r="F33" s="2">
        <v>28</v>
      </c>
      <c r="G33" s="1" t="str">
        <f>IF(ISBLANK(Input!CB33), "", Input!CB33*1000)</f>
        <v/>
      </c>
      <c r="H33" s="1" t="str">
        <f>IF(ISBLANK(Input!CC33), "", Input!CC33)</f>
        <v/>
      </c>
      <c r="I33" s="1">
        <f>IF(Input!$CF$5 + Input!$CF$6*(FLOOR((Calculations!$F33-1)/(FLOOR((Input!$CF$12-Input!$CF$10)/Input!$CF$11,1)+1),1)) &gt; Input!$CF$7, "", (Input!$CF$5 + Input!$CF$6*(FLOOR((Calculations!$F33-1)/(FLOOR((Input!$CF$12-Input!$CF$10)/Input!$CF$11,1)+1),1)))*1000)</f>
        <v>10000</v>
      </c>
      <c r="J33" s="1">
        <f>IF(Calculations!I33 = "", "", Input!$CF$10 + Input!$CF$11*(Calculations!$F33-1) - (FLOOR((Input!$CF$12-Input!$CF$10)/Input!$CF$11,1)+1)*Input!$CF$11*FLOOR((Calculations!$F33-1)/(FLOOR((Input!$CF$12-Input!$CF$10)/Input!$CF$11,1)+1),1))</f>
        <v>900</v>
      </c>
      <c r="K33" s="8" t="str">
        <f t="shared" si="14"/>
        <v/>
      </c>
      <c r="L33" s="117" t="str">
        <f>IF(OR(Input!$CJ$5 + Input!$CJ$6*(Calculations!F33-1) &gt; Input!$CJ$7, Input!$CJ$5 + Input!$CJ$6*(Calculations!F33-1) &gt; 350), "", Input!$CJ$5 + Input!$CJ$6*(Calculations!F33-1))</f>
        <v/>
      </c>
      <c r="M33" s="1">
        <f t="shared" si="2"/>
        <v>10000</v>
      </c>
      <c r="N33" s="1">
        <f t="shared" si="3"/>
        <v>900</v>
      </c>
      <c r="O33" s="1">
        <f t="shared" si="4"/>
        <v>1173.1500000000001</v>
      </c>
      <c r="P33" s="1" t="e">
        <f>IF(OR($D$20=3,AND($D$21=TRUE,M33&lt;1000)),INDEX('Water Density'!$C$6:$CX$120,MATCH(Calculations!N33,'Water Density'!$B$6:$B$120),MATCH(Calculations!M33/1000,'Water Density'!$C$5:$CX$5)),NA())</f>
        <v>#N/A</v>
      </c>
      <c r="Q33" s="182">
        <f>IF(OR($D$20=3,AND($D$21=TRUE,M33&lt;1000)), IF(P33&lt;&gt;0,P33,NA()), calculateDensity(M33,N33,$D$20,0.01,$D$19 = 3))</f>
        <v>0.83495627281904206</v>
      </c>
      <c r="R33" s="1" t="e">
        <f>IF($D$22=5,INDEX('Dielectric Constant'!$C$6:$CX$120,MATCH(Calculations!N33,'Dielectric Constant'!$B$6:$B$120),MATCH(Calculations!M33/1000,'Dielectric Constant'!$C$5:$CX$5)),NA())</f>
        <v>#N/A</v>
      </c>
      <c r="S33" s="58">
        <f>IF($D$22=5, IF(R33&lt;&gt;0,R33,NA()), IF(AND($D$23,M33&lt;=5000,$D$19 &lt;&gt; 3),calculateEpsilon(Q33,N33,1,FALSE),calculateEpsilon(Q33,N33,$D$22,$D$19 = 3)))</f>
        <v>10.649990929225497</v>
      </c>
      <c r="T33" s="1" t="e">
        <f>IF($D$24=3,INDEX('Water Free Energy'!$C$6:$CX$120,MATCH(Calculations!N33,'Water Free Energy'!$B$6:$B$120),MATCH(Calculations!M33/1000,'Water Free Energy'!$C$5:$CX$5)),NA())</f>
        <v>#N/A</v>
      </c>
      <c r="U33" s="179">
        <f>IF($D$27,calculateQ(M33,N33,Q33,$D$20,$D$22,$D$19=3)*10^6,NA())</f>
        <v>2.5438782758316498</v>
      </c>
      <c r="V33"/>
      <c r="W33" s="2">
        <f t="shared" si="5"/>
        <v>10000</v>
      </c>
      <c r="X33" s="1">
        <f t="shared" si="6"/>
        <v>900</v>
      </c>
      <c r="Y33" s="1">
        <f>Results!F35</f>
        <v>0</v>
      </c>
      <c r="Z33" s="1">
        <f>Results!G35</f>
        <v>0</v>
      </c>
      <c r="AA33" s="1">
        <f>Results!H35</f>
        <v>0</v>
      </c>
      <c r="AB33" s="1">
        <f>Results!I35</f>
        <v>0</v>
      </c>
      <c r="AC33" s="1" t="e">
        <f>IF(ISBLANK(Input!$O$4),NA(),'Reaction Information'!$E$5-'Reaction Information'!$G$5*(Calculations!$O33-Calculations!$C$8)+'Reaction Information'!$I$5*(Calculations!$O33-Calculations!$C$8-Calculations!$O33*LN(Calculations!$O33/Calculations!$C$8))+'Reaction Information'!$J$5*0.001/2*(2*Calculations!$O33*Calculations!$C$8-Calculations!$O33^2-Calculations!$C$8^2) + 'Reaction Information'!$K$5*100000*(Calculations!$O33^2 + Calculations!$C$8^2 - 2*Calculations!$O33*Calculations!$C$8)/(2*Calculations!$O33*Calculations!$C$8^2))</f>
        <v>#N/A</v>
      </c>
      <c r="AD33" s="8" t="e">
        <f>IF(ISBLANK(Input!$R$4),NA(),'Reaction Information'!$E$9-'Reaction Information'!$G$9*(Calculations!$O33-Calculations!$C$8)+'Reaction Information'!$I$9*(Calculations!$O33-Calculations!$C$8-Calculations!$O33*LN(Calculations!$O33/Calculations!$C$8))+'Reaction Information'!$J$9*0.001/2*(2*Calculations!$O33*Calculations!$C$8-Calculations!$O33^2-Calculations!$C$8^2) + 'Reaction Information'!$K$9*100000*(Calculations!$O33^2 + Calculations!$C$8^2 - 2*Calculations!$O33*Calculations!$C$8)/(2*Calculations!$O33*Calculations!$C$8^2))</f>
        <v>#N/A</v>
      </c>
      <c r="AE33" s="8">
        <f>IF(AE$5="H2O",IF($D$24=3,IF(T33=0,NA(),T33),calculateGibbsOfWater(M33,N33,$D$24,$D$20,$D$19=3)),NA())</f>
        <v>-77530.778579653474</v>
      </c>
      <c r="AF33" s="8">
        <f>IF(ISBLANK(Input!$X$4),NA(),'Reaction Information'!$E$13-'Reaction Information'!$G$13*(Calculations!O33-Calculations!$C$8)-'Reaction Information'!$N$13*(Calculations!O33*LN(Calculations!O33/Calculations!$C$8)-Calculations!O33+Calculations!$C$8)-'Reaction Information'!$O$13*10^4*(((1/(Calculations!O33-Calculations!$C$13))-(1/(Calculations!$C$8-Calculations!$C$13)))*((Calculations!$C$13-Calculations!O33)/(Calculations!$C$13))-(Calculations!O33/(Calculations!$C$13*Calculations!$C$13))*LN((Calculations!$C$8*(Calculations!O33-Calculations!$C$13))/(Calculations!O33*(Calculations!$C$8-Calculations!$C$13))))+'Reaction Information'!$J$13*10^-1*(Calculations!M33-Calculations!$C$9)+'Reaction Information'!$K$13*10^2*LN((Calculations!$C$12+Calculations!M33)/(Calculations!$C$12+Calculations!$C$9))+(1/(Calculations!O33-Calculations!$C$13))*('Reaction Information'!$L$13*(Calculations!M33-Calculations!$C$9)+'Reaction Information'!$M$13*10^4*LN((Calculations!$C$12+Calculations!M33)/(Calculations!$C$12+Calculations!$C$9)))+calculateOmega(Calculations!M33,Calculations!N33,Calculations!Q33,'Reaction Information'!$C$13,'Reaction Information'!$P$13*10^5,'Reaction Information'!$Q$13)*((1/Calculations!S33)-1)-'Reaction Information'!$P$13*10^5*((1/Calculations!$C$10)-1)+'Reaction Information'!$P$13*10^5*Calculations!$C$14*(Calculations!O33-Calculations!$C$8))</f>
        <v>-125122.52974306274</v>
      </c>
      <c r="AG33" s="8" t="e">
        <f>IF(ISBLANK(Input!$AA$4),NA(),'Reaction Information'!$E$17-'Reaction Information'!$G$17*(Calculations!$O33-Calculations!$C$8)-'Reaction Information'!$N$17*(Calculations!$O33*LN(Calculations!$O33/Calculations!$C$8)-Calculations!$O33+Calculations!$C$8)-'Reaction Information'!$O$17*10^4*(((1/(Calculations!$O33-Calculations!$C$13))-(1/(Calculations!$C$8-Calculations!$C$13)))*((Calculations!$C$13-Calculations!$O33)/(Calculations!$C$13))-(Calculations!$O33/(Calculations!$C$13*Calculations!$C$13))*LN((Calculations!$C$8*(Calculations!$O33-Calculations!$C$13))/(Calculations!$O33*(Calculations!$C$8-Calculations!$C$13))))+'Reaction Information'!$J$17*10^-1*(Calculations!$M33-Calculations!$C$9)+'Reaction Information'!$K$17*10^2*LN((Calculations!$C$12+Calculations!$M33)/(Calculations!$C$12+Calculations!$C$9))+(1/(Calculations!$O33-Calculations!$C$13))*('Reaction Information'!$L$17*(Calculations!$M33-Calculations!$C$9)+'Reaction Information'!$M$17*10^4*LN((Calculations!$C$12+Calculations!$M33)/(Calculations!$C$12+Calculations!$C$9)))+calculateOmega(Calculations!M33,Calculations!N33,Calculations!Q33,'Reaction Information'!$C$17,'Reaction Information'!$P$17*10^5,'Reaction Information'!$Q$17)*((1/Calculations!$S33)-1)-'Reaction Information'!$P$17*10^5*((1/Calculations!$C$10)-1)+'Reaction Information'!$P$17*10^5*Calculations!$C$14*(Calculations!$O33-Calculations!$C$8))</f>
        <v>#N/A</v>
      </c>
      <c r="AH33" s="8" t="e">
        <f>IF(ISBLANK(Input!$AD$4),NA(),'Reaction Information'!$E$21-'Reaction Information'!$G$21*(Calculations!$O33-Calculations!$C$8)-'Reaction Information'!$N$21*(Calculations!$O33*LN(Calculations!$O33/Calculations!$C$8)-Calculations!$O33+Calculations!$C$8)-'Reaction Information'!$O$21*10^4*(((1/(Calculations!$O33-Calculations!$C$13))-(1/(Calculations!$C$8-Calculations!$C$13)))*((Calculations!$C$13-Calculations!$O33)/(Calculations!$C$13))-(Calculations!$O33/(Calculations!$C$13*Calculations!$C$13))*LN((Calculations!$C$8*(Calculations!$O33-Calculations!$C$13))/(Calculations!$O33*(Calculations!$C$8-Calculations!$C$13))))+'Reaction Information'!$J$21*10^-1*(Calculations!$M33-Calculations!$C$9)+'Reaction Information'!$K$21*10^2*LN((Calculations!$C$12+Calculations!$M33)/(Calculations!$C$12+Calculations!$C$9))+(1/(Calculations!$O33-Calculations!$C$13))*('Reaction Information'!$L$21*(Calculations!$M33-Calculations!$C$9)+'Reaction Information'!$M$21*10^4*LN((Calculations!$C$12+Calculations!$M33)/(Calculations!$C$12+Calculations!$C$9)))+calculateOmega(Calculations!M33,Calculations!N33,Calculations!Q33,'Reaction Information'!$C$21,'Reaction Information'!$P$21*10^5,'Reaction Information'!$Q$21)*((1/Calculations!$S33)-1)-'Reaction Information'!$P$21*10^5*((1/Calculations!$C$10)-1)+'Reaction Information'!$P$21*10^5*Calculations!$C$14*(Calculations!$O33-Calculations!$C$8))</f>
        <v>#N/A</v>
      </c>
      <c r="AI33" s="8" t="e">
        <f>IF(ISBLANK(Input!$AG$4),NA(),'Reaction Information'!$E$25-'Reaction Information'!$G$25*(Calculations!$O33-Calculations!$C$8)-'Reaction Information'!$N$25*(Calculations!$O33*LN(Calculations!$O33/Calculations!$C$8)-Calculations!$O33+Calculations!$C$8)-'Reaction Information'!$O$25*10^4*(((1/(Calculations!$O33-Calculations!$C$13))-(1/(Calculations!$C$8-Calculations!$C$13)))*((Calculations!$C$13-Calculations!$O33)/(Calculations!$C$13))-(Calculations!$O33/(Calculations!$C$13*Calculations!$C$13))*LN((Calculations!$C$8*(Calculations!$O33-Calculations!$C$13))/(Calculations!$O33*(Calculations!$C$8-Calculations!$C$13))))+'Reaction Information'!$J$25*10^-1*(Calculations!$M33-Calculations!$C$9)+'Reaction Information'!$K$25*10^2*LN((Calculations!$C$12+Calculations!$M33)/(Calculations!$C$12+Calculations!$C$9))+(1/(Calculations!$O33-Calculations!$C$13))*('Reaction Information'!$L$25*(Calculations!$M33-Calculations!$C$9)+'Reaction Information'!$M$25*10^4*LN((Calculations!$C$12+Calculations!$M33)/(Calculations!$C$12+Calculations!$C$9)))+calculateOmega(Calculations!M33,Calculations!N33,Calculations!Q33,'Reaction Information'!$C$25,'Reaction Information'!$P$25*10^5,'Reaction Information'!$Q$25)*((1/Calculations!$S33)-1)-'Reaction Information'!$P$25*10^5*((1/Calculations!$C$10)-1)+'Reaction Information'!$P$25*10^5*Calculations!$C$14*(Calculations!$O33-Calculations!$C$8))</f>
        <v>#N/A</v>
      </c>
      <c r="AJ33" s="8" t="e">
        <f>IF(ISBLANK(Input!$AJ$4),NA(),'Reaction Information'!$E$29-'Reaction Information'!$G$29*(Calculations!$O33-Calculations!$C$8)-'Reaction Information'!$N$29*(Calculations!$O33*LN(Calculations!$O33/Calculations!$C$8)-Calculations!$O33+Calculations!$C$8)-'Reaction Information'!$O$29*10^4*(((1/(Calculations!$O33-Calculations!$C$13))-(1/(Calculations!$C$8-Calculations!$C$13)))*((Calculations!$C$13-Calculations!$O33)/(Calculations!$C$13))-(Calculations!$O33/(Calculations!$C$13*Calculations!$C$13))*LN((Calculations!$C$8*(Calculations!$O33-Calculations!$C$13))/(Calculations!$O33*(Calculations!$C$8-Calculations!$C$13))))+'Reaction Information'!$J$29*10^-1*(Calculations!$M33-Calculations!$C$9)+'Reaction Information'!$K$29*10^2*LN((Calculations!$C$12+Calculations!$M33)/(Calculations!$C$12+Calculations!$C$9))+(1/(Calculations!$O33-Calculations!$C$13))*('Reaction Information'!$L$29*(Calculations!$M33-Calculations!$C$9)+'Reaction Information'!$M$29*10^4*LN((Calculations!$C$12+Calculations!$M33)/(Calculations!$C$12+Calculations!$C$9)))+calculateOmega(Calculations!M33,Calculations!N33,Calculations!Q33,'Reaction Information'!$C$29,'Reaction Information'!$P$29*10^5,'Reaction Information'!$Q$29)*((1/Calculations!$S33)-1)-'Reaction Information'!$P$29*10^5*((1/Calculations!$C$10)-1)+'Reaction Information'!$P$29*10^5*Calculations!$C$14*(Calculations!$O33-Calculations!$C$8))</f>
        <v>#N/A</v>
      </c>
      <c r="AK33" s="8" t="e">
        <f>IF(ISBLANK(Input!$AM$4),NA(),'Reaction Information'!$E$33-'Reaction Information'!$G$33*(Calculations!$O33-Calculations!$C$8)-'Reaction Information'!$N$33*(Calculations!$O33*LN(Calculations!$O33/Calculations!$C$8)-Calculations!$O33+Calculations!$C$8)-'Reaction Information'!$O$33*10^4*(((1/(Calculations!$O33-Calculations!$C$13))-(1/(Calculations!$C$8-Calculations!$C$13)))*((Calculations!$C$13-Calculations!$O33)/(Calculations!$C$13))-(Calculations!$O33/(Calculations!$C$13*Calculations!$C$13))*LN((Calculations!$C$8*(Calculations!$O33-Calculations!$C$13))/(Calculations!$O33*(Calculations!$C$8-Calculations!$C$13))))+'Reaction Information'!$J$33*10^-1*(Calculations!$M33-Calculations!$C$9)+'Reaction Information'!$K$33*10^2*LN((Calculations!$C$12+Calculations!$M33)/(Calculations!$C$12+Calculations!$C$9))+(1/(Calculations!$O33-Calculations!$C$13))*('Reaction Information'!$L$33*(Calculations!$M33-Calculations!$C$9)+'Reaction Information'!$M$33*10^4*LN((Calculations!$C$12+Calculations!$M33)/(Calculations!$C$12+Calculations!$C$9)))+calculateOmega(Calculations!M33,Calculations!N33,Calculations!Q33,'Reaction Information'!$C$33,'Reaction Information'!$P$33*10^5,'Reaction Information'!$Q$33)*((1/Calculations!$S33)-1)-'Reaction Information'!$P$33*10^5*((1/Calculations!$C$10)-1)+'Reaction Information'!$P$33*10^5*Calculations!$C$14*(Calculations!$O33-Calculations!$C$8))</f>
        <v>#N/A</v>
      </c>
      <c r="AL33" s="1">
        <f>Results!S35</f>
        <v>0</v>
      </c>
      <c r="AM33" s="1">
        <f>Results!T35</f>
        <v>0</v>
      </c>
      <c r="AN33" s="1">
        <f>Results!U35</f>
        <v>0</v>
      </c>
      <c r="AO33" s="1">
        <f>Results!V35</f>
        <v>0</v>
      </c>
      <c r="AP33" s="8" t="e">
        <f>IF(ISBLANK(Input!$BB$4),NA(),'Reaction Information'!$E$38-'Reaction Information'!$G$38*(Calculations!$O33-Calculations!$C$8)+'Reaction Information'!$I$38*(Calculations!$O33-Calculations!$C$8-Calculations!$O33*LN(Calculations!$O33/Calculations!$C$8))+'Reaction Information'!$J$38*0.001/2*(2*Calculations!$O33*Calculations!$C$8-Calculations!$O33^2-Calculations!$C$8^2) + 'Reaction Information'!$K$38*100000*(Calculations!$O33^2 + Calculations!$C$8^2 - 2*Calculations!$O33*Calculations!$C$8)/(2*Calculations!$O33*Calculations!$C$8^2))</f>
        <v>#N/A</v>
      </c>
      <c r="AQ33" s="8" t="e">
        <f>IF(ISBLANK(Input!$BE$4),NA(),'Reaction Information'!$E$42-'Reaction Information'!$G$42*(Calculations!$O33-Calculations!$C$8)+'Reaction Information'!$I$42*(Calculations!$O33-Calculations!$C$8-Calculations!$O33*LN(Calculations!$O33/Calculations!$C$8))+'Reaction Information'!$J$42*0.001/2*(2*Calculations!$O33*Calculations!$C$8-Calculations!$O33^2-Calculations!$C$8^2) + 'Reaction Information'!$K$42*100000*(Calculations!$O33^2 + Calculations!$C$8^2 - 2*Calculations!$O33*Calculations!$C$8)/(2*Calculations!$O33*Calculations!$C$8^2))</f>
        <v>#N/A</v>
      </c>
      <c r="AR33" s="8" t="e">
        <f>IF(AR$5="H2O", IF($D$24=3,IF(T33=0,NA(),T33),calculateGibbsOfWater(M33,N33,$D$24,$D$20,$D$19=3)),NA())</f>
        <v>#N/A</v>
      </c>
      <c r="AS33" s="8">
        <f>IF(ISBLANK(Input!$BK$4),NA(),'Reaction Information'!$E$46-'Reaction Information'!$G$46*(Calculations!O33-Calculations!$C$8)-'Reaction Information'!$N$46*(Calculations!O33*LN(Calculations!O33/Calculations!$C$8)-Calculations!O33+Calculations!$C$8)-'Reaction Information'!$O$46*10^4*(((1/(Calculations!O33-Calculations!$C$13))-(1/(Calculations!$C$8-Calculations!$C$13)))*((Calculations!$C$13-Calculations!O33)/(Calculations!$C$13))-(Calculations!O33/(Calculations!$C$13*Calculations!$C$13))*LN((Calculations!$C$8*(Calculations!O33-Calculations!$C$13))/(Calculations!O33*(Calculations!$C$8-Calculations!$C$13))))+'Reaction Information'!$J$46*10^-1*(Calculations!$M33-Calculations!$C$9)+'Reaction Information'!$K$46*10^2*LN((Calculations!$C$12+Calculations!$M33)/(Calculations!$C$12+Calculations!$C$9))+(1/(Calculations!O33-Calculations!$C$13))*('Reaction Information'!$L$46*(Calculations!$M33-Calculations!$C$9)+'Reaction Information'!$M$46*10^4*LN((Calculations!$C$12+Calculations!$M33)/(Calculations!$C$12+Calculations!$C$9)))+calculateOmega(Calculations!M33,Calculations!N33,Calculations!Q33,'Reaction Information'!$C$46,'Reaction Information'!$P$46*10^5,'Reaction Information'!$Q$46)*((1/Calculations!S33)-1)-'Reaction Information'!$P$46*10^5*((1/Calculations!$C$10)-1)+'Reaction Information'!$P$46*10^5*Calculations!$C$14*(Calculations!O33-Calculations!$C$8))</f>
        <v>0</v>
      </c>
      <c r="AT33" s="8">
        <f>IF(ISBLANK(Input!$BN$4),NA(),'Reaction Information'!$E$50-'Reaction Information'!$G$50*(Calculations!O33-Calculations!$C$8)-'Reaction Information'!$N$50*(Calculations!O33*LN(Calculations!O33/Calculations!$C$8)-Calculations!O33+Calculations!$C$8)-'Reaction Information'!$O$50*10^4*(((1/(Calculations!O33-Calculations!$C$13))-(1/(Calculations!$C$8-Calculations!$C$13)))*((Calculations!$C$13-Calculations!O33)/(Calculations!$C$13))-(Calculations!O33/(Calculations!$C$13*Calculations!$C$13))*LN((Calculations!$C$8*(Calculations!O33-Calculations!$C$13))/(Calculations!O33*(Calculations!$C$8-Calculations!$C$13))))+'Reaction Information'!$J$50*10^-1*(Calculations!$M33-Calculations!$C$9)+'Reaction Information'!$K$50*10^2*LN((Calculations!$C$12+Calculations!$M33)/(Calculations!$C$12+Calculations!$C$9))+(1/(Calculations!O33-Calculations!$C$13))*('Reaction Information'!$L$50*(Calculations!$M33-Calculations!$C$9)+'Reaction Information'!$M$50*10^4*LN((Calculations!$C$12+Calculations!$M33)/(Calculations!$C$12+Calculations!$C$9)))+calculateOmega(Calculations!M33,Calculations!N33,Calculations!Q33,'Reaction Information'!$C$50,'Reaction Information'!$P$50*10^5,'Reaction Information'!$Q$50)*((1/Calculations!S33)-1)-'Reaction Information'!$P$50*10^5*((1/Calculations!$C$10)-1)+'Reaction Information'!$P$50*10^5*Calculations!$C$14*(Calculations!O33-Calculations!$C$8))</f>
        <v>-156273.46875133622</v>
      </c>
      <c r="AU33" s="8" t="e">
        <f>IF(ISBLANK(Input!$BQ$4),NA(),'Reaction Information'!$E$54-'Reaction Information'!$G$54*(Calculations!$O33-Calculations!$C$8)-'Reaction Information'!$N$54*(Calculations!$O33*LN(Calculations!$O33/Calculations!$C$8)-Calculations!$O33+Calculations!$C$8)-'Reaction Information'!$O$54*10^4*(((1/(Calculations!$O33-Calculations!$C$13))-(1/(Calculations!$C$8-Calculations!$C$13)))*((Calculations!$C$13-Calculations!$O33)/(Calculations!$C$13))-(Calculations!$O33/(Calculations!$C$13*Calculations!$C$13))*LN((Calculations!$C$8*(Calculations!$O33-Calculations!$C$13))/(Calculations!$O33*(Calculations!$C$8-Calculations!$C$13))))+'Reaction Information'!$J$54*10^-1*(Calculations!$M33-Calculations!$C$9)+'Reaction Information'!$K$54*10^2*LN((Calculations!$C$12+Calculations!$M33)/(Calculations!$C$12+Calculations!$C$9))+(1/(Calculations!$O33-Calculations!$C$13))*('Reaction Information'!$L$54*(Calculations!$M33-Calculations!$C$9)+'Reaction Information'!$M$54*10^4*LN((Calculations!$C$12+Calculations!$M33)/(Calculations!$C$12+Calculations!$C$9)))+calculateOmega(Calculations!M33,Calculations!N33,Calculations!Q33,'Reaction Information'!$C$54,'Reaction Information'!$P$54*10^5,'Reaction Information'!$Q$54)*((1/Calculations!$S33)-1)-'Reaction Information'!$P$54*10^5*((1/Calculations!$C$10)-1)+'Reaction Information'!$P$54*10^5*Calculations!$C$14*(Calculations!$O33-Calculations!$C$8))</f>
        <v>#N/A</v>
      </c>
      <c r="AV33" s="8" t="e">
        <f>IF(ISBLANK(Input!$BT$4),NA(),'Reaction Information'!$E$58-'Reaction Information'!$G$58*(Calculations!$O33-Calculations!$C$8)-'Reaction Information'!$N$58*(Calculations!$O33*LN(Calculations!$O33/Calculations!$C$8)-Calculations!$O33+Calculations!$C$8)-'Reaction Information'!$O$58*10^4*(((1/(Calculations!$O33-Calculations!$C$13))-(1/(Calculations!$C$8-Calculations!$C$13)))*((Calculations!$C$13-Calculations!$O33)/(Calculations!$C$13))-(Calculations!$O33/(Calculations!$C$13*Calculations!$C$13))*LN((Calculations!$C$8*(Calculations!$O33-Calculations!$C$13))/(Calculations!$O33*(Calculations!$C$8-Calculations!$C$13))))+'Reaction Information'!$J$58*10^-1*(Calculations!$M33-Calculations!$C$9)+'Reaction Information'!$K$58*10^2*LN((Calculations!$C$12+Calculations!$M33)/(Calculations!$C$12+Calculations!$C$9))+(1/(Calculations!$O33-Calculations!$C$13))*('Reaction Information'!$L$58*(Calculations!$M33-Calculations!$C$9)+'Reaction Information'!$M$58*10^4*LN((Calculations!$C$12+Calculations!$M33)/(Calculations!$C$12+Calculations!$C$9)))+calculateOmega(Calculations!M33,Calculations!N33,Calculations!Q33,'Reaction Information'!$C$58,'Reaction Information'!$P$58*10^5,'Reaction Information'!$Q$58)*((1/Calculations!$S33)-1)-'Reaction Information'!$P$58*10^5*((1/Calculations!$C$10)-1)+'Reaction Information'!$P$58*10^5*Calculations!$C$14*(Calculations!$O33-Calculations!$C$8))</f>
        <v>#N/A</v>
      </c>
      <c r="AW33" s="8" t="e">
        <f>IF(ISBLANK(Input!$BW$4),NA(),'Reaction Information'!$E$62-'Reaction Information'!$G$62*(Calculations!$O33-Calculations!$C$8)-'Reaction Information'!$N$62*(Calculations!$O33*LN(Calculations!$O33/Calculations!$C$8)-Calculations!$O33+Calculations!$C$8)-'Reaction Information'!$O$62*10^4*(((1/(Calculations!$O33-Calculations!$C$13))-(1/(Calculations!$C$8-Calculations!$C$13)))*((Calculations!$C$13-Calculations!$O33)/(Calculations!$C$13))-(Calculations!$O33/(Calculations!$C$13*Calculations!$C$13))*LN((Calculations!$C$8*(Calculations!$O33-Calculations!$C$13))/(Calculations!$O33*(Calculations!$C$8-Calculations!$C$13))))+'Reaction Information'!$J$62*10^-1*(Calculations!$M33-Calculations!$C$9)+'Reaction Information'!$K$62*10^2*LN((Calculations!$C$12+Calculations!$M33)/(Calculations!$C$12+Calculations!$C$9))+(1/(Calculations!$O33-Calculations!$C$13))*('Reaction Information'!$L$62*(Calculations!$M33-Calculations!$C$9)+'Reaction Information'!$M$62*10^4*LN((Calculations!$C$12+Calculations!$M33)/(Calculations!$C$12+Calculations!$C$9)))+calculateOmega(Calculations!M33,Calculations!N33,Calculations!Q33,'Reaction Information'!$C$62,'Reaction Information'!$P$62*10^5,'Reaction Information'!$Q$62)*((1/Calculations!$S33)-1)-'Reaction Information'!$P$62*10^5*((1/Calculations!$C$10)-1)+'Reaction Information'!$P$62*10^5*Calculations!$C$14*(Calculations!$O33-Calculations!$C$8))</f>
        <v>#N/A</v>
      </c>
      <c r="AX33" s="8" t="e">
        <f>IF(ISBLANK(Input!$BZ$4),NA(),'Reaction Information'!$E$66-'Reaction Information'!$G$66*(Calculations!$O33-Calculations!$C$8)-'Reaction Information'!$N$66*(Calculations!$O33*LN(Calculations!$O33/Calculations!$C$8)-Calculations!$O33+Calculations!$C$8)-'Reaction Information'!$O$66*10^4*(((1/(Calculations!$O33-Calculations!$C$13))-(1/(Calculations!$C$8-Calculations!$C$13)))*((Calculations!$C$13-Calculations!$O33)/(Calculations!$C$13))-(Calculations!$O33/(Calculations!$C$13*Calculations!$C$13))*LN((Calculations!$C$8*(Calculations!$O33-Calculations!$C$13))/(Calculations!$O33*(Calculations!$C$8-Calculations!$C$13))))+'Reaction Information'!$J$66*10^-1*(Calculations!$M33-Calculations!$C$9)+'Reaction Information'!$K$66*10^2*LN((Calculations!$C$12+Calculations!$M33)/(Calculations!$C$12+Calculations!$C$9))+(1/(Calculations!$O33-Calculations!$C$13))*('Reaction Information'!$L$66*(Calculations!$M33-Calculations!$C$9)+'Reaction Information'!$M$66*10^4*LN((Calculations!$C$12+Calculations!$M33)/(Calculations!$C$12+Calculations!$C$9)))+calculateOmega(Calculations!M33,Calculations!N33,Calculations!Q33,'Reaction Information'!$C$66,'Reaction Information'!$P$66*10^5,'Reaction Information'!$Q$66)*((1/Calculations!$S33)-1)-'Reaction Information'!$P$66*10^5*((1/Calculations!$C$10)-1)+'Reaction Information'!$P$66*10^5*Calculations!$C$14*(Calculations!$O33-Calculations!$C$8))</f>
        <v>#N/A</v>
      </c>
      <c r="AY33" s="31">
        <f>(AL33*Input!$AO$4+AM33*Input!$AR$4+AN33*Input!$AU$4+AO33*Input!$AX$4+IF(ISNA(AP33),0,AP33*Input!$BA$4)+IF(ISNA(AQ33),0,AQ33*Input!$BD$4)+IF(ISNA(AR33),0,AR33*Input!$BG$4)+IF(ISNA(AS33),0,AS33*Input!$BJ$4)+IF(ISNA(AT33),0,AT33*Input!$BM$4)+IF(ISNA(AU33),0,AU33*Input!$BP$4)+IF(ISNA(AV33),0,AV33*Input!$BS$4)+IF(ISNA(AW33),0,AW33*Input!$BV$4)+IF(ISNA(AX33),0,AX33*Input!$BY$4))-(Y33*Input!$B$4+Z33*Input!$E$4+AA33*Input!$H$4+AB33*Input!$K$4+IF(ISNA(AC33),0,AC33*Input!$N$4)+IF(ISNA(AD33),0,AD33*Input!$Q$4)+IF(ISNA(AE33),0,AE33*Input!$T$4)+IF(ISNA(AF33),0,AF33*Input!$W$4)+IF(ISNA(AG33),0,AG33*Input!$Z$4)+IF(ISNA(AH33),0,AH33*Input!$AC$4)+IF(ISNA(AI33),0,AI33*Input!$AF$4)+IF(ISNA(AJ33),0,AJ33*Input!$AI$4)+IF(ISNA(AK33),0,AK33*Input!$AL$4))</f>
        <v>46379.839571379998</v>
      </c>
      <c r="AZ33" s="42">
        <f t="shared" si="7"/>
        <v>-8.6458474947994084</v>
      </c>
      <c r="BA33" s="1">
        <f t="shared" si="8"/>
        <v>900</v>
      </c>
      <c r="BB33" s="46">
        <f t="shared" si="9"/>
        <v>10000</v>
      </c>
      <c r="BC33" s="1"/>
      <c r="BD33" s="2">
        <f t="shared" si="10"/>
        <v>10000</v>
      </c>
      <c r="BE33" s="46">
        <f t="shared" si="11"/>
        <v>900</v>
      </c>
      <c r="BF33" s="1">
        <f>Results!AJ35</f>
        <v>0</v>
      </c>
      <c r="BG33" s="1">
        <f>Results!AK35</f>
        <v>0</v>
      </c>
      <c r="BH33" s="1">
        <f>Results!AL35</f>
        <v>0</v>
      </c>
      <c r="BI33" s="1">
        <f>Results!AM35</f>
        <v>0</v>
      </c>
      <c r="BJ33" s="1" t="e">
        <f>IF(OR(ISNA('Reaction Information'!$D$5), $N33 = "", $D$27 = FALSE, 'Reaction Information'!$D$5 = ""), NA(), 24.465)</f>
        <v>#N/A</v>
      </c>
      <c r="BK33" s="1" t="e">
        <f>IF(OR(ISNA('Reaction Information'!$D$9), $N33 = "", $D$27 = FALSE, 'Reaction Information'!$D$9 = ""), NA(), 24.465)</f>
        <v>#N/A</v>
      </c>
      <c r="BL33" s="8">
        <f t="shared" si="0"/>
        <v>21.576315534675199</v>
      </c>
      <c r="BM33" s="8">
        <f>IF(OR(ISBLANK(Input!$X$4),$D$27=FALSE),NA(),('Reaction Information'!$J$13/10+'Reaction Information'!$K$13*100/(Calculations!$C$12+Calculations!$M33)+('Reaction Information'!$L$13+'Reaction Information'!$M$13*10^4/(Calculations!$C$12+Calculations!$M33))/(Calculations!$O33-Calculations!$C$13) -calculateOmega(Calculations!$M33,Calculations!$N33,Calculations!$Q33,'Reaction Information'!$C$13,'Reaction Information'!$P$13*10^5,'Reaction Information'!$Q$13)*Calculations!$U33*10^-6 + (1/$S33 - 1)*calculate_domegadP(Calculations!$M33,Calculations!$N33,Calculations!$Q33,'Reaction Information'!$C$13,'Reaction Information'!$P$13*10^5,'Reaction Information'!$Q$13,$D$20,$D$19=3))*41.84)</f>
        <v>38.453123642589951</v>
      </c>
      <c r="BN33" s="8" t="e">
        <f>IF(OR(ISBLANK(Input!$AA$4),$D$27=FALSE),NA(),('Reaction Information'!$J$17/10+'Reaction Information'!$K$17*100/(Calculations!$C$12+Calculations!$M33)+('Reaction Information'!$L$17+'Reaction Information'!$M$17*10000/(Calculations!$C$12+Calculations!$M33))/(Calculations!$O33-Calculations!$C$13)-calculateOmega(Calculations!M33,Calculations!N33,Calculations!Q33,'Reaction Information'!$C$17,'Reaction Information'!$P$17*10^5,'Reaction Information'!$Q$17)*Calculations!$U33*10^-6 + (1/$S33 - 1)*calculate_domegadP(Calculations!M33,Calculations!N33,Calculations!Q33,'Reaction Information'!$C$17,'Reaction Information'!$P$17*10^5,'Reaction Information'!$Q$17,$D$20,$D$19=3))*41.84)</f>
        <v>#N/A</v>
      </c>
      <c r="BO33" s="8" t="e">
        <f>IF(OR(ISBLANK(Input!$AD$4),$D$27=FALSE),NA(),('Reaction Information'!$J$21/10+'Reaction Information'!$K$21*100/(Calculations!$C$12+Calculations!$M33)+('Reaction Information'!$L$21+'Reaction Information'!$M$21*10000/(Calculations!$C$12+Calculations!$M33))/(Calculations!$O33-Calculations!$C$13)-calculateOmega(Calculations!M33,Calculations!N33,Calculations!Q33,'Reaction Information'!$C$21,'Reaction Information'!$P$21*10^5,'Reaction Information'!$Q$21)*Calculations!$U33*10^-6 + (1/$S33 - 1)*calculate_domegadP(Calculations!M33,Calculations!N33,Calculations!Q33,'Reaction Information'!$C$21,'Reaction Information'!$P$21*10^5,'Reaction Information'!$Q$21,$D$20,$D$19=3))*41.84)</f>
        <v>#N/A</v>
      </c>
      <c r="BP33" s="8" t="e">
        <f>IF(OR(ISBLANK(Input!$AG$4),$D$27=FALSE),NA(),('Reaction Information'!$J$25/10+'Reaction Information'!$K$25*100/(Calculations!$C$12+Calculations!$M33)+('Reaction Information'!$L$25+'Reaction Information'!$M$25*10000/(Calculations!$C$12+Calculations!$M33))/(Calculations!$O33-Calculations!$C$13)-calculateOmega(Calculations!M33,Calculations!N33,Calculations!Q33,'Reaction Information'!$C$25,'Reaction Information'!$P$25*10^5,'Reaction Information'!$Q$25)*Calculations!$U33*10^-6 + (1/$S33 - 1)*calculate_domegadP(Calculations!M33,Calculations!N33,Calculations!Q33,'Reaction Information'!$C$25,'Reaction Information'!$P$25*10^5,'Reaction Information'!$Q$25,$D$20,$D$19=3))*41.84)</f>
        <v>#N/A</v>
      </c>
      <c r="BQ33" s="8" t="e">
        <f>IF(OR(ISBLANK(Input!$AJ$4),$D$27=FALSE),NA(),('Reaction Information'!$J$29/10+'Reaction Information'!$K$29*100/(Calculations!$C$12+Calculations!$M33)+('Reaction Information'!$L$29+'Reaction Information'!$M$29*10000/(Calculations!$C$12+Calculations!$M33))/(Calculations!$O33-Calculations!$C$13)-calculateOmega(Calculations!M33,Calculations!N33,Calculations!Q33,'Reaction Information'!$C$29,'Reaction Information'!$P$29*10^5,'Reaction Information'!$Q$29)*Calculations!$U33*10^-6 + (1/$S33 - 1)*calculate_domegadP(Calculations!M33,Calculations!N33,Calculations!Q33,'Reaction Information'!$C$29,'Reaction Information'!$P$29*10^5,'Reaction Information'!$Q$29,$D$20,$D$19=3))*41.84)</f>
        <v>#N/A</v>
      </c>
      <c r="BR33" s="8" t="e">
        <f>IF(OR(ISBLANK(Input!$AM$4),$D$27=FALSE),NA(),('Reaction Information'!$J$33/10+'Reaction Information'!$K$33*100/(Calculations!$C$12+Calculations!$M33)+('Reaction Information'!$L$33+'Reaction Information'!$M$33*10000/(Calculations!$C$12+Calculations!$M33))/(Calculations!$O33-Calculations!$C$13)-calculateOmega(Calculations!M33,Calculations!N33,Calculations!Q33,'Reaction Information'!$C$33,'Reaction Information'!$P$33*10^5,'Reaction Information'!$Q$33)*Calculations!$U33*10^-6 + (1/$S33 - 1)*calculate_domegadP(Calculations!M33,Calculations!N33,Calculations!Q33,'Reaction Information'!$C$33,'Reaction Information'!$P$33*10^5,'Reaction Information'!$Q$33,$D$20,$D$19=3))*41.84)</f>
        <v>#N/A</v>
      </c>
      <c r="BS33" s="1">
        <f>Results!AW35</f>
        <v>0</v>
      </c>
      <c r="BT33" s="1">
        <f>Results!AX35</f>
        <v>0</v>
      </c>
      <c r="BU33" s="1">
        <f>Results!AY35</f>
        <v>0</v>
      </c>
      <c r="BV33" s="1">
        <f>Results!AZ35</f>
        <v>0</v>
      </c>
      <c r="BW33" s="1" t="e">
        <f>IF(OR(ISNA('Reaction Information'!$D$38), $N33 = "", $D$27 = FALSE, 'Reaction Information'!$D$38 = ""), NA(), 24.465)</f>
        <v>#N/A</v>
      </c>
      <c r="BX33" s="1" t="e">
        <f>IF(OR(ISNA('Reaction Information'!$D$42), $N33 = "", $D$27 = FALSE, 'Reaction Information'!$D$42 = ""), NA(), 24.465)</f>
        <v>#N/A</v>
      </c>
      <c r="BY33" s="8" t="e">
        <f t="shared" si="1"/>
        <v>#N/A</v>
      </c>
      <c r="BZ33" s="8">
        <f>IF(OR(ISBLANK(Input!$BK$4),$D$27=FALSE),NA(),('Reaction Information'!$J$46/10+'Reaction Information'!$K$46*100/(Calculations!$C$12+Calculations!$M33)+('Reaction Information'!$L$46+'Reaction Information'!$M$46*10000/(Calculations!$C$12+Calculations!$M33))/(Calculations!$O33-Calculations!$C$13)-calculateOmega(Calculations!M33,Calculations!N33,Calculations!Q33,'Reaction Information'!$C$46,'Reaction Information'!$P$46*10^5,'Reaction Information'!$Q$46)*Calculations!$U33*10^-6 + (1/$S33 - 1)*calculate_domegadP(Calculations!M33,Calculations!N33,Calculations!Q33,'Reaction Information'!$C$46,'Reaction Information'!$P$46*10^5,'Reaction Information'!$Q$46,$D$20,$D$19=3))*41.84)</f>
        <v>0</v>
      </c>
      <c r="CA33" s="8">
        <f>IF(OR(ISBLANK(Input!$BN$4),$D$27=FALSE),NA(),('Reaction Information'!$J$50/10+'Reaction Information'!$K$50*100/(Calculations!$C$12+Calculations!$M33)+('Reaction Information'!$L$50+'Reaction Information'!$M$50*10000/(Calculations!$C$12+Calculations!$M33))/(Calculations!$O33-Calculations!$C$13)-calculateOmega(Calculations!M33,Calculations!N33,Calculations!Q33,'Reaction Information'!$C$50,'Reaction Information'!$P$50*10^5,'Reaction Information'!$Q$50)*Calculations!$U33*10^-6 + (1/$S33 - 1)*calculate_domegadP(Calculations!M33,Calculations!N33,Calculations!Q33,'Reaction Information'!$C$50,'Reaction Information'!$P$50*10^5,'Reaction Information'!$Q$50,$D$20,$D$19=3))*41.84)</f>
        <v>18.68810408687796</v>
      </c>
      <c r="CB33" s="8" t="e">
        <f>IF(OR(ISBLANK(Input!$BQ$4),$D$27=FALSE),NA(),('Reaction Information'!$J$54/10+'Reaction Information'!$K$54*100/(Calculations!$C$12+Calculations!$M33)+('Reaction Information'!$L$54+'Reaction Information'!$M$54*10000/(Calculations!$C$12+Calculations!$M33))/(Calculations!$O33-Calculations!$C$13)-calculateOmega(Calculations!M33,Calculations!N33,Calculations!Q33,'Reaction Information'!$C$54,'Reaction Information'!$P$54*10^5,'Reaction Information'!$Q$54)*Calculations!$U33*10^-6 + (1/$S33 - 1)*calculate_domegadP(Calculations!M33,Calculations!N33,Calculations!Q33,'Reaction Information'!$C$54,'Reaction Information'!$P$54*10^5,'Reaction Information'!$Q$54,$D$20,$D$19=3))*41.84)</f>
        <v>#N/A</v>
      </c>
      <c r="CC33" s="8" t="e">
        <f>IF(OR(ISBLANK(Input!$BT$4),$D$27=FALSE),NA(),('Reaction Information'!$J$58/10+'Reaction Information'!$K$58*100/(Calculations!$C$12+Calculations!$M33)+('Reaction Information'!$L$58+'Reaction Information'!$M$58*10000/(Calculations!$C$12+Calculations!$M33))/(Calculations!$O33-Calculations!$C$13)-calculateOmega(Calculations!M33,Calculations!N33,Calculations!Q33,'Reaction Information'!$C$58,'Reaction Information'!$P$58*10^5,'Reaction Information'!$Q$58)*Calculations!$U33*10^-6 + (1/$S33 - 1)*calculate_domegadP(Calculations!M33,Calculations!N33,Calculations!Q33,'Reaction Information'!$C$58,'Reaction Information'!$P$58*10^5,'Reaction Information'!$Q$58,$D$20,$D$19=3))*41.84)</f>
        <v>#N/A</v>
      </c>
      <c r="CD33" s="8" t="e">
        <f>IF(OR(ISBLANK(Input!$BW$4),$D$27=FALSE),NA(),('Reaction Information'!$J$62/10+'Reaction Information'!$K$62*100/(Calculations!$C$12+Calculations!$M33)+('Reaction Information'!$L$62+'Reaction Information'!$M$62*10000/(Calculations!$C$12+Calculations!$M33))/(Calculations!$O33-Calculations!$C$13)-calculateOmega(Calculations!M33,Calculations!N33,Calculations!Q33,'Reaction Information'!$C$62,'Reaction Information'!$P$62*10^5,'Reaction Information'!$Q$62)*Calculations!$U33*10^-6 + (1/$S33 - 1)*calculate_domegadP(Calculations!M33,Calculations!N33,Calculations!Q33,'Reaction Information'!$C$62,'Reaction Information'!$P$62*10^5,'Reaction Information'!$Q$62,$D$20,$D$19=3))*41.84)</f>
        <v>#N/A</v>
      </c>
      <c r="CE33" s="8" t="e">
        <f>IF(OR(ISBLANK(Input!$BZ$4),$D$27=FALSE),NA(),('Reaction Information'!$J$66/10+'Reaction Information'!$K$66*100/(Calculations!$C$12+Calculations!$M33)+('Reaction Information'!$L$66+'Reaction Information'!$M$66*10000/(Calculations!$C$12+Calculations!$M33))/(Calculations!$O33-Calculations!$C$13)-calculateOmega(Calculations!M33,Calculations!N33,Calculations!Q33,'Reaction Information'!$C$66,'Reaction Information'!$P$66*10^5,'Reaction Information'!$Q$66)*Calculations!$U33*10^-6 + (1/$S33 - 1)*calculate_domegadP(Calculations!M33,Calculations!N33,Calculations!Q33,'Reaction Information'!$C$66,'Reaction Information'!$P$66*10^5,'Reaction Information'!$Q$66,$D$20,$D$19=3))*41.84)</f>
        <v>#N/A</v>
      </c>
      <c r="CF33" s="31">
        <f>(BS33*Input!$AO$4+BT33*Input!$AR$4+BU33*Input!$AU$4+BV33*Input!$AX$4+IF(ISNA(BW33),0,BW33*Input!$BA$4)+IF(ISNA(BX33),0,BX33*Input!$BD$4)+IF(ISNA(BY33),0,BY33*Input!$BG$4)+IF(ISNA(BZ33),0,BZ33*Input!$BJ$4)+IF(ISNA(CA33),0,CA33*Input!$BM$4)+IF(ISNA(CB33),0,CB33*Input!$BP$4)+IF(ISNA(CC33),0,CC33*Input!$BS$4)+IF(ISNA(CD33),0,CD33*Input!$BV$4)+IF(ISNA(CE33),0,CE33*Input!$BY$4))-(BF33*Input!$B$4+BG33*Input!$E$4+BH33*Input!$H$4+BI33*Input!$K$4+IF(ISNA(BJ33),0,BJ33*Input!$N$4)+IF(ISNA(BK33),0,BK33*Input!$Q$4)+IF(ISNA(BL33),0,BL33*Input!$T$4)+IF(ISNA(BM33),0,BM33*Input!$W$4)+IF(ISNA(BN33),0,BN33*Input!$Z$4)+IF(ISNA(BO33),0,BO33*Input!$AC$4)+IF(ISNA(BP33),0,BP33*Input!$AF$4)+IF(ISNA(BQ33),0,BQ33*Input!$AI$4)+IF(ISNA(BR33),0,BR33*Input!$AL$4))</f>
        <v>-41.34133509038719</v>
      </c>
      <c r="CG33" s="1">
        <f t="shared" si="12"/>
        <v>900</v>
      </c>
      <c r="CH33" s="46">
        <f t="shared" si="13"/>
        <v>10000</v>
      </c>
      <c r="CI33" s="1"/>
    </row>
    <row r="34" spans="1:87" ht="15" customHeight="1" x14ac:dyDescent="0.2">
      <c r="A34" s="1"/>
      <c r="B34" s="259" t="s">
        <v>585</v>
      </c>
      <c r="C34" s="259"/>
      <c r="D34" s="259"/>
      <c r="E34" s="1"/>
      <c r="F34" s="2">
        <v>29</v>
      </c>
      <c r="G34" s="1" t="str">
        <f>IF(ISBLANK(Input!CB34), "", Input!CB34*1000)</f>
        <v/>
      </c>
      <c r="H34" s="1" t="str">
        <f>IF(ISBLANK(Input!CC34), "", Input!CC34)</f>
        <v/>
      </c>
      <c r="I34" s="1">
        <f>IF(Input!$CF$5 + Input!$CF$6*(FLOOR((Calculations!$F34-1)/(FLOOR((Input!$CF$12-Input!$CF$10)/Input!$CF$11,1)+1),1)) &gt; Input!$CF$7, "", (Input!$CF$5 + Input!$CF$6*(FLOOR((Calculations!$F34-1)/(FLOOR((Input!$CF$12-Input!$CF$10)/Input!$CF$11,1)+1),1)))*1000)</f>
        <v>10000</v>
      </c>
      <c r="J34" s="1">
        <f>IF(Calculations!I34 = "", "", Input!$CF$10 + Input!$CF$11*(Calculations!$F34-1) - (FLOOR((Input!$CF$12-Input!$CF$10)/Input!$CF$11,1)+1)*Input!$CF$11*FLOOR((Calculations!$F34-1)/(FLOOR((Input!$CF$12-Input!$CF$10)/Input!$CF$11,1)+1),1))</f>
        <v>950</v>
      </c>
      <c r="K34" s="8" t="str">
        <f t="shared" si="14"/>
        <v/>
      </c>
      <c r="L34" s="117" t="str">
        <f>IF(OR(Input!$CJ$5 + Input!$CJ$6*(Calculations!F34-1) &gt; Input!$CJ$7, Input!$CJ$5 + Input!$CJ$6*(Calculations!F34-1) &gt; 350), "", Input!$CJ$5 + Input!$CJ$6*(Calculations!F34-1))</f>
        <v/>
      </c>
      <c r="M34" s="1">
        <f t="shared" si="2"/>
        <v>10000</v>
      </c>
      <c r="N34" s="1">
        <f t="shared" si="3"/>
        <v>950</v>
      </c>
      <c r="O34" s="1">
        <f t="shared" si="4"/>
        <v>1223.1500000000001</v>
      </c>
      <c r="P34" s="1" t="e">
        <f>IF(OR($D$20=3,AND($D$21=TRUE,M34&lt;1000)),INDEX('Water Density'!$C$6:$CX$120,MATCH(Calculations!N34,'Water Density'!$B$6:$B$120),MATCH(Calculations!M34/1000,'Water Density'!$C$5:$CX$5)),NA())</f>
        <v>#N/A</v>
      </c>
      <c r="Q34" s="182">
        <f>IF(OR($D$20=3,AND($D$21=TRUE,M34&lt;1000)), IF(P34&lt;&gt;0,P34,NA()), calculateDensity(M34,N34,$D$20,0.01,$D$19 = 3))</f>
        <v>0.81630665011405945</v>
      </c>
      <c r="R34" s="1" t="e">
        <f>IF($D$22=5,INDEX('Dielectric Constant'!$C$6:$CX$120,MATCH(Calculations!N34,'Dielectric Constant'!$B$6:$B$120),MATCH(Calculations!M34/1000,'Dielectric Constant'!$C$5:$CX$5)),NA())</f>
        <v>#N/A</v>
      </c>
      <c r="S34" s="58">
        <f>IF($D$22=5, IF(R34&lt;&gt;0,R34,NA()), IF(AND($D$23,M34&lt;=5000,$D$19 &lt;&gt; 3),calculateEpsilon(Q34,N34,1,FALSE),calculateEpsilon(Q34,N34,$D$22,$D$19 = 3)))</f>
        <v>9.7624166742697032</v>
      </c>
      <c r="T34" s="1" t="e">
        <f>IF($D$24=3,INDEX('Water Free Energy'!$C$6:$CX$120,MATCH(Calculations!N34,'Water Free Energy'!$B$6:$B$120),MATCH(Calculations!M34/1000,'Water Free Energy'!$C$5:$CX$5)),NA())</f>
        <v>#N/A</v>
      </c>
      <c r="U34" s="179">
        <f>IF($D$27,calculateQ(M34,N34,Q34,$D$20,$D$22,$D$19=3)*10^6,NA())</f>
        <v>2.8278463479242459</v>
      </c>
      <c r="V34"/>
      <c r="W34" s="2">
        <f t="shared" si="5"/>
        <v>10000</v>
      </c>
      <c r="X34" s="1">
        <f t="shared" si="6"/>
        <v>950</v>
      </c>
      <c r="Y34" s="1">
        <f>Results!F36</f>
        <v>0</v>
      </c>
      <c r="Z34" s="1">
        <f>Results!G36</f>
        <v>0</v>
      </c>
      <c r="AA34" s="1">
        <f>Results!H36</f>
        <v>0</v>
      </c>
      <c r="AB34" s="1">
        <f>Results!I36</f>
        <v>0</v>
      </c>
      <c r="AC34" s="1" t="e">
        <f>IF(ISBLANK(Input!$O$4),NA(),'Reaction Information'!$E$5-'Reaction Information'!$G$5*(Calculations!$O34-Calculations!$C$8)+'Reaction Information'!$I$5*(Calculations!$O34-Calculations!$C$8-Calculations!$O34*LN(Calculations!$O34/Calculations!$C$8))+'Reaction Information'!$J$5*0.001/2*(2*Calculations!$O34*Calculations!$C$8-Calculations!$O34^2-Calculations!$C$8^2) + 'Reaction Information'!$K$5*100000*(Calculations!$O34^2 + Calculations!$C$8^2 - 2*Calculations!$O34*Calculations!$C$8)/(2*Calculations!$O34*Calculations!$C$8^2))</f>
        <v>#N/A</v>
      </c>
      <c r="AD34" s="8" t="e">
        <f>IF(ISBLANK(Input!$R$4),NA(),'Reaction Information'!$E$9-'Reaction Information'!$G$9*(Calculations!$O34-Calculations!$C$8)+'Reaction Information'!$I$9*(Calculations!$O34-Calculations!$C$8-Calculations!$O34*LN(Calculations!$O34/Calculations!$C$8))+'Reaction Information'!$J$9*0.001/2*(2*Calculations!$O34*Calculations!$C$8-Calculations!$O34^2-Calculations!$C$8^2) + 'Reaction Information'!$K$9*100000*(Calculations!$O34^2 + Calculations!$C$8^2 - 2*Calculations!$O34*Calculations!$C$8)/(2*Calculations!$O34*Calculations!$C$8^2))</f>
        <v>#N/A</v>
      </c>
      <c r="AE34" s="8">
        <f>IF(AE$5="H2O",IF($D$24=3,IF(T34=0,NA(),T34),calculateGibbsOfWater(M34,N34,$D$24,$D$20,$D$19=3)),NA())</f>
        <v>-79363.062662456505</v>
      </c>
      <c r="AF34" s="8">
        <f>IF(ISBLANK(Input!$X$4),NA(),'Reaction Information'!$E$13-'Reaction Information'!$G$13*(Calculations!O34-Calculations!$C$8)-'Reaction Information'!$N$13*(Calculations!O34*LN(Calculations!O34/Calculations!$C$8)-Calculations!O34+Calculations!$C$8)-'Reaction Information'!$O$13*10^4*(((1/(Calculations!O34-Calculations!$C$13))-(1/(Calculations!$C$8-Calculations!$C$13)))*((Calculations!$C$13-Calculations!O34)/(Calculations!$C$13))-(Calculations!O34/(Calculations!$C$13*Calculations!$C$13))*LN((Calculations!$C$8*(Calculations!O34-Calculations!$C$13))/(Calculations!O34*(Calculations!$C$8-Calculations!$C$13))))+'Reaction Information'!$J$13*10^-1*(Calculations!M34-Calculations!$C$9)+'Reaction Information'!$K$13*10^2*LN((Calculations!$C$12+Calculations!M34)/(Calculations!$C$12+Calculations!$C$9))+(1/(Calculations!O34-Calculations!$C$13))*('Reaction Information'!$L$13*(Calculations!M34-Calculations!$C$9)+'Reaction Information'!$M$13*10^4*LN((Calculations!$C$12+Calculations!M34)/(Calculations!$C$12+Calculations!$C$9)))+calculateOmega(Calculations!M34,Calculations!N34,Calculations!Q34,'Reaction Information'!$C$13,'Reaction Information'!$P$13*10^5,'Reaction Information'!$Q$13)*((1/Calculations!S34)-1)-'Reaction Information'!$P$13*10^5*((1/Calculations!$C$10)-1)+'Reaction Information'!$P$13*10^5*Calculations!$C$14*(Calculations!O34-Calculations!$C$8))</f>
        <v>-127974.70758852227</v>
      </c>
      <c r="AG34" s="8" t="e">
        <f>IF(ISBLANK(Input!$AA$4),NA(),'Reaction Information'!$E$17-'Reaction Information'!$G$17*(Calculations!$O34-Calculations!$C$8)-'Reaction Information'!$N$17*(Calculations!$O34*LN(Calculations!$O34/Calculations!$C$8)-Calculations!$O34+Calculations!$C$8)-'Reaction Information'!$O$17*10^4*(((1/(Calculations!$O34-Calculations!$C$13))-(1/(Calculations!$C$8-Calculations!$C$13)))*((Calculations!$C$13-Calculations!$O34)/(Calculations!$C$13))-(Calculations!$O34/(Calculations!$C$13*Calculations!$C$13))*LN((Calculations!$C$8*(Calculations!$O34-Calculations!$C$13))/(Calculations!$O34*(Calculations!$C$8-Calculations!$C$13))))+'Reaction Information'!$J$17*10^-1*(Calculations!$M34-Calculations!$C$9)+'Reaction Information'!$K$17*10^2*LN((Calculations!$C$12+Calculations!$M34)/(Calculations!$C$12+Calculations!$C$9))+(1/(Calculations!$O34-Calculations!$C$13))*('Reaction Information'!$L$17*(Calculations!$M34-Calculations!$C$9)+'Reaction Information'!$M$17*10^4*LN((Calculations!$C$12+Calculations!$M34)/(Calculations!$C$12+Calculations!$C$9)))+calculateOmega(Calculations!M34,Calculations!N34,Calculations!Q34,'Reaction Information'!$C$17,'Reaction Information'!$P$17*10^5,'Reaction Information'!$Q$17)*((1/Calculations!$S34)-1)-'Reaction Information'!$P$17*10^5*((1/Calculations!$C$10)-1)+'Reaction Information'!$P$17*10^5*Calculations!$C$14*(Calculations!$O34-Calculations!$C$8))</f>
        <v>#N/A</v>
      </c>
      <c r="AH34" s="8" t="e">
        <f>IF(ISBLANK(Input!$AD$4),NA(),'Reaction Information'!$E$21-'Reaction Information'!$G$21*(Calculations!$O34-Calculations!$C$8)-'Reaction Information'!$N$21*(Calculations!$O34*LN(Calculations!$O34/Calculations!$C$8)-Calculations!$O34+Calculations!$C$8)-'Reaction Information'!$O$21*10^4*(((1/(Calculations!$O34-Calculations!$C$13))-(1/(Calculations!$C$8-Calculations!$C$13)))*((Calculations!$C$13-Calculations!$O34)/(Calculations!$C$13))-(Calculations!$O34/(Calculations!$C$13*Calculations!$C$13))*LN((Calculations!$C$8*(Calculations!$O34-Calculations!$C$13))/(Calculations!$O34*(Calculations!$C$8-Calculations!$C$13))))+'Reaction Information'!$J$21*10^-1*(Calculations!$M34-Calculations!$C$9)+'Reaction Information'!$K$21*10^2*LN((Calculations!$C$12+Calculations!$M34)/(Calculations!$C$12+Calculations!$C$9))+(1/(Calculations!$O34-Calculations!$C$13))*('Reaction Information'!$L$21*(Calculations!$M34-Calculations!$C$9)+'Reaction Information'!$M$21*10^4*LN((Calculations!$C$12+Calculations!$M34)/(Calculations!$C$12+Calculations!$C$9)))+calculateOmega(Calculations!M34,Calculations!N34,Calculations!Q34,'Reaction Information'!$C$21,'Reaction Information'!$P$21*10^5,'Reaction Information'!$Q$21)*((1/Calculations!$S34)-1)-'Reaction Information'!$P$21*10^5*((1/Calculations!$C$10)-1)+'Reaction Information'!$P$21*10^5*Calculations!$C$14*(Calculations!$O34-Calculations!$C$8))</f>
        <v>#N/A</v>
      </c>
      <c r="AI34" s="8" t="e">
        <f>IF(ISBLANK(Input!$AG$4),NA(),'Reaction Information'!$E$25-'Reaction Information'!$G$25*(Calculations!$O34-Calculations!$C$8)-'Reaction Information'!$N$25*(Calculations!$O34*LN(Calculations!$O34/Calculations!$C$8)-Calculations!$O34+Calculations!$C$8)-'Reaction Information'!$O$25*10^4*(((1/(Calculations!$O34-Calculations!$C$13))-(1/(Calculations!$C$8-Calculations!$C$13)))*((Calculations!$C$13-Calculations!$O34)/(Calculations!$C$13))-(Calculations!$O34/(Calculations!$C$13*Calculations!$C$13))*LN((Calculations!$C$8*(Calculations!$O34-Calculations!$C$13))/(Calculations!$O34*(Calculations!$C$8-Calculations!$C$13))))+'Reaction Information'!$J$25*10^-1*(Calculations!$M34-Calculations!$C$9)+'Reaction Information'!$K$25*10^2*LN((Calculations!$C$12+Calculations!$M34)/(Calculations!$C$12+Calculations!$C$9))+(1/(Calculations!$O34-Calculations!$C$13))*('Reaction Information'!$L$25*(Calculations!$M34-Calculations!$C$9)+'Reaction Information'!$M$25*10^4*LN((Calculations!$C$12+Calculations!$M34)/(Calculations!$C$12+Calculations!$C$9)))+calculateOmega(Calculations!M34,Calculations!N34,Calculations!Q34,'Reaction Information'!$C$25,'Reaction Information'!$P$25*10^5,'Reaction Information'!$Q$25)*((1/Calculations!$S34)-1)-'Reaction Information'!$P$25*10^5*((1/Calculations!$C$10)-1)+'Reaction Information'!$P$25*10^5*Calculations!$C$14*(Calculations!$O34-Calculations!$C$8))</f>
        <v>#N/A</v>
      </c>
      <c r="AJ34" s="8" t="e">
        <f>IF(ISBLANK(Input!$AJ$4),NA(),'Reaction Information'!$E$29-'Reaction Information'!$G$29*(Calculations!$O34-Calculations!$C$8)-'Reaction Information'!$N$29*(Calculations!$O34*LN(Calculations!$O34/Calculations!$C$8)-Calculations!$O34+Calculations!$C$8)-'Reaction Information'!$O$29*10^4*(((1/(Calculations!$O34-Calculations!$C$13))-(1/(Calculations!$C$8-Calculations!$C$13)))*((Calculations!$C$13-Calculations!$O34)/(Calculations!$C$13))-(Calculations!$O34/(Calculations!$C$13*Calculations!$C$13))*LN((Calculations!$C$8*(Calculations!$O34-Calculations!$C$13))/(Calculations!$O34*(Calculations!$C$8-Calculations!$C$13))))+'Reaction Information'!$J$29*10^-1*(Calculations!$M34-Calculations!$C$9)+'Reaction Information'!$K$29*10^2*LN((Calculations!$C$12+Calculations!$M34)/(Calculations!$C$12+Calculations!$C$9))+(1/(Calculations!$O34-Calculations!$C$13))*('Reaction Information'!$L$29*(Calculations!$M34-Calculations!$C$9)+'Reaction Information'!$M$29*10^4*LN((Calculations!$C$12+Calculations!$M34)/(Calculations!$C$12+Calculations!$C$9)))+calculateOmega(Calculations!M34,Calculations!N34,Calculations!Q34,'Reaction Information'!$C$29,'Reaction Information'!$P$29*10^5,'Reaction Information'!$Q$29)*((1/Calculations!$S34)-1)-'Reaction Information'!$P$29*10^5*((1/Calculations!$C$10)-1)+'Reaction Information'!$P$29*10^5*Calculations!$C$14*(Calculations!$O34-Calculations!$C$8))</f>
        <v>#N/A</v>
      </c>
      <c r="AK34" s="8" t="e">
        <f>IF(ISBLANK(Input!$AM$4),NA(),'Reaction Information'!$E$33-'Reaction Information'!$G$33*(Calculations!$O34-Calculations!$C$8)-'Reaction Information'!$N$33*(Calculations!$O34*LN(Calculations!$O34/Calculations!$C$8)-Calculations!$O34+Calculations!$C$8)-'Reaction Information'!$O$33*10^4*(((1/(Calculations!$O34-Calculations!$C$13))-(1/(Calculations!$C$8-Calculations!$C$13)))*((Calculations!$C$13-Calculations!$O34)/(Calculations!$C$13))-(Calculations!$O34/(Calculations!$C$13*Calculations!$C$13))*LN((Calculations!$C$8*(Calculations!$O34-Calculations!$C$13))/(Calculations!$O34*(Calculations!$C$8-Calculations!$C$13))))+'Reaction Information'!$J$33*10^-1*(Calculations!$M34-Calculations!$C$9)+'Reaction Information'!$K$33*10^2*LN((Calculations!$C$12+Calculations!$M34)/(Calculations!$C$12+Calculations!$C$9))+(1/(Calculations!$O34-Calculations!$C$13))*('Reaction Information'!$L$33*(Calculations!$M34-Calculations!$C$9)+'Reaction Information'!$M$33*10^4*LN((Calculations!$C$12+Calculations!$M34)/(Calculations!$C$12+Calculations!$C$9)))+calculateOmega(Calculations!M34,Calculations!N34,Calculations!Q34,'Reaction Information'!$C$33,'Reaction Information'!$P$33*10^5,'Reaction Information'!$Q$33)*((1/Calculations!$S34)-1)-'Reaction Information'!$P$33*10^5*((1/Calculations!$C$10)-1)+'Reaction Information'!$P$33*10^5*Calculations!$C$14*(Calculations!$O34-Calculations!$C$8))</f>
        <v>#N/A</v>
      </c>
      <c r="AL34" s="1">
        <f>Results!S36</f>
        <v>0</v>
      </c>
      <c r="AM34" s="1">
        <f>Results!T36</f>
        <v>0</v>
      </c>
      <c r="AN34" s="1">
        <f>Results!U36</f>
        <v>0</v>
      </c>
      <c r="AO34" s="1">
        <f>Results!V36</f>
        <v>0</v>
      </c>
      <c r="AP34" s="8" t="e">
        <f>IF(ISBLANK(Input!$BB$4),NA(),'Reaction Information'!$E$38-'Reaction Information'!$G$38*(Calculations!$O34-Calculations!$C$8)+'Reaction Information'!$I$38*(Calculations!$O34-Calculations!$C$8-Calculations!$O34*LN(Calculations!$O34/Calculations!$C$8))+'Reaction Information'!$J$38*0.001/2*(2*Calculations!$O34*Calculations!$C$8-Calculations!$O34^2-Calculations!$C$8^2) + 'Reaction Information'!$K$38*100000*(Calculations!$O34^2 + Calculations!$C$8^2 - 2*Calculations!$O34*Calculations!$C$8)/(2*Calculations!$O34*Calculations!$C$8^2))</f>
        <v>#N/A</v>
      </c>
      <c r="AQ34" s="8" t="e">
        <f>IF(ISBLANK(Input!$BE$4),NA(),'Reaction Information'!$E$42-'Reaction Information'!$G$42*(Calculations!$O34-Calculations!$C$8)+'Reaction Information'!$I$42*(Calculations!$O34-Calculations!$C$8-Calculations!$O34*LN(Calculations!$O34/Calculations!$C$8))+'Reaction Information'!$J$42*0.001/2*(2*Calculations!$O34*Calculations!$C$8-Calculations!$O34^2-Calculations!$C$8^2) + 'Reaction Information'!$K$42*100000*(Calculations!$O34^2 + Calculations!$C$8^2 - 2*Calculations!$O34*Calculations!$C$8)/(2*Calculations!$O34*Calculations!$C$8^2))</f>
        <v>#N/A</v>
      </c>
      <c r="AR34" s="8" t="e">
        <f>IF(AR$5="H2O", IF($D$24=3,IF(T34=0,NA(),T34),calculateGibbsOfWater(M34,N34,$D$24,$D$20,$D$19=3)),NA())</f>
        <v>#N/A</v>
      </c>
      <c r="AS34" s="8">
        <f>IF(ISBLANK(Input!$BK$4),NA(),'Reaction Information'!$E$46-'Reaction Information'!$G$46*(Calculations!O34-Calculations!$C$8)-'Reaction Information'!$N$46*(Calculations!O34*LN(Calculations!O34/Calculations!$C$8)-Calculations!O34+Calculations!$C$8)-'Reaction Information'!$O$46*10^4*(((1/(Calculations!O34-Calculations!$C$13))-(1/(Calculations!$C$8-Calculations!$C$13)))*((Calculations!$C$13-Calculations!O34)/(Calculations!$C$13))-(Calculations!O34/(Calculations!$C$13*Calculations!$C$13))*LN((Calculations!$C$8*(Calculations!O34-Calculations!$C$13))/(Calculations!O34*(Calculations!$C$8-Calculations!$C$13))))+'Reaction Information'!$J$46*10^-1*(Calculations!$M34-Calculations!$C$9)+'Reaction Information'!$K$46*10^2*LN((Calculations!$C$12+Calculations!$M34)/(Calculations!$C$12+Calculations!$C$9))+(1/(Calculations!O34-Calculations!$C$13))*('Reaction Information'!$L$46*(Calculations!$M34-Calculations!$C$9)+'Reaction Information'!$M$46*10^4*LN((Calculations!$C$12+Calculations!$M34)/(Calculations!$C$12+Calculations!$C$9)))+calculateOmega(Calculations!M34,Calculations!N34,Calculations!Q34,'Reaction Information'!$C$46,'Reaction Information'!$P$46*10^5,'Reaction Information'!$Q$46)*((1/Calculations!S34)-1)-'Reaction Information'!$P$46*10^5*((1/Calculations!$C$10)-1)+'Reaction Information'!$P$46*10^5*Calculations!$C$14*(Calculations!O34-Calculations!$C$8))</f>
        <v>0</v>
      </c>
      <c r="AT34" s="8">
        <f>IF(ISBLANK(Input!$BN$4),NA(),'Reaction Information'!$E$50-'Reaction Information'!$G$50*(Calculations!O34-Calculations!$C$8)-'Reaction Information'!$N$50*(Calculations!O34*LN(Calculations!O34/Calculations!$C$8)-Calculations!O34+Calculations!$C$8)-'Reaction Information'!$O$50*10^4*(((1/(Calculations!O34-Calculations!$C$13))-(1/(Calculations!$C$8-Calculations!$C$13)))*((Calculations!$C$13-Calculations!O34)/(Calculations!$C$13))-(Calculations!O34/(Calculations!$C$13*Calculations!$C$13))*LN((Calculations!$C$8*(Calculations!O34-Calculations!$C$13))/(Calculations!O34*(Calculations!$C$8-Calculations!$C$13))))+'Reaction Information'!$J$50*10^-1*(Calculations!$M34-Calculations!$C$9)+'Reaction Information'!$K$50*10^2*LN((Calculations!$C$12+Calculations!$M34)/(Calculations!$C$12+Calculations!$C$9))+(1/(Calculations!O34-Calculations!$C$13))*('Reaction Information'!$L$50*(Calculations!$M34-Calculations!$C$9)+'Reaction Information'!$M$50*10^4*LN((Calculations!$C$12+Calculations!$M34)/(Calculations!$C$12+Calculations!$C$9)))+calculateOmega(Calculations!M34,Calculations!N34,Calculations!Q34,'Reaction Information'!$C$50,'Reaction Information'!$P$50*10^5,'Reaction Information'!$Q$50)*((1/Calculations!S34)-1)-'Reaction Information'!$P$50*10^5*((1/Calculations!$C$10)-1)+'Reaction Information'!$P$50*10^5*Calculations!$C$14*(Calculations!O34-Calculations!$C$8))</f>
        <v>-157430.03889964303</v>
      </c>
      <c r="AU34" s="8" t="e">
        <f>IF(ISBLANK(Input!$BQ$4),NA(),'Reaction Information'!$E$54-'Reaction Information'!$G$54*(Calculations!$O34-Calculations!$C$8)-'Reaction Information'!$N$54*(Calculations!$O34*LN(Calculations!$O34/Calculations!$C$8)-Calculations!$O34+Calculations!$C$8)-'Reaction Information'!$O$54*10^4*(((1/(Calculations!$O34-Calculations!$C$13))-(1/(Calculations!$C$8-Calculations!$C$13)))*((Calculations!$C$13-Calculations!$O34)/(Calculations!$C$13))-(Calculations!$O34/(Calculations!$C$13*Calculations!$C$13))*LN((Calculations!$C$8*(Calculations!$O34-Calculations!$C$13))/(Calculations!$O34*(Calculations!$C$8-Calculations!$C$13))))+'Reaction Information'!$J$54*10^-1*(Calculations!$M34-Calculations!$C$9)+'Reaction Information'!$K$54*10^2*LN((Calculations!$C$12+Calculations!$M34)/(Calculations!$C$12+Calculations!$C$9))+(1/(Calculations!$O34-Calculations!$C$13))*('Reaction Information'!$L$54*(Calculations!$M34-Calculations!$C$9)+'Reaction Information'!$M$54*10^4*LN((Calculations!$C$12+Calculations!$M34)/(Calculations!$C$12+Calculations!$C$9)))+calculateOmega(Calculations!M34,Calculations!N34,Calculations!Q34,'Reaction Information'!$C$54,'Reaction Information'!$P$54*10^5,'Reaction Information'!$Q$54)*((1/Calculations!$S34)-1)-'Reaction Information'!$P$54*10^5*((1/Calculations!$C$10)-1)+'Reaction Information'!$P$54*10^5*Calculations!$C$14*(Calculations!$O34-Calculations!$C$8))</f>
        <v>#N/A</v>
      </c>
      <c r="AV34" s="8" t="e">
        <f>IF(ISBLANK(Input!$BT$4),NA(),'Reaction Information'!$E$58-'Reaction Information'!$G$58*(Calculations!$O34-Calculations!$C$8)-'Reaction Information'!$N$58*(Calculations!$O34*LN(Calculations!$O34/Calculations!$C$8)-Calculations!$O34+Calculations!$C$8)-'Reaction Information'!$O$58*10^4*(((1/(Calculations!$O34-Calculations!$C$13))-(1/(Calculations!$C$8-Calculations!$C$13)))*((Calculations!$C$13-Calculations!$O34)/(Calculations!$C$13))-(Calculations!$O34/(Calculations!$C$13*Calculations!$C$13))*LN((Calculations!$C$8*(Calculations!$O34-Calculations!$C$13))/(Calculations!$O34*(Calculations!$C$8-Calculations!$C$13))))+'Reaction Information'!$J$58*10^-1*(Calculations!$M34-Calculations!$C$9)+'Reaction Information'!$K$58*10^2*LN((Calculations!$C$12+Calculations!$M34)/(Calculations!$C$12+Calculations!$C$9))+(1/(Calculations!$O34-Calculations!$C$13))*('Reaction Information'!$L$58*(Calculations!$M34-Calculations!$C$9)+'Reaction Information'!$M$58*10^4*LN((Calculations!$C$12+Calculations!$M34)/(Calculations!$C$12+Calculations!$C$9)))+calculateOmega(Calculations!M34,Calculations!N34,Calculations!Q34,'Reaction Information'!$C$58,'Reaction Information'!$P$58*10^5,'Reaction Information'!$Q$58)*((1/Calculations!$S34)-1)-'Reaction Information'!$P$58*10^5*((1/Calculations!$C$10)-1)+'Reaction Information'!$P$58*10^5*Calculations!$C$14*(Calculations!$O34-Calculations!$C$8))</f>
        <v>#N/A</v>
      </c>
      <c r="AW34" s="8" t="e">
        <f>IF(ISBLANK(Input!$BW$4),NA(),'Reaction Information'!$E$62-'Reaction Information'!$G$62*(Calculations!$O34-Calculations!$C$8)-'Reaction Information'!$N$62*(Calculations!$O34*LN(Calculations!$O34/Calculations!$C$8)-Calculations!$O34+Calculations!$C$8)-'Reaction Information'!$O$62*10^4*(((1/(Calculations!$O34-Calculations!$C$13))-(1/(Calculations!$C$8-Calculations!$C$13)))*((Calculations!$C$13-Calculations!$O34)/(Calculations!$C$13))-(Calculations!$O34/(Calculations!$C$13*Calculations!$C$13))*LN((Calculations!$C$8*(Calculations!$O34-Calculations!$C$13))/(Calculations!$O34*(Calculations!$C$8-Calculations!$C$13))))+'Reaction Information'!$J$62*10^-1*(Calculations!$M34-Calculations!$C$9)+'Reaction Information'!$K$62*10^2*LN((Calculations!$C$12+Calculations!$M34)/(Calculations!$C$12+Calculations!$C$9))+(1/(Calculations!$O34-Calculations!$C$13))*('Reaction Information'!$L$62*(Calculations!$M34-Calculations!$C$9)+'Reaction Information'!$M$62*10^4*LN((Calculations!$C$12+Calculations!$M34)/(Calculations!$C$12+Calculations!$C$9)))+calculateOmega(Calculations!M34,Calculations!N34,Calculations!Q34,'Reaction Information'!$C$62,'Reaction Information'!$P$62*10^5,'Reaction Information'!$Q$62)*((1/Calculations!$S34)-1)-'Reaction Information'!$P$62*10^5*((1/Calculations!$C$10)-1)+'Reaction Information'!$P$62*10^5*Calculations!$C$14*(Calculations!$O34-Calculations!$C$8))</f>
        <v>#N/A</v>
      </c>
      <c r="AX34" s="8" t="e">
        <f>IF(ISBLANK(Input!$BZ$4),NA(),'Reaction Information'!$E$66-'Reaction Information'!$G$66*(Calculations!$O34-Calculations!$C$8)-'Reaction Information'!$N$66*(Calculations!$O34*LN(Calculations!$O34/Calculations!$C$8)-Calculations!$O34+Calculations!$C$8)-'Reaction Information'!$O$66*10^4*(((1/(Calculations!$O34-Calculations!$C$13))-(1/(Calculations!$C$8-Calculations!$C$13)))*((Calculations!$C$13-Calculations!$O34)/(Calculations!$C$13))-(Calculations!$O34/(Calculations!$C$13*Calculations!$C$13))*LN((Calculations!$C$8*(Calculations!$O34-Calculations!$C$13))/(Calculations!$O34*(Calculations!$C$8-Calculations!$C$13))))+'Reaction Information'!$J$66*10^-1*(Calculations!$M34-Calculations!$C$9)+'Reaction Information'!$K$66*10^2*LN((Calculations!$C$12+Calculations!$M34)/(Calculations!$C$12+Calculations!$C$9))+(1/(Calculations!$O34-Calculations!$C$13))*('Reaction Information'!$L$66*(Calculations!$M34-Calculations!$C$9)+'Reaction Information'!$M$66*10^4*LN((Calculations!$C$12+Calculations!$M34)/(Calculations!$C$12+Calculations!$C$9)))+calculateOmega(Calculations!M34,Calculations!N34,Calculations!Q34,'Reaction Information'!$C$66,'Reaction Information'!$P$66*10^5,'Reaction Information'!$Q$66)*((1/Calculations!$S34)-1)-'Reaction Information'!$P$66*10^5*((1/Calculations!$C$10)-1)+'Reaction Information'!$P$66*10^5*Calculations!$C$14*(Calculations!$O34-Calculations!$C$8))</f>
        <v>#N/A</v>
      </c>
      <c r="AY34" s="31">
        <f>(AL34*Input!$AO$4+AM34*Input!$AR$4+AN34*Input!$AU$4+AO34*Input!$AX$4+IF(ISNA(AP34),0,AP34*Input!$BA$4)+IF(ISNA(AQ34),0,AQ34*Input!$BD$4)+IF(ISNA(AR34),0,AR34*Input!$BG$4)+IF(ISNA(AS34),0,AS34*Input!$BJ$4)+IF(ISNA(AT34),0,AT34*Input!$BM$4)+IF(ISNA(AU34),0,AU34*Input!$BP$4)+IF(ISNA(AV34),0,AV34*Input!$BS$4)+IF(ISNA(AW34),0,AW34*Input!$BV$4)+IF(ISNA(AX34),0,AX34*Input!$BY$4))-(Y34*Input!$B$4+Z34*Input!$E$4+AA34*Input!$H$4+AB34*Input!$K$4+IF(ISNA(AC34),0,AC34*Input!$N$4)+IF(ISNA(AD34),0,AD34*Input!$Q$4)+IF(ISNA(AE34),0,AE34*Input!$T$4)+IF(ISNA(AF34),0,AF34*Input!$W$4)+IF(ISNA(AG34),0,AG34*Input!$Z$4)+IF(ISNA(AH34),0,AH34*Input!$AC$4)+IF(ISNA(AI34),0,AI34*Input!$AF$4)+IF(ISNA(AJ34),0,AJ34*Input!$AI$4)+IF(ISNA(AK34),0,AK34*Input!$AL$4))</f>
        <v>49907.731351335737</v>
      </c>
      <c r="AZ34" s="42">
        <f t="shared" si="7"/>
        <v>-8.9231867560765448</v>
      </c>
      <c r="BA34" s="1">
        <f t="shared" si="8"/>
        <v>950</v>
      </c>
      <c r="BB34" s="46">
        <f t="shared" si="9"/>
        <v>10000</v>
      </c>
      <c r="BC34" s="1"/>
      <c r="BD34" s="2">
        <f t="shared" si="10"/>
        <v>10000</v>
      </c>
      <c r="BE34" s="46">
        <f t="shared" si="11"/>
        <v>950</v>
      </c>
      <c r="BF34" s="1">
        <f>Results!AJ36</f>
        <v>0</v>
      </c>
      <c r="BG34" s="1">
        <f>Results!AK36</f>
        <v>0</v>
      </c>
      <c r="BH34" s="1">
        <f>Results!AL36</f>
        <v>0</v>
      </c>
      <c r="BI34" s="1">
        <f>Results!AM36</f>
        <v>0</v>
      </c>
      <c r="BJ34" s="1" t="e">
        <f>IF(OR(ISNA('Reaction Information'!$D$5), $N34 = "", $D$27 = FALSE, 'Reaction Information'!$D$5 = ""), NA(), 24.465)</f>
        <v>#N/A</v>
      </c>
      <c r="BK34" s="1" t="e">
        <f>IF(OR(ISNA('Reaction Information'!$D$9), $N34 = "", $D$27 = FALSE, 'Reaction Information'!$D$9 = ""), NA(), 24.465)</f>
        <v>#N/A</v>
      </c>
      <c r="BL34" s="8">
        <f t="shared" si="0"/>
        <v>22.069255466046727</v>
      </c>
      <c r="BM34" s="8">
        <f>IF(OR(ISBLANK(Input!$X$4),$D$27=FALSE),NA(),('Reaction Information'!$J$13/10+'Reaction Information'!$K$13*100/(Calculations!$C$12+Calculations!$M34)+('Reaction Information'!$L$13+'Reaction Information'!$M$13*10^4/(Calculations!$C$12+Calculations!$M34))/(Calculations!$O34-Calculations!$C$13) -calculateOmega(Calculations!$M34,Calculations!$N34,Calculations!$Q34,'Reaction Information'!$C$13,'Reaction Information'!$P$13*10^5,'Reaction Information'!$Q$13)*Calculations!$U34*10^-6 + (1/$S34 - 1)*calculate_domegadP(Calculations!$M34,Calculations!$N34,Calculations!$Q34,'Reaction Information'!$C$13,'Reaction Information'!$P$13*10^5,'Reaction Information'!$Q$13,$D$20,$D$19=3))*41.84)</f>
        <v>39.402313287609516</v>
      </c>
      <c r="BN34" s="8" t="e">
        <f>IF(OR(ISBLANK(Input!$AA$4),$D$27=FALSE),NA(),('Reaction Information'!$J$17/10+'Reaction Information'!$K$17*100/(Calculations!$C$12+Calculations!$M34)+('Reaction Information'!$L$17+'Reaction Information'!$M$17*10000/(Calculations!$C$12+Calculations!$M34))/(Calculations!$O34-Calculations!$C$13)-calculateOmega(Calculations!M34,Calculations!N34,Calculations!Q34,'Reaction Information'!$C$17,'Reaction Information'!$P$17*10^5,'Reaction Information'!$Q$17)*Calculations!$U34*10^-6 + (1/$S34 - 1)*calculate_domegadP(Calculations!M34,Calculations!N34,Calculations!Q34,'Reaction Information'!$C$17,'Reaction Information'!$P$17*10^5,'Reaction Information'!$Q$17,$D$20,$D$19=3))*41.84)</f>
        <v>#N/A</v>
      </c>
      <c r="BO34" s="8" t="e">
        <f>IF(OR(ISBLANK(Input!$AD$4),$D$27=FALSE),NA(),('Reaction Information'!$J$21/10+'Reaction Information'!$K$21*100/(Calculations!$C$12+Calculations!$M34)+('Reaction Information'!$L$21+'Reaction Information'!$M$21*10000/(Calculations!$C$12+Calculations!$M34))/(Calculations!$O34-Calculations!$C$13)-calculateOmega(Calculations!M34,Calculations!N34,Calculations!Q34,'Reaction Information'!$C$21,'Reaction Information'!$P$21*10^5,'Reaction Information'!$Q$21)*Calculations!$U34*10^-6 + (1/$S34 - 1)*calculate_domegadP(Calculations!M34,Calculations!N34,Calculations!Q34,'Reaction Information'!$C$21,'Reaction Information'!$P$21*10^5,'Reaction Information'!$Q$21,$D$20,$D$19=3))*41.84)</f>
        <v>#N/A</v>
      </c>
      <c r="BP34" s="8" t="e">
        <f>IF(OR(ISBLANK(Input!$AG$4),$D$27=FALSE),NA(),('Reaction Information'!$J$25/10+'Reaction Information'!$K$25*100/(Calculations!$C$12+Calculations!$M34)+('Reaction Information'!$L$25+'Reaction Information'!$M$25*10000/(Calculations!$C$12+Calculations!$M34))/(Calculations!$O34-Calculations!$C$13)-calculateOmega(Calculations!M34,Calculations!N34,Calculations!Q34,'Reaction Information'!$C$25,'Reaction Information'!$P$25*10^5,'Reaction Information'!$Q$25)*Calculations!$U34*10^-6 + (1/$S34 - 1)*calculate_domegadP(Calculations!M34,Calculations!N34,Calculations!Q34,'Reaction Information'!$C$25,'Reaction Information'!$P$25*10^5,'Reaction Information'!$Q$25,$D$20,$D$19=3))*41.84)</f>
        <v>#N/A</v>
      </c>
      <c r="BQ34" s="8" t="e">
        <f>IF(OR(ISBLANK(Input!$AJ$4),$D$27=FALSE),NA(),('Reaction Information'!$J$29/10+'Reaction Information'!$K$29*100/(Calculations!$C$12+Calculations!$M34)+('Reaction Information'!$L$29+'Reaction Information'!$M$29*10000/(Calculations!$C$12+Calculations!$M34))/(Calculations!$O34-Calculations!$C$13)-calculateOmega(Calculations!M34,Calculations!N34,Calculations!Q34,'Reaction Information'!$C$29,'Reaction Information'!$P$29*10^5,'Reaction Information'!$Q$29)*Calculations!$U34*10^-6 + (1/$S34 - 1)*calculate_domegadP(Calculations!M34,Calculations!N34,Calculations!Q34,'Reaction Information'!$C$29,'Reaction Information'!$P$29*10^5,'Reaction Information'!$Q$29,$D$20,$D$19=3))*41.84)</f>
        <v>#N/A</v>
      </c>
      <c r="BR34" s="8" t="e">
        <f>IF(OR(ISBLANK(Input!$AM$4),$D$27=FALSE),NA(),('Reaction Information'!$J$33/10+'Reaction Information'!$K$33*100/(Calculations!$C$12+Calculations!$M34)+('Reaction Information'!$L$33+'Reaction Information'!$M$33*10000/(Calculations!$C$12+Calculations!$M34))/(Calculations!$O34-Calculations!$C$13)-calculateOmega(Calculations!M34,Calculations!N34,Calculations!Q34,'Reaction Information'!$C$33,'Reaction Information'!$P$33*10^5,'Reaction Information'!$Q$33)*Calculations!$U34*10^-6 + (1/$S34 - 1)*calculate_domegadP(Calculations!M34,Calculations!N34,Calculations!Q34,'Reaction Information'!$C$33,'Reaction Information'!$P$33*10^5,'Reaction Information'!$Q$33,$D$20,$D$19=3))*41.84)</f>
        <v>#N/A</v>
      </c>
      <c r="BS34" s="1">
        <f>Results!AW36</f>
        <v>0</v>
      </c>
      <c r="BT34" s="1">
        <f>Results!AX36</f>
        <v>0</v>
      </c>
      <c r="BU34" s="1">
        <f>Results!AY36</f>
        <v>0</v>
      </c>
      <c r="BV34" s="1">
        <f>Results!AZ36</f>
        <v>0</v>
      </c>
      <c r="BW34" s="1" t="e">
        <f>IF(OR(ISNA('Reaction Information'!$D$38), $N34 = "", $D$27 = FALSE, 'Reaction Information'!$D$38 = ""), NA(), 24.465)</f>
        <v>#N/A</v>
      </c>
      <c r="BX34" s="1" t="e">
        <f>IF(OR(ISNA('Reaction Information'!$D$42), $N34 = "", $D$27 = FALSE, 'Reaction Information'!$D$42 = ""), NA(), 24.465)</f>
        <v>#N/A</v>
      </c>
      <c r="BY34" s="8" t="e">
        <f t="shared" si="1"/>
        <v>#N/A</v>
      </c>
      <c r="BZ34" s="8">
        <f>IF(OR(ISBLANK(Input!$BK$4),$D$27=FALSE),NA(),('Reaction Information'!$J$46/10+'Reaction Information'!$K$46*100/(Calculations!$C$12+Calculations!$M34)+('Reaction Information'!$L$46+'Reaction Information'!$M$46*10000/(Calculations!$C$12+Calculations!$M34))/(Calculations!$O34-Calculations!$C$13)-calculateOmega(Calculations!M34,Calculations!N34,Calculations!Q34,'Reaction Information'!$C$46,'Reaction Information'!$P$46*10^5,'Reaction Information'!$Q$46)*Calculations!$U34*10^-6 + (1/$S34 - 1)*calculate_domegadP(Calculations!M34,Calculations!N34,Calculations!Q34,'Reaction Information'!$C$46,'Reaction Information'!$P$46*10^5,'Reaction Information'!$Q$46,$D$20,$D$19=3))*41.84)</f>
        <v>0</v>
      </c>
      <c r="CA34" s="8">
        <f>IF(OR(ISBLANK(Input!$BN$4),$D$27=FALSE),NA(),('Reaction Information'!$J$50/10+'Reaction Information'!$K$50*100/(Calculations!$C$12+Calculations!$M34)+('Reaction Information'!$L$50+'Reaction Information'!$M$50*10000/(Calculations!$C$12+Calculations!$M34))/(Calculations!$O34-Calculations!$C$13)-calculateOmega(Calculations!M34,Calculations!N34,Calculations!Q34,'Reaction Information'!$C$50,'Reaction Information'!$P$50*10^5,'Reaction Information'!$Q$50)*Calculations!$U34*10^-6 + (1/$S34 - 1)*calculate_domegadP(Calculations!M34,Calculations!N34,Calculations!Q34,'Reaction Information'!$C$50,'Reaction Information'!$P$50*10^5,'Reaction Information'!$Q$50,$D$20,$D$19=3))*41.84)</f>
        <v>17.178911256925186</v>
      </c>
      <c r="CB34" s="8" t="e">
        <f>IF(OR(ISBLANK(Input!$BQ$4),$D$27=FALSE),NA(),('Reaction Information'!$J$54/10+'Reaction Information'!$K$54*100/(Calculations!$C$12+Calculations!$M34)+('Reaction Information'!$L$54+'Reaction Information'!$M$54*10000/(Calculations!$C$12+Calculations!$M34))/(Calculations!$O34-Calculations!$C$13)-calculateOmega(Calculations!M34,Calculations!N34,Calculations!Q34,'Reaction Information'!$C$54,'Reaction Information'!$P$54*10^5,'Reaction Information'!$Q$54)*Calculations!$U34*10^-6 + (1/$S34 - 1)*calculate_domegadP(Calculations!M34,Calculations!N34,Calculations!Q34,'Reaction Information'!$C$54,'Reaction Information'!$P$54*10^5,'Reaction Information'!$Q$54,$D$20,$D$19=3))*41.84)</f>
        <v>#N/A</v>
      </c>
      <c r="CC34" s="8" t="e">
        <f>IF(OR(ISBLANK(Input!$BT$4),$D$27=FALSE),NA(),('Reaction Information'!$J$58/10+'Reaction Information'!$K$58*100/(Calculations!$C$12+Calculations!$M34)+('Reaction Information'!$L$58+'Reaction Information'!$M$58*10000/(Calculations!$C$12+Calculations!$M34))/(Calculations!$O34-Calculations!$C$13)-calculateOmega(Calculations!M34,Calculations!N34,Calculations!Q34,'Reaction Information'!$C$58,'Reaction Information'!$P$58*10^5,'Reaction Information'!$Q$58)*Calculations!$U34*10^-6 + (1/$S34 - 1)*calculate_domegadP(Calculations!M34,Calculations!N34,Calculations!Q34,'Reaction Information'!$C$58,'Reaction Information'!$P$58*10^5,'Reaction Information'!$Q$58,$D$20,$D$19=3))*41.84)</f>
        <v>#N/A</v>
      </c>
      <c r="CD34" s="8" t="e">
        <f>IF(OR(ISBLANK(Input!$BW$4),$D$27=FALSE),NA(),('Reaction Information'!$J$62/10+'Reaction Information'!$K$62*100/(Calculations!$C$12+Calculations!$M34)+('Reaction Information'!$L$62+'Reaction Information'!$M$62*10000/(Calculations!$C$12+Calculations!$M34))/(Calculations!$O34-Calculations!$C$13)-calculateOmega(Calculations!M34,Calculations!N34,Calculations!Q34,'Reaction Information'!$C$62,'Reaction Information'!$P$62*10^5,'Reaction Information'!$Q$62)*Calculations!$U34*10^-6 + (1/$S34 - 1)*calculate_domegadP(Calculations!M34,Calculations!N34,Calculations!Q34,'Reaction Information'!$C$62,'Reaction Information'!$P$62*10^5,'Reaction Information'!$Q$62,$D$20,$D$19=3))*41.84)</f>
        <v>#N/A</v>
      </c>
      <c r="CE34" s="8" t="e">
        <f>IF(OR(ISBLANK(Input!$BZ$4),$D$27=FALSE),NA(),('Reaction Information'!$J$66/10+'Reaction Information'!$K$66*100/(Calculations!$C$12+Calculations!$M34)+('Reaction Information'!$L$66+'Reaction Information'!$M$66*10000/(Calculations!$C$12+Calculations!$M34))/(Calculations!$O34-Calculations!$C$13)-calculateOmega(Calculations!M34,Calculations!N34,Calculations!Q34,'Reaction Information'!$C$66,'Reaction Information'!$P$66*10^5,'Reaction Information'!$Q$66)*Calculations!$U34*10^-6 + (1/$S34 - 1)*calculate_domegadP(Calculations!M34,Calculations!N34,Calculations!Q34,'Reaction Information'!$C$66,'Reaction Information'!$P$66*10^5,'Reaction Information'!$Q$66,$D$20,$D$19=3))*41.84)</f>
        <v>#N/A</v>
      </c>
      <c r="CF34" s="31">
        <f>(BS34*Input!$AO$4+BT34*Input!$AR$4+BU34*Input!$AU$4+BV34*Input!$AX$4+IF(ISNA(BW34),0,BW34*Input!$BA$4)+IF(ISNA(BX34),0,BX34*Input!$BD$4)+IF(ISNA(BY34),0,BY34*Input!$BG$4)+IF(ISNA(BZ34),0,BZ34*Input!$BJ$4)+IF(ISNA(CA34),0,CA34*Input!$BM$4)+IF(ISNA(CB34),0,CB34*Input!$BP$4)+IF(ISNA(CC34),0,CC34*Input!$BS$4)+IF(ISNA(CD34),0,CD34*Input!$BV$4)+IF(ISNA(CE34),0,CE34*Input!$BY$4))-(BF34*Input!$B$4+BG34*Input!$E$4+BH34*Input!$H$4+BI34*Input!$K$4+IF(ISNA(BJ34),0,BJ34*Input!$N$4)+IF(ISNA(BK34),0,BK34*Input!$Q$4)+IF(ISNA(BL34),0,BL34*Input!$T$4)+IF(ISNA(BM34),0,BM34*Input!$W$4)+IF(ISNA(BN34),0,BN34*Input!$Z$4)+IF(ISNA(BO34),0,BO34*Input!$AC$4)+IF(ISNA(BP34),0,BP34*Input!$AF$4)+IF(ISNA(BQ34),0,BQ34*Input!$AI$4)+IF(ISNA(BR34),0,BR34*Input!$AL$4))</f>
        <v>-44.292657496731053</v>
      </c>
      <c r="CG34" s="1">
        <f t="shared" si="12"/>
        <v>950</v>
      </c>
      <c r="CH34" s="46">
        <f t="shared" si="13"/>
        <v>10000</v>
      </c>
      <c r="CI34" s="1"/>
    </row>
    <row r="35" spans="1:87" ht="15" customHeight="1" x14ac:dyDescent="0.2">
      <c r="A35" s="1"/>
      <c r="B35" s="7">
        <v>1</v>
      </c>
      <c r="C35" s="266" t="s">
        <v>485</v>
      </c>
      <c r="D35" s="268"/>
      <c r="E35" s="1"/>
      <c r="F35" s="2">
        <v>30</v>
      </c>
      <c r="G35" s="1" t="str">
        <f>IF(ISBLANK(Input!CB35), "", Input!CB35*1000)</f>
        <v/>
      </c>
      <c r="H35" s="1" t="str">
        <f>IF(ISBLANK(Input!CC35), "", Input!CC35)</f>
        <v/>
      </c>
      <c r="I35" s="1">
        <f>IF(Input!$CF$5 + Input!$CF$6*(FLOOR((Calculations!$F35-1)/(FLOOR((Input!$CF$12-Input!$CF$10)/Input!$CF$11,1)+1),1)) &gt; Input!$CF$7, "", (Input!$CF$5 + Input!$CF$6*(FLOOR((Calculations!$F35-1)/(FLOOR((Input!$CF$12-Input!$CF$10)/Input!$CF$11,1)+1),1)))*1000)</f>
        <v>10000</v>
      </c>
      <c r="J35" s="1">
        <f>IF(Calculations!I35 = "", "", Input!$CF$10 + Input!$CF$11*(Calculations!$F35-1) - (FLOOR((Input!$CF$12-Input!$CF$10)/Input!$CF$11,1)+1)*Input!$CF$11*FLOOR((Calculations!$F35-1)/(FLOOR((Input!$CF$12-Input!$CF$10)/Input!$CF$11,1)+1),1))</f>
        <v>1000</v>
      </c>
      <c r="K35" s="8" t="str">
        <f t="shared" si="14"/>
        <v/>
      </c>
      <c r="L35" s="117" t="str">
        <f>IF(OR(Input!$CJ$5 + Input!$CJ$6*(Calculations!F35-1) &gt; Input!$CJ$7, Input!$CJ$5 + Input!$CJ$6*(Calculations!F35-1) &gt; 350), "", Input!$CJ$5 + Input!$CJ$6*(Calculations!F35-1))</f>
        <v/>
      </c>
      <c r="M35" s="1">
        <f t="shared" si="2"/>
        <v>10000</v>
      </c>
      <c r="N35" s="1">
        <f t="shared" si="3"/>
        <v>1000</v>
      </c>
      <c r="O35" s="1">
        <f t="shared" si="4"/>
        <v>1273.1500000000001</v>
      </c>
      <c r="P35" s="1" t="e">
        <f>IF(OR($D$20=3,AND($D$21=TRUE,M35&lt;1000)),INDEX('Water Density'!$C$6:$CX$120,MATCH(Calculations!N35,'Water Density'!$B$6:$B$120),MATCH(Calculations!M35/1000,'Water Density'!$C$5:$CX$5)),NA())</f>
        <v>#N/A</v>
      </c>
      <c r="Q35" s="182">
        <f>IF(OR($D$20=3,AND($D$21=TRUE,M35&lt;1000)), IF(P35&lt;&gt;0,P35,NA()), calculateDensity(M35,N35,$D$20,0.01,$D$19 = 3))</f>
        <v>0.79833055720090862</v>
      </c>
      <c r="R35" s="1" t="e">
        <f>IF($D$22=5,INDEX('Dielectric Constant'!$C$6:$CX$120,MATCH(Calculations!N35,'Dielectric Constant'!$B$6:$B$120),MATCH(Calculations!M35/1000,'Dielectric Constant'!$C$5:$CX$5)),NA())</f>
        <v>#N/A</v>
      </c>
      <c r="S35" s="58">
        <f>IF($D$22=5, IF(R35&lt;&gt;0,R35,NA()), IF(AND($D$23,M35&lt;=5000,$D$19 &lt;&gt; 3),calculateEpsilon(Q35,N35,1,FALSE),calculateEpsilon(Q35,N35,$D$22,$D$19 = 3)))</f>
        <v>8.9780035149127375</v>
      </c>
      <c r="T35" s="1" t="e">
        <f>IF($D$24=3,INDEX('Water Free Energy'!$C$6:$CX$120,MATCH(Calculations!N35,'Water Free Energy'!$B$6:$B$120),MATCH(Calculations!M35/1000,'Water Free Energy'!$C$5:$CX$5)),NA())</f>
        <v>#N/A</v>
      </c>
      <c r="U35" s="179">
        <f>IF($D$27,calculateQ(M35,N35,Q35,$D$20,$D$22,$D$19=3)*10^6,NA())</f>
        <v>3.1265089662653778</v>
      </c>
      <c r="V35"/>
      <c r="W35" s="2">
        <f t="shared" si="5"/>
        <v>10000</v>
      </c>
      <c r="X35" s="1">
        <f t="shared" si="6"/>
        <v>1000</v>
      </c>
      <c r="Y35" s="1">
        <f>Results!F37</f>
        <v>0</v>
      </c>
      <c r="Z35" s="1">
        <f>Results!G37</f>
        <v>0</v>
      </c>
      <c r="AA35" s="1">
        <f>Results!H37</f>
        <v>0</v>
      </c>
      <c r="AB35" s="1">
        <f>Results!I37</f>
        <v>0</v>
      </c>
      <c r="AC35" s="1" t="e">
        <f>IF(ISBLANK(Input!$O$4),NA(),'Reaction Information'!$E$5-'Reaction Information'!$G$5*(Calculations!$O35-Calculations!$C$8)+'Reaction Information'!$I$5*(Calculations!$O35-Calculations!$C$8-Calculations!$O35*LN(Calculations!$O35/Calculations!$C$8))+'Reaction Information'!$J$5*0.001/2*(2*Calculations!$O35*Calculations!$C$8-Calculations!$O35^2-Calculations!$C$8^2) + 'Reaction Information'!$K$5*100000*(Calculations!$O35^2 + Calculations!$C$8^2 - 2*Calculations!$O35*Calculations!$C$8)/(2*Calculations!$O35*Calculations!$C$8^2))</f>
        <v>#N/A</v>
      </c>
      <c r="AD35" s="8" t="e">
        <f>IF(ISBLANK(Input!$R$4),NA(),'Reaction Information'!$E$9-'Reaction Information'!$G$9*(Calculations!$O35-Calculations!$C$8)+'Reaction Information'!$I$9*(Calculations!$O35-Calculations!$C$8-Calculations!$O35*LN(Calculations!$O35/Calculations!$C$8))+'Reaction Information'!$J$9*0.001/2*(2*Calculations!$O35*Calculations!$C$8-Calculations!$O35^2-Calculations!$C$8^2) + 'Reaction Information'!$K$9*100000*(Calculations!$O35^2 + Calculations!$C$8^2 - 2*Calculations!$O35*Calculations!$C$8)/(2*Calculations!$O35*Calculations!$C$8^2))</f>
        <v>#N/A</v>
      </c>
      <c r="AE35" s="8">
        <f>IF(AE$5="H2O",IF($D$24=3,IF(T35=0,NA(),T35),calculateGibbsOfWater(M35,N35,$D$24,$D$20,$D$19=3)),NA())</f>
        <v>-81210.387662171488</v>
      </c>
      <c r="AF35" s="8">
        <f>IF(ISBLANK(Input!$X$4),NA(),'Reaction Information'!$E$13-'Reaction Information'!$G$13*(Calculations!O35-Calculations!$C$8)-'Reaction Information'!$N$13*(Calculations!O35*LN(Calculations!O35/Calculations!$C$8)-Calculations!O35+Calculations!$C$8)-'Reaction Information'!$O$13*10^4*(((1/(Calculations!O35-Calculations!$C$13))-(1/(Calculations!$C$8-Calculations!$C$13)))*((Calculations!$C$13-Calculations!O35)/(Calculations!$C$13))-(Calculations!O35/(Calculations!$C$13*Calculations!$C$13))*LN((Calculations!$C$8*(Calculations!O35-Calculations!$C$13))/(Calculations!O35*(Calculations!$C$8-Calculations!$C$13))))+'Reaction Information'!$J$13*10^-1*(Calculations!M35-Calculations!$C$9)+'Reaction Information'!$K$13*10^2*LN((Calculations!$C$12+Calculations!M35)/(Calculations!$C$12+Calculations!$C$9))+(1/(Calculations!O35-Calculations!$C$13))*('Reaction Information'!$L$13*(Calculations!M35-Calculations!$C$9)+'Reaction Information'!$M$13*10^4*LN((Calculations!$C$12+Calculations!M35)/(Calculations!$C$12+Calculations!$C$9)))+calculateOmega(Calculations!M35,Calculations!N35,Calculations!Q35,'Reaction Information'!$C$13,'Reaction Information'!$P$13*10^5,'Reaction Information'!$Q$13)*((1/Calculations!S35)-1)-'Reaction Information'!$P$13*10^5*((1/Calculations!$C$10)-1)+'Reaction Information'!$P$13*10^5*Calculations!$C$14*(Calculations!O35-Calculations!$C$8))</f>
        <v>-130877.79325877731</v>
      </c>
      <c r="AG35" s="8" t="e">
        <f>IF(ISBLANK(Input!$AA$4),NA(),'Reaction Information'!$E$17-'Reaction Information'!$G$17*(Calculations!$O35-Calculations!$C$8)-'Reaction Information'!$N$17*(Calculations!$O35*LN(Calculations!$O35/Calculations!$C$8)-Calculations!$O35+Calculations!$C$8)-'Reaction Information'!$O$17*10^4*(((1/(Calculations!$O35-Calculations!$C$13))-(1/(Calculations!$C$8-Calculations!$C$13)))*((Calculations!$C$13-Calculations!$O35)/(Calculations!$C$13))-(Calculations!$O35/(Calculations!$C$13*Calculations!$C$13))*LN((Calculations!$C$8*(Calculations!$O35-Calculations!$C$13))/(Calculations!$O35*(Calculations!$C$8-Calculations!$C$13))))+'Reaction Information'!$J$17*10^-1*(Calculations!$M35-Calculations!$C$9)+'Reaction Information'!$K$17*10^2*LN((Calculations!$C$12+Calculations!$M35)/(Calculations!$C$12+Calculations!$C$9))+(1/(Calculations!$O35-Calculations!$C$13))*('Reaction Information'!$L$17*(Calculations!$M35-Calculations!$C$9)+'Reaction Information'!$M$17*10^4*LN((Calculations!$C$12+Calculations!$M35)/(Calculations!$C$12+Calculations!$C$9)))+calculateOmega(Calculations!M35,Calculations!N35,Calculations!Q35,'Reaction Information'!$C$17,'Reaction Information'!$P$17*10^5,'Reaction Information'!$Q$17)*((1/Calculations!$S35)-1)-'Reaction Information'!$P$17*10^5*((1/Calculations!$C$10)-1)+'Reaction Information'!$P$17*10^5*Calculations!$C$14*(Calculations!$O35-Calculations!$C$8))</f>
        <v>#N/A</v>
      </c>
      <c r="AH35" s="8" t="e">
        <f>IF(ISBLANK(Input!$AD$4),NA(),'Reaction Information'!$E$21-'Reaction Information'!$G$21*(Calculations!$O35-Calculations!$C$8)-'Reaction Information'!$N$21*(Calculations!$O35*LN(Calculations!$O35/Calculations!$C$8)-Calculations!$O35+Calculations!$C$8)-'Reaction Information'!$O$21*10^4*(((1/(Calculations!$O35-Calculations!$C$13))-(1/(Calculations!$C$8-Calculations!$C$13)))*((Calculations!$C$13-Calculations!$O35)/(Calculations!$C$13))-(Calculations!$O35/(Calculations!$C$13*Calculations!$C$13))*LN((Calculations!$C$8*(Calculations!$O35-Calculations!$C$13))/(Calculations!$O35*(Calculations!$C$8-Calculations!$C$13))))+'Reaction Information'!$J$21*10^-1*(Calculations!$M35-Calculations!$C$9)+'Reaction Information'!$K$21*10^2*LN((Calculations!$C$12+Calculations!$M35)/(Calculations!$C$12+Calculations!$C$9))+(1/(Calculations!$O35-Calculations!$C$13))*('Reaction Information'!$L$21*(Calculations!$M35-Calculations!$C$9)+'Reaction Information'!$M$21*10^4*LN((Calculations!$C$12+Calculations!$M35)/(Calculations!$C$12+Calculations!$C$9)))+calculateOmega(Calculations!M35,Calculations!N35,Calculations!Q35,'Reaction Information'!$C$21,'Reaction Information'!$P$21*10^5,'Reaction Information'!$Q$21)*((1/Calculations!$S35)-1)-'Reaction Information'!$P$21*10^5*((1/Calculations!$C$10)-1)+'Reaction Information'!$P$21*10^5*Calculations!$C$14*(Calculations!$O35-Calculations!$C$8))</f>
        <v>#N/A</v>
      </c>
      <c r="AI35" s="8" t="e">
        <f>IF(ISBLANK(Input!$AG$4),NA(),'Reaction Information'!$E$25-'Reaction Information'!$G$25*(Calculations!$O35-Calculations!$C$8)-'Reaction Information'!$N$25*(Calculations!$O35*LN(Calculations!$O35/Calculations!$C$8)-Calculations!$O35+Calculations!$C$8)-'Reaction Information'!$O$25*10^4*(((1/(Calculations!$O35-Calculations!$C$13))-(1/(Calculations!$C$8-Calculations!$C$13)))*((Calculations!$C$13-Calculations!$O35)/(Calculations!$C$13))-(Calculations!$O35/(Calculations!$C$13*Calculations!$C$13))*LN((Calculations!$C$8*(Calculations!$O35-Calculations!$C$13))/(Calculations!$O35*(Calculations!$C$8-Calculations!$C$13))))+'Reaction Information'!$J$25*10^-1*(Calculations!$M35-Calculations!$C$9)+'Reaction Information'!$K$25*10^2*LN((Calculations!$C$12+Calculations!$M35)/(Calculations!$C$12+Calculations!$C$9))+(1/(Calculations!$O35-Calculations!$C$13))*('Reaction Information'!$L$25*(Calculations!$M35-Calculations!$C$9)+'Reaction Information'!$M$25*10^4*LN((Calculations!$C$12+Calculations!$M35)/(Calculations!$C$12+Calculations!$C$9)))+calculateOmega(Calculations!M35,Calculations!N35,Calculations!Q35,'Reaction Information'!$C$25,'Reaction Information'!$P$25*10^5,'Reaction Information'!$Q$25)*((1/Calculations!$S35)-1)-'Reaction Information'!$P$25*10^5*((1/Calculations!$C$10)-1)+'Reaction Information'!$P$25*10^5*Calculations!$C$14*(Calculations!$O35-Calculations!$C$8))</f>
        <v>#N/A</v>
      </c>
      <c r="AJ35" s="8" t="e">
        <f>IF(ISBLANK(Input!$AJ$4),NA(),'Reaction Information'!$E$29-'Reaction Information'!$G$29*(Calculations!$O35-Calculations!$C$8)-'Reaction Information'!$N$29*(Calculations!$O35*LN(Calculations!$O35/Calculations!$C$8)-Calculations!$O35+Calculations!$C$8)-'Reaction Information'!$O$29*10^4*(((1/(Calculations!$O35-Calculations!$C$13))-(1/(Calculations!$C$8-Calculations!$C$13)))*((Calculations!$C$13-Calculations!$O35)/(Calculations!$C$13))-(Calculations!$O35/(Calculations!$C$13*Calculations!$C$13))*LN((Calculations!$C$8*(Calculations!$O35-Calculations!$C$13))/(Calculations!$O35*(Calculations!$C$8-Calculations!$C$13))))+'Reaction Information'!$J$29*10^-1*(Calculations!$M35-Calculations!$C$9)+'Reaction Information'!$K$29*10^2*LN((Calculations!$C$12+Calculations!$M35)/(Calculations!$C$12+Calculations!$C$9))+(1/(Calculations!$O35-Calculations!$C$13))*('Reaction Information'!$L$29*(Calculations!$M35-Calculations!$C$9)+'Reaction Information'!$M$29*10^4*LN((Calculations!$C$12+Calculations!$M35)/(Calculations!$C$12+Calculations!$C$9)))+calculateOmega(Calculations!M35,Calculations!N35,Calculations!Q35,'Reaction Information'!$C$29,'Reaction Information'!$P$29*10^5,'Reaction Information'!$Q$29)*((1/Calculations!$S35)-1)-'Reaction Information'!$P$29*10^5*((1/Calculations!$C$10)-1)+'Reaction Information'!$P$29*10^5*Calculations!$C$14*(Calculations!$O35-Calculations!$C$8))</f>
        <v>#N/A</v>
      </c>
      <c r="AK35" s="8" t="e">
        <f>IF(ISBLANK(Input!$AM$4),NA(),'Reaction Information'!$E$33-'Reaction Information'!$G$33*(Calculations!$O35-Calculations!$C$8)-'Reaction Information'!$N$33*(Calculations!$O35*LN(Calculations!$O35/Calculations!$C$8)-Calculations!$O35+Calculations!$C$8)-'Reaction Information'!$O$33*10^4*(((1/(Calculations!$O35-Calculations!$C$13))-(1/(Calculations!$C$8-Calculations!$C$13)))*((Calculations!$C$13-Calculations!$O35)/(Calculations!$C$13))-(Calculations!$O35/(Calculations!$C$13*Calculations!$C$13))*LN((Calculations!$C$8*(Calculations!$O35-Calculations!$C$13))/(Calculations!$O35*(Calculations!$C$8-Calculations!$C$13))))+'Reaction Information'!$J$33*10^-1*(Calculations!$M35-Calculations!$C$9)+'Reaction Information'!$K$33*10^2*LN((Calculations!$C$12+Calculations!$M35)/(Calculations!$C$12+Calculations!$C$9))+(1/(Calculations!$O35-Calculations!$C$13))*('Reaction Information'!$L$33*(Calculations!$M35-Calculations!$C$9)+'Reaction Information'!$M$33*10^4*LN((Calculations!$C$12+Calculations!$M35)/(Calculations!$C$12+Calculations!$C$9)))+calculateOmega(Calculations!M35,Calculations!N35,Calculations!Q35,'Reaction Information'!$C$33,'Reaction Information'!$P$33*10^5,'Reaction Information'!$Q$33)*((1/Calculations!$S35)-1)-'Reaction Information'!$P$33*10^5*((1/Calculations!$C$10)-1)+'Reaction Information'!$P$33*10^5*Calculations!$C$14*(Calculations!$O35-Calculations!$C$8))</f>
        <v>#N/A</v>
      </c>
      <c r="AL35" s="1">
        <f>Results!S37</f>
        <v>0</v>
      </c>
      <c r="AM35" s="1">
        <f>Results!T37</f>
        <v>0</v>
      </c>
      <c r="AN35" s="1">
        <f>Results!U37</f>
        <v>0</v>
      </c>
      <c r="AO35" s="1">
        <f>Results!V37</f>
        <v>0</v>
      </c>
      <c r="AP35" s="8" t="e">
        <f>IF(ISBLANK(Input!$BB$4),NA(),'Reaction Information'!$E$38-'Reaction Information'!$G$38*(Calculations!$O35-Calculations!$C$8)+'Reaction Information'!$I$38*(Calculations!$O35-Calculations!$C$8-Calculations!$O35*LN(Calculations!$O35/Calculations!$C$8))+'Reaction Information'!$J$38*0.001/2*(2*Calculations!$O35*Calculations!$C$8-Calculations!$O35^2-Calculations!$C$8^2) + 'Reaction Information'!$K$38*100000*(Calculations!$O35^2 + Calculations!$C$8^2 - 2*Calculations!$O35*Calculations!$C$8)/(2*Calculations!$O35*Calculations!$C$8^2))</f>
        <v>#N/A</v>
      </c>
      <c r="AQ35" s="8" t="e">
        <f>IF(ISBLANK(Input!$BE$4),NA(),'Reaction Information'!$E$42-'Reaction Information'!$G$42*(Calculations!$O35-Calculations!$C$8)+'Reaction Information'!$I$42*(Calculations!$O35-Calculations!$C$8-Calculations!$O35*LN(Calculations!$O35/Calculations!$C$8))+'Reaction Information'!$J$42*0.001/2*(2*Calculations!$O35*Calculations!$C$8-Calculations!$O35^2-Calculations!$C$8^2) + 'Reaction Information'!$K$42*100000*(Calculations!$O35^2 + Calculations!$C$8^2 - 2*Calculations!$O35*Calculations!$C$8)/(2*Calculations!$O35*Calculations!$C$8^2))</f>
        <v>#N/A</v>
      </c>
      <c r="AR35" s="8" t="e">
        <f>IF(AR$5="H2O", IF($D$24=3,IF(T35=0,NA(),T35),calculateGibbsOfWater(M35,N35,$D$24,$D$20,$D$19=3)),NA())</f>
        <v>#N/A</v>
      </c>
      <c r="AS35" s="8">
        <f>IF(ISBLANK(Input!$BK$4),NA(),'Reaction Information'!$E$46-'Reaction Information'!$G$46*(Calculations!O35-Calculations!$C$8)-'Reaction Information'!$N$46*(Calculations!O35*LN(Calculations!O35/Calculations!$C$8)-Calculations!O35+Calculations!$C$8)-'Reaction Information'!$O$46*10^4*(((1/(Calculations!O35-Calculations!$C$13))-(1/(Calculations!$C$8-Calculations!$C$13)))*((Calculations!$C$13-Calculations!O35)/(Calculations!$C$13))-(Calculations!O35/(Calculations!$C$13*Calculations!$C$13))*LN((Calculations!$C$8*(Calculations!O35-Calculations!$C$13))/(Calculations!O35*(Calculations!$C$8-Calculations!$C$13))))+'Reaction Information'!$J$46*10^-1*(Calculations!$M35-Calculations!$C$9)+'Reaction Information'!$K$46*10^2*LN((Calculations!$C$12+Calculations!$M35)/(Calculations!$C$12+Calculations!$C$9))+(1/(Calculations!O35-Calculations!$C$13))*('Reaction Information'!$L$46*(Calculations!$M35-Calculations!$C$9)+'Reaction Information'!$M$46*10^4*LN((Calculations!$C$12+Calculations!$M35)/(Calculations!$C$12+Calculations!$C$9)))+calculateOmega(Calculations!M35,Calculations!N35,Calculations!Q35,'Reaction Information'!$C$46,'Reaction Information'!$P$46*10^5,'Reaction Information'!$Q$46)*((1/Calculations!S35)-1)-'Reaction Information'!$P$46*10^5*((1/Calculations!$C$10)-1)+'Reaction Information'!$P$46*10^5*Calculations!$C$14*(Calculations!O35-Calculations!$C$8))</f>
        <v>0</v>
      </c>
      <c r="AT35" s="8">
        <f>IF(ISBLANK(Input!$BN$4),NA(),'Reaction Information'!$E$50-'Reaction Information'!$G$50*(Calculations!O35-Calculations!$C$8)-'Reaction Information'!$N$50*(Calculations!O35*LN(Calculations!O35/Calculations!$C$8)-Calculations!O35+Calculations!$C$8)-'Reaction Information'!$O$50*10^4*(((1/(Calculations!O35-Calculations!$C$13))-(1/(Calculations!$C$8-Calculations!$C$13)))*((Calculations!$C$13-Calculations!O35)/(Calculations!$C$13))-(Calculations!O35/(Calculations!$C$13*Calculations!$C$13))*LN((Calculations!$C$8*(Calculations!O35-Calculations!$C$13))/(Calculations!O35*(Calculations!$C$8-Calculations!$C$13))))+'Reaction Information'!$J$50*10^-1*(Calculations!$M35-Calculations!$C$9)+'Reaction Information'!$K$50*10^2*LN((Calculations!$C$12+Calculations!$M35)/(Calculations!$C$12+Calculations!$C$9))+(1/(Calculations!O35-Calculations!$C$13))*('Reaction Information'!$L$50*(Calculations!$M35-Calculations!$C$9)+'Reaction Information'!$M$50*10^4*LN((Calculations!$C$12+Calculations!$M35)/(Calculations!$C$12+Calculations!$C$9)))+calculateOmega(Calculations!M35,Calculations!N35,Calculations!Q35,'Reaction Information'!$C$50,'Reaction Information'!$P$50*10^5,'Reaction Information'!$Q$50)*((1/Calculations!S35)-1)-'Reaction Information'!$P$50*10^5*((1/Calculations!$C$10)-1)+'Reaction Information'!$P$50*10^5*Calculations!$C$14*(Calculations!O35-Calculations!$C$8))</f>
        <v>-158556.65030522898</v>
      </c>
      <c r="AU35" s="8" t="e">
        <f>IF(ISBLANK(Input!$BQ$4),NA(),'Reaction Information'!$E$54-'Reaction Information'!$G$54*(Calculations!$O35-Calculations!$C$8)-'Reaction Information'!$N$54*(Calculations!$O35*LN(Calculations!$O35/Calculations!$C$8)-Calculations!$O35+Calculations!$C$8)-'Reaction Information'!$O$54*10^4*(((1/(Calculations!$O35-Calculations!$C$13))-(1/(Calculations!$C$8-Calculations!$C$13)))*((Calculations!$C$13-Calculations!$O35)/(Calculations!$C$13))-(Calculations!$O35/(Calculations!$C$13*Calculations!$C$13))*LN((Calculations!$C$8*(Calculations!$O35-Calculations!$C$13))/(Calculations!$O35*(Calculations!$C$8-Calculations!$C$13))))+'Reaction Information'!$J$54*10^-1*(Calculations!$M35-Calculations!$C$9)+'Reaction Information'!$K$54*10^2*LN((Calculations!$C$12+Calculations!$M35)/(Calculations!$C$12+Calculations!$C$9))+(1/(Calculations!$O35-Calculations!$C$13))*('Reaction Information'!$L$54*(Calculations!$M35-Calculations!$C$9)+'Reaction Information'!$M$54*10^4*LN((Calculations!$C$12+Calculations!$M35)/(Calculations!$C$12+Calculations!$C$9)))+calculateOmega(Calculations!M35,Calculations!N35,Calculations!Q35,'Reaction Information'!$C$54,'Reaction Information'!$P$54*10^5,'Reaction Information'!$Q$54)*((1/Calculations!$S35)-1)-'Reaction Information'!$P$54*10^5*((1/Calculations!$C$10)-1)+'Reaction Information'!$P$54*10^5*Calculations!$C$14*(Calculations!$O35-Calculations!$C$8))</f>
        <v>#N/A</v>
      </c>
      <c r="AV35" s="8" t="e">
        <f>IF(ISBLANK(Input!$BT$4),NA(),'Reaction Information'!$E$58-'Reaction Information'!$G$58*(Calculations!$O35-Calculations!$C$8)-'Reaction Information'!$N$58*(Calculations!$O35*LN(Calculations!$O35/Calculations!$C$8)-Calculations!$O35+Calculations!$C$8)-'Reaction Information'!$O$58*10^4*(((1/(Calculations!$O35-Calculations!$C$13))-(1/(Calculations!$C$8-Calculations!$C$13)))*((Calculations!$C$13-Calculations!$O35)/(Calculations!$C$13))-(Calculations!$O35/(Calculations!$C$13*Calculations!$C$13))*LN((Calculations!$C$8*(Calculations!$O35-Calculations!$C$13))/(Calculations!$O35*(Calculations!$C$8-Calculations!$C$13))))+'Reaction Information'!$J$58*10^-1*(Calculations!$M35-Calculations!$C$9)+'Reaction Information'!$K$58*10^2*LN((Calculations!$C$12+Calculations!$M35)/(Calculations!$C$12+Calculations!$C$9))+(1/(Calculations!$O35-Calculations!$C$13))*('Reaction Information'!$L$58*(Calculations!$M35-Calculations!$C$9)+'Reaction Information'!$M$58*10^4*LN((Calculations!$C$12+Calculations!$M35)/(Calculations!$C$12+Calculations!$C$9)))+calculateOmega(Calculations!M35,Calculations!N35,Calculations!Q35,'Reaction Information'!$C$58,'Reaction Information'!$P$58*10^5,'Reaction Information'!$Q$58)*((1/Calculations!$S35)-1)-'Reaction Information'!$P$58*10^5*((1/Calculations!$C$10)-1)+'Reaction Information'!$P$58*10^5*Calculations!$C$14*(Calculations!$O35-Calculations!$C$8))</f>
        <v>#N/A</v>
      </c>
      <c r="AW35" s="8" t="e">
        <f>IF(ISBLANK(Input!$BW$4),NA(),'Reaction Information'!$E$62-'Reaction Information'!$G$62*(Calculations!$O35-Calculations!$C$8)-'Reaction Information'!$N$62*(Calculations!$O35*LN(Calculations!$O35/Calculations!$C$8)-Calculations!$O35+Calculations!$C$8)-'Reaction Information'!$O$62*10^4*(((1/(Calculations!$O35-Calculations!$C$13))-(1/(Calculations!$C$8-Calculations!$C$13)))*((Calculations!$C$13-Calculations!$O35)/(Calculations!$C$13))-(Calculations!$O35/(Calculations!$C$13*Calculations!$C$13))*LN((Calculations!$C$8*(Calculations!$O35-Calculations!$C$13))/(Calculations!$O35*(Calculations!$C$8-Calculations!$C$13))))+'Reaction Information'!$J$62*10^-1*(Calculations!$M35-Calculations!$C$9)+'Reaction Information'!$K$62*10^2*LN((Calculations!$C$12+Calculations!$M35)/(Calculations!$C$12+Calculations!$C$9))+(1/(Calculations!$O35-Calculations!$C$13))*('Reaction Information'!$L$62*(Calculations!$M35-Calculations!$C$9)+'Reaction Information'!$M$62*10^4*LN((Calculations!$C$12+Calculations!$M35)/(Calculations!$C$12+Calculations!$C$9)))+calculateOmega(Calculations!M35,Calculations!N35,Calculations!Q35,'Reaction Information'!$C$62,'Reaction Information'!$P$62*10^5,'Reaction Information'!$Q$62)*((1/Calculations!$S35)-1)-'Reaction Information'!$P$62*10^5*((1/Calculations!$C$10)-1)+'Reaction Information'!$P$62*10^5*Calculations!$C$14*(Calculations!$O35-Calculations!$C$8))</f>
        <v>#N/A</v>
      </c>
      <c r="AX35" s="8" t="e">
        <f>IF(ISBLANK(Input!$BZ$4),NA(),'Reaction Information'!$E$66-'Reaction Information'!$G$66*(Calculations!$O35-Calculations!$C$8)-'Reaction Information'!$N$66*(Calculations!$O35*LN(Calculations!$O35/Calculations!$C$8)-Calculations!$O35+Calculations!$C$8)-'Reaction Information'!$O$66*10^4*(((1/(Calculations!$O35-Calculations!$C$13))-(1/(Calculations!$C$8-Calculations!$C$13)))*((Calculations!$C$13-Calculations!$O35)/(Calculations!$C$13))-(Calculations!$O35/(Calculations!$C$13*Calculations!$C$13))*LN((Calculations!$C$8*(Calculations!$O35-Calculations!$C$13))/(Calculations!$O35*(Calculations!$C$8-Calculations!$C$13))))+'Reaction Information'!$J$66*10^-1*(Calculations!$M35-Calculations!$C$9)+'Reaction Information'!$K$66*10^2*LN((Calculations!$C$12+Calculations!$M35)/(Calculations!$C$12+Calculations!$C$9))+(1/(Calculations!$O35-Calculations!$C$13))*('Reaction Information'!$L$66*(Calculations!$M35-Calculations!$C$9)+'Reaction Information'!$M$66*10^4*LN((Calculations!$C$12+Calculations!$M35)/(Calculations!$C$12+Calculations!$C$9)))+calculateOmega(Calculations!M35,Calculations!N35,Calculations!Q35,'Reaction Information'!$C$66,'Reaction Information'!$P$66*10^5,'Reaction Information'!$Q$66)*((1/Calculations!$S35)-1)-'Reaction Information'!$P$66*10^5*((1/Calculations!$C$10)-1)+'Reaction Information'!$P$66*10^5*Calculations!$C$14*(Calculations!$O35-Calculations!$C$8))</f>
        <v>#N/A</v>
      </c>
      <c r="AY35" s="31">
        <f>(AL35*Input!$AO$4+AM35*Input!$AR$4+AN35*Input!$AU$4+AO35*Input!$AX$4+IF(ISNA(AP35),0,AP35*Input!$BA$4)+IF(ISNA(AQ35),0,AQ35*Input!$BD$4)+IF(ISNA(AR35),0,AR35*Input!$BG$4)+IF(ISNA(AS35),0,AS35*Input!$BJ$4)+IF(ISNA(AT35),0,AT35*Input!$BM$4)+IF(ISNA(AU35),0,AU35*Input!$BP$4)+IF(ISNA(AV35),0,AV35*Input!$BS$4)+IF(ISNA(AW35),0,AW35*Input!$BV$4)+IF(ISNA(AX35),0,AX35*Input!$BY$4))-(Y35*Input!$B$4+Z35*Input!$E$4+AA35*Input!$H$4+AB35*Input!$K$4+IF(ISNA(AC35),0,AC35*Input!$N$4)+IF(ISNA(AD35),0,AD35*Input!$Q$4)+IF(ISNA(AE35),0,AE35*Input!$T$4)+IF(ISNA(AF35),0,AF35*Input!$W$4)+IF(ISNA(AG35),0,AG35*Input!$Z$4)+IF(ISNA(AH35),0,AH35*Input!$AC$4)+IF(ISNA(AI35),0,AI35*Input!$AF$4)+IF(ISNA(AJ35),0,AJ35*Input!$AI$4)+IF(ISNA(AK35),0,AK35*Input!$AL$4))</f>
        <v>53531.530615719821</v>
      </c>
      <c r="AZ35" s="42">
        <f t="shared" si="7"/>
        <v>-9.1952165283395288</v>
      </c>
      <c r="BA35" s="1">
        <f t="shared" si="8"/>
        <v>1000</v>
      </c>
      <c r="BB35" s="46">
        <f t="shared" si="9"/>
        <v>10000</v>
      </c>
      <c r="BC35" s="1"/>
      <c r="BD35" s="2">
        <f t="shared" si="10"/>
        <v>10000</v>
      </c>
      <c r="BE35" s="46">
        <f t="shared" si="11"/>
        <v>1000</v>
      </c>
      <c r="BF35" s="1">
        <f>Results!AJ37</f>
        <v>0</v>
      </c>
      <c r="BG35" s="1">
        <f>Results!AK37</f>
        <v>0</v>
      </c>
      <c r="BH35" s="1">
        <f>Results!AL37</f>
        <v>0</v>
      </c>
      <c r="BI35" s="1">
        <f>Results!AM37</f>
        <v>0</v>
      </c>
      <c r="BJ35" s="1" t="e">
        <f>IF(OR(ISNA('Reaction Information'!$D$5), $N35 = "", $D$27 = FALSE, 'Reaction Information'!$D$5 = ""), NA(), 24.465)</f>
        <v>#N/A</v>
      </c>
      <c r="BK35" s="1" t="e">
        <f>IF(OR(ISNA('Reaction Information'!$D$9), $N35 = "", $D$27 = FALSE, 'Reaction Information'!$D$9 = ""), NA(), 24.465)</f>
        <v>#N/A</v>
      </c>
      <c r="BL35" s="8">
        <f t="shared" si="0"/>
        <v>22.56619120676632</v>
      </c>
      <c r="BM35" s="8">
        <f>IF(OR(ISBLANK(Input!$X$4),$D$27=FALSE),NA(),('Reaction Information'!$J$13/10+'Reaction Information'!$K$13*100/(Calculations!$C$12+Calculations!$M35)+('Reaction Information'!$L$13+'Reaction Information'!$M$13*10^4/(Calculations!$C$12+Calculations!$M35))/(Calculations!$O35-Calculations!$C$13) -calculateOmega(Calculations!$M35,Calculations!$N35,Calculations!$Q35,'Reaction Information'!$C$13,'Reaction Information'!$P$13*10^5,'Reaction Information'!$Q$13)*Calculations!$U35*10^-6 + (1/$S35 - 1)*calculate_domegadP(Calculations!$M35,Calculations!$N35,Calculations!$Q35,'Reaction Information'!$C$13,'Reaction Information'!$P$13*10^5,'Reaction Information'!$Q$13,$D$20,$D$19=3))*41.84)</f>
        <v>40.400813694686114</v>
      </c>
      <c r="BN35" s="8" t="e">
        <f>IF(OR(ISBLANK(Input!$AA$4),$D$27=FALSE),NA(),('Reaction Information'!$J$17/10+'Reaction Information'!$K$17*100/(Calculations!$C$12+Calculations!$M35)+('Reaction Information'!$L$17+'Reaction Information'!$M$17*10000/(Calculations!$C$12+Calculations!$M35))/(Calculations!$O35-Calculations!$C$13)-calculateOmega(Calculations!M35,Calculations!N35,Calculations!Q35,'Reaction Information'!$C$17,'Reaction Information'!$P$17*10^5,'Reaction Information'!$Q$17)*Calculations!$U35*10^-6 + (1/$S35 - 1)*calculate_domegadP(Calculations!M35,Calculations!N35,Calculations!Q35,'Reaction Information'!$C$17,'Reaction Information'!$P$17*10^5,'Reaction Information'!$Q$17,$D$20,$D$19=3))*41.84)</f>
        <v>#N/A</v>
      </c>
      <c r="BO35" s="8" t="e">
        <f>IF(OR(ISBLANK(Input!$AD$4),$D$27=FALSE),NA(),('Reaction Information'!$J$21/10+'Reaction Information'!$K$21*100/(Calculations!$C$12+Calculations!$M35)+('Reaction Information'!$L$21+'Reaction Information'!$M$21*10000/(Calculations!$C$12+Calculations!$M35))/(Calculations!$O35-Calculations!$C$13)-calculateOmega(Calculations!M35,Calculations!N35,Calculations!Q35,'Reaction Information'!$C$21,'Reaction Information'!$P$21*10^5,'Reaction Information'!$Q$21)*Calculations!$U35*10^-6 + (1/$S35 - 1)*calculate_domegadP(Calculations!M35,Calculations!N35,Calculations!Q35,'Reaction Information'!$C$21,'Reaction Information'!$P$21*10^5,'Reaction Information'!$Q$21,$D$20,$D$19=3))*41.84)</f>
        <v>#N/A</v>
      </c>
      <c r="BP35" s="8" t="e">
        <f>IF(OR(ISBLANK(Input!$AG$4),$D$27=FALSE),NA(),('Reaction Information'!$J$25/10+'Reaction Information'!$K$25*100/(Calculations!$C$12+Calculations!$M35)+('Reaction Information'!$L$25+'Reaction Information'!$M$25*10000/(Calculations!$C$12+Calculations!$M35))/(Calculations!$O35-Calculations!$C$13)-calculateOmega(Calculations!M35,Calculations!N35,Calculations!Q35,'Reaction Information'!$C$25,'Reaction Information'!$P$25*10^5,'Reaction Information'!$Q$25)*Calculations!$U35*10^-6 + (1/$S35 - 1)*calculate_domegadP(Calculations!M35,Calculations!N35,Calculations!Q35,'Reaction Information'!$C$25,'Reaction Information'!$P$25*10^5,'Reaction Information'!$Q$25,$D$20,$D$19=3))*41.84)</f>
        <v>#N/A</v>
      </c>
      <c r="BQ35" s="8" t="e">
        <f>IF(OR(ISBLANK(Input!$AJ$4),$D$27=FALSE),NA(),('Reaction Information'!$J$29/10+'Reaction Information'!$K$29*100/(Calculations!$C$12+Calculations!$M35)+('Reaction Information'!$L$29+'Reaction Information'!$M$29*10000/(Calculations!$C$12+Calculations!$M35))/(Calculations!$O35-Calculations!$C$13)-calculateOmega(Calculations!M35,Calculations!N35,Calculations!Q35,'Reaction Information'!$C$29,'Reaction Information'!$P$29*10^5,'Reaction Information'!$Q$29)*Calculations!$U35*10^-6 + (1/$S35 - 1)*calculate_domegadP(Calculations!M35,Calculations!N35,Calculations!Q35,'Reaction Information'!$C$29,'Reaction Information'!$P$29*10^5,'Reaction Information'!$Q$29,$D$20,$D$19=3))*41.84)</f>
        <v>#N/A</v>
      </c>
      <c r="BR35" s="8" t="e">
        <f>IF(OR(ISBLANK(Input!$AM$4),$D$27=FALSE),NA(),('Reaction Information'!$J$33/10+'Reaction Information'!$K$33*100/(Calculations!$C$12+Calculations!$M35)+('Reaction Information'!$L$33+'Reaction Information'!$M$33*10000/(Calculations!$C$12+Calculations!$M35))/(Calculations!$O35-Calculations!$C$13)-calculateOmega(Calculations!M35,Calculations!N35,Calculations!Q35,'Reaction Information'!$C$33,'Reaction Information'!$P$33*10^5,'Reaction Information'!$Q$33)*Calculations!$U35*10^-6 + (1/$S35 - 1)*calculate_domegadP(Calculations!M35,Calculations!N35,Calculations!Q35,'Reaction Information'!$C$33,'Reaction Information'!$P$33*10^5,'Reaction Information'!$Q$33,$D$20,$D$19=3))*41.84)</f>
        <v>#N/A</v>
      </c>
      <c r="BS35" s="1">
        <f>Results!AW37</f>
        <v>0</v>
      </c>
      <c r="BT35" s="1">
        <f>Results!AX37</f>
        <v>0</v>
      </c>
      <c r="BU35" s="1">
        <f>Results!AY37</f>
        <v>0</v>
      </c>
      <c r="BV35" s="1">
        <f>Results!AZ37</f>
        <v>0</v>
      </c>
      <c r="BW35" s="1" t="e">
        <f>IF(OR(ISNA('Reaction Information'!$D$38), $N35 = "", $D$27 = FALSE, 'Reaction Information'!$D$38 = ""), NA(), 24.465)</f>
        <v>#N/A</v>
      </c>
      <c r="BX35" s="1" t="e">
        <f>IF(OR(ISNA('Reaction Information'!$D$42), $N35 = "", $D$27 = FALSE, 'Reaction Information'!$D$42 = ""), NA(), 24.465)</f>
        <v>#N/A</v>
      </c>
      <c r="BY35" s="8" t="e">
        <f t="shared" si="1"/>
        <v>#N/A</v>
      </c>
      <c r="BZ35" s="8">
        <f>IF(OR(ISBLANK(Input!$BK$4),$D$27=FALSE),NA(),('Reaction Information'!$J$46/10+'Reaction Information'!$K$46*100/(Calculations!$C$12+Calculations!$M35)+('Reaction Information'!$L$46+'Reaction Information'!$M$46*10000/(Calculations!$C$12+Calculations!$M35))/(Calculations!$O35-Calculations!$C$13)-calculateOmega(Calculations!M35,Calculations!N35,Calculations!Q35,'Reaction Information'!$C$46,'Reaction Information'!$P$46*10^5,'Reaction Information'!$Q$46)*Calculations!$U35*10^-6 + (1/$S35 - 1)*calculate_domegadP(Calculations!M35,Calculations!N35,Calculations!Q35,'Reaction Information'!$C$46,'Reaction Information'!$P$46*10^5,'Reaction Information'!$Q$46,$D$20,$D$19=3))*41.84)</f>
        <v>0</v>
      </c>
      <c r="CA35" s="8">
        <f>IF(OR(ISBLANK(Input!$BN$4),$D$27=FALSE),NA(),('Reaction Information'!$J$50/10+'Reaction Information'!$K$50*100/(Calculations!$C$12+Calculations!$M35)+('Reaction Information'!$L$50+'Reaction Information'!$M$50*10000/(Calculations!$C$12+Calculations!$M35))/(Calculations!$O35-Calculations!$C$13)-calculateOmega(Calculations!M35,Calculations!N35,Calculations!Q35,'Reaction Information'!$C$50,'Reaction Information'!$P$50*10^5,'Reaction Information'!$Q$50)*Calculations!$U35*10^-6 + (1/$S35 - 1)*calculate_domegadP(Calculations!M35,Calculations!N35,Calculations!Q35,'Reaction Information'!$C$50,'Reaction Information'!$P$50*10^5,'Reaction Information'!$Q$50,$D$20,$D$19=3))*41.84)</f>
        <v>15.59108481548118</v>
      </c>
      <c r="CB35" s="8" t="e">
        <f>IF(OR(ISBLANK(Input!$BQ$4),$D$27=FALSE),NA(),('Reaction Information'!$J$54/10+'Reaction Information'!$K$54*100/(Calculations!$C$12+Calculations!$M35)+('Reaction Information'!$L$54+'Reaction Information'!$M$54*10000/(Calculations!$C$12+Calculations!$M35))/(Calculations!$O35-Calculations!$C$13)-calculateOmega(Calculations!M35,Calculations!N35,Calculations!Q35,'Reaction Information'!$C$54,'Reaction Information'!$P$54*10^5,'Reaction Information'!$Q$54)*Calculations!$U35*10^-6 + (1/$S35 - 1)*calculate_domegadP(Calculations!M35,Calculations!N35,Calculations!Q35,'Reaction Information'!$C$54,'Reaction Information'!$P$54*10^5,'Reaction Information'!$Q$54,$D$20,$D$19=3))*41.84)</f>
        <v>#N/A</v>
      </c>
      <c r="CC35" s="8" t="e">
        <f>IF(OR(ISBLANK(Input!$BT$4),$D$27=FALSE),NA(),('Reaction Information'!$J$58/10+'Reaction Information'!$K$58*100/(Calculations!$C$12+Calculations!$M35)+('Reaction Information'!$L$58+'Reaction Information'!$M$58*10000/(Calculations!$C$12+Calculations!$M35))/(Calculations!$O35-Calculations!$C$13)-calculateOmega(Calculations!M35,Calculations!N35,Calculations!Q35,'Reaction Information'!$C$58,'Reaction Information'!$P$58*10^5,'Reaction Information'!$Q$58)*Calculations!$U35*10^-6 + (1/$S35 - 1)*calculate_domegadP(Calculations!M35,Calculations!N35,Calculations!Q35,'Reaction Information'!$C$58,'Reaction Information'!$P$58*10^5,'Reaction Information'!$Q$58,$D$20,$D$19=3))*41.84)</f>
        <v>#N/A</v>
      </c>
      <c r="CD35" s="8" t="e">
        <f>IF(OR(ISBLANK(Input!$BW$4),$D$27=FALSE),NA(),('Reaction Information'!$J$62/10+'Reaction Information'!$K$62*100/(Calculations!$C$12+Calculations!$M35)+('Reaction Information'!$L$62+'Reaction Information'!$M$62*10000/(Calculations!$C$12+Calculations!$M35))/(Calculations!$O35-Calculations!$C$13)-calculateOmega(Calculations!M35,Calculations!N35,Calculations!Q35,'Reaction Information'!$C$62,'Reaction Information'!$P$62*10^5,'Reaction Information'!$Q$62)*Calculations!$U35*10^-6 + (1/$S35 - 1)*calculate_domegadP(Calculations!M35,Calculations!N35,Calculations!Q35,'Reaction Information'!$C$62,'Reaction Information'!$P$62*10^5,'Reaction Information'!$Q$62,$D$20,$D$19=3))*41.84)</f>
        <v>#N/A</v>
      </c>
      <c r="CE35" s="8" t="e">
        <f>IF(OR(ISBLANK(Input!$BZ$4),$D$27=FALSE),NA(),('Reaction Information'!$J$66/10+'Reaction Information'!$K$66*100/(Calculations!$C$12+Calculations!$M35)+('Reaction Information'!$L$66+'Reaction Information'!$M$66*10000/(Calculations!$C$12+Calculations!$M35))/(Calculations!$O35-Calculations!$C$13)-calculateOmega(Calculations!M35,Calculations!N35,Calculations!Q35,'Reaction Information'!$C$66,'Reaction Information'!$P$66*10^5,'Reaction Information'!$Q$66)*Calculations!$U35*10^-6 + (1/$S35 - 1)*calculate_domegadP(Calculations!M35,Calculations!N35,Calculations!Q35,'Reaction Information'!$C$66,'Reaction Information'!$P$66*10^5,'Reaction Information'!$Q$66,$D$20,$D$19=3))*41.84)</f>
        <v>#N/A</v>
      </c>
      <c r="CF35" s="31">
        <f>(BS35*Input!$AO$4+BT35*Input!$AR$4+BU35*Input!$AU$4+BV35*Input!$AX$4+IF(ISNA(BW35),0,BW35*Input!$BA$4)+IF(ISNA(BX35),0,BX35*Input!$BD$4)+IF(ISNA(BY35),0,BY35*Input!$BG$4)+IF(ISNA(BZ35),0,BZ35*Input!$BJ$4)+IF(ISNA(CA35),0,CA35*Input!$BM$4)+IF(ISNA(CB35),0,CB35*Input!$BP$4)+IF(ISNA(CC35),0,CC35*Input!$BS$4)+IF(ISNA(CD35),0,CD35*Input!$BV$4)+IF(ISNA(CE35),0,CE35*Input!$BY$4))-(BF35*Input!$B$4+BG35*Input!$E$4+BH35*Input!$H$4+BI35*Input!$K$4+IF(ISNA(BJ35),0,BJ35*Input!$N$4)+IF(ISNA(BK35),0,BK35*Input!$Q$4)+IF(ISNA(BL35),0,BL35*Input!$T$4)+IF(ISNA(BM35),0,BM35*Input!$W$4)+IF(ISNA(BN35),0,BN35*Input!$Z$4)+IF(ISNA(BO35),0,BO35*Input!$AC$4)+IF(ISNA(BP35),0,BP35*Input!$AF$4)+IF(ISNA(BQ35),0,BQ35*Input!$AI$4)+IF(ISNA(BR35),0,BR35*Input!$AL$4))</f>
        <v>-47.375920085971252</v>
      </c>
      <c r="CG35" s="1">
        <f t="shared" si="12"/>
        <v>1000</v>
      </c>
      <c r="CH35" s="46">
        <f t="shared" si="13"/>
        <v>10000</v>
      </c>
      <c r="CI35" s="1"/>
    </row>
    <row r="36" spans="1:87" ht="15" customHeight="1" x14ac:dyDescent="0.2">
      <c r="A36" s="1"/>
      <c r="B36" s="7">
        <v>2</v>
      </c>
      <c r="C36" s="266" t="s">
        <v>586</v>
      </c>
      <c r="D36" s="268"/>
      <c r="E36" s="1"/>
      <c r="F36" s="2">
        <v>31</v>
      </c>
      <c r="G36" s="1" t="str">
        <f>IF(ISBLANK(Input!CB36), "", Input!CB36*1000)</f>
        <v/>
      </c>
      <c r="H36" s="1" t="str">
        <f>IF(ISBLANK(Input!CC36), "", Input!CC36)</f>
        <v/>
      </c>
      <c r="I36" s="1">
        <f>IF(Input!$CF$5 + Input!$CF$6*(FLOOR((Calculations!$F36-1)/(FLOOR((Input!$CF$12-Input!$CF$10)/Input!$CF$11,1)+1),1)) &gt; Input!$CF$7, "", (Input!$CF$5 + Input!$CF$6*(FLOOR((Calculations!$F36-1)/(FLOOR((Input!$CF$12-Input!$CF$10)/Input!$CF$11,1)+1),1)))*1000)</f>
        <v>15000</v>
      </c>
      <c r="J36" s="1">
        <f>IF(Calculations!I36 = "", "", Input!$CF$10 + Input!$CF$11*(Calculations!$F36-1) - (FLOOR((Input!$CF$12-Input!$CF$10)/Input!$CF$11,1)+1)*Input!$CF$11*FLOOR((Calculations!$F36-1)/(FLOOR((Input!$CF$12-Input!$CF$10)/Input!$CF$11,1)+1),1))</f>
        <v>300</v>
      </c>
      <c r="K36" s="8" t="str">
        <f t="shared" si="14"/>
        <v/>
      </c>
      <c r="L36" s="117" t="str">
        <f>IF(OR(Input!$CJ$5 + Input!$CJ$6*(Calculations!F36-1) &gt; Input!$CJ$7, Input!$CJ$5 + Input!$CJ$6*(Calculations!F36-1) &gt; 350), "", Input!$CJ$5 + Input!$CJ$6*(Calculations!F36-1))</f>
        <v/>
      </c>
      <c r="M36" s="1">
        <f t="shared" si="2"/>
        <v>15000</v>
      </c>
      <c r="N36" s="1">
        <f t="shared" si="3"/>
        <v>300</v>
      </c>
      <c r="O36" s="1">
        <f t="shared" si="4"/>
        <v>573.15</v>
      </c>
      <c r="P36" s="1" t="e">
        <f>IF(OR($D$20=3,AND($D$21=TRUE,M36&lt;1000)),INDEX('Water Density'!$C$6:$CX$120,MATCH(Calculations!N36,'Water Density'!$B$6:$B$120),MATCH(Calculations!M36/1000,'Water Density'!$C$5:$CX$5)),NA())</f>
        <v>#N/A</v>
      </c>
      <c r="Q36" s="182">
        <f>IF(OR($D$20=3,AND($D$21=TRUE,M36&lt;1000)), IF(P36&lt;&gt;0,P36,NA()), calculateDensity(M36,N36,$D$20,0.01,$D$19 = 3))</f>
        <v>1.178953567402363</v>
      </c>
      <c r="R36" s="1" t="e">
        <f>IF($D$22=5,INDEX('Dielectric Constant'!$C$6:$CX$120,MATCH(Calculations!N36,'Dielectric Constant'!$B$6:$B$120),MATCH(Calculations!M36/1000,'Dielectric Constant'!$C$5:$CX$5)),NA())</f>
        <v>#N/A</v>
      </c>
      <c r="S36" s="58">
        <f>IF($D$22=5, IF(R36&lt;&gt;0,R36,NA()), IF(AND($D$23,M36&lt;=5000,$D$19 &lt;&gt; 3),calculateEpsilon(Q36,N36,1,FALSE),calculateEpsilon(Q36,N36,$D$22,$D$19 = 3)))</f>
        <v>43.568429104415138</v>
      </c>
      <c r="T36" s="1" t="e">
        <f>IF($D$24=3,INDEX('Water Free Energy'!$C$6:$CX$120,MATCH(Calculations!N36,'Water Free Energy'!$B$6:$B$120),MATCH(Calculations!M36/1000,'Water Free Energy'!$C$5:$CX$5)),NA())</f>
        <v>#N/A</v>
      </c>
      <c r="U36" s="179">
        <f>IF($D$27,calculateQ(M36,N36,Q36,$D$20,$D$22,$D$19=3)*10^6,NA())</f>
        <v>0.29577754948386259</v>
      </c>
      <c r="V36"/>
      <c r="W36" s="2">
        <f t="shared" si="5"/>
        <v>15000</v>
      </c>
      <c r="X36" s="1">
        <f t="shared" si="6"/>
        <v>300</v>
      </c>
      <c r="Y36" s="1">
        <f>Results!F38</f>
        <v>0</v>
      </c>
      <c r="Z36" s="1">
        <f>Results!G38</f>
        <v>0</v>
      </c>
      <c r="AA36" s="1">
        <f>Results!H38</f>
        <v>0</v>
      </c>
      <c r="AB36" s="1">
        <f>Results!I38</f>
        <v>0</v>
      </c>
      <c r="AC36" s="1" t="e">
        <f>IF(ISBLANK(Input!$O$4),NA(),'Reaction Information'!$E$5-'Reaction Information'!$G$5*(Calculations!$O36-Calculations!$C$8)+'Reaction Information'!$I$5*(Calculations!$O36-Calculations!$C$8-Calculations!$O36*LN(Calculations!$O36/Calculations!$C$8))+'Reaction Information'!$J$5*0.001/2*(2*Calculations!$O36*Calculations!$C$8-Calculations!$O36^2-Calculations!$C$8^2) + 'Reaction Information'!$K$5*100000*(Calculations!$O36^2 + Calculations!$C$8^2 - 2*Calculations!$O36*Calculations!$C$8)/(2*Calculations!$O36*Calculations!$C$8^2))</f>
        <v>#N/A</v>
      </c>
      <c r="AD36" s="8" t="e">
        <f>IF(ISBLANK(Input!$R$4),NA(),'Reaction Information'!$E$9-'Reaction Information'!$G$9*(Calculations!$O36-Calculations!$C$8)+'Reaction Information'!$I$9*(Calculations!$O36-Calculations!$C$8-Calculations!$O36*LN(Calculations!$O36/Calculations!$C$8))+'Reaction Information'!$J$9*0.001/2*(2*Calculations!$O36*Calculations!$C$8-Calculations!$O36^2-Calculations!$C$8^2) + 'Reaction Information'!$K$9*100000*(Calculations!$O36^2 + Calculations!$C$8^2 - 2*Calculations!$O36*Calculations!$C$8)/(2*Calculations!$O36*Calculations!$C$8^2))</f>
        <v>#N/A</v>
      </c>
      <c r="AE36" s="8">
        <f>IF(AE$5="H2O",IF($D$24=3,IF(T36=0,NA(),T36),calculateGibbsOfWater(M36,N36,$D$24,$D$20,$D$19=3)),NA())</f>
        <v>-56737.764297722839</v>
      </c>
      <c r="AF36" s="8">
        <f>IF(ISBLANK(Input!$X$4),NA(),'Reaction Information'!$E$13-'Reaction Information'!$G$13*(Calculations!O36-Calculations!$C$8)-'Reaction Information'!$N$13*(Calculations!O36*LN(Calculations!O36/Calculations!$C$8)-Calculations!O36+Calculations!$C$8)-'Reaction Information'!$O$13*10^4*(((1/(Calculations!O36-Calculations!$C$13))-(1/(Calculations!$C$8-Calculations!$C$13)))*((Calculations!$C$13-Calculations!O36)/(Calculations!$C$13))-(Calculations!O36/(Calculations!$C$13*Calculations!$C$13))*LN((Calculations!$C$8*(Calculations!O36-Calculations!$C$13))/(Calculations!O36*(Calculations!$C$8-Calculations!$C$13))))+'Reaction Information'!$J$13*10^-1*(Calculations!M36-Calculations!$C$9)+'Reaction Information'!$K$13*10^2*LN((Calculations!$C$12+Calculations!M36)/(Calculations!$C$12+Calculations!$C$9))+(1/(Calculations!O36-Calculations!$C$13))*('Reaction Information'!$L$13*(Calculations!M36-Calculations!$C$9)+'Reaction Information'!$M$13*10^4*LN((Calculations!$C$12+Calculations!M36)/(Calculations!$C$12+Calculations!$C$9)))+calculateOmega(Calculations!M36,Calculations!N36,Calculations!Q36,'Reaction Information'!$C$13,'Reaction Information'!$P$13*10^5,'Reaction Information'!$Q$13)*((1/Calculations!S36)-1)-'Reaction Information'!$P$13*10^5*((1/Calculations!$C$10)-1)+'Reaction Information'!$P$13*10^5*Calculations!$C$14*(Calculations!O36-Calculations!$C$8))</f>
        <v>-91622.491685380184</v>
      </c>
      <c r="AG36" s="8" t="e">
        <f>IF(ISBLANK(Input!$AA$4),NA(),'Reaction Information'!$E$17-'Reaction Information'!$G$17*(Calculations!$O36-Calculations!$C$8)-'Reaction Information'!$N$17*(Calculations!$O36*LN(Calculations!$O36/Calculations!$C$8)-Calculations!$O36+Calculations!$C$8)-'Reaction Information'!$O$17*10^4*(((1/(Calculations!$O36-Calculations!$C$13))-(1/(Calculations!$C$8-Calculations!$C$13)))*((Calculations!$C$13-Calculations!$O36)/(Calculations!$C$13))-(Calculations!$O36/(Calculations!$C$13*Calculations!$C$13))*LN((Calculations!$C$8*(Calculations!$O36-Calculations!$C$13))/(Calculations!$O36*(Calculations!$C$8-Calculations!$C$13))))+'Reaction Information'!$J$17*10^-1*(Calculations!$M36-Calculations!$C$9)+'Reaction Information'!$K$17*10^2*LN((Calculations!$C$12+Calculations!$M36)/(Calculations!$C$12+Calculations!$C$9))+(1/(Calculations!$O36-Calculations!$C$13))*('Reaction Information'!$L$17*(Calculations!$M36-Calculations!$C$9)+'Reaction Information'!$M$17*10^4*LN((Calculations!$C$12+Calculations!$M36)/(Calculations!$C$12+Calculations!$C$9)))+calculateOmega(Calculations!M36,Calculations!N36,Calculations!Q36,'Reaction Information'!$C$17,'Reaction Information'!$P$17*10^5,'Reaction Information'!$Q$17)*((1/Calculations!$S36)-1)-'Reaction Information'!$P$17*10^5*((1/Calculations!$C$10)-1)+'Reaction Information'!$P$17*10^5*Calculations!$C$14*(Calculations!$O36-Calculations!$C$8))</f>
        <v>#N/A</v>
      </c>
      <c r="AH36" s="8" t="e">
        <f>IF(ISBLANK(Input!$AD$4),NA(),'Reaction Information'!$E$21-'Reaction Information'!$G$21*(Calculations!$O36-Calculations!$C$8)-'Reaction Information'!$N$21*(Calculations!$O36*LN(Calculations!$O36/Calculations!$C$8)-Calculations!$O36+Calculations!$C$8)-'Reaction Information'!$O$21*10^4*(((1/(Calculations!$O36-Calculations!$C$13))-(1/(Calculations!$C$8-Calculations!$C$13)))*((Calculations!$C$13-Calculations!$O36)/(Calculations!$C$13))-(Calculations!$O36/(Calculations!$C$13*Calculations!$C$13))*LN((Calculations!$C$8*(Calculations!$O36-Calculations!$C$13))/(Calculations!$O36*(Calculations!$C$8-Calculations!$C$13))))+'Reaction Information'!$J$21*10^-1*(Calculations!$M36-Calculations!$C$9)+'Reaction Information'!$K$21*10^2*LN((Calculations!$C$12+Calculations!$M36)/(Calculations!$C$12+Calculations!$C$9))+(1/(Calculations!$O36-Calculations!$C$13))*('Reaction Information'!$L$21*(Calculations!$M36-Calculations!$C$9)+'Reaction Information'!$M$21*10^4*LN((Calculations!$C$12+Calculations!$M36)/(Calculations!$C$12+Calculations!$C$9)))+calculateOmega(Calculations!M36,Calculations!N36,Calculations!Q36,'Reaction Information'!$C$21,'Reaction Information'!$P$21*10^5,'Reaction Information'!$Q$21)*((1/Calculations!$S36)-1)-'Reaction Information'!$P$21*10^5*((1/Calculations!$C$10)-1)+'Reaction Information'!$P$21*10^5*Calculations!$C$14*(Calculations!$O36-Calculations!$C$8))</f>
        <v>#N/A</v>
      </c>
      <c r="AI36" s="8" t="e">
        <f>IF(ISBLANK(Input!$AG$4),NA(),'Reaction Information'!$E$25-'Reaction Information'!$G$25*(Calculations!$O36-Calculations!$C$8)-'Reaction Information'!$N$25*(Calculations!$O36*LN(Calculations!$O36/Calculations!$C$8)-Calculations!$O36+Calculations!$C$8)-'Reaction Information'!$O$25*10^4*(((1/(Calculations!$O36-Calculations!$C$13))-(1/(Calculations!$C$8-Calculations!$C$13)))*((Calculations!$C$13-Calculations!$O36)/(Calculations!$C$13))-(Calculations!$O36/(Calculations!$C$13*Calculations!$C$13))*LN((Calculations!$C$8*(Calculations!$O36-Calculations!$C$13))/(Calculations!$O36*(Calculations!$C$8-Calculations!$C$13))))+'Reaction Information'!$J$25*10^-1*(Calculations!$M36-Calculations!$C$9)+'Reaction Information'!$K$25*10^2*LN((Calculations!$C$12+Calculations!$M36)/(Calculations!$C$12+Calculations!$C$9))+(1/(Calculations!$O36-Calculations!$C$13))*('Reaction Information'!$L$25*(Calculations!$M36-Calculations!$C$9)+'Reaction Information'!$M$25*10^4*LN((Calculations!$C$12+Calculations!$M36)/(Calculations!$C$12+Calculations!$C$9)))+calculateOmega(Calculations!M36,Calculations!N36,Calculations!Q36,'Reaction Information'!$C$25,'Reaction Information'!$P$25*10^5,'Reaction Information'!$Q$25)*((1/Calculations!$S36)-1)-'Reaction Information'!$P$25*10^5*((1/Calculations!$C$10)-1)+'Reaction Information'!$P$25*10^5*Calculations!$C$14*(Calculations!$O36-Calculations!$C$8))</f>
        <v>#N/A</v>
      </c>
      <c r="AJ36" s="8" t="e">
        <f>IF(ISBLANK(Input!$AJ$4),NA(),'Reaction Information'!$E$29-'Reaction Information'!$G$29*(Calculations!$O36-Calculations!$C$8)-'Reaction Information'!$N$29*(Calculations!$O36*LN(Calculations!$O36/Calculations!$C$8)-Calculations!$O36+Calculations!$C$8)-'Reaction Information'!$O$29*10^4*(((1/(Calculations!$O36-Calculations!$C$13))-(1/(Calculations!$C$8-Calculations!$C$13)))*((Calculations!$C$13-Calculations!$O36)/(Calculations!$C$13))-(Calculations!$O36/(Calculations!$C$13*Calculations!$C$13))*LN((Calculations!$C$8*(Calculations!$O36-Calculations!$C$13))/(Calculations!$O36*(Calculations!$C$8-Calculations!$C$13))))+'Reaction Information'!$J$29*10^-1*(Calculations!$M36-Calculations!$C$9)+'Reaction Information'!$K$29*10^2*LN((Calculations!$C$12+Calculations!$M36)/(Calculations!$C$12+Calculations!$C$9))+(1/(Calculations!$O36-Calculations!$C$13))*('Reaction Information'!$L$29*(Calculations!$M36-Calculations!$C$9)+'Reaction Information'!$M$29*10^4*LN((Calculations!$C$12+Calculations!$M36)/(Calculations!$C$12+Calculations!$C$9)))+calculateOmega(Calculations!M36,Calculations!N36,Calculations!Q36,'Reaction Information'!$C$29,'Reaction Information'!$P$29*10^5,'Reaction Information'!$Q$29)*((1/Calculations!$S36)-1)-'Reaction Information'!$P$29*10^5*((1/Calculations!$C$10)-1)+'Reaction Information'!$P$29*10^5*Calculations!$C$14*(Calculations!$O36-Calculations!$C$8))</f>
        <v>#N/A</v>
      </c>
      <c r="AK36" s="8" t="e">
        <f>IF(ISBLANK(Input!$AM$4),NA(),'Reaction Information'!$E$33-'Reaction Information'!$G$33*(Calculations!$O36-Calculations!$C$8)-'Reaction Information'!$N$33*(Calculations!$O36*LN(Calculations!$O36/Calculations!$C$8)-Calculations!$O36+Calculations!$C$8)-'Reaction Information'!$O$33*10^4*(((1/(Calculations!$O36-Calculations!$C$13))-(1/(Calculations!$C$8-Calculations!$C$13)))*((Calculations!$C$13-Calculations!$O36)/(Calculations!$C$13))-(Calculations!$O36/(Calculations!$C$13*Calculations!$C$13))*LN((Calculations!$C$8*(Calculations!$O36-Calculations!$C$13))/(Calculations!$O36*(Calculations!$C$8-Calculations!$C$13))))+'Reaction Information'!$J$33*10^-1*(Calculations!$M36-Calculations!$C$9)+'Reaction Information'!$K$33*10^2*LN((Calculations!$C$12+Calculations!$M36)/(Calculations!$C$12+Calculations!$C$9))+(1/(Calculations!$O36-Calculations!$C$13))*('Reaction Information'!$L$33*(Calculations!$M36-Calculations!$C$9)+'Reaction Information'!$M$33*10^4*LN((Calculations!$C$12+Calculations!$M36)/(Calculations!$C$12+Calculations!$C$9)))+calculateOmega(Calculations!M36,Calculations!N36,Calculations!Q36,'Reaction Information'!$C$33,'Reaction Information'!$P$33*10^5,'Reaction Information'!$Q$33)*((1/Calculations!$S36)-1)-'Reaction Information'!$P$33*10^5*((1/Calculations!$C$10)-1)+'Reaction Information'!$P$33*10^5*Calculations!$C$14*(Calculations!$O36-Calculations!$C$8))</f>
        <v>#N/A</v>
      </c>
      <c r="AL36" s="1">
        <f>Results!S38</f>
        <v>0</v>
      </c>
      <c r="AM36" s="1">
        <f>Results!T38</f>
        <v>0</v>
      </c>
      <c r="AN36" s="1">
        <f>Results!U38</f>
        <v>0</v>
      </c>
      <c r="AO36" s="1">
        <f>Results!V38</f>
        <v>0</v>
      </c>
      <c r="AP36" s="8" t="e">
        <f>IF(ISBLANK(Input!$BB$4),NA(),'Reaction Information'!$E$38-'Reaction Information'!$G$38*(Calculations!$O36-Calculations!$C$8)+'Reaction Information'!$I$38*(Calculations!$O36-Calculations!$C$8-Calculations!$O36*LN(Calculations!$O36/Calculations!$C$8))+'Reaction Information'!$J$38*0.001/2*(2*Calculations!$O36*Calculations!$C$8-Calculations!$O36^2-Calculations!$C$8^2) + 'Reaction Information'!$K$38*100000*(Calculations!$O36^2 + Calculations!$C$8^2 - 2*Calculations!$O36*Calculations!$C$8)/(2*Calculations!$O36*Calculations!$C$8^2))</f>
        <v>#N/A</v>
      </c>
      <c r="AQ36" s="8" t="e">
        <f>IF(ISBLANK(Input!$BE$4),NA(),'Reaction Information'!$E$42-'Reaction Information'!$G$42*(Calculations!$O36-Calculations!$C$8)+'Reaction Information'!$I$42*(Calculations!$O36-Calculations!$C$8-Calculations!$O36*LN(Calculations!$O36/Calculations!$C$8))+'Reaction Information'!$J$42*0.001/2*(2*Calculations!$O36*Calculations!$C$8-Calculations!$O36^2-Calculations!$C$8^2) + 'Reaction Information'!$K$42*100000*(Calculations!$O36^2 + Calculations!$C$8^2 - 2*Calculations!$O36*Calculations!$C$8)/(2*Calculations!$O36*Calculations!$C$8^2))</f>
        <v>#N/A</v>
      </c>
      <c r="AR36" s="8" t="e">
        <f>IF(AR$5="H2O", IF($D$24=3,IF(T36=0,NA(),T36),calculateGibbsOfWater(M36,N36,$D$24,$D$20,$D$19=3)),NA())</f>
        <v>#N/A</v>
      </c>
      <c r="AS36" s="8">
        <f>IF(ISBLANK(Input!$BK$4),NA(),'Reaction Information'!$E$46-'Reaction Information'!$G$46*(Calculations!O36-Calculations!$C$8)-'Reaction Information'!$N$46*(Calculations!O36*LN(Calculations!O36/Calculations!$C$8)-Calculations!O36+Calculations!$C$8)-'Reaction Information'!$O$46*10^4*(((1/(Calculations!O36-Calculations!$C$13))-(1/(Calculations!$C$8-Calculations!$C$13)))*((Calculations!$C$13-Calculations!O36)/(Calculations!$C$13))-(Calculations!O36/(Calculations!$C$13*Calculations!$C$13))*LN((Calculations!$C$8*(Calculations!O36-Calculations!$C$13))/(Calculations!O36*(Calculations!$C$8-Calculations!$C$13))))+'Reaction Information'!$J$46*10^-1*(Calculations!$M36-Calculations!$C$9)+'Reaction Information'!$K$46*10^2*LN((Calculations!$C$12+Calculations!$M36)/(Calculations!$C$12+Calculations!$C$9))+(1/(Calculations!O36-Calculations!$C$13))*('Reaction Information'!$L$46*(Calculations!$M36-Calculations!$C$9)+'Reaction Information'!$M$46*10^4*LN((Calculations!$C$12+Calculations!$M36)/(Calculations!$C$12+Calculations!$C$9)))+calculateOmega(Calculations!M36,Calculations!N36,Calculations!Q36,'Reaction Information'!$C$46,'Reaction Information'!$P$46*10^5,'Reaction Information'!$Q$46)*((1/Calculations!S36)-1)-'Reaction Information'!$P$46*10^5*((1/Calculations!$C$10)-1)+'Reaction Information'!$P$46*10^5*Calculations!$C$14*(Calculations!O36-Calculations!$C$8))</f>
        <v>0</v>
      </c>
      <c r="AT36" s="8">
        <f>IF(ISBLANK(Input!$BN$4),NA(),'Reaction Information'!$E$50-'Reaction Information'!$G$50*(Calculations!O36-Calculations!$C$8)-'Reaction Information'!$N$50*(Calculations!O36*LN(Calculations!O36/Calculations!$C$8)-Calculations!O36+Calculations!$C$8)-'Reaction Information'!$O$50*10^4*(((1/(Calculations!O36-Calculations!$C$13))-(1/(Calculations!$C$8-Calculations!$C$13)))*((Calculations!$C$13-Calculations!O36)/(Calculations!$C$13))-(Calculations!O36/(Calculations!$C$13*Calculations!$C$13))*LN((Calculations!$C$8*(Calculations!O36-Calculations!$C$13))/(Calculations!O36*(Calculations!$C$8-Calculations!$C$13))))+'Reaction Information'!$J$50*10^-1*(Calculations!$M36-Calculations!$C$9)+'Reaction Information'!$K$50*10^2*LN((Calculations!$C$12+Calculations!$M36)/(Calculations!$C$12+Calculations!$C$9))+(1/(Calculations!O36-Calculations!$C$13))*('Reaction Information'!$L$50*(Calculations!$M36-Calculations!$C$9)+'Reaction Information'!$M$50*10^4*LN((Calculations!$C$12+Calculations!$M36)/(Calculations!$C$12+Calculations!$C$9)))+calculateOmega(Calculations!M36,Calculations!N36,Calculations!Q36,'Reaction Information'!$C$50,'Reaction Information'!$P$50*10^5,'Reaction Information'!$Q$50)*((1/Calculations!S36)-1)-'Reaction Information'!$P$50*10^5*((1/Calculations!$C$10)-1)+'Reaction Information'!$P$50*10^5*Calculations!$C$14*(Calculations!O36-Calculations!$C$8))</f>
        <v>-136799.11555681188</v>
      </c>
      <c r="AU36" s="8" t="e">
        <f>IF(ISBLANK(Input!$BQ$4),NA(),'Reaction Information'!$E$54-'Reaction Information'!$G$54*(Calculations!$O36-Calculations!$C$8)-'Reaction Information'!$N$54*(Calculations!$O36*LN(Calculations!$O36/Calculations!$C$8)-Calculations!$O36+Calculations!$C$8)-'Reaction Information'!$O$54*10^4*(((1/(Calculations!$O36-Calculations!$C$13))-(1/(Calculations!$C$8-Calculations!$C$13)))*((Calculations!$C$13-Calculations!$O36)/(Calculations!$C$13))-(Calculations!$O36/(Calculations!$C$13*Calculations!$C$13))*LN((Calculations!$C$8*(Calculations!$O36-Calculations!$C$13))/(Calculations!$O36*(Calculations!$C$8-Calculations!$C$13))))+'Reaction Information'!$J$54*10^-1*(Calculations!$M36-Calculations!$C$9)+'Reaction Information'!$K$54*10^2*LN((Calculations!$C$12+Calculations!$M36)/(Calculations!$C$12+Calculations!$C$9))+(1/(Calculations!$O36-Calculations!$C$13))*('Reaction Information'!$L$54*(Calculations!$M36-Calculations!$C$9)+'Reaction Information'!$M$54*10^4*LN((Calculations!$C$12+Calculations!$M36)/(Calculations!$C$12+Calculations!$C$9)))+calculateOmega(Calculations!M36,Calculations!N36,Calculations!Q36,'Reaction Information'!$C$54,'Reaction Information'!$P$54*10^5,'Reaction Information'!$Q$54)*((1/Calculations!$S36)-1)-'Reaction Information'!$P$54*10^5*((1/Calculations!$C$10)-1)+'Reaction Information'!$P$54*10^5*Calculations!$C$14*(Calculations!$O36-Calculations!$C$8))</f>
        <v>#N/A</v>
      </c>
      <c r="AV36" s="8" t="e">
        <f>IF(ISBLANK(Input!$BT$4),NA(),'Reaction Information'!$E$58-'Reaction Information'!$G$58*(Calculations!$O36-Calculations!$C$8)-'Reaction Information'!$N$58*(Calculations!$O36*LN(Calculations!$O36/Calculations!$C$8)-Calculations!$O36+Calculations!$C$8)-'Reaction Information'!$O$58*10^4*(((1/(Calculations!$O36-Calculations!$C$13))-(1/(Calculations!$C$8-Calculations!$C$13)))*((Calculations!$C$13-Calculations!$O36)/(Calculations!$C$13))-(Calculations!$O36/(Calculations!$C$13*Calculations!$C$13))*LN((Calculations!$C$8*(Calculations!$O36-Calculations!$C$13))/(Calculations!$O36*(Calculations!$C$8-Calculations!$C$13))))+'Reaction Information'!$J$58*10^-1*(Calculations!$M36-Calculations!$C$9)+'Reaction Information'!$K$58*10^2*LN((Calculations!$C$12+Calculations!$M36)/(Calculations!$C$12+Calculations!$C$9))+(1/(Calculations!$O36-Calculations!$C$13))*('Reaction Information'!$L$58*(Calculations!$M36-Calculations!$C$9)+'Reaction Information'!$M$58*10^4*LN((Calculations!$C$12+Calculations!$M36)/(Calculations!$C$12+Calculations!$C$9)))+calculateOmega(Calculations!M36,Calculations!N36,Calculations!Q36,'Reaction Information'!$C$58,'Reaction Information'!$P$58*10^5,'Reaction Information'!$Q$58)*((1/Calculations!$S36)-1)-'Reaction Information'!$P$58*10^5*((1/Calculations!$C$10)-1)+'Reaction Information'!$P$58*10^5*Calculations!$C$14*(Calculations!$O36-Calculations!$C$8))</f>
        <v>#N/A</v>
      </c>
      <c r="AW36" s="8" t="e">
        <f>IF(ISBLANK(Input!$BW$4),NA(),'Reaction Information'!$E$62-'Reaction Information'!$G$62*(Calculations!$O36-Calculations!$C$8)-'Reaction Information'!$N$62*(Calculations!$O36*LN(Calculations!$O36/Calculations!$C$8)-Calculations!$O36+Calculations!$C$8)-'Reaction Information'!$O$62*10^4*(((1/(Calculations!$O36-Calculations!$C$13))-(1/(Calculations!$C$8-Calculations!$C$13)))*((Calculations!$C$13-Calculations!$O36)/(Calculations!$C$13))-(Calculations!$O36/(Calculations!$C$13*Calculations!$C$13))*LN((Calculations!$C$8*(Calculations!$O36-Calculations!$C$13))/(Calculations!$O36*(Calculations!$C$8-Calculations!$C$13))))+'Reaction Information'!$J$62*10^-1*(Calculations!$M36-Calculations!$C$9)+'Reaction Information'!$K$62*10^2*LN((Calculations!$C$12+Calculations!$M36)/(Calculations!$C$12+Calculations!$C$9))+(1/(Calculations!$O36-Calculations!$C$13))*('Reaction Information'!$L$62*(Calculations!$M36-Calculations!$C$9)+'Reaction Information'!$M$62*10^4*LN((Calculations!$C$12+Calculations!$M36)/(Calculations!$C$12+Calculations!$C$9)))+calculateOmega(Calculations!M36,Calculations!N36,Calculations!Q36,'Reaction Information'!$C$62,'Reaction Information'!$P$62*10^5,'Reaction Information'!$Q$62)*((1/Calculations!$S36)-1)-'Reaction Information'!$P$62*10^5*((1/Calculations!$C$10)-1)+'Reaction Information'!$P$62*10^5*Calculations!$C$14*(Calculations!$O36-Calculations!$C$8))</f>
        <v>#N/A</v>
      </c>
      <c r="AX36" s="8" t="e">
        <f>IF(ISBLANK(Input!$BZ$4),NA(),'Reaction Information'!$E$66-'Reaction Information'!$G$66*(Calculations!$O36-Calculations!$C$8)-'Reaction Information'!$N$66*(Calculations!$O36*LN(Calculations!$O36/Calculations!$C$8)-Calculations!$O36+Calculations!$C$8)-'Reaction Information'!$O$66*10^4*(((1/(Calculations!$O36-Calculations!$C$13))-(1/(Calculations!$C$8-Calculations!$C$13)))*((Calculations!$C$13-Calculations!$O36)/(Calculations!$C$13))-(Calculations!$O36/(Calculations!$C$13*Calculations!$C$13))*LN((Calculations!$C$8*(Calculations!$O36-Calculations!$C$13))/(Calculations!$O36*(Calculations!$C$8-Calculations!$C$13))))+'Reaction Information'!$J$66*10^-1*(Calculations!$M36-Calculations!$C$9)+'Reaction Information'!$K$66*10^2*LN((Calculations!$C$12+Calculations!$M36)/(Calculations!$C$12+Calculations!$C$9))+(1/(Calculations!$O36-Calculations!$C$13))*('Reaction Information'!$L$66*(Calculations!$M36-Calculations!$C$9)+'Reaction Information'!$M$66*10^4*LN((Calculations!$C$12+Calculations!$M36)/(Calculations!$C$12+Calculations!$C$9)))+calculateOmega(Calculations!M36,Calculations!N36,Calculations!Q36,'Reaction Information'!$C$66,'Reaction Information'!$P$66*10^5,'Reaction Information'!$Q$66)*((1/Calculations!$S36)-1)-'Reaction Information'!$P$66*10^5*((1/Calculations!$C$10)-1)+'Reaction Information'!$P$66*10^5*Calculations!$C$14*(Calculations!$O36-Calculations!$C$8))</f>
        <v>#N/A</v>
      </c>
      <c r="AY36" s="31">
        <f>(AL36*Input!$AO$4+AM36*Input!$AR$4+AN36*Input!$AU$4+AO36*Input!$AX$4+IF(ISNA(AP36),0,AP36*Input!$BA$4)+IF(ISNA(AQ36),0,AQ36*Input!$BD$4)+IF(ISNA(AR36),0,AR36*Input!$BG$4)+IF(ISNA(AS36),0,AS36*Input!$BJ$4)+IF(ISNA(AT36),0,AT36*Input!$BM$4)+IF(ISNA(AU36),0,AU36*Input!$BP$4)+IF(ISNA(AV36),0,AV36*Input!$BS$4)+IF(ISNA(AW36),0,AW36*Input!$BV$4)+IF(ISNA(AX36),0,AX36*Input!$BY$4))-(Y36*Input!$B$4+Z36*Input!$E$4+AA36*Input!$H$4+AB36*Input!$K$4+IF(ISNA(AC36),0,AC36*Input!$N$4)+IF(ISNA(AD36),0,AD36*Input!$Q$4)+IF(ISNA(AE36),0,AE36*Input!$T$4)+IF(ISNA(AF36),0,AF36*Input!$W$4)+IF(ISNA(AG36),0,AG36*Input!$Z$4)+IF(ISNA(AH36),0,AH36*Input!$AC$4)+IF(ISNA(AI36),0,AI36*Input!$AF$4)+IF(ISNA(AJ36),0,AJ36*Input!$AI$4)+IF(ISNA(AK36),0,AK36*Input!$AL$4))</f>
        <v>11561.140426291124</v>
      </c>
      <c r="AZ36" s="42">
        <f t="shared" si="7"/>
        <v>-4.4112762239717869</v>
      </c>
      <c r="BA36" s="1">
        <f t="shared" si="8"/>
        <v>300</v>
      </c>
      <c r="BB36" s="46">
        <f t="shared" si="9"/>
        <v>15000</v>
      </c>
      <c r="BC36" s="1"/>
      <c r="BD36" s="2">
        <f t="shared" si="10"/>
        <v>15000</v>
      </c>
      <c r="BE36" s="46">
        <f t="shared" si="11"/>
        <v>300</v>
      </c>
      <c r="BF36" s="1">
        <f>Results!AJ38</f>
        <v>0</v>
      </c>
      <c r="BG36" s="1">
        <f>Results!AK38</f>
        <v>0</v>
      </c>
      <c r="BH36" s="1">
        <f>Results!AL38</f>
        <v>0</v>
      </c>
      <c r="BI36" s="1">
        <f>Results!AM38</f>
        <v>0</v>
      </c>
      <c r="BJ36" s="1" t="e">
        <f>IF(OR(ISNA('Reaction Information'!$D$5), $N36 = "", $D$27 = FALSE, 'Reaction Information'!$D$5 = ""), NA(), 24.465)</f>
        <v>#N/A</v>
      </c>
      <c r="BK36" s="1" t="e">
        <f>IF(OR(ISNA('Reaction Information'!$D$9), $N36 = "", $D$27 = FALSE, 'Reaction Information'!$D$9 = ""), NA(), 24.465)</f>
        <v>#N/A</v>
      </c>
      <c r="BL36" s="8">
        <f t="shared" si="0"/>
        <v>15.280737510039357</v>
      </c>
      <c r="BM36" s="8">
        <f>IF(OR(ISBLANK(Input!$X$4),$D$27=FALSE),NA(),('Reaction Information'!$J$13/10+'Reaction Information'!$K$13*100/(Calculations!$C$12+Calculations!$M36)+('Reaction Information'!$L$13+'Reaction Information'!$M$13*10^4/(Calculations!$C$12+Calculations!$M36))/(Calculations!$O36-Calculations!$C$13) -calculateOmega(Calculations!$M36,Calculations!$N36,Calculations!$Q36,'Reaction Information'!$C$13,'Reaction Information'!$P$13*10^5,'Reaction Information'!$Q$13)*Calculations!$U36*10^-6 + (1/$S36 - 1)*calculate_domegadP(Calculations!$M36,Calculations!$N36,Calculations!$Q36,'Reaction Information'!$C$13,'Reaction Information'!$P$13*10^5,'Reaction Information'!$Q$13,$D$20,$D$19=3))*41.84)</f>
        <v>30.830810881709482</v>
      </c>
      <c r="BN36" s="8" t="e">
        <f>IF(OR(ISBLANK(Input!$AA$4),$D$27=FALSE),NA(),('Reaction Information'!$J$17/10+'Reaction Information'!$K$17*100/(Calculations!$C$12+Calculations!$M36)+('Reaction Information'!$L$17+'Reaction Information'!$M$17*10000/(Calculations!$C$12+Calculations!$M36))/(Calculations!$O36-Calculations!$C$13)-calculateOmega(Calculations!M36,Calculations!N36,Calculations!Q36,'Reaction Information'!$C$17,'Reaction Information'!$P$17*10^5,'Reaction Information'!$Q$17)*Calculations!$U36*10^-6 + (1/$S36 - 1)*calculate_domegadP(Calculations!M36,Calculations!N36,Calculations!Q36,'Reaction Information'!$C$17,'Reaction Information'!$P$17*10^5,'Reaction Information'!$Q$17,$D$20,$D$19=3))*41.84)</f>
        <v>#N/A</v>
      </c>
      <c r="BO36" s="8" t="e">
        <f>IF(OR(ISBLANK(Input!$AD$4),$D$27=FALSE),NA(),('Reaction Information'!$J$21/10+'Reaction Information'!$K$21*100/(Calculations!$C$12+Calculations!$M36)+('Reaction Information'!$L$21+'Reaction Information'!$M$21*10000/(Calculations!$C$12+Calculations!$M36))/(Calculations!$O36-Calculations!$C$13)-calculateOmega(Calculations!M36,Calculations!N36,Calculations!Q36,'Reaction Information'!$C$21,'Reaction Information'!$P$21*10^5,'Reaction Information'!$Q$21)*Calculations!$U36*10^-6 + (1/$S36 - 1)*calculate_domegadP(Calculations!M36,Calculations!N36,Calculations!Q36,'Reaction Information'!$C$21,'Reaction Information'!$P$21*10^5,'Reaction Information'!$Q$21,$D$20,$D$19=3))*41.84)</f>
        <v>#N/A</v>
      </c>
      <c r="BP36" s="8" t="e">
        <f>IF(OR(ISBLANK(Input!$AG$4),$D$27=FALSE),NA(),('Reaction Information'!$J$25/10+'Reaction Information'!$K$25*100/(Calculations!$C$12+Calculations!$M36)+('Reaction Information'!$L$25+'Reaction Information'!$M$25*10000/(Calculations!$C$12+Calculations!$M36))/(Calculations!$O36-Calculations!$C$13)-calculateOmega(Calculations!M36,Calculations!N36,Calculations!Q36,'Reaction Information'!$C$25,'Reaction Information'!$P$25*10^5,'Reaction Information'!$Q$25)*Calculations!$U36*10^-6 + (1/$S36 - 1)*calculate_domegadP(Calculations!M36,Calculations!N36,Calculations!Q36,'Reaction Information'!$C$25,'Reaction Information'!$P$25*10^5,'Reaction Information'!$Q$25,$D$20,$D$19=3))*41.84)</f>
        <v>#N/A</v>
      </c>
      <c r="BQ36" s="8" t="e">
        <f>IF(OR(ISBLANK(Input!$AJ$4),$D$27=FALSE),NA(),('Reaction Information'!$J$29/10+'Reaction Information'!$K$29*100/(Calculations!$C$12+Calculations!$M36)+('Reaction Information'!$L$29+'Reaction Information'!$M$29*10000/(Calculations!$C$12+Calculations!$M36))/(Calculations!$O36-Calculations!$C$13)-calculateOmega(Calculations!M36,Calculations!N36,Calculations!Q36,'Reaction Information'!$C$29,'Reaction Information'!$P$29*10^5,'Reaction Information'!$Q$29)*Calculations!$U36*10^-6 + (1/$S36 - 1)*calculate_domegadP(Calculations!M36,Calculations!N36,Calculations!Q36,'Reaction Information'!$C$29,'Reaction Information'!$P$29*10^5,'Reaction Information'!$Q$29,$D$20,$D$19=3))*41.84)</f>
        <v>#N/A</v>
      </c>
      <c r="BR36" s="8" t="e">
        <f>IF(OR(ISBLANK(Input!$AM$4),$D$27=FALSE),NA(),('Reaction Information'!$J$33/10+'Reaction Information'!$K$33*100/(Calculations!$C$12+Calculations!$M36)+('Reaction Information'!$L$33+'Reaction Information'!$M$33*10000/(Calculations!$C$12+Calculations!$M36))/(Calculations!$O36-Calculations!$C$13)-calculateOmega(Calculations!M36,Calculations!N36,Calculations!Q36,'Reaction Information'!$C$33,'Reaction Information'!$P$33*10^5,'Reaction Information'!$Q$33)*Calculations!$U36*10^-6 + (1/$S36 - 1)*calculate_domegadP(Calculations!M36,Calculations!N36,Calculations!Q36,'Reaction Information'!$C$33,'Reaction Information'!$P$33*10^5,'Reaction Information'!$Q$33,$D$20,$D$19=3))*41.84)</f>
        <v>#N/A</v>
      </c>
      <c r="BS36" s="1">
        <f>Results!AW38</f>
        <v>0</v>
      </c>
      <c r="BT36" s="1">
        <f>Results!AX38</f>
        <v>0</v>
      </c>
      <c r="BU36" s="1">
        <f>Results!AY38</f>
        <v>0</v>
      </c>
      <c r="BV36" s="1">
        <f>Results!AZ38</f>
        <v>0</v>
      </c>
      <c r="BW36" s="1" t="e">
        <f>IF(OR(ISNA('Reaction Information'!$D$38), $N36 = "", $D$27 = FALSE, 'Reaction Information'!$D$38 = ""), NA(), 24.465)</f>
        <v>#N/A</v>
      </c>
      <c r="BX36" s="1" t="e">
        <f>IF(OR(ISNA('Reaction Information'!$D$42), $N36 = "", $D$27 = FALSE, 'Reaction Information'!$D$42 = ""), NA(), 24.465)</f>
        <v>#N/A</v>
      </c>
      <c r="BY36" s="8" t="e">
        <f t="shared" si="1"/>
        <v>#N/A</v>
      </c>
      <c r="BZ36" s="8">
        <f>IF(OR(ISBLANK(Input!$BK$4),$D$27=FALSE),NA(),('Reaction Information'!$J$46/10+'Reaction Information'!$K$46*100/(Calculations!$C$12+Calculations!$M36)+('Reaction Information'!$L$46+'Reaction Information'!$M$46*10000/(Calculations!$C$12+Calculations!$M36))/(Calculations!$O36-Calculations!$C$13)-calculateOmega(Calculations!M36,Calculations!N36,Calculations!Q36,'Reaction Information'!$C$46,'Reaction Information'!$P$46*10^5,'Reaction Information'!$Q$46)*Calculations!$U36*10^-6 + (1/$S36 - 1)*calculate_domegadP(Calculations!M36,Calculations!N36,Calculations!Q36,'Reaction Information'!$C$46,'Reaction Information'!$P$46*10^5,'Reaction Information'!$Q$46,$D$20,$D$19=3))*41.84)</f>
        <v>0</v>
      </c>
      <c r="CA36" s="8">
        <f>IF(OR(ISBLANK(Input!$BN$4),$D$27=FALSE),NA(),('Reaction Information'!$J$50/10+'Reaction Information'!$K$50*100/(Calculations!$C$12+Calculations!$M36)+('Reaction Information'!$L$50+'Reaction Information'!$M$50*10000/(Calculations!$C$12+Calculations!$M36))/(Calculations!$O36-Calculations!$C$13)-calculateOmega(Calculations!M36,Calculations!N36,Calculations!Q36,'Reaction Information'!$C$50,'Reaction Information'!$P$50*10^5,'Reaction Information'!$Q$50)*Calculations!$U36*10^-6 + (1/$S36 - 1)*calculate_domegadP(Calculations!M36,Calculations!N36,Calculations!Q36,'Reaction Information'!$C$50,'Reaction Information'!$P$50*10^5,'Reaction Information'!$Q$50,$D$20,$D$19=3))*41.84)</f>
        <v>30.529059819132353</v>
      </c>
      <c r="CB36" s="8" t="e">
        <f>IF(OR(ISBLANK(Input!$BQ$4),$D$27=FALSE),NA(),('Reaction Information'!$J$54/10+'Reaction Information'!$K$54*100/(Calculations!$C$12+Calculations!$M36)+('Reaction Information'!$L$54+'Reaction Information'!$M$54*10000/(Calculations!$C$12+Calculations!$M36))/(Calculations!$O36-Calculations!$C$13)-calculateOmega(Calculations!M36,Calculations!N36,Calculations!Q36,'Reaction Information'!$C$54,'Reaction Information'!$P$54*10^5,'Reaction Information'!$Q$54)*Calculations!$U36*10^-6 + (1/$S36 - 1)*calculate_domegadP(Calculations!M36,Calculations!N36,Calculations!Q36,'Reaction Information'!$C$54,'Reaction Information'!$P$54*10^5,'Reaction Information'!$Q$54,$D$20,$D$19=3))*41.84)</f>
        <v>#N/A</v>
      </c>
      <c r="CC36" s="8" t="e">
        <f>IF(OR(ISBLANK(Input!$BT$4),$D$27=FALSE),NA(),('Reaction Information'!$J$58/10+'Reaction Information'!$K$58*100/(Calculations!$C$12+Calculations!$M36)+('Reaction Information'!$L$58+'Reaction Information'!$M$58*10000/(Calculations!$C$12+Calculations!$M36))/(Calculations!$O36-Calculations!$C$13)-calculateOmega(Calculations!M36,Calculations!N36,Calculations!Q36,'Reaction Information'!$C$58,'Reaction Information'!$P$58*10^5,'Reaction Information'!$Q$58)*Calculations!$U36*10^-6 + (1/$S36 - 1)*calculate_domegadP(Calculations!M36,Calculations!N36,Calculations!Q36,'Reaction Information'!$C$58,'Reaction Information'!$P$58*10^5,'Reaction Information'!$Q$58,$D$20,$D$19=3))*41.84)</f>
        <v>#N/A</v>
      </c>
      <c r="CD36" s="8" t="e">
        <f>IF(OR(ISBLANK(Input!$BW$4),$D$27=FALSE),NA(),('Reaction Information'!$J$62/10+'Reaction Information'!$K$62*100/(Calculations!$C$12+Calculations!$M36)+('Reaction Information'!$L$62+'Reaction Information'!$M$62*10000/(Calculations!$C$12+Calculations!$M36))/(Calculations!$O36-Calculations!$C$13)-calculateOmega(Calculations!M36,Calculations!N36,Calculations!Q36,'Reaction Information'!$C$62,'Reaction Information'!$P$62*10^5,'Reaction Information'!$Q$62)*Calculations!$U36*10^-6 + (1/$S36 - 1)*calculate_domegadP(Calculations!M36,Calculations!N36,Calculations!Q36,'Reaction Information'!$C$62,'Reaction Information'!$P$62*10^5,'Reaction Information'!$Q$62,$D$20,$D$19=3))*41.84)</f>
        <v>#N/A</v>
      </c>
      <c r="CE36" s="8" t="e">
        <f>IF(OR(ISBLANK(Input!$BZ$4),$D$27=FALSE),NA(),('Reaction Information'!$J$66/10+'Reaction Information'!$K$66*100/(Calculations!$C$12+Calculations!$M36)+('Reaction Information'!$L$66+'Reaction Information'!$M$66*10000/(Calculations!$C$12+Calculations!$M36))/(Calculations!$O36-Calculations!$C$13)-calculateOmega(Calculations!M36,Calculations!N36,Calculations!Q36,'Reaction Information'!$C$66,'Reaction Information'!$P$66*10^5,'Reaction Information'!$Q$66)*Calculations!$U36*10^-6 + (1/$S36 - 1)*calculate_domegadP(Calculations!M36,Calculations!N36,Calculations!Q36,'Reaction Information'!$C$66,'Reaction Information'!$P$66*10^5,'Reaction Information'!$Q$66,$D$20,$D$19=3))*41.84)</f>
        <v>#N/A</v>
      </c>
      <c r="CF36" s="31">
        <f>(BS36*Input!$AO$4+BT36*Input!$AR$4+BU36*Input!$AU$4+BV36*Input!$AX$4+IF(ISNA(BW36),0,BW36*Input!$BA$4)+IF(ISNA(BX36),0,BX36*Input!$BD$4)+IF(ISNA(BY36),0,BY36*Input!$BG$4)+IF(ISNA(BZ36),0,BZ36*Input!$BJ$4)+IF(ISNA(CA36),0,CA36*Input!$BM$4)+IF(ISNA(CB36),0,CB36*Input!$BP$4)+IF(ISNA(CC36),0,CC36*Input!$BS$4)+IF(ISNA(CD36),0,CD36*Input!$BV$4)+IF(ISNA(CE36),0,CE36*Input!$BY$4))-(BF36*Input!$B$4+BG36*Input!$E$4+BH36*Input!$H$4+BI36*Input!$K$4+IF(ISNA(BJ36),0,BJ36*Input!$N$4)+IF(ISNA(BK36),0,BK36*Input!$Q$4)+IF(ISNA(BL36),0,BL36*Input!$T$4)+IF(ISNA(BM36),0,BM36*Input!$W$4)+IF(ISNA(BN36),0,BN36*Input!$Z$4)+IF(ISNA(BO36),0,BO36*Input!$AC$4)+IF(ISNA(BP36),0,BP36*Input!$AF$4)+IF(ISNA(BQ36),0,BQ36*Input!$AI$4)+IF(ISNA(BR36),0,BR36*Input!$AL$4))</f>
        <v>-15.582488572616487</v>
      </c>
      <c r="CG36" s="1">
        <f t="shared" si="12"/>
        <v>300</v>
      </c>
      <c r="CH36" s="46">
        <f t="shared" si="13"/>
        <v>15000</v>
      </c>
      <c r="CI36" s="1"/>
    </row>
    <row r="37" spans="1:87" ht="15" customHeight="1" x14ac:dyDescent="0.2">
      <c r="A37" s="1"/>
      <c r="B37" s="7">
        <v>3</v>
      </c>
      <c r="C37" s="273" t="s">
        <v>481</v>
      </c>
      <c r="D37" s="273"/>
      <c r="E37" s="1"/>
      <c r="F37" s="2">
        <v>32</v>
      </c>
      <c r="G37" s="1" t="str">
        <f>IF(ISBLANK(Input!CB37), "", Input!CB37*1000)</f>
        <v/>
      </c>
      <c r="H37" s="1" t="str">
        <f>IF(ISBLANK(Input!CC37), "", Input!CC37)</f>
        <v/>
      </c>
      <c r="I37" s="1">
        <f>IF(Input!$CF$5 + Input!$CF$6*(FLOOR((Calculations!$F37-1)/(FLOOR((Input!$CF$12-Input!$CF$10)/Input!$CF$11,1)+1),1)) &gt; Input!$CF$7, "", (Input!$CF$5 + Input!$CF$6*(FLOOR((Calculations!$F37-1)/(FLOOR((Input!$CF$12-Input!$CF$10)/Input!$CF$11,1)+1),1)))*1000)</f>
        <v>15000</v>
      </c>
      <c r="J37" s="1">
        <f>IF(Calculations!I37 = "", "", Input!$CF$10 + Input!$CF$11*(Calculations!$F37-1) - (FLOOR((Input!$CF$12-Input!$CF$10)/Input!$CF$11,1)+1)*Input!$CF$11*FLOOR((Calculations!$F37-1)/(FLOOR((Input!$CF$12-Input!$CF$10)/Input!$CF$11,1)+1),1))</f>
        <v>350</v>
      </c>
      <c r="K37" s="8" t="str">
        <f t="shared" si="14"/>
        <v/>
      </c>
      <c r="L37" s="117" t="str">
        <f>IF(OR(Input!$CJ$5 + Input!$CJ$6*(Calculations!F37-1) &gt; Input!$CJ$7, Input!$CJ$5 + Input!$CJ$6*(Calculations!F37-1) &gt; 350), "", Input!$CJ$5 + Input!$CJ$6*(Calculations!F37-1))</f>
        <v/>
      </c>
      <c r="M37" s="1">
        <f t="shared" si="2"/>
        <v>15000</v>
      </c>
      <c r="N37" s="1">
        <f t="shared" si="3"/>
        <v>350</v>
      </c>
      <c r="O37" s="1">
        <f t="shared" si="4"/>
        <v>623.15</v>
      </c>
      <c r="P37" s="1" t="e">
        <f>IF(OR($D$20=3,AND($D$21=TRUE,M37&lt;1000)),INDEX('Water Density'!$C$6:$CX$120,MATCH(Calculations!N37,'Water Density'!$B$6:$B$120),MATCH(Calculations!M37/1000,'Water Density'!$C$5:$CX$5)),NA())</f>
        <v>#N/A</v>
      </c>
      <c r="Q37" s="182">
        <f>IF(OR($D$20=3,AND($D$21=TRUE,M37&lt;1000)), IF(P37&lt;&gt;0,P37,NA()), calculateDensity(M37,N37,$D$20,0.01,$D$19 = 3))</f>
        <v>1.1583495162129402</v>
      </c>
      <c r="R37" s="1" t="e">
        <f>IF($D$22=5,INDEX('Dielectric Constant'!$C$6:$CX$120,MATCH(Calculations!N37,'Dielectric Constant'!$B$6:$B$120),MATCH(Calculations!M37/1000,'Dielectric Constant'!$C$5:$CX$5)),NA())</f>
        <v>#N/A</v>
      </c>
      <c r="S37" s="58">
        <f>IF($D$22=5, IF(R37&lt;&gt;0,R37,NA()), IF(AND($D$23,M37&lt;=5000,$D$19 &lt;&gt; 3),calculateEpsilon(Q37,N37,1,FALSE),calculateEpsilon(Q37,N37,$D$22,$D$19 = 3)))</f>
        <v>38.532417248478417</v>
      </c>
      <c r="T37" s="1" t="e">
        <f>IF($D$24=3,INDEX('Water Free Energy'!$C$6:$CX$120,MATCH(Calculations!N37,'Water Free Energy'!$B$6:$B$120),MATCH(Calculations!M37/1000,'Water Free Energy'!$C$5:$CX$5)),NA())</f>
        <v>#N/A</v>
      </c>
      <c r="U37" s="179">
        <f>IF($D$27,calculateQ(M37,N37,Q37,$D$20,$D$22,$D$19=3)*10^6,NA())</f>
        <v>0.34512412215684224</v>
      </c>
      <c r="V37"/>
      <c r="W37" s="2">
        <f t="shared" si="5"/>
        <v>15000</v>
      </c>
      <c r="X37" s="1">
        <f t="shared" si="6"/>
        <v>350</v>
      </c>
      <c r="Y37" s="1">
        <f>Results!F39</f>
        <v>0</v>
      </c>
      <c r="Z37" s="1">
        <f>Results!G39</f>
        <v>0</v>
      </c>
      <c r="AA37" s="1">
        <f>Results!H39</f>
        <v>0</v>
      </c>
      <c r="AB37" s="1">
        <f>Results!I39</f>
        <v>0</v>
      </c>
      <c r="AC37" s="1" t="e">
        <f>IF(ISBLANK(Input!$O$4),NA(),'Reaction Information'!$E$5-'Reaction Information'!$G$5*(Calculations!$O37-Calculations!$C$8)+'Reaction Information'!$I$5*(Calculations!$O37-Calculations!$C$8-Calculations!$O37*LN(Calculations!$O37/Calculations!$C$8))+'Reaction Information'!$J$5*0.001/2*(2*Calculations!$O37*Calculations!$C$8-Calculations!$O37^2-Calculations!$C$8^2) + 'Reaction Information'!$K$5*100000*(Calculations!$O37^2 + Calculations!$C$8^2 - 2*Calculations!$O37*Calculations!$C$8)/(2*Calculations!$O37*Calculations!$C$8^2))</f>
        <v>#N/A</v>
      </c>
      <c r="AD37" s="8" t="e">
        <f>IF(ISBLANK(Input!$R$4),NA(),'Reaction Information'!$E$9-'Reaction Information'!$G$9*(Calculations!$O37-Calculations!$C$8)+'Reaction Information'!$I$9*(Calculations!$O37-Calculations!$C$8-Calculations!$O37*LN(Calculations!$O37/Calculations!$C$8))+'Reaction Information'!$J$9*0.001/2*(2*Calculations!$O37*Calculations!$C$8-Calculations!$O37^2-Calculations!$C$8^2) + 'Reaction Information'!$K$9*100000*(Calculations!$O37^2 + Calculations!$C$8^2 - 2*Calculations!$O37*Calculations!$C$8)/(2*Calculations!$O37*Calculations!$C$8^2))</f>
        <v>#N/A</v>
      </c>
      <c r="AE37" s="8">
        <f>IF(AE$5="H2O",IF($D$24=3,IF(T37=0,NA(),T37),calculateGibbsOfWater(M37,N37,$D$24,$D$20,$D$19=3)),NA())</f>
        <v>-58005.769705315928</v>
      </c>
      <c r="AF37" s="8">
        <f>IF(ISBLANK(Input!$X$4),NA(),'Reaction Information'!$E$13-'Reaction Information'!$G$13*(Calculations!O37-Calculations!$C$8)-'Reaction Information'!$N$13*(Calculations!O37*LN(Calculations!O37/Calculations!$C$8)-Calculations!O37+Calculations!$C$8)-'Reaction Information'!$O$13*10^4*(((1/(Calculations!O37-Calculations!$C$13))-(1/(Calculations!$C$8-Calculations!$C$13)))*((Calculations!$C$13-Calculations!O37)/(Calculations!$C$13))-(Calculations!O37/(Calculations!$C$13*Calculations!$C$13))*LN((Calculations!$C$8*(Calculations!O37-Calculations!$C$13))/(Calculations!O37*(Calculations!$C$8-Calculations!$C$13))))+'Reaction Information'!$J$13*10^-1*(Calculations!M37-Calculations!$C$9)+'Reaction Information'!$K$13*10^2*LN((Calculations!$C$12+Calculations!M37)/(Calculations!$C$12+Calculations!$C$9))+(1/(Calculations!O37-Calculations!$C$13))*('Reaction Information'!$L$13*(Calculations!M37-Calculations!$C$9)+'Reaction Information'!$M$13*10^4*LN((Calculations!$C$12+Calculations!M37)/(Calculations!$C$12+Calculations!$C$9)))+calculateOmega(Calculations!M37,Calculations!N37,Calculations!Q37,'Reaction Information'!$C$13,'Reaction Information'!$P$13*10^5,'Reaction Information'!$Q$13)*((1/Calculations!S37)-1)-'Reaction Information'!$P$13*10^5*((1/Calculations!$C$10)-1)+'Reaction Information'!$P$13*10^5*Calculations!$C$14*(Calculations!O37-Calculations!$C$8))</f>
        <v>-93725.460123141558</v>
      </c>
      <c r="AG37" s="8" t="e">
        <f>IF(ISBLANK(Input!$AA$4),NA(),'Reaction Information'!$E$17-'Reaction Information'!$G$17*(Calculations!$O37-Calculations!$C$8)-'Reaction Information'!$N$17*(Calculations!$O37*LN(Calculations!$O37/Calculations!$C$8)-Calculations!$O37+Calculations!$C$8)-'Reaction Information'!$O$17*10^4*(((1/(Calculations!$O37-Calculations!$C$13))-(1/(Calculations!$C$8-Calculations!$C$13)))*((Calculations!$C$13-Calculations!$O37)/(Calculations!$C$13))-(Calculations!$O37/(Calculations!$C$13*Calculations!$C$13))*LN((Calculations!$C$8*(Calculations!$O37-Calculations!$C$13))/(Calculations!$O37*(Calculations!$C$8-Calculations!$C$13))))+'Reaction Information'!$J$17*10^-1*(Calculations!$M37-Calculations!$C$9)+'Reaction Information'!$K$17*10^2*LN((Calculations!$C$12+Calculations!$M37)/(Calculations!$C$12+Calculations!$C$9))+(1/(Calculations!$O37-Calculations!$C$13))*('Reaction Information'!$L$17*(Calculations!$M37-Calculations!$C$9)+'Reaction Information'!$M$17*10^4*LN((Calculations!$C$12+Calculations!$M37)/(Calculations!$C$12+Calculations!$C$9)))+calculateOmega(Calculations!M37,Calculations!N37,Calculations!Q37,'Reaction Information'!$C$17,'Reaction Information'!$P$17*10^5,'Reaction Information'!$Q$17)*((1/Calculations!$S37)-1)-'Reaction Information'!$P$17*10^5*((1/Calculations!$C$10)-1)+'Reaction Information'!$P$17*10^5*Calculations!$C$14*(Calculations!$O37-Calculations!$C$8))</f>
        <v>#N/A</v>
      </c>
      <c r="AH37" s="8" t="e">
        <f>IF(ISBLANK(Input!$AD$4),NA(),'Reaction Information'!$E$21-'Reaction Information'!$G$21*(Calculations!$O37-Calculations!$C$8)-'Reaction Information'!$N$21*(Calculations!$O37*LN(Calculations!$O37/Calculations!$C$8)-Calculations!$O37+Calculations!$C$8)-'Reaction Information'!$O$21*10^4*(((1/(Calculations!$O37-Calculations!$C$13))-(1/(Calculations!$C$8-Calculations!$C$13)))*((Calculations!$C$13-Calculations!$O37)/(Calculations!$C$13))-(Calculations!$O37/(Calculations!$C$13*Calculations!$C$13))*LN((Calculations!$C$8*(Calculations!$O37-Calculations!$C$13))/(Calculations!$O37*(Calculations!$C$8-Calculations!$C$13))))+'Reaction Information'!$J$21*10^-1*(Calculations!$M37-Calculations!$C$9)+'Reaction Information'!$K$21*10^2*LN((Calculations!$C$12+Calculations!$M37)/(Calculations!$C$12+Calculations!$C$9))+(1/(Calculations!$O37-Calculations!$C$13))*('Reaction Information'!$L$21*(Calculations!$M37-Calculations!$C$9)+'Reaction Information'!$M$21*10^4*LN((Calculations!$C$12+Calculations!$M37)/(Calculations!$C$12+Calculations!$C$9)))+calculateOmega(Calculations!M37,Calculations!N37,Calculations!Q37,'Reaction Information'!$C$21,'Reaction Information'!$P$21*10^5,'Reaction Information'!$Q$21)*((1/Calculations!$S37)-1)-'Reaction Information'!$P$21*10^5*((1/Calculations!$C$10)-1)+'Reaction Information'!$P$21*10^5*Calculations!$C$14*(Calculations!$O37-Calculations!$C$8))</f>
        <v>#N/A</v>
      </c>
      <c r="AI37" s="8" t="e">
        <f>IF(ISBLANK(Input!$AG$4),NA(),'Reaction Information'!$E$25-'Reaction Information'!$G$25*(Calculations!$O37-Calculations!$C$8)-'Reaction Information'!$N$25*(Calculations!$O37*LN(Calculations!$O37/Calculations!$C$8)-Calculations!$O37+Calculations!$C$8)-'Reaction Information'!$O$25*10^4*(((1/(Calculations!$O37-Calculations!$C$13))-(1/(Calculations!$C$8-Calculations!$C$13)))*((Calculations!$C$13-Calculations!$O37)/(Calculations!$C$13))-(Calculations!$O37/(Calculations!$C$13*Calculations!$C$13))*LN((Calculations!$C$8*(Calculations!$O37-Calculations!$C$13))/(Calculations!$O37*(Calculations!$C$8-Calculations!$C$13))))+'Reaction Information'!$J$25*10^-1*(Calculations!$M37-Calculations!$C$9)+'Reaction Information'!$K$25*10^2*LN((Calculations!$C$12+Calculations!$M37)/(Calculations!$C$12+Calculations!$C$9))+(1/(Calculations!$O37-Calculations!$C$13))*('Reaction Information'!$L$25*(Calculations!$M37-Calculations!$C$9)+'Reaction Information'!$M$25*10^4*LN((Calculations!$C$12+Calculations!$M37)/(Calculations!$C$12+Calculations!$C$9)))+calculateOmega(Calculations!M37,Calculations!N37,Calculations!Q37,'Reaction Information'!$C$25,'Reaction Information'!$P$25*10^5,'Reaction Information'!$Q$25)*((1/Calculations!$S37)-1)-'Reaction Information'!$P$25*10^5*((1/Calculations!$C$10)-1)+'Reaction Information'!$P$25*10^5*Calculations!$C$14*(Calculations!$O37-Calculations!$C$8))</f>
        <v>#N/A</v>
      </c>
      <c r="AJ37" s="8" t="e">
        <f>IF(ISBLANK(Input!$AJ$4),NA(),'Reaction Information'!$E$29-'Reaction Information'!$G$29*(Calculations!$O37-Calculations!$C$8)-'Reaction Information'!$N$29*(Calculations!$O37*LN(Calculations!$O37/Calculations!$C$8)-Calculations!$O37+Calculations!$C$8)-'Reaction Information'!$O$29*10^4*(((1/(Calculations!$O37-Calculations!$C$13))-(1/(Calculations!$C$8-Calculations!$C$13)))*((Calculations!$C$13-Calculations!$O37)/(Calculations!$C$13))-(Calculations!$O37/(Calculations!$C$13*Calculations!$C$13))*LN((Calculations!$C$8*(Calculations!$O37-Calculations!$C$13))/(Calculations!$O37*(Calculations!$C$8-Calculations!$C$13))))+'Reaction Information'!$J$29*10^-1*(Calculations!$M37-Calculations!$C$9)+'Reaction Information'!$K$29*10^2*LN((Calculations!$C$12+Calculations!$M37)/(Calculations!$C$12+Calculations!$C$9))+(1/(Calculations!$O37-Calculations!$C$13))*('Reaction Information'!$L$29*(Calculations!$M37-Calculations!$C$9)+'Reaction Information'!$M$29*10^4*LN((Calculations!$C$12+Calculations!$M37)/(Calculations!$C$12+Calculations!$C$9)))+calculateOmega(Calculations!M37,Calculations!N37,Calculations!Q37,'Reaction Information'!$C$29,'Reaction Information'!$P$29*10^5,'Reaction Information'!$Q$29)*((1/Calculations!$S37)-1)-'Reaction Information'!$P$29*10^5*((1/Calculations!$C$10)-1)+'Reaction Information'!$P$29*10^5*Calculations!$C$14*(Calculations!$O37-Calculations!$C$8))</f>
        <v>#N/A</v>
      </c>
      <c r="AK37" s="8" t="e">
        <f>IF(ISBLANK(Input!$AM$4),NA(),'Reaction Information'!$E$33-'Reaction Information'!$G$33*(Calculations!$O37-Calculations!$C$8)-'Reaction Information'!$N$33*(Calculations!$O37*LN(Calculations!$O37/Calculations!$C$8)-Calculations!$O37+Calculations!$C$8)-'Reaction Information'!$O$33*10^4*(((1/(Calculations!$O37-Calculations!$C$13))-(1/(Calculations!$C$8-Calculations!$C$13)))*((Calculations!$C$13-Calculations!$O37)/(Calculations!$C$13))-(Calculations!$O37/(Calculations!$C$13*Calculations!$C$13))*LN((Calculations!$C$8*(Calculations!$O37-Calculations!$C$13))/(Calculations!$O37*(Calculations!$C$8-Calculations!$C$13))))+'Reaction Information'!$J$33*10^-1*(Calculations!$M37-Calculations!$C$9)+'Reaction Information'!$K$33*10^2*LN((Calculations!$C$12+Calculations!$M37)/(Calculations!$C$12+Calculations!$C$9))+(1/(Calculations!$O37-Calculations!$C$13))*('Reaction Information'!$L$33*(Calculations!$M37-Calculations!$C$9)+'Reaction Information'!$M$33*10^4*LN((Calculations!$C$12+Calculations!$M37)/(Calculations!$C$12+Calculations!$C$9)))+calculateOmega(Calculations!M37,Calculations!N37,Calculations!Q37,'Reaction Information'!$C$33,'Reaction Information'!$P$33*10^5,'Reaction Information'!$Q$33)*((1/Calculations!$S37)-1)-'Reaction Information'!$P$33*10^5*((1/Calculations!$C$10)-1)+'Reaction Information'!$P$33*10^5*Calculations!$C$14*(Calculations!$O37-Calculations!$C$8))</f>
        <v>#N/A</v>
      </c>
      <c r="AL37" s="1">
        <f>Results!S39</f>
        <v>0</v>
      </c>
      <c r="AM37" s="1">
        <f>Results!T39</f>
        <v>0</v>
      </c>
      <c r="AN37" s="1">
        <f>Results!U39</f>
        <v>0</v>
      </c>
      <c r="AO37" s="1">
        <f>Results!V39</f>
        <v>0</v>
      </c>
      <c r="AP37" s="8" t="e">
        <f>IF(ISBLANK(Input!$BB$4),NA(),'Reaction Information'!$E$38-'Reaction Information'!$G$38*(Calculations!$O37-Calculations!$C$8)+'Reaction Information'!$I$38*(Calculations!$O37-Calculations!$C$8-Calculations!$O37*LN(Calculations!$O37/Calculations!$C$8))+'Reaction Information'!$J$38*0.001/2*(2*Calculations!$O37*Calculations!$C$8-Calculations!$O37^2-Calculations!$C$8^2) + 'Reaction Information'!$K$38*100000*(Calculations!$O37^2 + Calculations!$C$8^2 - 2*Calculations!$O37*Calculations!$C$8)/(2*Calculations!$O37*Calculations!$C$8^2))</f>
        <v>#N/A</v>
      </c>
      <c r="AQ37" s="8" t="e">
        <f>IF(ISBLANK(Input!$BE$4),NA(),'Reaction Information'!$E$42-'Reaction Information'!$G$42*(Calculations!$O37-Calculations!$C$8)+'Reaction Information'!$I$42*(Calculations!$O37-Calculations!$C$8-Calculations!$O37*LN(Calculations!$O37/Calculations!$C$8))+'Reaction Information'!$J$42*0.001/2*(2*Calculations!$O37*Calculations!$C$8-Calculations!$O37^2-Calculations!$C$8^2) + 'Reaction Information'!$K$42*100000*(Calculations!$O37^2 + Calculations!$C$8^2 - 2*Calculations!$O37*Calculations!$C$8)/(2*Calculations!$O37*Calculations!$C$8^2))</f>
        <v>#N/A</v>
      </c>
      <c r="AR37" s="8" t="e">
        <f>IF(AR$5="H2O", IF($D$24=3,IF(T37=0,NA(),T37),calculateGibbsOfWater(M37,N37,$D$24,$D$20,$D$19=3)),NA())</f>
        <v>#N/A</v>
      </c>
      <c r="AS37" s="8">
        <f>IF(ISBLANK(Input!$BK$4),NA(),'Reaction Information'!$E$46-'Reaction Information'!$G$46*(Calculations!O37-Calculations!$C$8)-'Reaction Information'!$N$46*(Calculations!O37*LN(Calculations!O37/Calculations!$C$8)-Calculations!O37+Calculations!$C$8)-'Reaction Information'!$O$46*10^4*(((1/(Calculations!O37-Calculations!$C$13))-(1/(Calculations!$C$8-Calculations!$C$13)))*((Calculations!$C$13-Calculations!O37)/(Calculations!$C$13))-(Calculations!O37/(Calculations!$C$13*Calculations!$C$13))*LN((Calculations!$C$8*(Calculations!O37-Calculations!$C$13))/(Calculations!O37*(Calculations!$C$8-Calculations!$C$13))))+'Reaction Information'!$J$46*10^-1*(Calculations!$M37-Calculations!$C$9)+'Reaction Information'!$K$46*10^2*LN((Calculations!$C$12+Calculations!$M37)/(Calculations!$C$12+Calculations!$C$9))+(1/(Calculations!O37-Calculations!$C$13))*('Reaction Information'!$L$46*(Calculations!$M37-Calculations!$C$9)+'Reaction Information'!$M$46*10^4*LN((Calculations!$C$12+Calculations!$M37)/(Calculations!$C$12+Calculations!$C$9)))+calculateOmega(Calculations!M37,Calculations!N37,Calculations!Q37,'Reaction Information'!$C$46,'Reaction Information'!$P$46*10^5,'Reaction Information'!$Q$46)*((1/Calculations!S37)-1)-'Reaction Information'!$P$46*10^5*((1/Calculations!$C$10)-1)+'Reaction Information'!$P$46*10^5*Calculations!$C$14*(Calculations!O37-Calculations!$C$8))</f>
        <v>0</v>
      </c>
      <c r="AT37" s="8">
        <f>IF(ISBLANK(Input!$BN$4),NA(),'Reaction Information'!$E$50-'Reaction Information'!$G$50*(Calculations!O37-Calculations!$C$8)-'Reaction Information'!$N$50*(Calculations!O37*LN(Calculations!O37/Calculations!$C$8)-Calculations!O37+Calculations!$C$8)-'Reaction Information'!$O$50*10^4*(((1/(Calculations!O37-Calculations!$C$13))-(1/(Calculations!$C$8-Calculations!$C$13)))*((Calculations!$C$13-Calculations!O37)/(Calculations!$C$13))-(Calculations!O37/(Calculations!$C$13*Calculations!$C$13))*LN((Calculations!$C$8*(Calculations!O37-Calculations!$C$13))/(Calculations!O37*(Calculations!$C$8-Calculations!$C$13))))+'Reaction Information'!$J$50*10^-1*(Calculations!$M37-Calculations!$C$9)+'Reaction Information'!$K$50*10^2*LN((Calculations!$C$12+Calculations!$M37)/(Calculations!$C$12+Calculations!$C$9))+(1/(Calculations!O37-Calculations!$C$13))*('Reaction Information'!$L$50*(Calculations!$M37-Calculations!$C$9)+'Reaction Information'!$M$50*10^4*LN((Calculations!$C$12+Calculations!$M37)/(Calculations!$C$12+Calculations!$C$9)))+calculateOmega(Calculations!M37,Calculations!N37,Calculations!Q37,'Reaction Information'!$C$50,'Reaction Information'!$P$50*10^5,'Reaction Information'!$Q$50)*((1/Calculations!S37)-1)-'Reaction Information'!$P$50*10^5*((1/Calculations!$C$10)-1)+'Reaction Information'!$P$50*10^5*Calculations!$C$14*(Calculations!O37-Calculations!$C$8))</f>
        <v>-138268.21422345052</v>
      </c>
      <c r="AU37" s="8" t="e">
        <f>IF(ISBLANK(Input!$BQ$4),NA(),'Reaction Information'!$E$54-'Reaction Information'!$G$54*(Calculations!$O37-Calculations!$C$8)-'Reaction Information'!$N$54*(Calculations!$O37*LN(Calculations!$O37/Calculations!$C$8)-Calculations!$O37+Calculations!$C$8)-'Reaction Information'!$O$54*10^4*(((1/(Calculations!$O37-Calculations!$C$13))-(1/(Calculations!$C$8-Calculations!$C$13)))*((Calculations!$C$13-Calculations!$O37)/(Calculations!$C$13))-(Calculations!$O37/(Calculations!$C$13*Calculations!$C$13))*LN((Calculations!$C$8*(Calculations!$O37-Calculations!$C$13))/(Calculations!$O37*(Calculations!$C$8-Calculations!$C$13))))+'Reaction Information'!$J$54*10^-1*(Calculations!$M37-Calculations!$C$9)+'Reaction Information'!$K$54*10^2*LN((Calculations!$C$12+Calculations!$M37)/(Calculations!$C$12+Calculations!$C$9))+(1/(Calculations!$O37-Calculations!$C$13))*('Reaction Information'!$L$54*(Calculations!$M37-Calculations!$C$9)+'Reaction Information'!$M$54*10^4*LN((Calculations!$C$12+Calculations!$M37)/(Calculations!$C$12+Calculations!$C$9)))+calculateOmega(Calculations!M37,Calculations!N37,Calculations!Q37,'Reaction Information'!$C$54,'Reaction Information'!$P$54*10^5,'Reaction Information'!$Q$54)*((1/Calculations!$S37)-1)-'Reaction Information'!$P$54*10^5*((1/Calculations!$C$10)-1)+'Reaction Information'!$P$54*10^5*Calculations!$C$14*(Calculations!$O37-Calculations!$C$8))</f>
        <v>#N/A</v>
      </c>
      <c r="AV37" s="8" t="e">
        <f>IF(ISBLANK(Input!$BT$4),NA(),'Reaction Information'!$E$58-'Reaction Information'!$G$58*(Calculations!$O37-Calculations!$C$8)-'Reaction Information'!$N$58*(Calculations!$O37*LN(Calculations!$O37/Calculations!$C$8)-Calculations!$O37+Calculations!$C$8)-'Reaction Information'!$O$58*10^4*(((1/(Calculations!$O37-Calculations!$C$13))-(1/(Calculations!$C$8-Calculations!$C$13)))*((Calculations!$C$13-Calculations!$O37)/(Calculations!$C$13))-(Calculations!$O37/(Calculations!$C$13*Calculations!$C$13))*LN((Calculations!$C$8*(Calculations!$O37-Calculations!$C$13))/(Calculations!$O37*(Calculations!$C$8-Calculations!$C$13))))+'Reaction Information'!$J$58*10^-1*(Calculations!$M37-Calculations!$C$9)+'Reaction Information'!$K$58*10^2*LN((Calculations!$C$12+Calculations!$M37)/(Calculations!$C$12+Calculations!$C$9))+(1/(Calculations!$O37-Calculations!$C$13))*('Reaction Information'!$L$58*(Calculations!$M37-Calculations!$C$9)+'Reaction Information'!$M$58*10^4*LN((Calculations!$C$12+Calculations!$M37)/(Calculations!$C$12+Calculations!$C$9)))+calculateOmega(Calculations!M37,Calculations!N37,Calculations!Q37,'Reaction Information'!$C$58,'Reaction Information'!$P$58*10^5,'Reaction Information'!$Q$58)*((1/Calculations!$S37)-1)-'Reaction Information'!$P$58*10^5*((1/Calculations!$C$10)-1)+'Reaction Information'!$P$58*10^5*Calculations!$C$14*(Calculations!$O37-Calculations!$C$8))</f>
        <v>#N/A</v>
      </c>
      <c r="AW37" s="8" t="e">
        <f>IF(ISBLANK(Input!$BW$4),NA(),'Reaction Information'!$E$62-'Reaction Information'!$G$62*(Calculations!$O37-Calculations!$C$8)-'Reaction Information'!$N$62*(Calculations!$O37*LN(Calculations!$O37/Calculations!$C$8)-Calculations!$O37+Calculations!$C$8)-'Reaction Information'!$O$62*10^4*(((1/(Calculations!$O37-Calculations!$C$13))-(1/(Calculations!$C$8-Calculations!$C$13)))*((Calculations!$C$13-Calculations!$O37)/(Calculations!$C$13))-(Calculations!$O37/(Calculations!$C$13*Calculations!$C$13))*LN((Calculations!$C$8*(Calculations!$O37-Calculations!$C$13))/(Calculations!$O37*(Calculations!$C$8-Calculations!$C$13))))+'Reaction Information'!$J$62*10^-1*(Calculations!$M37-Calculations!$C$9)+'Reaction Information'!$K$62*10^2*LN((Calculations!$C$12+Calculations!$M37)/(Calculations!$C$12+Calculations!$C$9))+(1/(Calculations!$O37-Calculations!$C$13))*('Reaction Information'!$L$62*(Calculations!$M37-Calculations!$C$9)+'Reaction Information'!$M$62*10^4*LN((Calculations!$C$12+Calculations!$M37)/(Calculations!$C$12+Calculations!$C$9)))+calculateOmega(Calculations!M37,Calculations!N37,Calculations!Q37,'Reaction Information'!$C$62,'Reaction Information'!$P$62*10^5,'Reaction Information'!$Q$62)*((1/Calculations!$S37)-1)-'Reaction Information'!$P$62*10^5*((1/Calculations!$C$10)-1)+'Reaction Information'!$P$62*10^5*Calculations!$C$14*(Calculations!$O37-Calculations!$C$8))</f>
        <v>#N/A</v>
      </c>
      <c r="AX37" s="8" t="e">
        <f>IF(ISBLANK(Input!$BZ$4),NA(),'Reaction Information'!$E$66-'Reaction Information'!$G$66*(Calculations!$O37-Calculations!$C$8)-'Reaction Information'!$N$66*(Calculations!$O37*LN(Calculations!$O37/Calculations!$C$8)-Calculations!$O37+Calculations!$C$8)-'Reaction Information'!$O$66*10^4*(((1/(Calculations!$O37-Calculations!$C$13))-(1/(Calculations!$C$8-Calculations!$C$13)))*((Calculations!$C$13-Calculations!$O37)/(Calculations!$C$13))-(Calculations!$O37/(Calculations!$C$13*Calculations!$C$13))*LN((Calculations!$C$8*(Calculations!$O37-Calculations!$C$13))/(Calculations!$O37*(Calculations!$C$8-Calculations!$C$13))))+'Reaction Information'!$J$66*10^-1*(Calculations!$M37-Calculations!$C$9)+'Reaction Information'!$K$66*10^2*LN((Calculations!$C$12+Calculations!$M37)/(Calculations!$C$12+Calculations!$C$9))+(1/(Calculations!$O37-Calculations!$C$13))*('Reaction Information'!$L$66*(Calculations!$M37-Calculations!$C$9)+'Reaction Information'!$M$66*10^4*LN((Calculations!$C$12+Calculations!$M37)/(Calculations!$C$12+Calculations!$C$9)))+calculateOmega(Calculations!M37,Calculations!N37,Calculations!Q37,'Reaction Information'!$C$66,'Reaction Information'!$P$66*10^5,'Reaction Information'!$Q$66)*((1/Calculations!$S37)-1)-'Reaction Information'!$P$66*10^5*((1/Calculations!$C$10)-1)+'Reaction Information'!$P$66*10^5*Calculations!$C$14*(Calculations!$O37-Calculations!$C$8))</f>
        <v>#N/A</v>
      </c>
      <c r="AY37" s="31">
        <f>(AL37*Input!$AO$4+AM37*Input!$AR$4+AN37*Input!$AU$4+AO37*Input!$AX$4+IF(ISNA(AP37),0,AP37*Input!$BA$4)+IF(ISNA(AQ37),0,AQ37*Input!$BD$4)+IF(ISNA(AR37),0,AR37*Input!$BG$4)+IF(ISNA(AS37),0,AS37*Input!$BJ$4)+IF(ISNA(AT37),0,AT37*Input!$BM$4)+IF(ISNA(AU37),0,AU37*Input!$BP$4)+IF(ISNA(AV37),0,AV37*Input!$BS$4)+IF(ISNA(AW37),0,AW37*Input!$BV$4)+IF(ISNA(AX37),0,AX37*Input!$BY$4))-(Y37*Input!$B$4+Z37*Input!$E$4+AA37*Input!$H$4+AB37*Input!$K$4+IF(ISNA(AC37),0,AC37*Input!$N$4)+IF(ISNA(AD37),0,AD37*Input!$Q$4)+IF(ISNA(AE37),0,AE37*Input!$T$4)+IF(ISNA(AF37),0,AF37*Input!$W$4)+IF(ISNA(AG37),0,AG37*Input!$Z$4)+IF(ISNA(AH37),0,AH37*Input!$AC$4)+IF(ISNA(AI37),0,AI37*Input!$AF$4)+IF(ISNA(AJ37),0,AJ37*Input!$AI$4)+IF(ISNA(AK37),0,AK37*Input!$AL$4))</f>
        <v>13463.015605006978</v>
      </c>
      <c r="AZ37" s="42">
        <f t="shared" si="7"/>
        <v>-4.7247803495625629</v>
      </c>
      <c r="BA37" s="1">
        <f t="shared" si="8"/>
        <v>350</v>
      </c>
      <c r="BB37" s="46">
        <f t="shared" si="9"/>
        <v>15000</v>
      </c>
      <c r="BC37" s="1"/>
      <c r="BD37" s="2">
        <f t="shared" si="10"/>
        <v>15000</v>
      </c>
      <c r="BE37" s="46">
        <f t="shared" si="11"/>
        <v>350</v>
      </c>
      <c r="BF37" s="1">
        <f>Results!AJ39</f>
        <v>0</v>
      </c>
      <c r="BG37" s="1">
        <f>Results!AK39</f>
        <v>0</v>
      </c>
      <c r="BH37" s="1">
        <f>Results!AL39</f>
        <v>0</v>
      </c>
      <c r="BI37" s="1">
        <f>Results!AM39</f>
        <v>0</v>
      </c>
      <c r="BJ37" s="1" t="e">
        <f>IF(OR(ISNA('Reaction Information'!$D$5), $N37 = "", $D$27 = FALSE, 'Reaction Information'!$D$5 = ""), NA(), 24.465)</f>
        <v>#N/A</v>
      </c>
      <c r="BK37" s="1" t="e">
        <f>IF(OR(ISNA('Reaction Information'!$D$9), $N37 = "", $D$27 = FALSE, 'Reaction Information'!$D$9 = ""), NA(), 24.465)</f>
        <v>#N/A</v>
      </c>
      <c r="BL37" s="8">
        <f t="shared" si="0"/>
        <v>15.552542430283399</v>
      </c>
      <c r="BM37" s="8">
        <f>IF(OR(ISBLANK(Input!$X$4),$D$27=FALSE),NA(),('Reaction Information'!$J$13/10+'Reaction Information'!$K$13*100/(Calculations!$C$12+Calculations!$M37)+('Reaction Information'!$L$13+'Reaction Information'!$M$13*10^4/(Calculations!$C$12+Calculations!$M37))/(Calculations!$O37-Calculations!$C$13) -calculateOmega(Calculations!$M37,Calculations!$N37,Calculations!$Q37,'Reaction Information'!$C$13,'Reaction Information'!$P$13*10^5,'Reaction Information'!$Q$13)*Calculations!$U37*10^-6 + (1/$S37 - 1)*calculate_domegadP(Calculations!$M37,Calculations!$N37,Calculations!$Q37,'Reaction Information'!$C$13,'Reaction Information'!$P$13*10^5,'Reaction Information'!$Q$13,$D$20,$D$19=3))*41.84)</f>
        <v>30.977014906369181</v>
      </c>
      <c r="BN37" s="8" t="e">
        <f>IF(OR(ISBLANK(Input!$AA$4),$D$27=FALSE),NA(),('Reaction Information'!$J$17/10+'Reaction Information'!$K$17*100/(Calculations!$C$12+Calculations!$M37)+('Reaction Information'!$L$17+'Reaction Information'!$M$17*10000/(Calculations!$C$12+Calculations!$M37))/(Calculations!$O37-Calculations!$C$13)-calculateOmega(Calculations!M37,Calculations!N37,Calculations!Q37,'Reaction Information'!$C$17,'Reaction Information'!$P$17*10^5,'Reaction Information'!$Q$17)*Calculations!$U37*10^-6 + (1/$S37 - 1)*calculate_domegadP(Calculations!M37,Calculations!N37,Calculations!Q37,'Reaction Information'!$C$17,'Reaction Information'!$P$17*10^5,'Reaction Information'!$Q$17,$D$20,$D$19=3))*41.84)</f>
        <v>#N/A</v>
      </c>
      <c r="BO37" s="8" t="e">
        <f>IF(OR(ISBLANK(Input!$AD$4),$D$27=FALSE),NA(),('Reaction Information'!$J$21/10+'Reaction Information'!$K$21*100/(Calculations!$C$12+Calculations!$M37)+('Reaction Information'!$L$21+'Reaction Information'!$M$21*10000/(Calculations!$C$12+Calculations!$M37))/(Calculations!$O37-Calculations!$C$13)-calculateOmega(Calculations!M37,Calculations!N37,Calculations!Q37,'Reaction Information'!$C$21,'Reaction Information'!$P$21*10^5,'Reaction Information'!$Q$21)*Calculations!$U37*10^-6 + (1/$S37 - 1)*calculate_domegadP(Calculations!M37,Calculations!N37,Calculations!Q37,'Reaction Information'!$C$21,'Reaction Information'!$P$21*10^5,'Reaction Information'!$Q$21,$D$20,$D$19=3))*41.84)</f>
        <v>#N/A</v>
      </c>
      <c r="BP37" s="8" t="e">
        <f>IF(OR(ISBLANK(Input!$AG$4),$D$27=FALSE),NA(),('Reaction Information'!$J$25/10+'Reaction Information'!$K$25*100/(Calculations!$C$12+Calculations!$M37)+('Reaction Information'!$L$25+'Reaction Information'!$M$25*10000/(Calculations!$C$12+Calculations!$M37))/(Calculations!$O37-Calculations!$C$13)-calculateOmega(Calculations!M37,Calculations!N37,Calculations!Q37,'Reaction Information'!$C$25,'Reaction Information'!$P$25*10^5,'Reaction Information'!$Q$25)*Calculations!$U37*10^-6 + (1/$S37 - 1)*calculate_domegadP(Calculations!M37,Calculations!N37,Calculations!Q37,'Reaction Information'!$C$25,'Reaction Information'!$P$25*10^5,'Reaction Information'!$Q$25,$D$20,$D$19=3))*41.84)</f>
        <v>#N/A</v>
      </c>
      <c r="BQ37" s="8" t="e">
        <f>IF(OR(ISBLANK(Input!$AJ$4),$D$27=FALSE),NA(),('Reaction Information'!$J$29/10+'Reaction Information'!$K$29*100/(Calculations!$C$12+Calculations!$M37)+('Reaction Information'!$L$29+'Reaction Information'!$M$29*10000/(Calculations!$C$12+Calculations!$M37))/(Calculations!$O37-Calculations!$C$13)-calculateOmega(Calculations!M37,Calculations!N37,Calculations!Q37,'Reaction Information'!$C$29,'Reaction Information'!$P$29*10^5,'Reaction Information'!$Q$29)*Calculations!$U37*10^-6 + (1/$S37 - 1)*calculate_domegadP(Calculations!M37,Calculations!N37,Calculations!Q37,'Reaction Information'!$C$29,'Reaction Information'!$P$29*10^5,'Reaction Information'!$Q$29,$D$20,$D$19=3))*41.84)</f>
        <v>#N/A</v>
      </c>
      <c r="BR37" s="8" t="e">
        <f>IF(OR(ISBLANK(Input!$AM$4),$D$27=FALSE),NA(),('Reaction Information'!$J$33/10+'Reaction Information'!$K$33*100/(Calculations!$C$12+Calculations!$M37)+('Reaction Information'!$L$33+'Reaction Information'!$M$33*10000/(Calculations!$C$12+Calculations!$M37))/(Calculations!$O37-Calculations!$C$13)-calculateOmega(Calculations!M37,Calculations!N37,Calculations!Q37,'Reaction Information'!$C$33,'Reaction Information'!$P$33*10^5,'Reaction Information'!$Q$33)*Calculations!$U37*10^-6 + (1/$S37 - 1)*calculate_domegadP(Calculations!M37,Calculations!N37,Calculations!Q37,'Reaction Information'!$C$33,'Reaction Information'!$P$33*10^5,'Reaction Information'!$Q$33,$D$20,$D$19=3))*41.84)</f>
        <v>#N/A</v>
      </c>
      <c r="BS37" s="1">
        <f>Results!AW39</f>
        <v>0</v>
      </c>
      <c r="BT37" s="1">
        <f>Results!AX39</f>
        <v>0</v>
      </c>
      <c r="BU37" s="1">
        <f>Results!AY39</f>
        <v>0</v>
      </c>
      <c r="BV37" s="1">
        <f>Results!AZ39</f>
        <v>0</v>
      </c>
      <c r="BW37" s="1" t="e">
        <f>IF(OR(ISNA('Reaction Information'!$D$38), $N37 = "", $D$27 = FALSE, 'Reaction Information'!$D$38 = ""), NA(), 24.465)</f>
        <v>#N/A</v>
      </c>
      <c r="BX37" s="1" t="e">
        <f>IF(OR(ISNA('Reaction Information'!$D$42), $N37 = "", $D$27 = FALSE, 'Reaction Information'!$D$42 = ""), NA(), 24.465)</f>
        <v>#N/A</v>
      </c>
      <c r="BY37" s="8" t="e">
        <f t="shared" si="1"/>
        <v>#N/A</v>
      </c>
      <c r="BZ37" s="8">
        <f>IF(OR(ISBLANK(Input!$BK$4),$D$27=FALSE),NA(),('Reaction Information'!$J$46/10+'Reaction Information'!$K$46*100/(Calculations!$C$12+Calculations!$M37)+('Reaction Information'!$L$46+'Reaction Information'!$M$46*10000/(Calculations!$C$12+Calculations!$M37))/(Calculations!$O37-Calculations!$C$13)-calculateOmega(Calculations!M37,Calculations!N37,Calculations!Q37,'Reaction Information'!$C$46,'Reaction Information'!$P$46*10^5,'Reaction Information'!$Q$46)*Calculations!$U37*10^-6 + (1/$S37 - 1)*calculate_domegadP(Calculations!M37,Calculations!N37,Calculations!Q37,'Reaction Information'!$C$46,'Reaction Information'!$P$46*10^5,'Reaction Information'!$Q$46,$D$20,$D$19=3))*41.84)</f>
        <v>0</v>
      </c>
      <c r="CA37" s="8">
        <f>IF(OR(ISBLANK(Input!$BN$4),$D$27=FALSE),NA(),('Reaction Information'!$J$50/10+'Reaction Information'!$K$50*100/(Calculations!$C$12+Calculations!$M37)+('Reaction Information'!$L$50+'Reaction Information'!$M$50*10000/(Calculations!$C$12+Calculations!$M37))/(Calculations!$O37-Calculations!$C$13)-calculateOmega(Calculations!M37,Calculations!N37,Calculations!Q37,'Reaction Information'!$C$50,'Reaction Information'!$P$50*10^5,'Reaction Information'!$Q$50)*Calculations!$U37*10^-6 + (1/$S37 - 1)*calculate_domegadP(Calculations!M37,Calculations!N37,Calculations!Q37,'Reaction Information'!$C$50,'Reaction Information'!$P$50*10^5,'Reaction Information'!$Q$50,$D$20,$D$19=3))*41.84)</f>
        <v>30.281540261033637</v>
      </c>
      <c r="CB37" s="8" t="e">
        <f>IF(OR(ISBLANK(Input!$BQ$4),$D$27=FALSE),NA(),('Reaction Information'!$J$54/10+'Reaction Information'!$K$54*100/(Calculations!$C$12+Calculations!$M37)+('Reaction Information'!$L$54+'Reaction Information'!$M$54*10000/(Calculations!$C$12+Calculations!$M37))/(Calculations!$O37-Calculations!$C$13)-calculateOmega(Calculations!M37,Calculations!N37,Calculations!Q37,'Reaction Information'!$C$54,'Reaction Information'!$P$54*10^5,'Reaction Information'!$Q$54)*Calculations!$U37*10^-6 + (1/$S37 - 1)*calculate_domegadP(Calculations!M37,Calculations!N37,Calculations!Q37,'Reaction Information'!$C$54,'Reaction Information'!$P$54*10^5,'Reaction Information'!$Q$54,$D$20,$D$19=3))*41.84)</f>
        <v>#N/A</v>
      </c>
      <c r="CC37" s="8" t="e">
        <f>IF(OR(ISBLANK(Input!$BT$4),$D$27=FALSE),NA(),('Reaction Information'!$J$58/10+'Reaction Information'!$K$58*100/(Calculations!$C$12+Calculations!$M37)+('Reaction Information'!$L$58+'Reaction Information'!$M$58*10000/(Calculations!$C$12+Calculations!$M37))/(Calculations!$O37-Calculations!$C$13)-calculateOmega(Calculations!M37,Calculations!N37,Calculations!Q37,'Reaction Information'!$C$58,'Reaction Information'!$P$58*10^5,'Reaction Information'!$Q$58)*Calculations!$U37*10^-6 + (1/$S37 - 1)*calculate_domegadP(Calculations!M37,Calculations!N37,Calculations!Q37,'Reaction Information'!$C$58,'Reaction Information'!$P$58*10^5,'Reaction Information'!$Q$58,$D$20,$D$19=3))*41.84)</f>
        <v>#N/A</v>
      </c>
      <c r="CD37" s="8" t="e">
        <f>IF(OR(ISBLANK(Input!$BW$4),$D$27=FALSE),NA(),('Reaction Information'!$J$62/10+'Reaction Information'!$K$62*100/(Calculations!$C$12+Calculations!$M37)+('Reaction Information'!$L$62+'Reaction Information'!$M$62*10000/(Calculations!$C$12+Calculations!$M37))/(Calculations!$O37-Calculations!$C$13)-calculateOmega(Calculations!M37,Calculations!N37,Calculations!Q37,'Reaction Information'!$C$62,'Reaction Information'!$P$62*10^5,'Reaction Information'!$Q$62)*Calculations!$U37*10^-6 + (1/$S37 - 1)*calculate_domegadP(Calculations!M37,Calculations!N37,Calculations!Q37,'Reaction Information'!$C$62,'Reaction Information'!$P$62*10^5,'Reaction Information'!$Q$62,$D$20,$D$19=3))*41.84)</f>
        <v>#N/A</v>
      </c>
      <c r="CE37" s="8" t="e">
        <f>IF(OR(ISBLANK(Input!$BZ$4),$D$27=FALSE),NA(),('Reaction Information'!$J$66/10+'Reaction Information'!$K$66*100/(Calculations!$C$12+Calculations!$M37)+('Reaction Information'!$L$66+'Reaction Information'!$M$66*10000/(Calculations!$C$12+Calculations!$M37))/(Calculations!$O37-Calculations!$C$13)-calculateOmega(Calculations!M37,Calculations!N37,Calculations!Q37,'Reaction Information'!$C$66,'Reaction Information'!$P$66*10^5,'Reaction Information'!$Q$66)*Calculations!$U37*10^-6 + (1/$S37 - 1)*calculate_domegadP(Calculations!M37,Calculations!N37,Calculations!Q37,'Reaction Information'!$C$66,'Reaction Information'!$P$66*10^5,'Reaction Information'!$Q$66,$D$20,$D$19=3))*41.84)</f>
        <v>#N/A</v>
      </c>
      <c r="CF37" s="31">
        <f>(BS37*Input!$AO$4+BT37*Input!$AR$4+BU37*Input!$AU$4+BV37*Input!$AX$4+IF(ISNA(BW37),0,BW37*Input!$BA$4)+IF(ISNA(BX37),0,BX37*Input!$BD$4)+IF(ISNA(BY37),0,BY37*Input!$BG$4)+IF(ISNA(BZ37),0,BZ37*Input!$BJ$4)+IF(ISNA(CA37),0,CA37*Input!$BM$4)+IF(ISNA(CB37),0,CB37*Input!$BP$4)+IF(ISNA(CC37),0,CC37*Input!$BS$4)+IF(ISNA(CD37),0,CD37*Input!$BV$4)+IF(ISNA(CE37),0,CE37*Input!$BY$4))-(BF37*Input!$B$4+BG37*Input!$E$4+BH37*Input!$H$4+BI37*Input!$K$4+IF(ISNA(BJ37),0,BJ37*Input!$N$4)+IF(ISNA(BK37),0,BK37*Input!$Q$4)+IF(ISNA(BL37),0,BL37*Input!$T$4)+IF(ISNA(BM37),0,BM37*Input!$W$4)+IF(ISNA(BN37),0,BN37*Input!$Z$4)+IF(ISNA(BO37),0,BO37*Input!$AC$4)+IF(ISNA(BP37),0,BP37*Input!$AF$4)+IF(ISNA(BQ37),0,BQ37*Input!$AI$4)+IF(ISNA(BR37),0,BR37*Input!$AL$4))</f>
        <v>-16.248017075618943</v>
      </c>
      <c r="CG37" s="1">
        <f t="shared" si="12"/>
        <v>350</v>
      </c>
      <c r="CH37" s="46">
        <f t="shared" si="13"/>
        <v>15000</v>
      </c>
      <c r="CI37" s="1"/>
    </row>
    <row r="38" spans="1:87" ht="15" customHeight="1" x14ac:dyDescent="0.2">
      <c r="A38" s="1"/>
      <c r="B38" s="1"/>
      <c r="C38" s="1"/>
      <c r="D38" s="1"/>
      <c r="E38" s="1"/>
      <c r="F38" s="2">
        <v>33</v>
      </c>
      <c r="G38" s="1" t="str">
        <f>IF(ISBLANK(Input!CB38), "", Input!CB38*1000)</f>
        <v/>
      </c>
      <c r="H38" s="1" t="str">
        <f>IF(ISBLANK(Input!CC38), "", Input!CC38)</f>
        <v/>
      </c>
      <c r="I38" s="1">
        <f>IF(Input!$CF$5 + Input!$CF$6*(FLOOR((Calculations!$F38-1)/(FLOOR((Input!$CF$12-Input!$CF$10)/Input!$CF$11,1)+1),1)) &gt; Input!$CF$7, "", (Input!$CF$5 + Input!$CF$6*(FLOOR((Calculations!$F38-1)/(FLOOR((Input!$CF$12-Input!$CF$10)/Input!$CF$11,1)+1),1)))*1000)</f>
        <v>15000</v>
      </c>
      <c r="J38" s="1">
        <f>IF(Calculations!I38 = "", "", Input!$CF$10 + Input!$CF$11*(Calculations!$F38-1) - (FLOOR((Input!$CF$12-Input!$CF$10)/Input!$CF$11,1)+1)*Input!$CF$11*FLOOR((Calculations!$F38-1)/(FLOOR((Input!$CF$12-Input!$CF$10)/Input!$CF$11,1)+1),1))</f>
        <v>400</v>
      </c>
      <c r="K38" s="8" t="str">
        <f t="shared" si="14"/>
        <v/>
      </c>
      <c r="L38" s="117" t="str">
        <f>IF(OR(Input!$CJ$5 + Input!$CJ$6*(Calculations!F38-1) &gt; Input!$CJ$7, Input!$CJ$5 + Input!$CJ$6*(Calculations!F38-1) &gt; 350), "", Input!$CJ$5 + Input!$CJ$6*(Calculations!F38-1))</f>
        <v/>
      </c>
      <c r="M38" s="1">
        <f t="shared" si="2"/>
        <v>15000</v>
      </c>
      <c r="N38" s="1">
        <f t="shared" si="3"/>
        <v>400</v>
      </c>
      <c r="O38" s="1">
        <f t="shared" ref="O38:O69" si="15">N38+273.15</f>
        <v>673.15</v>
      </c>
      <c r="P38" s="1" t="e">
        <f>IF(OR($D$20=3,AND($D$21=TRUE,M38&lt;1000)),INDEX('Water Density'!$C$6:$CX$120,MATCH(Calculations!N38,'Water Density'!$B$6:$B$120),MATCH(Calculations!M38/1000,'Water Density'!$C$5:$CX$5)),NA())</f>
        <v>#N/A</v>
      </c>
      <c r="Q38" s="182">
        <f>IF(OR($D$20=3,AND($D$21=TRUE,M38&lt;1000)), IF(P38&lt;&gt;0,P38,NA()), calculateDensity(M38,N38,$D$20,0.01,$D$19 = 3))</f>
        <v>1.1377946386587618</v>
      </c>
      <c r="R38" s="1" t="e">
        <f>IF($D$22=5,INDEX('Dielectric Constant'!$C$6:$CX$120,MATCH(Calculations!N38,'Dielectric Constant'!$B$6:$B$120),MATCH(Calculations!M38/1000,'Dielectric Constant'!$C$5:$CX$5)),NA())</f>
        <v>#N/A</v>
      </c>
      <c r="S38" s="58">
        <f>IF($D$22=5, IF(R38&lt;&gt;0,R38,NA()), IF(AND($D$23,M38&lt;=5000,$D$19 &lt;&gt; 3),calculateEpsilon(Q38,N38,1,FALSE),calculateEpsilon(Q38,N38,$D$22,$D$19 = 3)))</f>
        <v>34.242324739749172</v>
      </c>
      <c r="T38" s="1" t="e">
        <f>IF($D$24=3,INDEX('Water Free Energy'!$C$6:$CX$120,MATCH(Calculations!N38,'Water Free Energy'!$B$6:$B$120),MATCH(Calculations!M38/1000,'Water Free Energy'!$C$5:$CX$5)),NA())</f>
        <v>#N/A</v>
      </c>
      <c r="U38" s="179">
        <f>IF($D$27,calculateQ(M38,N38,Q38,$D$20,$D$22,$D$19=3)*10^6,NA())</f>
        <v>0.39917695876090281</v>
      </c>
      <c r="V38"/>
      <c r="W38" s="2">
        <f t="shared" si="5"/>
        <v>15000</v>
      </c>
      <c r="X38" s="1">
        <f t="shared" si="6"/>
        <v>400</v>
      </c>
      <c r="Y38" s="1">
        <f>Results!F40</f>
        <v>0</v>
      </c>
      <c r="Z38" s="1">
        <f>Results!G40</f>
        <v>0</v>
      </c>
      <c r="AA38" s="1">
        <f>Results!H40</f>
        <v>0</v>
      </c>
      <c r="AB38" s="1">
        <f>Results!I40</f>
        <v>0</v>
      </c>
      <c r="AC38" s="1" t="e">
        <f>IF(ISBLANK(Input!$O$4),NA(),'Reaction Information'!$E$5-'Reaction Information'!$G$5*(Calculations!$O38-Calculations!$C$8)+'Reaction Information'!$I$5*(Calculations!$O38-Calculations!$C$8-Calculations!$O38*LN(Calculations!$O38/Calculations!$C$8))+'Reaction Information'!$J$5*0.001/2*(2*Calculations!$O38*Calculations!$C$8-Calculations!$O38^2-Calculations!$C$8^2) + 'Reaction Information'!$K$5*100000*(Calculations!$O38^2 + Calculations!$C$8^2 - 2*Calculations!$O38*Calculations!$C$8)/(2*Calculations!$O38*Calculations!$C$8^2))</f>
        <v>#N/A</v>
      </c>
      <c r="AD38" s="8" t="e">
        <f>IF(ISBLANK(Input!$R$4),NA(),'Reaction Information'!$E$9-'Reaction Information'!$G$9*(Calculations!$O38-Calculations!$C$8)+'Reaction Information'!$I$9*(Calculations!$O38-Calculations!$C$8-Calculations!$O38*LN(Calculations!$O38/Calculations!$C$8))+'Reaction Information'!$J$9*0.001/2*(2*Calculations!$O38*Calculations!$C$8-Calculations!$O38^2-Calculations!$C$8^2) + 'Reaction Information'!$K$9*100000*(Calculations!$O38^2 + Calculations!$C$8^2 - 2*Calculations!$O38*Calculations!$C$8)/(2*Calculations!$O38*Calculations!$C$8^2))</f>
        <v>#N/A</v>
      </c>
      <c r="AE38" s="8">
        <f>IF(AE$5="H2O",IF($D$24=3,IF(T38=0,NA(),T38),calculateGibbsOfWater(M38,N38,$D$24,$D$20,$D$19=3)),NA())</f>
        <v>-59337.562864876854</v>
      </c>
      <c r="AF38" s="8">
        <f>IF(ISBLANK(Input!$X$4),NA(),'Reaction Information'!$E$13-'Reaction Information'!$G$13*(Calculations!O38-Calculations!$C$8)-'Reaction Information'!$N$13*(Calculations!O38*LN(Calculations!O38/Calculations!$C$8)-Calculations!O38+Calculations!$C$8)-'Reaction Information'!$O$13*10^4*(((1/(Calculations!O38-Calculations!$C$13))-(1/(Calculations!$C$8-Calculations!$C$13)))*((Calculations!$C$13-Calculations!O38)/(Calculations!$C$13))-(Calculations!O38/(Calculations!$C$13*Calculations!$C$13))*LN((Calculations!$C$8*(Calculations!O38-Calculations!$C$13))/(Calculations!O38*(Calculations!$C$8-Calculations!$C$13))))+'Reaction Information'!$J$13*10^-1*(Calculations!M38-Calculations!$C$9)+'Reaction Information'!$K$13*10^2*LN((Calculations!$C$12+Calculations!M38)/(Calculations!$C$12+Calculations!$C$9))+(1/(Calculations!O38-Calculations!$C$13))*('Reaction Information'!$L$13*(Calculations!M38-Calculations!$C$9)+'Reaction Information'!$M$13*10^4*LN((Calculations!$C$12+Calculations!M38)/(Calculations!$C$12+Calculations!$C$9)))+calculateOmega(Calculations!M38,Calculations!N38,Calculations!Q38,'Reaction Information'!$C$13,'Reaction Information'!$P$13*10^5,'Reaction Information'!$Q$13)*((1/Calculations!S38)-1)-'Reaction Information'!$P$13*10^5*((1/Calculations!$C$10)-1)+'Reaction Information'!$P$13*10^5*Calculations!$C$14*(Calculations!O38-Calculations!$C$8))</f>
        <v>-95884.595357229759</v>
      </c>
      <c r="AG38" s="8" t="e">
        <f>IF(ISBLANK(Input!$AA$4),NA(),'Reaction Information'!$E$17-'Reaction Information'!$G$17*(Calculations!$O38-Calculations!$C$8)-'Reaction Information'!$N$17*(Calculations!$O38*LN(Calculations!$O38/Calculations!$C$8)-Calculations!$O38+Calculations!$C$8)-'Reaction Information'!$O$17*10^4*(((1/(Calculations!$O38-Calculations!$C$13))-(1/(Calculations!$C$8-Calculations!$C$13)))*((Calculations!$C$13-Calculations!$O38)/(Calculations!$C$13))-(Calculations!$O38/(Calculations!$C$13*Calculations!$C$13))*LN((Calculations!$C$8*(Calculations!$O38-Calculations!$C$13))/(Calculations!$O38*(Calculations!$C$8-Calculations!$C$13))))+'Reaction Information'!$J$17*10^-1*(Calculations!$M38-Calculations!$C$9)+'Reaction Information'!$K$17*10^2*LN((Calculations!$C$12+Calculations!$M38)/(Calculations!$C$12+Calculations!$C$9))+(1/(Calculations!$O38-Calculations!$C$13))*('Reaction Information'!$L$17*(Calculations!$M38-Calculations!$C$9)+'Reaction Information'!$M$17*10^4*LN((Calculations!$C$12+Calculations!$M38)/(Calculations!$C$12+Calculations!$C$9)))+calculateOmega(Calculations!M38,Calculations!N38,Calculations!Q38,'Reaction Information'!$C$17,'Reaction Information'!$P$17*10^5,'Reaction Information'!$Q$17)*((1/Calculations!$S38)-1)-'Reaction Information'!$P$17*10^5*((1/Calculations!$C$10)-1)+'Reaction Information'!$P$17*10^5*Calculations!$C$14*(Calculations!$O38-Calculations!$C$8))</f>
        <v>#N/A</v>
      </c>
      <c r="AH38" s="8" t="e">
        <f>IF(ISBLANK(Input!$AD$4),NA(),'Reaction Information'!$E$21-'Reaction Information'!$G$21*(Calculations!$O38-Calculations!$C$8)-'Reaction Information'!$N$21*(Calculations!$O38*LN(Calculations!$O38/Calculations!$C$8)-Calculations!$O38+Calculations!$C$8)-'Reaction Information'!$O$21*10^4*(((1/(Calculations!$O38-Calculations!$C$13))-(1/(Calculations!$C$8-Calculations!$C$13)))*((Calculations!$C$13-Calculations!$O38)/(Calculations!$C$13))-(Calculations!$O38/(Calculations!$C$13*Calculations!$C$13))*LN((Calculations!$C$8*(Calculations!$O38-Calculations!$C$13))/(Calculations!$O38*(Calculations!$C$8-Calculations!$C$13))))+'Reaction Information'!$J$21*10^-1*(Calculations!$M38-Calculations!$C$9)+'Reaction Information'!$K$21*10^2*LN((Calculations!$C$12+Calculations!$M38)/(Calculations!$C$12+Calculations!$C$9))+(1/(Calculations!$O38-Calculations!$C$13))*('Reaction Information'!$L$21*(Calculations!$M38-Calculations!$C$9)+'Reaction Information'!$M$21*10^4*LN((Calculations!$C$12+Calculations!$M38)/(Calculations!$C$12+Calculations!$C$9)))+calculateOmega(Calculations!M38,Calculations!N38,Calculations!Q38,'Reaction Information'!$C$21,'Reaction Information'!$P$21*10^5,'Reaction Information'!$Q$21)*((1/Calculations!$S38)-1)-'Reaction Information'!$P$21*10^5*((1/Calculations!$C$10)-1)+'Reaction Information'!$P$21*10^5*Calculations!$C$14*(Calculations!$O38-Calculations!$C$8))</f>
        <v>#N/A</v>
      </c>
      <c r="AI38" s="8" t="e">
        <f>IF(ISBLANK(Input!$AG$4),NA(),'Reaction Information'!$E$25-'Reaction Information'!$G$25*(Calculations!$O38-Calculations!$C$8)-'Reaction Information'!$N$25*(Calculations!$O38*LN(Calculations!$O38/Calculations!$C$8)-Calculations!$O38+Calculations!$C$8)-'Reaction Information'!$O$25*10^4*(((1/(Calculations!$O38-Calculations!$C$13))-(1/(Calculations!$C$8-Calculations!$C$13)))*((Calculations!$C$13-Calculations!$O38)/(Calculations!$C$13))-(Calculations!$O38/(Calculations!$C$13*Calculations!$C$13))*LN((Calculations!$C$8*(Calculations!$O38-Calculations!$C$13))/(Calculations!$O38*(Calculations!$C$8-Calculations!$C$13))))+'Reaction Information'!$J$25*10^-1*(Calculations!$M38-Calculations!$C$9)+'Reaction Information'!$K$25*10^2*LN((Calculations!$C$12+Calculations!$M38)/(Calculations!$C$12+Calculations!$C$9))+(1/(Calculations!$O38-Calculations!$C$13))*('Reaction Information'!$L$25*(Calculations!$M38-Calculations!$C$9)+'Reaction Information'!$M$25*10^4*LN((Calculations!$C$12+Calculations!$M38)/(Calculations!$C$12+Calculations!$C$9)))+calculateOmega(Calculations!M38,Calculations!N38,Calculations!Q38,'Reaction Information'!$C$25,'Reaction Information'!$P$25*10^5,'Reaction Information'!$Q$25)*((1/Calculations!$S38)-1)-'Reaction Information'!$P$25*10^5*((1/Calculations!$C$10)-1)+'Reaction Information'!$P$25*10^5*Calculations!$C$14*(Calculations!$O38-Calculations!$C$8))</f>
        <v>#N/A</v>
      </c>
      <c r="AJ38" s="8" t="e">
        <f>IF(ISBLANK(Input!$AJ$4),NA(),'Reaction Information'!$E$29-'Reaction Information'!$G$29*(Calculations!$O38-Calculations!$C$8)-'Reaction Information'!$N$29*(Calculations!$O38*LN(Calculations!$O38/Calculations!$C$8)-Calculations!$O38+Calculations!$C$8)-'Reaction Information'!$O$29*10^4*(((1/(Calculations!$O38-Calculations!$C$13))-(1/(Calculations!$C$8-Calculations!$C$13)))*((Calculations!$C$13-Calculations!$O38)/(Calculations!$C$13))-(Calculations!$O38/(Calculations!$C$13*Calculations!$C$13))*LN((Calculations!$C$8*(Calculations!$O38-Calculations!$C$13))/(Calculations!$O38*(Calculations!$C$8-Calculations!$C$13))))+'Reaction Information'!$J$29*10^-1*(Calculations!$M38-Calculations!$C$9)+'Reaction Information'!$K$29*10^2*LN((Calculations!$C$12+Calculations!$M38)/(Calculations!$C$12+Calculations!$C$9))+(1/(Calculations!$O38-Calculations!$C$13))*('Reaction Information'!$L$29*(Calculations!$M38-Calculations!$C$9)+'Reaction Information'!$M$29*10^4*LN((Calculations!$C$12+Calculations!$M38)/(Calculations!$C$12+Calculations!$C$9)))+calculateOmega(Calculations!M38,Calculations!N38,Calculations!Q38,'Reaction Information'!$C$29,'Reaction Information'!$P$29*10^5,'Reaction Information'!$Q$29)*((1/Calculations!$S38)-1)-'Reaction Information'!$P$29*10^5*((1/Calculations!$C$10)-1)+'Reaction Information'!$P$29*10^5*Calculations!$C$14*(Calculations!$O38-Calculations!$C$8))</f>
        <v>#N/A</v>
      </c>
      <c r="AK38" s="8" t="e">
        <f>IF(ISBLANK(Input!$AM$4),NA(),'Reaction Information'!$E$33-'Reaction Information'!$G$33*(Calculations!$O38-Calculations!$C$8)-'Reaction Information'!$N$33*(Calculations!$O38*LN(Calculations!$O38/Calculations!$C$8)-Calculations!$O38+Calculations!$C$8)-'Reaction Information'!$O$33*10^4*(((1/(Calculations!$O38-Calculations!$C$13))-(1/(Calculations!$C$8-Calculations!$C$13)))*((Calculations!$C$13-Calculations!$O38)/(Calculations!$C$13))-(Calculations!$O38/(Calculations!$C$13*Calculations!$C$13))*LN((Calculations!$C$8*(Calculations!$O38-Calculations!$C$13))/(Calculations!$O38*(Calculations!$C$8-Calculations!$C$13))))+'Reaction Information'!$J$33*10^-1*(Calculations!$M38-Calculations!$C$9)+'Reaction Information'!$K$33*10^2*LN((Calculations!$C$12+Calculations!$M38)/(Calculations!$C$12+Calculations!$C$9))+(1/(Calculations!$O38-Calculations!$C$13))*('Reaction Information'!$L$33*(Calculations!$M38-Calculations!$C$9)+'Reaction Information'!$M$33*10^4*LN((Calculations!$C$12+Calculations!$M38)/(Calculations!$C$12+Calculations!$C$9)))+calculateOmega(Calculations!M38,Calculations!N38,Calculations!Q38,'Reaction Information'!$C$33,'Reaction Information'!$P$33*10^5,'Reaction Information'!$Q$33)*((1/Calculations!$S38)-1)-'Reaction Information'!$P$33*10^5*((1/Calculations!$C$10)-1)+'Reaction Information'!$P$33*10^5*Calculations!$C$14*(Calculations!$O38-Calculations!$C$8))</f>
        <v>#N/A</v>
      </c>
      <c r="AL38" s="1">
        <f>Results!S40</f>
        <v>0</v>
      </c>
      <c r="AM38" s="1">
        <f>Results!T40</f>
        <v>0</v>
      </c>
      <c r="AN38" s="1">
        <f>Results!U40</f>
        <v>0</v>
      </c>
      <c r="AO38" s="1">
        <f>Results!V40</f>
        <v>0</v>
      </c>
      <c r="AP38" s="8" t="e">
        <f>IF(ISBLANK(Input!$BB$4),NA(),'Reaction Information'!$E$38-'Reaction Information'!$G$38*(Calculations!$O38-Calculations!$C$8)+'Reaction Information'!$I$38*(Calculations!$O38-Calculations!$C$8-Calculations!$O38*LN(Calculations!$O38/Calculations!$C$8))+'Reaction Information'!$J$38*0.001/2*(2*Calculations!$O38*Calculations!$C$8-Calculations!$O38^2-Calculations!$C$8^2) + 'Reaction Information'!$K$38*100000*(Calculations!$O38^2 + Calculations!$C$8^2 - 2*Calculations!$O38*Calculations!$C$8)/(2*Calculations!$O38*Calculations!$C$8^2))</f>
        <v>#N/A</v>
      </c>
      <c r="AQ38" s="8" t="e">
        <f>IF(ISBLANK(Input!$BE$4),NA(),'Reaction Information'!$E$42-'Reaction Information'!$G$42*(Calculations!$O38-Calculations!$C$8)+'Reaction Information'!$I$42*(Calculations!$O38-Calculations!$C$8-Calculations!$O38*LN(Calculations!$O38/Calculations!$C$8))+'Reaction Information'!$J$42*0.001/2*(2*Calculations!$O38*Calculations!$C$8-Calculations!$O38^2-Calculations!$C$8^2) + 'Reaction Information'!$K$42*100000*(Calculations!$O38^2 + Calculations!$C$8^2 - 2*Calculations!$O38*Calculations!$C$8)/(2*Calculations!$O38*Calculations!$C$8^2))</f>
        <v>#N/A</v>
      </c>
      <c r="AR38" s="8" t="e">
        <f>IF(AR$5="H2O", IF($D$24=3,IF(T38=0,NA(),T38),calculateGibbsOfWater(M38,N38,$D$24,$D$20,$D$19=3)),NA())</f>
        <v>#N/A</v>
      </c>
      <c r="AS38" s="8">
        <f>IF(ISBLANK(Input!$BK$4),NA(),'Reaction Information'!$E$46-'Reaction Information'!$G$46*(Calculations!O38-Calculations!$C$8)-'Reaction Information'!$N$46*(Calculations!O38*LN(Calculations!O38/Calculations!$C$8)-Calculations!O38+Calculations!$C$8)-'Reaction Information'!$O$46*10^4*(((1/(Calculations!O38-Calculations!$C$13))-(1/(Calculations!$C$8-Calculations!$C$13)))*((Calculations!$C$13-Calculations!O38)/(Calculations!$C$13))-(Calculations!O38/(Calculations!$C$13*Calculations!$C$13))*LN((Calculations!$C$8*(Calculations!O38-Calculations!$C$13))/(Calculations!O38*(Calculations!$C$8-Calculations!$C$13))))+'Reaction Information'!$J$46*10^-1*(Calculations!$M38-Calculations!$C$9)+'Reaction Information'!$K$46*10^2*LN((Calculations!$C$12+Calculations!$M38)/(Calculations!$C$12+Calculations!$C$9))+(1/(Calculations!O38-Calculations!$C$13))*('Reaction Information'!$L$46*(Calculations!$M38-Calculations!$C$9)+'Reaction Information'!$M$46*10^4*LN((Calculations!$C$12+Calculations!$M38)/(Calculations!$C$12+Calculations!$C$9)))+calculateOmega(Calculations!M38,Calculations!N38,Calculations!Q38,'Reaction Information'!$C$46,'Reaction Information'!$P$46*10^5,'Reaction Information'!$Q$46)*((1/Calculations!S38)-1)-'Reaction Information'!$P$46*10^5*((1/Calculations!$C$10)-1)+'Reaction Information'!$P$46*10^5*Calculations!$C$14*(Calculations!O38-Calculations!$C$8))</f>
        <v>0</v>
      </c>
      <c r="AT38" s="8">
        <f>IF(ISBLANK(Input!$BN$4),NA(),'Reaction Information'!$E$50-'Reaction Information'!$G$50*(Calculations!O38-Calculations!$C$8)-'Reaction Information'!$N$50*(Calculations!O38*LN(Calculations!O38/Calculations!$C$8)-Calculations!O38+Calculations!$C$8)-'Reaction Information'!$O$50*10^4*(((1/(Calculations!O38-Calculations!$C$13))-(1/(Calculations!$C$8-Calculations!$C$13)))*((Calculations!$C$13-Calculations!O38)/(Calculations!$C$13))-(Calculations!O38/(Calculations!$C$13*Calculations!$C$13))*LN((Calculations!$C$8*(Calculations!O38-Calculations!$C$13))/(Calculations!O38*(Calculations!$C$8-Calculations!$C$13))))+'Reaction Information'!$J$50*10^-1*(Calculations!$M38-Calculations!$C$9)+'Reaction Information'!$K$50*10^2*LN((Calculations!$C$12+Calculations!$M38)/(Calculations!$C$12+Calculations!$C$9))+(1/(Calculations!O38-Calculations!$C$13))*('Reaction Information'!$L$50*(Calculations!$M38-Calculations!$C$9)+'Reaction Information'!$M$50*10^4*LN((Calculations!$C$12+Calculations!$M38)/(Calculations!$C$12+Calculations!$C$9)))+calculateOmega(Calculations!M38,Calculations!N38,Calculations!Q38,'Reaction Information'!$C$50,'Reaction Information'!$P$50*10^5,'Reaction Information'!$Q$50)*((1/Calculations!S38)-1)-'Reaction Information'!$P$50*10^5*((1/Calculations!$C$10)-1)+'Reaction Information'!$P$50*10^5*Calculations!$C$14*(Calculations!O38-Calculations!$C$8))</f>
        <v>-139752.15571717187</v>
      </c>
      <c r="AU38" s="8" t="e">
        <f>IF(ISBLANK(Input!$BQ$4),NA(),'Reaction Information'!$E$54-'Reaction Information'!$G$54*(Calculations!$O38-Calculations!$C$8)-'Reaction Information'!$N$54*(Calculations!$O38*LN(Calculations!$O38/Calculations!$C$8)-Calculations!$O38+Calculations!$C$8)-'Reaction Information'!$O$54*10^4*(((1/(Calculations!$O38-Calculations!$C$13))-(1/(Calculations!$C$8-Calculations!$C$13)))*((Calculations!$C$13-Calculations!$O38)/(Calculations!$C$13))-(Calculations!$O38/(Calculations!$C$13*Calculations!$C$13))*LN((Calculations!$C$8*(Calculations!$O38-Calculations!$C$13))/(Calculations!$O38*(Calculations!$C$8-Calculations!$C$13))))+'Reaction Information'!$J$54*10^-1*(Calculations!$M38-Calculations!$C$9)+'Reaction Information'!$K$54*10^2*LN((Calculations!$C$12+Calculations!$M38)/(Calculations!$C$12+Calculations!$C$9))+(1/(Calculations!$O38-Calculations!$C$13))*('Reaction Information'!$L$54*(Calculations!$M38-Calculations!$C$9)+'Reaction Information'!$M$54*10^4*LN((Calculations!$C$12+Calculations!$M38)/(Calculations!$C$12+Calculations!$C$9)))+calculateOmega(Calculations!M38,Calculations!N38,Calculations!Q38,'Reaction Information'!$C$54,'Reaction Information'!$P$54*10^5,'Reaction Information'!$Q$54)*((1/Calculations!$S38)-1)-'Reaction Information'!$P$54*10^5*((1/Calculations!$C$10)-1)+'Reaction Information'!$P$54*10^5*Calculations!$C$14*(Calculations!$O38-Calculations!$C$8))</f>
        <v>#N/A</v>
      </c>
      <c r="AV38" s="8" t="e">
        <f>IF(ISBLANK(Input!$BT$4),NA(),'Reaction Information'!$E$58-'Reaction Information'!$G$58*(Calculations!$O38-Calculations!$C$8)-'Reaction Information'!$N$58*(Calculations!$O38*LN(Calculations!$O38/Calculations!$C$8)-Calculations!$O38+Calculations!$C$8)-'Reaction Information'!$O$58*10^4*(((1/(Calculations!$O38-Calculations!$C$13))-(1/(Calculations!$C$8-Calculations!$C$13)))*((Calculations!$C$13-Calculations!$O38)/(Calculations!$C$13))-(Calculations!$O38/(Calculations!$C$13*Calculations!$C$13))*LN((Calculations!$C$8*(Calculations!$O38-Calculations!$C$13))/(Calculations!$O38*(Calculations!$C$8-Calculations!$C$13))))+'Reaction Information'!$J$58*10^-1*(Calculations!$M38-Calculations!$C$9)+'Reaction Information'!$K$58*10^2*LN((Calculations!$C$12+Calculations!$M38)/(Calculations!$C$12+Calculations!$C$9))+(1/(Calculations!$O38-Calculations!$C$13))*('Reaction Information'!$L$58*(Calculations!$M38-Calculations!$C$9)+'Reaction Information'!$M$58*10^4*LN((Calculations!$C$12+Calculations!$M38)/(Calculations!$C$12+Calculations!$C$9)))+calculateOmega(Calculations!M38,Calculations!N38,Calculations!Q38,'Reaction Information'!$C$58,'Reaction Information'!$P$58*10^5,'Reaction Information'!$Q$58)*((1/Calculations!$S38)-1)-'Reaction Information'!$P$58*10^5*((1/Calculations!$C$10)-1)+'Reaction Information'!$P$58*10^5*Calculations!$C$14*(Calculations!$O38-Calculations!$C$8))</f>
        <v>#N/A</v>
      </c>
      <c r="AW38" s="8" t="e">
        <f>IF(ISBLANK(Input!$BW$4),NA(),'Reaction Information'!$E$62-'Reaction Information'!$G$62*(Calculations!$O38-Calculations!$C$8)-'Reaction Information'!$N$62*(Calculations!$O38*LN(Calculations!$O38/Calculations!$C$8)-Calculations!$O38+Calculations!$C$8)-'Reaction Information'!$O$62*10^4*(((1/(Calculations!$O38-Calculations!$C$13))-(1/(Calculations!$C$8-Calculations!$C$13)))*((Calculations!$C$13-Calculations!$O38)/(Calculations!$C$13))-(Calculations!$O38/(Calculations!$C$13*Calculations!$C$13))*LN((Calculations!$C$8*(Calculations!$O38-Calculations!$C$13))/(Calculations!$O38*(Calculations!$C$8-Calculations!$C$13))))+'Reaction Information'!$J$62*10^-1*(Calculations!$M38-Calculations!$C$9)+'Reaction Information'!$K$62*10^2*LN((Calculations!$C$12+Calculations!$M38)/(Calculations!$C$12+Calculations!$C$9))+(1/(Calculations!$O38-Calculations!$C$13))*('Reaction Information'!$L$62*(Calculations!$M38-Calculations!$C$9)+'Reaction Information'!$M$62*10^4*LN((Calculations!$C$12+Calculations!$M38)/(Calculations!$C$12+Calculations!$C$9)))+calculateOmega(Calculations!M38,Calculations!N38,Calculations!Q38,'Reaction Information'!$C$62,'Reaction Information'!$P$62*10^5,'Reaction Information'!$Q$62)*((1/Calculations!$S38)-1)-'Reaction Information'!$P$62*10^5*((1/Calculations!$C$10)-1)+'Reaction Information'!$P$62*10^5*Calculations!$C$14*(Calculations!$O38-Calculations!$C$8))</f>
        <v>#N/A</v>
      </c>
      <c r="AX38" s="8" t="e">
        <f>IF(ISBLANK(Input!$BZ$4),NA(),'Reaction Information'!$E$66-'Reaction Information'!$G$66*(Calculations!$O38-Calculations!$C$8)-'Reaction Information'!$N$66*(Calculations!$O38*LN(Calculations!$O38/Calculations!$C$8)-Calculations!$O38+Calculations!$C$8)-'Reaction Information'!$O$66*10^4*(((1/(Calculations!$O38-Calculations!$C$13))-(1/(Calculations!$C$8-Calculations!$C$13)))*((Calculations!$C$13-Calculations!$O38)/(Calculations!$C$13))-(Calculations!$O38/(Calculations!$C$13*Calculations!$C$13))*LN((Calculations!$C$8*(Calculations!$O38-Calculations!$C$13))/(Calculations!$O38*(Calculations!$C$8-Calculations!$C$13))))+'Reaction Information'!$J$66*10^-1*(Calculations!$M38-Calculations!$C$9)+'Reaction Information'!$K$66*10^2*LN((Calculations!$C$12+Calculations!$M38)/(Calculations!$C$12+Calculations!$C$9))+(1/(Calculations!$O38-Calculations!$C$13))*('Reaction Information'!$L$66*(Calculations!$M38-Calculations!$C$9)+'Reaction Information'!$M$66*10^4*LN((Calculations!$C$12+Calculations!$M38)/(Calculations!$C$12+Calculations!$C$9)))+calculateOmega(Calculations!M38,Calculations!N38,Calculations!Q38,'Reaction Information'!$C$66,'Reaction Information'!$P$66*10^5,'Reaction Information'!$Q$66)*((1/Calculations!$S38)-1)-'Reaction Information'!$P$66*10^5*((1/Calculations!$C$10)-1)+'Reaction Information'!$P$66*10^5*Calculations!$C$14*(Calculations!$O38-Calculations!$C$8))</f>
        <v>#N/A</v>
      </c>
      <c r="AY38" s="31">
        <f>(AL38*Input!$AO$4+AM38*Input!$AR$4+AN38*Input!$AU$4+AO38*Input!$AX$4+IF(ISNA(AP38),0,AP38*Input!$BA$4)+IF(ISNA(AQ38),0,AQ38*Input!$BD$4)+IF(ISNA(AR38),0,AR38*Input!$BG$4)+IF(ISNA(AS38),0,AS38*Input!$BJ$4)+IF(ISNA(AT38),0,AT38*Input!$BM$4)+IF(ISNA(AU38),0,AU38*Input!$BP$4)+IF(ISNA(AV38),0,AV38*Input!$BS$4)+IF(ISNA(AW38),0,AW38*Input!$BV$4)+IF(ISNA(AX38),0,AX38*Input!$BY$4))-(Y38*Input!$B$4+Z38*Input!$E$4+AA38*Input!$H$4+AB38*Input!$K$4+IF(ISNA(AC38),0,AC38*Input!$N$4)+IF(ISNA(AD38),0,AD38*Input!$Q$4)+IF(ISNA(AE38),0,AE38*Input!$T$4)+IF(ISNA(AF38),0,AF38*Input!$W$4)+IF(ISNA(AG38),0,AG38*Input!$Z$4)+IF(ISNA(AH38),0,AH38*Input!$AC$4)+IF(ISNA(AI38),0,AI38*Input!$AF$4)+IF(ISNA(AJ38),0,AJ38*Input!$AI$4)+IF(ISNA(AK38),0,AK38*Input!$AL$4))</f>
        <v>15470.002504934731</v>
      </c>
      <c r="AZ38" s="42">
        <f t="shared" ref="AZ38:AZ69" si="16">-AY38/(2.302585*O38*$C$11)</f>
        <v>-5.0258602396047669</v>
      </c>
      <c r="BA38" s="1">
        <f t="shared" si="8"/>
        <v>400</v>
      </c>
      <c r="BB38" s="46">
        <f t="shared" si="9"/>
        <v>15000</v>
      </c>
      <c r="BC38" s="1"/>
      <c r="BD38" s="2">
        <f t="shared" si="10"/>
        <v>15000</v>
      </c>
      <c r="BE38" s="46">
        <f t="shared" si="11"/>
        <v>400</v>
      </c>
      <c r="BF38" s="1">
        <f>Results!AJ40</f>
        <v>0</v>
      </c>
      <c r="BG38" s="1">
        <f>Results!AK40</f>
        <v>0</v>
      </c>
      <c r="BH38" s="1">
        <f>Results!AL40</f>
        <v>0</v>
      </c>
      <c r="BI38" s="1">
        <f>Results!AM40</f>
        <v>0</v>
      </c>
      <c r="BJ38" s="1" t="e">
        <f>IF(OR(ISNA('Reaction Information'!$D$5), $N38 = "", $D$27 = FALSE, 'Reaction Information'!$D$5 = ""), NA(), 24.465)</f>
        <v>#N/A</v>
      </c>
      <c r="BK38" s="1" t="e">
        <f>IF(OR(ISNA('Reaction Information'!$D$9), $N38 = "", $D$27 = FALSE, 'Reaction Information'!$D$9 = ""), NA(), 24.465)</f>
        <v>#N/A</v>
      </c>
      <c r="BL38" s="8">
        <f t="shared" ref="BL38:BL69" si="17">IF(AND(BL$5="H2O",$D$27),18.01528/$Q38,NA())</f>
        <v>15.833507548635055</v>
      </c>
      <c r="BM38" s="8">
        <f>IF(OR(ISBLANK(Input!$X$4),$D$27=FALSE),NA(),('Reaction Information'!$J$13/10+'Reaction Information'!$K$13*100/(Calculations!$C$12+Calculations!$M38)+('Reaction Information'!$L$13+'Reaction Information'!$M$13*10^4/(Calculations!$C$12+Calculations!$M38))/(Calculations!$O38-Calculations!$C$13) -calculateOmega(Calculations!$M38,Calculations!$N38,Calculations!$Q38,'Reaction Information'!$C$13,'Reaction Information'!$P$13*10^5,'Reaction Information'!$Q$13)*Calculations!$U38*10^-6 + (1/$S38 - 1)*calculate_domegadP(Calculations!$M38,Calculations!$N38,Calculations!$Q38,'Reaction Information'!$C$13,'Reaction Information'!$P$13*10^5,'Reaction Information'!$Q$13,$D$20,$D$19=3))*41.84)</f>
        <v>31.143232958234378</v>
      </c>
      <c r="BN38" s="8" t="e">
        <f>IF(OR(ISBLANK(Input!$AA$4),$D$27=FALSE),NA(),('Reaction Information'!$J$17/10+'Reaction Information'!$K$17*100/(Calculations!$C$12+Calculations!$M38)+('Reaction Information'!$L$17+'Reaction Information'!$M$17*10000/(Calculations!$C$12+Calculations!$M38))/(Calculations!$O38-Calculations!$C$13)-calculateOmega(Calculations!M38,Calculations!N38,Calculations!Q38,'Reaction Information'!$C$17,'Reaction Information'!$P$17*10^5,'Reaction Information'!$Q$17)*Calculations!$U38*10^-6 + (1/$S38 - 1)*calculate_domegadP(Calculations!M38,Calculations!N38,Calculations!Q38,'Reaction Information'!$C$17,'Reaction Information'!$P$17*10^5,'Reaction Information'!$Q$17,$D$20,$D$19=3))*41.84)</f>
        <v>#N/A</v>
      </c>
      <c r="BO38" s="8" t="e">
        <f>IF(OR(ISBLANK(Input!$AD$4),$D$27=FALSE),NA(),('Reaction Information'!$J$21/10+'Reaction Information'!$K$21*100/(Calculations!$C$12+Calculations!$M38)+('Reaction Information'!$L$21+'Reaction Information'!$M$21*10000/(Calculations!$C$12+Calculations!$M38))/(Calculations!$O38-Calculations!$C$13)-calculateOmega(Calculations!M38,Calculations!N38,Calculations!Q38,'Reaction Information'!$C$21,'Reaction Information'!$P$21*10^5,'Reaction Information'!$Q$21)*Calculations!$U38*10^-6 + (1/$S38 - 1)*calculate_domegadP(Calculations!M38,Calculations!N38,Calculations!Q38,'Reaction Information'!$C$21,'Reaction Information'!$P$21*10^5,'Reaction Information'!$Q$21,$D$20,$D$19=3))*41.84)</f>
        <v>#N/A</v>
      </c>
      <c r="BP38" s="8" t="e">
        <f>IF(OR(ISBLANK(Input!$AG$4),$D$27=FALSE),NA(),('Reaction Information'!$J$25/10+'Reaction Information'!$K$25*100/(Calculations!$C$12+Calculations!$M38)+('Reaction Information'!$L$25+'Reaction Information'!$M$25*10000/(Calculations!$C$12+Calculations!$M38))/(Calculations!$O38-Calculations!$C$13)-calculateOmega(Calculations!M38,Calculations!N38,Calculations!Q38,'Reaction Information'!$C$25,'Reaction Information'!$P$25*10^5,'Reaction Information'!$Q$25)*Calculations!$U38*10^-6 + (1/$S38 - 1)*calculate_domegadP(Calculations!M38,Calculations!N38,Calculations!Q38,'Reaction Information'!$C$25,'Reaction Information'!$P$25*10^5,'Reaction Information'!$Q$25,$D$20,$D$19=3))*41.84)</f>
        <v>#N/A</v>
      </c>
      <c r="BQ38" s="8" t="e">
        <f>IF(OR(ISBLANK(Input!$AJ$4),$D$27=FALSE),NA(),('Reaction Information'!$J$29/10+'Reaction Information'!$K$29*100/(Calculations!$C$12+Calculations!$M38)+('Reaction Information'!$L$29+'Reaction Information'!$M$29*10000/(Calculations!$C$12+Calculations!$M38))/(Calculations!$O38-Calculations!$C$13)-calculateOmega(Calculations!M38,Calculations!N38,Calculations!Q38,'Reaction Information'!$C$29,'Reaction Information'!$P$29*10^5,'Reaction Information'!$Q$29)*Calculations!$U38*10^-6 + (1/$S38 - 1)*calculate_domegadP(Calculations!M38,Calculations!N38,Calculations!Q38,'Reaction Information'!$C$29,'Reaction Information'!$P$29*10^5,'Reaction Information'!$Q$29,$D$20,$D$19=3))*41.84)</f>
        <v>#N/A</v>
      </c>
      <c r="BR38" s="8" t="e">
        <f>IF(OR(ISBLANK(Input!$AM$4),$D$27=FALSE),NA(),('Reaction Information'!$J$33/10+'Reaction Information'!$K$33*100/(Calculations!$C$12+Calculations!$M38)+('Reaction Information'!$L$33+'Reaction Information'!$M$33*10000/(Calculations!$C$12+Calculations!$M38))/(Calculations!$O38-Calculations!$C$13)-calculateOmega(Calculations!M38,Calculations!N38,Calculations!Q38,'Reaction Information'!$C$33,'Reaction Information'!$P$33*10^5,'Reaction Information'!$Q$33)*Calculations!$U38*10^-6 + (1/$S38 - 1)*calculate_domegadP(Calculations!M38,Calculations!N38,Calculations!Q38,'Reaction Information'!$C$33,'Reaction Information'!$P$33*10^5,'Reaction Information'!$Q$33,$D$20,$D$19=3))*41.84)</f>
        <v>#N/A</v>
      </c>
      <c r="BS38" s="1">
        <f>Results!AW40</f>
        <v>0</v>
      </c>
      <c r="BT38" s="1">
        <f>Results!AX40</f>
        <v>0</v>
      </c>
      <c r="BU38" s="1">
        <f>Results!AY40</f>
        <v>0</v>
      </c>
      <c r="BV38" s="1">
        <f>Results!AZ40</f>
        <v>0</v>
      </c>
      <c r="BW38" s="1" t="e">
        <f>IF(OR(ISNA('Reaction Information'!$D$38), $N38 = "", $D$27 = FALSE, 'Reaction Information'!$D$38 = ""), NA(), 24.465)</f>
        <v>#N/A</v>
      </c>
      <c r="BX38" s="1" t="e">
        <f>IF(OR(ISNA('Reaction Information'!$D$42), $N38 = "", $D$27 = FALSE, 'Reaction Information'!$D$42 = ""), NA(), 24.465)</f>
        <v>#N/A</v>
      </c>
      <c r="BY38" s="8" t="e">
        <f t="shared" ref="BY38:BY69" si="18">IF(AND(BY$5="H2O",$D$27),18.01528/$Q38,NA())</f>
        <v>#N/A</v>
      </c>
      <c r="BZ38" s="8">
        <f>IF(OR(ISBLANK(Input!$BK$4),$D$27=FALSE),NA(),('Reaction Information'!$J$46/10+'Reaction Information'!$K$46*100/(Calculations!$C$12+Calculations!$M38)+('Reaction Information'!$L$46+'Reaction Information'!$M$46*10000/(Calculations!$C$12+Calculations!$M38))/(Calculations!$O38-Calculations!$C$13)-calculateOmega(Calculations!M38,Calculations!N38,Calculations!Q38,'Reaction Information'!$C$46,'Reaction Information'!$P$46*10^5,'Reaction Information'!$Q$46)*Calculations!$U38*10^-6 + (1/$S38 - 1)*calculate_domegadP(Calculations!M38,Calculations!N38,Calculations!Q38,'Reaction Information'!$C$46,'Reaction Information'!$P$46*10^5,'Reaction Information'!$Q$46,$D$20,$D$19=3))*41.84)</f>
        <v>0</v>
      </c>
      <c r="CA38" s="8">
        <f>IF(OR(ISBLANK(Input!$BN$4),$D$27=FALSE),NA(),('Reaction Information'!$J$50/10+'Reaction Information'!$K$50*100/(Calculations!$C$12+Calculations!$M38)+('Reaction Information'!$L$50+'Reaction Information'!$M$50*10000/(Calculations!$C$12+Calculations!$M38))/(Calculations!$O38-Calculations!$C$13)-calculateOmega(Calculations!M38,Calculations!N38,Calculations!Q38,'Reaction Information'!$C$50,'Reaction Information'!$P$50*10^5,'Reaction Information'!$Q$50)*Calculations!$U38*10^-6 + (1/$S38 - 1)*calculate_domegadP(Calculations!M38,Calculations!N38,Calculations!Q38,'Reaction Information'!$C$50,'Reaction Information'!$P$50*10^5,'Reaction Information'!$Q$50,$D$20,$D$19=3))*41.84)</f>
        <v>30.005494547523018</v>
      </c>
      <c r="CB38" s="8" t="e">
        <f>IF(OR(ISBLANK(Input!$BQ$4),$D$27=FALSE),NA(),('Reaction Information'!$J$54/10+'Reaction Information'!$K$54*100/(Calculations!$C$12+Calculations!$M38)+('Reaction Information'!$L$54+'Reaction Information'!$M$54*10000/(Calculations!$C$12+Calculations!$M38))/(Calculations!$O38-Calculations!$C$13)-calculateOmega(Calculations!M38,Calculations!N38,Calculations!Q38,'Reaction Information'!$C$54,'Reaction Information'!$P$54*10^5,'Reaction Information'!$Q$54)*Calculations!$U38*10^-6 + (1/$S38 - 1)*calculate_domegadP(Calculations!M38,Calculations!N38,Calculations!Q38,'Reaction Information'!$C$54,'Reaction Information'!$P$54*10^5,'Reaction Information'!$Q$54,$D$20,$D$19=3))*41.84)</f>
        <v>#N/A</v>
      </c>
      <c r="CC38" s="8" t="e">
        <f>IF(OR(ISBLANK(Input!$BT$4),$D$27=FALSE),NA(),('Reaction Information'!$J$58/10+'Reaction Information'!$K$58*100/(Calculations!$C$12+Calculations!$M38)+('Reaction Information'!$L$58+'Reaction Information'!$M$58*10000/(Calculations!$C$12+Calculations!$M38))/(Calculations!$O38-Calculations!$C$13)-calculateOmega(Calculations!M38,Calculations!N38,Calculations!Q38,'Reaction Information'!$C$58,'Reaction Information'!$P$58*10^5,'Reaction Information'!$Q$58)*Calculations!$U38*10^-6 + (1/$S38 - 1)*calculate_domegadP(Calculations!M38,Calculations!N38,Calculations!Q38,'Reaction Information'!$C$58,'Reaction Information'!$P$58*10^5,'Reaction Information'!$Q$58,$D$20,$D$19=3))*41.84)</f>
        <v>#N/A</v>
      </c>
      <c r="CD38" s="8" t="e">
        <f>IF(OR(ISBLANK(Input!$BW$4),$D$27=FALSE),NA(),('Reaction Information'!$J$62/10+'Reaction Information'!$K$62*100/(Calculations!$C$12+Calculations!$M38)+('Reaction Information'!$L$62+'Reaction Information'!$M$62*10000/(Calculations!$C$12+Calculations!$M38))/(Calculations!$O38-Calculations!$C$13)-calculateOmega(Calculations!M38,Calculations!N38,Calculations!Q38,'Reaction Information'!$C$62,'Reaction Information'!$P$62*10^5,'Reaction Information'!$Q$62)*Calculations!$U38*10^-6 + (1/$S38 - 1)*calculate_domegadP(Calculations!M38,Calculations!N38,Calculations!Q38,'Reaction Information'!$C$62,'Reaction Information'!$P$62*10^5,'Reaction Information'!$Q$62,$D$20,$D$19=3))*41.84)</f>
        <v>#N/A</v>
      </c>
      <c r="CE38" s="8" t="e">
        <f>IF(OR(ISBLANK(Input!$BZ$4),$D$27=FALSE),NA(),('Reaction Information'!$J$66/10+'Reaction Information'!$K$66*100/(Calculations!$C$12+Calculations!$M38)+('Reaction Information'!$L$66+'Reaction Information'!$M$66*10000/(Calculations!$C$12+Calculations!$M38))/(Calculations!$O38-Calculations!$C$13)-calculateOmega(Calculations!M38,Calculations!N38,Calculations!Q38,'Reaction Information'!$C$66,'Reaction Information'!$P$66*10^5,'Reaction Information'!$Q$66)*Calculations!$U38*10^-6 + (1/$S38 - 1)*calculate_domegadP(Calculations!M38,Calculations!N38,Calculations!Q38,'Reaction Information'!$C$66,'Reaction Information'!$P$66*10^5,'Reaction Information'!$Q$66,$D$20,$D$19=3))*41.84)</f>
        <v>#N/A</v>
      </c>
      <c r="CF38" s="31">
        <f>(BS38*Input!$AO$4+BT38*Input!$AR$4+BU38*Input!$AU$4+BV38*Input!$AX$4+IF(ISNA(BW38),0,BW38*Input!$BA$4)+IF(ISNA(BX38),0,BX38*Input!$BD$4)+IF(ISNA(BY38),0,BY38*Input!$BG$4)+IF(ISNA(BZ38),0,BZ38*Input!$BJ$4)+IF(ISNA(CA38),0,CA38*Input!$BM$4)+IF(ISNA(CB38),0,CB38*Input!$BP$4)+IF(ISNA(CC38),0,CC38*Input!$BS$4)+IF(ISNA(CD38),0,CD38*Input!$BV$4)+IF(ISNA(CE38),0,CE38*Input!$BY$4))-(BF38*Input!$B$4+BG38*Input!$E$4+BH38*Input!$H$4+BI38*Input!$K$4+IF(ISNA(BJ38),0,BJ38*Input!$N$4)+IF(ISNA(BK38),0,BK38*Input!$Q$4)+IF(ISNA(BL38),0,BL38*Input!$T$4)+IF(ISNA(BM38),0,BM38*Input!$W$4)+IF(ISNA(BN38),0,BN38*Input!$Z$4)+IF(ISNA(BO38),0,BO38*Input!$AC$4)+IF(ISNA(BP38),0,BP38*Input!$AF$4)+IF(ISNA(BQ38),0,BQ38*Input!$AI$4)+IF(ISNA(BR38),0,BR38*Input!$AL$4))</f>
        <v>-16.971245959346415</v>
      </c>
      <c r="CG38" s="1">
        <f t="shared" si="12"/>
        <v>400</v>
      </c>
      <c r="CH38" s="46">
        <f t="shared" si="13"/>
        <v>15000</v>
      </c>
      <c r="CI38" s="1"/>
    </row>
    <row r="39" spans="1:87" ht="15" customHeight="1" x14ac:dyDescent="0.2">
      <c r="A39" s="1"/>
      <c r="B39" s="259" t="s">
        <v>480</v>
      </c>
      <c r="C39" s="259"/>
      <c r="D39" s="259"/>
      <c r="E39" s="1"/>
      <c r="F39" s="2">
        <v>34</v>
      </c>
      <c r="G39" s="1" t="str">
        <f>IF(ISBLANK(Input!CB39), "", Input!CB39*1000)</f>
        <v/>
      </c>
      <c r="H39" s="1" t="str">
        <f>IF(ISBLANK(Input!CC39), "", Input!CC39)</f>
        <v/>
      </c>
      <c r="I39" s="1">
        <f>IF(Input!$CF$5 + Input!$CF$6*(FLOOR((Calculations!$F39-1)/(FLOOR((Input!$CF$12-Input!$CF$10)/Input!$CF$11,1)+1),1)) &gt; Input!$CF$7, "", (Input!$CF$5 + Input!$CF$6*(FLOOR((Calculations!$F39-1)/(FLOOR((Input!$CF$12-Input!$CF$10)/Input!$CF$11,1)+1),1)))*1000)</f>
        <v>15000</v>
      </c>
      <c r="J39" s="1">
        <f>IF(Calculations!I39 = "", "", Input!$CF$10 + Input!$CF$11*(Calculations!$F39-1) - (FLOOR((Input!$CF$12-Input!$CF$10)/Input!$CF$11,1)+1)*Input!$CF$11*FLOOR((Calculations!$F39-1)/(FLOOR((Input!$CF$12-Input!$CF$10)/Input!$CF$11,1)+1),1))</f>
        <v>450</v>
      </c>
      <c r="K39" s="8" t="str">
        <f t="shared" si="14"/>
        <v/>
      </c>
      <c r="L39" s="117" t="str">
        <f>IF(OR(Input!$CJ$5 + Input!$CJ$6*(Calculations!F39-1) &gt; Input!$CJ$7, Input!$CJ$5 + Input!$CJ$6*(Calculations!F39-1) &gt; 350), "", Input!$CJ$5 + Input!$CJ$6*(Calculations!F39-1))</f>
        <v/>
      </c>
      <c r="M39" s="1">
        <f t="shared" si="2"/>
        <v>15000</v>
      </c>
      <c r="N39" s="1">
        <f t="shared" si="3"/>
        <v>450</v>
      </c>
      <c r="O39" s="1">
        <f t="shared" si="15"/>
        <v>723.15</v>
      </c>
      <c r="P39" s="1" t="e">
        <f>IF(OR($D$20=3,AND($D$21=TRUE,M39&lt;1000)),INDEX('Water Density'!$C$6:$CX$120,MATCH(Calculations!N39,'Water Density'!$B$6:$B$120),MATCH(Calculations!M39/1000,'Water Density'!$C$5:$CX$5)),NA())</f>
        <v>#N/A</v>
      </c>
      <c r="Q39" s="182">
        <f>IF(OR($D$20=3,AND($D$21=TRUE,M39&lt;1000)), IF(P39&lt;&gt;0,P39,NA()), calculateDensity(M39,N39,$D$20,0.01,$D$19 = 3))</f>
        <v>1.117350923322439</v>
      </c>
      <c r="R39" s="1" t="e">
        <f>IF($D$22=5,INDEX('Dielectric Constant'!$C$6:$CX$120,MATCH(Calculations!N39,'Dielectric Constant'!$B$6:$B$120),MATCH(Calculations!M39/1000,'Dielectric Constant'!$C$5:$CX$5)),NA())</f>
        <v>#N/A</v>
      </c>
      <c r="S39" s="58">
        <f>IF($D$22=5, IF(R39&lt;&gt;0,R39,NA()), IF(AND($D$23,M39&lt;=5000,$D$19 &lt;&gt; 3),calculateEpsilon(Q39,N39,1,FALSE),calculateEpsilon(Q39,N39,$D$22,$D$19 = 3)))</f>
        <v>30.555953963648076</v>
      </c>
      <c r="T39" s="1" t="e">
        <f>IF($D$24=3,INDEX('Water Free Energy'!$C$6:$CX$120,MATCH(Calculations!N39,'Water Free Energy'!$B$6:$B$120),MATCH(Calculations!M39/1000,'Water Free Energy'!$C$5:$CX$5)),NA())</f>
        <v>#N/A</v>
      </c>
      <c r="U39" s="179">
        <f>IF($D$27,calculateQ(M39,N39,Q39,$D$20,$D$22,$D$19=3)*10^6,NA())</f>
        <v>0.45816420339907898</v>
      </c>
      <c r="V39"/>
      <c r="W39" s="2">
        <f t="shared" si="5"/>
        <v>15000</v>
      </c>
      <c r="X39" s="1">
        <f t="shared" si="6"/>
        <v>450</v>
      </c>
      <c r="Y39" s="1">
        <f>Results!F41</f>
        <v>0</v>
      </c>
      <c r="Z39" s="1">
        <f>Results!G41</f>
        <v>0</v>
      </c>
      <c r="AA39" s="1">
        <f>Results!H41</f>
        <v>0</v>
      </c>
      <c r="AB39" s="1">
        <f>Results!I41</f>
        <v>0</v>
      </c>
      <c r="AC39" s="1" t="e">
        <f>IF(ISBLANK(Input!$O$4),NA(),'Reaction Information'!$E$5-'Reaction Information'!$G$5*(Calculations!$O39-Calculations!$C$8)+'Reaction Information'!$I$5*(Calculations!$O39-Calculations!$C$8-Calculations!$O39*LN(Calculations!$O39/Calculations!$C$8))+'Reaction Information'!$J$5*0.001/2*(2*Calculations!$O39*Calculations!$C$8-Calculations!$O39^2-Calculations!$C$8^2) + 'Reaction Information'!$K$5*100000*(Calculations!$O39^2 + Calculations!$C$8^2 - 2*Calculations!$O39*Calculations!$C$8)/(2*Calculations!$O39*Calculations!$C$8^2))</f>
        <v>#N/A</v>
      </c>
      <c r="AD39" s="8" t="e">
        <f>IF(ISBLANK(Input!$R$4),NA(),'Reaction Information'!$E$9-'Reaction Information'!$G$9*(Calculations!$O39-Calculations!$C$8)+'Reaction Information'!$I$9*(Calculations!$O39-Calculations!$C$8-Calculations!$O39*LN(Calculations!$O39/Calculations!$C$8))+'Reaction Information'!$J$9*0.001/2*(2*Calculations!$O39*Calculations!$C$8-Calculations!$O39^2-Calculations!$C$8^2) + 'Reaction Information'!$K$9*100000*(Calculations!$O39^2 + Calculations!$C$8^2 - 2*Calculations!$O39*Calculations!$C$8)/(2*Calculations!$O39*Calculations!$C$8^2))</f>
        <v>#N/A</v>
      </c>
      <c r="AE39" s="8">
        <f>IF(AE$5="H2O",IF($D$24=3,IF(T39=0,NA(),T39),calculateGibbsOfWater(M39,N39,$D$24,$D$20,$D$19=3)),NA())</f>
        <v>-60725.339176980335</v>
      </c>
      <c r="AF39" s="8">
        <f>IF(ISBLANK(Input!$X$4),NA(),'Reaction Information'!$E$13-'Reaction Information'!$G$13*(Calculations!O39-Calculations!$C$8)-'Reaction Information'!$N$13*(Calculations!O39*LN(Calculations!O39/Calculations!$C$8)-Calculations!O39+Calculations!$C$8)-'Reaction Information'!$O$13*10^4*(((1/(Calculations!O39-Calculations!$C$13))-(1/(Calculations!$C$8-Calculations!$C$13)))*((Calculations!$C$13-Calculations!O39)/(Calculations!$C$13))-(Calculations!O39/(Calculations!$C$13*Calculations!$C$13))*LN((Calculations!$C$8*(Calculations!O39-Calculations!$C$13))/(Calculations!O39*(Calculations!$C$8-Calculations!$C$13))))+'Reaction Information'!$J$13*10^-1*(Calculations!M39-Calculations!$C$9)+'Reaction Information'!$K$13*10^2*LN((Calculations!$C$12+Calculations!M39)/(Calculations!$C$12+Calculations!$C$9))+(1/(Calculations!O39-Calculations!$C$13))*('Reaction Information'!$L$13*(Calculations!M39-Calculations!$C$9)+'Reaction Information'!$M$13*10^4*LN((Calculations!$C$12+Calculations!M39)/(Calculations!$C$12+Calculations!$C$9)))+calculateOmega(Calculations!M39,Calculations!N39,Calculations!Q39,'Reaction Information'!$C$13,'Reaction Information'!$P$13*10^5,'Reaction Information'!$Q$13)*((1/Calculations!S39)-1)-'Reaction Information'!$P$13*10^5*((1/Calculations!$C$10)-1)+'Reaction Information'!$P$13*10^5*Calculations!$C$14*(Calculations!O39-Calculations!$C$8))</f>
        <v>-98098.577837236095</v>
      </c>
      <c r="AG39" s="8" t="e">
        <f>IF(ISBLANK(Input!$AA$4),NA(),'Reaction Information'!$E$17-'Reaction Information'!$G$17*(Calculations!$O39-Calculations!$C$8)-'Reaction Information'!$N$17*(Calculations!$O39*LN(Calculations!$O39/Calculations!$C$8)-Calculations!$O39+Calculations!$C$8)-'Reaction Information'!$O$17*10^4*(((1/(Calculations!$O39-Calculations!$C$13))-(1/(Calculations!$C$8-Calculations!$C$13)))*((Calculations!$C$13-Calculations!$O39)/(Calculations!$C$13))-(Calculations!$O39/(Calculations!$C$13*Calculations!$C$13))*LN((Calculations!$C$8*(Calculations!$O39-Calculations!$C$13))/(Calculations!$O39*(Calculations!$C$8-Calculations!$C$13))))+'Reaction Information'!$J$17*10^-1*(Calculations!$M39-Calculations!$C$9)+'Reaction Information'!$K$17*10^2*LN((Calculations!$C$12+Calculations!$M39)/(Calculations!$C$12+Calculations!$C$9))+(1/(Calculations!$O39-Calculations!$C$13))*('Reaction Information'!$L$17*(Calculations!$M39-Calculations!$C$9)+'Reaction Information'!$M$17*10^4*LN((Calculations!$C$12+Calculations!$M39)/(Calculations!$C$12+Calculations!$C$9)))+calculateOmega(Calculations!M39,Calculations!N39,Calculations!Q39,'Reaction Information'!$C$17,'Reaction Information'!$P$17*10^5,'Reaction Information'!$Q$17)*((1/Calculations!$S39)-1)-'Reaction Information'!$P$17*10^5*((1/Calculations!$C$10)-1)+'Reaction Information'!$P$17*10^5*Calculations!$C$14*(Calculations!$O39-Calculations!$C$8))</f>
        <v>#N/A</v>
      </c>
      <c r="AH39" s="8" t="e">
        <f>IF(ISBLANK(Input!$AD$4),NA(),'Reaction Information'!$E$21-'Reaction Information'!$G$21*(Calculations!$O39-Calculations!$C$8)-'Reaction Information'!$N$21*(Calculations!$O39*LN(Calculations!$O39/Calculations!$C$8)-Calculations!$O39+Calculations!$C$8)-'Reaction Information'!$O$21*10^4*(((1/(Calculations!$O39-Calculations!$C$13))-(1/(Calculations!$C$8-Calculations!$C$13)))*((Calculations!$C$13-Calculations!$O39)/(Calculations!$C$13))-(Calculations!$O39/(Calculations!$C$13*Calculations!$C$13))*LN((Calculations!$C$8*(Calculations!$O39-Calculations!$C$13))/(Calculations!$O39*(Calculations!$C$8-Calculations!$C$13))))+'Reaction Information'!$J$21*10^-1*(Calculations!$M39-Calculations!$C$9)+'Reaction Information'!$K$21*10^2*LN((Calculations!$C$12+Calculations!$M39)/(Calculations!$C$12+Calculations!$C$9))+(1/(Calculations!$O39-Calculations!$C$13))*('Reaction Information'!$L$21*(Calculations!$M39-Calculations!$C$9)+'Reaction Information'!$M$21*10^4*LN((Calculations!$C$12+Calculations!$M39)/(Calculations!$C$12+Calculations!$C$9)))+calculateOmega(Calculations!M39,Calculations!N39,Calculations!Q39,'Reaction Information'!$C$21,'Reaction Information'!$P$21*10^5,'Reaction Information'!$Q$21)*((1/Calculations!$S39)-1)-'Reaction Information'!$P$21*10^5*((1/Calculations!$C$10)-1)+'Reaction Information'!$P$21*10^5*Calculations!$C$14*(Calculations!$O39-Calculations!$C$8))</f>
        <v>#N/A</v>
      </c>
      <c r="AI39" s="8" t="e">
        <f>IF(ISBLANK(Input!$AG$4),NA(),'Reaction Information'!$E$25-'Reaction Information'!$G$25*(Calculations!$O39-Calculations!$C$8)-'Reaction Information'!$N$25*(Calculations!$O39*LN(Calculations!$O39/Calculations!$C$8)-Calculations!$O39+Calculations!$C$8)-'Reaction Information'!$O$25*10^4*(((1/(Calculations!$O39-Calculations!$C$13))-(1/(Calculations!$C$8-Calculations!$C$13)))*((Calculations!$C$13-Calculations!$O39)/(Calculations!$C$13))-(Calculations!$O39/(Calculations!$C$13*Calculations!$C$13))*LN((Calculations!$C$8*(Calculations!$O39-Calculations!$C$13))/(Calculations!$O39*(Calculations!$C$8-Calculations!$C$13))))+'Reaction Information'!$J$25*10^-1*(Calculations!$M39-Calculations!$C$9)+'Reaction Information'!$K$25*10^2*LN((Calculations!$C$12+Calculations!$M39)/(Calculations!$C$12+Calculations!$C$9))+(1/(Calculations!$O39-Calculations!$C$13))*('Reaction Information'!$L$25*(Calculations!$M39-Calculations!$C$9)+'Reaction Information'!$M$25*10^4*LN((Calculations!$C$12+Calculations!$M39)/(Calculations!$C$12+Calculations!$C$9)))+calculateOmega(Calculations!M39,Calculations!N39,Calculations!Q39,'Reaction Information'!$C$25,'Reaction Information'!$P$25*10^5,'Reaction Information'!$Q$25)*((1/Calculations!$S39)-1)-'Reaction Information'!$P$25*10^5*((1/Calculations!$C$10)-1)+'Reaction Information'!$P$25*10^5*Calculations!$C$14*(Calculations!$O39-Calculations!$C$8))</f>
        <v>#N/A</v>
      </c>
      <c r="AJ39" s="8" t="e">
        <f>IF(ISBLANK(Input!$AJ$4),NA(),'Reaction Information'!$E$29-'Reaction Information'!$G$29*(Calculations!$O39-Calculations!$C$8)-'Reaction Information'!$N$29*(Calculations!$O39*LN(Calculations!$O39/Calculations!$C$8)-Calculations!$O39+Calculations!$C$8)-'Reaction Information'!$O$29*10^4*(((1/(Calculations!$O39-Calculations!$C$13))-(1/(Calculations!$C$8-Calculations!$C$13)))*((Calculations!$C$13-Calculations!$O39)/(Calculations!$C$13))-(Calculations!$O39/(Calculations!$C$13*Calculations!$C$13))*LN((Calculations!$C$8*(Calculations!$O39-Calculations!$C$13))/(Calculations!$O39*(Calculations!$C$8-Calculations!$C$13))))+'Reaction Information'!$J$29*10^-1*(Calculations!$M39-Calculations!$C$9)+'Reaction Information'!$K$29*10^2*LN((Calculations!$C$12+Calculations!$M39)/(Calculations!$C$12+Calculations!$C$9))+(1/(Calculations!$O39-Calculations!$C$13))*('Reaction Information'!$L$29*(Calculations!$M39-Calculations!$C$9)+'Reaction Information'!$M$29*10^4*LN((Calculations!$C$12+Calculations!$M39)/(Calculations!$C$12+Calculations!$C$9)))+calculateOmega(Calculations!M39,Calculations!N39,Calculations!Q39,'Reaction Information'!$C$29,'Reaction Information'!$P$29*10^5,'Reaction Information'!$Q$29)*((1/Calculations!$S39)-1)-'Reaction Information'!$P$29*10^5*((1/Calculations!$C$10)-1)+'Reaction Information'!$P$29*10^5*Calculations!$C$14*(Calculations!$O39-Calculations!$C$8))</f>
        <v>#N/A</v>
      </c>
      <c r="AK39" s="8" t="e">
        <f>IF(ISBLANK(Input!$AM$4),NA(),'Reaction Information'!$E$33-'Reaction Information'!$G$33*(Calculations!$O39-Calculations!$C$8)-'Reaction Information'!$N$33*(Calculations!$O39*LN(Calculations!$O39/Calculations!$C$8)-Calculations!$O39+Calculations!$C$8)-'Reaction Information'!$O$33*10^4*(((1/(Calculations!$O39-Calculations!$C$13))-(1/(Calculations!$C$8-Calculations!$C$13)))*((Calculations!$C$13-Calculations!$O39)/(Calculations!$C$13))-(Calculations!$O39/(Calculations!$C$13*Calculations!$C$13))*LN((Calculations!$C$8*(Calculations!$O39-Calculations!$C$13))/(Calculations!$O39*(Calculations!$C$8-Calculations!$C$13))))+'Reaction Information'!$J$33*10^-1*(Calculations!$M39-Calculations!$C$9)+'Reaction Information'!$K$33*10^2*LN((Calculations!$C$12+Calculations!$M39)/(Calculations!$C$12+Calculations!$C$9))+(1/(Calculations!$O39-Calculations!$C$13))*('Reaction Information'!$L$33*(Calculations!$M39-Calculations!$C$9)+'Reaction Information'!$M$33*10^4*LN((Calculations!$C$12+Calculations!$M39)/(Calculations!$C$12+Calculations!$C$9)))+calculateOmega(Calculations!M39,Calculations!N39,Calculations!Q39,'Reaction Information'!$C$33,'Reaction Information'!$P$33*10^5,'Reaction Information'!$Q$33)*((1/Calculations!$S39)-1)-'Reaction Information'!$P$33*10^5*((1/Calculations!$C$10)-1)+'Reaction Information'!$P$33*10^5*Calculations!$C$14*(Calculations!$O39-Calculations!$C$8))</f>
        <v>#N/A</v>
      </c>
      <c r="AL39" s="1">
        <f>Results!S41</f>
        <v>0</v>
      </c>
      <c r="AM39" s="1">
        <f>Results!T41</f>
        <v>0</v>
      </c>
      <c r="AN39" s="1">
        <f>Results!U41</f>
        <v>0</v>
      </c>
      <c r="AO39" s="1">
        <f>Results!V41</f>
        <v>0</v>
      </c>
      <c r="AP39" s="8" t="e">
        <f>IF(ISBLANK(Input!$BB$4),NA(),'Reaction Information'!$E$38-'Reaction Information'!$G$38*(Calculations!$O39-Calculations!$C$8)+'Reaction Information'!$I$38*(Calculations!$O39-Calculations!$C$8-Calculations!$O39*LN(Calculations!$O39/Calculations!$C$8))+'Reaction Information'!$J$38*0.001/2*(2*Calculations!$O39*Calculations!$C$8-Calculations!$O39^2-Calculations!$C$8^2) + 'Reaction Information'!$K$38*100000*(Calculations!$O39^2 + Calculations!$C$8^2 - 2*Calculations!$O39*Calculations!$C$8)/(2*Calculations!$O39*Calculations!$C$8^2))</f>
        <v>#N/A</v>
      </c>
      <c r="AQ39" s="8" t="e">
        <f>IF(ISBLANK(Input!$BE$4),NA(),'Reaction Information'!$E$42-'Reaction Information'!$G$42*(Calculations!$O39-Calculations!$C$8)+'Reaction Information'!$I$42*(Calculations!$O39-Calculations!$C$8-Calculations!$O39*LN(Calculations!$O39/Calculations!$C$8))+'Reaction Information'!$J$42*0.001/2*(2*Calculations!$O39*Calculations!$C$8-Calculations!$O39^2-Calculations!$C$8^2) + 'Reaction Information'!$K$42*100000*(Calculations!$O39^2 + Calculations!$C$8^2 - 2*Calculations!$O39*Calculations!$C$8)/(2*Calculations!$O39*Calculations!$C$8^2))</f>
        <v>#N/A</v>
      </c>
      <c r="AR39" s="8" t="e">
        <f>IF(AR$5="H2O", IF($D$24=3,IF(T39=0,NA(),T39),calculateGibbsOfWater(M39,N39,$D$24,$D$20,$D$19=3)),NA())</f>
        <v>#N/A</v>
      </c>
      <c r="AS39" s="8">
        <f>IF(ISBLANK(Input!$BK$4),NA(),'Reaction Information'!$E$46-'Reaction Information'!$G$46*(Calculations!O39-Calculations!$C$8)-'Reaction Information'!$N$46*(Calculations!O39*LN(Calculations!O39/Calculations!$C$8)-Calculations!O39+Calculations!$C$8)-'Reaction Information'!$O$46*10^4*(((1/(Calculations!O39-Calculations!$C$13))-(1/(Calculations!$C$8-Calculations!$C$13)))*((Calculations!$C$13-Calculations!O39)/(Calculations!$C$13))-(Calculations!O39/(Calculations!$C$13*Calculations!$C$13))*LN((Calculations!$C$8*(Calculations!O39-Calculations!$C$13))/(Calculations!O39*(Calculations!$C$8-Calculations!$C$13))))+'Reaction Information'!$J$46*10^-1*(Calculations!$M39-Calculations!$C$9)+'Reaction Information'!$K$46*10^2*LN((Calculations!$C$12+Calculations!$M39)/(Calculations!$C$12+Calculations!$C$9))+(1/(Calculations!O39-Calculations!$C$13))*('Reaction Information'!$L$46*(Calculations!$M39-Calculations!$C$9)+'Reaction Information'!$M$46*10^4*LN((Calculations!$C$12+Calculations!$M39)/(Calculations!$C$12+Calculations!$C$9)))+calculateOmega(Calculations!M39,Calculations!N39,Calculations!Q39,'Reaction Information'!$C$46,'Reaction Information'!$P$46*10^5,'Reaction Information'!$Q$46)*((1/Calculations!S39)-1)-'Reaction Information'!$P$46*10^5*((1/Calculations!$C$10)-1)+'Reaction Information'!$P$46*10^5*Calculations!$C$14*(Calculations!O39-Calculations!$C$8))</f>
        <v>0</v>
      </c>
      <c r="AT39" s="8">
        <f>IF(ISBLANK(Input!$BN$4),NA(),'Reaction Information'!$E$50-'Reaction Information'!$G$50*(Calculations!O39-Calculations!$C$8)-'Reaction Information'!$N$50*(Calculations!O39*LN(Calculations!O39/Calculations!$C$8)-Calculations!O39+Calculations!$C$8)-'Reaction Information'!$O$50*10^4*(((1/(Calculations!O39-Calculations!$C$13))-(1/(Calculations!$C$8-Calculations!$C$13)))*((Calculations!$C$13-Calculations!O39)/(Calculations!$C$13))-(Calculations!O39/(Calculations!$C$13*Calculations!$C$13))*LN((Calculations!$C$8*(Calculations!O39-Calculations!$C$13))/(Calculations!O39*(Calculations!$C$8-Calculations!$C$13))))+'Reaction Information'!$J$50*10^-1*(Calculations!$M39-Calculations!$C$9)+'Reaction Information'!$K$50*10^2*LN((Calculations!$C$12+Calculations!$M39)/(Calculations!$C$12+Calculations!$C$9))+(1/(Calculations!O39-Calculations!$C$13))*('Reaction Information'!$L$50*(Calculations!$M39-Calculations!$C$9)+'Reaction Information'!$M$50*10^4*LN((Calculations!$C$12+Calculations!$M39)/(Calculations!$C$12+Calculations!$C$9)))+calculateOmega(Calculations!M39,Calculations!N39,Calculations!Q39,'Reaction Information'!$C$50,'Reaction Information'!$P$50*10^5,'Reaction Information'!$Q$50)*((1/Calculations!S39)-1)-'Reaction Information'!$P$50*10^5*((1/Calculations!$C$10)-1)+'Reaction Information'!$P$50*10^5*Calculations!$C$14*(Calculations!O39-Calculations!$C$8))</f>
        <v>-141244.24227362251</v>
      </c>
      <c r="AU39" s="8" t="e">
        <f>IF(ISBLANK(Input!$BQ$4),NA(),'Reaction Information'!$E$54-'Reaction Information'!$G$54*(Calculations!$O39-Calculations!$C$8)-'Reaction Information'!$N$54*(Calculations!$O39*LN(Calculations!$O39/Calculations!$C$8)-Calculations!$O39+Calculations!$C$8)-'Reaction Information'!$O$54*10^4*(((1/(Calculations!$O39-Calculations!$C$13))-(1/(Calculations!$C$8-Calculations!$C$13)))*((Calculations!$C$13-Calculations!$O39)/(Calculations!$C$13))-(Calculations!$O39/(Calculations!$C$13*Calculations!$C$13))*LN((Calculations!$C$8*(Calculations!$O39-Calculations!$C$13))/(Calculations!$O39*(Calculations!$C$8-Calculations!$C$13))))+'Reaction Information'!$J$54*10^-1*(Calculations!$M39-Calculations!$C$9)+'Reaction Information'!$K$54*10^2*LN((Calculations!$C$12+Calculations!$M39)/(Calculations!$C$12+Calculations!$C$9))+(1/(Calculations!$O39-Calculations!$C$13))*('Reaction Information'!$L$54*(Calculations!$M39-Calculations!$C$9)+'Reaction Information'!$M$54*10^4*LN((Calculations!$C$12+Calculations!$M39)/(Calculations!$C$12+Calculations!$C$9)))+calculateOmega(Calculations!M39,Calculations!N39,Calculations!Q39,'Reaction Information'!$C$54,'Reaction Information'!$P$54*10^5,'Reaction Information'!$Q$54)*((1/Calculations!$S39)-1)-'Reaction Information'!$P$54*10^5*((1/Calculations!$C$10)-1)+'Reaction Information'!$P$54*10^5*Calculations!$C$14*(Calculations!$O39-Calculations!$C$8))</f>
        <v>#N/A</v>
      </c>
      <c r="AV39" s="8" t="e">
        <f>IF(ISBLANK(Input!$BT$4),NA(),'Reaction Information'!$E$58-'Reaction Information'!$G$58*(Calculations!$O39-Calculations!$C$8)-'Reaction Information'!$N$58*(Calculations!$O39*LN(Calculations!$O39/Calculations!$C$8)-Calculations!$O39+Calculations!$C$8)-'Reaction Information'!$O$58*10^4*(((1/(Calculations!$O39-Calculations!$C$13))-(1/(Calculations!$C$8-Calculations!$C$13)))*((Calculations!$C$13-Calculations!$O39)/(Calculations!$C$13))-(Calculations!$O39/(Calculations!$C$13*Calculations!$C$13))*LN((Calculations!$C$8*(Calculations!$O39-Calculations!$C$13))/(Calculations!$O39*(Calculations!$C$8-Calculations!$C$13))))+'Reaction Information'!$J$58*10^-1*(Calculations!$M39-Calculations!$C$9)+'Reaction Information'!$K$58*10^2*LN((Calculations!$C$12+Calculations!$M39)/(Calculations!$C$12+Calculations!$C$9))+(1/(Calculations!$O39-Calculations!$C$13))*('Reaction Information'!$L$58*(Calculations!$M39-Calculations!$C$9)+'Reaction Information'!$M$58*10^4*LN((Calculations!$C$12+Calculations!$M39)/(Calculations!$C$12+Calculations!$C$9)))+calculateOmega(Calculations!M39,Calculations!N39,Calculations!Q39,'Reaction Information'!$C$58,'Reaction Information'!$P$58*10^5,'Reaction Information'!$Q$58)*((1/Calculations!$S39)-1)-'Reaction Information'!$P$58*10^5*((1/Calculations!$C$10)-1)+'Reaction Information'!$P$58*10^5*Calculations!$C$14*(Calculations!$O39-Calculations!$C$8))</f>
        <v>#N/A</v>
      </c>
      <c r="AW39" s="8" t="e">
        <f>IF(ISBLANK(Input!$BW$4),NA(),'Reaction Information'!$E$62-'Reaction Information'!$G$62*(Calculations!$O39-Calculations!$C$8)-'Reaction Information'!$N$62*(Calculations!$O39*LN(Calculations!$O39/Calculations!$C$8)-Calculations!$O39+Calculations!$C$8)-'Reaction Information'!$O$62*10^4*(((1/(Calculations!$O39-Calculations!$C$13))-(1/(Calculations!$C$8-Calculations!$C$13)))*((Calculations!$C$13-Calculations!$O39)/(Calculations!$C$13))-(Calculations!$O39/(Calculations!$C$13*Calculations!$C$13))*LN((Calculations!$C$8*(Calculations!$O39-Calculations!$C$13))/(Calculations!$O39*(Calculations!$C$8-Calculations!$C$13))))+'Reaction Information'!$J$62*10^-1*(Calculations!$M39-Calculations!$C$9)+'Reaction Information'!$K$62*10^2*LN((Calculations!$C$12+Calculations!$M39)/(Calculations!$C$12+Calculations!$C$9))+(1/(Calculations!$O39-Calculations!$C$13))*('Reaction Information'!$L$62*(Calculations!$M39-Calculations!$C$9)+'Reaction Information'!$M$62*10^4*LN((Calculations!$C$12+Calculations!$M39)/(Calculations!$C$12+Calculations!$C$9)))+calculateOmega(Calculations!M39,Calculations!N39,Calculations!Q39,'Reaction Information'!$C$62,'Reaction Information'!$P$62*10^5,'Reaction Information'!$Q$62)*((1/Calculations!$S39)-1)-'Reaction Information'!$P$62*10^5*((1/Calculations!$C$10)-1)+'Reaction Information'!$P$62*10^5*Calculations!$C$14*(Calculations!$O39-Calculations!$C$8))</f>
        <v>#N/A</v>
      </c>
      <c r="AX39" s="8" t="e">
        <f>IF(ISBLANK(Input!$BZ$4),NA(),'Reaction Information'!$E$66-'Reaction Information'!$G$66*(Calculations!$O39-Calculations!$C$8)-'Reaction Information'!$N$66*(Calculations!$O39*LN(Calculations!$O39/Calculations!$C$8)-Calculations!$O39+Calculations!$C$8)-'Reaction Information'!$O$66*10^4*(((1/(Calculations!$O39-Calculations!$C$13))-(1/(Calculations!$C$8-Calculations!$C$13)))*((Calculations!$C$13-Calculations!$O39)/(Calculations!$C$13))-(Calculations!$O39/(Calculations!$C$13*Calculations!$C$13))*LN((Calculations!$C$8*(Calculations!$O39-Calculations!$C$13))/(Calculations!$O39*(Calculations!$C$8-Calculations!$C$13))))+'Reaction Information'!$J$66*10^-1*(Calculations!$M39-Calculations!$C$9)+'Reaction Information'!$K$66*10^2*LN((Calculations!$C$12+Calculations!$M39)/(Calculations!$C$12+Calculations!$C$9))+(1/(Calculations!$O39-Calculations!$C$13))*('Reaction Information'!$L$66*(Calculations!$M39-Calculations!$C$9)+'Reaction Information'!$M$66*10^4*LN((Calculations!$C$12+Calculations!$M39)/(Calculations!$C$12+Calculations!$C$9)))+calculateOmega(Calculations!M39,Calculations!N39,Calculations!Q39,'Reaction Information'!$C$66,'Reaction Information'!$P$66*10^5,'Reaction Information'!$Q$66)*((1/Calculations!$S39)-1)-'Reaction Information'!$P$66*10^5*((1/Calculations!$C$10)-1)+'Reaction Information'!$P$66*10^5*Calculations!$C$14*(Calculations!$O39-Calculations!$C$8))</f>
        <v>#N/A</v>
      </c>
      <c r="AY39" s="31">
        <f>(AL39*Input!$AO$4+AM39*Input!$AR$4+AN39*Input!$AU$4+AO39*Input!$AX$4+IF(ISNA(AP39),0,AP39*Input!$BA$4)+IF(ISNA(AQ39),0,AQ39*Input!$BD$4)+IF(ISNA(AR39),0,AR39*Input!$BG$4)+IF(ISNA(AS39),0,AS39*Input!$BJ$4)+IF(ISNA(AT39),0,AT39*Input!$BM$4)+IF(ISNA(AU39),0,AU39*Input!$BP$4)+IF(ISNA(AV39),0,AV39*Input!$BS$4)+IF(ISNA(AW39),0,AW39*Input!$BV$4)+IF(ISNA(AX39),0,AX39*Input!$BY$4))-(Y39*Input!$B$4+Z39*Input!$E$4+AA39*Input!$H$4+AB39*Input!$K$4+IF(ISNA(AC39),0,AC39*Input!$N$4)+IF(ISNA(AD39),0,AD39*Input!$Q$4)+IF(ISNA(AE39),0,AE39*Input!$T$4)+IF(ISNA(AF39),0,AF39*Input!$W$4)+IF(ISNA(AG39),0,AG39*Input!$Z$4)+IF(ISNA(AH39),0,AH39*Input!$AC$4)+IF(ISNA(AI39),0,AI39*Input!$AF$4)+IF(ISNA(AJ39),0,AJ39*Input!$AI$4)+IF(ISNA(AK39),0,AK39*Input!$AL$4))</f>
        <v>17579.67474059391</v>
      </c>
      <c r="AZ39" s="42">
        <f t="shared" si="16"/>
        <v>-5.3163592260329251</v>
      </c>
      <c r="BA39" s="1">
        <f t="shared" si="8"/>
        <v>450</v>
      </c>
      <c r="BB39" s="46">
        <f t="shared" si="9"/>
        <v>15000</v>
      </c>
      <c r="BC39" s="1"/>
      <c r="BD39" s="2">
        <f t="shared" si="10"/>
        <v>15000</v>
      </c>
      <c r="BE39" s="46">
        <f t="shared" si="11"/>
        <v>450</v>
      </c>
      <c r="BF39" s="1">
        <f>Results!AJ41</f>
        <v>0</v>
      </c>
      <c r="BG39" s="1">
        <f>Results!AK41</f>
        <v>0</v>
      </c>
      <c r="BH39" s="1">
        <f>Results!AL41</f>
        <v>0</v>
      </c>
      <c r="BI39" s="1">
        <f>Results!AM41</f>
        <v>0</v>
      </c>
      <c r="BJ39" s="1" t="e">
        <f>IF(OR(ISNA('Reaction Information'!$D$5), $N39 = "", $D$27 = FALSE, 'Reaction Information'!$D$5 = ""), NA(), 24.465)</f>
        <v>#N/A</v>
      </c>
      <c r="BK39" s="1" t="e">
        <f>IF(OR(ISNA('Reaction Information'!$D$9), $N39 = "", $D$27 = FALSE, 'Reaction Information'!$D$9 = ""), NA(), 24.465)</f>
        <v>#N/A</v>
      </c>
      <c r="BL39" s="8">
        <f t="shared" si="17"/>
        <v>16.123206795615857</v>
      </c>
      <c r="BM39" s="8">
        <f>IF(OR(ISBLANK(Input!$X$4),$D$27=FALSE),NA(),('Reaction Information'!$J$13/10+'Reaction Information'!$K$13*100/(Calculations!$C$12+Calculations!$M39)+('Reaction Information'!$L$13+'Reaction Information'!$M$13*10^4/(Calculations!$C$12+Calculations!$M39))/(Calculations!$O39-Calculations!$C$13) -calculateOmega(Calculations!$M39,Calculations!$N39,Calculations!$Q39,'Reaction Information'!$C$13,'Reaction Information'!$P$13*10^5,'Reaction Information'!$Q$13)*Calculations!$U39*10^-6 + (1/$S39 - 1)*calculate_domegadP(Calculations!$M39,Calculations!$N39,Calculations!$Q39,'Reaction Information'!$C$13,'Reaction Information'!$P$13*10^5,'Reaction Information'!$Q$13,$D$20,$D$19=3))*41.84)</f>
        <v>31.328937793462622</v>
      </c>
      <c r="BN39" s="8" t="e">
        <f>IF(OR(ISBLANK(Input!$AA$4),$D$27=FALSE),NA(),('Reaction Information'!$J$17/10+'Reaction Information'!$K$17*100/(Calculations!$C$12+Calculations!$M39)+('Reaction Information'!$L$17+'Reaction Information'!$M$17*10000/(Calculations!$C$12+Calculations!$M39))/(Calculations!$O39-Calculations!$C$13)-calculateOmega(Calculations!M39,Calculations!N39,Calculations!Q39,'Reaction Information'!$C$17,'Reaction Information'!$P$17*10^5,'Reaction Information'!$Q$17)*Calculations!$U39*10^-6 + (1/$S39 - 1)*calculate_domegadP(Calculations!M39,Calculations!N39,Calculations!Q39,'Reaction Information'!$C$17,'Reaction Information'!$P$17*10^5,'Reaction Information'!$Q$17,$D$20,$D$19=3))*41.84)</f>
        <v>#N/A</v>
      </c>
      <c r="BO39" s="8" t="e">
        <f>IF(OR(ISBLANK(Input!$AD$4),$D$27=FALSE),NA(),('Reaction Information'!$J$21/10+'Reaction Information'!$K$21*100/(Calculations!$C$12+Calculations!$M39)+('Reaction Information'!$L$21+'Reaction Information'!$M$21*10000/(Calculations!$C$12+Calculations!$M39))/(Calculations!$O39-Calculations!$C$13)-calculateOmega(Calculations!M39,Calculations!N39,Calculations!Q39,'Reaction Information'!$C$21,'Reaction Information'!$P$21*10^5,'Reaction Information'!$Q$21)*Calculations!$U39*10^-6 + (1/$S39 - 1)*calculate_domegadP(Calculations!M39,Calculations!N39,Calculations!Q39,'Reaction Information'!$C$21,'Reaction Information'!$P$21*10^5,'Reaction Information'!$Q$21,$D$20,$D$19=3))*41.84)</f>
        <v>#N/A</v>
      </c>
      <c r="BP39" s="8" t="e">
        <f>IF(OR(ISBLANK(Input!$AG$4),$D$27=FALSE),NA(),('Reaction Information'!$J$25/10+'Reaction Information'!$K$25*100/(Calculations!$C$12+Calculations!$M39)+('Reaction Information'!$L$25+'Reaction Information'!$M$25*10000/(Calculations!$C$12+Calculations!$M39))/(Calculations!$O39-Calculations!$C$13)-calculateOmega(Calculations!M39,Calculations!N39,Calculations!Q39,'Reaction Information'!$C$25,'Reaction Information'!$P$25*10^5,'Reaction Information'!$Q$25)*Calculations!$U39*10^-6 + (1/$S39 - 1)*calculate_domegadP(Calculations!M39,Calculations!N39,Calculations!Q39,'Reaction Information'!$C$25,'Reaction Information'!$P$25*10^5,'Reaction Information'!$Q$25,$D$20,$D$19=3))*41.84)</f>
        <v>#N/A</v>
      </c>
      <c r="BQ39" s="8" t="e">
        <f>IF(OR(ISBLANK(Input!$AJ$4),$D$27=FALSE),NA(),('Reaction Information'!$J$29/10+'Reaction Information'!$K$29*100/(Calculations!$C$12+Calculations!$M39)+('Reaction Information'!$L$29+'Reaction Information'!$M$29*10000/(Calculations!$C$12+Calculations!$M39))/(Calculations!$O39-Calculations!$C$13)-calculateOmega(Calculations!M39,Calculations!N39,Calculations!Q39,'Reaction Information'!$C$29,'Reaction Information'!$P$29*10^5,'Reaction Information'!$Q$29)*Calculations!$U39*10^-6 + (1/$S39 - 1)*calculate_domegadP(Calculations!M39,Calculations!N39,Calculations!Q39,'Reaction Information'!$C$29,'Reaction Information'!$P$29*10^5,'Reaction Information'!$Q$29,$D$20,$D$19=3))*41.84)</f>
        <v>#N/A</v>
      </c>
      <c r="BR39" s="8" t="e">
        <f>IF(OR(ISBLANK(Input!$AM$4),$D$27=FALSE),NA(),('Reaction Information'!$J$33/10+'Reaction Information'!$K$33*100/(Calculations!$C$12+Calculations!$M39)+('Reaction Information'!$L$33+'Reaction Information'!$M$33*10000/(Calculations!$C$12+Calculations!$M39))/(Calculations!$O39-Calculations!$C$13)-calculateOmega(Calculations!M39,Calculations!N39,Calculations!Q39,'Reaction Information'!$C$33,'Reaction Information'!$P$33*10^5,'Reaction Information'!$Q$33)*Calculations!$U39*10^-6 + (1/$S39 - 1)*calculate_domegadP(Calculations!M39,Calculations!N39,Calculations!Q39,'Reaction Information'!$C$33,'Reaction Information'!$P$33*10^5,'Reaction Information'!$Q$33,$D$20,$D$19=3))*41.84)</f>
        <v>#N/A</v>
      </c>
      <c r="BS39" s="1">
        <f>Results!AW41</f>
        <v>0</v>
      </c>
      <c r="BT39" s="1">
        <f>Results!AX41</f>
        <v>0</v>
      </c>
      <c r="BU39" s="1">
        <f>Results!AY41</f>
        <v>0</v>
      </c>
      <c r="BV39" s="1">
        <f>Results!AZ41</f>
        <v>0</v>
      </c>
      <c r="BW39" s="1" t="e">
        <f>IF(OR(ISNA('Reaction Information'!$D$38), $N39 = "", $D$27 = FALSE, 'Reaction Information'!$D$38 = ""), NA(), 24.465)</f>
        <v>#N/A</v>
      </c>
      <c r="BX39" s="1" t="e">
        <f>IF(OR(ISNA('Reaction Information'!$D$42), $N39 = "", $D$27 = FALSE, 'Reaction Information'!$D$42 = ""), NA(), 24.465)</f>
        <v>#N/A</v>
      </c>
      <c r="BY39" s="8" t="e">
        <f t="shared" si="18"/>
        <v>#N/A</v>
      </c>
      <c r="BZ39" s="8">
        <f>IF(OR(ISBLANK(Input!$BK$4),$D$27=FALSE),NA(),('Reaction Information'!$J$46/10+'Reaction Information'!$K$46*100/(Calculations!$C$12+Calculations!$M39)+('Reaction Information'!$L$46+'Reaction Information'!$M$46*10000/(Calculations!$C$12+Calculations!$M39))/(Calculations!$O39-Calculations!$C$13)-calculateOmega(Calculations!M39,Calculations!N39,Calculations!Q39,'Reaction Information'!$C$46,'Reaction Information'!$P$46*10^5,'Reaction Information'!$Q$46)*Calculations!$U39*10^-6 + (1/$S39 - 1)*calculate_domegadP(Calculations!M39,Calculations!N39,Calculations!Q39,'Reaction Information'!$C$46,'Reaction Information'!$P$46*10^5,'Reaction Information'!$Q$46,$D$20,$D$19=3))*41.84)</f>
        <v>0</v>
      </c>
      <c r="CA39" s="8">
        <f>IF(OR(ISBLANK(Input!$BN$4),$D$27=FALSE),NA(),('Reaction Information'!$J$50/10+'Reaction Information'!$K$50*100/(Calculations!$C$12+Calculations!$M39)+('Reaction Information'!$L$50+'Reaction Information'!$M$50*10000/(Calculations!$C$12+Calculations!$M39))/(Calculations!$O39-Calculations!$C$13)-calculateOmega(Calculations!M39,Calculations!N39,Calculations!Q39,'Reaction Information'!$C$50,'Reaction Information'!$P$50*10^5,'Reaction Information'!$Q$50)*Calculations!$U39*10^-6 + (1/$S39 - 1)*calculate_domegadP(Calculations!M39,Calculations!N39,Calculations!Q39,'Reaction Information'!$C$50,'Reaction Information'!$P$50*10^5,'Reaction Information'!$Q$50,$D$20,$D$19=3))*41.84)</f>
        <v>29.700753470579258</v>
      </c>
      <c r="CB39" s="8" t="e">
        <f>IF(OR(ISBLANK(Input!$BQ$4),$D$27=FALSE),NA(),('Reaction Information'!$J$54/10+'Reaction Information'!$K$54*100/(Calculations!$C$12+Calculations!$M39)+('Reaction Information'!$L$54+'Reaction Information'!$M$54*10000/(Calculations!$C$12+Calculations!$M39))/(Calculations!$O39-Calculations!$C$13)-calculateOmega(Calculations!M39,Calculations!N39,Calculations!Q39,'Reaction Information'!$C$54,'Reaction Information'!$P$54*10^5,'Reaction Information'!$Q$54)*Calculations!$U39*10^-6 + (1/$S39 - 1)*calculate_domegadP(Calculations!M39,Calculations!N39,Calculations!Q39,'Reaction Information'!$C$54,'Reaction Information'!$P$54*10^5,'Reaction Information'!$Q$54,$D$20,$D$19=3))*41.84)</f>
        <v>#N/A</v>
      </c>
      <c r="CC39" s="8" t="e">
        <f>IF(OR(ISBLANK(Input!$BT$4),$D$27=FALSE),NA(),('Reaction Information'!$J$58/10+'Reaction Information'!$K$58*100/(Calculations!$C$12+Calculations!$M39)+('Reaction Information'!$L$58+'Reaction Information'!$M$58*10000/(Calculations!$C$12+Calculations!$M39))/(Calculations!$O39-Calculations!$C$13)-calculateOmega(Calculations!M39,Calculations!N39,Calculations!Q39,'Reaction Information'!$C$58,'Reaction Information'!$P$58*10^5,'Reaction Information'!$Q$58)*Calculations!$U39*10^-6 + (1/$S39 - 1)*calculate_domegadP(Calculations!M39,Calculations!N39,Calculations!Q39,'Reaction Information'!$C$58,'Reaction Information'!$P$58*10^5,'Reaction Information'!$Q$58,$D$20,$D$19=3))*41.84)</f>
        <v>#N/A</v>
      </c>
      <c r="CD39" s="8" t="e">
        <f>IF(OR(ISBLANK(Input!$BW$4),$D$27=FALSE),NA(),('Reaction Information'!$J$62/10+'Reaction Information'!$K$62*100/(Calculations!$C$12+Calculations!$M39)+('Reaction Information'!$L$62+'Reaction Information'!$M$62*10000/(Calculations!$C$12+Calculations!$M39))/(Calculations!$O39-Calculations!$C$13)-calculateOmega(Calculations!M39,Calculations!N39,Calculations!Q39,'Reaction Information'!$C$62,'Reaction Information'!$P$62*10^5,'Reaction Information'!$Q$62)*Calculations!$U39*10^-6 + (1/$S39 - 1)*calculate_domegadP(Calculations!M39,Calculations!N39,Calculations!Q39,'Reaction Information'!$C$62,'Reaction Information'!$P$62*10^5,'Reaction Information'!$Q$62,$D$20,$D$19=3))*41.84)</f>
        <v>#N/A</v>
      </c>
      <c r="CE39" s="8" t="e">
        <f>IF(OR(ISBLANK(Input!$BZ$4),$D$27=FALSE),NA(),('Reaction Information'!$J$66/10+'Reaction Information'!$K$66*100/(Calculations!$C$12+Calculations!$M39)+('Reaction Information'!$L$66+'Reaction Information'!$M$66*10000/(Calculations!$C$12+Calculations!$M39))/(Calculations!$O39-Calculations!$C$13)-calculateOmega(Calculations!M39,Calculations!N39,Calculations!Q39,'Reaction Information'!$C$66,'Reaction Information'!$P$66*10^5,'Reaction Information'!$Q$66)*Calculations!$U39*10^-6 + (1/$S39 - 1)*calculate_domegadP(Calculations!M39,Calculations!N39,Calculations!Q39,'Reaction Information'!$C$66,'Reaction Information'!$P$66*10^5,'Reaction Information'!$Q$66,$D$20,$D$19=3))*41.84)</f>
        <v>#N/A</v>
      </c>
      <c r="CF39" s="31">
        <f>(BS39*Input!$AO$4+BT39*Input!$AR$4+BU39*Input!$AU$4+BV39*Input!$AX$4+IF(ISNA(BW39),0,BW39*Input!$BA$4)+IF(ISNA(BX39),0,BX39*Input!$BD$4)+IF(ISNA(BY39),0,BY39*Input!$BG$4)+IF(ISNA(BZ39),0,BZ39*Input!$BJ$4)+IF(ISNA(CA39),0,CA39*Input!$BM$4)+IF(ISNA(CB39),0,CB39*Input!$BP$4)+IF(ISNA(CC39),0,CC39*Input!$BS$4)+IF(ISNA(CD39),0,CD39*Input!$BV$4)+IF(ISNA(CE39),0,CE39*Input!$BY$4))-(BF39*Input!$B$4+BG39*Input!$E$4+BH39*Input!$H$4+BI39*Input!$K$4+IF(ISNA(BJ39),0,BJ39*Input!$N$4)+IF(ISNA(BK39),0,BK39*Input!$Q$4)+IF(ISNA(BL39),0,BL39*Input!$T$4)+IF(ISNA(BM39),0,BM39*Input!$W$4)+IF(ISNA(BN39),0,BN39*Input!$Z$4)+IF(ISNA(BO39),0,BO39*Input!$AC$4)+IF(ISNA(BP39),0,BP39*Input!$AF$4)+IF(ISNA(BQ39),0,BQ39*Input!$AI$4)+IF(ISNA(BR39),0,BR39*Input!$AL$4))</f>
        <v>-17.751391118499221</v>
      </c>
      <c r="CG39" s="1">
        <f t="shared" si="12"/>
        <v>450</v>
      </c>
      <c r="CH39" s="46">
        <f t="shared" si="13"/>
        <v>15000</v>
      </c>
      <c r="CI39" s="1"/>
    </row>
    <row r="40" spans="1:87" ht="15" customHeight="1" x14ac:dyDescent="0.2">
      <c r="A40" s="1"/>
      <c r="B40" s="7">
        <v>1</v>
      </c>
      <c r="C40" s="266" t="s">
        <v>699</v>
      </c>
      <c r="D40" s="268"/>
      <c r="E40" s="1"/>
      <c r="F40" s="2">
        <v>35</v>
      </c>
      <c r="G40" s="1" t="str">
        <f>IF(ISBLANK(Input!CB40), "", Input!CB40*1000)</f>
        <v/>
      </c>
      <c r="H40" s="1" t="str">
        <f>IF(ISBLANK(Input!CC40), "", Input!CC40)</f>
        <v/>
      </c>
      <c r="I40" s="1">
        <f>IF(Input!$CF$5 + Input!$CF$6*(FLOOR((Calculations!$F40-1)/(FLOOR((Input!$CF$12-Input!$CF$10)/Input!$CF$11,1)+1),1)) &gt; Input!$CF$7, "", (Input!$CF$5 + Input!$CF$6*(FLOOR((Calculations!$F40-1)/(FLOOR((Input!$CF$12-Input!$CF$10)/Input!$CF$11,1)+1),1)))*1000)</f>
        <v>15000</v>
      </c>
      <c r="J40" s="1">
        <f>IF(Calculations!I40 = "", "", Input!$CF$10 + Input!$CF$11*(Calculations!$F40-1) - (FLOOR((Input!$CF$12-Input!$CF$10)/Input!$CF$11,1)+1)*Input!$CF$11*FLOOR((Calculations!$F40-1)/(FLOOR((Input!$CF$12-Input!$CF$10)/Input!$CF$11,1)+1),1))</f>
        <v>500</v>
      </c>
      <c r="K40" s="8" t="str">
        <f t="shared" si="14"/>
        <v/>
      </c>
      <c r="L40" s="117" t="str">
        <f>IF(OR(Input!$CJ$5 + Input!$CJ$6*(Calculations!F40-1) &gt; Input!$CJ$7, Input!$CJ$5 + Input!$CJ$6*(Calculations!F40-1) &gt; 350), "", Input!$CJ$5 + Input!$CJ$6*(Calculations!F40-1))</f>
        <v/>
      </c>
      <c r="M40" s="1">
        <f t="shared" si="2"/>
        <v>15000</v>
      </c>
      <c r="N40" s="1">
        <f t="shared" si="3"/>
        <v>500</v>
      </c>
      <c r="O40" s="1">
        <f t="shared" si="15"/>
        <v>773.15</v>
      </c>
      <c r="P40" s="1" t="e">
        <f>IF(OR($D$20=3,AND($D$21=TRUE,M40&lt;1000)),INDEX('Water Density'!$C$6:$CX$120,MATCH(Calculations!N40,'Water Density'!$B$6:$B$120),MATCH(Calculations!M40/1000,'Water Density'!$C$5:$CX$5)),NA())</f>
        <v>#N/A</v>
      </c>
      <c r="Q40" s="182">
        <f>IF(OR($D$20=3,AND($D$21=TRUE,M40&lt;1000)), IF(P40&lt;&gt;0,P40,NA()), calculateDensity(M40,N40,$D$20,0.01,$D$19 = 3))</f>
        <v>1.0970922796678544</v>
      </c>
      <c r="R40" s="1" t="e">
        <f>IF($D$22=5,INDEX('Dielectric Constant'!$C$6:$CX$120,MATCH(Calculations!N40,'Dielectric Constant'!$B$6:$B$120),MATCH(Calculations!M40/1000,'Dielectric Constant'!$C$5:$CX$5)),NA())</f>
        <v>#N/A</v>
      </c>
      <c r="S40" s="58">
        <f>IF($D$22=5, IF(R40&lt;&gt;0,R40,NA()), IF(AND($D$23,M40&lt;=5000,$D$19 &lt;&gt; 3),calculateEpsilon(Q40,N40,1,FALSE),calculateEpsilon(Q40,N40,$D$22,$D$19 = 3)))</f>
        <v>27.367941239925617</v>
      </c>
      <c r="T40" s="1" t="e">
        <f>IF($D$24=3,INDEX('Water Free Energy'!$C$6:$CX$120,MATCH(Calculations!N40,'Water Free Energy'!$B$6:$B$120),MATCH(Calculations!M40/1000,'Water Free Energy'!$C$5:$CX$5)),NA())</f>
        <v>#N/A</v>
      </c>
      <c r="U40" s="179">
        <f>IF($D$27,calculateQ(M40,N40,Q40,$D$20,$D$22,$D$19=3)*10^6,NA())</f>
        <v>0.52228272105056484</v>
      </c>
      <c r="V40"/>
      <c r="W40" s="2">
        <f t="shared" si="5"/>
        <v>15000</v>
      </c>
      <c r="X40" s="1">
        <f t="shared" si="6"/>
        <v>500</v>
      </c>
      <c r="Y40" s="1">
        <f>Results!F42</f>
        <v>0</v>
      </c>
      <c r="Z40" s="1">
        <f>Results!G42</f>
        <v>0</v>
      </c>
      <c r="AA40" s="1">
        <f>Results!H42</f>
        <v>0</v>
      </c>
      <c r="AB40" s="1">
        <f>Results!I42</f>
        <v>0</v>
      </c>
      <c r="AC40" s="1" t="e">
        <f>IF(ISBLANK(Input!$O$4),NA(),'Reaction Information'!$E$5-'Reaction Information'!$G$5*(Calculations!$O40-Calculations!$C$8)+'Reaction Information'!$I$5*(Calculations!$O40-Calculations!$C$8-Calculations!$O40*LN(Calculations!$O40/Calculations!$C$8))+'Reaction Information'!$J$5*0.001/2*(2*Calculations!$O40*Calculations!$C$8-Calculations!$O40^2-Calculations!$C$8^2) + 'Reaction Information'!$K$5*100000*(Calculations!$O40^2 + Calculations!$C$8^2 - 2*Calculations!$O40*Calculations!$C$8)/(2*Calculations!$O40*Calculations!$C$8^2))</f>
        <v>#N/A</v>
      </c>
      <c r="AD40" s="8" t="e">
        <f>IF(ISBLANK(Input!$R$4),NA(),'Reaction Information'!$E$9-'Reaction Information'!$G$9*(Calculations!$O40-Calculations!$C$8)+'Reaction Information'!$I$9*(Calculations!$O40-Calculations!$C$8-Calculations!$O40*LN(Calculations!$O40/Calculations!$C$8))+'Reaction Information'!$J$9*0.001/2*(2*Calculations!$O40*Calculations!$C$8-Calculations!$O40^2-Calculations!$C$8^2) + 'Reaction Information'!$K$9*100000*(Calculations!$O40^2 + Calculations!$C$8^2 - 2*Calculations!$O40*Calculations!$C$8)/(2*Calculations!$O40*Calculations!$C$8^2))</f>
        <v>#N/A</v>
      </c>
      <c r="AE40" s="8">
        <f>IF(AE$5="H2O",IF($D$24=3,IF(T40=0,NA(),T40),calculateGibbsOfWater(M40,N40,$D$24,$D$20,$D$19=3)),NA())</f>
        <v>-62163.831704785494</v>
      </c>
      <c r="AF40" s="8">
        <f>IF(ISBLANK(Input!$X$4),NA(),'Reaction Information'!$E$13-'Reaction Information'!$G$13*(Calculations!O40-Calculations!$C$8)-'Reaction Information'!$N$13*(Calculations!O40*LN(Calculations!O40/Calculations!$C$8)-Calculations!O40+Calculations!$C$8)-'Reaction Information'!$O$13*10^4*(((1/(Calculations!O40-Calculations!$C$13))-(1/(Calculations!$C$8-Calculations!$C$13)))*((Calculations!$C$13-Calculations!O40)/(Calculations!$C$13))-(Calculations!O40/(Calculations!$C$13*Calculations!$C$13))*LN((Calculations!$C$8*(Calculations!O40-Calculations!$C$13))/(Calculations!O40*(Calculations!$C$8-Calculations!$C$13))))+'Reaction Information'!$J$13*10^-1*(Calculations!M40-Calculations!$C$9)+'Reaction Information'!$K$13*10^2*LN((Calculations!$C$12+Calculations!M40)/(Calculations!$C$12+Calculations!$C$9))+(1/(Calculations!O40-Calculations!$C$13))*('Reaction Information'!$L$13*(Calculations!M40-Calculations!$C$9)+'Reaction Information'!$M$13*10^4*LN((Calculations!$C$12+Calculations!M40)/(Calculations!$C$12+Calculations!$C$9)))+calculateOmega(Calculations!M40,Calculations!N40,Calculations!Q40,'Reaction Information'!$C$13,'Reaction Information'!$P$13*10^5,'Reaction Information'!$Q$13)*((1/Calculations!S40)-1)-'Reaction Information'!$P$13*10^5*((1/Calculations!$C$10)-1)+'Reaction Information'!$P$13*10^5*Calculations!$C$14*(Calculations!O40-Calculations!$C$8))</f>
        <v>-100366.34100640289</v>
      </c>
      <c r="AG40" s="8" t="e">
        <f>IF(ISBLANK(Input!$AA$4),NA(),'Reaction Information'!$E$17-'Reaction Information'!$G$17*(Calculations!$O40-Calculations!$C$8)-'Reaction Information'!$N$17*(Calculations!$O40*LN(Calculations!$O40/Calculations!$C$8)-Calculations!$O40+Calculations!$C$8)-'Reaction Information'!$O$17*10^4*(((1/(Calculations!$O40-Calculations!$C$13))-(1/(Calculations!$C$8-Calculations!$C$13)))*((Calculations!$C$13-Calculations!$O40)/(Calculations!$C$13))-(Calculations!$O40/(Calculations!$C$13*Calculations!$C$13))*LN((Calculations!$C$8*(Calculations!$O40-Calculations!$C$13))/(Calculations!$O40*(Calculations!$C$8-Calculations!$C$13))))+'Reaction Information'!$J$17*10^-1*(Calculations!$M40-Calculations!$C$9)+'Reaction Information'!$K$17*10^2*LN((Calculations!$C$12+Calculations!$M40)/(Calculations!$C$12+Calculations!$C$9))+(1/(Calculations!$O40-Calculations!$C$13))*('Reaction Information'!$L$17*(Calculations!$M40-Calculations!$C$9)+'Reaction Information'!$M$17*10^4*LN((Calculations!$C$12+Calculations!$M40)/(Calculations!$C$12+Calculations!$C$9)))+calculateOmega(Calculations!M40,Calculations!N40,Calculations!Q40,'Reaction Information'!$C$17,'Reaction Information'!$P$17*10^5,'Reaction Information'!$Q$17)*((1/Calculations!$S40)-1)-'Reaction Information'!$P$17*10^5*((1/Calculations!$C$10)-1)+'Reaction Information'!$P$17*10^5*Calculations!$C$14*(Calculations!$O40-Calculations!$C$8))</f>
        <v>#N/A</v>
      </c>
      <c r="AH40" s="8" t="e">
        <f>IF(ISBLANK(Input!$AD$4),NA(),'Reaction Information'!$E$21-'Reaction Information'!$G$21*(Calculations!$O40-Calculations!$C$8)-'Reaction Information'!$N$21*(Calculations!$O40*LN(Calculations!$O40/Calculations!$C$8)-Calculations!$O40+Calculations!$C$8)-'Reaction Information'!$O$21*10^4*(((1/(Calculations!$O40-Calculations!$C$13))-(1/(Calculations!$C$8-Calculations!$C$13)))*((Calculations!$C$13-Calculations!$O40)/(Calculations!$C$13))-(Calculations!$O40/(Calculations!$C$13*Calculations!$C$13))*LN((Calculations!$C$8*(Calculations!$O40-Calculations!$C$13))/(Calculations!$O40*(Calculations!$C$8-Calculations!$C$13))))+'Reaction Information'!$J$21*10^-1*(Calculations!$M40-Calculations!$C$9)+'Reaction Information'!$K$21*10^2*LN((Calculations!$C$12+Calculations!$M40)/(Calculations!$C$12+Calculations!$C$9))+(1/(Calculations!$O40-Calculations!$C$13))*('Reaction Information'!$L$21*(Calculations!$M40-Calculations!$C$9)+'Reaction Information'!$M$21*10^4*LN((Calculations!$C$12+Calculations!$M40)/(Calculations!$C$12+Calculations!$C$9)))+calculateOmega(Calculations!M40,Calculations!N40,Calculations!Q40,'Reaction Information'!$C$21,'Reaction Information'!$P$21*10^5,'Reaction Information'!$Q$21)*((1/Calculations!$S40)-1)-'Reaction Information'!$P$21*10^5*((1/Calculations!$C$10)-1)+'Reaction Information'!$P$21*10^5*Calculations!$C$14*(Calculations!$O40-Calculations!$C$8))</f>
        <v>#N/A</v>
      </c>
      <c r="AI40" s="8" t="e">
        <f>IF(ISBLANK(Input!$AG$4),NA(),'Reaction Information'!$E$25-'Reaction Information'!$G$25*(Calculations!$O40-Calculations!$C$8)-'Reaction Information'!$N$25*(Calculations!$O40*LN(Calculations!$O40/Calculations!$C$8)-Calculations!$O40+Calculations!$C$8)-'Reaction Information'!$O$25*10^4*(((1/(Calculations!$O40-Calculations!$C$13))-(1/(Calculations!$C$8-Calculations!$C$13)))*((Calculations!$C$13-Calculations!$O40)/(Calculations!$C$13))-(Calculations!$O40/(Calculations!$C$13*Calculations!$C$13))*LN((Calculations!$C$8*(Calculations!$O40-Calculations!$C$13))/(Calculations!$O40*(Calculations!$C$8-Calculations!$C$13))))+'Reaction Information'!$J$25*10^-1*(Calculations!$M40-Calculations!$C$9)+'Reaction Information'!$K$25*10^2*LN((Calculations!$C$12+Calculations!$M40)/(Calculations!$C$12+Calculations!$C$9))+(1/(Calculations!$O40-Calculations!$C$13))*('Reaction Information'!$L$25*(Calculations!$M40-Calculations!$C$9)+'Reaction Information'!$M$25*10^4*LN((Calculations!$C$12+Calculations!$M40)/(Calculations!$C$12+Calculations!$C$9)))+calculateOmega(Calculations!M40,Calculations!N40,Calculations!Q40,'Reaction Information'!$C$25,'Reaction Information'!$P$25*10^5,'Reaction Information'!$Q$25)*((1/Calculations!$S40)-1)-'Reaction Information'!$P$25*10^5*((1/Calculations!$C$10)-1)+'Reaction Information'!$P$25*10^5*Calculations!$C$14*(Calculations!$O40-Calculations!$C$8))</f>
        <v>#N/A</v>
      </c>
      <c r="AJ40" s="8" t="e">
        <f>IF(ISBLANK(Input!$AJ$4),NA(),'Reaction Information'!$E$29-'Reaction Information'!$G$29*(Calculations!$O40-Calculations!$C$8)-'Reaction Information'!$N$29*(Calculations!$O40*LN(Calculations!$O40/Calculations!$C$8)-Calculations!$O40+Calculations!$C$8)-'Reaction Information'!$O$29*10^4*(((1/(Calculations!$O40-Calculations!$C$13))-(1/(Calculations!$C$8-Calculations!$C$13)))*((Calculations!$C$13-Calculations!$O40)/(Calculations!$C$13))-(Calculations!$O40/(Calculations!$C$13*Calculations!$C$13))*LN((Calculations!$C$8*(Calculations!$O40-Calculations!$C$13))/(Calculations!$O40*(Calculations!$C$8-Calculations!$C$13))))+'Reaction Information'!$J$29*10^-1*(Calculations!$M40-Calculations!$C$9)+'Reaction Information'!$K$29*10^2*LN((Calculations!$C$12+Calculations!$M40)/(Calculations!$C$12+Calculations!$C$9))+(1/(Calculations!$O40-Calculations!$C$13))*('Reaction Information'!$L$29*(Calculations!$M40-Calculations!$C$9)+'Reaction Information'!$M$29*10^4*LN((Calculations!$C$12+Calculations!$M40)/(Calculations!$C$12+Calculations!$C$9)))+calculateOmega(Calculations!M40,Calculations!N40,Calculations!Q40,'Reaction Information'!$C$29,'Reaction Information'!$P$29*10^5,'Reaction Information'!$Q$29)*((1/Calculations!$S40)-1)-'Reaction Information'!$P$29*10^5*((1/Calculations!$C$10)-1)+'Reaction Information'!$P$29*10^5*Calculations!$C$14*(Calculations!$O40-Calculations!$C$8))</f>
        <v>#N/A</v>
      </c>
      <c r="AK40" s="8" t="e">
        <f>IF(ISBLANK(Input!$AM$4),NA(),'Reaction Information'!$E$33-'Reaction Information'!$G$33*(Calculations!$O40-Calculations!$C$8)-'Reaction Information'!$N$33*(Calculations!$O40*LN(Calculations!$O40/Calculations!$C$8)-Calculations!$O40+Calculations!$C$8)-'Reaction Information'!$O$33*10^4*(((1/(Calculations!$O40-Calculations!$C$13))-(1/(Calculations!$C$8-Calculations!$C$13)))*((Calculations!$C$13-Calculations!$O40)/(Calculations!$C$13))-(Calculations!$O40/(Calculations!$C$13*Calculations!$C$13))*LN((Calculations!$C$8*(Calculations!$O40-Calculations!$C$13))/(Calculations!$O40*(Calculations!$C$8-Calculations!$C$13))))+'Reaction Information'!$J$33*10^-1*(Calculations!$M40-Calculations!$C$9)+'Reaction Information'!$K$33*10^2*LN((Calculations!$C$12+Calculations!$M40)/(Calculations!$C$12+Calculations!$C$9))+(1/(Calculations!$O40-Calculations!$C$13))*('Reaction Information'!$L$33*(Calculations!$M40-Calculations!$C$9)+'Reaction Information'!$M$33*10^4*LN((Calculations!$C$12+Calculations!$M40)/(Calculations!$C$12+Calculations!$C$9)))+calculateOmega(Calculations!M40,Calculations!N40,Calculations!Q40,'Reaction Information'!$C$33,'Reaction Information'!$P$33*10^5,'Reaction Information'!$Q$33)*((1/Calculations!$S40)-1)-'Reaction Information'!$P$33*10^5*((1/Calculations!$C$10)-1)+'Reaction Information'!$P$33*10^5*Calculations!$C$14*(Calculations!$O40-Calculations!$C$8))</f>
        <v>#N/A</v>
      </c>
      <c r="AL40" s="1">
        <f>Results!S42</f>
        <v>0</v>
      </c>
      <c r="AM40" s="1">
        <f>Results!T42</f>
        <v>0</v>
      </c>
      <c r="AN40" s="1">
        <f>Results!U42</f>
        <v>0</v>
      </c>
      <c r="AO40" s="1">
        <f>Results!V42</f>
        <v>0</v>
      </c>
      <c r="AP40" s="8" t="e">
        <f>IF(ISBLANK(Input!$BB$4),NA(),'Reaction Information'!$E$38-'Reaction Information'!$G$38*(Calculations!$O40-Calculations!$C$8)+'Reaction Information'!$I$38*(Calculations!$O40-Calculations!$C$8-Calculations!$O40*LN(Calculations!$O40/Calculations!$C$8))+'Reaction Information'!$J$38*0.001/2*(2*Calculations!$O40*Calculations!$C$8-Calculations!$O40^2-Calculations!$C$8^2) + 'Reaction Information'!$K$38*100000*(Calculations!$O40^2 + Calculations!$C$8^2 - 2*Calculations!$O40*Calculations!$C$8)/(2*Calculations!$O40*Calculations!$C$8^2))</f>
        <v>#N/A</v>
      </c>
      <c r="AQ40" s="8" t="e">
        <f>IF(ISBLANK(Input!$BE$4),NA(),'Reaction Information'!$E$42-'Reaction Information'!$G$42*(Calculations!$O40-Calculations!$C$8)+'Reaction Information'!$I$42*(Calculations!$O40-Calculations!$C$8-Calculations!$O40*LN(Calculations!$O40/Calculations!$C$8))+'Reaction Information'!$J$42*0.001/2*(2*Calculations!$O40*Calculations!$C$8-Calculations!$O40^2-Calculations!$C$8^2) + 'Reaction Information'!$K$42*100000*(Calculations!$O40^2 + Calculations!$C$8^2 - 2*Calculations!$O40*Calculations!$C$8)/(2*Calculations!$O40*Calculations!$C$8^2))</f>
        <v>#N/A</v>
      </c>
      <c r="AR40" s="8" t="e">
        <f>IF(AR$5="H2O", IF($D$24=3,IF(T40=0,NA(),T40),calculateGibbsOfWater(M40,N40,$D$24,$D$20,$D$19=3)),NA())</f>
        <v>#N/A</v>
      </c>
      <c r="AS40" s="8">
        <f>IF(ISBLANK(Input!$BK$4),NA(),'Reaction Information'!$E$46-'Reaction Information'!$G$46*(Calculations!O40-Calculations!$C$8)-'Reaction Information'!$N$46*(Calculations!O40*LN(Calculations!O40/Calculations!$C$8)-Calculations!O40+Calculations!$C$8)-'Reaction Information'!$O$46*10^4*(((1/(Calculations!O40-Calculations!$C$13))-(1/(Calculations!$C$8-Calculations!$C$13)))*((Calculations!$C$13-Calculations!O40)/(Calculations!$C$13))-(Calculations!O40/(Calculations!$C$13*Calculations!$C$13))*LN((Calculations!$C$8*(Calculations!O40-Calculations!$C$13))/(Calculations!O40*(Calculations!$C$8-Calculations!$C$13))))+'Reaction Information'!$J$46*10^-1*(Calculations!$M40-Calculations!$C$9)+'Reaction Information'!$K$46*10^2*LN((Calculations!$C$12+Calculations!$M40)/(Calculations!$C$12+Calculations!$C$9))+(1/(Calculations!O40-Calculations!$C$13))*('Reaction Information'!$L$46*(Calculations!$M40-Calculations!$C$9)+'Reaction Information'!$M$46*10^4*LN((Calculations!$C$12+Calculations!$M40)/(Calculations!$C$12+Calculations!$C$9)))+calculateOmega(Calculations!M40,Calculations!N40,Calculations!Q40,'Reaction Information'!$C$46,'Reaction Information'!$P$46*10^5,'Reaction Information'!$Q$46)*((1/Calculations!S40)-1)-'Reaction Information'!$P$46*10^5*((1/Calculations!$C$10)-1)+'Reaction Information'!$P$46*10^5*Calculations!$C$14*(Calculations!O40-Calculations!$C$8))</f>
        <v>0</v>
      </c>
      <c r="AT40" s="8">
        <f>IF(ISBLANK(Input!$BN$4),NA(),'Reaction Information'!$E$50-'Reaction Information'!$G$50*(Calculations!O40-Calculations!$C$8)-'Reaction Information'!$N$50*(Calculations!O40*LN(Calculations!O40/Calculations!$C$8)-Calculations!O40+Calculations!$C$8)-'Reaction Information'!$O$50*10^4*(((1/(Calculations!O40-Calculations!$C$13))-(1/(Calculations!$C$8-Calculations!$C$13)))*((Calculations!$C$13-Calculations!O40)/(Calculations!$C$13))-(Calculations!O40/(Calculations!$C$13*Calculations!$C$13))*LN((Calculations!$C$8*(Calculations!O40-Calculations!$C$13))/(Calculations!O40*(Calculations!$C$8-Calculations!$C$13))))+'Reaction Information'!$J$50*10^-1*(Calculations!$M40-Calculations!$C$9)+'Reaction Information'!$K$50*10^2*LN((Calculations!$C$12+Calculations!$M40)/(Calculations!$C$12+Calculations!$C$9))+(1/(Calculations!O40-Calculations!$C$13))*('Reaction Information'!$L$50*(Calculations!$M40-Calculations!$C$9)+'Reaction Information'!$M$50*10^4*LN((Calculations!$C$12+Calculations!$M40)/(Calculations!$C$12+Calculations!$C$9)))+calculateOmega(Calculations!M40,Calculations!N40,Calculations!Q40,'Reaction Information'!$C$50,'Reaction Information'!$P$50*10^5,'Reaction Information'!$Q$50)*((1/Calculations!S40)-1)-'Reaction Information'!$P$50*10^5*((1/Calculations!$C$10)-1)+'Reaction Information'!$P$50*10^5*Calculations!$C$14*(Calculations!O40-Calculations!$C$8))</f>
        <v>-142738.91333160206</v>
      </c>
      <c r="AU40" s="8" t="e">
        <f>IF(ISBLANK(Input!$BQ$4),NA(),'Reaction Information'!$E$54-'Reaction Information'!$G$54*(Calculations!$O40-Calculations!$C$8)-'Reaction Information'!$N$54*(Calculations!$O40*LN(Calculations!$O40/Calculations!$C$8)-Calculations!$O40+Calculations!$C$8)-'Reaction Information'!$O$54*10^4*(((1/(Calculations!$O40-Calculations!$C$13))-(1/(Calculations!$C$8-Calculations!$C$13)))*((Calculations!$C$13-Calculations!$O40)/(Calculations!$C$13))-(Calculations!$O40/(Calculations!$C$13*Calculations!$C$13))*LN((Calculations!$C$8*(Calculations!$O40-Calculations!$C$13))/(Calculations!$O40*(Calculations!$C$8-Calculations!$C$13))))+'Reaction Information'!$J$54*10^-1*(Calculations!$M40-Calculations!$C$9)+'Reaction Information'!$K$54*10^2*LN((Calculations!$C$12+Calculations!$M40)/(Calculations!$C$12+Calculations!$C$9))+(1/(Calculations!$O40-Calculations!$C$13))*('Reaction Information'!$L$54*(Calculations!$M40-Calculations!$C$9)+'Reaction Information'!$M$54*10^4*LN((Calculations!$C$12+Calculations!$M40)/(Calculations!$C$12+Calculations!$C$9)))+calculateOmega(Calculations!M40,Calculations!N40,Calculations!Q40,'Reaction Information'!$C$54,'Reaction Information'!$P$54*10^5,'Reaction Information'!$Q$54)*((1/Calculations!$S40)-1)-'Reaction Information'!$P$54*10^5*((1/Calculations!$C$10)-1)+'Reaction Information'!$P$54*10^5*Calculations!$C$14*(Calculations!$O40-Calculations!$C$8))</f>
        <v>#N/A</v>
      </c>
      <c r="AV40" s="8" t="e">
        <f>IF(ISBLANK(Input!$BT$4),NA(),'Reaction Information'!$E$58-'Reaction Information'!$G$58*(Calculations!$O40-Calculations!$C$8)-'Reaction Information'!$N$58*(Calculations!$O40*LN(Calculations!$O40/Calculations!$C$8)-Calculations!$O40+Calculations!$C$8)-'Reaction Information'!$O$58*10^4*(((1/(Calculations!$O40-Calculations!$C$13))-(1/(Calculations!$C$8-Calculations!$C$13)))*((Calculations!$C$13-Calculations!$O40)/(Calculations!$C$13))-(Calculations!$O40/(Calculations!$C$13*Calculations!$C$13))*LN((Calculations!$C$8*(Calculations!$O40-Calculations!$C$13))/(Calculations!$O40*(Calculations!$C$8-Calculations!$C$13))))+'Reaction Information'!$J$58*10^-1*(Calculations!$M40-Calculations!$C$9)+'Reaction Information'!$K$58*10^2*LN((Calculations!$C$12+Calculations!$M40)/(Calculations!$C$12+Calculations!$C$9))+(1/(Calculations!$O40-Calculations!$C$13))*('Reaction Information'!$L$58*(Calculations!$M40-Calculations!$C$9)+'Reaction Information'!$M$58*10^4*LN((Calculations!$C$12+Calculations!$M40)/(Calculations!$C$12+Calculations!$C$9)))+calculateOmega(Calculations!M40,Calculations!N40,Calculations!Q40,'Reaction Information'!$C$58,'Reaction Information'!$P$58*10^5,'Reaction Information'!$Q$58)*((1/Calculations!$S40)-1)-'Reaction Information'!$P$58*10^5*((1/Calculations!$C$10)-1)+'Reaction Information'!$P$58*10^5*Calculations!$C$14*(Calculations!$O40-Calculations!$C$8))</f>
        <v>#N/A</v>
      </c>
      <c r="AW40" s="8" t="e">
        <f>IF(ISBLANK(Input!$BW$4),NA(),'Reaction Information'!$E$62-'Reaction Information'!$G$62*(Calculations!$O40-Calculations!$C$8)-'Reaction Information'!$N$62*(Calculations!$O40*LN(Calculations!$O40/Calculations!$C$8)-Calculations!$O40+Calculations!$C$8)-'Reaction Information'!$O$62*10^4*(((1/(Calculations!$O40-Calculations!$C$13))-(1/(Calculations!$C$8-Calculations!$C$13)))*((Calculations!$C$13-Calculations!$O40)/(Calculations!$C$13))-(Calculations!$O40/(Calculations!$C$13*Calculations!$C$13))*LN((Calculations!$C$8*(Calculations!$O40-Calculations!$C$13))/(Calculations!$O40*(Calculations!$C$8-Calculations!$C$13))))+'Reaction Information'!$J$62*10^-1*(Calculations!$M40-Calculations!$C$9)+'Reaction Information'!$K$62*10^2*LN((Calculations!$C$12+Calculations!$M40)/(Calculations!$C$12+Calculations!$C$9))+(1/(Calculations!$O40-Calculations!$C$13))*('Reaction Information'!$L$62*(Calculations!$M40-Calculations!$C$9)+'Reaction Information'!$M$62*10^4*LN((Calculations!$C$12+Calculations!$M40)/(Calculations!$C$12+Calculations!$C$9)))+calculateOmega(Calculations!M40,Calculations!N40,Calculations!Q40,'Reaction Information'!$C$62,'Reaction Information'!$P$62*10^5,'Reaction Information'!$Q$62)*((1/Calculations!$S40)-1)-'Reaction Information'!$P$62*10^5*((1/Calculations!$C$10)-1)+'Reaction Information'!$P$62*10^5*Calculations!$C$14*(Calculations!$O40-Calculations!$C$8))</f>
        <v>#N/A</v>
      </c>
      <c r="AX40" s="8" t="e">
        <f>IF(ISBLANK(Input!$BZ$4),NA(),'Reaction Information'!$E$66-'Reaction Information'!$G$66*(Calculations!$O40-Calculations!$C$8)-'Reaction Information'!$N$66*(Calculations!$O40*LN(Calculations!$O40/Calculations!$C$8)-Calculations!$O40+Calculations!$C$8)-'Reaction Information'!$O$66*10^4*(((1/(Calculations!$O40-Calculations!$C$13))-(1/(Calculations!$C$8-Calculations!$C$13)))*((Calculations!$C$13-Calculations!$O40)/(Calculations!$C$13))-(Calculations!$O40/(Calculations!$C$13*Calculations!$C$13))*LN((Calculations!$C$8*(Calculations!$O40-Calculations!$C$13))/(Calculations!$O40*(Calculations!$C$8-Calculations!$C$13))))+'Reaction Information'!$J$66*10^-1*(Calculations!$M40-Calculations!$C$9)+'Reaction Information'!$K$66*10^2*LN((Calculations!$C$12+Calculations!$M40)/(Calculations!$C$12+Calculations!$C$9))+(1/(Calculations!$O40-Calculations!$C$13))*('Reaction Information'!$L$66*(Calculations!$M40-Calculations!$C$9)+'Reaction Information'!$M$66*10^4*LN((Calculations!$C$12+Calculations!$M40)/(Calculations!$C$12+Calculations!$C$9)))+calculateOmega(Calculations!M40,Calculations!N40,Calculations!Q40,'Reaction Information'!$C$66,'Reaction Information'!$P$66*10^5,'Reaction Information'!$Q$66)*((1/Calculations!$S40)-1)-'Reaction Information'!$P$66*10^5*((1/Calculations!$C$10)-1)+'Reaction Information'!$P$66*10^5*Calculations!$C$14*(Calculations!$O40-Calculations!$C$8))</f>
        <v>#N/A</v>
      </c>
      <c r="AY40" s="31">
        <f>(AL40*Input!$AO$4+AM40*Input!$AR$4+AN40*Input!$AU$4+AO40*Input!$AX$4+IF(ISNA(AP40),0,AP40*Input!$BA$4)+IF(ISNA(AQ40),0,AQ40*Input!$BD$4)+IF(ISNA(AR40),0,AR40*Input!$BG$4)+IF(ISNA(AS40),0,AS40*Input!$BJ$4)+IF(ISNA(AT40),0,AT40*Input!$BM$4)+IF(ISNA(AU40),0,AU40*Input!$BP$4)+IF(ISNA(AV40),0,AV40*Input!$BS$4)+IF(ISNA(AW40),0,AW40*Input!$BV$4)+IF(ISNA(AX40),0,AX40*Input!$BY$4))-(Y40*Input!$B$4+Z40*Input!$E$4+AA40*Input!$H$4+AB40*Input!$K$4+IF(ISNA(AC40),0,AC40*Input!$N$4)+IF(ISNA(AD40),0,AD40*Input!$Q$4)+IF(ISNA(AE40),0,AE40*Input!$T$4)+IF(ISNA(AF40),0,AF40*Input!$W$4)+IF(ISNA(AG40),0,AG40*Input!$Z$4)+IF(ISNA(AH40),0,AH40*Input!$AC$4)+IF(ISNA(AI40),0,AI40*Input!$AF$4)+IF(ISNA(AJ40),0,AJ40*Input!$AI$4)+IF(ISNA(AK40),0,AK40*Input!$AL$4))</f>
        <v>19791.259379586321</v>
      </c>
      <c r="AZ40" s="42">
        <f t="shared" si="16"/>
        <v>-5.5981114960140355</v>
      </c>
      <c r="BA40" s="1">
        <f t="shared" si="8"/>
        <v>500</v>
      </c>
      <c r="BB40" s="46">
        <f t="shared" si="9"/>
        <v>15000</v>
      </c>
      <c r="BC40" s="1"/>
      <c r="BD40" s="2">
        <f t="shared" si="10"/>
        <v>15000</v>
      </c>
      <c r="BE40" s="46">
        <f t="shared" si="11"/>
        <v>500</v>
      </c>
      <c r="BF40" s="1">
        <f>Results!AJ42</f>
        <v>0</v>
      </c>
      <c r="BG40" s="1">
        <f>Results!AK42</f>
        <v>0</v>
      </c>
      <c r="BH40" s="1">
        <f>Results!AL42</f>
        <v>0</v>
      </c>
      <c r="BI40" s="1">
        <f>Results!AM42</f>
        <v>0</v>
      </c>
      <c r="BJ40" s="1" t="e">
        <f>IF(OR(ISNA('Reaction Information'!$D$5), $N40 = "", $D$27 = FALSE, 'Reaction Information'!$D$5 = ""), NA(), 24.465)</f>
        <v>#N/A</v>
      </c>
      <c r="BK40" s="1" t="e">
        <f>IF(OR(ISNA('Reaction Information'!$D$9), $N40 = "", $D$27 = FALSE, 'Reaction Information'!$D$9 = ""), NA(), 24.465)</f>
        <v>#N/A</v>
      </c>
      <c r="BL40" s="8">
        <f t="shared" si="17"/>
        <v>16.420934076260334</v>
      </c>
      <c r="BM40" s="8">
        <f>IF(OR(ISBLANK(Input!$X$4),$D$27=FALSE),NA(),('Reaction Information'!$J$13/10+'Reaction Information'!$K$13*100/(Calculations!$C$12+Calculations!$M40)+('Reaction Information'!$L$13+'Reaction Information'!$M$13*10^4/(Calculations!$C$12+Calculations!$M40))/(Calculations!$O40-Calculations!$C$13) -calculateOmega(Calculations!$M40,Calculations!$N40,Calculations!$Q40,'Reaction Information'!$C$13,'Reaction Information'!$P$13*10^5,'Reaction Information'!$Q$13)*Calculations!$U40*10^-6 + (1/$S40 - 1)*calculate_domegadP(Calculations!$M40,Calculations!$N40,Calculations!$Q40,'Reaction Information'!$C$13,'Reaction Information'!$P$13*10^5,'Reaction Information'!$Q$13,$D$20,$D$19=3))*41.84)</f>
        <v>31.533971060670055</v>
      </c>
      <c r="BN40" s="8" t="e">
        <f>IF(OR(ISBLANK(Input!$AA$4),$D$27=FALSE),NA(),('Reaction Information'!$J$17/10+'Reaction Information'!$K$17*100/(Calculations!$C$12+Calculations!$M40)+('Reaction Information'!$L$17+'Reaction Information'!$M$17*10000/(Calculations!$C$12+Calculations!$M40))/(Calculations!$O40-Calculations!$C$13)-calculateOmega(Calculations!M40,Calculations!N40,Calculations!Q40,'Reaction Information'!$C$17,'Reaction Information'!$P$17*10^5,'Reaction Information'!$Q$17)*Calculations!$U40*10^-6 + (1/$S40 - 1)*calculate_domegadP(Calculations!M40,Calculations!N40,Calculations!Q40,'Reaction Information'!$C$17,'Reaction Information'!$P$17*10^5,'Reaction Information'!$Q$17,$D$20,$D$19=3))*41.84)</f>
        <v>#N/A</v>
      </c>
      <c r="BO40" s="8" t="e">
        <f>IF(OR(ISBLANK(Input!$AD$4),$D$27=FALSE),NA(),('Reaction Information'!$J$21/10+'Reaction Information'!$K$21*100/(Calculations!$C$12+Calculations!$M40)+('Reaction Information'!$L$21+'Reaction Information'!$M$21*10000/(Calculations!$C$12+Calculations!$M40))/(Calculations!$O40-Calculations!$C$13)-calculateOmega(Calculations!M40,Calculations!N40,Calculations!Q40,'Reaction Information'!$C$21,'Reaction Information'!$P$21*10^5,'Reaction Information'!$Q$21)*Calculations!$U40*10^-6 + (1/$S40 - 1)*calculate_domegadP(Calculations!M40,Calculations!N40,Calculations!Q40,'Reaction Information'!$C$21,'Reaction Information'!$P$21*10^5,'Reaction Information'!$Q$21,$D$20,$D$19=3))*41.84)</f>
        <v>#N/A</v>
      </c>
      <c r="BP40" s="8" t="e">
        <f>IF(OR(ISBLANK(Input!$AG$4),$D$27=FALSE),NA(),('Reaction Information'!$J$25/10+'Reaction Information'!$K$25*100/(Calculations!$C$12+Calculations!$M40)+('Reaction Information'!$L$25+'Reaction Information'!$M$25*10000/(Calculations!$C$12+Calculations!$M40))/(Calculations!$O40-Calculations!$C$13)-calculateOmega(Calculations!M40,Calculations!N40,Calculations!Q40,'Reaction Information'!$C$25,'Reaction Information'!$P$25*10^5,'Reaction Information'!$Q$25)*Calculations!$U40*10^-6 + (1/$S40 - 1)*calculate_domegadP(Calculations!M40,Calculations!N40,Calculations!Q40,'Reaction Information'!$C$25,'Reaction Information'!$P$25*10^5,'Reaction Information'!$Q$25,$D$20,$D$19=3))*41.84)</f>
        <v>#N/A</v>
      </c>
      <c r="BQ40" s="8" t="e">
        <f>IF(OR(ISBLANK(Input!$AJ$4),$D$27=FALSE),NA(),('Reaction Information'!$J$29/10+'Reaction Information'!$K$29*100/(Calculations!$C$12+Calculations!$M40)+('Reaction Information'!$L$29+'Reaction Information'!$M$29*10000/(Calculations!$C$12+Calculations!$M40))/(Calculations!$O40-Calculations!$C$13)-calculateOmega(Calculations!M40,Calculations!N40,Calculations!Q40,'Reaction Information'!$C$29,'Reaction Information'!$P$29*10^5,'Reaction Information'!$Q$29)*Calculations!$U40*10^-6 + (1/$S40 - 1)*calculate_domegadP(Calculations!M40,Calculations!N40,Calculations!Q40,'Reaction Information'!$C$29,'Reaction Information'!$P$29*10^5,'Reaction Information'!$Q$29,$D$20,$D$19=3))*41.84)</f>
        <v>#N/A</v>
      </c>
      <c r="BR40" s="8" t="e">
        <f>IF(OR(ISBLANK(Input!$AM$4),$D$27=FALSE),NA(),('Reaction Information'!$J$33/10+'Reaction Information'!$K$33*100/(Calculations!$C$12+Calculations!$M40)+('Reaction Information'!$L$33+'Reaction Information'!$M$33*10000/(Calculations!$C$12+Calculations!$M40))/(Calculations!$O40-Calculations!$C$13)-calculateOmega(Calculations!M40,Calculations!N40,Calculations!Q40,'Reaction Information'!$C$33,'Reaction Information'!$P$33*10^5,'Reaction Information'!$Q$33)*Calculations!$U40*10^-6 + (1/$S40 - 1)*calculate_domegadP(Calculations!M40,Calculations!N40,Calculations!Q40,'Reaction Information'!$C$33,'Reaction Information'!$P$33*10^5,'Reaction Information'!$Q$33,$D$20,$D$19=3))*41.84)</f>
        <v>#N/A</v>
      </c>
      <c r="BS40" s="1">
        <f>Results!AW42</f>
        <v>0</v>
      </c>
      <c r="BT40" s="1">
        <f>Results!AX42</f>
        <v>0</v>
      </c>
      <c r="BU40" s="1">
        <f>Results!AY42</f>
        <v>0</v>
      </c>
      <c r="BV40" s="1">
        <f>Results!AZ42</f>
        <v>0</v>
      </c>
      <c r="BW40" s="1" t="e">
        <f>IF(OR(ISNA('Reaction Information'!$D$38), $N40 = "", $D$27 = FALSE, 'Reaction Information'!$D$38 = ""), NA(), 24.465)</f>
        <v>#N/A</v>
      </c>
      <c r="BX40" s="1" t="e">
        <f>IF(OR(ISNA('Reaction Information'!$D$42), $N40 = "", $D$27 = FALSE, 'Reaction Information'!$D$42 = ""), NA(), 24.465)</f>
        <v>#N/A</v>
      </c>
      <c r="BY40" s="8" t="e">
        <f t="shared" si="18"/>
        <v>#N/A</v>
      </c>
      <c r="BZ40" s="8">
        <f>IF(OR(ISBLANK(Input!$BK$4),$D$27=FALSE),NA(),('Reaction Information'!$J$46/10+'Reaction Information'!$K$46*100/(Calculations!$C$12+Calculations!$M40)+('Reaction Information'!$L$46+'Reaction Information'!$M$46*10000/(Calculations!$C$12+Calculations!$M40))/(Calculations!$O40-Calculations!$C$13)-calculateOmega(Calculations!M40,Calculations!N40,Calculations!Q40,'Reaction Information'!$C$46,'Reaction Information'!$P$46*10^5,'Reaction Information'!$Q$46)*Calculations!$U40*10^-6 + (1/$S40 - 1)*calculate_domegadP(Calculations!M40,Calculations!N40,Calculations!Q40,'Reaction Information'!$C$46,'Reaction Information'!$P$46*10^5,'Reaction Information'!$Q$46,$D$20,$D$19=3))*41.84)</f>
        <v>0</v>
      </c>
      <c r="CA40" s="8">
        <f>IF(OR(ISBLANK(Input!$BN$4),$D$27=FALSE),NA(),('Reaction Information'!$J$50/10+'Reaction Information'!$K$50*100/(Calculations!$C$12+Calculations!$M40)+('Reaction Information'!$L$50+'Reaction Information'!$M$50*10000/(Calculations!$C$12+Calculations!$M40))/(Calculations!$O40-Calculations!$C$13)-calculateOmega(Calculations!M40,Calculations!N40,Calculations!Q40,'Reaction Information'!$C$50,'Reaction Information'!$P$50*10^5,'Reaction Information'!$Q$50)*Calculations!$U40*10^-6 + (1/$S40 - 1)*calculate_domegadP(Calculations!M40,Calculations!N40,Calculations!Q40,'Reaction Information'!$C$50,'Reaction Information'!$P$50*10^5,'Reaction Information'!$Q$50,$D$20,$D$19=3))*41.84)</f>
        <v>29.366930630526067</v>
      </c>
      <c r="CB40" s="8" t="e">
        <f>IF(OR(ISBLANK(Input!$BQ$4),$D$27=FALSE),NA(),('Reaction Information'!$J$54/10+'Reaction Information'!$K$54*100/(Calculations!$C$12+Calculations!$M40)+('Reaction Information'!$L$54+'Reaction Information'!$M$54*10000/(Calculations!$C$12+Calculations!$M40))/(Calculations!$O40-Calculations!$C$13)-calculateOmega(Calculations!M40,Calculations!N40,Calculations!Q40,'Reaction Information'!$C$54,'Reaction Information'!$P$54*10^5,'Reaction Information'!$Q$54)*Calculations!$U40*10^-6 + (1/$S40 - 1)*calculate_domegadP(Calculations!M40,Calculations!N40,Calculations!Q40,'Reaction Information'!$C$54,'Reaction Information'!$P$54*10^5,'Reaction Information'!$Q$54,$D$20,$D$19=3))*41.84)</f>
        <v>#N/A</v>
      </c>
      <c r="CC40" s="8" t="e">
        <f>IF(OR(ISBLANK(Input!$BT$4),$D$27=FALSE),NA(),('Reaction Information'!$J$58/10+'Reaction Information'!$K$58*100/(Calculations!$C$12+Calculations!$M40)+('Reaction Information'!$L$58+'Reaction Information'!$M$58*10000/(Calculations!$C$12+Calculations!$M40))/(Calculations!$O40-Calculations!$C$13)-calculateOmega(Calculations!M40,Calculations!N40,Calculations!Q40,'Reaction Information'!$C$58,'Reaction Information'!$P$58*10^5,'Reaction Information'!$Q$58)*Calculations!$U40*10^-6 + (1/$S40 - 1)*calculate_domegadP(Calculations!M40,Calculations!N40,Calculations!Q40,'Reaction Information'!$C$58,'Reaction Information'!$P$58*10^5,'Reaction Information'!$Q$58,$D$20,$D$19=3))*41.84)</f>
        <v>#N/A</v>
      </c>
      <c r="CD40" s="8" t="e">
        <f>IF(OR(ISBLANK(Input!$BW$4),$D$27=FALSE),NA(),('Reaction Information'!$J$62/10+'Reaction Information'!$K$62*100/(Calculations!$C$12+Calculations!$M40)+('Reaction Information'!$L$62+'Reaction Information'!$M$62*10000/(Calculations!$C$12+Calculations!$M40))/(Calculations!$O40-Calculations!$C$13)-calculateOmega(Calculations!M40,Calculations!N40,Calculations!Q40,'Reaction Information'!$C$62,'Reaction Information'!$P$62*10^5,'Reaction Information'!$Q$62)*Calculations!$U40*10^-6 + (1/$S40 - 1)*calculate_domegadP(Calculations!M40,Calculations!N40,Calculations!Q40,'Reaction Information'!$C$62,'Reaction Information'!$P$62*10^5,'Reaction Information'!$Q$62,$D$20,$D$19=3))*41.84)</f>
        <v>#N/A</v>
      </c>
      <c r="CE40" s="8" t="e">
        <f>IF(OR(ISBLANK(Input!$BZ$4),$D$27=FALSE),NA(),('Reaction Information'!$J$66/10+'Reaction Information'!$K$66*100/(Calculations!$C$12+Calculations!$M40)+('Reaction Information'!$L$66+'Reaction Information'!$M$66*10000/(Calculations!$C$12+Calculations!$M40))/(Calculations!$O40-Calculations!$C$13)-calculateOmega(Calculations!M40,Calculations!N40,Calculations!Q40,'Reaction Information'!$C$66,'Reaction Information'!$P$66*10^5,'Reaction Information'!$Q$66)*Calculations!$U40*10^-6 + (1/$S40 - 1)*calculate_domegadP(Calculations!M40,Calculations!N40,Calculations!Q40,'Reaction Information'!$C$66,'Reaction Information'!$P$66*10^5,'Reaction Information'!$Q$66,$D$20,$D$19=3))*41.84)</f>
        <v>#N/A</v>
      </c>
      <c r="CF40" s="31">
        <f>(BS40*Input!$AO$4+BT40*Input!$AR$4+BU40*Input!$AU$4+BV40*Input!$AX$4+IF(ISNA(BW40),0,BW40*Input!$BA$4)+IF(ISNA(BX40),0,BX40*Input!$BD$4)+IF(ISNA(BY40),0,BY40*Input!$BG$4)+IF(ISNA(BZ40),0,BZ40*Input!$BJ$4)+IF(ISNA(CA40),0,CA40*Input!$BM$4)+IF(ISNA(CB40),0,CB40*Input!$BP$4)+IF(ISNA(CC40),0,CC40*Input!$BS$4)+IF(ISNA(CD40),0,CD40*Input!$BV$4)+IF(ISNA(CE40),0,CE40*Input!$BY$4))-(BF40*Input!$B$4+BG40*Input!$E$4+BH40*Input!$H$4+BI40*Input!$K$4+IF(ISNA(BJ40),0,BJ40*Input!$N$4)+IF(ISNA(BK40),0,BK40*Input!$Q$4)+IF(ISNA(BL40),0,BL40*Input!$T$4)+IF(ISNA(BM40),0,BM40*Input!$W$4)+IF(ISNA(BN40),0,BN40*Input!$Z$4)+IF(ISNA(BO40),0,BO40*Input!$AC$4)+IF(ISNA(BP40),0,BP40*Input!$AF$4)+IF(ISNA(BQ40),0,BQ40*Input!$AI$4)+IF(ISNA(BR40),0,BR40*Input!$AL$4))</f>
        <v>-18.587974506404326</v>
      </c>
      <c r="CG40" s="1">
        <f t="shared" si="12"/>
        <v>500</v>
      </c>
      <c r="CH40" s="46">
        <f t="shared" si="13"/>
        <v>15000</v>
      </c>
      <c r="CI40" s="1"/>
    </row>
    <row r="41" spans="1:87" ht="15" customHeight="1" x14ac:dyDescent="0.2">
      <c r="A41" s="1"/>
      <c r="B41" s="7">
        <v>2</v>
      </c>
      <c r="C41" s="266" t="s">
        <v>700</v>
      </c>
      <c r="D41" s="268"/>
      <c r="E41" s="1"/>
      <c r="F41" s="2">
        <v>36</v>
      </c>
      <c r="G41" s="1" t="str">
        <f>IF(ISBLANK(Input!CB41), "", Input!CB41*1000)</f>
        <v/>
      </c>
      <c r="H41" s="1" t="str">
        <f>IF(ISBLANK(Input!CC41), "", Input!CC41)</f>
        <v/>
      </c>
      <c r="I41" s="1">
        <f>IF(Input!$CF$5 + Input!$CF$6*(FLOOR((Calculations!$F41-1)/(FLOOR((Input!$CF$12-Input!$CF$10)/Input!$CF$11,1)+1),1)) &gt; Input!$CF$7, "", (Input!$CF$5 + Input!$CF$6*(FLOOR((Calculations!$F41-1)/(FLOOR((Input!$CF$12-Input!$CF$10)/Input!$CF$11,1)+1),1)))*1000)</f>
        <v>15000</v>
      </c>
      <c r="J41" s="1">
        <f>IF(Calculations!I41 = "", "", Input!$CF$10 + Input!$CF$11*(Calculations!$F41-1) - (FLOOR((Input!$CF$12-Input!$CF$10)/Input!$CF$11,1)+1)*Input!$CF$11*FLOOR((Calculations!$F41-1)/(FLOOR((Input!$CF$12-Input!$CF$10)/Input!$CF$11,1)+1),1))</f>
        <v>550</v>
      </c>
      <c r="K41" s="8" t="str">
        <f t="shared" si="14"/>
        <v/>
      </c>
      <c r="L41" s="117" t="str">
        <f>IF(OR(Input!$CJ$5 + Input!$CJ$6*(Calculations!F41-1) &gt; Input!$CJ$7, Input!$CJ$5 + Input!$CJ$6*(Calculations!F41-1) &gt; 350), "", Input!$CJ$5 + Input!$CJ$6*(Calculations!F41-1))</f>
        <v/>
      </c>
      <c r="M41" s="1">
        <f t="shared" si="2"/>
        <v>15000</v>
      </c>
      <c r="N41" s="1">
        <f t="shared" si="3"/>
        <v>550</v>
      </c>
      <c r="O41" s="1">
        <f t="shared" si="15"/>
        <v>823.15</v>
      </c>
      <c r="P41" s="1" t="e">
        <f>IF(OR($D$20=3,AND($D$21=TRUE,M41&lt;1000)),INDEX('Water Density'!$C$6:$CX$120,MATCH(Calculations!N41,'Water Density'!$B$6:$B$120),MATCH(Calculations!M41/1000,'Water Density'!$C$5:$CX$5)),NA())</f>
        <v>#N/A</v>
      </c>
      <c r="Q41" s="182">
        <f>IF(OR($D$20=3,AND($D$21=TRUE,M41&lt;1000)), IF(P41&lt;&gt;0,P41,NA()), calculateDensity(M41,N41,$D$20,0.01,$D$19 = 3))</f>
        <v>1.0770902329826355</v>
      </c>
      <c r="R41" s="1" t="e">
        <f>IF($D$22=5,INDEX('Dielectric Constant'!$C$6:$CX$120,MATCH(Calculations!N41,'Dielectric Constant'!$B$6:$B$120),MATCH(Calculations!M41/1000,'Dielectric Constant'!$C$5:$CX$5)),NA())</f>
        <v>#N/A</v>
      </c>
      <c r="S41" s="58">
        <f>IF($D$22=5, IF(R41&lt;&gt;0,R41,NA()), IF(AND($D$23,M41&lt;=5000,$D$19 &lt;&gt; 3),calculateEpsilon(Q41,N41,1,FALSE),calculateEpsilon(Q41,N41,$D$22,$D$19 = 3)))</f>
        <v>24.597047801860942</v>
      </c>
      <c r="T41" s="1" t="e">
        <f>IF($D$24=3,INDEX('Water Free Energy'!$C$6:$CX$120,MATCH(Calculations!N41,'Water Free Energy'!$B$6:$B$120),MATCH(Calculations!M41/1000,'Water Free Energy'!$C$5:$CX$5)),NA())</f>
        <v>#N/A</v>
      </c>
      <c r="U41" s="179">
        <f>IF($D$27,calculateQ(M41,N41,Q41,$D$20,$D$22,$D$19=3)*10^6,NA())</f>
        <v>0.59169288667148456</v>
      </c>
      <c r="V41"/>
      <c r="W41" s="2">
        <f t="shared" si="5"/>
        <v>15000</v>
      </c>
      <c r="X41" s="1">
        <f t="shared" si="6"/>
        <v>550</v>
      </c>
      <c r="Y41" s="1">
        <f>Results!F43</f>
        <v>0</v>
      </c>
      <c r="Z41" s="1">
        <f>Results!G43</f>
        <v>0</v>
      </c>
      <c r="AA41" s="1">
        <f>Results!H43</f>
        <v>0</v>
      </c>
      <c r="AB41" s="1">
        <f>Results!I43</f>
        <v>0</v>
      </c>
      <c r="AC41" s="1" t="e">
        <f>IF(ISBLANK(Input!$O$4),NA(),'Reaction Information'!$E$5-'Reaction Information'!$G$5*(Calculations!$O41-Calculations!$C$8)+'Reaction Information'!$I$5*(Calculations!$O41-Calculations!$C$8-Calculations!$O41*LN(Calculations!$O41/Calculations!$C$8))+'Reaction Information'!$J$5*0.001/2*(2*Calculations!$O41*Calculations!$C$8-Calculations!$O41^2-Calculations!$C$8^2) + 'Reaction Information'!$K$5*100000*(Calculations!$O41^2 + Calculations!$C$8^2 - 2*Calculations!$O41*Calculations!$C$8)/(2*Calculations!$O41*Calculations!$C$8^2))</f>
        <v>#N/A</v>
      </c>
      <c r="AD41" s="8" t="e">
        <f>IF(ISBLANK(Input!$R$4),NA(),'Reaction Information'!$E$9-'Reaction Information'!$G$9*(Calculations!$O41-Calculations!$C$8)+'Reaction Information'!$I$9*(Calculations!$O41-Calculations!$C$8-Calculations!$O41*LN(Calculations!$O41/Calculations!$C$8))+'Reaction Information'!$J$9*0.001/2*(2*Calculations!$O41*Calculations!$C$8-Calculations!$O41^2-Calculations!$C$8^2) + 'Reaction Information'!$K$9*100000*(Calculations!$O41^2 + Calculations!$C$8^2 - 2*Calculations!$O41*Calculations!$C$8)/(2*Calculations!$O41*Calculations!$C$8^2))</f>
        <v>#N/A</v>
      </c>
      <c r="AE41" s="8">
        <f>IF(AE$5="H2O",IF($D$24=3,IF(T41=0,NA(),T41),calculateGibbsOfWater(M41,N41,$D$24,$D$20,$D$19=3)),NA())</f>
        <v>-63642.556633726868</v>
      </c>
      <c r="AF41" s="8">
        <f>IF(ISBLANK(Input!$X$4),NA(),'Reaction Information'!$E$13-'Reaction Information'!$G$13*(Calculations!O41-Calculations!$C$8)-'Reaction Information'!$N$13*(Calculations!O41*LN(Calculations!O41/Calculations!$C$8)-Calculations!O41+Calculations!$C$8)-'Reaction Information'!$O$13*10^4*(((1/(Calculations!O41-Calculations!$C$13))-(1/(Calculations!$C$8-Calculations!$C$13)))*((Calculations!$C$13-Calculations!O41)/(Calculations!$C$13))-(Calculations!O41/(Calculations!$C$13*Calculations!$C$13))*LN((Calculations!$C$8*(Calculations!O41-Calculations!$C$13))/(Calculations!O41*(Calculations!$C$8-Calculations!$C$13))))+'Reaction Information'!$J$13*10^-1*(Calculations!M41-Calculations!$C$9)+'Reaction Information'!$K$13*10^2*LN((Calculations!$C$12+Calculations!M41)/(Calculations!$C$12+Calculations!$C$9))+(1/(Calculations!O41-Calculations!$C$13))*('Reaction Information'!$L$13*(Calculations!M41-Calculations!$C$9)+'Reaction Information'!$M$13*10^4*LN((Calculations!$C$12+Calculations!M41)/(Calculations!$C$12+Calculations!$C$9)))+calculateOmega(Calculations!M41,Calculations!N41,Calculations!Q41,'Reaction Information'!$C$13,'Reaction Information'!$P$13*10^5,'Reaction Information'!$Q$13)*((1/Calculations!S41)-1)-'Reaction Information'!$P$13*10^5*((1/Calculations!$C$10)-1)+'Reaction Information'!$P$13*10^5*Calculations!$C$14*(Calculations!O41-Calculations!$C$8))</f>
        <v>-102686.98820595445</v>
      </c>
      <c r="AG41" s="8" t="e">
        <f>IF(ISBLANK(Input!$AA$4),NA(),'Reaction Information'!$E$17-'Reaction Information'!$G$17*(Calculations!$O41-Calculations!$C$8)-'Reaction Information'!$N$17*(Calculations!$O41*LN(Calculations!$O41/Calculations!$C$8)-Calculations!$O41+Calculations!$C$8)-'Reaction Information'!$O$17*10^4*(((1/(Calculations!$O41-Calculations!$C$13))-(1/(Calculations!$C$8-Calculations!$C$13)))*((Calculations!$C$13-Calculations!$O41)/(Calculations!$C$13))-(Calculations!$O41/(Calculations!$C$13*Calculations!$C$13))*LN((Calculations!$C$8*(Calculations!$O41-Calculations!$C$13))/(Calculations!$O41*(Calculations!$C$8-Calculations!$C$13))))+'Reaction Information'!$J$17*10^-1*(Calculations!$M41-Calculations!$C$9)+'Reaction Information'!$K$17*10^2*LN((Calculations!$C$12+Calculations!$M41)/(Calculations!$C$12+Calculations!$C$9))+(1/(Calculations!$O41-Calculations!$C$13))*('Reaction Information'!$L$17*(Calculations!$M41-Calculations!$C$9)+'Reaction Information'!$M$17*10^4*LN((Calculations!$C$12+Calculations!$M41)/(Calculations!$C$12+Calculations!$C$9)))+calculateOmega(Calculations!M41,Calculations!N41,Calculations!Q41,'Reaction Information'!$C$17,'Reaction Information'!$P$17*10^5,'Reaction Information'!$Q$17)*((1/Calculations!$S41)-1)-'Reaction Information'!$P$17*10^5*((1/Calculations!$C$10)-1)+'Reaction Information'!$P$17*10^5*Calculations!$C$14*(Calculations!$O41-Calculations!$C$8))</f>
        <v>#N/A</v>
      </c>
      <c r="AH41" s="8" t="e">
        <f>IF(ISBLANK(Input!$AD$4),NA(),'Reaction Information'!$E$21-'Reaction Information'!$G$21*(Calculations!$O41-Calculations!$C$8)-'Reaction Information'!$N$21*(Calculations!$O41*LN(Calculations!$O41/Calculations!$C$8)-Calculations!$O41+Calculations!$C$8)-'Reaction Information'!$O$21*10^4*(((1/(Calculations!$O41-Calculations!$C$13))-(1/(Calculations!$C$8-Calculations!$C$13)))*((Calculations!$C$13-Calculations!$O41)/(Calculations!$C$13))-(Calculations!$O41/(Calculations!$C$13*Calculations!$C$13))*LN((Calculations!$C$8*(Calculations!$O41-Calculations!$C$13))/(Calculations!$O41*(Calculations!$C$8-Calculations!$C$13))))+'Reaction Information'!$J$21*10^-1*(Calculations!$M41-Calculations!$C$9)+'Reaction Information'!$K$21*10^2*LN((Calculations!$C$12+Calculations!$M41)/(Calculations!$C$12+Calculations!$C$9))+(1/(Calculations!$O41-Calculations!$C$13))*('Reaction Information'!$L$21*(Calculations!$M41-Calculations!$C$9)+'Reaction Information'!$M$21*10^4*LN((Calculations!$C$12+Calculations!$M41)/(Calculations!$C$12+Calculations!$C$9)))+calculateOmega(Calculations!M41,Calculations!N41,Calculations!Q41,'Reaction Information'!$C$21,'Reaction Information'!$P$21*10^5,'Reaction Information'!$Q$21)*((1/Calculations!$S41)-1)-'Reaction Information'!$P$21*10^5*((1/Calculations!$C$10)-1)+'Reaction Information'!$P$21*10^5*Calculations!$C$14*(Calculations!$O41-Calculations!$C$8))</f>
        <v>#N/A</v>
      </c>
      <c r="AI41" s="8" t="e">
        <f>IF(ISBLANK(Input!$AG$4),NA(),'Reaction Information'!$E$25-'Reaction Information'!$G$25*(Calculations!$O41-Calculations!$C$8)-'Reaction Information'!$N$25*(Calculations!$O41*LN(Calculations!$O41/Calculations!$C$8)-Calculations!$O41+Calculations!$C$8)-'Reaction Information'!$O$25*10^4*(((1/(Calculations!$O41-Calculations!$C$13))-(1/(Calculations!$C$8-Calculations!$C$13)))*((Calculations!$C$13-Calculations!$O41)/(Calculations!$C$13))-(Calculations!$O41/(Calculations!$C$13*Calculations!$C$13))*LN((Calculations!$C$8*(Calculations!$O41-Calculations!$C$13))/(Calculations!$O41*(Calculations!$C$8-Calculations!$C$13))))+'Reaction Information'!$J$25*10^-1*(Calculations!$M41-Calculations!$C$9)+'Reaction Information'!$K$25*10^2*LN((Calculations!$C$12+Calculations!$M41)/(Calculations!$C$12+Calculations!$C$9))+(1/(Calculations!$O41-Calculations!$C$13))*('Reaction Information'!$L$25*(Calculations!$M41-Calculations!$C$9)+'Reaction Information'!$M$25*10^4*LN((Calculations!$C$12+Calculations!$M41)/(Calculations!$C$12+Calculations!$C$9)))+calculateOmega(Calculations!M41,Calculations!N41,Calculations!Q41,'Reaction Information'!$C$25,'Reaction Information'!$P$25*10^5,'Reaction Information'!$Q$25)*((1/Calculations!$S41)-1)-'Reaction Information'!$P$25*10^5*((1/Calculations!$C$10)-1)+'Reaction Information'!$P$25*10^5*Calculations!$C$14*(Calculations!$O41-Calculations!$C$8))</f>
        <v>#N/A</v>
      </c>
      <c r="AJ41" s="8" t="e">
        <f>IF(ISBLANK(Input!$AJ$4),NA(),'Reaction Information'!$E$29-'Reaction Information'!$G$29*(Calculations!$O41-Calculations!$C$8)-'Reaction Information'!$N$29*(Calculations!$O41*LN(Calculations!$O41/Calculations!$C$8)-Calculations!$O41+Calculations!$C$8)-'Reaction Information'!$O$29*10^4*(((1/(Calculations!$O41-Calculations!$C$13))-(1/(Calculations!$C$8-Calculations!$C$13)))*((Calculations!$C$13-Calculations!$O41)/(Calculations!$C$13))-(Calculations!$O41/(Calculations!$C$13*Calculations!$C$13))*LN((Calculations!$C$8*(Calculations!$O41-Calculations!$C$13))/(Calculations!$O41*(Calculations!$C$8-Calculations!$C$13))))+'Reaction Information'!$J$29*10^-1*(Calculations!$M41-Calculations!$C$9)+'Reaction Information'!$K$29*10^2*LN((Calculations!$C$12+Calculations!$M41)/(Calculations!$C$12+Calculations!$C$9))+(1/(Calculations!$O41-Calculations!$C$13))*('Reaction Information'!$L$29*(Calculations!$M41-Calculations!$C$9)+'Reaction Information'!$M$29*10^4*LN((Calculations!$C$12+Calculations!$M41)/(Calculations!$C$12+Calculations!$C$9)))+calculateOmega(Calculations!M41,Calculations!N41,Calculations!Q41,'Reaction Information'!$C$29,'Reaction Information'!$P$29*10^5,'Reaction Information'!$Q$29)*((1/Calculations!$S41)-1)-'Reaction Information'!$P$29*10^5*((1/Calculations!$C$10)-1)+'Reaction Information'!$P$29*10^5*Calculations!$C$14*(Calculations!$O41-Calculations!$C$8))</f>
        <v>#N/A</v>
      </c>
      <c r="AK41" s="8" t="e">
        <f>IF(ISBLANK(Input!$AM$4),NA(),'Reaction Information'!$E$33-'Reaction Information'!$G$33*(Calculations!$O41-Calculations!$C$8)-'Reaction Information'!$N$33*(Calculations!$O41*LN(Calculations!$O41/Calculations!$C$8)-Calculations!$O41+Calculations!$C$8)-'Reaction Information'!$O$33*10^4*(((1/(Calculations!$O41-Calculations!$C$13))-(1/(Calculations!$C$8-Calculations!$C$13)))*((Calculations!$C$13-Calculations!$O41)/(Calculations!$C$13))-(Calculations!$O41/(Calculations!$C$13*Calculations!$C$13))*LN((Calculations!$C$8*(Calculations!$O41-Calculations!$C$13))/(Calculations!$O41*(Calculations!$C$8-Calculations!$C$13))))+'Reaction Information'!$J$33*10^-1*(Calculations!$M41-Calculations!$C$9)+'Reaction Information'!$K$33*10^2*LN((Calculations!$C$12+Calculations!$M41)/(Calculations!$C$12+Calculations!$C$9))+(1/(Calculations!$O41-Calculations!$C$13))*('Reaction Information'!$L$33*(Calculations!$M41-Calculations!$C$9)+'Reaction Information'!$M$33*10^4*LN((Calculations!$C$12+Calculations!$M41)/(Calculations!$C$12+Calculations!$C$9)))+calculateOmega(Calculations!M41,Calculations!N41,Calculations!Q41,'Reaction Information'!$C$33,'Reaction Information'!$P$33*10^5,'Reaction Information'!$Q$33)*((1/Calculations!$S41)-1)-'Reaction Information'!$P$33*10^5*((1/Calculations!$C$10)-1)+'Reaction Information'!$P$33*10^5*Calculations!$C$14*(Calculations!$O41-Calculations!$C$8))</f>
        <v>#N/A</v>
      </c>
      <c r="AL41" s="1">
        <f>Results!S43</f>
        <v>0</v>
      </c>
      <c r="AM41" s="1">
        <f>Results!T43</f>
        <v>0</v>
      </c>
      <c r="AN41" s="1">
        <f>Results!U43</f>
        <v>0</v>
      </c>
      <c r="AO41" s="1">
        <f>Results!V43</f>
        <v>0</v>
      </c>
      <c r="AP41" s="8" t="e">
        <f>IF(ISBLANK(Input!$BB$4),NA(),'Reaction Information'!$E$38-'Reaction Information'!$G$38*(Calculations!$O41-Calculations!$C$8)+'Reaction Information'!$I$38*(Calculations!$O41-Calculations!$C$8-Calculations!$O41*LN(Calculations!$O41/Calculations!$C$8))+'Reaction Information'!$J$38*0.001/2*(2*Calculations!$O41*Calculations!$C$8-Calculations!$O41^2-Calculations!$C$8^2) + 'Reaction Information'!$K$38*100000*(Calculations!$O41^2 + Calculations!$C$8^2 - 2*Calculations!$O41*Calculations!$C$8)/(2*Calculations!$O41*Calculations!$C$8^2))</f>
        <v>#N/A</v>
      </c>
      <c r="AQ41" s="8" t="e">
        <f>IF(ISBLANK(Input!$BE$4),NA(),'Reaction Information'!$E$42-'Reaction Information'!$G$42*(Calculations!$O41-Calculations!$C$8)+'Reaction Information'!$I$42*(Calculations!$O41-Calculations!$C$8-Calculations!$O41*LN(Calculations!$O41/Calculations!$C$8))+'Reaction Information'!$J$42*0.001/2*(2*Calculations!$O41*Calculations!$C$8-Calculations!$O41^2-Calculations!$C$8^2) + 'Reaction Information'!$K$42*100000*(Calculations!$O41^2 + Calculations!$C$8^2 - 2*Calculations!$O41*Calculations!$C$8)/(2*Calculations!$O41*Calculations!$C$8^2))</f>
        <v>#N/A</v>
      </c>
      <c r="AR41" s="8" t="e">
        <f>IF(AR$5="H2O", IF($D$24=3,IF(T41=0,NA(),T41),calculateGibbsOfWater(M41,N41,$D$24,$D$20,$D$19=3)),NA())</f>
        <v>#N/A</v>
      </c>
      <c r="AS41" s="8">
        <f>IF(ISBLANK(Input!$BK$4),NA(),'Reaction Information'!$E$46-'Reaction Information'!$G$46*(Calculations!O41-Calculations!$C$8)-'Reaction Information'!$N$46*(Calculations!O41*LN(Calculations!O41/Calculations!$C$8)-Calculations!O41+Calculations!$C$8)-'Reaction Information'!$O$46*10^4*(((1/(Calculations!O41-Calculations!$C$13))-(1/(Calculations!$C$8-Calculations!$C$13)))*((Calculations!$C$13-Calculations!O41)/(Calculations!$C$13))-(Calculations!O41/(Calculations!$C$13*Calculations!$C$13))*LN((Calculations!$C$8*(Calculations!O41-Calculations!$C$13))/(Calculations!O41*(Calculations!$C$8-Calculations!$C$13))))+'Reaction Information'!$J$46*10^-1*(Calculations!$M41-Calculations!$C$9)+'Reaction Information'!$K$46*10^2*LN((Calculations!$C$12+Calculations!$M41)/(Calculations!$C$12+Calculations!$C$9))+(1/(Calculations!O41-Calculations!$C$13))*('Reaction Information'!$L$46*(Calculations!$M41-Calculations!$C$9)+'Reaction Information'!$M$46*10^4*LN((Calculations!$C$12+Calculations!$M41)/(Calculations!$C$12+Calculations!$C$9)))+calculateOmega(Calculations!M41,Calculations!N41,Calculations!Q41,'Reaction Information'!$C$46,'Reaction Information'!$P$46*10^5,'Reaction Information'!$Q$46)*((1/Calculations!S41)-1)-'Reaction Information'!$P$46*10^5*((1/Calculations!$C$10)-1)+'Reaction Information'!$P$46*10^5*Calculations!$C$14*(Calculations!O41-Calculations!$C$8))</f>
        <v>0</v>
      </c>
      <c r="AT41" s="8">
        <f>IF(ISBLANK(Input!$BN$4),NA(),'Reaction Information'!$E$50-'Reaction Information'!$G$50*(Calculations!O41-Calculations!$C$8)-'Reaction Information'!$N$50*(Calculations!O41*LN(Calculations!O41/Calculations!$C$8)-Calculations!O41+Calculations!$C$8)-'Reaction Information'!$O$50*10^4*(((1/(Calculations!O41-Calculations!$C$13))-(1/(Calculations!$C$8-Calculations!$C$13)))*((Calculations!$C$13-Calculations!O41)/(Calculations!$C$13))-(Calculations!O41/(Calculations!$C$13*Calculations!$C$13))*LN((Calculations!$C$8*(Calculations!O41-Calculations!$C$13))/(Calculations!O41*(Calculations!$C$8-Calculations!$C$13))))+'Reaction Information'!$J$50*10^-1*(Calculations!$M41-Calculations!$C$9)+'Reaction Information'!$K$50*10^2*LN((Calculations!$C$12+Calculations!$M41)/(Calculations!$C$12+Calculations!$C$9))+(1/(Calculations!O41-Calculations!$C$13))*('Reaction Information'!$L$50*(Calculations!$M41-Calculations!$C$9)+'Reaction Information'!$M$50*10^4*LN((Calculations!$C$12+Calculations!$M41)/(Calculations!$C$12+Calculations!$C$9)))+calculateOmega(Calculations!M41,Calculations!N41,Calculations!Q41,'Reaction Information'!$C$50,'Reaction Information'!$P$50*10^5,'Reaction Information'!$Q$50)*((1/Calculations!S41)-1)-'Reaction Information'!$P$50*10^5*((1/Calculations!$C$10)-1)+'Reaction Information'!$P$50*10^5*Calculations!$C$14*(Calculations!O41-Calculations!$C$8))</f>
        <v>-144231.46067580298</v>
      </c>
      <c r="AU41" s="8" t="e">
        <f>IF(ISBLANK(Input!$BQ$4),NA(),'Reaction Information'!$E$54-'Reaction Information'!$G$54*(Calculations!$O41-Calculations!$C$8)-'Reaction Information'!$N$54*(Calculations!$O41*LN(Calculations!$O41/Calculations!$C$8)-Calculations!$O41+Calculations!$C$8)-'Reaction Information'!$O$54*10^4*(((1/(Calculations!$O41-Calculations!$C$13))-(1/(Calculations!$C$8-Calculations!$C$13)))*((Calculations!$C$13-Calculations!$O41)/(Calculations!$C$13))-(Calculations!$O41/(Calculations!$C$13*Calculations!$C$13))*LN((Calculations!$C$8*(Calculations!$O41-Calculations!$C$13))/(Calculations!$O41*(Calculations!$C$8-Calculations!$C$13))))+'Reaction Information'!$J$54*10^-1*(Calculations!$M41-Calculations!$C$9)+'Reaction Information'!$K$54*10^2*LN((Calculations!$C$12+Calculations!$M41)/(Calculations!$C$12+Calculations!$C$9))+(1/(Calculations!$O41-Calculations!$C$13))*('Reaction Information'!$L$54*(Calculations!$M41-Calculations!$C$9)+'Reaction Information'!$M$54*10^4*LN((Calculations!$C$12+Calculations!$M41)/(Calculations!$C$12+Calculations!$C$9)))+calculateOmega(Calculations!M41,Calculations!N41,Calculations!Q41,'Reaction Information'!$C$54,'Reaction Information'!$P$54*10^5,'Reaction Information'!$Q$54)*((1/Calculations!$S41)-1)-'Reaction Information'!$P$54*10^5*((1/Calculations!$C$10)-1)+'Reaction Information'!$P$54*10^5*Calculations!$C$14*(Calculations!$O41-Calculations!$C$8))</f>
        <v>#N/A</v>
      </c>
      <c r="AV41" s="8" t="e">
        <f>IF(ISBLANK(Input!$BT$4),NA(),'Reaction Information'!$E$58-'Reaction Information'!$G$58*(Calculations!$O41-Calculations!$C$8)-'Reaction Information'!$N$58*(Calculations!$O41*LN(Calculations!$O41/Calculations!$C$8)-Calculations!$O41+Calculations!$C$8)-'Reaction Information'!$O$58*10^4*(((1/(Calculations!$O41-Calculations!$C$13))-(1/(Calculations!$C$8-Calculations!$C$13)))*((Calculations!$C$13-Calculations!$O41)/(Calculations!$C$13))-(Calculations!$O41/(Calculations!$C$13*Calculations!$C$13))*LN((Calculations!$C$8*(Calculations!$O41-Calculations!$C$13))/(Calculations!$O41*(Calculations!$C$8-Calculations!$C$13))))+'Reaction Information'!$J$58*10^-1*(Calculations!$M41-Calculations!$C$9)+'Reaction Information'!$K$58*10^2*LN((Calculations!$C$12+Calculations!$M41)/(Calculations!$C$12+Calculations!$C$9))+(1/(Calculations!$O41-Calculations!$C$13))*('Reaction Information'!$L$58*(Calculations!$M41-Calculations!$C$9)+'Reaction Information'!$M$58*10^4*LN((Calculations!$C$12+Calculations!$M41)/(Calculations!$C$12+Calculations!$C$9)))+calculateOmega(Calculations!M41,Calculations!N41,Calculations!Q41,'Reaction Information'!$C$58,'Reaction Information'!$P$58*10^5,'Reaction Information'!$Q$58)*((1/Calculations!$S41)-1)-'Reaction Information'!$P$58*10^5*((1/Calculations!$C$10)-1)+'Reaction Information'!$P$58*10^5*Calculations!$C$14*(Calculations!$O41-Calculations!$C$8))</f>
        <v>#N/A</v>
      </c>
      <c r="AW41" s="8" t="e">
        <f>IF(ISBLANK(Input!$BW$4),NA(),'Reaction Information'!$E$62-'Reaction Information'!$G$62*(Calculations!$O41-Calculations!$C$8)-'Reaction Information'!$N$62*(Calculations!$O41*LN(Calculations!$O41/Calculations!$C$8)-Calculations!$O41+Calculations!$C$8)-'Reaction Information'!$O$62*10^4*(((1/(Calculations!$O41-Calculations!$C$13))-(1/(Calculations!$C$8-Calculations!$C$13)))*((Calculations!$C$13-Calculations!$O41)/(Calculations!$C$13))-(Calculations!$O41/(Calculations!$C$13*Calculations!$C$13))*LN((Calculations!$C$8*(Calculations!$O41-Calculations!$C$13))/(Calculations!$O41*(Calculations!$C$8-Calculations!$C$13))))+'Reaction Information'!$J$62*10^-1*(Calculations!$M41-Calculations!$C$9)+'Reaction Information'!$K$62*10^2*LN((Calculations!$C$12+Calculations!$M41)/(Calculations!$C$12+Calculations!$C$9))+(1/(Calculations!$O41-Calculations!$C$13))*('Reaction Information'!$L$62*(Calculations!$M41-Calculations!$C$9)+'Reaction Information'!$M$62*10^4*LN((Calculations!$C$12+Calculations!$M41)/(Calculations!$C$12+Calculations!$C$9)))+calculateOmega(Calculations!M41,Calculations!N41,Calculations!Q41,'Reaction Information'!$C$62,'Reaction Information'!$P$62*10^5,'Reaction Information'!$Q$62)*((1/Calculations!$S41)-1)-'Reaction Information'!$P$62*10^5*((1/Calculations!$C$10)-1)+'Reaction Information'!$P$62*10^5*Calculations!$C$14*(Calculations!$O41-Calculations!$C$8))</f>
        <v>#N/A</v>
      </c>
      <c r="AX41" s="8" t="e">
        <f>IF(ISBLANK(Input!$BZ$4),NA(),'Reaction Information'!$E$66-'Reaction Information'!$G$66*(Calculations!$O41-Calculations!$C$8)-'Reaction Information'!$N$66*(Calculations!$O41*LN(Calculations!$O41/Calculations!$C$8)-Calculations!$O41+Calculations!$C$8)-'Reaction Information'!$O$66*10^4*(((1/(Calculations!$O41-Calculations!$C$13))-(1/(Calculations!$C$8-Calculations!$C$13)))*((Calculations!$C$13-Calculations!$O41)/(Calculations!$C$13))-(Calculations!$O41/(Calculations!$C$13*Calculations!$C$13))*LN((Calculations!$C$8*(Calculations!$O41-Calculations!$C$13))/(Calculations!$O41*(Calculations!$C$8-Calculations!$C$13))))+'Reaction Information'!$J$66*10^-1*(Calculations!$M41-Calculations!$C$9)+'Reaction Information'!$K$66*10^2*LN((Calculations!$C$12+Calculations!$M41)/(Calculations!$C$12+Calculations!$C$9))+(1/(Calculations!$O41-Calculations!$C$13))*('Reaction Information'!$L$66*(Calculations!$M41-Calculations!$C$9)+'Reaction Information'!$M$66*10^4*LN((Calculations!$C$12+Calculations!$M41)/(Calculations!$C$12+Calculations!$C$9)))+calculateOmega(Calculations!M41,Calculations!N41,Calculations!Q41,'Reaction Information'!$C$66,'Reaction Information'!$P$66*10^5,'Reaction Information'!$Q$66)*((1/Calculations!$S41)-1)-'Reaction Information'!$P$66*10^5*((1/Calculations!$C$10)-1)+'Reaction Information'!$P$66*10^5*Calculations!$C$14*(Calculations!$O41-Calculations!$C$8))</f>
        <v>#N/A</v>
      </c>
      <c r="AY41" s="31">
        <f>(AL41*Input!$AO$4+AM41*Input!$AR$4+AN41*Input!$AU$4+AO41*Input!$AX$4+IF(ISNA(AP41),0,AP41*Input!$BA$4)+IF(ISNA(AQ41),0,AQ41*Input!$BD$4)+IF(ISNA(AR41),0,AR41*Input!$BG$4)+IF(ISNA(AS41),0,AS41*Input!$BJ$4)+IF(ISNA(AT41),0,AT41*Input!$BM$4)+IF(ISNA(AU41),0,AU41*Input!$BP$4)+IF(ISNA(AV41),0,AV41*Input!$BS$4)+IF(ISNA(AW41),0,AW41*Input!$BV$4)+IF(ISNA(AX41),0,AX41*Input!$BY$4))-(Y41*Input!$B$4+Z41*Input!$E$4+AA41*Input!$H$4+AB41*Input!$K$4+IF(ISNA(AC41),0,AC41*Input!$N$4)+IF(ISNA(AD41),0,AD41*Input!$Q$4)+IF(ISNA(AE41),0,AE41*Input!$T$4)+IF(ISNA(AF41),0,AF41*Input!$W$4)+IF(ISNA(AG41),0,AG41*Input!$Z$4)+IF(ISNA(AH41),0,AH41*Input!$AC$4)+IF(ISNA(AI41),0,AI41*Input!$AF$4)+IF(ISNA(AJ41),0,AJ41*Input!$AI$4)+IF(ISNA(AK41),0,AK41*Input!$AL$4))</f>
        <v>22098.084163878317</v>
      </c>
      <c r="AZ41" s="42">
        <f t="shared" si="16"/>
        <v>-5.8709382746584389</v>
      </c>
      <c r="BA41" s="1">
        <f t="shared" si="8"/>
        <v>550</v>
      </c>
      <c r="BB41" s="46">
        <f t="shared" si="9"/>
        <v>15000</v>
      </c>
      <c r="BC41" s="1"/>
      <c r="BD41" s="2">
        <f t="shared" si="10"/>
        <v>15000</v>
      </c>
      <c r="BE41" s="46">
        <f t="shared" si="11"/>
        <v>550</v>
      </c>
      <c r="BF41" s="1">
        <f>Results!AJ43</f>
        <v>0</v>
      </c>
      <c r="BG41" s="1">
        <f>Results!AK43</f>
        <v>0</v>
      </c>
      <c r="BH41" s="1">
        <f>Results!AL43</f>
        <v>0</v>
      </c>
      <c r="BI41" s="1">
        <f>Results!AM43</f>
        <v>0</v>
      </c>
      <c r="BJ41" s="1" t="e">
        <f>IF(OR(ISNA('Reaction Information'!$D$5), $N41 = "", $D$27 = FALSE, 'Reaction Information'!$D$5 = ""), NA(), 24.465)</f>
        <v>#N/A</v>
      </c>
      <c r="BK41" s="1" t="e">
        <f>IF(OR(ISNA('Reaction Information'!$D$9), $N41 = "", $D$27 = FALSE, 'Reaction Information'!$D$9 = ""), NA(), 24.465)</f>
        <v>#N/A</v>
      </c>
      <c r="BL41" s="8">
        <f t="shared" si="17"/>
        <v>16.725878156106571</v>
      </c>
      <c r="BM41" s="8">
        <f>IF(OR(ISBLANK(Input!$X$4),$D$27=FALSE),NA(),('Reaction Information'!$J$13/10+'Reaction Information'!$K$13*100/(Calculations!$C$12+Calculations!$M41)+('Reaction Information'!$L$13+'Reaction Information'!$M$13*10^4/(Calculations!$C$12+Calculations!$M41))/(Calculations!$O41-Calculations!$C$13) -calculateOmega(Calculations!$M41,Calculations!$N41,Calculations!$Q41,'Reaction Information'!$C$13,'Reaction Information'!$P$13*10^5,'Reaction Information'!$Q$13)*Calculations!$U41*10^-6 + (1/$S41 - 1)*calculate_domegadP(Calculations!$M41,Calculations!$N41,Calculations!$Q41,'Reaction Information'!$C$13,'Reaction Information'!$P$13*10^5,'Reaction Information'!$Q$13,$D$20,$D$19=3))*41.84)</f>
        <v>31.758326921791166</v>
      </c>
      <c r="BN41" s="8" t="e">
        <f>IF(OR(ISBLANK(Input!$AA$4),$D$27=FALSE),NA(),('Reaction Information'!$J$17/10+'Reaction Information'!$K$17*100/(Calculations!$C$12+Calculations!$M41)+('Reaction Information'!$L$17+'Reaction Information'!$M$17*10000/(Calculations!$C$12+Calculations!$M41))/(Calculations!$O41-Calculations!$C$13)-calculateOmega(Calculations!M41,Calculations!N41,Calculations!Q41,'Reaction Information'!$C$17,'Reaction Information'!$P$17*10^5,'Reaction Information'!$Q$17)*Calculations!$U41*10^-6 + (1/$S41 - 1)*calculate_domegadP(Calculations!M41,Calculations!N41,Calculations!Q41,'Reaction Information'!$C$17,'Reaction Information'!$P$17*10^5,'Reaction Information'!$Q$17,$D$20,$D$19=3))*41.84)</f>
        <v>#N/A</v>
      </c>
      <c r="BO41" s="8" t="e">
        <f>IF(OR(ISBLANK(Input!$AD$4),$D$27=FALSE),NA(),('Reaction Information'!$J$21/10+'Reaction Information'!$K$21*100/(Calculations!$C$12+Calculations!$M41)+('Reaction Information'!$L$21+'Reaction Information'!$M$21*10000/(Calculations!$C$12+Calculations!$M41))/(Calculations!$O41-Calculations!$C$13)-calculateOmega(Calculations!M41,Calculations!N41,Calculations!Q41,'Reaction Information'!$C$21,'Reaction Information'!$P$21*10^5,'Reaction Information'!$Q$21)*Calculations!$U41*10^-6 + (1/$S41 - 1)*calculate_domegadP(Calculations!M41,Calculations!N41,Calculations!Q41,'Reaction Information'!$C$21,'Reaction Information'!$P$21*10^5,'Reaction Information'!$Q$21,$D$20,$D$19=3))*41.84)</f>
        <v>#N/A</v>
      </c>
      <c r="BP41" s="8" t="e">
        <f>IF(OR(ISBLANK(Input!$AG$4),$D$27=FALSE),NA(),('Reaction Information'!$J$25/10+'Reaction Information'!$K$25*100/(Calculations!$C$12+Calculations!$M41)+('Reaction Information'!$L$25+'Reaction Information'!$M$25*10000/(Calculations!$C$12+Calculations!$M41))/(Calculations!$O41-Calculations!$C$13)-calculateOmega(Calculations!M41,Calculations!N41,Calculations!Q41,'Reaction Information'!$C$25,'Reaction Information'!$P$25*10^5,'Reaction Information'!$Q$25)*Calculations!$U41*10^-6 + (1/$S41 - 1)*calculate_domegadP(Calculations!M41,Calculations!N41,Calculations!Q41,'Reaction Information'!$C$25,'Reaction Information'!$P$25*10^5,'Reaction Information'!$Q$25,$D$20,$D$19=3))*41.84)</f>
        <v>#N/A</v>
      </c>
      <c r="BQ41" s="8" t="e">
        <f>IF(OR(ISBLANK(Input!$AJ$4),$D$27=FALSE),NA(),('Reaction Information'!$J$29/10+'Reaction Information'!$K$29*100/(Calculations!$C$12+Calculations!$M41)+('Reaction Information'!$L$29+'Reaction Information'!$M$29*10000/(Calculations!$C$12+Calculations!$M41))/(Calculations!$O41-Calculations!$C$13)-calculateOmega(Calculations!M41,Calculations!N41,Calculations!Q41,'Reaction Information'!$C$29,'Reaction Information'!$P$29*10^5,'Reaction Information'!$Q$29)*Calculations!$U41*10^-6 + (1/$S41 - 1)*calculate_domegadP(Calculations!M41,Calculations!N41,Calculations!Q41,'Reaction Information'!$C$29,'Reaction Information'!$P$29*10^5,'Reaction Information'!$Q$29,$D$20,$D$19=3))*41.84)</f>
        <v>#N/A</v>
      </c>
      <c r="BR41" s="8" t="e">
        <f>IF(OR(ISBLANK(Input!$AM$4),$D$27=FALSE),NA(),('Reaction Information'!$J$33/10+'Reaction Information'!$K$33*100/(Calculations!$C$12+Calculations!$M41)+('Reaction Information'!$L$33+'Reaction Information'!$M$33*10000/(Calculations!$C$12+Calculations!$M41))/(Calculations!$O41-Calculations!$C$13)-calculateOmega(Calculations!M41,Calculations!N41,Calculations!Q41,'Reaction Information'!$C$33,'Reaction Information'!$P$33*10^5,'Reaction Information'!$Q$33)*Calculations!$U41*10^-6 + (1/$S41 - 1)*calculate_domegadP(Calculations!M41,Calculations!N41,Calculations!Q41,'Reaction Information'!$C$33,'Reaction Information'!$P$33*10^5,'Reaction Information'!$Q$33,$D$20,$D$19=3))*41.84)</f>
        <v>#N/A</v>
      </c>
      <c r="BS41" s="1">
        <f>Results!AW43</f>
        <v>0</v>
      </c>
      <c r="BT41" s="1">
        <f>Results!AX43</f>
        <v>0</v>
      </c>
      <c r="BU41" s="1">
        <f>Results!AY43</f>
        <v>0</v>
      </c>
      <c r="BV41" s="1">
        <f>Results!AZ43</f>
        <v>0</v>
      </c>
      <c r="BW41" s="1" t="e">
        <f>IF(OR(ISNA('Reaction Information'!$D$38), $N41 = "", $D$27 = FALSE, 'Reaction Information'!$D$38 = ""), NA(), 24.465)</f>
        <v>#N/A</v>
      </c>
      <c r="BX41" s="1" t="e">
        <f>IF(OR(ISNA('Reaction Information'!$D$42), $N41 = "", $D$27 = FALSE, 'Reaction Information'!$D$42 = ""), NA(), 24.465)</f>
        <v>#N/A</v>
      </c>
      <c r="BY41" s="8" t="e">
        <f t="shared" si="18"/>
        <v>#N/A</v>
      </c>
      <c r="BZ41" s="8">
        <f>IF(OR(ISBLANK(Input!$BK$4),$D$27=FALSE),NA(),('Reaction Information'!$J$46/10+'Reaction Information'!$K$46*100/(Calculations!$C$12+Calculations!$M41)+('Reaction Information'!$L$46+'Reaction Information'!$M$46*10000/(Calculations!$C$12+Calculations!$M41))/(Calculations!$O41-Calculations!$C$13)-calculateOmega(Calculations!M41,Calculations!N41,Calculations!Q41,'Reaction Information'!$C$46,'Reaction Information'!$P$46*10^5,'Reaction Information'!$Q$46)*Calculations!$U41*10^-6 + (1/$S41 - 1)*calculate_domegadP(Calculations!M41,Calculations!N41,Calculations!Q41,'Reaction Information'!$C$46,'Reaction Information'!$P$46*10^5,'Reaction Information'!$Q$46,$D$20,$D$19=3))*41.84)</f>
        <v>0</v>
      </c>
      <c r="CA41" s="8">
        <f>IF(OR(ISBLANK(Input!$BN$4),$D$27=FALSE),NA(),('Reaction Information'!$J$50/10+'Reaction Information'!$K$50*100/(Calculations!$C$12+Calculations!$M41)+('Reaction Information'!$L$50+'Reaction Information'!$M$50*10000/(Calculations!$C$12+Calculations!$M41))/(Calculations!$O41-Calculations!$C$13)-calculateOmega(Calculations!M41,Calculations!N41,Calculations!Q41,'Reaction Information'!$C$50,'Reaction Information'!$P$50*10^5,'Reaction Information'!$Q$50)*Calculations!$U41*10^-6 + (1/$S41 - 1)*calculate_domegadP(Calculations!M41,Calculations!N41,Calculations!Q41,'Reaction Information'!$C$50,'Reaction Information'!$P$50*10^5,'Reaction Information'!$Q$50,$D$20,$D$19=3))*41.84)</f>
        <v>29.003611429824044</v>
      </c>
      <c r="CB41" s="8" t="e">
        <f>IF(OR(ISBLANK(Input!$BQ$4),$D$27=FALSE),NA(),('Reaction Information'!$J$54/10+'Reaction Information'!$K$54*100/(Calculations!$C$12+Calculations!$M41)+('Reaction Information'!$L$54+'Reaction Information'!$M$54*10000/(Calculations!$C$12+Calculations!$M41))/(Calculations!$O41-Calculations!$C$13)-calculateOmega(Calculations!M41,Calculations!N41,Calculations!Q41,'Reaction Information'!$C$54,'Reaction Information'!$P$54*10^5,'Reaction Information'!$Q$54)*Calculations!$U41*10^-6 + (1/$S41 - 1)*calculate_domegadP(Calculations!M41,Calculations!N41,Calculations!Q41,'Reaction Information'!$C$54,'Reaction Information'!$P$54*10^5,'Reaction Information'!$Q$54,$D$20,$D$19=3))*41.84)</f>
        <v>#N/A</v>
      </c>
      <c r="CC41" s="8" t="e">
        <f>IF(OR(ISBLANK(Input!$BT$4),$D$27=FALSE),NA(),('Reaction Information'!$J$58/10+'Reaction Information'!$K$58*100/(Calculations!$C$12+Calculations!$M41)+('Reaction Information'!$L$58+'Reaction Information'!$M$58*10000/(Calculations!$C$12+Calculations!$M41))/(Calculations!$O41-Calculations!$C$13)-calculateOmega(Calculations!M41,Calculations!N41,Calculations!Q41,'Reaction Information'!$C$58,'Reaction Information'!$P$58*10^5,'Reaction Information'!$Q$58)*Calculations!$U41*10^-6 + (1/$S41 - 1)*calculate_domegadP(Calculations!M41,Calculations!N41,Calculations!Q41,'Reaction Information'!$C$58,'Reaction Information'!$P$58*10^5,'Reaction Information'!$Q$58,$D$20,$D$19=3))*41.84)</f>
        <v>#N/A</v>
      </c>
      <c r="CD41" s="8" t="e">
        <f>IF(OR(ISBLANK(Input!$BW$4),$D$27=FALSE),NA(),('Reaction Information'!$J$62/10+'Reaction Information'!$K$62*100/(Calculations!$C$12+Calculations!$M41)+('Reaction Information'!$L$62+'Reaction Information'!$M$62*10000/(Calculations!$C$12+Calculations!$M41))/(Calculations!$O41-Calculations!$C$13)-calculateOmega(Calculations!M41,Calculations!N41,Calculations!Q41,'Reaction Information'!$C$62,'Reaction Information'!$P$62*10^5,'Reaction Information'!$Q$62)*Calculations!$U41*10^-6 + (1/$S41 - 1)*calculate_domegadP(Calculations!M41,Calculations!N41,Calculations!Q41,'Reaction Information'!$C$62,'Reaction Information'!$P$62*10^5,'Reaction Information'!$Q$62,$D$20,$D$19=3))*41.84)</f>
        <v>#N/A</v>
      </c>
      <c r="CE41" s="8" t="e">
        <f>IF(OR(ISBLANK(Input!$BZ$4),$D$27=FALSE),NA(),('Reaction Information'!$J$66/10+'Reaction Information'!$K$66*100/(Calculations!$C$12+Calculations!$M41)+('Reaction Information'!$L$66+'Reaction Information'!$M$66*10000/(Calculations!$C$12+Calculations!$M41))/(Calculations!$O41-Calculations!$C$13)-calculateOmega(Calculations!M41,Calculations!N41,Calculations!Q41,'Reaction Information'!$C$66,'Reaction Information'!$P$66*10^5,'Reaction Information'!$Q$66)*Calculations!$U41*10^-6 + (1/$S41 - 1)*calculate_domegadP(Calculations!M41,Calculations!N41,Calculations!Q41,'Reaction Information'!$C$66,'Reaction Information'!$P$66*10^5,'Reaction Information'!$Q$66,$D$20,$D$19=3))*41.84)</f>
        <v>#N/A</v>
      </c>
      <c r="CF41" s="31">
        <f>(BS41*Input!$AO$4+BT41*Input!$AR$4+BU41*Input!$AU$4+BV41*Input!$AX$4+IF(ISNA(BW41),0,BW41*Input!$BA$4)+IF(ISNA(BX41),0,BX41*Input!$BD$4)+IF(ISNA(BY41),0,BY41*Input!$BG$4)+IF(ISNA(BZ41),0,BZ41*Input!$BJ$4)+IF(ISNA(CA41),0,CA41*Input!$BM$4)+IF(ISNA(CB41),0,CB41*Input!$BP$4)+IF(ISNA(CC41),0,CC41*Input!$BS$4)+IF(ISNA(CD41),0,CD41*Input!$BV$4)+IF(ISNA(CE41),0,CE41*Input!$BY$4))-(BF41*Input!$B$4+BG41*Input!$E$4+BH41*Input!$H$4+BI41*Input!$K$4+IF(ISNA(BJ41),0,BJ41*Input!$N$4)+IF(ISNA(BK41),0,BK41*Input!$Q$4)+IF(ISNA(BL41),0,BL41*Input!$T$4)+IF(ISNA(BM41),0,BM41*Input!$W$4)+IF(ISNA(BN41),0,BN41*Input!$Z$4)+IF(ISNA(BO41),0,BO41*Input!$AC$4)+IF(ISNA(BP41),0,BP41*Input!$AF$4)+IF(ISNA(BQ41),0,BQ41*Input!$AI$4)+IF(ISNA(BR41),0,BR41*Input!$AL$4))</f>
        <v>-19.480593648073697</v>
      </c>
      <c r="CG41" s="1">
        <f t="shared" si="12"/>
        <v>550</v>
      </c>
      <c r="CH41" s="46">
        <f t="shared" si="13"/>
        <v>15000</v>
      </c>
      <c r="CI41" s="1"/>
    </row>
    <row r="42" spans="1:87" ht="15" customHeight="1" x14ac:dyDescent="0.2">
      <c r="A42" s="1"/>
      <c r="B42" s="7">
        <v>3</v>
      </c>
      <c r="C42" s="266" t="s">
        <v>701</v>
      </c>
      <c r="D42" s="268"/>
      <c r="E42" s="1"/>
      <c r="F42" s="2">
        <v>37</v>
      </c>
      <c r="G42" s="1" t="str">
        <f>IF(ISBLANK(Input!CB42), "", Input!CB42*1000)</f>
        <v/>
      </c>
      <c r="H42" s="1" t="str">
        <f>IF(ISBLANK(Input!CC42), "", Input!CC42)</f>
        <v/>
      </c>
      <c r="I42" s="1">
        <f>IF(Input!$CF$5 + Input!$CF$6*(FLOOR((Calculations!$F42-1)/(FLOOR((Input!$CF$12-Input!$CF$10)/Input!$CF$11,1)+1),1)) &gt; Input!$CF$7, "", (Input!$CF$5 + Input!$CF$6*(FLOOR((Calculations!$F42-1)/(FLOOR((Input!$CF$12-Input!$CF$10)/Input!$CF$11,1)+1),1)))*1000)</f>
        <v>15000</v>
      </c>
      <c r="J42" s="1">
        <f>IF(Calculations!I42 = "", "", Input!$CF$10 + Input!$CF$11*(Calculations!$F42-1) - (FLOOR((Input!$CF$12-Input!$CF$10)/Input!$CF$11,1)+1)*Input!$CF$11*FLOOR((Calculations!$F42-1)/(FLOOR((Input!$CF$12-Input!$CF$10)/Input!$CF$11,1)+1),1))</f>
        <v>600</v>
      </c>
      <c r="K42" s="8" t="str">
        <f t="shared" si="14"/>
        <v/>
      </c>
      <c r="L42" s="117" t="str">
        <f>IF(OR(Input!$CJ$5 + Input!$CJ$6*(Calculations!F42-1) &gt; Input!$CJ$7, Input!$CJ$5 + Input!$CJ$6*(Calculations!F42-1) &gt; 350), "", Input!$CJ$5 + Input!$CJ$6*(Calculations!F42-1))</f>
        <v/>
      </c>
      <c r="M42" s="1">
        <f t="shared" si="2"/>
        <v>15000</v>
      </c>
      <c r="N42" s="1">
        <f t="shared" si="3"/>
        <v>600</v>
      </c>
      <c r="O42" s="1">
        <f t="shared" si="15"/>
        <v>873.15</v>
      </c>
      <c r="P42" s="1" t="e">
        <f>IF(OR($D$20=3,AND($D$21=TRUE,M42&lt;1000)),INDEX('Water Density'!$C$6:$CX$120,MATCH(Calculations!N42,'Water Density'!$B$6:$B$120),MATCH(Calculations!M42/1000,'Water Density'!$C$5:$CX$5)),NA())</f>
        <v>#N/A</v>
      </c>
      <c r="Q42" s="182">
        <f>IF(OR($D$20=3,AND($D$21=TRUE,M42&lt;1000)), IF(P42&lt;&gt;0,P42,NA()), calculateDensity(M42,N42,$D$20,0.01,$D$19 = 3))</f>
        <v>1.0574097520697117</v>
      </c>
      <c r="R42" s="1" t="e">
        <f>IF($D$22=5,INDEX('Dielectric Constant'!$C$6:$CX$120,MATCH(Calculations!N42,'Dielectric Constant'!$B$6:$B$120),MATCH(Calculations!M42/1000,'Dielectric Constant'!$C$5:$CX$5)),NA())</f>
        <v>#N/A</v>
      </c>
      <c r="S42" s="58">
        <f>IF($D$22=5, IF(R42&lt;&gt;0,R42,NA()), IF(AND($D$23,M42&lt;=5000,$D$19 &lt;&gt; 3),calculateEpsilon(Q42,N42,1,FALSE),calculateEpsilon(Q42,N42,$D$22,$D$19 = 3)))</f>
        <v>22.17884830877702</v>
      </c>
      <c r="T42" s="1" t="e">
        <f>IF($D$24=3,INDEX('Water Free Energy'!$C$6:$CX$120,MATCH(Calculations!N42,'Water Free Energy'!$B$6:$B$120),MATCH(Calculations!M42/1000,'Water Free Energy'!$C$5:$CX$5)),NA())</f>
        <v>#N/A</v>
      </c>
      <c r="U42" s="179">
        <f>IF($D$27,calculateQ(M42,N42,Q42,$D$20,$D$22,$D$19=3)*10^6,NA())</f>
        <v>0.66650344059256894</v>
      </c>
      <c r="V42"/>
      <c r="W42" s="2">
        <f t="shared" si="5"/>
        <v>15000</v>
      </c>
      <c r="X42" s="1">
        <f t="shared" si="6"/>
        <v>600</v>
      </c>
      <c r="Y42" s="1">
        <f>Results!F44</f>
        <v>0</v>
      </c>
      <c r="Z42" s="1">
        <f>Results!G44</f>
        <v>0</v>
      </c>
      <c r="AA42" s="1">
        <f>Results!H44</f>
        <v>0</v>
      </c>
      <c r="AB42" s="1">
        <f>Results!I44</f>
        <v>0</v>
      </c>
      <c r="AC42" s="1" t="e">
        <f>IF(ISBLANK(Input!$O$4),NA(),'Reaction Information'!$E$5-'Reaction Information'!$G$5*(Calculations!$O42-Calculations!$C$8)+'Reaction Information'!$I$5*(Calculations!$O42-Calculations!$C$8-Calculations!$O42*LN(Calculations!$O42/Calculations!$C$8))+'Reaction Information'!$J$5*0.001/2*(2*Calculations!$O42*Calculations!$C$8-Calculations!$O42^2-Calculations!$C$8^2) + 'Reaction Information'!$K$5*100000*(Calculations!$O42^2 + Calculations!$C$8^2 - 2*Calculations!$O42*Calculations!$C$8)/(2*Calculations!$O42*Calculations!$C$8^2))</f>
        <v>#N/A</v>
      </c>
      <c r="AD42" s="8" t="e">
        <f>IF(ISBLANK(Input!$R$4),NA(),'Reaction Information'!$E$9-'Reaction Information'!$G$9*(Calculations!$O42-Calculations!$C$8)+'Reaction Information'!$I$9*(Calculations!$O42-Calculations!$C$8-Calculations!$O42*LN(Calculations!$O42/Calculations!$C$8))+'Reaction Information'!$J$9*0.001/2*(2*Calculations!$O42*Calculations!$C$8-Calculations!$O42^2-Calculations!$C$8^2) + 'Reaction Information'!$K$9*100000*(Calculations!$O42^2 + Calculations!$C$8^2 - 2*Calculations!$O42*Calculations!$C$8)/(2*Calculations!$O42*Calculations!$C$8^2))</f>
        <v>#N/A</v>
      </c>
      <c r="AE42" s="8">
        <f>IF(AE$5="H2O",IF($D$24=3,IF(T42=0,NA(),T42),calculateGibbsOfWater(M42,N42,$D$24,$D$20,$D$19=3)),NA())</f>
        <v>-65157.469367709404</v>
      </c>
      <c r="AF42" s="8">
        <f>IF(ISBLANK(Input!$X$4),NA(),'Reaction Information'!$E$13-'Reaction Information'!$G$13*(Calculations!O42-Calculations!$C$8)-'Reaction Information'!$N$13*(Calculations!O42*LN(Calculations!O42/Calculations!$C$8)-Calculations!O42+Calculations!$C$8)-'Reaction Information'!$O$13*10^4*(((1/(Calculations!O42-Calculations!$C$13))-(1/(Calculations!$C$8-Calculations!$C$13)))*((Calculations!$C$13-Calculations!O42)/(Calculations!$C$13))-(Calculations!O42/(Calculations!$C$13*Calculations!$C$13))*LN((Calculations!$C$8*(Calculations!O42-Calculations!$C$13))/(Calculations!O42*(Calculations!$C$8-Calculations!$C$13))))+'Reaction Information'!$J$13*10^-1*(Calculations!M42-Calculations!$C$9)+'Reaction Information'!$K$13*10^2*LN((Calculations!$C$12+Calculations!M42)/(Calculations!$C$12+Calculations!$C$9))+(1/(Calculations!O42-Calculations!$C$13))*('Reaction Information'!$L$13*(Calculations!M42-Calculations!$C$9)+'Reaction Information'!$M$13*10^4*LN((Calculations!$C$12+Calculations!M42)/(Calculations!$C$12+Calculations!$C$9)))+calculateOmega(Calculations!M42,Calculations!N42,Calculations!Q42,'Reaction Information'!$C$13,'Reaction Information'!$P$13*10^5,'Reaction Information'!$Q$13)*((1/Calculations!S42)-1)-'Reaction Information'!$P$13*10^5*((1/Calculations!$C$10)-1)+'Reaction Information'!$P$13*10^5*Calculations!$C$14*(Calculations!O42-Calculations!$C$8))</f>
        <v>-105059.71992107971</v>
      </c>
      <c r="AG42" s="8" t="e">
        <f>IF(ISBLANK(Input!$AA$4),NA(),'Reaction Information'!$E$17-'Reaction Information'!$G$17*(Calculations!$O42-Calculations!$C$8)-'Reaction Information'!$N$17*(Calculations!$O42*LN(Calculations!$O42/Calculations!$C$8)-Calculations!$O42+Calculations!$C$8)-'Reaction Information'!$O$17*10^4*(((1/(Calculations!$O42-Calculations!$C$13))-(1/(Calculations!$C$8-Calculations!$C$13)))*((Calculations!$C$13-Calculations!$O42)/(Calculations!$C$13))-(Calculations!$O42/(Calculations!$C$13*Calculations!$C$13))*LN((Calculations!$C$8*(Calculations!$O42-Calculations!$C$13))/(Calculations!$O42*(Calculations!$C$8-Calculations!$C$13))))+'Reaction Information'!$J$17*10^-1*(Calculations!$M42-Calculations!$C$9)+'Reaction Information'!$K$17*10^2*LN((Calculations!$C$12+Calculations!$M42)/(Calculations!$C$12+Calculations!$C$9))+(1/(Calculations!$O42-Calculations!$C$13))*('Reaction Information'!$L$17*(Calculations!$M42-Calculations!$C$9)+'Reaction Information'!$M$17*10^4*LN((Calculations!$C$12+Calculations!$M42)/(Calculations!$C$12+Calculations!$C$9)))+calculateOmega(Calculations!M42,Calculations!N42,Calculations!Q42,'Reaction Information'!$C$17,'Reaction Information'!$P$17*10^5,'Reaction Information'!$Q$17)*((1/Calculations!$S42)-1)-'Reaction Information'!$P$17*10^5*((1/Calculations!$C$10)-1)+'Reaction Information'!$P$17*10^5*Calculations!$C$14*(Calculations!$O42-Calculations!$C$8))</f>
        <v>#N/A</v>
      </c>
      <c r="AH42" s="8" t="e">
        <f>IF(ISBLANK(Input!$AD$4),NA(),'Reaction Information'!$E$21-'Reaction Information'!$G$21*(Calculations!$O42-Calculations!$C$8)-'Reaction Information'!$N$21*(Calculations!$O42*LN(Calculations!$O42/Calculations!$C$8)-Calculations!$O42+Calculations!$C$8)-'Reaction Information'!$O$21*10^4*(((1/(Calculations!$O42-Calculations!$C$13))-(1/(Calculations!$C$8-Calculations!$C$13)))*((Calculations!$C$13-Calculations!$O42)/(Calculations!$C$13))-(Calculations!$O42/(Calculations!$C$13*Calculations!$C$13))*LN((Calculations!$C$8*(Calculations!$O42-Calculations!$C$13))/(Calculations!$O42*(Calculations!$C$8-Calculations!$C$13))))+'Reaction Information'!$J$21*10^-1*(Calculations!$M42-Calculations!$C$9)+'Reaction Information'!$K$21*10^2*LN((Calculations!$C$12+Calculations!$M42)/(Calculations!$C$12+Calculations!$C$9))+(1/(Calculations!$O42-Calculations!$C$13))*('Reaction Information'!$L$21*(Calculations!$M42-Calculations!$C$9)+'Reaction Information'!$M$21*10^4*LN((Calculations!$C$12+Calculations!$M42)/(Calculations!$C$12+Calculations!$C$9)))+calculateOmega(Calculations!M42,Calculations!N42,Calculations!Q42,'Reaction Information'!$C$21,'Reaction Information'!$P$21*10^5,'Reaction Information'!$Q$21)*((1/Calculations!$S42)-1)-'Reaction Information'!$P$21*10^5*((1/Calculations!$C$10)-1)+'Reaction Information'!$P$21*10^5*Calculations!$C$14*(Calculations!$O42-Calculations!$C$8))</f>
        <v>#N/A</v>
      </c>
      <c r="AI42" s="8" t="e">
        <f>IF(ISBLANK(Input!$AG$4),NA(),'Reaction Information'!$E$25-'Reaction Information'!$G$25*(Calculations!$O42-Calculations!$C$8)-'Reaction Information'!$N$25*(Calculations!$O42*LN(Calculations!$O42/Calculations!$C$8)-Calculations!$O42+Calculations!$C$8)-'Reaction Information'!$O$25*10^4*(((1/(Calculations!$O42-Calculations!$C$13))-(1/(Calculations!$C$8-Calculations!$C$13)))*((Calculations!$C$13-Calculations!$O42)/(Calculations!$C$13))-(Calculations!$O42/(Calculations!$C$13*Calculations!$C$13))*LN((Calculations!$C$8*(Calculations!$O42-Calculations!$C$13))/(Calculations!$O42*(Calculations!$C$8-Calculations!$C$13))))+'Reaction Information'!$J$25*10^-1*(Calculations!$M42-Calculations!$C$9)+'Reaction Information'!$K$25*10^2*LN((Calculations!$C$12+Calculations!$M42)/(Calculations!$C$12+Calculations!$C$9))+(1/(Calculations!$O42-Calculations!$C$13))*('Reaction Information'!$L$25*(Calculations!$M42-Calculations!$C$9)+'Reaction Information'!$M$25*10^4*LN((Calculations!$C$12+Calculations!$M42)/(Calculations!$C$12+Calculations!$C$9)))+calculateOmega(Calculations!M42,Calculations!N42,Calculations!Q42,'Reaction Information'!$C$25,'Reaction Information'!$P$25*10^5,'Reaction Information'!$Q$25)*((1/Calculations!$S42)-1)-'Reaction Information'!$P$25*10^5*((1/Calculations!$C$10)-1)+'Reaction Information'!$P$25*10^5*Calculations!$C$14*(Calculations!$O42-Calculations!$C$8))</f>
        <v>#N/A</v>
      </c>
      <c r="AJ42" s="8" t="e">
        <f>IF(ISBLANK(Input!$AJ$4),NA(),'Reaction Information'!$E$29-'Reaction Information'!$G$29*(Calculations!$O42-Calculations!$C$8)-'Reaction Information'!$N$29*(Calculations!$O42*LN(Calculations!$O42/Calculations!$C$8)-Calculations!$O42+Calculations!$C$8)-'Reaction Information'!$O$29*10^4*(((1/(Calculations!$O42-Calculations!$C$13))-(1/(Calculations!$C$8-Calculations!$C$13)))*((Calculations!$C$13-Calculations!$O42)/(Calculations!$C$13))-(Calculations!$O42/(Calculations!$C$13*Calculations!$C$13))*LN((Calculations!$C$8*(Calculations!$O42-Calculations!$C$13))/(Calculations!$O42*(Calculations!$C$8-Calculations!$C$13))))+'Reaction Information'!$J$29*10^-1*(Calculations!$M42-Calculations!$C$9)+'Reaction Information'!$K$29*10^2*LN((Calculations!$C$12+Calculations!$M42)/(Calculations!$C$12+Calculations!$C$9))+(1/(Calculations!$O42-Calculations!$C$13))*('Reaction Information'!$L$29*(Calculations!$M42-Calculations!$C$9)+'Reaction Information'!$M$29*10^4*LN((Calculations!$C$12+Calculations!$M42)/(Calculations!$C$12+Calculations!$C$9)))+calculateOmega(Calculations!M42,Calculations!N42,Calculations!Q42,'Reaction Information'!$C$29,'Reaction Information'!$P$29*10^5,'Reaction Information'!$Q$29)*((1/Calculations!$S42)-1)-'Reaction Information'!$P$29*10^5*((1/Calculations!$C$10)-1)+'Reaction Information'!$P$29*10^5*Calculations!$C$14*(Calculations!$O42-Calculations!$C$8))</f>
        <v>#N/A</v>
      </c>
      <c r="AK42" s="8" t="e">
        <f>IF(ISBLANK(Input!$AM$4),NA(),'Reaction Information'!$E$33-'Reaction Information'!$G$33*(Calculations!$O42-Calculations!$C$8)-'Reaction Information'!$N$33*(Calculations!$O42*LN(Calculations!$O42/Calculations!$C$8)-Calculations!$O42+Calculations!$C$8)-'Reaction Information'!$O$33*10^4*(((1/(Calculations!$O42-Calculations!$C$13))-(1/(Calculations!$C$8-Calculations!$C$13)))*((Calculations!$C$13-Calculations!$O42)/(Calculations!$C$13))-(Calculations!$O42/(Calculations!$C$13*Calculations!$C$13))*LN((Calculations!$C$8*(Calculations!$O42-Calculations!$C$13))/(Calculations!$O42*(Calculations!$C$8-Calculations!$C$13))))+'Reaction Information'!$J$33*10^-1*(Calculations!$M42-Calculations!$C$9)+'Reaction Information'!$K$33*10^2*LN((Calculations!$C$12+Calculations!$M42)/(Calculations!$C$12+Calculations!$C$9))+(1/(Calculations!$O42-Calculations!$C$13))*('Reaction Information'!$L$33*(Calculations!$M42-Calculations!$C$9)+'Reaction Information'!$M$33*10^4*LN((Calculations!$C$12+Calculations!$M42)/(Calculations!$C$12+Calculations!$C$9)))+calculateOmega(Calculations!M42,Calculations!N42,Calculations!Q42,'Reaction Information'!$C$33,'Reaction Information'!$P$33*10^5,'Reaction Information'!$Q$33)*((1/Calculations!$S42)-1)-'Reaction Information'!$P$33*10^5*((1/Calculations!$C$10)-1)+'Reaction Information'!$P$33*10^5*Calculations!$C$14*(Calculations!$O42-Calculations!$C$8))</f>
        <v>#N/A</v>
      </c>
      <c r="AL42" s="1">
        <f>Results!S44</f>
        <v>0</v>
      </c>
      <c r="AM42" s="1">
        <f>Results!T44</f>
        <v>0</v>
      </c>
      <c r="AN42" s="1">
        <f>Results!U44</f>
        <v>0</v>
      </c>
      <c r="AO42" s="1">
        <f>Results!V44</f>
        <v>0</v>
      </c>
      <c r="AP42" s="8" t="e">
        <f>IF(ISBLANK(Input!$BB$4),NA(),'Reaction Information'!$E$38-'Reaction Information'!$G$38*(Calculations!$O42-Calculations!$C$8)+'Reaction Information'!$I$38*(Calculations!$O42-Calculations!$C$8-Calculations!$O42*LN(Calculations!$O42/Calculations!$C$8))+'Reaction Information'!$J$38*0.001/2*(2*Calculations!$O42*Calculations!$C$8-Calculations!$O42^2-Calculations!$C$8^2) + 'Reaction Information'!$K$38*100000*(Calculations!$O42^2 + Calculations!$C$8^2 - 2*Calculations!$O42*Calculations!$C$8)/(2*Calculations!$O42*Calculations!$C$8^2))</f>
        <v>#N/A</v>
      </c>
      <c r="AQ42" s="8" t="e">
        <f>IF(ISBLANK(Input!$BE$4),NA(),'Reaction Information'!$E$42-'Reaction Information'!$G$42*(Calculations!$O42-Calculations!$C$8)+'Reaction Information'!$I$42*(Calculations!$O42-Calculations!$C$8-Calculations!$O42*LN(Calculations!$O42/Calculations!$C$8))+'Reaction Information'!$J$42*0.001/2*(2*Calculations!$O42*Calculations!$C$8-Calculations!$O42^2-Calculations!$C$8^2) + 'Reaction Information'!$K$42*100000*(Calculations!$O42^2 + Calculations!$C$8^2 - 2*Calculations!$O42*Calculations!$C$8)/(2*Calculations!$O42*Calculations!$C$8^2))</f>
        <v>#N/A</v>
      </c>
      <c r="AR42" s="8" t="e">
        <f>IF(AR$5="H2O", IF($D$24=3,IF(T42=0,NA(),T42),calculateGibbsOfWater(M42,N42,$D$24,$D$20,$D$19=3)),NA())</f>
        <v>#N/A</v>
      </c>
      <c r="AS42" s="8">
        <f>IF(ISBLANK(Input!$BK$4),NA(),'Reaction Information'!$E$46-'Reaction Information'!$G$46*(Calculations!O42-Calculations!$C$8)-'Reaction Information'!$N$46*(Calculations!O42*LN(Calculations!O42/Calculations!$C$8)-Calculations!O42+Calculations!$C$8)-'Reaction Information'!$O$46*10^4*(((1/(Calculations!O42-Calculations!$C$13))-(1/(Calculations!$C$8-Calculations!$C$13)))*((Calculations!$C$13-Calculations!O42)/(Calculations!$C$13))-(Calculations!O42/(Calculations!$C$13*Calculations!$C$13))*LN((Calculations!$C$8*(Calculations!O42-Calculations!$C$13))/(Calculations!O42*(Calculations!$C$8-Calculations!$C$13))))+'Reaction Information'!$J$46*10^-1*(Calculations!$M42-Calculations!$C$9)+'Reaction Information'!$K$46*10^2*LN((Calculations!$C$12+Calculations!$M42)/(Calculations!$C$12+Calculations!$C$9))+(1/(Calculations!O42-Calculations!$C$13))*('Reaction Information'!$L$46*(Calculations!$M42-Calculations!$C$9)+'Reaction Information'!$M$46*10^4*LN((Calculations!$C$12+Calculations!$M42)/(Calculations!$C$12+Calculations!$C$9)))+calculateOmega(Calculations!M42,Calculations!N42,Calculations!Q42,'Reaction Information'!$C$46,'Reaction Information'!$P$46*10^5,'Reaction Information'!$Q$46)*((1/Calculations!S42)-1)-'Reaction Information'!$P$46*10^5*((1/Calculations!$C$10)-1)+'Reaction Information'!$P$46*10^5*Calculations!$C$14*(Calculations!O42-Calculations!$C$8))</f>
        <v>0</v>
      </c>
      <c r="AT42" s="8">
        <f>IF(ISBLANK(Input!$BN$4),NA(),'Reaction Information'!$E$50-'Reaction Information'!$G$50*(Calculations!O42-Calculations!$C$8)-'Reaction Information'!$N$50*(Calculations!O42*LN(Calculations!O42/Calculations!$C$8)-Calculations!O42+Calculations!$C$8)-'Reaction Information'!$O$50*10^4*(((1/(Calculations!O42-Calculations!$C$13))-(1/(Calculations!$C$8-Calculations!$C$13)))*((Calculations!$C$13-Calculations!O42)/(Calculations!$C$13))-(Calculations!O42/(Calculations!$C$13*Calculations!$C$13))*LN((Calculations!$C$8*(Calculations!O42-Calculations!$C$13))/(Calculations!O42*(Calculations!$C$8-Calculations!$C$13))))+'Reaction Information'!$J$50*10^-1*(Calculations!$M42-Calculations!$C$9)+'Reaction Information'!$K$50*10^2*LN((Calculations!$C$12+Calculations!$M42)/(Calculations!$C$12+Calculations!$C$9))+(1/(Calculations!O42-Calculations!$C$13))*('Reaction Information'!$L$50*(Calculations!$M42-Calculations!$C$9)+'Reaction Information'!$M$50*10^4*LN((Calculations!$C$12+Calculations!$M42)/(Calculations!$C$12+Calculations!$C$9)))+calculateOmega(Calculations!M42,Calculations!N42,Calculations!Q42,'Reaction Information'!$C$50,'Reaction Information'!$P$50*10^5,'Reaction Information'!$Q$50)*((1/Calculations!S42)-1)-'Reaction Information'!$P$50*10^5*((1/Calculations!$C$10)-1)+'Reaction Information'!$P$50*10^5*Calculations!$C$14*(Calculations!O42-Calculations!$C$8))</f>
        <v>-145717.8776724796</v>
      </c>
      <c r="AU42" s="8" t="e">
        <f>IF(ISBLANK(Input!$BQ$4),NA(),'Reaction Information'!$E$54-'Reaction Information'!$G$54*(Calculations!$O42-Calculations!$C$8)-'Reaction Information'!$N$54*(Calculations!$O42*LN(Calculations!$O42/Calculations!$C$8)-Calculations!$O42+Calculations!$C$8)-'Reaction Information'!$O$54*10^4*(((1/(Calculations!$O42-Calculations!$C$13))-(1/(Calculations!$C$8-Calculations!$C$13)))*((Calculations!$C$13-Calculations!$O42)/(Calculations!$C$13))-(Calculations!$O42/(Calculations!$C$13*Calculations!$C$13))*LN((Calculations!$C$8*(Calculations!$O42-Calculations!$C$13))/(Calculations!$O42*(Calculations!$C$8-Calculations!$C$13))))+'Reaction Information'!$J$54*10^-1*(Calculations!$M42-Calculations!$C$9)+'Reaction Information'!$K$54*10^2*LN((Calculations!$C$12+Calculations!$M42)/(Calculations!$C$12+Calculations!$C$9))+(1/(Calculations!$O42-Calculations!$C$13))*('Reaction Information'!$L$54*(Calculations!$M42-Calculations!$C$9)+'Reaction Information'!$M$54*10^4*LN((Calculations!$C$12+Calculations!$M42)/(Calculations!$C$12+Calculations!$C$9)))+calculateOmega(Calculations!M42,Calculations!N42,Calculations!Q42,'Reaction Information'!$C$54,'Reaction Information'!$P$54*10^5,'Reaction Information'!$Q$54)*((1/Calculations!$S42)-1)-'Reaction Information'!$P$54*10^5*((1/Calculations!$C$10)-1)+'Reaction Information'!$P$54*10^5*Calculations!$C$14*(Calculations!$O42-Calculations!$C$8))</f>
        <v>#N/A</v>
      </c>
      <c r="AV42" s="8" t="e">
        <f>IF(ISBLANK(Input!$BT$4),NA(),'Reaction Information'!$E$58-'Reaction Information'!$G$58*(Calculations!$O42-Calculations!$C$8)-'Reaction Information'!$N$58*(Calculations!$O42*LN(Calculations!$O42/Calculations!$C$8)-Calculations!$O42+Calculations!$C$8)-'Reaction Information'!$O$58*10^4*(((1/(Calculations!$O42-Calculations!$C$13))-(1/(Calculations!$C$8-Calculations!$C$13)))*((Calculations!$C$13-Calculations!$O42)/(Calculations!$C$13))-(Calculations!$O42/(Calculations!$C$13*Calculations!$C$13))*LN((Calculations!$C$8*(Calculations!$O42-Calculations!$C$13))/(Calculations!$O42*(Calculations!$C$8-Calculations!$C$13))))+'Reaction Information'!$J$58*10^-1*(Calculations!$M42-Calculations!$C$9)+'Reaction Information'!$K$58*10^2*LN((Calculations!$C$12+Calculations!$M42)/(Calculations!$C$12+Calculations!$C$9))+(1/(Calculations!$O42-Calculations!$C$13))*('Reaction Information'!$L$58*(Calculations!$M42-Calculations!$C$9)+'Reaction Information'!$M$58*10^4*LN((Calculations!$C$12+Calculations!$M42)/(Calculations!$C$12+Calculations!$C$9)))+calculateOmega(Calculations!M42,Calculations!N42,Calculations!Q42,'Reaction Information'!$C$58,'Reaction Information'!$P$58*10^5,'Reaction Information'!$Q$58)*((1/Calculations!$S42)-1)-'Reaction Information'!$P$58*10^5*((1/Calculations!$C$10)-1)+'Reaction Information'!$P$58*10^5*Calculations!$C$14*(Calculations!$O42-Calculations!$C$8))</f>
        <v>#N/A</v>
      </c>
      <c r="AW42" s="8" t="e">
        <f>IF(ISBLANK(Input!$BW$4),NA(),'Reaction Information'!$E$62-'Reaction Information'!$G$62*(Calculations!$O42-Calculations!$C$8)-'Reaction Information'!$N$62*(Calculations!$O42*LN(Calculations!$O42/Calculations!$C$8)-Calculations!$O42+Calculations!$C$8)-'Reaction Information'!$O$62*10^4*(((1/(Calculations!$O42-Calculations!$C$13))-(1/(Calculations!$C$8-Calculations!$C$13)))*((Calculations!$C$13-Calculations!$O42)/(Calculations!$C$13))-(Calculations!$O42/(Calculations!$C$13*Calculations!$C$13))*LN((Calculations!$C$8*(Calculations!$O42-Calculations!$C$13))/(Calculations!$O42*(Calculations!$C$8-Calculations!$C$13))))+'Reaction Information'!$J$62*10^-1*(Calculations!$M42-Calculations!$C$9)+'Reaction Information'!$K$62*10^2*LN((Calculations!$C$12+Calculations!$M42)/(Calculations!$C$12+Calculations!$C$9))+(1/(Calculations!$O42-Calculations!$C$13))*('Reaction Information'!$L$62*(Calculations!$M42-Calculations!$C$9)+'Reaction Information'!$M$62*10^4*LN((Calculations!$C$12+Calculations!$M42)/(Calculations!$C$12+Calculations!$C$9)))+calculateOmega(Calculations!M42,Calculations!N42,Calculations!Q42,'Reaction Information'!$C$62,'Reaction Information'!$P$62*10^5,'Reaction Information'!$Q$62)*((1/Calculations!$S42)-1)-'Reaction Information'!$P$62*10^5*((1/Calculations!$C$10)-1)+'Reaction Information'!$P$62*10^5*Calculations!$C$14*(Calculations!$O42-Calculations!$C$8))</f>
        <v>#N/A</v>
      </c>
      <c r="AX42" s="8" t="e">
        <f>IF(ISBLANK(Input!$BZ$4),NA(),'Reaction Information'!$E$66-'Reaction Information'!$G$66*(Calculations!$O42-Calculations!$C$8)-'Reaction Information'!$N$66*(Calculations!$O42*LN(Calculations!$O42/Calculations!$C$8)-Calculations!$O42+Calculations!$C$8)-'Reaction Information'!$O$66*10^4*(((1/(Calculations!$O42-Calculations!$C$13))-(1/(Calculations!$C$8-Calculations!$C$13)))*((Calculations!$C$13-Calculations!$O42)/(Calculations!$C$13))-(Calculations!$O42/(Calculations!$C$13*Calculations!$C$13))*LN((Calculations!$C$8*(Calculations!$O42-Calculations!$C$13))/(Calculations!$O42*(Calculations!$C$8-Calculations!$C$13))))+'Reaction Information'!$J$66*10^-1*(Calculations!$M42-Calculations!$C$9)+'Reaction Information'!$K$66*10^2*LN((Calculations!$C$12+Calculations!$M42)/(Calculations!$C$12+Calculations!$C$9))+(1/(Calculations!$O42-Calculations!$C$13))*('Reaction Information'!$L$66*(Calculations!$M42-Calculations!$C$9)+'Reaction Information'!$M$66*10^4*LN((Calculations!$C$12+Calculations!$M42)/(Calculations!$C$12+Calculations!$C$9)))+calculateOmega(Calculations!M42,Calculations!N42,Calculations!Q42,'Reaction Information'!$C$66,'Reaction Information'!$P$66*10^5,'Reaction Information'!$Q$66)*((1/Calculations!$S42)-1)-'Reaction Information'!$P$66*10^5*((1/Calculations!$C$10)-1)+'Reaction Information'!$P$66*10^5*Calculations!$C$14*(Calculations!$O42-Calculations!$C$8))</f>
        <v>#N/A</v>
      </c>
      <c r="AY42" s="31">
        <f>(AL42*Input!$AO$4+AM42*Input!$AR$4+AN42*Input!$AU$4+AO42*Input!$AX$4+IF(ISNA(AP42),0,AP42*Input!$BA$4)+IF(ISNA(AQ42),0,AQ42*Input!$BD$4)+IF(ISNA(AR42),0,AR42*Input!$BG$4)+IF(ISNA(AS42),0,AS42*Input!$BJ$4)+IF(ISNA(AT42),0,AT42*Input!$BM$4)+IF(ISNA(AU42),0,AU42*Input!$BP$4)+IF(ISNA(AV42),0,AV42*Input!$BS$4)+IF(ISNA(AW42),0,AW42*Input!$BV$4)+IF(ISNA(AX42),0,AX42*Input!$BY$4))-(Y42*Input!$B$4+Z42*Input!$E$4+AA42*Input!$H$4+AB42*Input!$K$4+IF(ISNA(AC42),0,AC42*Input!$N$4)+IF(ISNA(AD42),0,AD42*Input!$Q$4)+IF(ISNA(AE42),0,AE42*Input!$T$4)+IF(ISNA(AF42),0,AF42*Input!$W$4)+IF(ISNA(AG42),0,AG42*Input!$Z$4)+IF(ISNA(AH42),0,AH42*Input!$AC$4)+IF(ISNA(AI42),0,AI42*Input!$AF$4)+IF(ISNA(AJ42),0,AJ42*Input!$AI$4)+IF(ISNA(AK42),0,AK42*Input!$AL$4))</f>
        <v>24499.311616309511</v>
      </c>
      <c r="AZ42" s="42">
        <f t="shared" si="16"/>
        <v>-6.1361631313146718</v>
      </c>
      <c r="BA42" s="1">
        <f t="shared" si="8"/>
        <v>600</v>
      </c>
      <c r="BB42" s="46">
        <f t="shared" si="9"/>
        <v>15000</v>
      </c>
      <c r="BC42" s="1"/>
      <c r="BD42" s="2">
        <f t="shared" si="10"/>
        <v>15000</v>
      </c>
      <c r="BE42" s="46">
        <f t="shared" si="11"/>
        <v>600</v>
      </c>
      <c r="BF42" s="1">
        <f>Results!AJ44</f>
        <v>0</v>
      </c>
      <c r="BG42" s="1">
        <f>Results!AK44</f>
        <v>0</v>
      </c>
      <c r="BH42" s="1">
        <f>Results!AL44</f>
        <v>0</v>
      </c>
      <c r="BI42" s="1">
        <f>Results!AM44</f>
        <v>0</v>
      </c>
      <c r="BJ42" s="1" t="e">
        <f>IF(OR(ISNA('Reaction Information'!$D$5), $N42 = "", $D$27 = FALSE, 'Reaction Information'!$D$5 = ""), NA(), 24.465)</f>
        <v>#N/A</v>
      </c>
      <c r="BK42" s="1" t="e">
        <f>IF(OR(ISNA('Reaction Information'!$D$9), $N42 = "", $D$27 = FALSE, 'Reaction Information'!$D$9 = ""), NA(), 24.465)</f>
        <v>#N/A</v>
      </c>
      <c r="BL42" s="8">
        <f t="shared" si="17"/>
        <v>17.037179735422292</v>
      </c>
      <c r="BM42" s="8">
        <f>IF(OR(ISBLANK(Input!$X$4),$D$27=FALSE),NA(),('Reaction Information'!$J$13/10+'Reaction Information'!$K$13*100/(Calculations!$C$12+Calculations!$M42)+('Reaction Information'!$L$13+'Reaction Information'!$M$13*10^4/(Calculations!$C$12+Calculations!$M42))/(Calculations!$O42-Calculations!$C$13) -calculateOmega(Calculations!$M42,Calculations!$N42,Calculations!$Q42,'Reaction Information'!$C$13,'Reaction Information'!$P$13*10^5,'Reaction Information'!$Q$13)*Calculations!$U42*10^-6 + (1/$S42 - 1)*calculate_domegadP(Calculations!$M42,Calculations!$N42,Calculations!$Q42,'Reaction Information'!$C$13,'Reaction Information'!$P$13*10^5,'Reaction Information'!$Q$13,$D$20,$D$19=3))*41.84)</f>
        <v>32.001994930273042</v>
      </c>
      <c r="BN42" s="8" t="e">
        <f>IF(OR(ISBLANK(Input!$AA$4),$D$27=FALSE),NA(),('Reaction Information'!$J$17/10+'Reaction Information'!$K$17*100/(Calculations!$C$12+Calculations!$M42)+('Reaction Information'!$L$17+'Reaction Information'!$M$17*10000/(Calculations!$C$12+Calculations!$M42))/(Calculations!$O42-Calculations!$C$13)-calculateOmega(Calculations!M42,Calculations!N42,Calculations!Q42,'Reaction Information'!$C$17,'Reaction Information'!$P$17*10^5,'Reaction Information'!$Q$17)*Calculations!$U42*10^-6 + (1/$S42 - 1)*calculate_domegadP(Calculations!M42,Calculations!N42,Calculations!Q42,'Reaction Information'!$C$17,'Reaction Information'!$P$17*10^5,'Reaction Information'!$Q$17,$D$20,$D$19=3))*41.84)</f>
        <v>#N/A</v>
      </c>
      <c r="BO42" s="8" t="e">
        <f>IF(OR(ISBLANK(Input!$AD$4),$D$27=FALSE),NA(),('Reaction Information'!$J$21/10+'Reaction Information'!$K$21*100/(Calculations!$C$12+Calculations!$M42)+('Reaction Information'!$L$21+'Reaction Information'!$M$21*10000/(Calculations!$C$12+Calculations!$M42))/(Calculations!$O42-Calculations!$C$13)-calculateOmega(Calculations!M42,Calculations!N42,Calculations!Q42,'Reaction Information'!$C$21,'Reaction Information'!$P$21*10^5,'Reaction Information'!$Q$21)*Calculations!$U42*10^-6 + (1/$S42 - 1)*calculate_domegadP(Calculations!M42,Calculations!N42,Calculations!Q42,'Reaction Information'!$C$21,'Reaction Information'!$P$21*10^5,'Reaction Information'!$Q$21,$D$20,$D$19=3))*41.84)</f>
        <v>#N/A</v>
      </c>
      <c r="BP42" s="8" t="e">
        <f>IF(OR(ISBLANK(Input!$AG$4),$D$27=FALSE),NA(),('Reaction Information'!$J$25/10+'Reaction Information'!$K$25*100/(Calculations!$C$12+Calculations!$M42)+('Reaction Information'!$L$25+'Reaction Information'!$M$25*10000/(Calculations!$C$12+Calculations!$M42))/(Calculations!$O42-Calculations!$C$13)-calculateOmega(Calculations!M42,Calculations!N42,Calculations!Q42,'Reaction Information'!$C$25,'Reaction Information'!$P$25*10^5,'Reaction Information'!$Q$25)*Calculations!$U42*10^-6 + (1/$S42 - 1)*calculate_domegadP(Calculations!M42,Calculations!N42,Calculations!Q42,'Reaction Information'!$C$25,'Reaction Information'!$P$25*10^5,'Reaction Information'!$Q$25,$D$20,$D$19=3))*41.84)</f>
        <v>#N/A</v>
      </c>
      <c r="BQ42" s="8" t="e">
        <f>IF(OR(ISBLANK(Input!$AJ$4),$D$27=FALSE),NA(),('Reaction Information'!$J$29/10+'Reaction Information'!$K$29*100/(Calculations!$C$12+Calculations!$M42)+('Reaction Information'!$L$29+'Reaction Information'!$M$29*10000/(Calculations!$C$12+Calculations!$M42))/(Calculations!$O42-Calculations!$C$13)-calculateOmega(Calculations!M42,Calculations!N42,Calculations!Q42,'Reaction Information'!$C$29,'Reaction Information'!$P$29*10^5,'Reaction Information'!$Q$29)*Calculations!$U42*10^-6 + (1/$S42 - 1)*calculate_domegadP(Calculations!M42,Calculations!N42,Calculations!Q42,'Reaction Information'!$C$29,'Reaction Information'!$P$29*10^5,'Reaction Information'!$Q$29,$D$20,$D$19=3))*41.84)</f>
        <v>#N/A</v>
      </c>
      <c r="BR42" s="8" t="e">
        <f>IF(OR(ISBLANK(Input!$AM$4),$D$27=FALSE),NA(),('Reaction Information'!$J$33/10+'Reaction Information'!$K$33*100/(Calculations!$C$12+Calculations!$M42)+('Reaction Information'!$L$33+'Reaction Information'!$M$33*10000/(Calculations!$C$12+Calculations!$M42))/(Calculations!$O42-Calculations!$C$13)-calculateOmega(Calculations!M42,Calculations!N42,Calculations!Q42,'Reaction Information'!$C$33,'Reaction Information'!$P$33*10^5,'Reaction Information'!$Q$33)*Calculations!$U42*10^-6 + (1/$S42 - 1)*calculate_domegadP(Calculations!M42,Calculations!N42,Calculations!Q42,'Reaction Information'!$C$33,'Reaction Information'!$P$33*10^5,'Reaction Information'!$Q$33,$D$20,$D$19=3))*41.84)</f>
        <v>#N/A</v>
      </c>
      <c r="BS42" s="1">
        <f>Results!AW44</f>
        <v>0</v>
      </c>
      <c r="BT42" s="1">
        <f>Results!AX44</f>
        <v>0</v>
      </c>
      <c r="BU42" s="1">
        <f>Results!AY44</f>
        <v>0</v>
      </c>
      <c r="BV42" s="1">
        <f>Results!AZ44</f>
        <v>0</v>
      </c>
      <c r="BW42" s="1" t="e">
        <f>IF(OR(ISNA('Reaction Information'!$D$38), $N42 = "", $D$27 = FALSE, 'Reaction Information'!$D$38 = ""), NA(), 24.465)</f>
        <v>#N/A</v>
      </c>
      <c r="BX42" s="1" t="e">
        <f>IF(OR(ISNA('Reaction Information'!$D$42), $N42 = "", $D$27 = FALSE, 'Reaction Information'!$D$42 = ""), NA(), 24.465)</f>
        <v>#N/A</v>
      </c>
      <c r="BY42" s="8" t="e">
        <f t="shared" si="18"/>
        <v>#N/A</v>
      </c>
      <c r="BZ42" s="8">
        <f>IF(OR(ISBLANK(Input!$BK$4),$D$27=FALSE),NA(),('Reaction Information'!$J$46/10+'Reaction Information'!$K$46*100/(Calculations!$C$12+Calculations!$M42)+('Reaction Information'!$L$46+'Reaction Information'!$M$46*10000/(Calculations!$C$12+Calculations!$M42))/(Calculations!$O42-Calculations!$C$13)-calculateOmega(Calculations!M42,Calculations!N42,Calculations!Q42,'Reaction Information'!$C$46,'Reaction Information'!$P$46*10^5,'Reaction Information'!$Q$46)*Calculations!$U42*10^-6 + (1/$S42 - 1)*calculate_domegadP(Calculations!M42,Calculations!N42,Calculations!Q42,'Reaction Information'!$C$46,'Reaction Information'!$P$46*10^5,'Reaction Information'!$Q$46,$D$20,$D$19=3))*41.84)</f>
        <v>0</v>
      </c>
      <c r="CA42" s="8">
        <f>IF(OR(ISBLANK(Input!$BN$4),$D$27=FALSE),NA(),('Reaction Information'!$J$50/10+'Reaction Information'!$K$50*100/(Calculations!$C$12+Calculations!$M42)+('Reaction Information'!$L$50+'Reaction Information'!$M$50*10000/(Calculations!$C$12+Calculations!$M42))/(Calculations!$O42-Calculations!$C$13)-calculateOmega(Calculations!M42,Calculations!N42,Calculations!Q42,'Reaction Information'!$C$50,'Reaction Information'!$P$50*10^5,'Reaction Information'!$Q$50)*Calculations!$U42*10^-6 + (1/$S42 - 1)*calculate_domegadP(Calculations!M42,Calculations!N42,Calculations!Q42,'Reaction Information'!$C$50,'Reaction Information'!$P$50*10^5,'Reaction Information'!$Q$50,$D$20,$D$19=3))*41.84)</f>
        <v>28.610520013977883</v>
      </c>
      <c r="CB42" s="8" t="e">
        <f>IF(OR(ISBLANK(Input!$BQ$4),$D$27=FALSE),NA(),('Reaction Information'!$J$54/10+'Reaction Information'!$K$54*100/(Calculations!$C$12+Calculations!$M42)+('Reaction Information'!$L$54+'Reaction Information'!$M$54*10000/(Calculations!$C$12+Calculations!$M42))/(Calculations!$O42-Calculations!$C$13)-calculateOmega(Calculations!M42,Calculations!N42,Calculations!Q42,'Reaction Information'!$C$54,'Reaction Information'!$P$54*10^5,'Reaction Information'!$Q$54)*Calculations!$U42*10^-6 + (1/$S42 - 1)*calculate_domegadP(Calculations!M42,Calculations!N42,Calculations!Q42,'Reaction Information'!$C$54,'Reaction Information'!$P$54*10^5,'Reaction Information'!$Q$54,$D$20,$D$19=3))*41.84)</f>
        <v>#N/A</v>
      </c>
      <c r="CC42" s="8" t="e">
        <f>IF(OR(ISBLANK(Input!$BT$4),$D$27=FALSE),NA(),('Reaction Information'!$J$58/10+'Reaction Information'!$K$58*100/(Calculations!$C$12+Calculations!$M42)+('Reaction Information'!$L$58+'Reaction Information'!$M$58*10000/(Calculations!$C$12+Calculations!$M42))/(Calculations!$O42-Calculations!$C$13)-calculateOmega(Calculations!M42,Calculations!N42,Calculations!Q42,'Reaction Information'!$C$58,'Reaction Information'!$P$58*10^5,'Reaction Information'!$Q$58)*Calculations!$U42*10^-6 + (1/$S42 - 1)*calculate_domegadP(Calculations!M42,Calculations!N42,Calculations!Q42,'Reaction Information'!$C$58,'Reaction Information'!$P$58*10^5,'Reaction Information'!$Q$58,$D$20,$D$19=3))*41.84)</f>
        <v>#N/A</v>
      </c>
      <c r="CD42" s="8" t="e">
        <f>IF(OR(ISBLANK(Input!$BW$4),$D$27=FALSE),NA(),('Reaction Information'!$J$62/10+'Reaction Information'!$K$62*100/(Calculations!$C$12+Calculations!$M42)+('Reaction Information'!$L$62+'Reaction Information'!$M$62*10000/(Calculations!$C$12+Calculations!$M42))/(Calculations!$O42-Calculations!$C$13)-calculateOmega(Calculations!M42,Calculations!N42,Calculations!Q42,'Reaction Information'!$C$62,'Reaction Information'!$P$62*10^5,'Reaction Information'!$Q$62)*Calculations!$U42*10^-6 + (1/$S42 - 1)*calculate_domegadP(Calculations!M42,Calculations!N42,Calculations!Q42,'Reaction Information'!$C$62,'Reaction Information'!$P$62*10^5,'Reaction Information'!$Q$62,$D$20,$D$19=3))*41.84)</f>
        <v>#N/A</v>
      </c>
      <c r="CE42" s="8" t="e">
        <f>IF(OR(ISBLANK(Input!$BZ$4),$D$27=FALSE),NA(),('Reaction Information'!$J$66/10+'Reaction Information'!$K$66*100/(Calculations!$C$12+Calculations!$M42)+('Reaction Information'!$L$66+'Reaction Information'!$M$66*10000/(Calculations!$C$12+Calculations!$M42))/(Calculations!$O42-Calculations!$C$13)-calculateOmega(Calculations!M42,Calculations!N42,Calculations!Q42,'Reaction Information'!$C$66,'Reaction Information'!$P$66*10^5,'Reaction Information'!$Q$66)*Calculations!$U42*10^-6 + (1/$S42 - 1)*calculate_domegadP(Calculations!M42,Calculations!N42,Calculations!Q42,'Reaction Information'!$C$66,'Reaction Information'!$P$66*10^5,'Reaction Information'!$Q$66,$D$20,$D$19=3))*41.84)</f>
        <v>#N/A</v>
      </c>
      <c r="CF42" s="31">
        <f>(BS42*Input!$AO$4+BT42*Input!$AR$4+BU42*Input!$AU$4+BV42*Input!$AX$4+IF(ISNA(BW42),0,BW42*Input!$BA$4)+IF(ISNA(BX42),0,BX42*Input!$BD$4)+IF(ISNA(BY42),0,BY42*Input!$BG$4)+IF(ISNA(BZ42),0,BZ42*Input!$BJ$4)+IF(ISNA(CA42),0,CA42*Input!$BM$4)+IF(ISNA(CB42),0,CB42*Input!$BP$4)+IF(ISNA(CC42),0,CC42*Input!$BS$4)+IF(ISNA(CD42),0,CD42*Input!$BV$4)+IF(ISNA(CE42),0,CE42*Input!$BY$4))-(BF42*Input!$B$4+BG42*Input!$E$4+BH42*Input!$H$4+BI42*Input!$K$4+IF(ISNA(BJ42),0,BJ42*Input!$N$4)+IF(ISNA(BK42),0,BK42*Input!$Q$4)+IF(ISNA(BL42),0,BL42*Input!$T$4)+IF(ISNA(BM42),0,BM42*Input!$W$4)+IF(ISNA(BN42),0,BN42*Input!$Z$4)+IF(ISNA(BO42),0,BO42*Input!$AC$4)+IF(ISNA(BP42),0,BP42*Input!$AF$4)+IF(ISNA(BQ42),0,BQ42*Input!$AI$4)+IF(ISNA(BR42),0,BR42*Input!$AL$4))</f>
        <v>-20.428654651717451</v>
      </c>
      <c r="CG42" s="1">
        <f t="shared" si="12"/>
        <v>600</v>
      </c>
      <c r="CH42" s="46">
        <f t="shared" si="13"/>
        <v>15000</v>
      </c>
      <c r="CI42" s="1"/>
    </row>
    <row r="43" spans="1:87" ht="15" customHeight="1" x14ac:dyDescent="0.2">
      <c r="A43" s="1"/>
      <c r="B43" s="7">
        <v>4</v>
      </c>
      <c r="C43" s="266" t="s">
        <v>706</v>
      </c>
      <c r="D43" s="268"/>
      <c r="E43" s="1"/>
      <c r="F43" s="2">
        <v>38</v>
      </c>
      <c r="G43" s="1" t="str">
        <f>IF(ISBLANK(Input!CB43), "", Input!CB43*1000)</f>
        <v/>
      </c>
      <c r="H43" s="1" t="str">
        <f>IF(ISBLANK(Input!CC43), "", Input!CC43)</f>
        <v/>
      </c>
      <c r="I43" s="1">
        <f>IF(Input!$CF$5 + Input!$CF$6*(FLOOR((Calculations!$F43-1)/(FLOOR((Input!$CF$12-Input!$CF$10)/Input!$CF$11,1)+1),1)) &gt; Input!$CF$7, "", (Input!$CF$5 + Input!$CF$6*(FLOOR((Calculations!$F43-1)/(FLOOR((Input!$CF$12-Input!$CF$10)/Input!$CF$11,1)+1),1)))*1000)</f>
        <v>15000</v>
      </c>
      <c r="J43" s="1">
        <f>IF(Calculations!I43 = "", "", Input!$CF$10 + Input!$CF$11*(Calculations!$F43-1) - (FLOOR((Input!$CF$12-Input!$CF$10)/Input!$CF$11,1)+1)*Input!$CF$11*FLOOR((Calculations!$F43-1)/(FLOOR((Input!$CF$12-Input!$CF$10)/Input!$CF$11,1)+1),1))</f>
        <v>650</v>
      </c>
      <c r="K43" s="8" t="str">
        <f t="shared" si="14"/>
        <v/>
      </c>
      <c r="L43" s="117" t="str">
        <f>IF(OR(Input!$CJ$5 + Input!$CJ$6*(Calculations!F43-1) &gt; Input!$CJ$7, Input!$CJ$5 + Input!$CJ$6*(Calculations!F43-1) &gt; 350), "", Input!$CJ$5 + Input!$CJ$6*(Calculations!F43-1))</f>
        <v/>
      </c>
      <c r="M43" s="1">
        <f t="shared" si="2"/>
        <v>15000</v>
      </c>
      <c r="N43" s="1">
        <f t="shared" si="3"/>
        <v>650</v>
      </c>
      <c r="O43" s="1">
        <f t="shared" si="15"/>
        <v>923.15</v>
      </c>
      <c r="P43" s="1" t="e">
        <f>IF(OR($D$20=3,AND($D$21=TRUE,M43&lt;1000)),INDEX('Water Density'!$C$6:$CX$120,MATCH(Calculations!N43,'Water Density'!$B$6:$B$120),MATCH(Calculations!M43/1000,'Water Density'!$C$5:$CX$5)),NA())</f>
        <v>#N/A</v>
      </c>
      <c r="Q43" s="182">
        <f>IF(OR($D$20=3,AND($D$21=TRUE,M43&lt;1000)), IF(P43&lt;&gt;0,P43,NA()), calculateDensity(M43,N43,$D$20,0.01,$D$19 = 3))</f>
        <v>1.0381041828727724</v>
      </c>
      <c r="R43" s="1" t="e">
        <f>IF($D$22=5,INDEX('Dielectric Constant'!$C$6:$CX$120,MATCH(Calculations!N43,'Dielectric Constant'!$B$6:$B$120),MATCH(Calculations!M43/1000,'Dielectric Constant'!$C$5:$CX$5)),NA())</f>
        <v>#N/A</v>
      </c>
      <c r="S43" s="58">
        <f>IF($D$22=5, IF(R43&lt;&gt;0,R43,NA()), IF(AND($D$23,M43&lt;=5000,$D$19 &lt;&gt; 3),calculateEpsilon(Q43,N43,1,FALSE),calculateEpsilon(Q43,N43,$D$22,$D$19 = 3)))</f>
        <v>20.061069008368271</v>
      </c>
      <c r="T43" s="1" t="e">
        <f>IF($D$24=3,INDEX('Water Free Energy'!$C$6:$CX$120,MATCH(Calculations!N43,'Water Free Energy'!$B$6:$B$120),MATCH(Calculations!M43/1000,'Water Free Energy'!$C$5:$CX$5)),NA())</f>
        <v>#N/A</v>
      </c>
      <c r="U43" s="179">
        <f>IF($D$27,calculateQ(M43,N43,Q43,$D$20,$D$22,$D$19=3)*10^6,NA())</f>
        <v>0.74677071485958491</v>
      </c>
      <c r="V43"/>
      <c r="W43" s="2">
        <f t="shared" si="5"/>
        <v>15000</v>
      </c>
      <c r="X43" s="1">
        <f t="shared" si="6"/>
        <v>650</v>
      </c>
      <c r="Y43" s="1">
        <f>Results!F45</f>
        <v>0</v>
      </c>
      <c r="Z43" s="1">
        <f>Results!G45</f>
        <v>0</v>
      </c>
      <c r="AA43" s="1">
        <f>Results!H45</f>
        <v>0</v>
      </c>
      <c r="AB43" s="1">
        <f>Results!I45</f>
        <v>0</v>
      </c>
      <c r="AC43" s="1" t="e">
        <f>IF(ISBLANK(Input!$O$4),NA(),'Reaction Information'!$E$5-'Reaction Information'!$G$5*(Calculations!$O43-Calculations!$C$8)+'Reaction Information'!$I$5*(Calculations!$O43-Calculations!$C$8-Calculations!$O43*LN(Calculations!$O43/Calculations!$C$8))+'Reaction Information'!$J$5*0.001/2*(2*Calculations!$O43*Calculations!$C$8-Calculations!$O43^2-Calculations!$C$8^2) + 'Reaction Information'!$K$5*100000*(Calculations!$O43^2 + Calculations!$C$8^2 - 2*Calculations!$O43*Calculations!$C$8)/(2*Calculations!$O43*Calculations!$C$8^2))</f>
        <v>#N/A</v>
      </c>
      <c r="AD43" s="8" t="e">
        <f>IF(ISBLANK(Input!$R$4),NA(),'Reaction Information'!$E$9-'Reaction Information'!$G$9*(Calculations!$O43-Calculations!$C$8)+'Reaction Information'!$I$9*(Calculations!$O43-Calculations!$C$8-Calculations!$O43*LN(Calculations!$O43/Calculations!$C$8))+'Reaction Information'!$J$9*0.001/2*(2*Calculations!$O43*Calculations!$C$8-Calculations!$O43^2-Calculations!$C$8^2) + 'Reaction Information'!$K$9*100000*(Calculations!$O43^2 + Calculations!$C$8^2 - 2*Calculations!$O43*Calculations!$C$8)/(2*Calculations!$O43*Calculations!$C$8^2))</f>
        <v>#N/A</v>
      </c>
      <c r="AE43" s="8">
        <f>IF(AE$5="H2O",IF($D$24=3,IF(T43=0,NA(),T43),calculateGibbsOfWater(M43,N43,$D$24,$D$20,$D$19=3)),NA())</f>
        <v>-66705.884743704592</v>
      </c>
      <c r="AF43" s="8">
        <f>IF(ISBLANK(Input!$X$4),NA(),'Reaction Information'!$E$13-'Reaction Information'!$G$13*(Calculations!O43-Calculations!$C$8)-'Reaction Information'!$N$13*(Calculations!O43*LN(Calculations!O43/Calculations!$C$8)-Calculations!O43+Calculations!$C$8)-'Reaction Information'!$O$13*10^4*(((1/(Calculations!O43-Calculations!$C$13))-(1/(Calculations!$C$8-Calculations!$C$13)))*((Calculations!$C$13-Calculations!O43)/(Calculations!$C$13))-(Calculations!O43/(Calculations!$C$13*Calculations!$C$13))*LN((Calculations!$C$8*(Calculations!O43-Calculations!$C$13))/(Calculations!O43*(Calculations!$C$8-Calculations!$C$13))))+'Reaction Information'!$J$13*10^-1*(Calculations!M43-Calculations!$C$9)+'Reaction Information'!$K$13*10^2*LN((Calculations!$C$12+Calculations!M43)/(Calculations!$C$12+Calculations!$C$9))+(1/(Calculations!O43-Calculations!$C$13))*('Reaction Information'!$L$13*(Calculations!M43-Calculations!$C$9)+'Reaction Information'!$M$13*10^4*LN((Calculations!$C$12+Calculations!M43)/(Calculations!$C$12+Calculations!$C$9)))+calculateOmega(Calculations!M43,Calculations!N43,Calculations!Q43,'Reaction Information'!$C$13,'Reaction Information'!$P$13*10^5,'Reaction Information'!$Q$13)*((1/Calculations!S43)-1)-'Reaction Information'!$P$13*10^5*((1/Calculations!$C$10)-1)+'Reaction Information'!$P$13*10^5*Calculations!$C$14*(Calculations!O43-Calculations!$C$8))</f>
        <v>-107483.79459485228</v>
      </c>
      <c r="AG43" s="8" t="e">
        <f>IF(ISBLANK(Input!$AA$4),NA(),'Reaction Information'!$E$17-'Reaction Information'!$G$17*(Calculations!$O43-Calculations!$C$8)-'Reaction Information'!$N$17*(Calculations!$O43*LN(Calculations!$O43/Calculations!$C$8)-Calculations!$O43+Calculations!$C$8)-'Reaction Information'!$O$17*10^4*(((1/(Calculations!$O43-Calculations!$C$13))-(1/(Calculations!$C$8-Calculations!$C$13)))*((Calculations!$C$13-Calculations!$O43)/(Calculations!$C$13))-(Calculations!$O43/(Calculations!$C$13*Calculations!$C$13))*LN((Calculations!$C$8*(Calculations!$O43-Calculations!$C$13))/(Calculations!$O43*(Calculations!$C$8-Calculations!$C$13))))+'Reaction Information'!$J$17*10^-1*(Calculations!$M43-Calculations!$C$9)+'Reaction Information'!$K$17*10^2*LN((Calculations!$C$12+Calculations!$M43)/(Calculations!$C$12+Calculations!$C$9))+(1/(Calculations!$O43-Calculations!$C$13))*('Reaction Information'!$L$17*(Calculations!$M43-Calculations!$C$9)+'Reaction Information'!$M$17*10^4*LN((Calculations!$C$12+Calculations!$M43)/(Calculations!$C$12+Calculations!$C$9)))+calculateOmega(Calculations!M43,Calculations!N43,Calculations!Q43,'Reaction Information'!$C$17,'Reaction Information'!$P$17*10^5,'Reaction Information'!$Q$17)*((1/Calculations!$S43)-1)-'Reaction Information'!$P$17*10^5*((1/Calculations!$C$10)-1)+'Reaction Information'!$P$17*10^5*Calculations!$C$14*(Calculations!$O43-Calculations!$C$8))</f>
        <v>#N/A</v>
      </c>
      <c r="AH43" s="8" t="e">
        <f>IF(ISBLANK(Input!$AD$4),NA(),'Reaction Information'!$E$21-'Reaction Information'!$G$21*(Calculations!$O43-Calculations!$C$8)-'Reaction Information'!$N$21*(Calculations!$O43*LN(Calculations!$O43/Calculations!$C$8)-Calculations!$O43+Calculations!$C$8)-'Reaction Information'!$O$21*10^4*(((1/(Calculations!$O43-Calculations!$C$13))-(1/(Calculations!$C$8-Calculations!$C$13)))*((Calculations!$C$13-Calculations!$O43)/(Calculations!$C$13))-(Calculations!$O43/(Calculations!$C$13*Calculations!$C$13))*LN((Calculations!$C$8*(Calculations!$O43-Calculations!$C$13))/(Calculations!$O43*(Calculations!$C$8-Calculations!$C$13))))+'Reaction Information'!$J$21*10^-1*(Calculations!$M43-Calculations!$C$9)+'Reaction Information'!$K$21*10^2*LN((Calculations!$C$12+Calculations!$M43)/(Calculations!$C$12+Calculations!$C$9))+(1/(Calculations!$O43-Calculations!$C$13))*('Reaction Information'!$L$21*(Calculations!$M43-Calculations!$C$9)+'Reaction Information'!$M$21*10^4*LN((Calculations!$C$12+Calculations!$M43)/(Calculations!$C$12+Calculations!$C$9)))+calculateOmega(Calculations!M43,Calculations!N43,Calculations!Q43,'Reaction Information'!$C$21,'Reaction Information'!$P$21*10^5,'Reaction Information'!$Q$21)*((1/Calculations!$S43)-1)-'Reaction Information'!$P$21*10^5*((1/Calculations!$C$10)-1)+'Reaction Information'!$P$21*10^5*Calculations!$C$14*(Calculations!$O43-Calculations!$C$8))</f>
        <v>#N/A</v>
      </c>
      <c r="AI43" s="8" t="e">
        <f>IF(ISBLANK(Input!$AG$4),NA(),'Reaction Information'!$E$25-'Reaction Information'!$G$25*(Calculations!$O43-Calculations!$C$8)-'Reaction Information'!$N$25*(Calculations!$O43*LN(Calculations!$O43/Calculations!$C$8)-Calculations!$O43+Calculations!$C$8)-'Reaction Information'!$O$25*10^4*(((1/(Calculations!$O43-Calculations!$C$13))-(1/(Calculations!$C$8-Calculations!$C$13)))*((Calculations!$C$13-Calculations!$O43)/(Calculations!$C$13))-(Calculations!$O43/(Calculations!$C$13*Calculations!$C$13))*LN((Calculations!$C$8*(Calculations!$O43-Calculations!$C$13))/(Calculations!$O43*(Calculations!$C$8-Calculations!$C$13))))+'Reaction Information'!$J$25*10^-1*(Calculations!$M43-Calculations!$C$9)+'Reaction Information'!$K$25*10^2*LN((Calculations!$C$12+Calculations!$M43)/(Calculations!$C$12+Calculations!$C$9))+(1/(Calculations!$O43-Calculations!$C$13))*('Reaction Information'!$L$25*(Calculations!$M43-Calculations!$C$9)+'Reaction Information'!$M$25*10^4*LN((Calculations!$C$12+Calculations!$M43)/(Calculations!$C$12+Calculations!$C$9)))+calculateOmega(Calculations!M43,Calculations!N43,Calculations!Q43,'Reaction Information'!$C$25,'Reaction Information'!$P$25*10^5,'Reaction Information'!$Q$25)*((1/Calculations!$S43)-1)-'Reaction Information'!$P$25*10^5*((1/Calculations!$C$10)-1)+'Reaction Information'!$P$25*10^5*Calculations!$C$14*(Calculations!$O43-Calculations!$C$8))</f>
        <v>#N/A</v>
      </c>
      <c r="AJ43" s="8" t="e">
        <f>IF(ISBLANK(Input!$AJ$4),NA(),'Reaction Information'!$E$29-'Reaction Information'!$G$29*(Calculations!$O43-Calculations!$C$8)-'Reaction Information'!$N$29*(Calculations!$O43*LN(Calculations!$O43/Calculations!$C$8)-Calculations!$O43+Calculations!$C$8)-'Reaction Information'!$O$29*10^4*(((1/(Calculations!$O43-Calculations!$C$13))-(1/(Calculations!$C$8-Calculations!$C$13)))*((Calculations!$C$13-Calculations!$O43)/(Calculations!$C$13))-(Calculations!$O43/(Calculations!$C$13*Calculations!$C$13))*LN((Calculations!$C$8*(Calculations!$O43-Calculations!$C$13))/(Calculations!$O43*(Calculations!$C$8-Calculations!$C$13))))+'Reaction Information'!$J$29*10^-1*(Calculations!$M43-Calculations!$C$9)+'Reaction Information'!$K$29*10^2*LN((Calculations!$C$12+Calculations!$M43)/(Calculations!$C$12+Calculations!$C$9))+(1/(Calculations!$O43-Calculations!$C$13))*('Reaction Information'!$L$29*(Calculations!$M43-Calculations!$C$9)+'Reaction Information'!$M$29*10^4*LN((Calculations!$C$12+Calculations!$M43)/(Calculations!$C$12+Calculations!$C$9)))+calculateOmega(Calculations!M43,Calculations!N43,Calculations!Q43,'Reaction Information'!$C$29,'Reaction Information'!$P$29*10^5,'Reaction Information'!$Q$29)*((1/Calculations!$S43)-1)-'Reaction Information'!$P$29*10^5*((1/Calculations!$C$10)-1)+'Reaction Information'!$P$29*10^5*Calculations!$C$14*(Calculations!$O43-Calculations!$C$8))</f>
        <v>#N/A</v>
      </c>
      <c r="AK43" s="8" t="e">
        <f>IF(ISBLANK(Input!$AM$4),NA(),'Reaction Information'!$E$33-'Reaction Information'!$G$33*(Calculations!$O43-Calculations!$C$8)-'Reaction Information'!$N$33*(Calculations!$O43*LN(Calculations!$O43/Calculations!$C$8)-Calculations!$O43+Calculations!$C$8)-'Reaction Information'!$O$33*10^4*(((1/(Calculations!$O43-Calculations!$C$13))-(1/(Calculations!$C$8-Calculations!$C$13)))*((Calculations!$C$13-Calculations!$O43)/(Calculations!$C$13))-(Calculations!$O43/(Calculations!$C$13*Calculations!$C$13))*LN((Calculations!$C$8*(Calculations!$O43-Calculations!$C$13))/(Calculations!$O43*(Calculations!$C$8-Calculations!$C$13))))+'Reaction Information'!$J$33*10^-1*(Calculations!$M43-Calculations!$C$9)+'Reaction Information'!$K$33*10^2*LN((Calculations!$C$12+Calculations!$M43)/(Calculations!$C$12+Calculations!$C$9))+(1/(Calculations!$O43-Calculations!$C$13))*('Reaction Information'!$L$33*(Calculations!$M43-Calculations!$C$9)+'Reaction Information'!$M$33*10^4*LN((Calculations!$C$12+Calculations!$M43)/(Calculations!$C$12+Calculations!$C$9)))+calculateOmega(Calculations!M43,Calculations!N43,Calculations!Q43,'Reaction Information'!$C$33,'Reaction Information'!$P$33*10^5,'Reaction Information'!$Q$33)*((1/Calculations!$S43)-1)-'Reaction Information'!$P$33*10^5*((1/Calculations!$C$10)-1)+'Reaction Information'!$P$33*10^5*Calculations!$C$14*(Calculations!$O43-Calculations!$C$8))</f>
        <v>#N/A</v>
      </c>
      <c r="AL43" s="1">
        <f>Results!S45</f>
        <v>0</v>
      </c>
      <c r="AM43" s="1">
        <f>Results!T45</f>
        <v>0</v>
      </c>
      <c r="AN43" s="1">
        <f>Results!U45</f>
        <v>0</v>
      </c>
      <c r="AO43" s="1">
        <f>Results!V45</f>
        <v>0</v>
      </c>
      <c r="AP43" s="8" t="e">
        <f>IF(ISBLANK(Input!$BB$4),NA(),'Reaction Information'!$E$38-'Reaction Information'!$G$38*(Calculations!$O43-Calculations!$C$8)+'Reaction Information'!$I$38*(Calculations!$O43-Calculations!$C$8-Calculations!$O43*LN(Calculations!$O43/Calculations!$C$8))+'Reaction Information'!$J$38*0.001/2*(2*Calculations!$O43*Calculations!$C$8-Calculations!$O43^2-Calculations!$C$8^2) + 'Reaction Information'!$K$38*100000*(Calculations!$O43^2 + Calculations!$C$8^2 - 2*Calculations!$O43*Calculations!$C$8)/(2*Calculations!$O43*Calculations!$C$8^2))</f>
        <v>#N/A</v>
      </c>
      <c r="AQ43" s="8" t="e">
        <f>IF(ISBLANK(Input!$BE$4),NA(),'Reaction Information'!$E$42-'Reaction Information'!$G$42*(Calculations!$O43-Calculations!$C$8)+'Reaction Information'!$I$42*(Calculations!$O43-Calculations!$C$8-Calculations!$O43*LN(Calculations!$O43/Calculations!$C$8))+'Reaction Information'!$J$42*0.001/2*(2*Calculations!$O43*Calculations!$C$8-Calculations!$O43^2-Calculations!$C$8^2) + 'Reaction Information'!$K$42*100000*(Calculations!$O43^2 + Calculations!$C$8^2 - 2*Calculations!$O43*Calculations!$C$8)/(2*Calculations!$O43*Calculations!$C$8^2))</f>
        <v>#N/A</v>
      </c>
      <c r="AR43" s="8" t="e">
        <f>IF(AR$5="H2O", IF($D$24=3,IF(T43=0,NA(),T43),calculateGibbsOfWater(M43,N43,$D$24,$D$20,$D$19=3)),NA())</f>
        <v>#N/A</v>
      </c>
      <c r="AS43" s="8">
        <f>IF(ISBLANK(Input!$BK$4),NA(),'Reaction Information'!$E$46-'Reaction Information'!$G$46*(Calculations!O43-Calculations!$C$8)-'Reaction Information'!$N$46*(Calculations!O43*LN(Calculations!O43/Calculations!$C$8)-Calculations!O43+Calculations!$C$8)-'Reaction Information'!$O$46*10^4*(((1/(Calculations!O43-Calculations!$C$13))-(1/(Calculations!$C$8-Calculations!$C$13)))*((Calculations!$C$13-Calculations!O43)/(Calculations!$C$13))-(Calculations!O43/(Calculations!$C$13*Calculations!$C$13))*LN((Calculations!$C$8*(Calculations!O43-Calculations!$C$13))/(Calculations!O43*(Calculations!$C$8-Calculations!$C$13))))+'Reaction Information'!$J$46*10^-1*(Calculations!$M43-Calculations!$C$9)+'Reaction Information'!$K$46*10^2*LN((Calculations!$C$12+Calculations!$M43)/(Calculations!$C$12+Calculations!$C$9))+(1/(Calculations!O43-Calculations!$C$13))*('Reaction Information'!$L$46*(Calculations!$M43-Calculations!$C$9)+'Reaction Information'!$M$46*10^4*LN((Calculations!$C$12+Calculations!$M43)/(Calculations!$C$12+Calculations!$C$9)))+calculateOmega(Calculations!M43,Calculations!N43,Calculations!Q43,'Reaction Information'!$C$46,'Reaction Information'!$P$46*10^5,'Reaction Information'!$Q$46)*((1/Calculations!S43)-1)-'Reaction Information'!$P$46*10^5*((1/Calculations!$C$10)-1)+'Reaction Information'!$P$46*10^5*Calculations!$C$14*(Calculations!O43-Calculations!$C$8))</f>
        <v>0</v>
      </c>
      <c r="AT43" s="8">
        <f>IF(ISBLANK(Input!$BN$4),NA(),'Reaction Information'!$E$50-'Reaction Information'!$G$50*(Calculations!O43-Calculations!$C$8)-'Reaction Information'!$N$50*(Calculations!O43*LN(Calculations!O43/Calculations!$C$8)-Calculations!O43+Calculations!$C$8)-'Reaction Information'!$O$50*10^4*(((1/(Calculations!O43-Calculations!$C$13))-(1/(Calculations!$C$8-Calculations!$C$13)))*((Calculations!$C$13-Calculations!O43)/(Calculations!$C$13))-(Calculations!O43/(Calculations!$C$13*Calculations!$C$13))*LN((Calculations!$C$8*(Calculations!O43-Calculations!$C$13))/(Calculations!O43*(Calculations!$C$8-Calculations!$C$13))))+'Reaction Information'!$J$50*10^-1*(Calculations!$M43-Calculations!$C$9)+'Reaction Information'!$K$50*10^2*LN((Calculations!$C$12+Calculations!$M43)/(Calculations!$C$12+Calculations!$C$9))+(1/(Calculations!O43-Calculations!$C$13))*('Reaction Information'!$L$50*(Calculations!$M43-Calculations!$C$9)+'Reaction Information'!$M$50*10^4*LN((Calculations!$C$12+Calculations!$M43)/(Calculations!$C$12+Calculations!$C$9)))+calculateOmega(Calculations!M43,Calculations!N43,Calculations!Q43,'Reaction Information'!$C$50,'Reaction Information'!$P$50*10^5,'Reaction Information'!$Q$50)*((1/Calculations!S43)-1)-'Reaction Information'!$P$50*10^5*((1/Calculations!$C$10)-1)+'Reaction Information'!$P$50*10^5*Calculations!$C$14*(Calculations!O43-Calculations!$C$8))</f>
        <v>-147194.74000334664</v>
      </c>
      <c r="AU43" s="8" t="e">
        <f>IF(ISBLANK(Input!$BQ$4),NA(),'Reaction Information'!$E$54-'Reaction Information'!$G$54*(Calculations!$O43-Calculations!$C$8)-'Reaction Information'!$N$54*(Calculations!$O43*LN(Calculations!$O43/Calculations!$C$8)-Calculations!$O43+Calculations!$C$8)-'Reaction Information'!$O$54*10^4*(((1/(Calculations!$O43-Calculations!$C$13))-(1/(Calculations!$C$8-Calculations!$C$13)))*((Calculations!$C$13-Calculations!$O43)/(Calculations!$C$13))-(Calculations!$O43/(Calculations!$C$13*Calculations!$C$13))*LN((Calculations!$C$8*(Calculations!$O43-Calculations!$C$13))/(Calculations!$O43*(Calculations!$C$8-Calculations!$C$13))))+'Reaction Information'!$J$54*10^-1*(Calculations!$M43-Calculations!$C$9)+'Reaction Information'!$K$54*10^2*LN((Calculations!$C$12+Calculations!$M43)/(Calculations!$C$12+Calculations!$C$9))+(1/(Calculations!$O43-Calculations!$C$13))*('Reaction Information'!$L$54*(Calculations!$M43-Calculations!$C$9)+'Reaction Information'!$M$54*10^4*LN((Calculations!$C$12+Calculations!$M43)/(Calculations!$C$12+Calculations!$C$9)))+calculateOmega(Calculations!M43,Calculations!N43,Calculations!Q43,'Reaction Information'!$C$54,'Reaction Information'!$P$54*10^5,'Reaction Information'!$Q$54)*((1/Calculations!$S43)-1)-'Reaction Information'!$P$54*10^5*((1/Calculations!$C$10)-1)+'Reaction Information'!$P$54*10^5*Calculations!$C$14*(Calculations!$O43-Calculations!$C$8))</f>
        <v>#N/A</v>
      </c>
      <c r="AV43" s="8" t="e">
        <f>IF(ISBLANK(Input!$BT$4),NA(),'Reaction Information'!$E$58-'Reaction Information'!$G$58*(Calculations!$O43-Calculations!$C$8)-'Reaction Information'!$N$58*(Calculations!$O43*LN(Calculations!$O43/Calculations!$C$8)-Calculations!$O43+Calculations!$C$8)-'Reaction Information'!$O$58*10^4*(((1/(Calculations!$O43-Calculations!$C$13))-(1/(Calculations!$C$8-Calculations!$C$13)))*((Calculations!$C$13-Calculations!$O43)/(Calculations!$C$13))-(Calculations!$O43/(Calculations!$C$13*Calculations!$C$13))*LN((Calculations!$C$8*(Calculations!$O43-Calculations!$C$13))/(Calculations!$O43*(Calculations!$C$8-Calculations!$C$13))))+'Reaction Information'!$J$58*10^-1*(Calculations!$M43-Calculations!$C$9)+'Reaction Information'!$K$58*10^2*LN((Calculations!$C$12+Calculations!$M43)/(Calculations!$C$12+Calculations!$C$9))+(1/(Calculations!$O43-Calculations!$C$13))*('Reaction Information'!$L$58*(Calculations!$M43-Calculations!$C$9)+'Reaction Information'!$M$58*10^4*LN((Calculations!$C$12+Calculations!$M43)/(Calculations!$C$12+Calculations!$C$9)))+calculateOmega(Calculations!M43,Calculations!N43,Calculations!Q43,'Reaction Information'!$C$58,'Reaction Information'!$P$58*10^5,'Reaction Information'!$Q$58)*((1/Calculations!$S43)-1)-'Reaction Information'!$P$58*10^5*((1/Calculations!$C$10)-1)+'Reaction Information'!$P$58*10^5*Calculations!$C$14*(Calculations!$O43-Calculations!$C$8))</f>
        <v>#N/A</v>
      </c>
      <c r="AW43" s="8" t="e">
        <f>IF(ISBLANK(Input!$BW$4),NA(),'Reaction Information'!$E$62-'Reaction Information'!$G$62*(Calculations!$O43-Calculations!$C$8)-'Reaction Information'!$N$62*(Calculations!$O43*LN(Calculations!$O43/Calculations!$C$8)-Calculations!$O43+Calculations!$C$8)-'Reaction Information'!$O$62*10^4*(((1/(Calculations!$O43-Calculations!$C$13))-(1/(Calculations!$C$8-Calculations!$C$13)))*((Calculations!$C$13-Calculations!$O43)/(Calculations!$C$13))-(Calculations!$O43/(Calculations!$C$13*Calculations!$C$13))*LN((Calculations!$C$8*(Calculations!$O43-Calculations!$C$13))/(Calculations!$O43*(Calculations!$C$8-Calculations!$C$13))))+'Reaction Information'!$J$62*10^-1*(Calculations!$M43-Calculations!$C$9)+'Reaction Information'!$K$62*10^2*LN((Calculations!$C$12+Calculations!$M43)/(Calculations!$C$12+Calculations!$C$9))+(1/(Calculations!$O43-Calculations!$C$13))*('Reaction Information'!$L$62*(Calculations!$M43-Calculations!$C$9)+'Reaction Information'!$M$62*10^4*LN((Calculations!$C$12+Calculations!$M43)/(Calculations!$C$12+Calculations!$C$9)))+calculateOmega(Calculations!M43,Calculations!N43,Calculations!Q43,'Reaction Information'!$C$62,'Reaction Information'!$P$62*10^5,'Reaction Information'!$Q$62)*((1/Calculations!$S43)-1)-'Reaction Information'!$P$62*10^5*((1/Calculations!$C$10)-1)+'Reaction Information'!$P$62*10^5*Calculations!$C$14*(Calculations!$O43-Calculations!$C$8))</f>
        <v>#N/A</v>
      </c>
      <c r="AX43" s="8" t="e">
        <f>IF(ISBLANK(Input!$BZ$4),NA(),'Reaction Information'!$E$66-'Reaction Information'!$G$66*(Calculations!$O43-Calculations!$C$8)-'Reaction Information'!$N$66*(Calculations!$O43*LN(Calculations!$O43/Calculations!$C$8)-Calculations!$O43+Calculations!$C$8)-'Reaction Information'!$O$66*10^4*(((1/(Calculations!$O43-Calculations!$C$13))-(1/(Calculations!$C$8-Calculations!$C$13)))*((Calculations!$C$13-Calculations!$O43)/(Calculations!$C$13))-(Calculations!$O43/(Calculations!$C$13*Calculations!$C$13))*LN((Calculations!$C$8*(Calculations!$O43-Calculations!$C$13))/(Calculations!$O43*(Calculations!$C$8-Calculations!$C$13))))+'Reaction Information'!$J$66*10^-1*(Calculations!$M43-Calculations!$C$9)+'Reaction Information'!$K$66*10^2*LN((Calculations!$C$12+Calculations!$M43)/(Calculations!$C$12+Calculations!$C$9))+(1/(Calculations!$O43-Calculations!$C$13))*('Reaction Information'!$L$66*(Calculations!$M43-Calculations!$C$9)+'Reaction Information'!$M$66*10^4*LN((Calculations!$C$12+Calculations!$M43)/(Calculations!$C$12+Calculations!$C$9)))+calculateOmega(Calculations!M43,Calculations!N43,Calculations!Q43,'Reaction Information'!$C$66,'Reaction Information'!$P$66*10^5,'Reaction Information'!$Q$66)*((1/Calculations!$S43)-1)-'Reaction Information'!$P$66*10^5*((1/Calculations!$C$10)-1)+'Reaction Information'!$P$66*10^5*Calculations!$C$14*(Calculations!$O43-Calculations!$C$8))</f>
        <v>#N/A</v>
      </c>
      <c r="AY43" s="31">
        <f>(AL43*Input!$AO$4+AM43*Input!$AR$4+AN43*Input!$AU$4+AO43*Input!$AX$4+IF(ISNA(AP43),0,AP43*Input!$BA$4)+IF(ISNA(AQ43),0,AQ43*Input!$BD$4)+IF(ISNA(AR43),0,AR43*Input!$BG$4)+IF(ISNA(AS43),0,AS43*Input!$BJ$4)+IF(ISNA(AT43),0,AT43*Input!$BM$4)+IF(ISNA(AU43),0,AU43*Input!$BP$4)+IF(ISNA(AV43),0,AV43*Input!$BS$4)+IF(ISNA(AW43),0,AW43*Input!$BV$4)+IF(ISNA(AX43),0,AX43*Input!$BY$4))-(Y43*Input!$B$4+Z43*Input!$E$4+AA43*Input!$H$4+AB43*Input!$K$4+IF(ISNA(AC43),0,AC43*Input!$N$4)+IF(ISNA(AD43),0,AD43*Input!$Q$4)+IF(ISNA(AE43),0,AE43*Input!$T$4)+IF(ISNA(AF43),0,AF43*Input!$W$4)+IF(ISNA(AG43),0,AG43*Input!$Z$4)+IF(ISNA(AH43),0,AH43*Input!$AC$4)+IF(ISNA(AI43),0,AI43*Input!$AF$4)+IF(ISNA(AJ43),0,AJ43*Input!$AI$4)+IF(ISNA(AK43),0,AK43*Input!$AL$4))</f>
        <v>26994.939335210249</v>
      </c>
      <c r="AZ43" s="42">
        <f t="shared" si="16"/>
        <v>-6.3950207115696047</v>
      </c>
      <c r="BA43" s="1">
        <f t="shared" si="8"/>
        <v>650</v>
      </c>
      <c r="BB43" s="46">
        <f t="shared" si="9"/>
        <v>15000</v>
      </c>
      <c r="BC43" s="1"/>
      <c r="BD43" s="2">
        <f t="shared" si="10"/>
        <v>15000</v>
      </c>
      <c r="BE43" s="46">
        <f t="shared" si="11"/>
        <v>650</v>
      </c>
      <c r="BF43" s="1">
        <f>Results!AJ45</f>
        <v>0</v>
      </c>
      <c r="BG43" s="1">
        <f>Results!AK45</f>
        <v>0</v>
      </c>
      <c r="BH43" s="1">
        <f>Results!AL45</f>
        <v>0</v>
      </c>
      <c r="BI43" s="1">
        <f>Results!AM45</f>
        <v>0</v>
      </c>
      <c r="BJ43" s="1" t="e">
        <f>IF(OR(ISNA('Reaction Information'!$D$5), $N43 = "", $D$27 = FALSE, 'Reaction Information'!$D$5 = ""), NA(), 24.465)</f>
        <v>#N/A</v>
      </c>
      <c r="BK43" s="1" t="e">
        <f>IF(OR(ISNA('Reaction Information'!$D$9), $N43 = "", $D$27 = FALSE, 'Reaction Information'!$D$9 = ""), NA(), 24.465)</f>
        <v>#N/A</v>
      </c>
      <c r="BL43" s="8">
        <f t="shared" si="17"/>
        <v>17.354019275932259</v>
      </c>
      <c r="BM43" s="8">
        <f>IF(OR(ISBLANK(Input!$X$4),$D$27=FALSE),NA(),('Reaction Information'!$J$13/10+'Reaction Information'!$K$13*100/(Calculations!$C$12+Calculations!$M43)+('Reaction Information'!$L$13+'Reaction Information'!$M$13*10^4/(Calculations!$C$12+Calculations!$M43))/(Calculations!$O43-Calculations!$C$13) -calculateOmega(Calculations!$M43,Calculations!$N43,Calculations!$Q43,'Reaction Information'!$C$13,'Reaction Information'!$P$13*10^5,'Reaction Information'!$Q$13)*Calculations!$U43*10^-6 + (1/$S43 - 1)*calculate_domegadP(Calculations!$M43,Calculations!$N43,Calculations!$Q43,'Reaction Information'!$C$13,'Reaction Information'!$P$13*10^5,'Reaction Information'!$Q$13,$D$20,$D$19=3))*41.84)</f>
        <v>32.264896942693703</v>
      </c>
      <c r="BN43" s="8" t="e">
        <f>IF(OR(ISBLANK(Input!$AA$4),$D$27=FALSE),NA(),('Reaction Information'!$J$17/10+'Reaction Information'!$K$17*100/(Calculations!$C$12+Calculations!$M43)+('Reaction Information'!$L$17+'Reaction Information'!$M$17*10000/(Calculations!$C$12+Calculations!$M43))/(Calculations!$O43-Calculations!$C$13)-calculateOmega(Calculations!M43,Calculations!N43,Calculations!Q43,'Reaction Information'!$C$17,'Reaction Information'!$P$17*10^5,'Reaction Information'!$Q$17)*Calculations!$U43*10^-6 + (1/$S43 - 1)*calculate_domegadP(Calculations!M43,Calculations!N43,Calculations!Q43,'Reaction Information'!$C$17,'Reaction Information'!$P$17*10^5,'Reaction Information'!$Q$17,$D$20,$D$19=3))*41.84)</f>
        <v>#N/A</v>
      </c>
      <c r="BO43" s="8" t="e">
        <f>IF(OR(ISBLANK(Input!$AD$4),$D$27=FALSE),NA(),('Reaction Information'!$J$21/10+'Reaction Information'!$K$21*100/(Calculations!$C$12+Calculations!$M43)+('Reaction Information'!$L$21+'Reaction Information'!$M$21*10000/(Calculations!$C$12+Calculations!$M43))/(Calculations!$O43-Calculations!$C$13)-calculateOmega(Calculations!M43,Calculations!N43,Calculations!Q43,'Reaction Information'!$C$21,'Reaction Information'!$P$21*10^5,'Reaction Information'!$Q$21)*Calculations!$U43*10^-6 + (1/$S43 - 1)*calculate_domegadP(Calculations!M43,Calculations!N43,Calculations!Q43,'Reaction Information'!$C$21,'Reaction Information'!$P$21*10^5,'Reaction Information'!$Q$21,$D$20,$D$19=3))*41.84)</f>
        <v>#N/A</v>
      </c>
      <c r="BP43" s="8" t="e">
        <f>IF(OR(ISBLANK(Input!$AG$4),$D$27=FALSE),NA(),('Reaction Information'!$J$25/10+'Reaction Information'!$K$25*100/(Calculations!$C$12+Calculations!$M43)+('Reaction Information'!$L$25+'Reaction Information'!$M$25*10000/(Calculations!$C$12+Calculations!$M43))/(Calculations!$O43-Calculations!$C$13)-calculateOmega(Calculations!M43,Calculations!N43,Calculations!Q43,'Reaction Information'!$C$25,'Reaction Information'!$P$25*10^5,'Reaction Information'!$Q$25)*Calculations!$U43*10^-6 + (1/$S43 - 1)*calculate_domegadP(Calculations!M43,Calculations!N43,Calculations!Q43,'Reaction Information'!$C$25,'Reaction Information'!$P$25*10^5,'Reaction Information'!$Q$25,$D$20,$D$19=3))*41.84)</f>
        <v>#N/A</v>
      </c>
      <c r="BQ43" s="8" t="e">
        <f>IF(OR(ISBLANK(Input!$AJ$4),$D$27=FALSE),NA(),('Reaction Information'!$J$29/10+'Reaction Information'!$K$29*100/(Calculations!$C$12+Calculations!$M43)+('Reaction Information'!$L$29+'Reaction Information'!$M$29*10000/(Calculations!$C$12+Calculations!$M43))/(Calculations!$O43-Calculations!$C$13)-calculateOmega(Calculations!M43,Calculations!N43,Calculations!Q43,'Reaction Information'!$C$29,'Reaction Information'!$P$29*10^5,'Reaction Information'!$Q$29)*Calculations!$U43*10^-6 + (1/$S43 - 1)*calculate_domegadP(Calculations!M43,Calculations!N43,Calculations!Q43,'Reaction Information'!$C$29,'Reaction Information'!$P$29*10^5,'Reaction Information'!$Q$29,$D$20,$D$19=3))*41.84)</f>
        <v>#N/A</v>
      </c>
      <c r="BR43" s="8" t="e">
        <f>IF(OR(ISBLANK(Input!$AM$4),$D$27=FALSE),NA(),('Reaction Information'!$J$33/10+'Reaction Information'!$K$33*100/(Calculations!$C$12+Calculations!$M43)+('Reaction Information'!$L$33+'Reaction Information'!$M$33*10000/(Calculations!$C$12+Calculations!$M43))/(Calculations!$O43-Calculations!$C$13)-calculateOmega(Calculations!M43,Calculations!N43,Calculations!Q43,'Reaction Information'!$C$33,'Reaction Information'!$P$33*10^5,'Reaction Information'!$Q$33)*Calculations!$U43*10^-6 + (1/$S43 - 1)*calculate_domegadP(Calculations!M43,Calculations!N43,Calculations!Q43,'Reaction Information'!$C$33,'Reaction Information'!$P$33*10^5,'Reaction Information'!$Q$33,$D$20,$D$19=3))*41.84)</f>
        <v>#N/A</v>
      </c>
      <c r="BS43" s="1">
        <f>Results!AW45</f>
        <v>0</v>
      </c>
      <c r="BT43" s="1">
        <f>Results!AX45</f>
        <v>0</v>
      </c>
      <c r="BU43" s="1">
        <f>Results!AY45</f>
        <v>0</v>
      </c>
      <c r="BV43" s="1">
        <f>Results!AZ45</f>
        <v>0</v>
      </c>
      <c r="BW43" s="1" t="e">
        <f>IF(OR(ISNA('Reaction Information'!$D$38), $N43 = "", $D$27 = FALSE, 'Reaction Information'!$D$38 = ""), NA(), 24.465)</f>
        <v>#N/A</v>
      </c>
      <c r="BX43" s="1" t="e">
        <f>IF(OR(ISNA('Reaction Information'!$D$42), $N43 = "", $D$27 = FALSE, 'Reaction Information'!$D$42 = ""), NA(), 24.465)</f>
        <v>#N/A</v>
      </c>
      <c r="BY43" s="8" t="e">
        <f t="shared" si="18"/>
        <v>#N/A</v>
      </c>
      <c r="BZ43" s="8">
        <f>IF(OR(ISBLANK(Input!$BK$4),$D$27=FALSE),NA(),('Reaction Information'!$J$46/10+'Reaction Information'!$K$46*100/(Calculations!$C$12+Calculations!$M43)+('Reaction Information'!$L$46+'Reaction Information'!$M$46*10000/(Calculations!$C$12+Calculations!$M43))/(Calculations!$O43-Calculations!$C$13)-calculateOmega(Calculations!M43,Calculations!N43,Calculations!Q43,'Reaction Information'!$C$46,'Reaction Information'!$P$46*10^5,'Reaction Information'!$Q$46)*Calculations!$U43*10^-6 + (1/$S43 - 1)*calculate_domegadP(Calculations!M43,Calculations!N43,Calculations!Q43,'Reaction Information'!$C$46,'Reaction Information'!$P$46*10^5,'Reaction Information'!$Q$46,$D$20,$D$19=3))*41.84)</f>
        <v>0</v>
      </c>
      <c r="CA43" s="8">
        <f>IF(OR(ISBLANK(Input!$BN$4),$D$27=FALSE),NA(),('Reaction Information'!$J$50/10+'Reaction Information'!$K$50*100/(Calculations!$C$12+Calculations!$M43)+('Reaction Information'!$L$50+'Reaction Information'!$M$50*10000/(Calculations!$C$12+Calculations!$M43))/(Calculations!$O43-Calculations!$C$13)-calculateOmega(Calculations!M43,Calculations!N43,Calculations!Q43,'Reaction Information'!$C$50,'Reaction Information'!$P$50*10^5,'Reaction Information'!$Q$50)*Calculations!$U43*10^-6 + (1/$S43 - 1)*calculate_domegadP(Calculations!M43,Calculations!N43,Calculations!Q43,'Reaction Information'!$C$50,'Reaction Information'!$P$50*10^5,'Reaction Information'!$Q$50,$D$20,$D$19=3))*41.84)</f>
        <v>28.187572425695027</v>
      </c>
      <c r="CB43" s="8" t="e">
        <f>IF(OR(ISBLANK(Input!$BQ$4),$D$27=FALSE),NA(),('Reaction Information'!$J$54/10+'Reaction Information'!$K$54*100/(Calculations!$C$12+Calculations!$M43)+('Reaction Information'!$L$54+'Reaction Information'!$M$54*10000/(Calculations!$C$12+Calculations!$M43))/(Calculations!$O43-Calculations!$C$13)-calculateOmega(Calculations!M43,Calculations!N43,Calculations!Q43,'Reaction Information'!$C$54,'Reaction Information'!$P$54*10^5,'Reaction Information'!$Q$54)*Calculations!$U43*10^-6 + (1/$S43 - 1)*calculate_domegadP(Calculations!M43,Calculations!N43,Calculations!Q43,'Reaction Information'!$C$54,'Reaction Information'!$P$54*10^5,'Reaction Information'!$Q$54,$D$20,$D$19=3))*41.84)</f>
        <v>#N/A</v>
      </c>
      <c r="CC43" s="8" t="e">
        <f>IF(OR(ISBLANK(Input!$BT$4),$D$27=FALSE),NA(),('Reaction Information'!$J$58/10+'Reaction Information'!$K$58*100/(Calculations!$C$12+Calculations!$M43)+('Reaction Information'!$L$58+'Reaction Information'!$M$58*10000/(Calculations!$C$12+Calculations!$M43))/(Calculations!$O43-Calculations!$C$13)-calculateOmega(Calculations!M43,Calculations!N43,Calculations!Q43,'Reaction Information'!$C$58,'Reaction Information'!$P$58*10^5,'Reaction Information'!$Q$58)*Calculations!$U43*10^-6 + (1/$S43 - 1)*calculate_domegadP(Calculations!M43,Calculations!N43,Calculations!Q43,'Reaction Information'!$C$58,'Reaction Information'!$P$58*10^5,'Reaction Information'!$Q$58,$D$20,$D$19=3))*41.84)</f>
        <v>#N/A</v>
      </c>
      <c r="CD43" s="8" t="e">
        <f>IF(OR(ISBLANK(Input!$BW$4),$D$27=FALSE),NA(),('Reaction Information'!$J$62/10+'Reaction Information'!$K$62*100/(Calculations!$C$12+Calculations!$M43)+('Reaction Information'!$L$62+'Reaction Information'!$M$62*10000/(Calculations!$C$12+Calculations!$M43))/(Calculations!$O43-Calculations!$C$13)-calculateOmega(Calculations!M43,Calculations!N43,Calculations!Q43,'Reaction Information'!$C$62,'Reaction Information'!$P$62*10^5,'Reaction Information'!$Q$62)*Calculations!$U43*10^-6 + (1/$S43 - 1)*calculate_domegadP(Calculations!M43,Calculations!N43,Calculations!Q43,'Reaction Information'!$C$62,'Reaction Information'!$P$62*10^5,'Reaction Information'!$Q$62,$D$20,$D$19=3))*41.84)</f>
        <v>#N/A</v>
      </c>
      <c r="CE43" s="8" t="e">
        <f>IF(OR(ISBLANK(Input!$BZ$4),$D$27=FALSE),NA(),('Reaction Information'!$J$66/10+'Reaction Information'!$K$66*100/(Calculations!$C$12+Calculations!$M43)+('Reaction Information'!$L$66+'Reaction Information'!$M$66*10000/(Calculations!$C$12+Calculations!$M43))/(Calculations!$O43-Calculations!$C$13)-calculateOmega(Calculations!M43,Calculations!N43,Calculations!Q43,'Reaction Information'!$C$66,'Reaction Information'!$P$66*10^5,'Reaction Information'!$Q$66)*Calculations!$U43*10^-6 + (1/$S43 - 1)*calculate_domegadP(Calculations!M43,Calculations!N43,Calculations!Q43,'Reaction Information'!$C$66,'Reaction Information'!$P$66*10^5,'Reaction Information'!$Q$66,$D$20,$D$19=3))*41.84)</f>
        <v>#N/A</v>
      </c>
      <c r="CF43" s="31">
        <f>(BS43*Input!$AO$4+BT43*Input!$AR$4+BU43*Input!$AU$4+BV43*Input!$AX$4+IF(ISNA(BW43),0,BW43*Input!$BA$4)+IF(ISNA(BX43),0,BX43*Input!$BD$4)+IF(ISNA(BY43),0,BY43*Input!$BG$4)+IF(ISNA(BZ43),0,BZ43*Input!$BJ$4)+IF(ISNA(CA43),0,CA43*Input!$BM$4)+IF(ISNA(CB43),0,CB43*Input!$BP$4)+IF(ISNA(CC43),0,CC43*Input!$BS$4)+IF(ISNA(CD43),0,CD43*Input!$BV$4)+IF(ISNA(CE43),0,CE43*Input!$BY$4))-(BF43*Input!$B$4+BG43*Input!$E$4+BH43*Input!$H$4+BI43*Input!$K$4+IF(ISNA(BJ43),0,BJ43*Input!$N$4)+IF(ISNA(BK43),0,BK43*Input!$Q$4)+IF(ISNA(BL43),0,BL43*Input!$T$4)+IF(ISNA(BM43),0,BM43*Input!$W$4)+IF(ISNA(BN43),0,BN43*Input!$Z$4)+IF(ISNA(BO43),0,BO43*Input!$AC$4)+IF(ISNA(BP43),0,BP43*Input!$AF$4)+IF(ISNA(BQ43),0,BQ43*Input!$AI$4)+IF(ISNA(BR43),0,BR43*Input!$AL$4))</f>
        <v>-21.431343792930935</v>
      </c>
      <c r="CG43" s="1">
        <f t="shared" si="12"/>
        <v>650</v>
      </c>
      <c r="CH43" s="46">
        <f t="shared" si="13"/>
        <v>15000</v>
      </c>
      <c r="CI43" s="1"/>
    </row>
    <row r="44" spans="1:87" ht="15" customHeight="1" x14ac:dyDescent="0.2">
      <c r="A44" s="1"/>
      <c r="B44" s="7">
        <v>5</v>
      </c>
      <c r="C44" s="266" t="s">
        <v>481</v>
      </c>
      <c r="D44" s="268"/>
      <c r="E44" s="1"/>
      <c r="F44" s="2">
        <v>39</v>
      </c>
      <c r="G44" s="1" t="str">
        <f>IF(ISBLANK(Input!CB44), "", Input!CB44*1000)</f>
        <v/>
      </c>
      <c r="H44" s="1" t="str">
        <f>IF(ISBLANK(Input!CC44), "", Input!CC44)</f>
        <v/>
      </c>
      <c r="I44" s="1">
        <f>IF(Input!$CF$5 + Input!$CF$6*(FLOOR((Calculations!$F44-1)/(FLOOR((Input!$CF$12-Input!$CF$10)/Input!$CF$11,1)+1),1)) &gt; Input!$CF$7, "", (Input!$CF$5 + Input!$CF$6*(FLOOR((Calculations!$F44-1)/(FLOOR((Input!$CF$12-Input!$CF$10)/Input!$CF$11,1)+1),1)))*1000)</f>
        <v>15000</v>
      </c>
      <c r="J44" s="1">
        <f>IF(Calculations!I44 = "", "", Input!$CF$10 + Input!$CF$11*(Calculations!$F44-1) - (FLOOR((Input!$CF$12-Input!$CF$10)/Input!$CF$11,1)+1)*Input!$CF$11*FLOOR((Calculations!$F44-1)/(FLOOR((Input!$CF$12-Input!$CF$10)/Input!$CF$11,1)+1),1))</f>
        <v>700</v>
      </c>
      <c r="K44" s="8" t="str">
        <f t="shared" si="14"/>
        <v/>
      </c>
      <c r="L44" s="117" t="str">
        <f>IF(OR(Input!$CJ$5 + Input!$CJ$6*(Calculations!F44-1) &gt; Input!$CJ$7, Input!$CJ$5 + Input!$CJ$6*(Calculations!F44-1) &gt; 350), "", Input!$CJ$5 + Input!$CJ$6*(Calculations!F44-1))</f>
        <v/>
      </c>
      <c r="M44" s="1">
        <f t="shared" si="2"/>
        <v>15000</v>
      </c>
      <c r="N44" s="1">
        <f t="shared" si="3"/>
        <v>700</v>
      </c>
      <c r="O44" s="1">
        <f t="shared" si="15"/>
        <v>973.15</v>
      </c>
      <c r="P44" s="1" t="e">
        <f>IF(OR($D$20=3,AND($D$21=TRUE,M44&lt;1000)),INDEX('Water Density'!$C$6:$CX$120,MATCH(Calculations!N44,'Water Density'!$B$6:$B$120),MATCH(Calculations!M44/1000,'Water Density'!$C$5:$CX$5)),NA())</f>
        <v>#N/A</v>
      </c>
      <c r="Q44" s="182">
        <f>IF(OR($D$20=3,AND($D$21=TRUE,M44&lt;1000)), IF(P44&lt;&gt;0,P44,NA()), calculateDensity(M44,N44,$D$20,0.01,$D$19 = 3))</f>
        <v>1.0192158445203305</v>
      </c>
      <c r="R44" s="1" t="e">
        <f>IF($D$22=5,INDEX('Dielectric Constant'!$C$6:$CX$120,MATCH(Calculations!N44,'Dielectric Constant'!$B$6:$B$120),MATCH(Calculations!M44/1000,'Dielectric Constant'!$C$5:$CX$5)),NA())</f>
        <v>#N/A</v>
      </c>
      <c r="S44" s="58">
        <f>IF($D$22=5, IF(R44&lt;&gt;0,R44,NA()), IF(AND($D$23,M44&lt;=5000,$D$19 &lt;&gt; 3),calculateEpsilon(Q44,N44,1,FALSE),calculateEpsilon(Q44,N44,$D$22,$D$19 = 3)))</f>
        <v>18.20065229891885</v>
      </c>
      <c r="T44" s="1" t="e">
        <f>IF($D$24=3,INDEX('Water Free Energy'!$C$6:$CX$120,MATCH(Calculations!N44,'Water Free Energy'!$B$6:$B$120),MATCH(Calculations!M44/1000,'Water Free Energy'!$C$5:$CX$5)),NA())</f>
        <v>#N/A</v>
      </c>
      <c r="U44" s="179">
        <f>IF($D$27,calculateQ(M44,N44,Q44,$D$20,$D$22,$D$19=3)*10^6,NA())</f>
        <v>0.83248784623383432</v>
      </c>
      <c r="V44"/>
      <c r="W44" s="2">
        <f t="shared" si="5"/>
        <v>15000</v>
      </c>
      <c r="X44" s="1">
        <f t="shared" si="6"/>
        <v>700</v>
      </c>
      <c r="Y44" s="1">
        <f>Results!F46</f>
        <v>0</v>
      </c>
      <c r="Z44" s="1">
        <f>Results!G46</f>
        <v>0</v>
      </c>
      <c r="AA44" s="1">
        <f>Results!H46</f>
        <v>0</v>
      </c>
      <c r="AB44" s="1">
        <f>Results!I46</f>
        <v>0</v>
      </c>
      <c r="AC44" s="1" t="e">
        <f>IF(ISBLANK(Input!$O$4),NA(),'Reaction Information'!$E$5-'Reaction Information'!$G$5*(Calculations!$O44-Calculations!$C$8)+'Reaction Information'!$I$5*(Calculations!$O44-Calculations!$C$8-Calculations!$O44*LN(Calculations!$O44/Calculations!$C$8))+'Reaction Information'!$J$5*0.001/2*(2*Calculations!$O44*Calculations!$C$8-Calculations!$O44^2-Calculations!$C$8^2) + 'Reaction Information'!$K$5*100000*(Calculations!$O44^2 + Calculations!$C$8^2 - 2*Calculations!$O44*Calculations!$C$8)/(2*Calculations!$O44*Calculations!$C$8^2))</f>
        <v>#N/A</v>
      </c>
      <c r="AD44" s="8" t="e">
        <f>IF(ISBLANK(Input!$R$4),NA(),'Reaction Information'!$E$9-'Reaction Information'!$G$9*(Calculations!$O44-Calculations!$C$8)+'Reaction Information'!$I$9*(Calculations!$O44-Calculations!$C$8-Calculations!$O44*LN(Calculations!$O44/Calculations!$C$8))+'Reaction Information'!$J$9*0.001/2*(2*Calculations!$O44*Calculations!$C$8-Calculations!$O44^2-Calculations!$C$8^2) + 'Reaction Information'!$K$9*100000*(Calculations!$O44^2 + Calculations!$C$8^2 - 2*Calculations!$O44*Calculations!$C$8)/(2*Calculations!$O44*Calculations!$C$8^2))</f>
        <v>#N/A</v>
      </c>
      <c r="AE44" s="8">
        <f>IF(AE$5="H2O",IF($D$24=3,IF(T44=0,NA(),T44),calculateGibbsOfWater(M44,N44,$D$24,$D$20,$D$19=3)),NA())</f>
        <v>-68318.329610200017</v>
      </c>
      <c r="AF44" s="8">
        <f>IF(ISBLANK(Input!$X$4),NA(),'Reaction Information'!$E$13-'Reaction Information'!$G$13*(Calculations!O44-Calculations!$C$8)-'Reaction Information'!$N$13*(Calculations!O44*LN(Calculations!O44/Calculations!$C$8)-Calculations!O44+Calculations!$C$8)-'Reaction Information'!$O$13*10^4*(((1/(Calculations!O44-Calculations!$C$13))-(1/(Calculations!$C$8-Calculations!$C$13)))*((Calculations!$C$13-Calculations!O44)/(Calculations!$C$13))-(Calculations!O44/(Calculations!$C$13*Calculations!$C$13))*LN((Calculations!$C$8*(Calculations!O44-Calculations!$C$13))/(Calculations!O44*(Calculations!$C$8-Calculations!$C$13))))+'Reaction Information'!$J$13*10^-1*(Calculations!M44-Calculations!$C$9)+'Reaction Information'!$K$13*10^2*LN((Calculations!$C$12+Calculations!M44)/(Calculations!$C$12+Calculations!$C$9))+(1/(Calculations!O44-Calculations!$C$13))*('Reaction Information'!$L$13*(Calculations!M44-Calculations!$C$9)+'Reaction Information'!$M$13*10^4*LN((Calculations!$C$12+Calculations!M44)/(Calculations!$C$12+Calculations!$C$9)))+calculateOmega(Calculations!M44,Calculations!N44,Calculations!Q44,'Reaction Information'!$C$13,'Reaction Information'!$P$13*10^5,'Reaction Information'!$Q$13)*((1/Calculations!S44)-1)-'Reaction Information'!$P$13*10^5*((1/Calculations!$C$10)-1)+'Reaction Information'!$P$13*10^5*Calculations!$C$14*(Calculations!O44-Calculations!$C$8))</f>
        <v>-109958.48543234002</v>
      </c>
      <c r="AG44" s="8" t="e">
        <f>IF(ISBLANK(Input!$AA$4),NA(),'Reaction Information'!$E$17-'Reaction Information'!$G$17*(Calculations!$O44-Calculations!$C$8)-'Reaction Information'!$N$17*(Calculations!$O44*LN(Calculations!$O44/Calculations!$C$8)-Calculations!$O44+Calculations!$C$8)-'Reaction Information'!$O$17*10^4*(((1/(Calculations!$O44-Calculations!$C$13))-(1/(Calculations!$C$8-Calculations!$C$13)))*((Calculations!$C$13-Calculations!$O44)/(Calculations!$C$13))-(Calculations!$O44/(Calculations!$C$13*Calculations!$C$13))*LN((Calculations!$C$8*(Calculations!$O44-Calculations!$C$13))/(Calculations!$O44*(Calculations!$C$8-Calculations!$C$13))))+'Reaction Information'!$J$17*10^-1*(Calculations!$M44-Calculations!$C$9)+'Reaction Information'!$K$17*10^2*LN((Calculations!$C$12+Calculations!$M44)/(Calculations!$C$12+Calculations!$C$9))+(1/(Calculations!$O44-Calculations!$C$13))*('Reaction Information'!$L$17*(Calculations!$M44-Calculations!$C$9)+'Reaction Information'!$M$17*10^4*LN((Calculations!$C$12+Calculations!$M44)/(Calculations!$C$12+Calculations!$C$9)))+calculateOmega(Calculations!M44,Calculations!N44,Calculations!Q44,'Reaction Information'!$C$17,'Reaction Information'!$P$17*10^5,'Reaction Information'!$Q$17)*((1/Calculations!$S44)-1)-'Reaction Information'!$P$17*10^5*((1/Calculations!$C$10)-1)+'Reaction Information'!$P$17*10^5*Calculations!$C$14*(Calculations!$O44-Calculations!$C$8))</f>
        <v>#N/A</v>
      </c>
      <c r="AH44" s="8" t="e">
        <f>IF(ISBLANK(Input!$AD$4),NA(),'Reaction Information'!$E$21-'Reaction Information'!$G$21*(Calculations!$O44-Calculations!$C$8)-'Reaction Information'!$N$21*(Calculations!$O44*LN(Calculations!$O44/Calculations!$C$8)-Calculations!$O44+Calculations!$C$8)-'Reaction Information'!$O$21*10^4*(((1/(Calculations!$O44-Calculations!$C$13))-(1/(Calculations!$C$8-Calculations!$C$13)))*((Calculations!$C$13-Calculations!$O44)/(Calculations!$C$13))-(Calculations!$O44/(Calculations!$C$13*Calculations!$C$13))*LN((Calculations!$C$8*(Calculations!$O44-Calculations!$C$13))/(Calculations!$O44*(Calculations!$C$8-Calculations!$C$13))))+'Reaction Information'!$J$21*10^-1*(Calculations!$M44-Calculations!$C$9)+'Reaction Information'!$K$21*10^2*LN((Calculations!$C$12+Calculations!$M44)/(Calculations!$C$12+Calculations!$C$9))+(1/(Calculations!$O44-Calculations!$C$13))*('Reaction Information'!$L$21*(Calculations!$M44-Calculations!$C$9)+'Reaction Information'!$M$21*10^4*LN((Calculations!$C$12+Calculations!$M44)/(Calculations!$C$12+Calculations!$C$9)))+calculateOmega(Calculations!M44,Calculations!N44,Calculations!Q44,'Reaction Information'!$C$21,'Reaction Information'!$P$21*10^5,'Reaction Information'!$Q$21)*((1/Calculations!$S44)-1)-'Reaction Information'!$P$21*10^5*((1/Calculations!$C$10)-1)+'Reaction Information'!$P$21*10^5*Calculations!$C$14*(Calculations!$O44-Calculations!$C$8))</f>
        <v>#N/A</v>
      </c>
      <c r="AI44" s="8" t="e">
        <f>IF(ISBLANK(Input!$AG$4),NA(),'Reaction Information'!$E$25-'Reaction Information'!$G$25*(Calculations!$O44-Calculations!$C$8)-'Reaction Information'!$N$25*(Calculations!$O44*LN(Calculations!$O44/Calculations!$C$8)-Calculations!$O44+Calculations!$C$8)-'Reaction Information'!$O$25*10^4*(((1/(Calculations!$O44-Calculations!$C$13))-(1/(Calculations!$C$8-Calculations!$C$13)))*((Calculations!$C$13-Calculations!$O44)/(Calculations!$C$13))-(Calculations!$O44/(Calculations!$C$13*Calculations!$C$13))*LN((Calculations!$C$8*(Calculations!$O44-Calculations!$C$13))/(Calculations!$O44*(Calculations!$C$8-Calculations!$C$13))))+'Reaction Information'!$J$25*10^-1*(Calculations!$M44-Calculations!$C$9)+'Reaction Information'!$K$25*10^2*LN((Calculations!$C$12+Calculations!$M44)/(Calculations!$C$12+Calculations!$C$9))+(1/(Calculations!$O44-Calculations!$C$13))*('Reaction Information'!$L$25*(Calculations!$M44-Calculations!$C$9)+'Reaction Information'!$M$25*10^4*LN((Calculations!$C$12+Calculations!$M44)/(Calculations!$C$12+Calculations!$C$9)))+calculateOmega(Calculations!M44,Calculations!N44,Calculations!Q44,'Reaction Information'!$C$25,'Reaction Information'!$P$25*10^5,'Reaction Information'!$Q$25)*((1/Calculations!$S44)-1)-'Reaction Information'!$P$25*10^5*((1/Calculations!$C$10)-1)+'Reaction Information'!$P$25*10^5*Calculations!$C$14*(Calculations!$O44-Calculations!$C$8))</f>
        <v>#N/A</v>
      </c>
      <c r="AJ44" s="8" t="e">
        <f>IF(ISBLANK(Input!$AJ$4),NA(),'Reaction Information'!$E$29-'Reaction Information'!$G$29*(Calculations!$O44-Calculations!$C$8)-'Reaction Information'!$N$29*(Calculations!$O44*LN(Calculations!$O44/Calculations!$C$8)-Calculations!$O44+Calculations!$C$8)-'Reaction Information'!$O$29*10^4*(((1/(Calculations!$O44-Calculations!$C$13))-(1/(Calculations!$C$8-Calculations!$C$13)))*((Calculations!$C$13-Calculations!$O44)/(Calculations!$C$13))-(Calculations!$O44/(Calculations!$C$13*Calculations!$C$13))*LN((Calculations!$C$8*(Calculations!$O44-Calculations!$C$13))/(Calculations!$O44*(Calculations!$C$8-Calculations!$C$13))))+'Reaction Information'!$J$29*10^-1*(Calculations!$M44-Calculations!$C$9)+'Reaction Information'!$K$29*10^2*LN((Calculations!$C$12+Calculations!$M44)/(Calculations!$C$12+Calculations!$C$9))+(1/(Calculations!$O44-Calculations!$C$13))*('Reaction Information'!$L$29*(Calculations!$M44-Calculations!$C$9)+'Reaction Information'!$M$29*10^4*LN((Calculations!$C$12+Calculations!$M44)/(Calculations!$C$12+Calculations!$C$9)))+calculateOmega(Calculations!M44,Calculations!N44,Calculations!Q44,'Reaction Information'!$C$29,'Reaction Information'!$P$29*10^5,'Reaction Information'!$Q$29)*((1/Calculations!$S44)-1)-'Reaction Information'!$P$29*10^5*((1/Calculations!$C$10)-1)+'Reaction Information'!$P$29*10^5*Calculations!$C$14*(Calculations!$O44-Calculations!$C$8))</f>
        <v>#N/A</v>
      </c>
      <c r="AK44" s="8" t="e">
        <f>IF(ISBLANK(Input!$AM$4),NA(),'Reaction Information'!$E$33-'Reaction Information'!$G$33*(Calculations!$O44-Calculations!$C$8)-'Reaction Information'!$N$33*(Calculations!$O44*LN(Calculations!$O44/Calculations!$C$8)-Calculations!$O44+Calculations!$C$8)-'Reaction Information'!$O$33*10^4*(((1/(Calculations!$O44-Calculations!$C$13))-(1/(Calculations!$C$8-Calculations!$C$13)))*((Calculations!$C$13-Calculations!$O44)/(Calculations!$C$13))-(Calculations!$O44/(Calculations!$C$13*Calculations!$C$13))*LN((Calculations!$C$8*(Calculations!$O44-Calculations!$C$13))/(Calculations!$O44*(Calculations!$C$8-Calculations!$C$13))))+'Reaction Information'!$J$33*10^-1*(Calculations!$M44-Calculations!$C$9)+'Reaction Information'!$K$33*10^2*LN((Calculations!$C$12+Calculations!$M44)/(Calculations!$C$12+Calculations!$C$9))+(1/(Calculations!$O44-Calculations!$C$13))*('Reaction Information'!$L$33*(Calculations!$M44-Calculations!$C$9)+'Reaction Information'!$M$33*10^4*LN((Calculations!$C$12+Calculations!$M44)/(Calculations!$C$12+Calculations!$C$9)))+calculateOmega(Calculations!M44,Calculations!N44,Calculations!Q44,'Reaction Information'!$C$33,'Reaction Information'!$P$33*10^5,'Reaction Information'!$Q$33)*((1/Calculations!$S44)-1)-'Reaction Information'!$P$33*10^5*((1/Calculations!$C$10)-1)+'Reaction Information'!$P$33*10^5*Calculations!$C$14*(Calculations!$O44-Calculations!$C$8))</f>
        <v>#N/A</v>
      </c>
      <c r="AL44" s="1">
        <f>Results!S46</f>
        <v>0</v>
      </c>
      <c r="AM44" s="1">
        <f>Results!T46</f>
        <v>0</v>
      </c>
      <c r="AN44" s="1">
        <f>Results!U46</f>
        <v>0</v>
      </c>
      <c r="AO44" s="1">
        <f>Results!V46</f>
        <v>0</v>
      </c>
      <c r="AP44" s="8" t="e">
        <f>IF(ISBLANK(Input!$BB$4),NA(),'Reaction Information'!$E$38-'Reaction Information'!$G$38*(Calculations!$O44-Calculations!$C$8)+'Reaction Information'!$I$38*(Calculations!$O44-Calculations!$C$8-Calculations!$O44*LN(Calculations!$O44/Calculations!$C$8))+'Reaction Information'!$J$38*0.001/2*(2*Calculations!$O44*Calculations!$C$8-Calculations!$O44^2-Calculations!$C$8^2) + 'Reaction Information'!$K$38*100000*(Calculations!$O44^2 + Calculations!$C$8^2 - 2*Calculations!$O44*Calculations!$C$8)/(2*Calculations!$O44*Calculations!$C$8^2))</f>
        <v>#N/A</v>
      </c>
      <c r="AQ44" s="8" t="e">
        <f>IF(ISBLANK(Input!$BE$4),NA(),'Reaction Information'!$E$42-'Reaction Information'!$G$42*(Calculations!$O44-Calculations!$C$8)+'Reaction Information'!$I$42*(Calculations!$O44-Calculations!$C$8-Calculations!$O44*LN(Calculations!$O44/Calculations!$C$8))+'Reaction Information'!$J$42*0.001/2*(2*Calculations!$O44*Calculations!$C$8-Calculations!$O44^2-Calculations!$C$8^2) + 'Reaction Information'!$K$42*100000*(Calculations!$O44^2 + Calculations!$C$8^2 - 2*Calculations!$O44*Calculations!$C$8)/(2*Calculations!$O44*Calculations!$C$8^2))</f>
        <v>#N/A</v>
      </c>
      <c r="AR44" s="8" t="e">
        <f>IF(AR$5="H2O", IF($D$24=3,IF(T44=0,NA(),T44),calculateGibbsOfWater(M44,N44,$D$24,$D$20,$D$19=3)),NA())</f>
        <v>#N/A</v>
      </c>
      <c r="AS44" s="8">
        <f>IF(ISBLANK(Input!$BK$4),NA(),'Reaction Information'!$E$46-'Reaction Information'!$G$46*(Calculations!O44-Calculations!$C$8)-'Reaction Information'!$N$46*(Calculations!O44*LN(Calculations!O44/Calculations!$C$8)-Calculations!O44+Calculations!$C$8)-'Reaction Information'!$O$46*10^4*(((1/(Calculations!O44-Calculations!$C$13))-(1/(Calculations!$C$8-Calculations!$C$13)))*((Calculations!$C$13-Calculations!O44)/(Calculations!$C$13))-(Calculations!O44/(Calculations!$C$13*Calculations!$C$13))*LN((Calculations!$C$8*(Calculations!O44-Calculations!$C$13))/(Calculations!O44*(Calculations!$C$8-Calculations!$C$13))))+'Reaction Information'!$J$46*10^-1*(Calculations!$M44-Calculations!$C$9)+'Reaction Information'!$K$46*10^2*LN((Calculations!$C$12+Calculations!$M44)/(Calculations!$C$12+Calculations!$C$9))+(1/(Calculations!O44-Calculations!$C$13))*('Reaction Information'!$L$46*(Calculations!$M44-Calculations!$C$9)+'Reaction Information'!$M$46*10^4*LN((Calculations!$C$12+Calculations!$M44)/(Calculations!$C$12+Calculations!$C$9)))+calculateOmega(Calculations!M44,Calculations!N44,Calculations!Q44,'Reaction Information'!$C$46,'Reaction Information'!$P$46*10^5,'Reaction Information'!$Q$46)*((1/Calculations!S44)-1)-'Reaction Information'!$P$46*10^5*((1/Calculations!$C$10)-1)+'Reaction Information'!$P$46*10^5*Calculations!$C$14*(Calculations!O44-Calculations!$C$8))</f>
        <v>0</v>
      </c>
      <c r="AT44" s="8">
        <f>IF(ISBLANK(Input!$BN$4),NA(),'Reaction Information'!$E$50-'Reaction Information'!$G$50*(Calculations!O44-Calculations!$C$8)-'Reaction Information'!$N$50*(Calculations!O44*LN(Calculations!O44/Calculations!$C$8)-Calculations!O44+Calculations!$C$8)-'Reaction Information'!$O$50*10^4*(((1/(Calculations!O44-Calculations!$C$13))-(1/(Calculations!$C$8-Calculations!$C$13)))*((Calculations!$C$13-Calculations!O44)/(Calculations!$C$13))-(Calculations!O44/(Calculations!$C$13*Calculations!$C$13))*LN((Calculations!$C$8*(Calculations!O44-Calculations!$C$13))/(Calculations!O44*(Calculations!$C$8-Calculations!$C$13))))+'Reaction Information'!$J$50*10^-1*(Calculations!$M44-Calculations!$C$9)+'Reaction Information'!$K$50*10^2*LN((Calculations!$C$12+Calculations!$M44)/(Calculations!$C$12+Calculations!$C$9))+(1/(Calculations!O44-Calculations!$C$13))*('Reaction Information'!$L$50*(Calculations!$M44-Calculations!$C$9)+'Reaction Information'!$M$50*10^4*LN((Calculations!$C$12+Calculations!$M44)/(Calculations!$C$12+Calculations!$C$9)))+calculateOmega(Calculations!M44,Calculations!N44,Calculations!Q44,'Reaction Information'!$C$50,'Reaction Information'!$P$50*10^5,'Reaction Information'!$Q$50)*((1/Calculations!S44)-1)-'Reaction Information'!$P$50*10^5*((1/Calculations!$C$10)-1)+'Reaction Information'!$P$50*10^5*Calculations!$C$14*(Calculations!O44-Calculations!$C$8))</f>
        <v>-148659.14452639807</v>
      </c>
      <c r="AU44" s="8" t="e">
        <f>IF(ISBLANK(Input!$BQ$4),NA(),'Reaction Information'!$E$54-'Reaction Information'!$G$54*(Calculations!$O44-Calculations!$C$8)-'Reaction Information'!$N$54*(Calculations!$O44*LN(Calculations!$O44/Calculations!$C$8)-Calculations!$O44+Calculations!$C$8)-'Reaction Information'!$O$54*10^4*(((1/(Calculations!$O44-Calculations!$C$13))-(1/(Calculations!$C$8-Calculations!$C$13)))*((Calculations!$C$13-Calculations!$O44)/(Calculations!$C$13))-(Calculations!$O44/(Calculations!$C$13*Calculations!$C$13))*LN((Calculations!$C$8*(Calculations!$O44-Calculations!$C$13))/(Calculations!$O44*(Calculations!$C$8-Calculations!$C$13))))+'Reaction Information'!$J$54*10^-1*(Calculations!$M44-Calculations!$C$9)+'Reaction Information'!$K$54*10^2*LN((Calculations!$C$12+Calculations!$M44)/(Calculations!$C$12+Calculations!$C$9))+(1/(Calculations!$O44-Calculations!$C$13))*('Reaction Information'!$L$54*(Calculations!$M44-Calculations!$C$9)+'Reaction Information'!$M$54*10^4*LN((Calculations!$C$12+Calculations!$M44)/(Calculations!$C$12+Calculations!$C$9)))+calculateOmega(Calculations!M44,Calculations!N44,Calculations!Q44,'Reaction Information'!$C$54,'Reaction Information'!$P$54*10^5,'Reaction Information'!$Q$54)*((1/Calculations!$S44)-1)-'Reaction Information'!$P$54*10^5*((1/Calculations!$C$10)-1)+'Reaction Information'!$P$54*10^5*Calculations!$C$14*(Calculations!$O44-Calculations!$C$8))</f>
        <v>#N/A</v>
      </c>
      <c r="AV44" s="8" t="e">
        <f>IF(ISBLANK(Input!$BT$4),NA(),'Reaction Information'!$E$58-'Reaction Information'!$G$58*(Calculations!$O44-Calculations!$C$8)-'Reaction Information'!$N$58*(Calculations!$O44*LN(Calculations!$O44/Calculations!$C$8)-Calculations!$O44+Calculations!$C$8)-'Reaction Information'!$O$58*10^4*(((1/(Calculations!$O44-Calculations!$C$13))-(1/(Calculations!$C$8-Calculations!$C$13)))*((Calculations!$C$13-Calculations!$O44)/(Calculations!$C$13))-(Calculations!$O44/(Calculations!$C$13*Calculations!$C$13))*LN((Calculations!$C$8*(Calculations!$O44-Calculations!$C$13))/(Calculations!$O44*(Calculations!$C$8-Calculations!$C$13))))+'Reaction Information'!$J$58*10^-1*(Calculations!$M44-Calculations!$C$9)+'Reaction Information'!$K$58*10^2*LN((Calculations!$C$12+Calculations!$M44)/(Calculations!$C$12+Calculations!$C$9))+(1/(Calculations!$O44-Calculations!$C$13))*('Reaction Information'!$L$58*(Calculations!$M44-Calculations!$C$9)+'Reaction Information'!$M$58*10^4*LN((Calculations!$C$12+Calculations!$M44)/(Calculations!$C$12+Calculations!$C$9)))+calculateOmega(Calculations!M44,Calculations!N44,Calculations!Q44,'Reaction Information'!$C$58,'Reaction Information'!$P$58*10^5,'Reaction Information'!$Q$58)*((1/Calculations!$S44)-1)-'Reaction Information'!$P$58*10^5*((1/Calculations!$C$10)-1)+'Reaction Information'!$P$58*10^5*Calculations!$C$14*(Calculations!$O44-Calculations!$C$8))</f>
        <v>#N/A</v>
      </c>
      <c r="AW44" s="8" t="e">
        <f>IF(ISBLANK(Input!$BW$4),NA(),'Reaction Information'!$E$62-'Reaction Information'!$G$62*(Calculations!$O44-Calculations!$C$8)-'Reaction Information'!$N$62*(Calculations!$O44*LN(Calculations!$O44/Calculations!$C$8)-Calculations!$O44+Calculations!$C$8)-'Reaction Information'!$O$62*10^4*(((1/(Calculations!$O44-Calculations!$C$13))-(1/(Calculations!$C$8-Calculations!$C$13)))*((Calculations!$C$13-Calculations!$O44)/(Calculations!$C$13))-(Calculations!$O44/(Calculations!$C$13*Calculations!$C$13))*LN((Calculations!$C$8*(Calculations!$O44-Calculations!$C$13))/(Calculations!$O44*(Calculations!$C$8-Calculations!$C$13))))+'Reaction Information'!$J$62*10^-1*(Calculations!$M44-Calculations!$C$9)+'Reaction Information'!$K$62*10^2*LN((Calculations!$C$12+Calculations!$M44)/(Calculations!$C$12+Calculations!$C$9))+(1/(Calculations!$O44-Calculations!$C$13))*('Reaction Information'!$L$62*(Calculations!$M44-Calculations!$C$9)+'Reaction Information'!$M$62*10^4*LN((Calculations!$C$12+Calculations!$M44)/(Calculations!$C$12+Calculations!$C$9)))+calculateOmega(Calculations!M44,Calculations!N44,Calculations!Q44,'Reaction Information'!$C$62,'Reaction Information'!$P$62*10^5,'Reaction Information'!$Q$62)*((1/Calculations!$S44)-1)-'Reaction Information'!$P$62*10^5*((1/Calculations!$C$10)-1)+'Reaction Information'!$P$62*10^5*Calculations!$C$14*(Calculations!$O44-Calculations!$C$8))</f>
        <v>#N/A</v>
      </c>
      <c r="AX44" s="8" t="e">
        <f>IF(ISBLANK(Input!$BZ$4),NA(),'Reaction Information'!$E$66-'Reaction Information'!$G$66*(Calculations!$O44-Calculations!$C$8)-'Reaction Information'!$N$66*(Calculations!$O44*LN(Calculations!$O44/Calculations!$C$8)-Calculations!$O44+Calculations!$C$8)-'Reaction Information'!$O$66*10^4*(((1/(Calculations!$O44-Calculations!$C$13))-(1/(Calculations!$C$8-Calculations!$C$13)))*((Calculations!$C$13-Calculations!$O44)/(Calculations!$C$13))-(Calculations!$O44/(Calculations!$C$13*Calculations!$C$13))*LN((Calculations!$C$8*(Calculations!$O44-Calculations!$C$13))/(Calculations!$O44*(Calculations!$C$8-Calculations!$C$13))))+'Reaction Information'!$J$66*10^-1*(Calculations!$M44-Calculations!$C$9)+'Reaction Information'!$K$66*10^2*LN((Calculations!$C$12+Calculations!$M44)/(Calculations!$C$12+Calculations!$C$9))+(1/(Calculations!$O44-Calculations!$C$13))*('Reaction Information'!$L$66*(Calculations!$M44-Calculations!$C$9)+'Reaction Information'!$M$66*10^4*LN((Calculations!$C$12+Calculations!$M44)/(Calculations!$C$12+Calculations!$C$9)))+calculateOmega(Calculations!M44,Calculations!N44,Calculations!Q44,'Reaction Information'!$C$66,'Reaction Information'!$P$66*10^5,'Reaction Information'!$Q$66)*((1/Calculations!$S44)-1)-'Reaction Information'!$P$66*10^5*((1/Calculations!$C$10)-1)+'Reaction Information'!$P$66*10^5*Calculations!$C$14*(Calculations!$O44-Calculations!$C$8))</f>
        <v>#N/A</v>
      </c>
      <c r="AY44" s="31">
        <f>(AL44*Input!$AO$4+AM44*Input!$AR$4+AN44*Input!$AU$4+AO44*Input!$AX$4+IF(ISNA(AP44),0,AP44*Input!$BA$4)+IF(ISNA(AQ44),0,AQ44*Input!$BD$4)+IF(ISNA(AR44),0,AR44*Input!$BG$4)+IF(ISNA(AS44),0,AS44*Input!$BJ$4)+IF(ISNA(AT44),0,AT44*Input!$BM$4)+IF(ISNA(AU44),0,AU44*Input!$BP$4)+IF(ISNA(AV44),0,AV44*Input!$BS$4)+IF(ISNA(AW44),0,AW44*Input!$BV$4)+IF(ISNA(AX44),0,AX44*Input!$BY$4))-(Y44*Input!$B$4+Z44*Input!$E$4+AA44*Input!$H$4+AB44*Input!$K$4+IF(ISNA(AC44),0,AC44*Input!$N$4)+IF(ISNA(AD44),0,AD44*Input!$Q$4)+IF(ISNA(AE44),0,AE44*Input!$T$4)+IF(ISNA(AF44),0,AF44*Input!$W$4)+IF(ISNA(AG44),0,AG44*Input!$Z$4)+IF(ISNA(AH44),0,AH44*Input!$AC$4)+IF(ISNA(AI44),0,AI44*Input!$AF$4)+IF(ISNA(AJ44),0,AJ44*Input!$AI$4)+IF(ISNA(AK44),0,AK44*Input!$AL$4))</f>
        <v>29617.670516141952</v>
      </c>
      <c r="AZ44" s="42">
        <f t="shared" si="16"/>
        <v>-6.6558416960590909</v>
      </c>
      <c r="BA44" s="1">
        <f t="shared" si="8"/>
        <v>700</v>
      </c>
      <c r="BB44" s="46">
        <f t="shared" si="9"/>
        <v>15000</v>
      </c>
      <c r="BC44" s="1"/>
      <c r="BD44" s="2">
        <f t="shared" si="10"/>
        <v>15000</v>
      </c>
      <c r="BE44" s="46">
        <f t="shared" si="11"/>
        <v>700</v>
      </c>
      <c r="BF44" s="1">
        <f>Results!AJ46</f>
        <v>0</v>
      </c>
      <c r="BG44" s="1">
        <f>Results!AK46</f>
        <v>0</v>
      </c>
      <c r="BH44" s="1">
        <f>Results!AL46</f>
        <v>0</v>
      </c>
      <c r="BI44" s="1">
        <f>Results!AM46</f>
        <v>0</v>
      </c>
      <c r="BJ44" s="1" t="e">
        <f>IF(OR(ISNA('Reaction Information'!$D$5), $N44 = "", $D$27 = FALSE, 'Reaction Information'!$D$5 = ""), NA(), 24.465)</f>
        <v>#N/A</v>
      </c>
      <c r="BK44" s="1" t="e">
        <f>IF(OR(ISNA('Reaction Information'!$D$9), $N44 = "", $D$27 = FALSE, 'Reaction Information'!$D$9 = ""), NA(), 24.465)</f>
        <v>#N/A</v>
      </c>
      <c r="BL44" s="8">
        <f t="shared" si="17"/>
        <v>17.675627882804804</v>
      </c>
      <c r="BM44" s="8">
        <f>IF(OR(ISBLANK(Input!$X$4),$D$27=FALSE),NA(),('Reaction Information'!$J$13/10+'Reaction Information'!$K$13*100/(Calculations!$C$12+Calculations!$M44)+('Reaction Information'!$L$13+'Reaction Information'!$M$13*10^4/(Calculations!$C$12+Calculations!$M44))/(Calculations!$O44-Calculations!$C$13) -calculateOmega(Calculations!$M44,Calculations!$N44,Calculations!$Q44,'Reaction Information'!$C$13,'Reaction Information'!$P$13*10^5,'Reaction Information'!$Q$13)*Calculations!$U44*10^-6 + (1/$S44 - 1)*calculate_domegadP(Calculations!$M44,Calculations!$N44,Calculations!$Q44,'Reaction Information'!$C$13,'Reaction Information'!$P$13*10^5,'Reaction Information'!$Q$13,$D$20,$D$19=3))*41.84)</f>
        <v>32.546814870753238</v>
      </c>
      <c r="BN44" s="8" t="e">
        <f>IF(OR(ISBLANK(Input!$AA$4),$D$27=FALSE),NA(),('Reaction Information'!$J$17/10+'Reaction Information'!$K$17*100/(Calculations!$C$12+Calculations!$M44)+('Reaction Information'!$L$17+'Reaction Information'!$M$17*10000/(Calculations!$C$12+Calculations!$M44))/(Calculations!$O44-Calculations!$C$13)-calculateOmega(Calculations!M44,Calculations!N44,Calculations!Q44,'Reaction Information'!$C$17,'Reaction Information'!$P$17*10^5,'Reaction Information'!$Q$17)*Calculations!$U44*10^-6 + (1/$S44 - 1)*calculate_domegadP(Calculations!M44,Calculations!N44,Calculations!Q44,'Reaction Information'!$C$17,'Reaction Information'!$P$17*10^5,'Reaction Information'!$Q$17,$D$20,$D$19=3))*41.84)</f>
        <v>#N/A</v>
      </c>
      <c r="BO44" s="8" t="e">
        <f>IF(OR(ISBLANK(Input!$AD$4),$D$27=FALSE),NA(),('Reaction Information'!$J$21/10+'Reaction Information'!$K$21*100/(Calculations!$C$12+Calculations!$M44)+('Reaction Information'!$L$21+'Reaction Information'!$M$21*10000/(Calculations!$C$12+Calculations!$M44))/(Calculations!$O44-Calculations!$C$13)-calculateOmega(Calculations!M44,Calculations!N44,Calculations!Q44,'Reaction Information'!$C$21,'Reaction Information'!$P$21*10^5,'Reaction Information'!$Q$21)*Calculations!$U44*10^-6 + (1/$S44 - 1)*calculate_domegadP(Calculations!M44,Calculations!N44,Calculations!Q44,'Reaction Information'!$C$21,'Reaction Information'!$P$21*10^5,'Reaction Information'!$Q$21,$D$20,$D$19=3))*41.84)</f>
        <v>#N/A</v>
      </c>
      <c r="BP44" s="8" t="e">
        <f>IF(OR(ISBLANK(Input!$AG$4),$D$27=FALSE),NA(),('Reaction Information'!$J$25/10+'Reaction Information'!$K$25*100/(Calculations!$C$12+Calculations!$M44)+('Reaction Information'!$L$25+'Reaction Information'!$M$25*10000/(Calculations!$C$12+Calculations!$M44))/(Calculations!$O44-Calculations!$C$13)-calculateOmega(Calculations!M44,Calculations!N44,Calculations!Q44,'Reaction Information'!$C$25,'Reaction Information'!$P$25*10^5,'Reaction Information'!$Q$25)*Calculations!$U44*10^-6 + (1/$S44 - 1)*calculate_domegadP(Calculations!M44,Calculations!N44,Calculations!Q44,'Reaction Information'!$C$25,'Reaction Information'!$P$25*10^5,'Reaction Information'!$Q$25,$D$20,$D$19=3))*41.84)</f>
        <v>#N/A</v>
      </c>
      <c r="BQ44" s="8" t="e">
        <f>IF(OR(ISBLANK(Input!$AJ$4),$D$27=FALSE),NA(),('Reaction Information'!$J$29/10+'Reaction Information'!$K$29*100/(Calculations!$C$12+Calculations!$M44)+('Reaction Information'!$L$29+'Reaction Information'!$M$29*10000/(Calculations!$C$12+Calculations!$M44))/(Calculations!$O44-Calculations!$C$13)-calculateOmega(Calculations!M44,Calculations!N44,Calculations!Q44,'Reaction Information'!$C$29,'Reaction Information'!$P$29*10^5,'Reaction Information'!$Q$29)*Calculations!$U44*10^-6 + (1/$S44 - 1)*calculate_domegadP(Calculations!M44,Calculations!N44,Calculations!Q44,'Reaction Information'!$C$29,'Reaction Information'!$P$29*10^5,'Reaction Information'!$Q$29,$D$20,$D$19=3))*41.84)</f>
        <v>#N/A</v>
      </c>
      <c r="BR44" s="8" t="e">
        <f>IF(OR(ISBLANK(Input!$AM$4),$D$27=FALSE),NA(),('Reaction Information'!$J$33/10+'Reaction Information'!$K$33*100/(Calculations!$C$12+Calculations!$M44)+('Reaction Information'!$L$33+'Reaction Information'!$M$33*10000/(Calculations!$C$12+Calculations!$M44))/(Calculations!$O44-Calculations!$C$13)-calculateOmega(Calculations!M44,Calculations!N44,Calculations!Q44,'Reaction Information'!$C$33,'Reaction Information'!$P$33*10^5,'Reaction Information'!$Q$33)*Calculations!$U44*10^-6 + (1/$S44 - 1)*calculate_domegadP(Calculations!M44,Calculations!N44,Calculations!Q44,'Reaction Information'!$C$33,'Reaction Information'!$P$33*10^5,'Reaction Information'!$Q$33,$D$20,$D$19=3))*41.84)</f>
        <v>#N/A</v>
      </c>
      <c r="BS44" s="1">
        <f>Results!AW46</f>
        <v>0</v>
      </c>
      <c r="BT44" s="1">
        <f>Results!AX46</f>
        <v>0</v>
      </c>
      <c r="BU44" s="1">
        <f>Results!AY46</f>
        <v>0</v>
      </c>
      <c r="BV44" s="1">
        <f>Results!AZ46</f>
        <v>0</v>
      </c>
      <c r="BW44" s="1" t="e">
        <f>IF(OR(ISNA('Reaction Information'!$D$38), $N44 = "", $D$27 = FALSE, 'Reaction Information'!$D$38 = ""), NA(), 24.465)</f>
        <v>#N/A</v>
      </c>
      <c r="BX44" s="1" t="e">
        <f>IF(OR(ISNA('Reaction Information'!$D$42), $N44 = "", $D$27 = FALSE, 'Reaction Information'!$D$42 = ""), NA(), 24.465)</f>
        <v>#N/A</v>
      </c>
      <c r="BY44" s="8" t="e">
        <f t="shared" si="18"/>
        <v>#N/A</v>
      </c>
      <c r="BZ44" s="8">
        <f>IF(OR(ISBLANK(Input!$BK$4),$D$27=FALSE),NA(),('Reaction Information'!$J$46/10+'Reaction Information'!$K$46*100/(Calculations!$C$12+Calculations!$M44)+('Reaction Information'!$L$46+'Reaction Information'!$M$46*10000/(Calculations!$C$12+Calculations!$M44))/(Calculations!$O44-Calculations!$C$13)-calculateOmega(Calculations!M44,Calculations!N44,Calculations!Q44,'Reaction Information'!$C$46,'Reaction Information'!$P$46*10^5,'Reaction Information'!$Q$46)*Calculations!$U44*10^-6 + (1/$S44 - 1)*calculate_domegadP(Calculations!M44,Calculations!N44,Calculations!Q44,'Reaction Information'!$C$46,'Reaction Information'!$P$46*10^5,'Reaction Information'!$Q$46,$D$20,$D$19=3))*41.84)</f>
        <v>0</v>
      </c>
      <c r="CA44" s="8">
        <f>IF(OR(ISBLANK(Input!$BN$4),$D$27=FALSE),NA(),('Reaction Information'!$J$50/10+'Reaction Information'!$K$50*100/(Calculations!$C$12+Calculations!$M44)+('Reaction Information'!$L$50+'Reaction Information'!$M$50*10000/(Calculations!$C$12+Calculations!$M44))/(Calculations!$O44-Calculations!$C$13)-calculateOmega(Calculations!M44,Calculations!N44,Calculations!Q44,'Reaction Information'!$C$50,'Reaction Information'!$P$50*10^5,'Reaction Information'!$Q$50)*Calculations!$U44*10^-6 + (1/$S44 - 1)*calculate_domegadP(Calculations!M44,Calculations!N44,Calculations!Q44,'Reaction Information'!$C$50,'Reaction Information'!$P$50*10^5,'Reaction Information'!$Q$50,$D$20,$D$19=3))*41.84)</f>
        <v>27.734963364329552</v>
      </c>
      <c r="CB44" s="8" t="e">
        <f>IF(OR(ISBLANK(Input!$BQ$4),$D$27=FALSE),NA(),('Reaction Information'!$J$54/10+'Reaction Information'!$K$54*100/(Calculations!$C$12+Calculations!$M44)+('Reaction Information'!$L$54+'Reaction Information'!$M$54*10000/(Calculations!$C$12+Calculations!$M44))/(Calculations!$O44-Calculations!$C$13)-calculateOmega(Calculations!M44,Calculations!N44,Calculations!Q44,'Reaction Information'!$C$54,'Reaction Information'!$P$54*10^5,'Reaction Information'!$Q$54)*Calculations!$U44*10^-6 + (1/$S44 - 1)*calculate_domegadP(Calculations!M44,Calculations!N44,Calculations!Q44,'Reaction Information'!$C$54,'Reaction Information'!$P$54*10^5,'Reaction Information'!$Q$54,$D$20,$D$19=3))*41.84)</f>
        <v>#N/A</v>
      </c>
      <c r="CC44" s="8" t="e">
        <f>IF(OR(ISBLANK(Input!$BT$4),$D$27=FALSE),NA(),('Reaction Information'!$J$58/10+'Reaction Information'!$K$58*100/(Calculations!$C$12+Calculations!$M44)+('Reaction Information'!$L$58+'Reaction Information'!$M$58*10000/(Calculations!$C$12+Calculations!$M44))/(Calculations!$O44-Calculations!$C$13)-calculateOmega(Calculations!M44,Calculations!N44,Calculations!Q44,'Reaction Information'!$C$58,'Reaction Information'!$P$58*10^5,'Reaction Information'!$Q$58)*Calculations!$U44*10^-6 + (1/$S44 - 1)*calculate_domegadP(Calculations!M44,Calculations!N44,Calculations!Q44,'Reaction Information'!$C$58,'Reaction Information'!$P$58*10^5,'Reaction Information'!$Q$58,$D$20,$D$19=3))*41.84)</f>
        <v>#N/A</v>
      </c>
      <c r="CD44" s="8" t="e">
        <f>IF(OR(ISBLANK(Input!$BW$4),$D$27=FALSE),NA(),('Reaction Information'!$J$62/10+'Reaction Information'!$K$62*100/(Calculations!$C$12+Calculations!$M44)+('Reaction Information'!$L$62+'Reaction Information'!$M$62*10000/(Calculations!$C$12+Calculations!$M44))/(Calculations!$O44-Calculations!$C$13)-calculateOmega(Calculations!M44,Calculations!N44,Calculations!Q44,'Reaction Information'!$C$62,'Reaction Information'!$P$62*10^5,'Reaction Information'!$Q$62)*Calculations!$U44*10^-6 + (1/$S44 - 1)*calculate_domegadP(Calculations!M44,Calculations!N44,Calculations!Q44,'Reaction Information'!$C$62,'Reaction Information'!$P$62*10^5,'Reaction Information'!$Q$62,$D$20,$D$19=3))*41.84)</f>
        <v>#N/A</v>
      </c>
      <c r="CE44" s="8" t="e">
        <f>IF(OR(ISBLANK(Input!$BZ$4),$D$27=FALSE),NA(),('Reaction Information'!$J$66/10+'Reaction Information'!$K$66*100/(Calculations!$C$12+Calculations!$M44)+('Reaction Information'!$L$66+'Reaction Information'!$M$66*10000/(Calculations!$C$12+Calculations!$M44))/(Calculations!$O44-Calculations!$C$13)-calculateOmega(Calculations!M44,Calculations!N44,Calculations!Q44,'Reaction Information'!$C$66,'Reaction Information'!$P$66*10^5,'Reaction Information'!$Q$66)*Calculations!$U44*10^-6 + (1/$S44 - 1)*calculate_domegadP(Calculations!M44,Calculations!N44,Calculations!Q44,'Reaction Information'!$C$66,'Reaction Information'!$P$66*10^5,'Reaction Information'!$Q$66,$D$20,$D$19=3))*41.84)</f>
        <v>#N/A</v>
      </c>
      <c r="CF44" s="31">
        <f>(BS44*Input!$AO$4+BT44*Input!$AR$4+BU44*Input!$AU$4+BV44*Input!$AX$4+IF(ISNA(BW44),0,BW44*Input!$BA$4)+IF(ISNA(BX44),0,BX44*Input!$BD$4)+IF(ISNA(BY44),0,BY44*Input!$BG$4)+IF(ISNA(BZ44),0,BZ44*Input!$BJ$4)+IF(ISNA(CA44),0,CA44*Input!$BM$4)+IF(ISNA(CB44),0,CB44*Input!$BP$4)+IF(ISNA(CC44),0,CC44*Input!$BS$4)+IF(ISNA(CD44),0,CD44*Input!$BV$4)+IF(ISNA(CE44),0,CE44*Input!$BY$4))-(BF44*Input!$B$4+BG44*Input!$E$4+BH44*Input!$H$4+BI44*Input!$K$4+IF(ISNA(BJ44),0,BJ44*Input!$N$4)+IF(ISNA(BK44),0,BK44*Input!$Q$4)+IF(ISNA(BL44),0,BL44*Input!$T$4)+IF(ISNA(BM44),0,BM44*Input!$W$4)+IF(ISNA(BN44),0,BN44*Input!$Z$4)+IF(ISNA(BO44),0,BO44*Input!$AC$4)+IF(ISNA(BP44),0,BP44*Input!$AF$4)+IF(ISNA(BQ44),0,BQ44*Input!$AI$4)+IF(ISNA(BR44),0,BR44*Input!$AL$4))</f>
        <v>-22.48747938922849</v>
      </c>
      <c r="CG44" s="1">
        <f t="shared" si="12"/>
        <v>700</v>
      </c>
      <c r="CH44" s="46">
        <f t="shared" si="13"/>
        <v>15000</v>
      </c>
      <c r="CI44" s="1"/>
    </row>
    <row r="45" spans="1:87" x14ac:dyDescent="0.2">
      <c r="A45" s="1"/>
      <c r="B45" s="1"/>
      <c r="C45" s="1"/>
      <c r="D45" s="1"/>
      <c r="E45" s="1"/>
      <c r="F45" s="2">
        <v>40</v>
      </c>
      <c r="G45" s="1" t="str">
        <f>IF(ISBLANK(Input!CB45), "", Input!CB45*1000)</f>
        <v/>
      </c>
      <c r="H45" s="1" t="str">
        <f>IF(ISBLANK(Input!CC45), "", Input!CC45)</f>
        <v/>
      </c>
      <c r="I45" s="1">
        <f>IF(Input!$CF$5 + Input!$CF$6*(FLOOR((Calculations!$F45-1)/(FLOOR((Input!$CF$12-Input!$CF$10)/Input!$CF$11,1)+1),1)) &gt; Input!$CF$7, "", (Input!$CF$5 + Input!$CF$6*(FLOOR((Calculations!$F45-1)/(FLOOR((Input!$CF$12-Input!$CF$10)/Input!$CF$11,1)+1),1)))*1000)</f>
        <v>15000</v>
      </c>
      <c r="J45" s="1">
        <f>IF(Calculations!I45 = "", "", Input!$CF$10 + Input!$CF$11*(Calculations!$F45-1) - (FLOOR((Input!$CF$12-Input!$CF$10)/Input!$CF$11,1)+1)*Input!$CF$11*FLOOR((Calculations!$F45-1)/(FLOOR((Input!$CF$12-Input!$CF$10)/Input!$CF$11,1)+1),1))</f>
        <v>750</v>
      </c>
      <c r="K45" s="8" t="str">
        <f t="shared" si="14"/>
        <v/>
      </c>
      <c r="L45" s="117" t="str">
        <f>IF(OR(Input!$CJ$5 + Input!$CJ$6*(Calculations!F45-1) &gt; Input!$CJ$7, Input!$CJ$5 + Input!$CJ$6*(Calculations!F45-1) &gt; 350), "", Input!$CJ$5 + Input!$CJ$6*(Calculations!F45-1))</f>
        <v/>
      </c>
      <c r="M45" s="1">
        <f t="shared" si="2"/>
        <v>15000</v>
      </c>
      <c r="N45" s="1">
        <f t="shared" si="3"/>
        <v>750</v>
      </c>
      <c r="O45" s="1">
        <f t="shared" si="15"/>
        <v>1023.15</v>
      </c>
      <c r="P45" s="1" t="e">
        <f>IF(OR($D$20=3,AND($D$21=TRUE,M45&lt;1000)),INDEX('Water Density'!$C$6:$CX$120,MATCH(Calculations!N45,'Water Density'!$B$6:$B$120),MATCH(Calculations!M45/1000,'Water Density'!$C$5:$CX$5)),NA())</f>
        <v>#N/A</v>
      </c>
      <c r="Q45" s="182">
        <f>IF(OR($D$20=3,AND($D$21=TRUE,M45&lt;1000)), IF(P45&lt;&gt;0,P45,NA()), calculateDensity(M45,N45,$D$20,0.01,$D$19 = 3))</f>
        <v>1.0007769233918191</v>
      </c>
      <c r="R45" s="1" t="e">
        <f>IF($D$22=5,INDEX('Dielectric Constant'!$C$6:$CX$120,MATCH(Calculations!N45,'Dielectric Constant'!$B$6:$B$120),MATCH(Calculations!M45/1000,'Dielectric Constant'!$C$5:$CX$5)),NA())</f>
        <v>#N/A</v>
      </c>
      <c r="S45" s="58">
        <f>IF($D$22=5, IF(R45&lt;&gt;0,R45,NA()), IF(AND($D$23,M45&lt;=5000,$D$19 &lt;&gt; 3),calculateEpsilon(Q45,N45,1,FALSE),calculateEpsilon(Q45,N45,$D$22,$D$19 = 3)))</f>
        <v>16.561726058678548</v>
      </c>
      <c r="T45" s="1" t="e">
        <f>IF($D$24=3,INDEX('Water Free Energy'!$C$6:$CX$120,MATCH(Calculations!N45,'Water Free Energy'!$B$6:$B$120),MATCH(Calculations!M45/1000,'Water Free Energy'!$C$5:$CX$5)),NA())</f>
        <v>#N/A</v>
      </c>
      <c r="U45" s="179">
        <f>IF($D$27,calculateQ(M45,N45,Q45,$D$20,$D$22,$D$19=3)*10^6,NA())</f>
        <v>0.9235756596863095</v>
      </c>
      <c r="V45"/>
      <c r="W45" s="2">
        <f t="shared" si="5"/>
        <v>15000</v>
      </c>
      <c r="X45" s="1">
        <f t="shared" si="6"/>
        <v>750</v>
      </c>
      <c r="Y45" s="1">
        <f>Results!F47</f>
        <v>0</v>
      </c>
      <c r="Z45" s="1">
        <f>Results!G47</f>
        <v>0</v>
      </c>
      <c r="AA45" s="1">
        <f>Results!H47</f>
        <v>0</v>
      </c>
      <c r="AB45" s="1">
        <f>Results!I47</f>
        <v>0</v>
      </c>
      <c r="AC45" s="1" t="e">
        <f>IF(ISBLANK(Input!$O$4),NA(),'Reaction Information'!$E$5-'Reaction Information'!$G$5*(Calculations!$O45-Calculations!$C$8)+'Reaction Information'!$I$5*(Calculations!$O45-Calculations!$C$8-Calculations!$O45*LN(Calculations!$O45/Calculations!$C$8))+'Reaction Information'!$J$5*0.001/2*(2*Calculations!$O45*Calculations!$C$8-Calculations!$O45^2-Calculations!$C$8^2) + 'Reaction Information'!$K$5*100000*(Calculations!$O45^2 + Calculations!$C$8^2 - 2*Calculations!$O45*Calculations!$C$8)/(2*Calculations!$O45*Calculations!$C$8^2))</f>
        <v>#N/A</v>
      </c>
      <c r="AD45" s="8" t="e">
        <f>IF(ISBLANK(Input!$R$4),NA(),'Reaction Information'!$E$9-'Reaction Information'!$G$9*(Calculations!$O45-Calculations!$C$8)+'Reaction Information'!$I$9*(Calculations!$O45-Calculations!$C$8-Calculations!$O45*LN(Calculations!$O45/Calculations!$C$8))+'Reaction Information'!$J$9*0.001/2*(2*Calculations!$O45*Calculations!$C$8-Calculations!$O45^2-Calculations!$C$8^2) + 'Reaction Information'!$K$9*100000*(Calculations!$O45^2 + Calculations!$C$8^2 - 2*Calculations!$O45*Calculations!$C$8)/(2*Calculations!$O45*Calculations!$C$8^2))</f>
        <v>#N/A</v>
      </c>
      <c r="AE45" s="8">
        <f>IF(AE$5="H2O",IF($D$24=3,IF(T45=0,NA(),T45),calculateGibbsOfWater(M45,N45,$D$24,$D$20,$D$19=3)),NA())</f>
        <v>-69955.123143381235</v>
      </c>
      <c r="AF45" s="8">
        <f>IF(ISBLANK(Input!$X$4),NA(),'Reaction Information'!$E$13-'Reaction Information'!$G$13*(Calculations!O45-Calculations!$C$8)-'Reaction Information'!$N$13*(Calculations!O45*LN(Calculations!O45/Calculations!$C$8)-Calculations!O45+Calculations!$C$8)-'Reaction Information'!$O$13*10^4*(((1/(Calculations!O45-Calculations!$C$13))-(1/(Calculations!$C$8-Calculations!$C$13)))*((Calculations!$C$13-Calculations!O45)/(Calculations!$C$13))-(Calculations!O45/(Calculations!$C$13*Calculations!$C$13))*LN((Calculations!$C$8*(Calculations!O45-Calculations!$C$13))/(Calculations!O45*(Calculations!$C$8-Calculations!$C$13))))+'Reaction Information'!$J$13*10^-1*(Calculations!M45-Calculations!$C$9)+'Reaction Information'!$K$13*10^2*LN((Calculations!$C$12+Calculations!M45)/(Calculations!$C$12+Calculations!$C$9))+(1/(Calculations!O45-Calculations!$C$13))*('Reaction Information'!$L$13*(Calculations!M45-Calculations!$C$9)+'Reaction Information'!$M$13*10^4*LN((Calculations!$C$12+Calculations!M45)/(Calculations!$C$12+Calculations!$C$9)))+calculateOmega(Calculations!M45,Calculations!N45,Calculations!Q45,'Reaction Information'!$C$13,'Reaction Information'!$P$13*10^5,'Reaction Information'!$Q$13)*((1/Calculations!S45)-1)-'Reaction Information'!$P$13*10^5*((1/Calculations!$C$10)-1)+'Reaction Information'!$P$13*10^5*Calculations!$C$14*(Calculations!O45-Calculations!$C$8))</f>
        <v>-112483.04605063974</v>
      </c>
      <c r="AG45" s="8" t="e">
        <f>IF(ISBLANK(Input!$AA$4),NA(),'Reaction Information'!$E$17-'Reaction Information'!$G$17*(Calculations!$O45-Calculations!$C$8)-'Reaction Information'!$N$17*(Calculations!$O45*LN(Calculations!$O45/Calculations!$C$8)-Calculations!$O45+Calculations!$C$8)-'Reaction Information'!$O$17*10^4*(((1/(Calculations!$O45-Calculations!$C$13))-(1/(Calculations!$C$8-Calculations!$C$13)))*((Calculations!$C$13-Calculations!$O45)/(Calculations!$C$13))-(Calculations!$O45/(Calculations!$C$13*Calculations!$C$13))*LN((Calculations!$C$8*(Calculations!$O45-Calculations!$C$13))/(Calculations!$O45*(Calculations!$C$8-Calculations!$C$13))))+'Reaction Information'!$J$17*10^-1*(Calculations!$M45-Calculations!$C$9)+'Reaction Information'!$K$17*10^2*LN((Calculations!$C$12+Calculations!$M45)/(Calculations!$C$12+Calculations!$C$9))+(1/(Calculations!$O45-Calculations!$C$13))*('Reaction Information'!$L$17*(Calculations!$M45-Calculations!$C$9)+'Reaction Information'!$M$17*10^4*LN((Calculations!$C$12+Calculations!$M45)/(Calculations!$C$12+Calculations!$C$9)))+calculateOmega(Calculations!M45,Calculations!N45,Calculations!Q45,'Reaction Information'!$C$17,'Reaction Information'!$P$17*10^5,'Reaction Information'!$Q$17)*((1/Calculations!$S45)-1)-'Reaction Information'!$P$17*10^5*((1/Calculations!$C$10)-1)+'Reaction Information'!$P$17*10^5*Calculations!$C$14*(Calculations!$O45-Calculations!$C$8))</f>
        <v>#N/A</v>
      </c>
      <c r="AH45" s="8" t="e">
        <f>IF(ISBLANK(Input!$AD$4),NA(),'Reaction Information'!$E$21-'Reaction Information'!$G$21*(Calculations!$O45-Calculations!$C$8)-'Reaction Information'!$N$21*(Calculations!$O45*LN(Calculations!$O45/Calculations!$C$8)-Calculations!$O45+Calculations!$C$8)-'Reaction Information'!$O$21*10^4*(((1/(Calculations!$O45-Calculations!$C$13))-(1/(Calculations!$C$8-Calculations!$C$13)))*((Calculations!$C$13-Calculations!$O45)/(Calculations!$C$13))-(Calculations!$O45/(Calculations!$C$13*Calculations!$C$13))*LN((Calculations!$C$8*(Calculations!$O45-Calculations!$C$13))/(Calculations!$O45*(Calculations!$C$8-Calculations!$C$13))))+'Reaction Information'!$J$21*10^-1*(Calculations!$M45-Calculations!$C$9)+'Reaction Information'!$K$21*10^2*LN((Calculations!$C$12+Calculations!$M45)/(Calculations!$C$12+Calculations!$C$9))+(1/(Calculations!$O45-Calculations!$C$13))*('Reaction Information'!$L$21*(Calculations!$M45-Calculations!$C$9)+'Reaction Information'!$M$21*10^4*LN((Calculations!$C$12+Calculations!$M45)/(Calculations!$C$12+Calculations!$C$9)))+calculateOmega(Calculations!M45,Calculations!N45,Calculations!Q45,'Reaction Information'!$C$21,'Reaction Information'!$P$21*10^5,'Reaction Information'!$Q$21)*((1/Calculations!$S45)-1)-'Reaction Information'!$P$21*10^5*((1/Calculations!$C$10)-1)+'Reaction Information'!$P$21*10^5*Calculations!$C$14*(Calculations!$O45-Calculations!$C$8))</f>
        <v>#N/A</v>
      </c>
      <c r="AI45" s="8" t="e">
        <f>IF(ISBLANK(Input!$AG$4),NA(),'Reaction Information'!$E$25-'Reaction Information'!$G$25*(Calculations!$O45-Calculations!$C$8)-'Reaction Information'!$N$25*(Calculations!$O45*LN(Calculations!$O45/Calculations!$C$8)-Calculations!$O45+Calculations!$C$8)-'Reaction Information'!$O$25*10^4*(((1/(Calculations!$O45-Calculations!$C$13))-(1/(Calculations!$C$8-Calculations!$C$13)))*((Calculations!$C$13-Calculations!$O45)/(Calculations!$C$13))-(Calculations!$O45/(Calculations!$C$13*Calculations!$C$13))*LN((Calculations!$C$8*(Calculations!$O45-Calculations!$C$13))/(Calculations!$O45*(Calculations!$C$8-Calculations!$C$13))))+'Reaction Information'!$J$25*10^-1*(Calculations!$M45-Calculations!$C$9)+'Reaction Information'!$K$25*10^2*LN((Calculations!$C$12+Calculations!$M45)/(Calculations!$C$12+Calculations!$C$9))+(1/(Calculations!$O45-Calculations!$C$13))*('Reaction Information'!$L$25*(Calculations!$M45-Calculations!$C$9)+'Reaction Information'!$M$25*10^4*LN((Calculations!$C$12+Calculations!$M45)/(Calculations!$C$12+Calculations!$C$9)))+calculateOmega(Calculations!M45,Calculations!N45,Calculations!Q45,'Reaction Information'!$C$25,'Reaction Information'!$P$25*10^5,'Reaction Information'!$Q$25)*((1/Calculations!$S45)-1)-'Reaction Information'!$P$25*10^5*((1/Calculations!$C$10)-1)+'Reaction Information'!$P$25*10^5*Calculations!$C$14*(Calculations!$O45-Calculations!$C$8))</f>
        <v>#N/A</v>
      </c>
      <c r="AJ45" s="8" t="e">
        <f>IF(ISBLANK(Input!$AJ$4),NA(),'Reaction Information'!$E$29-'Reaction Information'!$G$29*(Calculations!$O45-Calculations!$C$8)-'Reaction Information'!$N$29*(Calculations!$O45*LN(Calculations!$O45/Calculations!$C$8)-Calculations!$O45+Calculations!$C$8)-'Reaction Information'!$O$29*10^4*(((1/(Calculations!$O45-Calculations!$C$13))-(1/(Calculations!$C$8-Calculations!$C$13)))*((Calculations!$C$13-Calculations!$O45)/(Calculations!$C$13))-(Calculations!$O45/(Calculations!$C$13*Calculations!$C$13))*LN((Calculations!$C$8*(Calculations!$O45-Calculations!$C$13))/(Calculations!$O45*(Calculations!$C$8-Calculations!$C$13))))+'Reaction Information'!$J$29*10^-1*(Calculations!$M45-Calculations!$C$9)+'Reaction Information'!$K$29*10^2*LN((Calculations!$C$12+Calculations!$M45)/(Calculations!$C$12+Calculations!$C$9))+(1/(Calculations!$O45-Calculations!$C$13))*('Reaction Information'!$L$29*(Calculations!$M45-Calculations!$C$9)+'Reaction Information'!$M$29*10^4*LN((Calculations!$C$12+Calculations!$M45)/(Calculations!$C$12+Calculations!$C$9)))+calculateOmega(Calculations!M45,Calculations!N45,Calculations!Q45,'Reaction Information'!$C$29,'Reaction Information'!$P$29*10^5,'Reaction Information'!$Q$29)*((1/Calculations!$S45)-1)-'Reaction Information'!$P$29*10^5*((1/Calculations!$C$10)-1)+'Reaction Information'!$P$29*10^5*Calculations!$C$14*(Calculations!$O45-Calculations!$C$8))</f>
        <v>#N/A</v>
      </c>
      <c r="AK45" s="8" t="e">
        <f>IF(ISBLANK(Input!$AM$4),NA(),'Reaction Information'!$E$33-'Reaction Information'!$G$33*(Calculations!$O45-Calculations!$C$8)-'Reaction Information'!$N$33*(Calculations!$O45*LN(Calculations!$O45/Calculations!$C$8)-Calculations!$O45+Calculations!$C$8)-'Reaction Information'!$O$33*10^4*(((1/(Calculations!$O45-Calculations!$C$13))-(1/(Calculations!$C$8-Calculations!$C$13)))*((Calculations!$C$13-Calculations!$O45)/(Calculations!$C$13))-(Calculations!$O45/(Calculations!$C$13*Calculations!$C$13))*LN((Calculations!$C$8*(Calculations!$O45-Calculations!$C$13))/(Calculations!$O45*(Calculations!$C$8-Calculations!$C$13))))+'Reaction Information'!$J$33*10^-1*(Calculations!$M45-Calculations!$C$9)+'Reaction Information'!$K$33*10^2*LN((Calculations!$C$12+Calculations!$M45)/(Calculations!$C$12+Calculations!$C$9))+(1/(Calculations!$O45-Calculations!$C$13))*('Reaction Information'!$L$33*(Calculations!$M45-Calculations!$C$9)+'Reaction Information'!$M$33*10^4*LN((Calculations!$C$12+Calculations!$M45)/(Calculations!$C$12+Calculations!$C$9)))+calculateOmega(Calculations!M45,Calculations!N45,Calculations!Q45,'Reaction Information'!$C$33,'Reaction Information'!$P$33*10^5,'Reaction Information'!$Q$33)*((1/Calculations!$S45)-1)-'Reaction Information'!$P$33*10^5*((1/Calculations!$C$10)-1)+'Reaction Information'!$P$33*10^5*Calculations!$C$14*(Calculations!$O45-Calculations!$C$8))</f>
        <v>#N/A</v>
      </c>
      <c r="AL45" s="1">
        <f>Results!S47</f>
        <v>0</v>
      </c>
      <c r="AM45" s="1">
        <f>Results!T47</f>
        <v>0</v>
      </c>
      <c r="AN45" s="1">
        <f>Results!U47</f>
        <v>0</v>
      </c>
      <c r="AO45" s="1">
        <f>Results!V47</f>
        <v>0</v>
      </c>
      <c r="AP45" s="8" t="e">
        <f>IF(ISBLANK(Input!$BB$4),NA(),'Reaction Information'!$E$38-'Reaction Information'!$G$38*(Calculations!$O45-Calculations!$C$8)+'Reaction Information'!$I$38*(Calculations!$O45-Calculations!$C$8-Calculations!$O45*LN(Calculations!$O45/Calculations!$C$8))+'Reaction Information'!$J$38*0.001/2*(2*Calculations!$O45*Calculations!$C$8-Calculations!$O45^2-Calculations!$C$8^2) + 'Reaction Information'!$K$38*100000*(Calculations!$O45^2 + Calculations!$C$8^2 - 2*Calculations!$O45*Calculations!$C$8)/(2*Calculations!$O45*Calculations!$C$8^2))</f>
        <v>#N/A</v>
      </c>
      <c r="AQ45" s="8" t="e">
        <f>IF(ISBLANK(Input!$BE$4),NA(),'Reaction Information'!$E$42-'Reaction Information'!$G$42*(Calculations!$O45-Calculations!$C$8)+'Reaction Information'!$I$42*(Calculations!$O45-Calculations!$C$8-Calculations!$O45*LN(Calculations!$O45/Calculations!$C$8))+'Reaction Information'!$J$42*0.001/2*(2*Calculations!$O45*Calculations!$C$8-Calculations!$O45^2-Calculations!$C$8^2) + 'Reaction Information'!$K$42*100000*(Calculations!$O45^2 + Calculations!$C$8^2 - 2*Calculations!$O45*Calculations!$C$8)/(2*Calculations!$O45*Calculations!$C$8^2))</f>
        <v>#N/A</v>
      </c>
      <c r="AR45" s="8" t="e">
        <f>IF(AR$5="H2O", IF($D$24=3,IF(T45=0,NA(),T45),calculateGibbsOfWater(M45,N45,$D$24,$D$20,$D$19=3)),NA())</f>
        <v>#N/A</v>
      </c>
      <c r="AS45" s="8">
        <f>IF(ISBLANK(Input!$BK$4),NA(),'Reaction Information'!$E$46-'Reaction Information'!$G$46*(Calculations!O45-Calculations!$C$8)-'Reaction Information'!$N$46*(Calculations!O45*LN(Calculations!O45/Calculations!$C$8)-Calculations!O45+Calculations!$C$8)-'Reaction Information'!$O$46*10^4*(((1/(Calculations!O45-Calculations!$C$13))-(1/(Calculations!$C$8-Calculations!$C$13)))*((Calculations!$C$13-Calculations!O45)/(Calculations!$C$13))-(Calculations!O45/(Calculations!$C$13*Calculations!$C$13))*LN((Calculations!$C$8*(Calculations!O45-Calculations!$C$13))/(Calculations!O45*(Calculations!$C$8-Calculations!$C$13))))+'Reaction Information'!$J$46*10^-1*(Calculations!$M45-Calculations!$C$9)+'Reaction Information'!$K$46*10^2*LN((Calculations!$C$12+Calculations!$M45)/(Calculations!$C$12+Calculations!$C$9))+(1/(Calculations!O45-Calculations!$C$13))*('Reaction Information'!$L$46*(Calculations!$M45-Calculations!$C$9)+'Reaction Information'!$M$46*10^4*LN((Calculations!$C$12+Calculations!$M45)/(Calculations!$C$12+Calculations!$C$9)))+calculateOmega(Calculations!M45,Calculations!N45,Calculations!Q45,'Reaction Information'!$C$46,'Reaction Information'!$P$46*10^5,'Reaction Information'!$Q$46)*((1/Calculations!S45)-1)-'Reaction Information'!$P$46*10^5*((1/Calculations!$C$10)-1)+'Reaction Information'!$P$46*10^5*Calculations!$C$14*(Calculations!O45-Calculations!$C$8))</f>
        <v>0</v>
      </c>
      <c r="AT45" s="8">
        <f>IF(ISBLANK(Input!$BN$4),NA(),'Reaction Information'!$E$50-'Reaction Information'!$G$50*(Calculations!O45-Calculations!$C$8)-'Reaction Information'!$N$50*(Calculations!O45*LN(Calculations!O45/Calculations!$C$8)-Calculations!O45+Calculations!$C$8)-'Reaction Information'!$O$50*10^4*(((1/(Calculations!O45-Calculations!$C$13))-(1/(Calculations!$C$8-Calculations!$C$13)))*((Calculations!$C$13-Calculations!O45)/(Calculations!$C$13))-(Calculations!O45/(Calculations!$C$13*Calculations!$C$13))*LN((Calculations!$C$8*(Calculations!O45-Calculations!$C$13))/(Calculations!O45*(Calculations!$C$8-Calculations!$C$13))))+'Reaction Information'!$J$50*10^-1*(Calculations!$M45-Calculations!$C$9)+'Reaction Information'!$K$50*10^2*LN((Calculations!$C$12+Calculations!$M45)/(Calculations!$C$12+Calculations!$C$9))+(1/(Calculations!O45-Calculations!$C$13))*('Reaction Information'!$L$50*(Calculations!$M45-Calculations!$C$9)+'Reaction Information'!$M$50*10^4*LN((Calculations!$C$12+Calculations!$M45)/(Calculations!$C$12+Calculations!$C$9)))+calculateOmega(Calculations!M45,Calculations!N45,Calculations!Q45,'Reaction Information'!$C$50,'Reaction Information'!$P$50*10^5,'Reaction Information'!$Q$50)*((1/Calculations!S45)-1)-'Reaction Information'!$P$50*10^5*((1/Calculations!$C$10)-1)+'Reaction Information'!$P$50*10^5*Calculations!$C$14*(Calculations!O45-Calculations!$C$8))</f>
        <v>-150108.66755930008</v>
      </c>
      <c r="AU45" s="8" t="e">
        <f>IF(ISBLANK(Input!$BQ$4),NA(),'Reaction Information'!$E$54-'Reaction Information'!$G$54*(Calculations!$O45-Calculations!$C$8)-'Reaction Information'!$N$54*(Calculations!$O45*LN(Calculations!$O45/Calculations!$C$8)-Calculations!$O45+Calculations!$C$8)-'Reaction Information'!$O$54*10^4*(((1/(Calculations!$O45-Calculations!$C$13))-(1/(Calculations!$C$8-Calculations!$C$13)))*((Calculations!$C$13-Calculations!$O45)/(Calculations!$C$13))-(Calculations!$O45/(Calculations!$C$13*Calculations!$C$13))*LN((Calculations!$C$8*(Calculations!$O45-Calculations!$C$13))/(Calculations!$O45*(Calculations!$C$8-Calculations!$C$13))))+'Reaction Information'!$J$54*10^-1*(Calculations!$M45-Calculations!$C$9)+'Reaction Information'!$K$54*10^2*LN((Calculations!$C$12+Calculations!$M45)/(Calculations!$C$12+Calculations!$C$9))+(1/(Calculations!$O45-Calculations!$C$13))*('Reaction Information'!$L$54*(Calculations!$M45-Calculations!$C$9)+'Reaction Information'!$M$54*10^4*LN((Calculations!$C$12+Calculations!$M45)/(Calculations!$C$12+Calculations!$C$9)))+calculateOmega(Calculations!M45,Calculations!N45,Calculations!Q45,'Reaction Information'!$C$54,'Reaction Information'!$P$54*10^5,'Reaction Information'!$Q$54)*((1/Calculations!$S45)-1)-'Reaction Information'!$P$54*10^5*((1/Calculations!$C$10)-1)+'Reaction Information'!$P$54*10^5*Calculations!$C$14*(Calculations!$O45-Calculations!$C$8))</f>
        <v>#N/A</v>
      </c>
      <c r="AV45" s="8" t="e">
        <f>IF(ISBLANK(Input!$BT$4),NA(),'Reaction Information'!$E$58-'Reaction Information'!$G$58*(Calculations!$O45-Calculations!$C$8)-'Reaction Information'!$N$58*(Calculations!$O45*LN(Calculations!$O45/Calculations!$C$8)-Calculations!$O45+Calculations!$C$8)-'Reaction Information'!$O$58*10^4*(((1/(Calculations!$O45-Calculations!$C$13))-(1/(Calculations!$C$8-Calculations!$C$13)))*((Calculations!$C$13-Calculations!$O45)/(Calculations!$C$13))-(Calculations!$O45/(Calculations!$C$13*Calculations!$C$13))*LN((Calculations!$C$8*(Calculations!$O45-Calculations!$C$13))/(Calculations!$O45*(Calculations!$C$8-Calculations!$C$13))))+'Reaction Information'!$J$58*10^-1*(Calculations!$M45-Calculations!$C$9)+'Reaction Information'!$K$58*10^2*LN((Calculations!$C$12+Calculations!$M45)/(Calculations!$C$12+Calculations!$C$9))+(1/(Calculations!$O45-Calculations!$C$13))*('Reaction Information'!$L$58*(Calculations!$M45-Calculations!$C$9)+'Reaction Information'!$M$58*10^4*LN((Calculations!$C$12+Calculations!$M45)/(Calculations!$C$12+Calculations!$C$9)))+calculateOmega(Calculations!M45,Calculations!N45,Calculations!Q45,'Reaction Information'!$C$58,'Reaction Information'!$P$58*10^5,'Reaction Information'!$Q$58)*((1/Calculations!$S45)-1)-'Reaction Information'!$P$58*10^5*((1/Calculations!$C$10)-1)+'Reaction Information'!$P$58*10^5*Calculations!$C$14*(Calculations!$O45-Calculations!$C$8))</f>
        <v>#N/A</v>
      </c>
      <c r="AW45" s="8" t="e">
        <f>IF(ISBLANK(Input!$BW$4),NA(),'Reaction Information'!$E$62-'Reaction Information'!$G$62*(Calculations!$O45-Calculations!$C$8)-'Reaction Information'!$N$62*(Calculations!$O45*LN(Calculations!$O45/Calculations!$C$8)-Calculations!$O45+Calculations!$C$8)-'Reaction Information'!$O$62*10^4*(((1/(Calculations!$O45-Calculations!$C$13))-(1/(Calculations!$C$8-Calculations!$C$13)))*((Calculations!$C$13-Calculations!$O45)/(Calculations!$C$13))-(Calculations!$O45/(Calculations!$C$13*Calculations!$C$13))*LN((Calculations!$C$8*(Calculations!$O45-Calculations!$C$13))/(Calculations!$O45*(Calculations!$C$8-Calculations!$C$13))))+'Reaction Information'!$J$62*10^-1*(Calculations!$M45-Calculations!$C$9)+'Reaction Information'!$K$62*10^2*LN((Calculations!$C$12+Calculations!$M45)/(Calculations!$C$12+Calculations!$C$9))+(1/(Calculations!$O45-Calculations!$C$13))*('Reaction Information'!$L$62*(Calculations!$M45-Calculations!$C$9)+'Reaction Information'!$M$62*10^4*LN((Calculations!$C$12+Calculations!$M45)/(Calculations!$C$12+Calculations!$C$9)))+calculateOmega(Calculations!M45,Calculations!N45,Calculations!Q45,'Reaction Information'!$C$62,'Reaction Information'!$P$62*10^5,'Reaction Information'!$Q$62)*((1/Calculations!$S45)-1)-'Reaction Information'!$P$62*10^5*((1/Calculations!$C$10)-1)+'Reaction Information'!$P$62*10^5*Calculations!$C$14*(Calculations!$O45-Calculations!$C$8))</f>
        <v>#N/A</v>
      </c>
      <c r="AX45" s="8" t="e">
        <f>IF(ISBLANK(Input!$BZ$4),NA(),'Reaction Information'!$E$66-'Reaction Information'!$G$66*(Calculations!$O45-Calculations!$C$8)-'Reaction Information'!$N$66*(Calculations!$O45*LN(Calculations!$O45/Calculations!$C$8)-Calculations!$O45+Calculations!$C$8)-'Reaction Information'!$O$66*10^4*(((1/(Calculations!$O45-Calculations!$C$13))-(1/(Calculations!$C$8-Calculations!$C$13)))*((Calculations!$C$13-Calculations!$O45)/(Calculations!$C$13))-(Calculations!$O45/(Calculations!$C$13*Calculations!$C$13))*LN((Calculations!$C$8*(Calculations!$O45-Calculations!$C$13))/(Calculations!$O45*(Calculations!$C$8-Calculations!$C$13))))+'Reaction Information'!$J$66*10^-1*(Calculations!$M45-Calculations!$C$9)+'Reaction Information'!$K$66*10^2*LN((Calculations!$C$12+Calculations!$M45)/(Calculations!$C$12+Calculations!$C$9))+(1/(Calculations!$O45-Calculations!$C$13))*('Reaction Information'!$L$66*(Calculations!$M45-Calculations!$C$9)+'Reaction Information'!$M$66*10^4*LN((Calculations!$C$12+Calculations!$M45)/(Calculations!$C$12+Calculations!$C$9)))+calculateOmega(Calculations!M45,Calculations!N45,Calculations!Q45,'Reaction Information'!$C$66,'Reaction Information'!$P$66*10^5,'Reaction Information'!$Q$66)*((1/Calculations!$S45)-1)-'Reaction Information'!$P$66*10^5*((1/Calculations!$C$10)-1)+'Reaction Information'!$P$66*10^5*Calculations!$C$14*(Calculations!$O45-Calculations!$C$8))</f>
        <v>#N/A</v>
      </c>
      <c r="AY45" s="31">
        <f>(AL45*Input!$AO$4+AM45*Input!$AR$4+AN45*Input!$AU$4+AO45*Input!$AX$4+IF(ISNA(AP45),0,AP45*Input!$BA$4)+IF(ISNA(AQ45),0,AQ45*Input!$BD$4)+IF(ISNA(AR45),0,AR45*Input!$BG$4)+IF(ISNA(AS45),0,AS45*Input!$BJ$4)+IF(ISNA(AT45),0,AT45*Input!$BM$4)+IF(ISNA(AU45),0,AU45*Input!$BP$4)+IF(ISNA(AV45),0,AV45*Input!$BS$4)+IF(ISNA(AW45),0,AW45*Input!$BV$4)+IF(ISNA(AX45),0,AX45*Input!$BY$4))-(Y45*Input!$B$4+Z45*Input!$E$4+AA45*Input!$H$4+AB45*Input!$K$4+IF(ISNA(AC45),0,AC45*Input!$N$4)+IF(ISNA(AD45),0,AD45*Input!$Q$4)+IF(ISNA(AE45),0,AE45*Input!$T$4)+IF(ISNA(AF45),0,AF45*Input!$W$4)+IF(ISNA(AG45),0,AG45*Input!$Z$4)+IF(ISNA(AH45),0,AH45*Input!$AC$4)+IF(ISNA(AI45),0,AI45*Input!$AF$4)+IF(ISNA(AJ45),0,AJ45*Input!$AI$4)+IF(ISNA(AK45),0,AK45*Input!$AL$4))</f>
        <v>32329.501634720888</v>
      </c>
      <c r="AZ45" s="42">
        <f t="shared" si="16"/>
        <v>-6.9102152380678428</v>
      </c>
      <c r="BA45" s="1">
        <f t="shared" si="8"/>
        <v>750</v>
      </c>
      <c r="BB45" s="46">
        <f t="shared" si="9"/>
        <v>15000</v>
      </c>
      <c r="BC45" s="1"/>
      <c r="BD45" s="2">
        <f t="shared" si="10"/>
        <v>15000</v>
      </c>
      <c r="BE45" s="46">
        <f t="shared" si="11"/>
        <v>750</v>
      </c>
      <c r="BF45" s="1">
        <f>Results!AJ47</f>
        <v>0</v>
      </c>
      <c r="BG45" s="1">
        <f>Results!AK47</f>
        <v>0</v>
      </c>
      <c r="BH45" s="1">
        <f>Results!AL47</f>
        <v>0</v>
      </c>
      <c r="BI45" s="1">
        <f>Results!AM47</f>
        <v>0</v>
      </c>
      <c r="BJ45" s="1" t="e">
        <f>IF(OR(ISNA('Reaction Information'!$D$5), $N45 = "", $D$27 = FALSE, 'Reaction Information'!$D$5 = ""), NA(), 24.465)</f>
        <v>#N/A</v>
      </c>
      <c r="BK45" s="1" t="e">
        <f>IF(OR(ISNA('Reaction Information'!$D$9), $N45 = "", $D$27 = FALSE, 'Reaction Information'!$D$9 = ""), NA(), 24.465)</f>
        <v>#N/A</v>
      </c>
      <c r="BL45" s="8">
        <f t="shared" si="17"/>
        <v>18.001294373318348</v>
      </c>
      <c r="BM45" s="8">
        <f>IF(OR(ISBLANK(Input!$X$4),$D$27=FALSE),NA(),('Reaction Information'!$J$13/10+'Reaction Information'!$K$13*100/(Calculations!$C$12+Calculations!$M45)+('Reaction Information'!$L$13+'Reaction Information'!$M$13*10^4/(Calculations!$C$12+Calculations!$M45))/(Calculations!$O45-Calculations!$C$13) -calculateOmega(Calculations!$M45,Calculations!$N45,Calculations!$Q45,'Reaction Information'!$C$13,'Reaction Information'!$P$13*10^5,'Reaction Information'!$Q$13)*Calculations!$U45*10^-6 + (1/$S45 - 1)*calculate_domegadP(Calculations!$M45,Calculations!$N45,Calculations!$Q45,'Reaction Information'!$C$13,'Reaction Information'!$P$13*10^5,'Reaction Information'!$Q$13,$D$20,$D$19=3))*41.84)</f>
        <v>32.847337660569941</v>
      </c>
      <c r="BN45" s="8" t="e">
        <f>IF(OR(ISBLANK(Input!$AA$4),$D$27=FALSE),NA(),('Reaction Information'!$J$17/10+'Reaction Information'!$K$17*100/(Calculations!$C$12+Calculations!$M45)+('Reaction Information'!$L$17+'Reaction Information'!$M$17*10000/(Calculations!$C$12+Calculations!$M45))/(Calculations!$O45-Calculations!$C$13)-calculateOmega(Calculations!M45,Calculations!N45,Calculations!Q45,'Reaction Information'!$C$17,'Reaction Information'!$P$17*10^5,'Reaction Information'!$Q$17)*Calculations!$U45*10^-6 + (1/$S45 - 1)*calculate_domegadP(Calculations!M45,Calculations!N45,Calculations!Q45,'Reaction Information'!$C$17,'Reaction Information'!$P$17*10^5,'Reaction Information'!$Q$17,$D$20,$D$19=3))*41.84)</f>
        <v>#N/A</v>
      </c>
      <c r="BO45" s="8" t="e">
        <f>IF(OR(ISBLANK(Input!$AD$4),$D$27=FALSE),NA(),('Reaction Information'!$J$21/10+'Reaction Information'!$K$21*100/(Calculations!$C$12+Calculations!$M45)+('Reaction Information'!$L$21+'Reaction Information'!$M$21*10000/(Calculations!$C$12+Calculations!$M45))/(Calculations!$O45-Calculations!$C$13)-calculateOmega(Calculations!M45,Calculations!N45,Calculations!Q45,'Reaction Information'!$C$21,'Reaction Information'!$P$21*10^5,'Reaction Information'!$Q$21)*Calculations!$U45*10^-6 + (1/$S45 - 1)*calculate_domegadP(Calculations!M45,Calculations!N45,Calculations!Q45,'Reaction Information'!$C$21,'Reaction Information'!$P$21*10^5,'Reaction Information'!$Q$21,$D$20,$D$19=3))*41.84)</f>
        <v>#N/A</v>
      </c>
      <c r="BP45" s="8" t="e">
        <f>IF(OR(ISBLANK(Input!$AG$4),$D$27=FALSE),NA(),('Reaction Information'!$J$25/10+'Reaction Information'!$K$25*100/(Calculations!$C$12+Calculations!$M45)+('Reaction Information'!$L$25+'Reaction Information'!$M$25*10000/(Calculations!$C$12+Calculations!$M45))/(Calculations!$O45-Calculations!$C$13)-calculateOmega(Calculations!M45,Calculations!N45,Calculations!Q45,'Reaction Information'!$C$25,'Reaction Information'!$P$25*10^5,'Reaction Information'!$Q$25)*Calculations!$U45*10^-6 + (1/$S45 - 1)*calculate_domegadP(Calculations!M45,Calculations!N45,Calculations!Q45,'Reaction Information'!$C$25,'Reaction Information'!$P$25*10^5,'Reaction Information'!$Q$25,$D$20,$D$19=3))*41.84)</f>
        <v>#N/A</v>
      </c>
      <c r="BQ45" s="8" t="e">
        <f>IF(OR(ISBLANK(Input!$AJ$4),$D$27=FALSE),NA(),('Reaction Information'!$J$29/10+'Reaction Information'!$K$29*100/(Calculations!$C$12+Calculations!$M45)+('Reaction Information'!$L$29+'Reaction Information'!$M$29*10000/(Calculations!$C$12+Calculations!$M45))/(Calculations!$O45-Calculations!$C$13)-calculateOmega(Calculations!M45,Calculations!N45,Calculations!Q45,'Reaction Information'!$C$29,'Reaction Information'!$P$29*10^5,'Reaction Information'!$Q$29)*Calculations!$U45*10^-6 + (1/$S45 - 1)*calculate_domegadP(Calculations!M45,Calculations!N45,Calculations!Q45,'Reaction Information'!$C$29,'Reaction Information'!$P$29*10^5,'Reaction Information'!$Q$29,$D$20,$D$19=3))*41.84)</f>
        <v>#N/A</v>
      </c>
      <c r="BR45" s="8" t="e">
        <f>IF(OR(ISBLANK(Input!$AM$4),$D$27=FALSE),NA(),('Reaction Information'!$J$33/10+'Reaction Information'!$K$33*100/(Calculations!$C$12+Calculations!$M45)+('Reaction Information'!$L$33+'Reaction Information'!$M$33*10000/(Calculations!$C$12+Calculations!$M45))/(Calculations!$O45-Calculations!$C$13)-calculateOmega(Calculations!M45,Calculations!N45,Calculations!Q45,'Reaction Information'!$C$33,'Reaction Information'!$P$33*10^5,'Reaction Information'!$Q$33)*Calculations!$U45*10^-6 + (1/$S45 - 1)*calculate_domegadP(Calculations!M45,Calculations!N45,Calculations!Q45,'Reaction Information'!$C$33,'Reaction Information'!$P$33*10^5,'Reaction Information'!$Q$33,$D$20,$D$19=3))*41.84)</f>
        <v>#N/A</v>
      </c>
      <c r="BS45" s="1">
        <f>Results!AW47</f>
        <v>0</v>
      </c>
      <c r="BT45" s="1">
        <f>Results!AX47</f>
        <v>0</v>
      </c>
      <c r="BU45" s="1">
        <f>Results!AY47</f>
        <v>0</v>
      </c>
      <c r="BV45" s="1">
        <f>Results!AZ47</f>
        <v>0</v>
      </c>
      <c r="BW45" s="1" t="e">
        <f>IF(OR(ISNA('Reaction Information'!$D$38), $N45 = "", $D$27 = FALSE, 'Reaction Information'!$D$38 = ""), NA(), 24.465)</f>
        <v>#N/A</v>
      </c>
      <c r="BX45" s="1" t="e">
        <f>IF(OR(ISNA('Reaction Information'!$D$42), $N45 = "", $D$27 = FALSE, 'Reaction Information'!$D$42 = ""), NA(), 24.465)</f>
        <v>#N/A</v>
      </c>
      <c r="BY45" s="8" t="e">
        <f t="shared" si="18"/>
        <v>#N/A</v>
      </c>
      <c r="BZ45" s="8">
        <f>IF(OR(ISBLANK(Input!$BK$4),$D$27=FALSE),NA(),('Reaction Information'!$J$46/10+'Reaction Information'!$K$46*100/(Calculations!$C$12+Calculations!$M45)+('Reaction Information'!$L$46+'Reaction Information'!$M$46*10000/(Calculations!$C$12+Calculations!$M45))/(Calculations!$O45-Calculations!$C$13)-calculateOmega(Calculations!M45,Calculations!N45,Calculations!Q45,'Reaction Information'!$C$46,'Reaction Information'!$P$46*10^5,'Reaction Information'!$Q$46)*Calculations!$U45*10^-6 + (1/$S45 - 1)*calculate_domegadP(Calculations!M45,Calculations!N45,Calculations!Q45,'Reaction Information'!$C$46,'Reaction Information'!$P$46*10^5,'Reaction Information'!$Q$46,$D$20,$D$19=3))*41.84)</f>
        <v>0</v>
      </c>
      <c r="CA45" s="8">
        <f>IF(OR(ISBLANK(Input!$BN$4),$D$27=FALSE),NA(),('Reaction Information'!$J$50/10+'Reaction Information'!$K$50*100/(Calculations!$C$12+Calculations!$M45)+('Reaction Information'!$L$50+'Reaction Information'!$M$50*10000/(Calculations!$C$12+Calculations!$M45))/(Calculations!$O45-Calculations!$C$13)-calculateOmega(Calculations!M45,Calculations!N45,Calculations!Q45,'Reaction Information'!$C$50,'Reaction Information'!$P$50*10^5,'Reaction Information'!$Q$50)*Calculations!$U45*10^-6 + (1/$S45 - 1)*calculate_domegadP(Calculations!M45,Calculations!N45,Calculations!Q45,'Reaction Information'!$C$50,'Reaction Information'!$P$50*10^5,'Reaction Information'!$Q$50,$D$20,$D$19=3))*41.84)</f>
        <v>27.253232994352327</v>
      </c>
      <c r="CB45" s="8" t="e">
        <f>IF(OR(ISBLANK(Input!$BQ$4),$D$27=FALSE),NA(),('Reaction Information'!$J$54/10+'Reaction Information'!$K$54*100/(Calculations!$C$12+Calculations!$M45)+('Reaction Information'!$L$54+'Reaction Information'!$M$54*10000/(Calculations!$C$12+Calculations!$M45))/(Calculations!$O45-Calculations!$C$13)-calculateOmega(Calculations!M45,Calculations!N45,Calculations!Q45,'Reaction Information'!$C$54,'Reaction Information'!$P$54*10^5,'Reaction Information'!$Q$54)*Calculations!$U45*10^-6 + (1/$S45 - 1)*calculate_domegadP(Calculations!M45,Calculations!N45,Calculations!Q45,'Reaction Information'!$C$54,'Reaction Information'!$P$54*10^5,'Reaction Information'!$Q$54,$D$20,$D$19=3))*41.84)</f>
        <v>#N/A</v>
      </c>
      <c r="CC45" s="8" t="e">
        <f>IF(OR(ISBLANK(Input!$BT$4),$D$27=FALSE),NA(),('Reaction Information'!$J$58/10+'Reaction Information'!$K$58*100/(Calculations!$C$12+Calculations!$M45)+('Reaction Information'!$L$58+'Reaction Information'!$M$58*10000/(Calculations!$C$12+Calculations!$M45))/(Calculations!$O45-Calculations!$C$13)-calculateOmega(Calculations!M45,Calculations!N45,Calculations!Q45,'Reaction Information'!$C$58,'Reaction Information'!$P$58*10^5,'Reaction Information'!$Q$58)*Calculations!$U45*10^-6 + (1/$S45 - 1)*calculate_domegadP(Calculations!M45,Calculations!N45,Calculations!Q45,'Reaction Information'!$C$58,'Reaction Information'!$P$58*10^5,'Reaction Information'!$Q$58,$D$20,$D$19=3))*41.84)</f>
        <v>#N/A</v>
      </c>
      <c r="CD45" s="8" t="e">
        <f>IF(OR(ISBLANK(Input!$BW$4),$D$27=FALSE),NA(),('Reaction Information'!$J$62/10+'Reaction Information'!$K$62*100/(Calculations!$C$12+Calculations!$M45)+('Reaction Information'!$L$62+'Reaction Information'!$M$62*10000/(Calculations!$C$12+Calculations!$M45))/(Calculations!$O45-Calculations!$C$13)-calculateOmega(Calculations!M45,Calculations!N45,Calculations!Q45,'Reaction Information'!$C$62,'Reaction Information'!$P$62*10^5,'Reaction Information'!$Q$62)*Calculations!$U45*10^-6 + (1/$S45 - 1)*calculate_domegadP(Calculations!M45,Calculations!N45,Calculations!Q45,'Reaction Information'!$C$62,'Reaction Information'!$P$62*10^5,'Reaction Information'!$Q$62,$D$20,$D$19=3))*41.84)</f>
        <v>#N/A</v>
      </c>
      <c r="CE45" s="8" t="e">
        <f>IF(OR(ISBLANK(Input!$BZ$4),$D$27=FALSE),NA(),('Reaction Information'!$J$66/10+'Reaction Information'!$K$66*100/(Calculations!$C$12+Calculations!$M45)+('Reaction Information'!$L$66+'Reaction Information'!$M$66*10000/(Calculations!$C$12+Calculations!$M45))/(Calculations!$O45-Calculations!$C$13)-calculateOmega(Calculations!M45,Calculations!N45,Calculations!Q45,'Reaction Information'!$C$66,'Reaction Information'!$P$66*10^5,'Reaction Information'!$Q$66)*Calculations!$U45*10^-6 + (1/$S45 - 1)*calculate_domegadP(Calculations!M45,Calculations!N45,Calculations!Q45,'Reaction Information'!$C$66,'Reaction Information'!$P$66*10^5,'Reaction Information'!$Q$66,$D$20,$D$19=3))*41.84)</f>
        <v>#N/A</v>
      </c>
      <c r="CF45" s="31">
        <f>(BS45*Input!$AO$4+BT45*Input!$AR$4+BU45*Input!$AU$4+BV45*Input!$AX$4+IF(ISNA(BW45),0,BW45*Input!$BA$4)+IF(ISNA(BX45),0,BX45*Input!$BD$4)+IF(ISNA(BY45),0,BY45*Input!$BG$4)+IF(ISNA(BZ45),0,BZ45*Input!$BJ$4)+IF(ISNA(CA45),0,CA45*Input!$BM$4)+IF(ISNA(CB45),0,CB45*Input!$BP$4)+IF(ISNA(CC45),0,CC45*Input!$BS$4)+IF(ISNA(CD45),0,CD45*Input!$BV$4)+IF(ISNA(CE45),0,CE45*Input!$BY$4))-(BF45*Input!$B$4+BG45*Input!$E$4+BH45*Input!$H$4+BI45*Input!$K$4+IF(ISNA(BJ45),0,BJ45*Input!$N$4)+IF(ISNA(BK45),0,BK45*Input!$Q$4)+IF(ISNA(BL45),0,BL45*Input!$T$4)+IF(ISNA(BM45),0,BM45*Input!$W$4)+IF(ISNA(BN45),0,BN45*Input!$Z$4)+IF(ISNA(BO45),0,BO45*Input!$AC$4)+IF(ISNA(BP45),0,BP45*Input!$AF$4)+IF(ISNA(BQ45),0,BQ45*Input!$AI$4)+IF(ISNA(BR45),0,BR45*Input!$AL$4))</f>
        <v>-23.595399039535966</v>
      </c>
      <c r="CG45" s="1">
        <f t="shared" si="12"/>
        <v>750</v>
      </c>
      <c r="CH45" s="46">
        <f t="shared" si="13"/>
        <v>15000</v>
      </c>
      <c r="CI45" s="1"/>
    </row>
    <row r="46" spans="1:87" x14ac:dyDescent="0.2">
      <c r="A46" s="1"/>
      <c r="B46" s="259" t="s">
        <v>482</v>
      </c>
      <c r="C46" s="259"/>
      <c r="D46" s="259"/>
      <c r="E46" s="1"/>
      <c r="F46" s="2">
        <v>41</v>
      </c>
      <c r="G46" s="1" t="str">
        <f>IF(ISBLANK(Input!CB46), "", Input!CB46*1000)</f>
        <v/>
      </c>
      <c r="H46" s="1" t="str">
        <f>IF(ISBLANK(Input!CC46), "", Input!CC46)</f>
        <v/>
      </c>
      <c r="I46" s="1">
        <f>IF(Input!$CF$5 + Input!$CF$6*(FLOOR((Calculations!$F46-1)/(FLOOR((Input!$CF$12-Input!$CF$10)/Input!$CF$11,1)+1),1)) &gt; Input!$CF$7, "", (Input!$CF$5 + Input!$CF$6*(FLOOR((Calculations!$F46-1)/(FLOOR((Input!$CF$12-Input!$CF$10)/Input!$CF$11,1)+1),1)))*1000)</f>
        <v>15000</v>
      </c>
      <c r="J46" s="1">
        <f>IF(Calculations!I46 = "", "", Input!$CF$10 + Input!$CF$11*(Calculations!$F46-1) - (FLOOR((Input!$CF$12-Input!$CF$10)/Input!$CF$11,1)+1)*Input!$CF$11*FLOOR((Calculations!$F46-1)/(FLOOR((Input!$CF$12-Input!$CF$10)/Input!$CF$11,1)+1),1))</f>
        <v>800</v>
      </c>
      <c r="K46" s="8" t="str">
        <f t="shared" si="14"/>
        <v/>
      </c>
      <c r="L46" s="117" t="str">
        <f>IF(OR(Input!$CJ$5 + Input!$CJ$6*(Calculations!F46-1) &gt; Input!$CJ$7, Input!$CJ$5 + Input!$CJ$6*(Calculations!F46-1) &gt; 350), "", Input!$CJ$5 + Input!$CJ$6*(Calculations!F46-1))</f>
        <v/>
      </c>
      <c r="M46" s="1">
        <f t="shared" si="2"/>
        <v>15000</v>
      </c>
      <c r="N46" s="1">
        <f t="shared" si="3"/>
        <v>800</v>
      </c>
      <c r="O46" s="1">
        <f t="shared" si="15"/>
        <v>1073.1500000000001</v>
      </c>
      <c r="P46" s="1" t="e">
        <f>IF(OR($D$20=3,AND($D$21=TRUE,M46&lt;1000)),INDEX('Water Density'!$C$6:$CX$120,MATCH(Calculations!N46,'Water Density'!$B$6:$B$120),MATCH(Calculations!M46/1000,'Water Density'!$C$5:$CX$5)),NA())</f>
        <v>#N/A</v>
      </c>
      <c r="Q46" s="182">
        <f>IF(OR($D$20=3,AND($D$21=TRUE,M46&lt;1000)), IF(P46&lt;&gt;0,P46,NA()), calculateDensity(M46,N46,$D$20,0.01,$D$19 = 3))</f>
        <v>0.98281006916165348</v>
      </c>
      <c r="R46" s="1" t="e">
        <f>IF($D$22=5,INDEX('Dielectric Constant'!$C$6:$CX$120,MATCH(Calculations!N46,'Dielectric Constant'!$B$6:$B$120),MATCH(Calculations!M46/1000,'Dielectric Constant'!$C$5:$CX$5)),NA())</f>
        <v>#N/A</v>
      </c>
      <c r="S46" s="58">
        <f>IF($D$22=5, IF(R46&lt;&gt;0,R46,NA()), IF(AND($D$23,M46&lt;=5000,$D$19 &lt;&gt; 3),calculateEpsilon(Q46,N46,1,FALSE),calculateEpsilon(Q46,N46,$D$22,$D$19 = 3)))</f>
        <v>15.114134468118241</v>
      </c>
      <c r="T46" s="1" t="e">
        <f>IF($D$24=3,INDEX('Water Free Energy'!$C$6:$CX$120,MATCH(Calculations!N46,'Water Free Energy'!$B$6:$B$120),MATCH(Calculations!M46/1000,'Water Free Energy'!$C$5:$CX$5)),NA())</f>
        <v>#N/A</v>
      </c>
      <c r="U46" s="179">
        <f>IF($D$27,calculateQ(M46,N46,Q46,$D$20,$D$22,$D$19=3)*10^6,NA())</f>
        <v>1.01987809926169</v>
      </c>
      <c r="V46"/>
      <c r="W46" s="2">
        <f t="shared" si="5"/>
        <v>15000</v>
      </c>
      <c r="X46" s="1">
        <f t="shared" si="6"/>
        <v>800</v>
      </c>
      <c r="Y46" s="1">
        <f>Results!F48</f>
        <v>0</v>
      </c>
      <c r="Z46" s="1">
        <f>Results!G48</f>
        <v>0</v>
      </c>
      <c r="AA46" s="1">
        <f>Results!H48</f>
        <v>0</v>
      </c>
      <c r="AB46" s="1">
        <f>Results!I48</f>
        <v>0</v>
      </c>
      <c r="AC46" s="1" t="e">
        <f>IF(ISBLANK(Input!$O$4),NA(),'Reaction Information'!$E$5-'Reaction Information'!$G$5*(Calculations!$O46-Calculations!$C$8)+'Reaction Information'!$I$5*(Calculations!$O46-Calculations!$C$8-Calculations!$O46*LN(Calculations!$O46/Calculations!$C$8))+'Reaction Information'!$J$5*0.001/2*(2*Calculations!$O46*Calculations!$C$8-Calculations!$O46^2-Calculations!$C$8^2) + 'Reaction Information'!$K$5*100000*(Calculations!$O46^2 + Calculations!$C$8^2 - 2*Calculations!$O46*Calculations!$C$8)/(2*Calculations!$O46*Calculations!$C$8^2))</f>
        <v>#N/A</v>
      </c>
      <c r="AD46" s="8" t="e">
        <f>IF(ISBLANK(Input!$R$4),NA(),'Reaction Information'!$E$9-'Reaction Information'!$G$9*(Calculations!$O46-Calculations!$C$8)+'Reaction Information'!$I$9*(Calculations!$O46-Calculations!$C$8-Calculations!$O46*LN(Calculations!$O46/Calculations!$C$8))+'Reaction Information'!$J$9*0.001/2*(2*Calculations!$O46*Calculations!$C$8-Calculations!$O46^2-Calculations!$C$8^2) + 'Reaction Information'!$K$9*100000*(Calculations!$O46^2 + Calculations!$C$8^2 - 2*Calculations!$O46*Calculations!$C$8)/(2*Calculations!$O46*Calculations!$C$8^2))</f>
        <v>#N/A</v>
      </c>
      <c r="AE46" s="8">
        <f>IF(AE$5="H2O",IF($D$24=3,IF(T46=0,NA(),T46),calculateGibbsOfWater(M46,N46,$D$24,$D$20,$D$19=3)),NA())</f>
        <v>-71642.984159468047</v>
      </c>
      <c r="AF46" s="8">
        <f>IF(ISBLANK(Input!$X$4),NA(),'Reaction Information'!$E$13-'Reaction Information'!$G$13*(Calculations!O46-Calculations!$C$8)-'Reaction Information'!$N$13*(Calculations!O46*LN(Calculations!O46/Calculations!$C$8)-Calculations!O46+Calculations!$C$8)-'Reaction Information'!$O$13*10^4*(((1/(Calculations!O46-Calculations!$C$13))-(1/(Calculations!$C$8-Calculations!$C$13)))*((Calculations!$C$13-Calculations!O46)/(Calculations!$C$13))-(Calculations!O46/(Calculations!$C$13*Calculations!$C$13))*LN((Calculations!$C$8*(Calculations!O46-Calculations!$C$13))/(Calculations!O46*(Calculations!$C$8-Calculations!$C$13))))+'Reaction Information'!$J$13*10^-1*(Calculations!M46-Calculations!$C$9)+'Reaction Information'!$K$13*10^2*LN((Calculations!$C$12+Calculations!M46)/(Calculations!$C$12+Calculations!$C$9))+(1/(Calculations!O46-Calculations!$C$13))*('Reaction Information'!$L$13*(Calculations!M46-Calculations!$C$9)+'Reaction Information'!$M$13*10^4*LN((Calculations!$C$12+Calculations!M46)/(Calculations!$C$12+Calculations!$C$9)))+calculateOmega(Calculations!M46,Calculations!N46,Calculations!Q46,'Reaction Information'!$C$13,'Reaction Information'!$P$13*10^5,'Reaction Information'!$Q$13)*((1/Calculations!S46)-1)-'Reaction Information'!$P$13*10^5*((1/Calculations!$C$10)-1)+'Reaction Information'!$P$13*10^5*Calculations!$C$14*(Calculations!O46-Calculations!$C$8))</f>
        <v>-115056.68657061129</v>
      </c>
      <c r="AG46" s="8" t="e">
        <f>IF(ISBLANK(Input!$AA$4),NA(),'Reaction Information'!$E$17-'Reaction Information'!$G$17*(Calculations!$O46-Calculations!$C$8)-'Reaction Information'!$N$17*(Calculations!$O46*LN(Calculations!$O46/Calculations!$C$8)-Calculations!$O46+Calculations!$C$8)-'Reaction Information'!$O$17*10^4*(((1/(Calculations!$O46-Calculations!$C$13))-(1/(Calculations!$C$8-Calculations!$C$13)))*((Calculations!$C$13-Calculations!$O46)/(Calculations!$C$13))-(Calculations!$O46/(Calculations!$C$13*Calculations!$C$13))*LN((Calculations!$C$8*(Calculations!$O46-Calculations!$C$13))/(Calculations!$O46*(Calculations!$C$8-Calculations!$C$13))))+'Reaction Information'!$J$17*10^-1*(Calculations!$M46-Calculations!$C$9)+'Reaction Information'!$K$17*10^2*LN((Calculations!$C$12+Calculations!$M46)/(Calculations!$C$12+Calculations!$C$9))+(1/(Calculations!$O46-Calculations!$C$13))*('Reaction Information'!$L$17*(Calculations!$M46-Calculations!$C$9)+'Reaction Information'!$M$17*10^4*LN((Calculations!$C$12+Calculations!$M46)/(Calculations!$C$12+Calculations!$C$9)))+calculateOmega(Calculations!M46,Calculations!N46,Calculations!Q46,'Reaction Information'!$C$17,'Reaction Information'!$P$17*10^5,'Reaction Information'!$Q$17)*((1/Calculations!$S46)-1)-'Reaction Information'!$P$17*10^5*((1/Calculations!$C$10)-1)+'Reaction Information'!$P$17*10^5*Calculations!$C$14*(Calculations!$O46-Calculations!$C$8))</f>
        <v>#N/A</v>
      </c>
      <c r="AH46" s="8" t="e">
        <f>IF(ISBLANK(Input!$AD$4),NA(),'Reaction Information'!$E$21-'Reaction Information'!$G$21*(Calculations!$O46-Calculations!$C$8)-'Reaction Information'!$N$21*(Calculations!$O46*LN(Calculations!$O46/Calculations!$C$8)-Calculations!$O46+Calculations!$C$8)-'Reaction Information'!$O$21*10^4*(((1/(Calculations!$O46-Calculations!$C$13))-(1/(Calculations!$C$8-Calculations!$C$13)))*((Calculations!$C$13-Calculations!$O46)/(Calculations!$C$13))-(Calculations!$O46/(Calculations!$C$13*Calculations!$C$13))*LN((Calculations!$C$8*(Calculations!$O46-Calculations!$C$13))/(Calculations!$O46*(Calculations!$C$8-Calculations!$C$13))))+'Reaction Information'!$J$21*10^-1*(Calculations!$M46-Calculations!$C$9)+'Reaction Information'!$K$21*10^2*LN((Calculations!$C$12+Calculations!$M46)/(Calculations!$C$12+Calculations!$C$9))+(1/(Calculations!$O46-Calculations!$C$13))*('Reaction Information'!$L$21*(Calculations!$M46-Calculations!$C$9)+'Reaction Information'!$M$21*10^4*LN((Calculations!$C$12+Calculations!$M46)/(Calculations!$C$12+Calculations!$C$9)))+calculateOmega(Calculations!M46,Calculations!N46,Calculations!Q46,'Reaction Information'!$C$21,'Reaction Information'!$P$21*10^5,'Reaction Information'!$Q$21)*((1/Calculations!$S46)-1)-'Reaction Information'!$P$21*10^5*((1/Calculations!$C$10)-1)+'Reaction Information'!$P$21*10^5*Calculations!$C$14*(Calculations!$O46-Calculations!$C$8))</f>
        <v>#N/A</v>
      </c>
      <c r="AI46" s="8" t="e">
        <f>IF(ISBLANK(Input!$AG$4),NA(),'Reaction Information'!$E$25-'Reaction Information'!$G$25*(Calculations!$O46-Calculations!$C$8)-'Reaction Information'!$N$25*(Calculations!$O46*LN(Calculations!$O46/Calculations!$C$8)-Calculations!$O46+Calculations!$C$8)-'Reaction Information'!$O$25*10^4*(((1/(Calculations!$O46-Calculations!$C$13))-(1/(Calculations!$C$8-Calculations!$C$13)))*((Calculations!$C$13-Calculations!$O46)/(Calculations!$C$13))-(Calculations!$O46/(Calculations!$C$13*Calculations!$C$13))*LN((Calculations!$C$8*(Calculations!$O46-Calculations!$C$13))/(Calculations!$O46*(Calculations!$C$8-Calculations!$C$13))))+'Reaction Information'!$J$25*10^-1*(Calculations!$M46-Calculations!$C$9)+'Reaction Information'!$K$25*10^2*LN((Calculations!$C$12+Calculations!$M46)/(Calculations!$C$12+Calculations!$C$9))+(1/(Calculations!$O46-Calculations!$C$13))*('Reaction Information'!$L$25*(Calculations!$M46-Calculations!$C$9)+'Reaction Information'!$M$25*10^4*LN((Calculations!$C$12+Calculations!$M46)/(Calculations!$C$12+Calculations!$C$9)))+calculateOmega(Calculations!M46,Calculations!N46,Calculations!Q46,'Reaction Information'!$C$25,'Reaction Information'!$P$25*10^5,'Reaction Information'!$Q$25)*((1/Calculations!$S46)-1)-'Reaction Information'!$P$25*10^5*((1/Calculations!$C$10)-1)+'Reaction Information'!$P$25*10^5*Calculations!$C$14*(Calculations!$O46-Calculations!$C$8))</f>
        <v>#N/A</v>
      </c>
      <c r="AJ46" s="8" t="e">
        <f>IF(ISBLANK(Input!$AJ$4),NA(),'Reaction Information'!$E$29-'Reaction Information'!$G$29*(Calculations!$O46-Calculations!$C$8)-'Reaction Information'!$N$29*(Calculations!$O46*LN(Calculations!$O46/Calculations!$C$8)-Calculations!$O46+Calculations!$C$8)-'Reaction Information'!$O$29*10^4*(((1/(Calculations!$O46-Calculations!$C$13))-(1/(Calculations!$C$8-Calculations!$C$13)))*((Calculations!$C$13-Calculations!$O46)/(Calculations!$C$13))-(Calculations!$O46/(Calculations!$C$13*Calculations!$C$13))*LN((Calculations!$C$8*(Calculations!$O46-Calculations!$C$13))/(Calculations!$O46*(Calculations!$C$8-Calculations!$C$13))))+'Reaction Information'!$J$29*10^-1*(Calculations!$M46-Calculations!$C$9)+'Reaction Information'!$K$29*10^2*LN((Calculations!$C$12+Calculations!$M46)/(Calculations!$C$12+Calculations!$C$9))+(1/(Calculations!$O46-Calculations!$C$13))*('Reaction Information'!$L$29*(Calculations!$M46-Calculations!$C$9)+'Reaction Information'!$M$29*10^4*LN((Calculations!$C$12+Calculations!$M46)/(Calculations!$C$12+Calculations!$C$9)))+calculateOmega(Calculations!M46,Calculations!N46,Calculations!Q46,'Reaction Information'!$C$29,'Reaction Information'!$P$29*10^5,'Reaction Information'!$Q$29)*((1/Calculations!$S46)-1)-'Reaction Information'!$P$29*10^5*((1/Calculations!$C$10)-1)+'Reaction Information'!$P$29*10^5*Calculations!$C$14*(Calculations!$O46-Calculations!$C$8))</f>
        <v>#N/A</v>
      </c>
      <c r="AK46" s="8" t="e">
        <f>IF(ISBLANK(Input!$AM$4),NA(),'Reaction Information'!$E$33-'Reaction Information'!$G$33*(Calculations!$O46-Calculations!$C$8)-'Reaction Information'!$N$33*(Calculations!$O46*LN(Calculations!$O46/Calculations!$C$8)-Calculations!$O46+Calculations!$C$8)-'Reaction Information'!$O$33*10^4*(((1/(Calculations!$O46-Calculations!$C$13))-(1/(Calculations!$C$8-Calculations!$C$13)))*((Calculations!$C$13-Calculations!$O46)/(Calculations!$C$13))-(Calculations!$O46/(Calculations!$C$13*Calculations!$C$13))*LN((Calculations!$C$8*(Calculations!$O46-Calculations!$C$13))/(Calculations!$O46*(Calculations!$C$8-Calculations!$C$13))))+'Reaction Information'!$J$33*10^-1*(Calculations!$M46-Calculations!$C$9)+'Reaction Information'!$K$33*10^2*LN((Calculations!$C$12+Calculations!$M46)/(Calculations!$C$12+Calculations!$C$9))+(1/(Calculations!$O46-Calculations!$C$13))*('Reaction Information'!$L$33*(Calculations!$M46-Calculations!$C$9)+'Reaction Information'!$M$33*10^4*LN((Calculations!$C$12+Calculations!$M46)/(Calculations!$C$12+Calculations!$C$9)))+calculateOmega(Calculations!M46,Calculations!N46,Calculations!Q46,'Reaction Information'!$C$33,'Reaction Information'!$P$33*10^5,'Reaction Information'!$Q$33)*((1/Calculations!$S46)-1)-'Reaction Information'!$P$33*10^5*((1/Calculations!$C$10)-1)+'Reaction Information'!$P$33*10^5*Calculations!$C$14*(Calculations!$O46-Calculations!$C$8))</f>
        <v>#N/A</v>
      </c>
      <c r="AL46" s="1">
        <f>Results!S48</f>
        <v>0</v>
      </c>
      <c r="AM46" s="1">
        <f>Results!T48</f>
        <v>0</v>
      </c>
      <c r="AN46" s="1">
        <f>Results!U48</f>
        <v>0</v>
      </c>
      <c r="AO46" s="1">
        <f>Results!V48</f>
        <v>0</v>
      </c>
      <c r="AP46" s="8" t="e">
        <f>IF(ISBLANK(Input!$BB$4),NA(),'Reaction Information'!$E$38-'Reaction Information'!$G$38*(Calculations!$O46-Calculations!$C$8)+'Reaction Information'!$I$38*(Calculations!$O46-Calculations!$C$8-Calculations!$O46*LN(Calculations!$O46/Calculations!$C$8))+'Reaction Information'!$J$38*0.001/2*(2*Calculations!$O46*Calculations!$C$8-Calculations!$O46^2-Calculations!$C$8^2) + 'Reaction Information'!$K$38*100000*(Calculations!$O46^2 + Calculations!$C$8^2 - 2*Calculations!$O46*Calculations!$C$8)/(2*Calculations!$O46*Calculations!$C$8^2))</f>
        <v>#N/A</v>
      </c>
      <c r="AQ46" s="8" t="e">
        <f>IF(ISBLANK(Input!$BE$4),NA(),'Reaction Information'!$E$42-'Reaction Information'!$G$42*(Calculations!$O46-Calculations!$C$8)+'Reaction Information'!$I$42*(Calculations!$O46-Calculations!$C$8-Calculations!$O46*LN(Calculations!$O46/Calculations!$C$8))+'Reaction Information'!$J$42*0.001/2*(2*Calculations!$O46*Calculations!$C$8-Calculations!$O46^2-Calculations!$C$8^2) + 'Reaction Information'!$K$42*100000*(Calculations!$O46^2 + Calculations!$C$8^2 - 2*Calculations!$O46*Calculations!$C$8)/(2*Calculations!$O46*Calculations!$C$8^2))</f>
        <v>#N/A</v>
      </c>
      <c r="AR46" s="8" t="e">
        <f>IF(AR$5="H2O", IF($D$24=3,IF(T46=0,NA(),T46),calculateGibbsOfWater(M46,N46,$D$24,$D$20,$D$19=3)),NA())</f>
        <v>#N/A</v>
      </c>
      <c r="AS46" s="8">
        <f>IF(ISBLANK(Input!$BK$4),NA(),'Reaction Information'!$E$46-'Reaction Information'!$G$46*(Calculations!O46-Calculations!$C$8)-'Reaction Information'!$N$46*(Calculations!O46*LN(Calculations!O46/Calculations!$C$8)-Calculations!O46+Calculations!$C$8)-'Reaction Information'!$O$46*10^4*(((1/(Calculations!O46-Calculations!$C$13))-(1/(Calculations!$C$8-Calculations!$C$13)))*((Calculations!$C$13-Calculations!O46)/(Calculations!$C$13))-(Calculations!O46/(Calculations!$C$13*Calculations!$C$13))*LN((Calculations!$C$8*(Calculations!O46-Calculations!$C$13))/(Calculations!O46*(Calculations!$C$8-Calculations!$C$13))))+'Reaction Information'!$J$46*10^-1*(Calculations!$M46-Calculations!$C$9)+'Reaction Information'!$K$46*10^2*LN((Calculations!$C$12+Calculations!$M46)/(Calculations!$C$12+Calculations!$C$9))+(1/(Calculations!O46-Calculations!$C$13))*('Reaction Information'!$L$46*(Calculations!$M46-Calculations!$C$9)+'Reaction Information'!$M$46*10^4*LN((Calculations!$C$12+Calculations!$M46)/(Calculations!$C$12+Calculations!$C$9)))+calculateOmega(Calculations!M46,Calculations!N46,Calculations!Q46,'Reaction Information'!$C$46,'Reaction Information'!$P$46*10^5,'Reaction Information'!$Q$46)*((1/Calculations!S46)-1)-'Reaction Information'!$P$46*10^5*((1/Calculations!$C$10)-1)+'Reaction Information'!$P$46*10^5*Calculations!$C$14*(Calculations!O46-Calculations!$C$8))</f>
        <v>0</v>
      </c>
      <c r="AT46" s="8">
        <f>IF(ISBLANK(Input!$BN$4),NA(),'Reaction Information'!$E$50-'Reaction Information'!$G$50*(Calculations!O46-Calculations!$C$8)-'Reaction Information'!$N$50*(Calculations!O46*LN(Calculations!O46/Calculations!$C$8)-Calculations!O46+Calculations!$C$8)-'Reaction Information'!$O$50*10^4*(((1/(Calculations!O46-Calculations!$C$13))-(1/(Calculations!$C$8-Calculations!$C$13)))*((Calculations!$C$13-Calculations!O46)/(Calculations!$C$13))-(Calculations!O46/(Calculations!$C$13*Calculations!$C$13))*LN((Calculations!$C$8*(Calculations!O46-Calculations!$C$13))/(Calculations!O46*(Calculations!$C$8-Calculations!$C$13))))+'Reaction Information'!$J$50*10^-1*(Calculations!$M46-Calculations!$C$9)+'Reaction Information'!$K$50*10^2*LN((Calculations!$C$12+Calculations!$M46)/(Calculations!$C$12+Calculations!$C$9))+(1/(Calculations!O46-Calculations!$C$13))*('Reaction Information'!$L$50*(Calculations!$M46-Calculations!$C$9)+'Reaction Information'!$M$50*10^4*LN((Calculations!$C$12+Calculations!$M46)/(Calculations!$C$12+Calculations!$C$9)))+calculateOmega(Calculations!M46,Calculations!N46,Calculations!Q46,'Reaction Information'!$C$50,'Reaction Information'!$P$50*10^5,'Reaction Information'!$Q$50)*((1/Calculations!S46)-1)-'Reaction Information'!$P$50*10^5*((1/Calculations!$C$10)-1)+'Reaction Information'!$P$50*10^5*Calculations!$C$14*(Calculations!O46-Calculations!$C$8))</f>
        <v>-151541.32930440037</v>
      </c>
      <c r="AU46" s="8" t="e">
        <f>IF(ISBLANK(Input!$BQ$4),NA(),'Reaction Information'!$E$54-'Reaction Information'!$G$54*(Calculations!$O46-Calculations!$C$8)-'Reaction Information'!$N$54*(Calculations!$O46*LN(Calculations!$O46/Calculations!$C$8)-Calculations!$O46+Calculations!$C$8)-'Reaction Information'!$O$54*10^4*(((1/(Calculations!$O46-Calculations!$C$13))-(1/(Calculations!$C$8-Calculations!$C$13)))*((Calculations!$C$13-Calculations!$O46)/(Calculations!$C$13))-(Calculations!$O46/(Calculations!$C$13*Calculations!$C$13))*LN((Calculations!$C$8*(Calculations!$O46-Calculations!$C$13))/(Calculations!$O46*(Calculations!$C$8-Calculations!$C$13))))+'Reaction Information'!$J$54*10^-1*(Calculations!$M46-Calculations!$C$9)+'Reaction Information'!$K$54*10^2*LN((Calculations!$C$12+Calculations!$M46)/(Calculations!$C$12+Calculations!$C$9))+(1/(Calculations!$O46-Calculations!$C$13))*('Reaction Information'!$L$54*(Calculations!$M46-Calculations!$C$9)+'Reaction Information'!$M$54*10^4*LN((Calculations!$C$12+Calculations!$M46)/(Calculations!$C$12+Calculations!$C$9)))+calculateOmega(Calculations!M46,Calculations!N46,Calculations!Q46,'Reaction Information'!$C$54,'Reaction Information'!$P$54*10^5,'Reaction Information'!$Q$54)*((1/Calculations!$S46)-1)-'Reaction Information'!$P$54*10^5*((1/Calculations!$C$10)-1)+'Reaction Information'!$P$54*10^5*Calculations!$C$14*(Calculations!$O46-Calculations!$C$8))</f>
        <v>#N/A</v>
      </c>
      <c r="AV46" s="8" t="e">
        <f>IF(ISBLANK(Input!$BT$4),NA(),'Reaction Information'!$E$58-'Reaction Information'!$G$58*(Calculations!$O46-Calculations!$C$8)-'Reaction Information'!$N$58*(Calculations!$O46*LN(Calculations!$O46/Calculations!$C$8)-Calculations!$O46+Calculations!$C$8)-'Reaction Information'!$O$58*10^4*(((1/(Calculations!$O46-Calculations!$C$13))-(1/(Calculations!$C$8-Calculations!$C$13)))*((Calculations!$C$13-Calculations!$O46)/(Calculations!$C$13))-(Calculations!$O46/(Calculations!$C$13*Calculations!$C$13))*LN((Calculations!$C$8*(Calculations!$O46-Calculations!$C$13))/(Calculations!$O46*(Calculations!$C$8-Calculations!$C$13))))+'Reaction Information'!$J$58*10^-1*(Calculations!$M46-Calculations!$C$9)+'Reaction Information'!$K$58*10^2*LN((Calculations!$C$12+Calculations!$M46)/(Calculations!$C$12+Calculations!$C$9))+(1/(Calculations!$O46-Calculations!$C$13))*('Reaction Information'!$L$58*(Calculations!$M46-Calculations!$C$9)+'Reaction Information'!$M$58*10^4*LN((Calculations!$C$12+Calculations!$M46)/(Calculations!$C$12+Calculations!$C$9)))+calculateOmega(Calculations!M46,Calculations!N46,Calculations!Q46,'Reaction Information'!$C$58,'Reaction Information'!$P$58*10^5,'Reaction Information'!$Q$58)*((1/Calculations!$S46)-1)-'Reaction Information'!$P$58*10^5*((1/Calculations!$C$10)-1)+'Reaction Information'!$P$58*10^5*Calculations!$C$14*(Calculations!$O46-Calculations!$C$8))</f>
        <v>#N/A</v>
      </c>
      <c r="AW46" s="8" t="e">
        <f>IF(ISBLANK(Input!$BW$4),NA(),'Reaction Information'!$E$62-'Reaction Information'!$G$62*(Calculations!$O46-Calculations!$C$8)-'Reaction Information'!$N$62*(Calculations!$O46*LN(Calculations!$O46/Calculations!$C$8)-Calculations!$O46+Calculations!$C$8)-'Reaction Information'!$O$62*10^4*(((1/(Calculations!$O46-Calculations!$C$13))-(1/(Calculations!$C$8-Calculations!$C$13)))*((Calculations!$C$13-Calculations!$O46)/(Calculations!$C$13))-(Calculations!$O46/(Calculations!$C$13*Calculations!$C$13))*LN((Calculations!$C$8*(Calculations!$O46-Calculations!$C$13))/(Calculations!$O46*(Calculations!$C$8-Calculations!$C$13))))+'Reaction Information'!$J$62*10^-1*(Calculations!$M46-Calculations!$C$9)+'Reaction Information'!$K$62*10^2*LN((Calculations!$C$12+Calculations!$M46)/(Calculations!$C$12+Calculations!$C$9))+(1/(Calculations!$O46-Calculations!$C$13))*('Reaction Information'!$L$62*(Calculations!$M46-Calculations!$C$9)+'Reaction Information'!$M$62*10^4*LN((Calculations!$C$12+Calculations!$M46)/(Calculations!$C$12+Calculations!$C$9)))+calculateOmega(Calculations!M46,Calculations!N46,Calculations!Q46,'Reaction Information'!$C$62,'Reaction Information'!$P$62*10^5,'Reaction Information'!$Q$62)*((1/Calculations!$S46)-1)-'Reaction Information'!$P$62*10^5*((1/Calculations!$C$10)-1)+'Reaction Information'!$P$62*10^5*Calculations!$C$14*(Calculations!$O46-Calculations!$C$8))</f>
        <v>#N/A</v>
      </c>
      <c r="AX46" s="8" t="e">
        <f>IF(ISBLANK(Input!$BZ$4),NA(),'Reaction Information'!$E$66-'Reaction Information'!$G$66*(Calculations!$O46-Calculations!$C$8)-'Reaction Information'!$N$66*(Calculations!$O46*LN(Calculations!$O46/Calculations!$C$8)-Calculations!$O46+Calculations!$C$8)-'Reaction Information'!$O$66*10^4*(((1/(Calculations!$O46-Calculations!$C$13))-(1/(Calculations!$C$8-Calculations!$C$13)))*((Calculations!$C$13-Calculations!$O46)/(Calculations!$C$13))-(Calculations!$O46/(Calculations!$C$13*Calculations!$C$13))*LN((Calculations!$C$8*(Calculations!$O46-Calculations!$C$13))/(Calculations!$O46*(Calculations!$C$8-Calculations!$C$13))))+'Reaction Information'!$J$66*10^-1*(Calculations!$M46-Calculations!$C$9)+'Reaction Information'!$K$66*10^2*LN((Calculations!$C$12+Calculations!$M46)/(Calculations!$C$12+Calculations!$C$9))+(1/(Calculations!$O46-Calculations!$C$13))*('Reaction Information'!$L$66*(Calculations!$M46-Calculations!$C$9)+'Reaction Information'!$M$66*10^4*LN((Calculations!$C$12+Calculations!$M46)/(Calculations!$C$12+Calculations!$C$9)))+calculateOmega(Calculations!M46,Calculations!N46,Calculations!Q46,'Reaction Information'!$C$66,'Reaction Information'!$P$66*10^5,'Reaction Information'!$Q$66)*((1/Calculations!$S46)-1)-'Reaction Information'!$P$66*10^5*((1/Calculations!$C$10)-1)+'Reaction Information'!$P$66*10^5*Calculations!$C$14*(Calculations!$O46-Calculations!$C$8))</f>
        <v>#N/A</v>
      </c>
      <c r="AY46" s="31">
        <f>(AL46*Input!$AO$4+AM46*Input!$AR$4+AN46*Input!$AU$4+AO46*Input!$AX$4+IF(ISNA(AP46),0,AP46*Input!$BA$4)+IF(ISNA(AQ46),0,AQ46*Input!$BD$4)+IF(ISNA(AR46),0,AR46*Input!$BG$4)+IF(ISNA(AS46),0,AS46*Input!$BJ$4)+IF(ISNA(AT46),0,AT46*Input!$BM$4)+IF(ISNA(AU46),0,AU46*Input!$BP$4)+IF(ISNA(AV46),0,AV46*Input!$BS$4)+IF(ISNA(AW46),0,AW46*Input!$BV$4)+IF(ISNA(AX46),0,AX46*Input!$BY$4))-(Y46*Input!$B$4+Z46*Input!$E$4+AA46*Input!$H$4+AB46*Input!$K$4+IF(ISNA(AC46),0,AC46*Input!$N$4)+IF(ISNA(AD46),0,AD46*Input!$Q$4)+IF(ISNA(AE46),0,AE46*Input!$T$4)+IF(ISNA(AF46),0,AF46*Input!$W$4)+IF(ISNA(AG46),0,AG46*Input!$Z$4)+IF(ISNA(AH46),0,AH46*Input!$AC$4)+IF(ISNA(AI46),0,AI46*Input!$AF$4)+IF(ISNA(AJ46),0,AJ46*Input!$AI$4)+IF(ISNA(AK46),0,AK46*Input!$AL$4))</f>
        <v>35158.341425678984</v>
      </c>
      <c r="AZ46" s="42">
        <f t="shared" si="16"/>
        <v>-7.1647299030473457</v>
      </c>
      <c r="BA46" s="1">
        <f t="shared" si="8"/>
        <v>800</v>
      </c>
      <c r="BB46" s="46">
        <f t="shared" si="9"/>
        <v>15000</v>
      </c>
      <c r="BC46" s="1"/>
      <c r="BD46" s="2">
        <f t="shared" si="10"/>
        <v>15000</v>
      </c>
      <c r="BE46" s="46">
        <f t="shared" si="11"/>
        <v>800</v>
      </c>
      <c r="BF46" s="1">
        <f>Results!AJ48</f>
        <v>0</v>
      </c>
      <c r="BG46" s="1">
        <f>Results!AK48</f>
        <v>0</v>
      </c>
      <c r="BH46" s="1">
        <f>Results!AL48</f>
        <v>0</v>
      </c>
      <c r="BI46" s="1">
        <f>Results!AM48</f>
        <v>0</v>
      </c>
      <c r="BJ46" s="1" t="e">
        <f>IF(OR(ISNA('Reaction Information'!$D$5), $N46 = "", $D$27 = FALSE, 'Reaction Information'!$D$5 = ""), NA(), 24.465)</f>
        <v>#N/A</v>
      </c>
      <c r="BK46" s="1" t="e">
        <f>IF(OR(ISNA('Reaction Information'!$D$9), $N46 = "", $D$27 = FALSE, 'Reaction Information'!$D$9 = ""), NA(), 24.465)</f>
        <v>#N/A</v>
      </c>
      <c r="BL46" s="8">
        <f t="shared" si="17"/>
        <v>18.330377928837471</v>
      </c>
      <c r="BM46" s="8">
        <f>IF(OR(ISBLANK(Input!$X$4),$D$27=FALSE),NA(),('Reaction Information'!$J$13/10+'Reaction Information'!$K$13*100/(Calculations!$C$12+Calculations!$M46)+('Reaction Information'!$L$13+'Reaction Information'!$M$13*10^4/(Calculations!$C$12+Calculations!$M46))/(Calculations!$O46-Calculations!$C$13) -calculateOmega(Calculations!$M46,Calculations!$N46,Calculations!$Q46,'Reaction Information'!$C$13,'Reaction Information'!$P$13*10^5,'Reaction Information'!$Q$13)*Calculations!$U46*10^-6 + (1/$S46 - 1)*calculate_domegadP(Calculations!$M46,Calculations!$N46,Calculations!$Q46,'Reaction Information'!$C$13,'Reaction Information'!$P$13*10^5,'Reaction Information'!$Q$13,$D$20,$D$19=3))*41.84)</f>
        <v>33.165831481787741</v>
      </c>
      <c r="BN46" s="8" t="e">
        <f>IF(OR(ISBLANK(Input!$AA$4),$D$27=FALSE),NA(),('Reaction Information'!$J$17/10+'Reaction Information'!$K$17*100/(Calculations!$C$12+Calculations!$M46)+('Reaction Information'!$L$17+'Reaction Information'!$M$17*10000/(Calculations!$C$12+Calculations!$M46))/(Calculations!$O46-Calculations!$C$13)-calculateOmega(Calculations!M46,Calculations!N46,Calculations!Q46,'Reaction Information'!$C$17,'Reaction Information'!$P$17*10^5,'Reaction Information'!$Q$17)*Calculations!$U46*10^-6 + (1/$S46 - 1)*calculate_domegadP(Calculations!M46,Calculations!N46,Calculations!Q46,'Reaction Information'!$C$17,'Reaction Information'!$P$17*10^5,'Reaction Information'!$Q$17,$D$20,$D$19=3))*41.84)</f>
        <v>#N/A</v>
      </c>
      <c r="BO46" s="8" t="e">
        <f>IF(OR(ISBLANK(Input!$AD$4),$D$27=FALSE),NA(),('Reaction Information'!$J$21/10+'Reaction Information'!$K$21*100/(Calculations!$C$12+Calculations!$M46)+('Reaction Information'!$L$21+'Reaction Information'!$M$21*10000/(Calculations!$C$12+Calculations!$M46))/(Calculations!$O46-Calculations!$C$13)-calculateOmega(Calculations!M46,Calculations!N46,Calculations!Q46,'Reaction Information'!$C$21,'Reaction Information'!$P$21*10^5,'Reaction Information'!$Q$21)*Calculations!$U46*10^-6 + (1/$S46 - 1)*calculate_domegadP(Calculations!M46,Calculations!N46,Calculations!Q46,'Reaction Information'!$C$21,'Reaction Information'!$P$21*10^5,'Reaction Information'!$Q$21,$D$20,$D$19=3))*41.84)</f>
        <v>#N/A</v>
      </c>
      <c r="BP46" s="8" t="e">
        <f>IF(OR(ISBLANK(Input!$AG$4),$D$27=FALSE),NA(),('Reaction Information'!$J$25/10+'Reaction Information'!$K$25*100/(Calculations!$C$12+Calculations!$M46)+('Reaction Information'!$L$25+'Reaction Information'!$M$25*10000/(Calculations!$C$12+Calculations!$M46))/(Calculations!$O46-Calculations!$C$13)-calculateOmega(Calculations!M46,Calculations!N46,Calculations!Q46,'Reaction Information'!$C$25,'Reaction Information'!$P$25*10^5,'Reaction Information'!$Q$25)*Calculations!$U46*10^-6 + (1/$S46 - 1)*calculate_domegadP(Calculations!M46,Calculations!N46,Calculations!Q46,'Reaction Information'!$C$25,'Reaction Information'!$P$25*10^5,'Reaction Information'!$Q$25,$D$20,$D$19=3))*41.84)</f>
        <v>#N/A</v>
      </c>
      <c r="BQ46" s="8" t="e">
        <f>IF(OR(ISBLANK(Input!$AJ$4),$D$27=FALSE),NA(),('Reaction Information'!$J$29/10+'Reaction Information'!$K$29*100/(Calculations!$C$12+Calculations!$M46)+('Reaction Information'!$L$29+'Reaction Information'!$M$29*10000/(Calculations!$C$12+Calculations!$M46))/(Calculations!$O46-Calculations!$C$13)-calculateOmega(Calculations!M46,Calculations!N46,Calculations!Q46,'Reaction Information'!$C$29,'Reaction Information'!$P$29*10^5,'Reaction Information'!$Q$29)*Calculations!$U46*10^-6 + (1/$S46 - 1)*calculate_domegadP(Calculations!M46,Calculations!N46,Calculations!Q46,'Reaction Information'!$C$29,'Reaction Information'!$P$29*10^5,'Reaction Information'!$Q$29,$D$20,$D$19=3))*41.84)</f>
        <v>#N/A</v>
      </c>
      <c r="BR46" s="8" t="e">
        <f>IF(OR(ISBLANK(Input!$AM$4),$D$27=FALSE),NA(),('Reaction Information'!$J$33/10+'Reaction Information'!$K$33*100/(Calculations!$C$12+Calculations!$M46)+('Reaction Information'!$L$33+'Reaction Information'!$M$33*10000/(Calculations!$C$12+Calculations!$M46))/(Calculations!$O46-Calculations!$C$13)-calculateOmega(Calculations!M46,Calculations!N46,Calculations!Q46,'Reaction Information'!$C$33,'Reaction Information'!$P$33*10^5,'Reaction Information'!$Q$33)*Calculations!$U46*10^-6 + (1/$S46 - 1)*calculate_domegadP(Calculations!M46,Calculations!N46,Calculations!Q46,'Reaction Information'!$C$33,'Reaction Information'!$P$33*10^5,'Reaction Information'!$Q$33,$D$20,$D$19=3))*41.84)</f>
        <v>#N/A</v>
      </c>
      <c r="BS46" s="1">
        <f>Results!AW48</f>
        <v>0</v>
      </c>
      <c r="BT46" s="1">
        <f>Results!AX48</f>
        <v>0</v>
      </c>
      <c r="BU46" s="1">
        <f>Results!AY48</f>
        <v>0</v>
      </c>
      <c r="BV46" s="1">
        <f>Results!AZ48</f>
        <v>0</v>
      </c>
      <c r="BW46" s="1" t="e">
        <f>IF(OR(ISNA('Reaction Information'!$D$38), $N46 = "", $D$27 = FALSE, 'Reaction Information'!$D$38 = ""), NA(), 24.465)</f>
        <v>#N/A</v>
      </c>
      <c r="BX46" s="1" t="e">
        <f>IF(OR(ISNA('Reaction Information'!$D$42), $N46 = "", $D$27 = FALSE, 'Reaction Information'!$D$42 = ""), NA(), 24.465)</f>
        <v>#N/A</v>
      </c>
      <c r="BY46" s="8" t="e">
        <f t="shared" si="18"/>
        <v>#N/A</v>
      </c>
      <c r="BZ46" s="8">
        <f>IF(OR(ISBLANK(Input!$BK$4),$D$27=FALSE),NA(),('Reaction Information'!$J$46/10+'Reaction Information'!$K$46*100/(Calculations!$C$12+Calculations!$M46)+('Reaction Information'!$L$46+'Reaction Information'!$M$46*10000/(Calculations!$C$12+Calculations!$M46))/(Calculations!$O46-Calculations!$C$13)-calculateOmega(Calculations!M46,Calculations!N46,Calculations!Q46,'Reaction Information'!$C$46,'Reaction Information'!$P$46*10^5,'Reaction Information'!$Q$46)*Calculations!$U46*10^-6 + (1/$S46 - 1)*calculate_domegadP(Calculations!M46,Calculations!N46,Calculations!Q46,'Reaction Information'!$C$46,'Reaction Information'!$P$46*10^5,'Reaction Information'!$Q$46,$D$20,$D$19=3))*41.84)</f>
        <v>0</v>
      </c>
      <c r="CA46" s="8">
        <f>IF(OR(ISBLANK(Input!$BN$4),$D$27=FALSE),NA(),('Reaction Information'!$J$50/10+'Reaction Information'!$K$50*100/(Calculations!$C$12+Calculations!$M46)+('Reaction Information'!$L$50+'Reaction Information'!$M$50*10000/(Calculations!$C$12+Calculations!$M46))/(Calculations!$O46-Calculations!$C$13)-calculateOmega(Calculations!M46,Calculations!N46,Calculations!Q46,'Reaction Information'!$C$50,'Reaction Information'!$P$50*10^5,'Reaction Information'!$Q$50)*Calculations!$U46*10^-6 + (1/$S46 - 1)*calculate_domegadP(Calculations!M46,Calculations!N46,Calculations!Q46,'Reaction Information'!$C$50,'Reaction Information'!$P$50*10^5,'Reaction Information'!$Q$50,$D$20,$D$19=3))*41.84)</f>
        <v>26.743303053033515</v>
      </c>
      <c r="CB46" s="8" t="e">
        <f>IF(OR(ISBLANK(Input!$BQ$4),$D$27=FALSE),NA(),('Reaction Information'!$J$54/10+'Reaction Information'!$K$54*100/(Calculations!$C$12+Calculations!$M46)+('Reaction Information'!$L$54+'Reaction Information'!$M$54*10000/(Calculations!$C$12+Calculations!$M46))/(Calculations!$O46-Calculations!$C$13)-calculateOmega(Calculations!M46,Calculations!N46,Calculations!Q46,'Reaction Information'!$C$54,'Reaction Information'!$P$54*10^5,'Reaction Information'!$Q$54)*Calculations!$U46*10^-6 + (1/$S46 - 1)*calculate_domegadP(Calculations!M46,Calculations!N46,Calculations!Q46,'Reaction Information'!$C$54,'Reaction Information'!$P$54*10^5,'Reaction Information'!$Q$54,$D$20,$D$19=3))*41.84)</f>
        <v>#N/A</v>
      </c>
      <c r="CC46" s="8" t="e">
        <f>IF(OR(ISBLANK(Input!$BT$4),$D$27=FALSE),NA(),('Reaction Information'!$J$58/10+'Reaction Information'!$K$58*100/(Calculations!$C$12+Calculations!$M46)+('Reaction Information'!$L$58+'Reaction Information'!$M$58*10000/(Calculations!$C$12+Calculations!$M46))/(Calculations!$O46-Calculations!$C$13)-calculateOmega(Calculations!M46,Calculations!N46,Calculations!Q46,'Reaction Information'!$C$58,'Reaction Information'!$P$58*10^5,'Reaction Information'!$Q$58)*Calculations!$U46*10^-6 + (1/$S46 - 1)*calculate_domegadP(Calculations!M46,Calculations!N46,Calculations!Q46,'Reaction Information'!$C$58,'Reaction Information'!$P$58*10^5,'Reaction Information'!$Q$58,$D$20,$D$19=3))*41.84)</f>
        <v>#N/A</v>
      </c>
      <c r="CD46" s="8" t="e">
        <f>IF(OR(ISBLANK(Input!$BW$4),$D$27=FALSE),NA(),('Reaction Information'!$J$62/10+'Reaction Information'!$K$62*100/(Calculations!$C$12+Calculations!$M46)+('Reaction Information'!$L$62+'Reaction Information'!$M$62*10000/(Calculations!$C$12+Calculations!$M46))/(Calculations!$O46-Calculations!$C$13)-calculateOmega(Calculations!M46,Calculations!N46,Calculations!Q46,'Reaction Information'!$C$62,'Reaction Information'!$P$62*10^5,'Reaction Information'!$Q$62)*Calculations!$U46*10^-6 + (1/$S46 - 1)*calculate_domegadP(Calculations!M46,Calculations!N46,Calculations!Q46,'Reaction Information'!$C$62,'Reaction Information'!$P$62*10^5,'Reaction Information'!$Q$62,$D$20,$D$19=3))*41.84)</f>
        <v>#N/A</v>
      </c>
      <c r="CE46" s="8" t="e">
        <f>IF(OR(ISBLANK(Input!$BZ$4),$D$27=FALSE),NA(),('Reaction Information'!$J$66/10+'Reaction Information'!$K$66*100/(Calculations!$C$12+Calculations!$M46)+('Reaction Information'!$L$66+'Reaction Information'!$M$66*10000/(Calculations!$C$12+Calculations!$M46))/(Calculations!$O46-Calculations!$C$13)-calculateOmega(Calculations!M46,Calculations!N46,Calculations!Q46,'Reaction Information'!$C$66,'Reaction Information'!$P$66*10^5,'Reaction Information'!$Q$66)*Calculations!$U46*10^-6 + (1/$S46 - 1)*calculate_domegadP(Calculations!M46,Calculations!N46,Calculations!Q46,'Reaction Information'!$C$66,'Reaction Information'!$P$66*10^5,'Reaction Information'!$Q$66,$D$20,$D$19=3))*41.84)</f>
        <v>#N/A</v>
      </c>
      <c r="CF46" s="31">
        <f>(BS46*Input!$AO$4+BT46*Input!$AR$4+BU46*Input!$AU$4+BV46*Input!$AX$4+IF(ISNA(BW46),0,BW46*Input!$BA$4)+IF(ISNA(BX46),0,BX46*Input!$BD$4)+IF(ISNA(BY46),0,BY46*Input!$BG$4)+IF(ISNA(BZ46),0,BZ46*Input!$BJ$4)+IF(ISNA(CA46),0,CA46*Input!$BM$4)+IF(ISNA(CB46),0,CB46*Input!$BP$4)+IF(ISNA(CC46),0,CC46*Input!$BS$4)+IF(ISNA(CD46),0,CD46*Input!$BV$4)+IF(ISNA(CE46),0,CE46*Input!$BY$4))-(BF46*Input!$B$4+BG46*Input!$E$4+BH46*Input!$H$4+BI46*Input!$K$4+IF(ISNA(BJ46),0,BJ46*Input!$N$4)+IF(ISNA(BK46),0,BK46*Input!$Q$4)+IF(ISNA(BL46),0,BL46*Input!$T$4)+IF(ISNA(BM46),0,BM46*Input!$W$4)+IF(ISNA(BN46),0,BN46*Input!$Z$4)+IF(ISNA(BO46),0,BO46*Input!$AC$4)+IF(ISNA(BP46),0,BP46*Input!$AF$4)+IF(ISNA(BQ46),0,BQ46*Input!$AI$4)+IF(ISNA(BR46),0,BR46*Input!$AL$4))</f>
        <v>-24.752906357591698</v>
      </c>
      <c r="CG46" s="1">
        <f t="shared" si="12"/>
        <v>800</v>
      </c>
      <c r="CH46" s="46">
        <f t="shared" si="13"/>
        <v>15000</v>
      </c>
      <c r="CI46" s="1"/>
    </row>
    <row r="47" spans="1:87" x14ac:dyDescent="0.2">
      <c r="A47" s="1"/>
      <c r="B47" s="7">
        <v>1</v>
      </c>
      <c r="C47" s="266" t="s">
        <v>486</v>
      </c>
      <c r="D47" s="268"/>
      <c r="E47" s="1"/>
      <c r="F47" s="2">
        <v>42</v>
      </c>
      <c r="G47" s="1" t="str">
        <f>IF(ISBLANK(Input!CB47), "", Input!CB47*1000)</f>
        <v/>
      </c>
      <c r="H47" s="1" t="str">
        <f>IF(ISBLANK(Input!CC47), "", Input!CC47)</f>
        <v/>
      </c>
      <c r="I47" s="1">
        <f>IF(Input!$CF$5 + Input!$CF$6*(FLOOR((Calculations!$F47-1)/(FLOOR((Input!$CF$12-Input!$CF$10)/Input!$CF$11,1)+1),1)) &gt; Input!$CF$7, "", (Input!$CF$5 + Input!$CF$6*(FLOOR((Calculations!$F47-1)/(FLOOR((Input!$CF$12-Input!$CF$10)/Input!$CF$11,1)+1),1)))*1000)</f>
        <v>15000</v>
      </c>
      <c r="J47" s="1">
        <f>IF(Calculations!I47 = "", "", Input!$CF$10 + Input!$CF$11*(Calculations!$F47-1) - (FLOOR((Input!$CF$12-Input!$CF$10)/Input!$CF$11,1)+1)*Input!$CF$11*FLOOR((Calculations!$F47-1)/(FLOOR((Input!$CF$12-Input!$CF$10)/Input!$CF$11,1)+1),1))</f>
        <v>850</v>
      </c>
      <c r="K47" s="8" t="str">
        <f t="shared" si="14"/>
        <v/>
      </c>
      <c r="L47" s="117" t="str">
        <f>IF(OR(Input!$CJ$5 + Input!$CJ$6*(Calculations!F47-1) &gt; Input!$CJ$7, Input!$CJ$5 + Input!$CJ$6*(Calculations!F47-1) &gt; 350), "", Input!$CJ$5 + Input!$CJ$6*(Calculations!F47-1))</f>
        <v/>
      </c>
      <c r="M47" s="1">
        <f t="shared" si="2"/>
        <v>15000</v>
      </c>
      <c r="N47" s="1">
        <f t="shared" si="3"/>
        <v>850</v>
      </c>
      <c r="O47" s="1">
        <f t="shared" si="15"/>
        <v>1123.1500000000001</v>
      </c>
      <c r="P47" s="1" t="e">
        <f>IF(OR($D$20=3,AND($D$21=TRUE,M47&lt;1000)),INDEX('Water Density'!$C$6:$CX$120,MATCH(Calculations!N47,'Water Density'!$B$6:$B$120),MATCH(Calculations!M47/1000,'Water Density'!$C$5:$CX$5)),NA())</f>
        <v>#N/A</v>
      </c>
      <c r="Q47" s="182">
        <f>IF(OR($D$20=3,AND($D$21=TRUE,M47&lt;1000)), IF(P47&lt;&gt;0,P47,NA()), calculateDensity(M47,N47,$D$20,0.01,$D$19 = 3))</f>
        <v>0.96532988490939142</v>
      </c>
      <c r="R47" s="1" t="e">
        <f>IF($D$22=5,INDEX('Dielectric Constant'!$C$6:$CX$120,MATCH(Calculations!N47,'Dielectric Constant'!$B$6:$B$120),MATCH(Calculations!M47/1000,'Dielectric Constant'!$C$5:$CX$5)),NA())</f>
        <v>#N/A</v>
      </c>
      <c r="S47" s="58">
        <f>IF($D$22=5, IF(R47&lt;&gt;0,R47,NA()), IF(AND($D$23,M47&lt;=5000,$D$19 &lt;&gt; 3),calculateEpsilon(Q47,N47,1,FALSE),calculateEpsilon(Q47,N47,$D$22,$D$19 = 3)))</f>
        <v>13.832365739643329</v>
      </c>
      <c r="T47" s="1" t="e">
        <f>IF($D$24=3,INDEX('Water Free Energy'!$C$6:$CX$120,MATCH(Calculations!N47,'Water Free Energy'!$B$6:$B$120),MATCH(Calculations!M47/1000,'Water Free Energy'!$C$5:$CX$5)),NA())</f>
        <v>#N/A</v>
      </c>
      <c r="U47" s="179">
        <f>IF($D$27,calculateQ(M47,N47,Q47,$D$20,$D$22,$D$19=3)*10^6,NA())</f>
        <v>1.1211555981274868</v>
      </c>
      <c r="V47"/>
      <c r="W47" s="2">
        <f t="shared" si="5"/>
        <v>15000</v>
      </c>
      <c r="X47" s="1">
        <f t="shared" si="6"/>
        <v>850</v>
      </c>
      <c r="Y47" s="1">
        <f>Results!F49</f>
        <v>0</v>
      </c>
      <c r="Z47" s="1">
        <f>Results!G49</f>
        <v>0</v>
      </c>
      <c r="AA47" s="1">
        <f>Results!H49</f>
        <v>0</v>
      </c>
      <c r="AB47" s="1">
        <f>Results!I49</f>
        <v>0</v>
      </c>
      <c r="AC47" s="1" t="e">
        <f>IF(ISBLANK(Input!$O$4),NA(),'Reaction Information'!$E$5-'Reaction Information'!$G$5*(Calculations!$O47-Calculations!$C$8)+'Reaction Information'!$I$5*(Calculations!$O47-Calculations!$C$8-Calculations!$O47*LN(Calculations!$O47/Calculations!$C$8))+'Reaction Information'!$J$5*0.001/2*(2*Calculations!$O47*Calculations!$C$8-Calculations!$O47^2-Calculations!$C$8^2) + 'Reaction Information'!$K$5*100000*(Calculations!$O47^2 + Calculations!$C$8^2 - 2*Calculations!$O47*Calculations!$C$8)/(2*Calculations!$O47*Calculations!$C$8^2))</f>
        <v>#N/A</v>
      </c>
      <c r="AD47" s="8" t="e">
        <f>IF(ISBLANK(Input!$R$4),NA(),'Reaction Information'!$E$9-'Reaction Information'!$G$9*(Calculations!$O47-Calculations!$C$8)+'Reaction Information'!$I$9*(Calculations!$O47-Calculations!$C$8-Calculations!$O47*LN(Calculations!$O47/Calculations!$C$8))+'Reaction Information'!$J$9*0.001/2*(2*Calculations!$O47*Calculations!$C$8-Calculations!$O47^2-Calculations!$C$8^2) + 'Reaction Information'!$K$9*100000*(Calculations!$O47^2 + Calculations!$C$8^2 - 2*Calculations!$O47*Calculations!$C$8)/(2*Calculations!$O47*Calculations!$C$8^2))</f>
        <v>#N/A</v>
      </c>
      <c r="AE47" s="8">
        <f>IF(AE$5="H2O",IF($D$24=3,IF(T47=0,NA(),T47),calculateGibbsOfWater(M47,N47,$D$24,$D$20,$D$19=3)),NA())</f>
        <v>-73367.08090061431</v>
      </c>
      <c r="AF47" s="8">
        <f>IF(ISBLANK(Input!$X$4),NA(),'Reaction Information'!$E$13-'Reaction Information'!$G$13*(Calculations!O47-Calculations!$C$8)-'Reaction Information'!$N$13*(Calculations!O47*LN(Calculations!O47/Calculations!$C$8)-Calculations!O47+Calculations!$C$8)-'Reaction Information'!$O$13*10^4*(((1/(Calculations!O47-Calculations!$C$13))-(1/(Calculations!$C$8-Calculations!$C$13)))*((Calculations!$C$13-Calculations!O47)/(Calculations!$C$13))-(Calculations!O47/(Calculations!$C$13*Calculations!$C$13))*LN((Calculations!$C$8*(Calculations!O47-Calculations!$C$13))/(Calculations!O47*(Calculations!$C$8-Calculations!$C$13))))+'Reaction Information'!$J$13*10^-1*(Calculations!M47-Calculations!$C$9)+'Reaction Information'!$K$13*10^2*LN((Calculations!$C$12+Calculations!M47)/(Calculations!$C$12+Calculations!$C$9))+(1/(Calculations!O47-Calculations!$C$13))*('Reaction Information'!$L$13*(Calculations!M47-Calculations!$C$9)+'Reaction Information'!$M$13*10^4*LN((Calculations!$C$12+Calculations!M47)/(Calculations!$C$12+Calculations!$C$9)))+calculateOmega(Calculations!M47,Calculations!N47,Calculations!Q47,'Reaction Information'!$C$13,'Reaction Information'!$P$13*10^5,'Reaction Information'!$Q$13)*((1/Calculations!S47)-1)-'Reaction Information'!$P$13*10^5*((1/Calculations!$C$10)-1)+'Reaction Information'!$P$13*10^5*Calculations!$C$14*(Calculations!O47-Calculations!$C$8))</f>
        <v>-117678.55038146095</v>
      </c>
      <c r="AG47" s="8" t="e">
        <f>IF(ISBLANK(Input!$AA$4),NA(),'Reaction Information'!$E$17-'Reaction Information'!$G$17*(Calculations!$O47-Calculations!$C$8)-'Reaction Information'!$N$17*(Calculations!$O47*LN(Calculations!$O47/Calculations!$C$8)-Calculations!$O47+Calculations!$C$8)-'Reaction Information'!$O$17*10^4*(((1/(Calculations!$O47-Calculations!$C$13))-(1/(Calculations!$C$8-Calculations!$C$13)))*((Calculations!$C$13-Calculations!$O47)/(Calculations!$C$13))-(Calculations!$O47/(Calculations!$C$13*Calculations!$C$13))*LN((Calculations!$C$8*(Calculations!$O47-Calculations!$C$13))/(Calculations!$O47*(Calculations!$C$8-Calculations!$C$13))))+'Reaction Information'!$J$17*10^-1*(Calculations!$M47-Calculations!$C$9)+'Reaction Information'!$K$17*10^2*LN((Calculations!$C$12+Calculations!$M47)/(Calculations!$C$12+Calculations!$C$9))+(1/(Calculations!$O47-Calculations!$C$13))*('Reaction Information'!$L$17*(Calculations!$M47-Calculations!$C$9)+'Reaction Information'!$M$17*10^4*LN((Calculations!$C$12+Calculations!$M47)/(Calculations!$C$12+Calculations!$C$9)))+calculateOmega(Calculations!M47,Calculations!N47,Calculations!Q47,'Reaction Information'!$C$17,'Reaction Information'!$P$17*10^5,'Reaction Information'!$Q$17)*((1/Calculations!$S47)-1)-'Reaction Information'!$P$17*10^5*((1/Calculations!$C$10)-1)+'Reaction Information'!$P$17*10^5*Calculations!$C$14*(Calculations!$O47-Calculations!$C$8))</f>
        <v>#N/A</v>
      </c>
      <c r="AH47" s="8" t="e">
        <f>IF(ISBLANK(Input!$AD$4),NA(),'Reaction Information'!$E$21-'Reaction Information'!$G$21*(Calculations!$O47-Calculations!$C$8)-'Reaction Information'!$N$21*(Calculations!$O47*LN(Calculations!$O47/Calculations!$C$8)-Calculations!$O47+Calculations!$C$8)-'Reaction Information'!$O$21*10^4*(((1/(Calculations!$O47-Calculations!$C$13))-(1/(Calculations!$C$8-Calculations!$C$13)))*((Calculations!$C$13-Calculations!$O47)/(Calculations!$C$13))-(Calculations!$O47/(Calculations!$C$13*Calculations!$C$13))*LN((Calculations!$C$8*(Calculations!$O47-Calculations!$C$13))/(Calculations!$O47*(Calculations!$C$8-Calculations!$C$13))))+'Reaction Information'!$J$21*10^-1*(Calculations!$M47-Calculations!$C$9)+'Reaction Information'!$K$21*10^2*LN((Calculations!$C$12+Calculations!$M47)/(Calculations!$C$12+Calculations!$C$9))+(1/(Calculations!$O47-Calculations!$C$13))*('Reaction Information'!$L$21*(Calculations!$M47-Calculations!$C$9)+'Reaction Information'!$M$21*10^4*LN((Calculations!$C$12+Calculations!$M47)/(Calculations!$C$12+Calculations!$C$9)))+calculateOmega(Calculations!M47,Calculations!N47,Calculations!Q47,'Reaction Information'!$C$21,'Reaction Information'!$P$21*10^5,'Reaction Information'!$Q$21)*((1/Calculations!$S47)-1)-'Reaction Information'!$P$21*10^5*((1/Calculations!$C$10)-1)+'Reaction Information'!$P$21*10^5*Calculations!$C$14*(Calculations!$O47-Calculations!$C$8))</f>
        <v>#N/A</v>
      </c>
      <c r="AI47" s="8" t="e">
        <f>IF(ISBLANK(Input!$AG$4),NA(),'Reaction Information'!$E$25-'Reaction Information'!$G$25*(Calculations!$O47-Calculations!$C$8)-'Reaction Information'!$N$25*(Calculations!$O47*LN(Calculations!$O47/Calculations!$C$8)-Calculations!$O47+Calculations!$C$8)-'Reaction Information'!$O$25*10^4*(((1/(Calculations!$O47-Calculations!$C$13))-(1/(Calculations!$C$8-Calculations!$C$13)))*((Calculations!$C$13-Calculations!$O47)/(Calculations!$C$13))-(Calculations!$O47/(Calculations!$C$13*Calculations!$C$13))*LN((Calculations!$C$8*(Calculations!$O47-Calculations!$C$13))/(Calculations!$O47*(Calculations!$C$8-Calculations!$C$13))))+'Reaction Information'!$J$25*10^-1*(Calculations!$M47-Calculations!$C$9)+'Reaction Information'!$K$25*10^2*LN((Calculations!$C$12+Calculations!$M47)/(Calculations!$C$12+Calculations!$C$9))+(1/(Calculations!$O47-Calculations!$C$13))*('Reaction Information'!$L$25*(Calculations!$M47-Calculations!$C$9)+'Reaction Information'!$M$25*10^4*LN((Calculations!$C$12+Calculations!$M47)/(Calculations!$C$12+Calculations!$C$9)))+calculateOmega(Calculations!M47,Calculations!N47,Calculations!Q47,'Reaction Information'!$C$25,'Reaction Information'!$P$25*10^5,'Reaction Information'!$Q$25)*((1/Calculations!$S47)-1)-'Reaction Information'!$P$25*10^5*((1/Calculations!$C$10)-1)+'Reaction Information'!$P$25*10^5*Calculations!$C$14*(Calculations!$O47-Calculations!$C$8))</f>
        <v>#N/A</v>
      </c>
      <c r="AJ47" s="8" t="e">
        <f>IF(ISBLANK(Input!$AJ$4),NA(),'Reaction Information'!$E$29-'Reaction Information'!$G$29*(Calculations!$O47-Calculations!$C$8)-'Reaction Information'!$N$29*(Calculations!$O47*LN(Calculations!$O47/Calculations!$C$8)-Calculations!$O47+Calculations!$C$8)-'Reaction Information'!$O$29*10^4*(((1/(Calculations!$O47-Calculations!$C$13))-(1/(Calculations!$C$8-Calculations!$C$13)))*((Calculations!$C$13-Calculations!$O47)/(Calculations!$C$13))-(Calculations!$O47/(Calculations!$C$13*Calculations!$C$13))*LN((Calculations!$C$8*(Calculations!$O47-Calculations!$C$13))/(Calculations!$O47*(Calculations!$C$8-Calculations!$C$13))))+'Reaction Information'!$J$29*10^-1*(Calculations!$M47-Calculations!$C$9)+'Reaction Information'!$K$29*10^2*LN((Calculations!$C$12+Calculations!$M47)/(Calculations!$C$12+Calculations!$C$9))+(1/(Calculations!$O47-Calculations!$C$13))*('Reaction Information'!$L$29*(Calculations!$M47-Calculations!$C$9)+'Reaction Information'!$M$29*10^4*LN((Calculations!$C$12+Calculations!$M47)/(Calculations!$C$12+Calculations!$C$9)))+calculateOmega(Calculations!M47,Calculations!N47,Calculations!Q47,'Reaction Information'!$C$29,'Reaction Information'!$P$29*10^5,'Reaction Information'!$Q$29)*((1/Calculations!$S47)-1)-'Reaction Information'!$P$29*10^5*((1/Calculations!$C$10)-1)+'Reaction Information'!$P$29*10^5*Calculations!$C$14*(Calculations!$O47-Calculations!$C$8))</f>
        <v>#N/A</v>
      </c>
      <c r="AK47" s="8" t="e">
        <f>IF(ISBLANK(Input!$AM$4),NA(),'Reaction Information'!$E$33-'Reaction Information'!$G$33*(Calculations!$O47-Calculations!$C$8)-'Reaction Information'!$N$33*(Calculations!$O47*LN(Calculations!$O47/Calculations!$C$8)-Calculations!$O47+Calculations!$C$8)-'Reaction Information'!$O$33*10^4*(((1/(Calculations!$O47-Calculations!$C$13))-(1/(Calculations!$C$8-Calculations!$C$13)))*((Calculations!$C$13-Calculations!$O47)/(Calculations!$C$13))-(Calculations!$O47/(Calculations!$C$13*Calculations!$C$13))*LN((Calculations!$C$8*(Calculations!$O47-Calculations!$C$13))/(Calculations!$O47*(Calculations!$C$8-Calculations!$C$13))))+'Reaction Information'!$J$33*10^-1*(Calculations!$M47-Calculations!$C$9)+'Reaction Information'!$K$33*10^2*LN((Calculations!$C$12+Calculations!$M47)/(Calculations!$C$12+Calculations!$C$9))+(1/(Calculations!$O47-Calculations!$C$13))*('Reaction Information'!$L$33*(Calculations!$M47-Calculations!$C$9)+'Reaction Information'!$M$33*10^4*LN((Calculations!$C$12+Calculations!$M47)/(Calculations!$C$12+Calculations!$C$9)))+calculateOmega(Calculations!M47,Calculations!N47,Calculations!Q47,'Reaction Information'!$C$33,'Reaction Information'!$P$33*10^5,'Reaction Information'!$Q$33)*((1/Calculations!$S47)-1)-'Reaction Information'!$P$33*10^5*((1/Calculations!$C$10)-1)+'Reaction Information'!$P$33*10^5*Calculations!$C$14*(Calculations!$O47-Calculations!$C$8))</f>
        <v>#N/A</v>
      </c>
      <c r="AL47" s="1">
        <f>Results!S49</f>
        <v>0</v>
      </c>
      <c r="AM47" s="1">
        <f>Results!T49</f>
        <v>0</v>
      </c>
      <c r="AN47" s="1">
        <f>Results!U49</f>
        <v>0</v>
      </c>
      <c r="AO47" s="1">
        <f>Results!V49</f>
        <v>0</v>
      </c>
      <c r="AP47" s="8" t="e">
        <f>IF(ISBLANK(Input!$BB$4),NA(),'Reaction Information'!$E$38-'Reaction Information'!$G$38*(Calculations!$O47-Calculations!$C$8)+'Reaction Information'!$I$38*(Calculations!$O47-Calculations!$C$8-Calculations!$O47*LN(Calculations!$O47/Calculations!$C$8))+'Reaction Information'!$J$38*0.001/2*(2*Calculations!$O47*Calculations!$C$8-Calculations!$O47^2-Calculations!$C$8^2) + 'Reaction Information'!$K$38*100000*(Calculations!$O47^2 + Calculations!$C$8^2 - 2*Calculations!$O47*Calculations!$C$8)/(2*Calculations!$O47*Calculations!$C$8^2))</f>
        <v>#N/A</v>
      </c>
      <c r="AQ47" s="8" t="e">
        <f>IF(ISBLANK(Input!$BE$4),NA(),'Reaction Information'!$E$42-'Reaction Information'!$G$42*(Calculations!$O47-Calculations!$C$8)+'Reaction Information'!$I$42*(Calculations!$O47-Calculations!$C$8-Calculations!$O47*LN(Calculations!$O47/Calculations!$C$8))+'Reaction Information'!$J$42*0.001/2*(2*Calculations!$O47*Calculations!$C$8-Calculations!$O47^2-Calculations!$C$8^2) + 'Reaction Information'!$K$42*100000*(Calculations!$O47^2 + Calculations!$C$8^2 - 2*Calculations!$O47*Calculations!$C$8)/(2*Calculations!$O47*Calculations!$C$8^2))</f>
        <v>#N/A</v>
      </c>
      <c r="AR47" s="8" t="e">
        <f>IF(AR$5="H2O", IF($D$24=3,IF(T47=0,NA(),T47),calculateGibbsOfWater(M47,N47,$D$24,$D$20,$D$19=3)),NA())</f>
        <v>#N/A</v>
      </c>
      <c r="AS47" s="8">
        <f>IF(ISBLANK(Input!$BK$4),NA(),'Reaction Information'!$E$46-'Reaction Information'!$G$46*(Calculations!O47-Calculations!$C$8)-'Reaction Information'!$N$46*(Calculations!O47*LN(Calculations!O47/Calculations!$C$8)-Calculations!O47+Calculations!$C$8)-'Reaction Information'!$O$46*10^4*(((1/(Calculations!O47-Calculations!$C$13))-(1/(Calculations!$C$8-Calculations!$C$13)))*((Calculations!$C$13-Calculations!O47)/(Calculations!$C$13))-(Calculations!O47/(Calculations!$C$13*Calculations!$C$13))*LN((Calculations!$C$8*(Calculations!O47-Calculations!$C$13))/(Calculations!O47*(Calculations!$C$8-Calculations!$C$13))))+'Reaction Information'!$J$46*10^-1*(Calculations!$M47-Calculations!$C$9)+'Reaction Information'!$K$46*10^2*LN((Calculations!$C$12+Calculations!$M47)/(Calculations!$C$12+Calculations!$C$9))+(1/(Calculations!O47-Calculations!$C$13))*('Reaction Information'!$L$46*(Calculations!$M47-Calculations!$C$9)+'Reaction Information'!$M$46*10^4*LN((Calculations!$C$12+Calculations!$M47)/(Calculations!$C$12+Calculations!$C$9)))+calculateOmega(Calculations!M47,Calculations!N47,Calculations!Q47,'Reaction Information'!$C$46,'Reaction Information'!$P$46*10^5,'Reaction Information'!$Q$46)*((1/Calculations!S47)-1)-'Reaction Information'!$P$46*10^5*((1/Calculations!$C$10)-1)+'Reaction Information'!$P$46*10^5*Calculations!$C$14*(Calculations!O47-Calculations!$C$8))</f>
        <v>0</v>
      </c>
      <c r="AT47" s="8">
        <f>IF(ISBLANK(Input!$BN$4),NA(),'Reaction Information'!$E$50-'Reaction Information'!$G$50*(Calculations!O47-Calculations!$C$8)-'Reaction Information'!$N$50*(Calculations!O47*LN(Calculations!O47/Calculations!$C$8)-Calculations!O47+Calculations!$C$8)-'Reaction Information'!$O$50*10^4*(((1/(Calculations!O47-Calculations!$C$13))-(1/(Calculations!$C$8-Calculations!$C$13)))*((Calculations!$C$13-Calculations!O47)/(Calculations!$C$13))-(Calculations!O47/(Calculations!$C$13*Calculations!$C$13))*LN((Calculations!$C$8*(Calculations!O47-Calculations!$C$13))/(Calculations!O47*(Calculations!$C$8-Calculations!$C$13))))+'Reaction Information'!$J$50*10^-1*(Calculations!$M47-Calculations!$C$9)+'Reaction Information'!$K$50*10^2*LN((Calculations!$C$12+Calculations!$M47)/(Calculations!$C$12+Calculations!$C$9))+(1/(Calculations!O47-Calculations!$C$13))*('Reaction Information'!$L$50*(Calculations!$M47-Calculations!$C$9)+'Reaction Information'!$M$50*10^4*LN((Calculations!$C$12+Calculations!$M47)/(Calculations!$C$12+Calculations!$C$9)))+calculateOmega(Calculations!M47,Calculations!N47,Calculations!Q47,'Reaction Information'!$C$50,'Reaction Information'!$P$50*10^5,'Reaction Information'!$Q$50)*((1/Calculations!S47)-1)-'Reaction Information'!$P$50*10^5*((1/Calculations!$C$10)-1)+'Reaction Information'!$P$50*10^5*Calculations!$C$14*(Calculations!O47-Calculations!$C$8))</f>
        <v>-152955.57327386955</v>
      </c>
      <c r="AU47" s="8" t="e">
        <f>IF(ISBLANK(Input!$BQ$4),NA(),'Reaction Information'!$E$54-'Reaction Information'!$G$54*(Calculations!$O47-Calculations!$C$8)-'Reaction Information'!$N$54*(Calculations!$O47*LN(Calculations!$O47/Calculations!$C$8)-Calculations!$O47+Calculations!$C$8)-'Reaction Information'!$O$54*10^4*(((1/(Calculations!$O47-Calculations!$C$13))-(1/(Calculations!$C$8-Calculations!$C$13)))*((Calculations!$C$13-Calculations!$O47)/(Calculations!$C$13))-(Calculations!$O47/(Calculations!$C$13*Calculations!$C$13))*LN((Calculations!$C$8*(Calculations!$O47-Calculations!$C$13))/(Calculations!$O47*(Calculations!$C$8-Calculations!$C$13))))+'Reaction Information'!$J$54*10^-1*(Calculations!$M47-Calculations!$C$9)+'Reaction Information'!$K$54*10^2*LN((Calculations!$C$12+Calculations!$M47)/(Calculations!$C$12+Calculations!$C$9))+(1/(Calculations!$O47-Calculations!$C$13))*('Reaction Information'!$L$54*(Calculations!$M47-Calculations!$C$9)+'Reaction Information'!$M$54*10^4*LN((Calculations!$C$12+Calculations!$M47)/(Calculations!$C$12+Calculations!$C$9)))+calculateOmega(Calculations!M47,Calculations!N47,Calculations!Q47,'Reaction Information'!$C$54,'Reaction Information'!$P$54*10^5,'Reaction Information'!$Q$54)*((1/Calculations!$S47)-1)-'Reaction Information'!$P$54*10^5*((1/Calculations!$C$10)-1)+'Reaction Information'!$P$54*10^5*Calculations!$C$14*(Calculations!$O47-Calculations!$C$8))</f>
        <v>#N/A</v>
      </c>
      <c r="AV47" s="8" t="e">
        <f>IF(ISBLANK(Input!$BT$4),NA(),'Reaction Information'!$E$58-'Reaction Information'!$G$58*(Calculations!$O47-Calculations!$C$8)-'Reaction Information'!$N$58*(Calculations!$O47*LN(Calculations!$O47/Calculations!$C$8)-Calculations!$O47+Calculations!$C$8)-'Reaction Information'!$O$58*10^4*(((1/(Calculations!$O47-Calculations!$C$13))-(1/(Calculations!$C$8-Calculations!$C$13)))*((Calculations!$C$13-Calculations!$O47)/(Calculations!$C$13))-(Calculations!$O47/(Calculations!$C$13*Calculations!$C$13))*LN((Calculations!$C$8*(Calculations!$O47-Calculations!$C$13))/(Calculations!$O47*(Calculations!$C$8-Calculations!$C$13))))+'Reaction Information'!$J$58*10^-1*(Calculations!$M47-Calculations!$C$9)+'Reaction Information'!$K$58*10^2*LN((Calculations!$C$12+Calculations!$M47)/(Calculations!$C$12+Calculations!$C$9))+(1/(Calculations!$O47-Calculations!$C$13))*('Reaction Information'!$L$58*(Calculations!$M47-Calculations!$C$9)+'Reaction Information'!$M$58*10^4*LN((Calculations!$C$12+Calculations!$M47)/(Calculations!$C$12+Calculations!$C$9)))+calculateOmega(Calculations!M47,Calculations!N47,Calculations!Q47,'Reaction Information'!$C$58,'Reaction Information'!$P$58*10^5,'Reaction Information'!$Q$58)*((1/Calculations!$S47)-1)-'Reaction Information'!$P$58*10^5*((1/Calculations!$C$10)-1)+'Reaction Information'!$P$58*10^5*Calculations!$C$14*(Calculations!$O47-Calculations!$C$8))</f>
        <v>#N/A</v>
      </c>
      <c r="AW47" s="8" t="e">
        <f>IF(ISBLANK(Input!$BW$4),NA(),'Reaction Information'!$E$62-'Reaction Information'!$G$62*(Calculations!$O47-Calculations!$C$8)-'Reaction Information'!$N$62*(Calculations!$O47*LN(Calculations!$O47/Calculations!$C$8)-Calculations!$O47+Calculations!$C$8)-'Reaction Information'!$O$62*10^4*(((1/(Calculations!$O47-Calculations!$C$13))-(1/(Calculations!$C$8-Calculations!$C$13)))*((Calculations!$C$13-Calculations!$O47)/(Calculations!$C$13))-(Calculations!$O47/(Calculations!$C$13*Calculations!$C$13))*LN((Calculations!$C$8*(Calculations!$O47-Calculations!$C$13))/(Calculations!$O47*(Calculations!$C$8-Calculations!$C$13))))+'Reaction Information'!$J$62*10^-1*(Calculations!$M47-Calculations!$C$9)+'Reaction Information'!$K$62*10^2*LN((Calculations!$C$12+Calculations!$M47)/(Calculations!$C$12+Calculations!$C$9))+(1/(Calculations!$O47-Calculations!$C$13))*('Reaction Information'!$L$62*(Calculations!$M47-Calculations!$C$9)+'Reaction Information'!$M$62*10^4*LN((Calculations!$C$12+Calculations!$M47)/(Calculations!$C$12+Calculations!$C$9)))+calculateOmega(Calculations!M47,Calculations!N47,Calculations!Q47,'Reaction Information'!$C$62,'Reaction Information'!$P$62*10^5,'Reaction Information'!$Q$62)*((1/Calculations!$S47)-1)-'Reaction Information'!$P$62*10^5*((1/Calculations!$C$10)-1)+'Reaction Information'!$P$62*10^5*Calculations!$C$14*(Calculations!$O47-Calculations!$C$8))</f>
        <v>#N/A</v>
      </c>
      <c r="AX47" s="8" t="e">
        <f>IF(ISBLANK(Input!$BZ$4),NA(),'Reaction Information'!$E$66-'Reaction Information'!$G$66*(Calculations!$O47-Calculations!$C$8)-'Reaction Information'!$N$66*(Calculations!$O47*LN(Calculations!$O47/Calculations!$C$8)-Calculations!$O47+Calculations!$C$8)-'Reaction Information'!$O$66*10^4*(((1/(Calculations!$O47-Calculations!$C$13))-(1/(Calculations!$C$8-Calculations!$C$13)))*((Calculations!$C$13-Calculations!$O47)/(Calculations!$C$13))-(Calculations!$O47/(Calculations!$C$13*Calculations!$C$13))*LN((Calculations!$C$8*(Calculations!$O47-Calculations!$C$13))/(Calculations!$O47*(Calculations!$C$8-Calculations!$C$13))))+'Reaction Information'!$J$66*10^-1*(Calculations!$M47-Calculations!$C$9)+'Reaction Information'!$K$66*10^2*LN((Calculations!$C$12+Calculations!$M47)/(Calculations!$C$12+Calculations!$C$9))+(1/(Calculations!$O47-Calculations!$C$13))*('Reaction Information'!$L$66*(Calculations!$M47-Calculations!$C$9)+'Reaction Information'!$M$66*10^4*LN((Calculations!$C$12+Calculations!$M47)/(Calculations!$C$12+Calculations!$C$9)))+calculateOmega(Calculations!M47,Calculations!N47,Calculations!Q47,'Reaction Information'!$C$66,'Reaction Information'!$P$66*10^5,'Reaction Information'!$Q$66)*((1/Calculations!$S47)-1)-'Reaction Information'!$P$66*10^5*((1/Calculations!$C$10)-1)+'Reaction Information'!$P$66*10^5*Calculations!$C$14*(Calculations!$O47-Calculations!$C$8))</f>
        <v>#N/A</v>
      </c>
      <c r="AY47" s="31">
        <f>(AL47*Input!$AO$4+AM47*Input!$AR$4+AN47*Input!$AU$4+AO47*Input!$AX$4+IF(ISNA(AP47),0,AP47*Input!$BA$4)+IF(ISNA(AQ47),0,AQ47*Input!$BD$4)+IF(ISNA(AR47),0,AR47*Input!$BG$4)+IF(ISNA(AS47),0,AS47*Input!$BJ$4)+IF(ISNA(AT47),0,AT47*Input!$BM$4)+IF(ISNA(AU47),0,AU47*Input!$BP$4)+IF(ISNA(AV47),0,AV47*Input!$BS$4)+IF(ISNA(AW47),0,AW47*Input!$BV$4)+IF(ISNA(AX47),0,AX47*Input!$BY$4))-(Y47*Input!$B$4+Z47*Input!$E$4+AA47*Input!$H$4+AB47*Input!$K$4+IF(ISNA(AC47),0,AC47*Input!$N$4)+IF(ISNA(AD47),0,AD47*Input!$Q$4)+IF(ISNA(AE47),0,AE47*Input!$T$4)+IF(ISNA(AF47),0,AF47*Input!$W$4)+IF(ISNA(AG47),0,AG47*Input!$Z$4)+IF(ISNA(AH47),0,AH47*Input!$AC$4)+IF(ISNA(AI47),0,AI47*Input!$AF$4)+IF(ISNA(AJ47),0,AJ47*Input!$AI$4)+IF(ISNA(AK47),0,AK47*Input!$AL$4))</f>
        <v>38090.058008205699</v>
      </c>
      <c r="AZ47" s="42">
        <f t="shared" si="16"/>
        <v>-7.4166151879966806</v>
      </c>
      <c r="BA47" s="1">
        <f t="shared" si="8"/>
        <v>850</v>
      </c>
      <c r="BB47" s="46">
        <f t="shared" si="9"/>
        <v>15000</v>
      </c>
      <c r="BC47" s="1"/>
      <c r="BD47" s="2">
        <f t="shared" si="10"/>
        <v>15000</v>
      </c>
      <c r="BE47" s="46">
        <f t="shared" si="11"/>
        <v>850</v>
      </c>
      <c r="BF47" s="1">
        <f>Results!AJ49</f>
        <v>0</v>
      </c>
      <c r="BG47" s="1">
        <f>Results!AK49</f>
        <v>0</v>
      </c>
      <c r="BH47" s="1">
        <f>Results!AL49</f>
        <v>0</v>
      </c>
      <c r="BI47" s="1">
        <f>Results!AM49</f>
        <v>0</v>
      </c>
      <c r="BJ47" s="1" t="e">
        <f>IF(OR(ISNA('Reaction Information'!$D$5), $N47 = "", $D$27 = FALSE, 'Reaction Information'!$D$5 = ""), NA(), 24.465)</f>
        <v>#N/A</v>
      </c>
      <c r="BK47" s="1" t="e">
        <f>IF(OR(ISNA('Reaction Information'!$D$9), $N47 = "", $D$27 = FALSE, 'Reaction Information'!$D$9 = ""), NA(), 24.465)</f>
        <v>#N/A</v>
      </c>
      <c r="BL47" s="8">
        <f t="shared" si="17"/>
        <v>18.662304235707946</v>
      </c>
      <c r="BM47" s="8">
        <f>IF(OR(ISBLANK(Input!$X$4),$D$27=FALSE),NA(),('Reaction Information'!$J$13/10+'Reaction Information'!$K$13*100/(Calculations!$C$12+Calculations!$M47)+('Reaction Information'!$L$13+'Reaction Information'!$M$13*10^4/(Calculations!$C$12+Calculations!$M47))/(Calculations!$O47-Calculations!$C$13) -calculateOmega(Calculations!$M47,Calculations!$N47,Calculations!$Q47,'Reaction Information'!$C$13,'Reaction Information'!$P$13*10^5,'Reaction Information'!$Q$13)*Calculations!$U47*10^-6 + (1/$S47 - 1)*calculate_domegadP(Calculations!$M47,Calculations!$N47,Calculations!$Q47,'Reaction Information'!$C$13,'Reaction Information'!$P$13*10^5,'Reaction Information'!$Q$13,$D$20,$D$19=3))*41.84)</f>
        <v>33.501407883969144</v>
      </c>
      <c r="BN47" s="8" t="e">
        <f>IF(OR(ISBLANK(Input!$AA$4),$D$27=FALSE),NA(),('Reaction Information'!$J$17/10+'Reaction Information'!$K$17*100/(Calculations!$C$12+Calculations!$M47)+('Reaction Information'!$L$17+'Reaction Information'!$M$17*10000/(Calculations!$C$12+Calculations!$M47))/(Calculations!$O47-Calculations!$C$13)-calculateOmega(Calculations!M47,Calculations!N47,Calculations!Q47,'Reaction Information'!$C$17,'Reaction Information'!$P$17*10^5,'Reaction Information'!$Q$17)*Calculations!$U47*10^-6 + (1/$S47 - 1)*calculate_domegadP(Calculations!M47,Calculations!N47,Calculations!Q47,'Reaction Information'!$C$17,'Reaction Information'!$P$17*10^5,'Reaction Information'!$Q$17,$D$20,$D$19=3))*41.84)</f>
        <v>#N/A</v>
      </c>
      <c r="BO47" s="8" t="e">
        <f>IF(OR(ISBLANK(Input!$AD$4),$D$27=FALSE),NA(),('Reaction Information'!$J$21/10+'Reaction Information'!$K$21*100/(Calculations!$C$12+Calculations!$M47)+('Reaction Information'!$L$21+'Reaction Information'!$M$21*10000/(Calculations!$C$12+Calculations!$M47))/(Calculations!$O47-Calculations!$C$13)-calculateOmega(Calculations!M47,Calculations!N47,Calculations!Q47,'Reaction Information'!$C$21,'Reaction Information'!$P$21*10^5,'Reaction Information'!$Q$21)*Calculations!$U47*10^-6 + (1/$S47 - 1)*calculate_domegadP(Calculations!M47,Calculations!N47,Calculations!Q47,'Reaction Information'!$C$21,'Reaction Information'!$P$21*10^5,'Reaction Information'!$Q$21,$D$20,$D$19=3))*41.84)</f>
        <v>#N/A</v>
      </c>
      <c r="BP47" s="8" t="e">
        <f>IF(OR(ISBLANK(Input!$AG$4),$D$27=FALSE),NA(),('Reaction Information'!$J$25/10+'Reaction Information'!$K$25*100/(Calculations!$C$12+Calculations!$M47)+('Reaction Information'!$L$25+'Reaction Information'!$M$25*10000/(Calculations!$C$12+Calculations!$M47))/(Calculations!$O47-Calculations!$C$13)-calculateOmega(Calculations!M47,Calculations!N47,Calculations!Q47,'Reaction Information'!$C$25,'Reaction Information'!$P$25*10^5,'Reaction Information'!$Q$25)*Calculations!$U47*10^-6 + (1/$S47 - 1)*calculate_domegadP(Calculations!M47,Calculations!N47,Calculations!Q47,'Reaction Information'!$C$25,'Reaction Information'!$P$25*10^5,'Reaction Information'!$Q$25,$D$20,$D$19=3))*41.84)</f>
        <v>#N/A</v>
      </c>
      <c r="BQ47" s="8" t="e">
        <f>IF(OR(ISBLANK(Input!$AJ$4),$D$27=FALSE),NA(),('Reaction Information'!$J$29/10+'Reaction Information'!$K$29*100/(Calculations!$C$12+Calculations!$M47)+('Reaction Information'!$L$29+'Reaction Information'!$M$29*10000/(Calculations!$C$12+Calculations!$M47))/(Calculations!$O47-Calculations!$C$13)-calculateOmega(Calculations!M47,Calculations!N47,Calculations!Q47,'Reaction Information'!$C$29,'Reaction Information'!$P$29*10^5,'Reaction Information'!$Q$29)*Calculations!$U47*10^-6 + (1/$S47 - 1)*calculate_domegadP(Calculations!M47,Calculations!N47,Calculations!Q47,'Reaction Information'!$C$29,'Reaction Information'!$P$29*10^5,'Reaction Information'!$Q$29,$D$20,$D$19=3))*41.84)</f>
        <v>#N/A</v>
      </c>
      <c r="BR47" s="8" t="e">
        <f>IF(OR(ISBLANK(Input!$AM$4),$D$27=FALSE),NA(),('Reaction Information'!$J$33/10+'Reaction Information'!$K$33*100/(Calculations!$C$12+Calculations!$M47)+('Reaction Information'!$L$33+'Reaction Information'!$M$33*10000/(Calculations!$C$12+Calculations!$M47))/(Calculations!$O47-Calculations!$C$13)-calculateOmega(Calculations!M47,Calculations!N47,Calculations!Q47,'Reaction Information'!$C$33,'Reaction Information'!$P$33*10^5,'Reaction Information'!$Q$33)*Calculations!$U47*10^-6 + (1/$S47 - 1)*calculate_domegadP(Calculations!M47,Calculations!N47,Calculations!Q47,'Reaction Information'!$C$33,'Reaction Information'!$P$33*10^5,'Reaction Information'!$Q$33,$D$20,$D$19=3))*41.84)</f>
        <v>#N/A</v>
      </c>
      <c r="BS47" s="1">
        <f>Results!AW49</f>
        <v>0</v>
      </c>
      <c r="BT47" s="1">
        <f>Results!AX49</f>
        <v>0</v>
      </c>
      <c r="BU47" s="1">
        <f>Results!AY49</f>
        <v>0</v>
      </c>
      <c r="BV47" s="1">
        <f>Results!AZ49</f>
        <v>0</v>
      </c>
      <c r="BW47" s="1" t="e">
        <f>IF(OR(ISNA('Reaction Information'!$D$38), $N47 = "", $D$27 = FALSE, 'Reaction Information'!$D$38 = ""), NA(), 24.465)</f>
        <v>#N/A</v>
      </c>
      <c r="BX47" s="1" t="e">
        <f>IF(OR(ISNA('Reaction Information'!$D$42), $N47 = "", $D$27 = FALSE, 'Reaction Information'!$D$42 = ""), NA(), 24.465)</f>
        <v>#N/A</v>
      </c>
      <c r="BY47" s="8" t="e">
        <f t="shared" si="18"/>
        <v>#N/A</v>
      </c>
      <c r="BZ47" s="8">
        <f>IF(OR(ISBLANK(Input!$BK$4),$D$27=FALSE),NA(),('Reaction Information'!$J$46/10+'Reaction Information'!$K$46*100/(Calculations!$C$12+Calculations!$M47)+('Reaction Information'!$L$46+'Reaction Information'!$M$46*10000/(Calculations!$C$12+Calculations!$M47))/(Calculations!$O47-Calculations!$C$13)-calculateOmega(Calculations!M47,Calculations!N47,Calculations!Q47,'Reaction Information'!$C$46,'Reaction Information'!$P$46*10^5,'Reaction Information'!$Q$46)*Calculations!$U47*10^-6 + (1/$S47 - 1)*calculate_domegadP(Calculations!M47,Calculations!N47,Calculations!Q47,'Reaction Information'!$C$46,'Reaction Information'!$P$46*10^5,'Reaction Information'!$Q$46,$D$20,$D$19=3))*41.84)</f>
        <v>0</v>
      </c>
      <c r="CA47" s="8">
        <f>IF(OR(ISBLANK(Input!$BN$4),$D$27=FALSE),NA(),('Reaction Information'!$J$50/10+'Reaction Information'!$K$50*100/(Calculations!$C$12+Calculations!$M47)+('Reaction Information'!$L$50+'Reaction Information'!$M$50*10000/(Calculations!$C$12+Calculations!$M47))/(Calculations!$O47-Calculations!$C$13)-calculateOmega(Calculations!M47,Calculations!N47,Calculations!Q47,'Reaction Information'!$C$50,'Reaction Information'!$P$50*10^5,'Reaction Information'!$Q$50)*Calculations!$U47*10^-6 + (1/$S47 - 1)*calculate_domegadP(Calculations!M47,Calculations!N47,Calculations!Q47,'Reaction Information'!$C$50,'Reaction Information'!$P$50*10^5,'Reaction Information'!$Q$50,$D$20,$D$19=3))*41.84)</f>
        <v>26.206519993951112</v>
      </c>
      <c r="CB47" s="8" t="e">
        <f>IF(OR(ISBLANK(Input!$BQ$4),$D$27=FALSE),NA(),('Reaction Information'!$J$54/10+'Reaction Information'!$K$54*100/(Calculations!$C$12+Calculations!$M47)+('Reaction Information'!$L$54+'Reaction Information'!$M$54*10000/(Calculations!$C$12+Calculations!$M47))/(Calculations!$O47-Calculations!$C$13)-calculateOmega(Calculations!M47,Calculations!N47,Calculations!Q47,'Reaction Information'!$C$54,'Reaction Information'!$P$54*10^5,'Reaction Information'!$Q$54)*Calculations!$U47*10^-6 + (1/$S47 - 1)*calculate_domegadP(Calculations!M47,Calculations!N47,Calculations!Q47,'Reaction Information'!$C$54,'Reaction Information'!$P$54*10^5,'Reaction Information'!$Q$54,$D$20,$D$19=3))*41.84)</f>
        <v>#N/A</v>
      </c>
      <c r="CC47" s="8" t="e">
        <f>IF(OR(ISBLANK(Input!$BT$4),$D$27=FALSE),NA(),('Reaction Information'!$J$58/10+'Reaction Information'!$K$58*100/(Calculations!$C$12+Calculations!$M47)+('Reaction Information'!$L$58+'Reaction Information'!$M$58*10000/(Calculations!$C$12+Calculations!$M47))/(Calculations!$O47-Calculations!$C$13)-calculateOmega(Calculations!M47,Calculations!N47,Calculations!Q47,'Reaction Information'!$C$58,'Reaction Information'!$P$58*10^5,'Reaction Information'!$Q$58)*Calculations!$U47*10^-6 + (1/$S47 - 1)*calculate_domegadP(Calculations!M47,Calculations!N47,Calculations!Q47,'Reaction Information'!$C$58,'Reaction Information'!$P$58*10^5,'Reaction Information'!$Q$58,$D$20,$D$19=3))*41.84)</f>
        <v>#N/A</v>
      </c>
      <c r="CD47" s="8" t="e">
        <f>IF(OR(ISBLANK(Input!$BW$4),$D$27=FALSE),NA(),('Reaction Information'!$J$62/10+'Reaction Information'!$K$62*100/(Calculations!$C$12+Calculations!$M47)+('Reaction Information'!$L$62+'Reaction Information'!$M$62*10000/(Calculations!$C$12+Calculations!$M47))/(Calculations!$O47-Calculations!$C$13)-calculateOmega(Calculations!M47,Calculations!N47,Calculations!Q47,'Reaction Information'!$C$62,'Reaction Information'!$P$62*10^5,'Reaction Information'!$Q$62)*Calculations!$U47*10^-6 + (1/$S47 - 1)*calculate_domegadP(Calculations!M47,Calculations!N47,Calculations!Q47,'Reaction Information'!$C$62,'Reaction Information'!$P$62*10^5,'Reaction Information'!$Q$62,$D$20,$D$19=3))*41.84)</f>
        <v>#N/A</v>
      </c>
      <c r="CE47" s="8" t="e">
        <f>IF(OR(ISBLANK(Input!$BZ$4),$D$27=FALSE),NA(),('Reaction Information'!$J$66/10+'Reaction Information'!$K$66*100/(Calculations!$C$12+Calculations!$M47)+('Reaction Information'!$L$66+'Reaction Information'!$M$66*10000/(Calculations!$C$12+Calculations!$M47))/(Calculations!$O47-Calculations!$C$13)-calculateOmega(Calculations!M47,Calculations!N47,Calculations!Q47,'Reaction Information'!$C$66,'Reaction Information'!$P$66*10^5,'Reaction Information'!$Q$66)*Calculations!$U47*10^-6 + (1/$S47 - 1)*calculate_domegadP(Calculations!M47,Calculations!N47,Calculations!Q47,'Reaction Information'!$C$66,'Reaction Information'!$P$66*10^5,'Reaction Information'!$Q$66,$D$20,$D$19=3))*41.84)</f>
        <v>#N/A</v>
      </c>
      <c r="CF47" s="31">
        <f>(BS47*Input!$AO$4+BT47*Input!$AR$4+BU47*Input!$AU$4+BV47*Input!$AX$4+IF(ISNA(BW47),0,BW47*Input!$BA$4)+IF(ISNA(BX47),0,BX47*Input!$BD$4)+IF(ISNA(BY47),0,BY47*Input!$BG$4)+IF(ISNA(BZ47),0,BZ47*Input!$BJ$4)+IF(ISNA(CA47),0,CA47*Input!$BM$4)+IF(ISNA(CB47),0,CB47*Input!$BP$4)+IF(ISNA(CC47),0,CC47*Input!$BS$4)+IF(ISNA(CD47),0,CD47*Input!$BV$4)+IF(ISNA(CE47),0,CE47*Input!$BY$4))-(BF47*Input!$B$4+BG47*Input!$E$4+BH47*Input!$H$4+BI47*Input!$K$4+IF(ISNA(BJ47),0,BJ47*Input!$N$4)+IF(ISNA(BK47),0,BK47*Input!$Q$4)+IF(ISNA(BL47),0,BL47*Input!$T$4)+IF(ISNA(BM47),0,BM47*Input!$W$4)+IF(ISNA(BN47),0,BN47*Input!$Z$4)+IF(ISNA(BO47),0,BO47*Input!$AC$4)+IF(ISNA(BP47),0,BP47*Input!$AF$4)+IF(ISNA(BQ47),0,BQ47*Input!$AI$4)+IF(ISNA(BR47),0,BR47*Input!$AL$4))</f>
        <v>-25.957192125725975</v>
      </c>
      <c r="CG47" s="1">
        <f t="shared" si="12"/>
        <v>850</v>
      </c>
      <c r="CH47" s="46">
        <f t="shared" si="13"/>
        <v>15000</v>
      </c>
      <c r="CI47" s="1"/>
    </row>
    <row r="48" spans="1:87" x14ac:dyDescent="0.2">
      <c r="A48" s="1"/>
      <c r="B48" s="7">
        <v>2</v>
      </c>
      <c r="C48" s="266" t="s">
        <v>607</v>
      </c>
      <c r="D48" s="268"/>
      <c r="E48" s="1"/>
      <c r="F48" s="2">
        <v>43</v>
      </c>
      <c r="G48" s="1" t="str">
        <f>IF(ISBLANK(Input!CB48), "", Input!CB48*1000)</f>
        <v/>
      </c>
      <c r="H48" s="1" t="str">
        <f>IF(ISBLANK(Input!CC48), "", Input!CC48)</f>
        <v/>
      </c>
      <c r="I48" s="1">
        <f>IF(Input!$CF$5 + Input!$CF$6*(FLOOR((Calculations!$F48-1)/(FLOOR((Input!$CF$12-Input!$CF$10)/Input!$CF$11,1)+1),1)) &gt; Input!$CF$7, "", (Input!$CF$5 + Input!$CF$6*(FLOOR((Calculations!$F48-1)/(FLOOR((Input!$CF$12-Input!$CF$10)/Input!$CF$11,1)+1),1)))*1000)</f>
        <v>15000</v>
      </c>
      <c r="J48" s="1">
        <f>IF(Calculations!I48 = "", "", Input!$CF$10 + Input!$CF$11*(Calculations!$F48-1) - (FLOOR((Input!$CF$12-Input!$CF$10)/Input!$CF$11,1)+1)*Input!$CF$11*FLOOR((Calculations!$F48-1)/(FLOOR((Input!$CF$12-Input!$CF$10)/Input!$CF$11,1)+1),1))</f>
        <v>900</v>
      </c>
      <c r="K48" s="8" t="str">
        <f t="shared" si="14"/>
        <v/>
      </c>
      <c r="L48" s="117" t="str">
        <f>IF(OR(Input!$CJ$5 + Input!$CJ$6*(Calculations!F48-1) &gt; Input!$CJ$7, Input!$CJ$5 + Input!$CJ$6*(Calculations!F48-1) &gt; 350), "", Input!$CJ$5 + Input!$CJ$6*(Calculations!F48-1))</f>
        <v/>
      </c>
      <c r="M48" s="1">
        <f t="shared" si="2"/>
        <v>15000</v>
      </c>
      <c r="N48" s="1">
        <f t="shared" si="3"/>
        <v>900</v>
      </c>
      <c r="O48" s="1">
        <f t="shared" si="15"/>
        <v>1173.1500000000001</v>
      </c>
      <c r="P48" s="1" t="e">
        <f>IF(OR($D$20=3,AND($D$21=TRUE,M48&lt;1000)),INDEX('Water Density'!$C$6:$CX$120,MATCH(Calculations!N48,'Water Density'!$B$6:$B$120),MATCH(Calculations!M48/1000,'Water Density'!$C$5:$CX$5)),NA())</f>
        <v>#N/A</v>
      </c>
      <c r="Q48" s="182">
        <f>IF(OR($D$20=3,AND($D$21=TRUE,M48&lt;1000)), IF(P48&lt;&gt;0,P48,NA()), calculateDensity(M48,N48,$D$20,0.01,$D$19 = 3))</f>
        <v>0.94834411920785899</v>
      </c>
      <c r="R48" s="1" t="e">
        <f>IF($D$22=5,INDEX('Dielectric Constant'!$C$6:$CX$120,MATCH(Calculations!N48,'Dielectric Constant'!$B$6:$B$120),MATCH(Calculations!M48/1000,'Dielectric Constant'!$C$5:$CX$5)),NA())</f>
        <v>#N/A</v>
      </c>
      <c r="S48" s="58">
        <f>IF($D$22=5, IF(R48&lt;&gt;0,R48,NA()), IF(AND($D$23,M48&lt;=5000,$D$19 &lt;&gt; 3),calculateEpsilon(Q48,N48,1,FALSE),calculateEpsilon(Q48,N48,$D$22,$D$19 = 3)))</f>
        <v>12.694725378190917</v>
      </c>
      <c r="T48" s="1" t="e">
        <f>IF($D$24=3,INDEX('Water Free Energy'!$C$6:$CX$120,MATCH(Calculations!N48,'Water Free Energy'!$B$6:$B$120),MATCH(Calculations!M48/1000,'Water Free Energy'!$C$5:$CX$5)),NA())</f>
        <v>#N/A</v>
      </c>
      <c r="U48" s="179">
        <f>IF($D$27,calculateQ(M48,N48,Q48,$D$20,$D$22,$D$19=3)*10^6,NA())</f>
        <v>1.2270810411379662</v>
      </c>
      <c r="V48"/>
      <c r="W48" s="2">
        <f t="shared" si="5"/>
        <v>15000</v>
      </c>
      <c r="X48" s="1">
        <f t="shared" si="6"/>
        <v>900</v>
      </c>
      <c r="Y48" s="1">
        <f>Results!F50</f>
        <v>0</v>
      </c>
      <c r="Z48" s="1">
        <f>Results!G50</f>
        <v>0</v>
      </c>
      <c r="AA48" s="1">
        <f>Results!H50</f>
        <v>0</v>
      </c>
      <c r="AB48" s="1">
        <f>Results!I50</f>
        <v>0</v>
      </c>
      <c r="AC48" s="1" t="e">
        <f>IF(ISBLANK(Input!$O$4),NA(),'Reaction Information'!$E$5-'Reaction Information'!$G$5*(Calculations!$O48-Calculations!$C$8)+'Reaction Information'!$I$5*(Calculations!$O48-Calculations!$C$8-Calculations!$O48*LN(Calculations!$O48/Calculations!$C$8))+'Reaction Information'!$J$5*0.001/2*(2*Calculations!$O48*Calculations!$C$8-Calculations!$O48^2-Calculations!$C$8^2) + 'Reaction Information'!$K$5*100000*(Calculations!$O48^2 + Calculations!$C$8^2 - 2*Calculations!$O48*Calculations!$C$8)/(2*Calculations!$O48*Calculations!$C$8^2))</f>
        <v>#N/A</v>
      </c>
      <c r="AD48" s="8" t="e">
        <f>IF(ISBLANK(Input!$R$4),NA(),'Reaction Information'!$E$9-'Reaction Information'!$G$9*(Calculations!$O48-Calculations!$C$8)+'Reaction Information'!$I$9*(Calculations!$O48-Calculations!$C$8-Calculations!$O48*LN(Calculations!$O48/Calculations!$C$8))+'Reaction Information'!$J$9*0.001/2*(2*Calculations!$O48*Calculations!$C$8-Calculations!$O48^2-Calculations!$C$8^2) + 'Reaction Information'!$K$9*100000*(Calculations!$O48^2 + Calculations!$C$8^2 - 2*Calculations!$O48*Calculations!$C$8)/(2*Calculations!$O48*Calculations!$C$8^2))</f>
        <v>#N/A</v>
      </c>
      <c r="AE48" s="8">
        <f>IF(AE$5="H2O",IF($D$24=3,IF(T48=0,NA(),T48),calculateGibbsOfWater(M48,N48,$D$24,$D$20,$D$19=3)),NA())</f>
        <v>-75106.072810328085</v>
      </c>
      <c r="AF48" s="8">
        <f>IF(ISBLANK(Input!$X$4),NA(),'Reaction Information'!$E$13-'Reaction Information'!$G$13*(Calculations!O48-Calculations!$C$8)-'Reaction Information'!$N$13*(Calculations!O48*LN(Calculations!O48/Calculations!$C$8)-Calculations!O48+Calculations!$C$8)-'Reaction Information'!$O$13*10^4*(((1/(Calculations!O48-Calculations!$C$13))-(1/(Calculations!$C$8-Calculations!$C$13)))*((Calculations!$C$13-Calculations!O48)/(Calculations!$C$13))-(Calculations!O48/(Calculations!$C$13*Calculations!$C$13))*LN((Calculations!$C$8*(Calculations!O48-Calculations!$C$13))/(Calculations!O48*(Calculations!$C$8-Calculations!$C$13))))+'Reaction Information'!$J$13*10^-1*(Calculations!M48-Calculations!$C$9)+'Reaction Information'!$K$13*10^2*LN((Calculations!$C$12+Calculations!M48)/(Calculations!$C$12+Calculations!$C$9))+(1/(Calculations!O48-Calculations!$C$13))*('Reaction Information'!$L$13*(Calculations!M48-Calculations!$C$9)+'Reaction Information'!$M$13*10^4*LN((Calculations!$C$12+Calculations!M48)/(Calculations!$C$12+Calculations!$C$9)))+calculateOmega(Calculations!M48,Calculations!N48,Calculations!Q48,'Reaction Information'!$C$13,'Reaction Information'!$P$13*10^5,'Reaction Information'!$Q$13)*((1/Calculations!S48)-1)-'Reaction Information'!$P$13*10^5*((1/Calculations!$C$10)-1)+'Reaction Information'!$P$13*10^5*Calculations!$C$14*(Calculations!O48-Calculations!$C$8))</f>
        <v>-120347.69669939947</v>
      </c>
      <c r="AG48" s="8" t="e">
        <f>IF(ISBLANK(Input!$AA$4),NA(),'Reaction Information'!$E$17-'Reaction Information'!$G$17*(Calculations!$O48-Calculations!$C$8)-'Reaction Information'!$N$17*(Calculations!$O48*LN(Calculations!$O48/Calculations!$C$8)-Calculations!$O48+Calculations!$C$8)-'Reaction Information'!$O$17*10^4*(((1/(Calculations!$O48-Calculations!$C$13))-(1/(Calculations!$C$8-Calculations!$C$13)))*((Calculations!$C$13-Calculations!$O48)/(Calculations!$C$13))-(Calculations!$O48/(Calculations!$C$13*Calculations!$C$13))*LN((Calculations!$C$8*(Calculations!$O48-Calculations!$C$13))/(Calculations!$O48*(Calculations!$C$8-Calculations!$C$13))))+'Reaction Information'!$J$17*10^-1*(Calculations!$M48-Calculations!$C$9)+'Reaction Information'!$K$17*10^2*LN((Calculations!$C$12+Calculations!$M48)/(Calculations!$C$12+Calculations!$C$9))+(1/(Calculations!$O48-Calculations!$C$13))*('Reaction Information'!$L$17*(Calculations!$M48-Calculations!$C$9)+'Reaction Information'!$M$17*10^4*LN((Calculations!$C$12+Calculations!$M48)/(Calculations!$C$12+Calculations!$C$9)))+calculateOmega(Calculations!M48,Calculations!N48,Calculations!Q48,'Reaction Information'!$C$17,'Reaction Information'!$P$17*10^5,'Reaction Information'!$Q$17)*((1/Calculations!$S48)-1)-'Reaction Information'!$P$17*10^5*((1/Calculations!$C$10)-1)+'Reaction Information'!$P$17*10^5*Calculations!$C$14*(Calculations!$O48-Calculations!$C$8))</f>
        <v>#N/A</v>
      </c>
      <c r="AH48" s="8" t="e">
        <f>IF(ISBLANK(Input!$AD$4),NA(),'Reaction Information'!$E$21-'Reaction Information'!$G$21*(Calculations!$O48-Calculations!$C$8)-'Reaction Information'!$N$21*(Calculations!$O48*LN(Calculations!$O48/Calculations!$C$8)-Calculations!$O48+Calculations!$C$8)-'Reaction Information'!$O$21*10^4*(((1/(Calculations!$O48-Calculations!$C$13))-(1/(Calculations!$C$8-Calculations!$C$13)))*((Calculations!$C$13-Calculations!$O48)/(Calculations!$C$13))-(Calculations!$O48/(Calculations!$C$13*Calculations!$C$13))*LN((Calculations!$C$8*(Calculations!$O48-Calculations!$C$13))/(Calculations!$O48*(Calculations!$C$8-Calculations!$C$13))))+'Reaction Information'!$J$21*10^-1*(Calculations!$M48-Calculations!$C$9)+'Reaction Information'!$K$21*10^2*LN((Calculations!$C$12+Calculations!$M48)/(Calculations!$C$12+Calculations!$C$9))+(1/(Calculations!$O48-Calculations!$C$13))*('Reaction Information'!$L$21*(Calculations!$M48-Calculations!$C$9)+'Reaction Information'!$M$21*10^4*LN((Calculations!$C$12+Calculations!$M48)/(Calculations!$C$12+Calculations!$C$9)))+calculateOmega(Calculations!M48,Calculations!N48,Calculations!Q48,'Reaction Information'!$C$21,'Reaction Information'!$P$21*10^5,'Reaction Information'!$Q$21)*((1/Calculations!$S48)-1)-'Reaction Information'!$P$21*10^5*((1/Calculations!$C$10)-1)+'Reaction Information'!$P$21*10^5*Calculations!$C$14*(Calculations!$O48-Calculations!$C$8))</f>
        <v>#N/A</v>
      </c>
      <c r="AI48" s="8" t="e">
        <f>IF(ISBLANK(Input!$AG$4),NA(),'Reaction Information'!$E$25-'Reaction Information'!$G$25*(Calculations!$O48-Calculations!$C$8)-'Reaction Information'!$N$25*(Calculations!$O48*LN(Calculations!$O48/Calculations!$C$8)-Calculations!$O48+Calculations!$C$8)-'Reaction Information'!$O$25*10^4*(((1/(Calculations!$O48-Calculations!$C$13))-(1/(Calculations!$C$8-Calculations!$C$13)))*((Calculations!$C$13-Calculations!$O48)/(Calculations!$C$13))-(Calculations!$O48/(Calculations!$C$13*Calculations!$C$13))*LN((Calculations!$C$8*(Calculations!$O48-Calculations!$C$13))/(Calculations!$O48*(Calculations!$C$8-Calculations!$C$13))))+'Reaction Information'!$J$25*10^-1*(Calculations!$M48-Calculations!$C$9)+'Reaction Information'!$K$25*10^2*LN((Calculations!$C$12+Calculations!$M48)/(Calculations!$C$12+Calculations!$C$9))+(1/(Calculations!$O48-Calculations!$C$13))*('Reaction Information'!$L$25*(Calculations!$M48-Calculations!$C$9)+'Reaction Information'!$M$25*10^4*LN((Calculations!$C$12+Calculations!$M48)/(Calculations!$C$12+Calculations!$C$9)))+calculateOmega(Calculations!M48,Calculations!N48,Calculations!Q48,'Reaction Information'!$C$25,'Reaction Information'!$P$25*10^5,'Reaction Information'!$Q$25)*((1/Calculations!$S48)-1)-'Reaction Information'!$P$25*10^5*((1/Calculations!$C$10)-1)+'Reaction Information'!$P$25*10^5*Calculations!$C$14*(Calculations!$O48-Calculations!$C$8))</f>
        <v>#N/A</v>
      </c>
      <c r="AJ48" s="8" t="e">
        <f>IF(ISBLANK(Input!$AJ$4),NA(),'Reaction Information'!$E$29-'Reaction Information'!$G$29*(Calculations!$O48-Calculations!$C$8)-'Reaction Information'!$N$29*(Calculations!$O48*LN(Calculations!$O48/Calculations!$C$8)-Calculations!$O48+Calculations!$C$8)-'Reaction Information'!$O$29*10^4*(((1/(Calculations!$O48-Calculations!$C$13))-(1/(Calculations!$C$8-Calculations!$C$13)))*((Calculations!$C$13-Calculations!$O48)/(Calculations!$C$13))-(Calculations!$O48/(Calculations!$C$13*Calculations!$C$13))*LN((Calculations!$C$8*(Calculations!$O48-Calculations!$C$13))/(Calculations!$O48*(Calculations!$C$8-Calculations!$C$13))))+'Reaction Information'!$J$29*10^-1*(Calculations!$M48-Calculations!$C$9)+'Reaction Information'!$K$29*10^2*LN((Calculations!$C$12+Calculations!$M48)/(Calculations!$C$12+Calculations!$C$9))+(1/(Calculations!$O48-Calculations!$C$13))*('Reaction Information'!$L$29*(Calculations!$M48-Calculations!$C$9)+'Reaction Information'!$M$29*10^4*LN((Calculations!$C$12+Calculations!$M48)/(Calculations!$C$12+Calculations!$C$9)))+calculateOmega(Calculations!M48,Calculations!N48,Calculations!Q48,'Reaction Information'!$C$29,'Reaction Information'!$P$29*10^5,'Reaction Information'!$Q$29)*((1/Calculations!$S48)-1)-'Reaction Information'!$P$29*10^5*((1/Calculations!$C$10)-1)+'Reaction Information'!$P$29*10^5*Calculations!$C$14*(Calculations!$O48-Calculations!$C$8))</f>
        <v>#N/A</v>
      </c>
      <c r="AK48" s="8" t="e">
        <f>IF(ISBLANK(Input!$AM$4),NA(),'Reaction Information'!$E$33-'Reaction Information'!$G$33*(Calculations!$O48-Calculations!$C$8)-'Reaction Information'!$N$33*(Calculations!$O48*LN(Calculations!$O48/Calculations!$C$8)-Calculations!$O48+Calculations!$C$8)-'Reaction Information'!$O$33*10^4*(((1/(Calculations!$O48-Calculations!$C$13))-(1/(Calculations!$C$8-Calculations!$C$13)))*((Calculations!$C$13-Calculations!$O48)/(Calculations!$C$13))-(Calculations!$O48/(Calculations!$C$13*Calculations!$C$13))*LN((Calculations!$C$8*(Calculations!$O48-Calculations!$C$13))/(Calculations!$O48*(Calculations!$C$8-Calculations!$C$13))))+'Reaction Information'!$J$33*10^-1*(Calculations!$M48-Calculations!$C$9)+'Reaction Information'!$K$33*10^2*LN((Calculations!$C$12+Calculations!$M48)/(Calculations!$C$12+Calculations!$C$9))+(1/(Calculations!$O48-Calculations!$C$13))*('Reaction Information'!$L$33*(Calculations!$M48-Calculations!$C$9)+'Reaction Information'!$M$33*10^4*LN((Calculations!$C$12+Calculations!$M48)/(Calculations!$C$12+Calculations!$C$9)))+calculateOmega(Calculations!M48,Calculations!N48,Calculations!Q48,'Reaction Information'!$C$33,'Reaction Information'!$P$33*10^5,'Reaction Information'!$Q$33)*((1/Calculations!$S48)-1)-'Reaction Information'!$P$33*10^5*((1/Calculations!$C$10)-1)+'Reaction Information'!$P$33*10^5*Calculations!$C$14*(Calculations!$O48-Calculations!$C$8))</f>
        <v>#N/A</v>
      </c>
      <c r="AL48" s="1">
        <f>Results!S50</f>
        <v>0</v>
      </c>
      <c r="AM48" s="1">
        <f>Results!T50</f>
        <v>0</v>
      </c>
      <c r="AN48" s="1">
        <f>Results!U50</f>
        <v>0</v>
      </c>
      <c r="AO48" s="1">
        <f>Results!V50</f>
        <v>0</v>
      </c>
      <c r="AP48" s="8" t="e">
        <f>IF(ISBLANK(Input!$BB$4),NA(),'Reaction Information'!$E$38-'Reaction Information'!$G$38*(Calculations!$O48-Calculations!$C$8)+'Reaction Information'!$I$38*(Calculations!$O48-Calculations!$C$8-Calculations!$O48*LN(Calculations!$O48/Calculations!$C$8))+'Reaction Information'!$J$38*0.001/2*(2*Calculations!$O48*Calculations!$C$8-Calculations!$O48^2-Calculations!$C$8^2) + 'Reaction Information'!$K$38*100000*(Calculations!$O48^2 + Calculations!$C$8^2 - 2*Calculations!$O48*Calculations!$C$8)/(2*Calculations!$O48*Calculations!$C$8^2))</f>
        <v>#N/A</v>
      </c>
      <c r="AQ48" s="8" t="e">
        <f>IF(ISBLANK(Input!$BE$4),NA(),'Reaction Information'!$E$42-'Reaction Information'!$G$42*(Calculations!$O48-Calculations!$C$8)+'Reaction Information'!$I$42*(Calculations!$O48-Calculations!$C$8-Calculations!$O48*LN(Calculations!$O48/Calculations!$C$8))+'Reaction Information'!$J$42*0.001/2*(2*Calculations!$O48*Calculations!$C$8-Calculations!$O48^2-Calculations!$C$8^2) + 'Reaction Information'!$K$42*100000*(Calculations!$O48^2 + Calculations!$C$8^2 - 2*Calculations!$O48*Calculations!$C$8)/(2*Calculations!$O48*Calculations!$C$8^2))</f>
        <v>#N/A</v>
      </c>
      <c r="AR48" s="8" t="e">
        <f>IF(AR$5="H2O", IF($D$24=3,IF(T48=0,NA(),T48),calculateGibbsOfWater(M48,N48,$D$24,$D$20,$D$19=3)),NA())</f>
        <v>#N/A</v>
      </c>
      <c r="AS48" s="8">
        <f>IF(ISBLANK(Input!$BK$4),NA(),'Reaction Information'!$E$46-'Reaction Information'!$G$46*(Calculations!O48-Calculations!$C$8)-'Reaction Information'!$N$46*(Calculations!O48*LN(Calculations!O48/Calculations!$C$8)-Calculations!O48+Calculations!$C$8)-'Reaction Information'!$O$46*10^4*(((1/(Calculations!O48-Calculations!$C$13))-(1/(Calculations!$C$8-Calculations!$C$13)))*((Calculations!$C$13-Calculations!O48)/(Calculations!$C$13))-(Calculations!O48/(Calculations!$C$13*Calculations!$C$13))*LN((Calculations!$C$8*(Calculations!O48-Calculations!$C$13))/(Calculations!O48*(Calculations!$C$8-Calculations!$C$13))))+'Reaction Information'!$J$46*10^-1*(Calculations!$M48-Calculations!$C$9)+'Reaction Information'!$K$46*10^2*LN((Calculations!$C$12+Calculations!$M48)/(Calculations!$C$12+Calculations!$C$9))+(1/(Calculations!O48-Calculations!$C$13))*('Reaction Information'!$L$46*(Calculations!$M48-Calculations!$C$9)+'Reaction Information'!$M$46*10^4*LN((Calculations!$C$12+Calculations!$M48)/(Calculations!$C$12+Calculations!$C$9)))+calculateOmega(Calculations!M48,Calculations!N48,Calculations!Q48,'Reaction Information'!$C$46,'Reaction Information'!$P$46*10^5,'Reaction Information'!$Q$46)*((1/Calculations!S48)-1)-'Reaction Information'!$P$46*10^5*((1/Calculations!$C$10)-1)+'Reaction Information'!$P$46*10^5*Calculations!$C$14*(Calculations!O48-Calculations!$C$8))</f>
        <v>0</v>
      </c>
      <c r="AT48" s="8">
        <f>IF(ISBLANK(Input!$BN$4),NA(),'Reaction Information'!$E$50-'Reaction Information'!$G$50*(Calculations!O48-Calculations!$C$8)-'Reaction Information'!$N$50*(Calculations!O48*LN(Calculations!O48/Calculations!$C$8)-Calculations!O48+Calculations!$C$8)-'Reaction Information'!$O$50*10^4*(((1/(Calculations!O48-Calculations!$C$13))-(1/(Calculations!$C$8-Calculations!$C$13)))*((Calculations!$C$13-Calculations!O48)/(Calculations!$C$13))-(Calculations!O48/(Calculations!$C$13*Calculations!$C$13))*LN((Calculations!$C$8*(Calculations!O48-Calculations!$C$13))/(Calculations!O48*(Calculations!$C$8-Calculations!$C$13))))+'Reaction Information'!$J$50*10^-1*(Calculations!$M48-Calculations!$C$9)+'Reaction Information'!$K$50*10^2*LN((Calculations!$C$12+Calculations!$M48)/(Calculations!$C$12+Calculations!$C$9))+(1/(Calculations!O48-Calculations!$C$13))*('Reaction Information'!$L$50*(Calculations!$M48-Calculations!$C$9)+'Reaction Information'!$M$50*10^4*LN((Calculations!$C$12+Calculations!$M48)/(Calculations!$C$12+Calculations!$C$9)))+calculateOmega(Calculations!M48,Calculations!N48,Calculations!Q48,'Reaction Information'!$C$50,'Reaction Information'!$P$50*10^5,'Reaction Information'!$Q$50)*((1/Calculations!S48)-1)-'Reaction Information'!$P$50*10^5*((1/Calculations!$C$10)-1)+'Reaction Information'!$P$50*10^5*Calculations!$C$14*(Calculations!O48-Calculations!$C$8))</f>
        <v>-154350.24819989037</v>
      </c>
      <c r="AU48" s="8" t="e">
        <f>IF(ISBLANK(Input!$BQ$4),NA(),'Reaction Information'!$E$54-'Reaction Information'!$G$54*(Calculations!$O48-Calculations!$C$8)-'Reaction Information'!$N$54*(Calculations!$O48*LN(Calculations!$O48/Calculations!$C$8)-Calculations!$O48+Calculations!$C$8)-'Reaction Information'!$O$54*10^4*(((1/(Calculations!$O48-Calculations!$C$13))-(1/(Calculations!$C$8-Calculations!$C$13)))*((Calculations!$C$13-Calculations!$O48)/(Calculations!$C$13))-(Calculations!$O48/(Calculations!$C$13*Calculations!$C$13))*LN((Calculations!$C$8*(Calculations!$O48-Calculations!$C$13))/(Calculations!$O48*(Calculations!$C$8-Calculations!$C$13))))+'Reaction Information'!$J$54*10^-1*(Calculations!$M48-Calculations!$C$9)+'Reaction Information'!$K$54*10^2*LN((Calculations!$C$12+Calculations!$M48)/(Calculations!$C$12+Calculations!$C$9))+(1/(Calculations!$O48-Calculations!$C$13))*('Reaction Information'!$L$54*(Calculations!$M48-Calculations!$C$9)+'Reaction Information'!$M$54*10^4*LN((Calculations!$C$12+Calculations!$M48)/(Calculations!$C$12+Calculations!$C$9)))+calculateOmega(Calculations!M48,Calculations!N48,Calculations!Q48,'Reaction Information'!$C$54,'Reaction Information'!$P$54*10^5,'Reaction Information'!$Q$54)*((1/Calculations!$S48)-1)-'Reaction Information'!$P$54*10^5*((1/Calculations!$C$10)-1)+'Reaction Information'!$P$54*10^5*Calculations!$C$14*(Calculations!$O48-Calculations!$C$8))</f>
        <v>#N/A</v>
      </c>
      <c r="AV48" s="8" t="e">
        <f>IF(ISBLANK(Input!$BT$4),NA(),'Reaction Information'!$E$58-'Reaction Information'!$G$58*(Calculations!$O48-Calculations!$C$8)-'Reaction Information'!$N$58*(Calculations!$O48*LN(Calculations!$O48/Calculations!$C$8)-Calculations!$O48+Calculations!$C$8)-'Reaction Information'!$O$58*10^4*(((1/(Calculations!$O48-Calculations!$C$13))-(1/(Calculations!$C$8-Calculations!$C$13)))*((Calculations!$C$13-Calculations!$O48)/(Calculations!$C$13))-(Calculations!$O48/(Calculations!$C$13*Calculations!$C$13))*LN((Calculations!$C$8*(Calculations!$O48-Calculations!$C$13))/(Calculations!$O48*(Calculations!$C$8-Calculations!$C$13))))+'Reaction Information'!$J$58*10^-1*(Calculations!$M48-Calculations!$C$9)+'Reaction Information'!$K$58*10^2*LN((Calculations!$C$12+Calculations!$M48)/(Calculations!$C$12+Calculations!$C$9))+(1/(Calculations!$O48-Calculations!$C$13))*('Reaction Information'!$L$58*(Calculations!$M48-Calculations!$C$9)+'Reaction Information'!$M$58*10^4*LN((Calculations!$C$12+Calculations!$M48)/(Calculations!$C$12+Calculations!$C$9)))+calculateOmega(Calculations!M48,Calculations!N48,Calculations!Q48,'Reaction Information'!$C$58,'Reaction Information'!$P$58*10^5,'Reaction Information'!$Q$58)*((1/Calculations!$S48)-1)-'Reaction Information'!$P$58*10^5*((1/Calculations!$C$10)-1)+'Reaction Information'!$P$58*10^5*Calculations!$C$14*(Calculations!$O48-Calculations!$C$8))</f>
        <v>#N/A</v>
      </c>
      <c r="AW48" s="8" t="e">
        <f>IF(ISBLANK(Input!$BW$4),NA(),'Reaction Information'!$E$62-'Reaction Information'!$G$62*(Calculations!$O48-Calculations!$C$8)-'Reaction Information'!$N$62*(Calculations!$O48*LN(Calculations!$O48/Calculations!$C$8)-Calculations!$O48+Calculations!$C$8)-'Reaction Information'!$O$62*10^4*(((1/(Calculations!$O48-Calculations!$C$13))-(1/(Calculations!$C$8-Calculations!$C$13)))*((Calculations!$C$13-Calculations!$O48)/(Calculations!$C$13))-(Calculations!$O48/(Calculations!$C$13*Calculations!$C$13))*LN((Calculations!$C$8*(Calculations!$O48-Calculations!$C$13))/(Calculations!$O48*(Calculations!$C$8-Calculations!$C$13))))+'Reaction Information'!$J$62*10^-1*(Calculations!$M48-Calculations!$C$9)+'Reaction Information'!$K$62*10^2*LN((Calculations!$C$12+Calculations!$M48)/(Calculations!$C$12+Calculations!$C$9))+(1/(Calculations!$O48-Calculations!$C$13))*('Reaction Information'!$L$62*(Calculations!$M48-Calculations!$C$9)+'Reaction Information'!$M$62*10^4*LN((Calculations!$C$12+Calculations!$M48)/(Calculations!$C$12+Calculations!$C$9)))+calculateOmega(Calculations!M48,Calculations!N48,Calculations!Q48,'Reaction Information'!$C$62,'Reaction Information'!$P$62*10^5,'Reaction Information'!$Q$62)*((1/Calculations!$S48)-1)-'Reaction Information'!$P$62*10^5*((1/Calculations!$C$10)-1)+'Reaction Information'!$P$62*10^5*Calculations!$C$14*(Calculations!$O48-Calculations!$C$8))</f>
        <v>#N/A</v>
      </c>
      <c r="AX48" s="8" t="e">
        <f>IF(ISBLANK(Input!$BZ$4),NA(),'Reaction Information'!$E$66-'Reaction Information'!$G$66*(Calculations!$O48-Calculations!$C$8)-'Reaction Information'!$N$66*(Calculations!$O48*LN(Calculations!$O48/Calculations!$C$8)-Calculations!$O48+Calculations!$C$8)-'Reaction Information'!$O$66*10^4*(((1/(Calculations!$O48-Calculations!$C$13))-(1/(Calculations!$C$8-Calculations!$C$13)))*((Calculations!$C$13-Calculations!$O48)/(Calculations!$C$13))-(Calculations!$O48/(Calculations!$C$13*Calculations!$C$13))*LN((Calculations!$C$8*(Calculations!$O48-Calculations!$C$13))/(Calculations!$O48*(Calculations!$C$8-Calculations!$C$13))))+'Reaction Information'!$J$66*10^-1*(Calculations!$M48-Calculations!$C$9)+'Reaction Information'!$K$66*10^2*LN((Calculations!$C$12+Calculations!$M48)/(Calculations!$C$12+Calculations!$C$9))+(1/(Calculations!$O48-Calculations!$C$13))*('Reaction Information'!$L$66*(Calculations!$M48-Calculations!$C$9)+'Reaction Information'!$M$66*10^4*LN((Calculations!$C$12+Calculations!$M48)/(Calculations!$C$12+Calculations!$C$9)))+calculateOmega(Calculations!M48,Calculations!N48,Calculations!Q48,'Reaction Information'!$C$66,'Reaction Information'!$P$66*10^5,'Reaction Information'!$Q$66)*((1/Calculations!$S48)-1)-'Reaction Information'!$P$66*10^5*((1/Calculations!$C$10)-1)+'Reaction Information'!$P$66*10^5*Calculations!$C$14*(Calculations!$O48-Calculations!$C$8))</f>
        <v>#N/A</v>
      </c>
      <c r="AY48" s="31">
        <f>(AL48*Input!$AO$4+AM48*Input!$AR$4+AN48*Input!$AU$4+AO48*Input!$AX$4+IF(ISNA(AP48),0,AP48*Input!$BA$4)+IF(ISNA(AQ48),0,AQ48*Input!$BD$4)+IF(ISNA(AR48),0,AR48*Input!$BG$4)+IF(ISNA(AS48),0,AS48*Input!$BJ$4)+IF(ISNA(AT48),0,AT48*Input!$BM$4)+IF(ISNA(AU48),0,AU48*Input!$BP$4)+IF(ISNA(AV48),0,AV48*Input!$BS$4)+IF(ISNA(AW48),0,AW48*Input!$BV$4)+IF(ISNA(AX48),0,AX48*Input!$BY$4))-(Y48*Input!$B$4+Z48*Input!$E$4+AA48*Input!$H$4+AB48*Input!$K$4+IF(ISNA(AC48),0,AC48*Input!$N$4)+IF(ISNA(AD48),0,AD48*Input!$Q$4)+IF(ISNA(AE48),0,AE48*Input!$T$4)+IF(ISNA(AF48),0,AF48*Input!$W$4)+IF(ISNA(AG48),0,AG48*Input!$Z$4)+IF(ISNA(AH48),0,AH48*Input!$AC$4)+IF(ISNA(AI48),0,AI48*Input!$AF$4)+IF(ISNA(AJ48),0,AJ48*Input!$AI$4)+IF(ISNA(AK48),0,AK48*Input!$AL$4))</f>
        <v>41103.521309837175</v>
      </c>
      <c r="AZ48" s="42">
        <f t="shared" si="16"/>
        <v>-7.6622683482368918</v>
      </c>
      <c r="BA48" s="1">
        <f t="shared" si="8"/>
        <v>900</v>
      </c>
      <c r="BB48" s="46">
        <f t="shared" si="9"/>
        <v>15000</v>
      </c>
      <c r="BC48" s="1"/>
      <c r="BD48" s="2">
        <f t="shared" si="10"/>
        <v>15000</v>
      </c>
      <c r="BE48" s="46">
        <f t="shared" si="11"/>
        <v>900</v>
      </c>
      <c r="BF48" s="1">
        <f>Results!AJ50</f>
        <v>0</v>
      </c>
      <c r="BG48" s="1">
        <f>Results!AK50</f>
        <v>0</v>
      </c>
      <c r="BH48" s="1">
        <f>Results!AL50</f>
        <v>0</v>
      </c>
      <c r="BI48" s="1">
        <f>Results!AM50</f>
        <v>0</v>
      </c>
      <c r="BJ48" s="1" t="e">
        <f>IF(OR(ISNA('Reaction Information'!$D$5), $N48 = "", $D$27 = FALSE, 'Reaction Information'!$D$5 = ""), NA(), 24.465)</f>
        <v>#N/A</v>
      </c>
      <c r="BK48" s="1" t="e">
        <f>IF(OR(ISNA('Reaction Information'!$D$9), $N48 = "", $D$27 = FALSE, 'Reaction Information'!$D$9 = ""), NA(), 24.465)</f>
        <v>#N/A</v>
      </c>
      <c r="BL48" s="8">
        <f t="shared" si="17"/>
        <v>18.996564258813518</v>
      </c>
      <c r="BM48" s="8">
        <f>IF(OR(ISBLANK(Input!$X$4),$D$27=FALSE),NA(),('Reaction Information'!$J$13/10+'Reaction Information'!$K$13*100/(Calculations!$C$12+Calculations!$M48)+('Reaction Information'!$L$13+'Reaction Information'!$M$13*10^4/(Calculations!$C$12+Calculations!$M48))/(Calculations!$O48-Calculations!$C$13) -calculateOmega(Calculations!$M48,Calculations!$N48,Calculations!$Q48,'Reaction Information'!$C$13,'Reaction Information'!$P$13*10^5,'Reaction Information'!$Q$13)*Calculations!$U48*10^-6 + (1/$S48 - 1)*calculate_domegadP(Calculations!$M48,Calculations!$N48,Calculations!$Q48,'Reaction Information'!$C$13,'Reaction Information'!$P$13*10^5,'Reaction Information'!$Q$13,$D$20,$D$19=3))*41.84)</f>
        <v>33.852903694242208</v>
      </c>
      <c r="BN48" s="8" t="e">
        <f>IF(OR(ISBLANK(Input!$AA$4),$D$27=FALSE),NA(),('Reaction Information'!$J$17/10+'Reaction Information'!$K$17*100/(Calculations!$C$12+Calculations!$M48)+('Reaction Information'!$L$17+'Reaction Information'!$M$17*10000/(Calculations!$C$12+Calculations!$M48))/(Calculations!$O48-Calculations!$C$13)-calculateOmega(Calculations!M48,Calculations!N48,Calculations!Q48,'Reaction Information'!$C$17,'Reaction Information'!$P$17*10^5,'Reaction Information'!$Q$17)*Calculations!$U48*10^-6 + (1/$S48 - 1)*calculate_domegadP(Calculations!M48,Calculations!N48,Calculations!Q48,'Reaction Information'!$C$17,'Reaction Information'!$P$17*10^5,'Reaction Information'!$Q$17,$D$20,$D$19=3))*41.84)</f>
        <v>#N/A</v>
      </c>
      <c r="BO48" s="8" t="e">
        <f>IF(OR(ISBLANK(Input!$AD$4),$D$27=FALSE),NA(),('Reaction Information'!$J$21/10+'Reaction Information'!$K$21*100/(Calculations!$C$12+Calculations!$M48)+('Reaction Information'!$L$21+'Reaction Information'!$M$21*10000/(Calculations!$C$12+Calculations!$M48))/(Calculations!$O48-Calculations!$C$13)-calculateOmega(Calculations!M48,Calculations!N48,Calculations!Q48,'Reaction Information'!$C$21,'Reaction Information'!$P$21*10^5,'Reaction Information'!$Q$21)*Calculations!$U48*10^-6 + (1/$S48 - 1)*calculate_domegadP(Calculations!M48,Calculations!N48,Calculations!Q48,'Reaction Information'!$C$21,'Reaction Information'!$P$21*10^5,'Reaction Information'!$Q$21,$D$20,$D$19=3))*41.84)</f>
        <v>#N/A</v>
      </c>
      <c r="BP48" s="8" t="e">
        <f>IF(OR(ISBLANK(Input!$AG$4),$D$27=FALSE),NA(),('Reaction Information'!$J$25/10+'Reaction Information'!$K$25*100/(Calculations!$C$12+Calculations!$M48)+('Reaction Information'!$L$25+'Reaction Information'!$M$25*10000/(Calculations!$C$12+Calculations!$M48))/(Calculations!$O48-Calculations!$C$13)-calculateOmega(Calculations!M48,Calculations!N48,Calculations!Q48,'Reaction Information'!$C$25,'Reaction Information'!$P$25*10^5,'Reaction Information'!$Q$25)*Calculations!$U48*10^-6 + (1/$S48 - 1)*calculate_domegadP(Calculations!M48,Calculations!N48,Calculations!Q48,'Reaction Information'!$C$25,'Reaction Information'!$P$25*10^5,'Reaction Information'!$Q$25,$D$20,$D$19=3))*41.84)</f>
        <v>#N/A</v>
      </c>
      <c r="BQ48" s="8" t="e">
        <f>IF(OR(ISBLANK(Input!$AJ$4),$D$27=FALSE),NA(),('Reaction Information'!$J$29/10+'Reaction Information'!$K$29*100/(Calculations!$C$12+Calculations!$M48)+('Reaction Information'!$L$29+'Reaction Information'!$M$29*10000/(Calculations!$C$12+Calculations!$M48))/(Calculations!$O48-Calculations!$C$13)-calculateOmega(Calculations!M48,Calculations!N48,Calculations!Q48,'Reaction Information'!$C$29,'Reaction Information'!$P$29*10^5,'Reaction Information'!$Q$29)*Calculations!$U48*10^-6 + (1/$S48 - 1)*calculate_domegadP(Calculations!M48,Calculations!N48,Calculations!Q48,'Reaction Information'!$C$29,'Reaction Information'!$P$29*10^5,'Reaction Information'!$Q$29,$D$20,$D$19=3))*41.84)</f>
        <v>#N/A</v>
      </c>
      <c r="BR48" s="8" t="e">
        <f>IF(OR(ISBLANK(Input!$AM$4),$D$27=FALSE),NA(),('Reaction Information'!$J$33/10+'Reaction Information'!$K$33*100/(Calculations!$C$12+Calculations!$M48)+('Reaction Information'!$L$33+'Reaction Information'!$M$33*10000/(Calculations!$C$12+Calculations!$M48))/(Calculations!$O48-Calculations!$C$13)-calculateOmega(Calculations!M48,Calculations!N48,Calculations!Q48,'Reaction Information'!$C$33,'Reaction Information'!$P$33*10^5,'Reaction Information'!$Q$33)*Calculations!$U48*10^-6 + (1/$S48 - 1)*calculate_domegadP(Calculations!M48,Calculations!N48,Calculations!Q48,'Reaction Information'!$C$33,'Reaction Information'!$P$33*10^5,'Reaction Information'!$Q$33,$D$20,$D$19=3))*41.84)</f>
        <v>#N/A</v>
      </c>
      <c r="BS48" s="1">
        <f>Results!AW50</f>
        <v>0</v>
      </c>
      <c r="BT48" s="1">
        <f>Results!AX50</f>
        <v>0</v>
      </c>
      <c r="BU48" s="1">
        <f>Results!AY50</f>
        <v>0</v>
      </c>
      <c r="BV48" s="1">
        <f>Results!AZ50</f>
        <v>0</v>
      </c>
      <c r="BW48" s="1" t="e">
        <f>IF(OR(ISNA('Reaction Information'!$D$38), $N48 = "", $D$27 = FALSE, 'Reaction Information'!$D$38 = ""), NA(), 24.465)</f>
        <v>#N/A</v>
      </c>
      <c r="BX48" s="1" t="e">
        <f>IF(OR(ISNA('Reaction Information'!$D$42), $N48 = "", $D$27 = FALSE, 'Reaction Information'!$D$42 = ""), NA(), 24.465)</f>
        <v>#N/A</v>
      </c>
      <c r="BY48" s="8" t="e">
        <f t="shared" si="18"/>
        <v>#N/A</v>
      </c>
      <c r="BZ48" s="8">
        <f>IF(OR(ISBLANK(Input!$BK$4),$D$27=FALSE),NA(),('Reaction Information'!$J$46/10+'Reaction Information'!$K$46*100/(Calculations!$C$12+Calculations!$M48)+('Reaction Information'!$L$46+'Reaction Information'!$M$46*10000/(Calculations!$C$12+Calculations!$M48))/(Calculations!$O48-Calculations!$C$13)-calculateOmega(Calculations!M48,Calculations!N48,Calculations!Q48,'Reaction Information'!$C$46,'Reaction Information'!$P$46*10^5,'Reaction Information'!$Q$46)*Calculations!$U48*10^-6 + (1/$S48 - 1)*calculate_domegadP(Calculations!M48,Calculations!N48,Calculations!Q48,'Reaction Information'!$C$46,'Reaction Information'!$P$46*10^5,'Reaction Information'!$Q$46,$D$20,$D$19=3))*41.84)</f>
        <v>0</v>
      </c>
      <c r="CA48" s="8">
        <f>IF(OR(ISBLANK(Input!$BN$4),$D$27=FALSE),NA(),('Reaction Information'!$J$50/10+'Reaction Information'!$K$50*100/(Calculations!$C$12+Calculations!$M48)+('Reaction Information'!$L$50+'Reaction Information'!$M$50*10000/(Calculations!$C$12+Calculations!$M48))/(Calculations!$O48-Calculations!$C$13)-calculateOmega(Calculations!M48,Calculations!N48,Calculations!Q48,'Reaction Information'!$C$50,'Reaction Information'!$P$50*10^5,'Reaction Information'!$Q$50)*Calculations!$U48*10^-6 + (1/$S48 - 1)*calculate_domegadP(Calculations!M48,Calculations!N48,Calculations!Q48,'Reaction Information'!$C$50,'Reaction Information'!$P$50*10^5,'Reaction Information'!$Q$50,$D$20,$D$19=3))*41.84)</f>
        <v>25.644681835961315</v>
      </c>
      <c r="CB48" s="8" t="e">
        <f>IF(OR(ISBLANK(Input!$BQ$4),$D$27=FALSE),NA(),('Reaction Information'!$J$54/10+'Reaction Information'!$K$54*100/(Calculations!$C$12+Calculations!$M48)+('Reaction Information'!$L$54+'Reaction Information'!$M$54*10000/(Calculations!$C$12+Calculations!$M48))/(Calculations!$O48-Calculations!$C$13)-calculateOmega(Calculations!M48,Calculations!N48,Calculations!Q48,'Reaction Information'!$C$54,'Reaction Information'!$P$54*10^5,'Reaction Information'!$Q$54)*Calculations!$U48*10^-6 + (1/$S48 - 1)*calculate_domegadP(Calculations!M48,Calculations!N48,Calculations!Q48,'Reaction Information'!$C$54,'Reaction Information'!$P$54*10^5,'Reaction Information'!$Q$54,$D$20,$D$19=3))*41.84)</f>
        <v>#N/A</v>
      </c>
      <c r="CC48" s="8" t="e">
        <f>IF(OR(ISBLANK(Input!$BT$4),$D$27=FALSE),NA(),('Reaction Information'!$J$58/10+'Reaction Information'!$K$58*100/(Calculations!$C$12+Calculations!$M48)+('Reaction Information'!$L$58+'Reaction Information'!$M$58*10000/(Calculations!$C$12+Calculations!$M48))/(Calculations!$O48-Calculations!$C$13)-calculateOmega(Calculations!M48,Calculations!N48,Calculations!Q48,'Reaction Information'!$C$58,'Reaction Information'!$P$58*10^5,'Reaction Information'!$Q$58)*Calculations!$U48*10^-6 + (1/$S48 - 1)*calculate_domegadP(Calculations!M48,Calculations!N48,Calculations!Q48,'Reaction Information'!$C$58,'Reaction Information'!$P$58*10^5,'Reaction Information'!$Q$58,$D$20,$D$19=3))*41.84)</f>
        <v>#N/A</v>
      </c>
      <c r="CD48" s="8" t="e">
        <f>IF(OR(ISBLANK(Input!$BW$4),$D$27=FALSE),NA(),('Reaction Information'!$J$62/10+'Reaction Information'!$K$62*100/(Calculations!$C$12+Calculations!$M48)+('Reaction Information'!$L$62+'Reaction Information'!$M$62*10000/(Calculations!$C$12+Calculations!$M48))/(Calculations!$O48-Calculations!$C$13)-calculateOmega(Calculations!M48,Calculations!N48,Calculations!Q48,'Reaction Information'!$C$62,'Reaction Information'!$P$62*10^5,'Reaction Information'!$Q$62)*Calculations!$U48*10^-6 + (1/$S48 - 1)*calculate_domegadP(Calculations!M48,Calculations!N48,Calculations!Q48,'Reaction Information'!$C$62,'Reaction Information'!$P$62*10^5,'Reaction Information'!$Q$62,$D$20,$D$19=3))*41.84)</f>
        <v>#N/A</v>
      </c>
      <c r="CE48" s="8" t="e">
        <f>IF(OR(ISBLANK(Input!$BZ$4),$D$27=FALSE),NA(),('Reaction Information'!$J$66/10+'Reaction Information'!$K$66*100/(Calculations!$C$12+Calculations!$M48)+('Reaction Information'!$L$66+'Reaction Information'!$M$66*10000/(Calculations!$C$12+Calculations!$M48))/(Calculations!$O48-Calculations!$C$13)-calculateOmega(Calculations!M48,Calculations!N48,Calculations!Q48,'Reaction Information'!$C$66,'Reaction Information'!$P$66*10^5,'Reaction Information'!$Q$66)*Calculations!$U48*10^-6 + (1/$S48 - 1)*calculate_domegadP(Calculations!M48,Calculations!N48,Calculations!Q48,'Reaction Information'!$C$66,'Reaction Information'!$P$66*10^5,'Reaction Information'!$Q$66,$D$20,$D$19=3))*41.84)</f>
        <v>#N/A</v>
      </c>
      <c r="CF48" s="31">
        <f>(BS48*Input!$AO$4+BT48*Input!$AR$4+BU48*Input!$AU$4+BV48*Input!$AX$4+IF(ISNA(BW48),0,BW48*Input!$BA$4)+IF(ISNA(BX48),0,BX48*Input!$BD$4)+IF(ISNA(BY48),0,BY48*Input!$BG$4)+IF(ISNA(BZ48),0,BZ48*Input!$BJ$4)+IF(ISNA(CA48),0,CA48*Input!$BM$4)+IF(ISNA(CB48),0,CB48*Input!$BP$4)+IF(ISNA(CC48),0,CC48*Input!$BS$4)+IF(ISNA(CD48),0,CD48*Input!$BV$4)+IF(ISNA(CE48),0,CE48*Input!$BY$4))-(BF48*Input!$B$4+BG48*Input!$E$4+BH48*Input!$H$4+BI48*Input!$K$4+IF(ISNA(BJ48),0,BJ48*Input!$N$4)+IF(ISNA(BK48),0,BK48*Input!$Q$4)+IF(ISNA(BL48),0,BL48*Input!$T$4)+IF(ISNA(BM48),0,BM48*Input!$W$4)+IF(ISNA(BN48),0,BN48*Input!$Z$4)+IF(ISNA(BO48),0,BO48*Input!$AC$4)+IF(ISNA(BP48),0,BP48*Input!$AF$4)+IF(ISNA(BQ48),0,BQ48*Input!$AI$4)+IF(ISNA(BR48),0,BR48*Input!$AL$4))</f>
        <v>-27.204786117094407</v>
      </c>
      <c r="CG48" s="1">
        <f t="shared" si="12"/>
        <v>900</v>
      </c>
      <c r="CH48" s="46">
        <f t="shared" si="13"/>
        <v>15000</v>
      </c>
      <c r="CI48" s="1"/>
    </row>
    <row r="49" spans="1:87" x14ac:dyDescent="0.2">
      <c r="A49" s="1"/>
      <c r="B49" s="7">
        <v>3</v>
      </c>
      <c r="C49" s="266" t="s">
        <v>481</v>
      </c>
      <c r="D49" s="268"/>
      <c r="E49" s="1"/>
      <c r="F49" s="2">
        <v>44</v>
      </c>
      <c r="G49" s="1" t="str">
        <f>IF(ISBLANK(Input!CB49), "", Input!CB49*1000)</f>
        <v/>
      </c>
      <c r="H49" s="1" t="str">
        <f>IF(ISBLANK(Input!CC49), "", Input!CC49)</f>
        <v/>
      </c>
      <c r="I49" s="1">
        <f>IF(Input!$CF$5 + Input!$CF$6*(FLOOR((Calculations!$F49-1)/(FLOOR((Input!$CF$12-Input!$CF$10)/Input!$CF$11,1)+1),1)) &gt; Input!$CF$7, "", (Input!$CF$5 + Input!$CF$6*(FLOOR((Calculations!$F49-1)/(FLOOR((Input!$CF$12-Input!$CF$10)/Input!$CF$11,1)+1),1)))*1000)</f>
        <v>15000</v>
      </c>
      <c r="J49" s="1">
        <f>IF(Calculations!I49 = "", "", Input!$CF$10 + Input!$CF$11*(Calculations!$F49-1) - (FLOOR((Input!$CF$12-Input!$CF$10)/Input!$CF$11,1)+1)*Input!$CF$11*FLOOR((Calculations!$F49-1)/(FLOOR((Input!$CF$12-Input!$CF$10)/Input!$CF$11,1)+1),1))</f>
        <v>950</v>
      </c>
      <c r="K49" s="8" t="str">
        <f t="shared" si="14"/>
        <v/>
      </c>
      <c r="L49" s="117" t="str">
        <f>IF(OR(Input!$CJ$5 + Input!$CJ$6*(Calculations!F49-1) &gt; Input!$CJ$7, Input!$CJ$5 + Input!$CJ$6*(Calculations!F49-1) &gt; 350), "", Input!$CJ$5 + Input!$CJ$6*(Calculations!F49-1))</f>
        <v/>
      </c>
      <c r="M49" s="1">
        <f t="shared" si="2"/>
        <v>15000</v>
      </c>
      <c r="N49" s="1">
        <f t="shared" si="3"/>
        <v>950</v>
      </c>
      <c r="O49" s="1">
        <f t="shared" si="15"/>
        <v>1223.1500000000001</v>
      </c>
      <c r="P49" s="1" t="e">
        <f>IF(OR($D$20=3,AND($D$21=TRUE,M49&lt;1000)),INDEX('Water Density'!$C$6:$CX$120,MATCH(Calculations!N49,'Water Density'!$B$6:$B$120),MATCH(Calculations!M49/1000,'Water Density'!$C$5:$CX$5)),NA())</f>
        <v>#N/A</v>
      </c>
      <c r="Q49" s="182">
        <f>IF(OR($D$20=3,AND($D$21=TRUE,M49&lt;1000)), IF(P49&lt;&gt;0,P49,NA()), calculateDensity(M49,N49,$D$20,0.01,$D$19 = 3))</f>
        <v>0.93185485821127878</v>
      </c>
      <c r="R49" s="1" t="e">
        <f>IF($D$22=5,INDEX('Dielectric Constant'!$C$6:$CX$120,MATCH(Calculations!N49,'Dielectric Constant'!$B$6:$B$120),MATCH(Calculations!M49/1000,'Dielectric Constant'!$C$5:$CX$5)),NA())</f>
        <v>#N/A</v>
      </c>
      <c r="S49" s="58">
        <f>IF($D$22=5, IF(R49&lt;&gt;0,R49,NA()), IF(AND($D$23,M49&lt;=5000,$D$19 &lt;&gt; 3),calculateEpsilon(Q49,N49,1,FALSE),calculateEpsilon(Q49,N49,$D$22,$D$19 = 3)))</f>
        <v>11.682689750806061</v>
      </c>
      <c r="T49" s="1" t="e">
        <f>IF($D$24=3,INDEX('Water Free Energy'!$C$6:$CX$120,MATCH(Calculations!N49,'Water Free Energy'!$B$6:$B$120),MATCH(Calculations!M49/1000,'Water Free Energy'!$C$5:$CX$5)),NA())</f>
        <v>#N/A</v>
      </c>
      <c r="U49" s="179">
        <f>IF($D$27,calculateQ(M49,N49,Q49,$D$20,$D$22,$D$19=3)*10^6,NA())</f>
        <v>1.3372366236972717</v>
      </c>
      <c r="V49"/>
      <c r="W49" s="2">
        <f t="shared" si="5"/>
        <v>15000</v>
      </c>
      <c r="X49" s="1">
        <f t="shared" si="6"/>
        <v>950</v>
      </c>
      <c r="Y49" s="1">
        <f>Results!F51</f>
        <v>0</v>
      </c>
      <c r="Z49" s="1">
        <f>Results!G51</f>
        <v>0</v>
      </c>
      <c r="AA49" s="1">
        <f>Results!H51</f>
        <v>0</v>
      </c>
      <c r="AB49" s="1">
        <f>Results!I51</f>
        <v>0</v>
      </c>
      <c r="AC49" s="1" t="e">
        <f>IF(ISBLANK(Input!$O$4),NA(),'Reaction Information'!$E$5-'Reaction Information'!$G$5*(Calculations!$O49-Calculations!$C$8)+'Reaction Information'!$I$5*(Calculations!$O49-Calculations!$C$8-Calculations!$O49*LN(Calculations!$O49/Calculations!$C$8))+'Reaction Information'!$J$5*0.001/2*(2*Calculations!$O49*Calculations!$C$8-Calculations!$O49^2-Calculations!$C$8^2) + 'Reaction Information'!$K$5*100000*(Calculations!$O49^2 + Calculations!$C$8^2 - 2*Calculations!$O49*Calculations!$C$8)/(2*Calculations!$O49*Calculations!$C$8^2))</f>
        <v>#N/A</v>
      </c>
      <c r="AD49" s="8" t="e">
        <f>IF(ISBLANK(Input!$R$4),NA(),'Reaction Information'!$E$9-'Reaction Information'!$G$9*(Calculations!$O49-Calculations!$C$8)+'Reaction Information'!$I$9*(Calculations!$O49-Calculations!$C$8-Calculations!$O49*LN(Calculations!$O49/Calculations!$C$8))+'Reaction Information'!$J$9*0.001/2*(2*Calculations!$O49*Calculations!$C$8-Calculations!$O49^2-Calculations!$C$8^2) + 'Reaction Information'!$K$9*100000*(Calculations!$O49^2 + Calculations!$C$8^2 - 2*Calculations!$O49*Calculations!$C$8)/(2*Calculations!$O49*Calculations!$C$8^2))</f>
        <v>#N/A</v>
      </c>
      <c r="AE49" s="8">
        <f>IF(AE$5="H2O",IF($D$24=3,IF(T49=0,NA(),T49),calculateGibbsOfWater(M49,N49,$D$24,$D$20,$D$19=3)),NA())</f>
        <v>-76895.751107335673</v>
      </c>
      <c r="AF49" s="8">
        <f>IF(ISBLANK(Input!$X$4),NA(),'Reaction Information'!$E$13-'Reaction Information'!$G$13*(Calculations!O49-Calculations!$C$8)-'Reaction Information'!$N$13*(Calculations!O49*LN(Calculations!O49/Calculations!$C$8)-Calculations!O49+Calculations!$C$8)-'Reaction Information'!$O$13*10^4*(((1/(Calculations!O49-Calculations!$C$13))-(1/(Calculations!$C$8-Calculations!$C$13)))*((Calculations!$C$13-Calculations!O49)/(Calculations!$C$13))-(Calculations!O49/(Calculations!$C$13*Calculations!$C$13))*LN((Calculations!$C$8*(Calculations!O49-Calculations!$C$13))/(Calculations!O49*(Calculations!$C$8-Calculations!$C$13))))+'Reaction Information'!$J$13*10^-1*(Calculations!M49-Calculations!$C$9)+'Reaction Information'!$K$13*10^2*LN((Calculations!$C$12+Calculations!M49)/(Calculations!$C$12+Calculations!$C$9))+(1/(Calculations!O49-Calculations!$C$13))*('Reaction Information'!$L$13*(Calculations!M49-Calculations!$C$9)+'Reaction Information'!$M$13*10^4*LN((Calculations!$C$12+Calculations!M49)/(Calculations!$C$12+Calculations!$C$9)))+calculateOmega(Calculations!M49,Calculations!N49,Calculations!Q49,'Reaction Information'!$C$13,'Reaction Information'!$P$13*10^5,'Reaction Information'!$Q$13)*((1/Calculations!S49)-1)-'Reaction Information'!$P$13*10^5*((1/Calculations!$C$10)-1)+'Reaction Information'!$P$13*10^5*Calculations!$C$14*(Calculations!O49-Calculations!$C$8))</f>
        <v>-123063.08611635391</v>
      </c>
      <c r="AG49" s="8" t="e">
        <f>IF(ISBLANK(Input!$AA$4),NA(),'Reaction Information'!$E$17-'Reaction Information'!$G$17*(Calculations!$O49-Calculations!$C$8)-'Reaction Information'!$N$17*(Calculations!$O49*LN(Calculations!$O49/Calculations!$C$8)-Calculations!$O49+Calculations!$C$8)-'Reaction Information'!$O$17*10^4*(((1/(Calculations!$O49-Calculations!$C$13))-(1/(Calculations!$C$8-Calculations!$C$13)))*((Calculations!$C$13-Calculations!$O49)/(Calculations!$C$13))-(Calculations!$O49/(Calculations!$C$13*Calculations!$C$13))*LN((Calculations!$C$8*(Calculations!$O49-Calculations!$C$13))/(Calculations!$O49*(Calculations!$C$8-Calculations!$C$13))))+'Reaction Information'!$J$17*10^-1*(Calculations!$M49-Calculations!$C$9)+'Reaction Information'!$K$17*10^2*LN((Calculations!$C$12+Calculations!$M49)/(Calculations!$C$12+Calculations!$C$9))+(1/(Calculations!$O49-Calculations!$C$13))*('Reaction Information'!$L$17*(Calculations!$M49-Calculations!$C$9)+'Reaction Information'!$M$17*10^4*LN((Calculations!$C$12+Calculations!$M49)/(Calculations!$C$12+Calculations!$C$9)))+calculateOmega(Calculations!M49,Calculations!N49,Calculations!Q49,'Reaction Information'!$C$17,'Reaction Information'!$P$17*10^5,'Reaction Information'!$Q$17)*((1/Calculations!$S49)-1)-'Reaction Information'!$P$17*10^5*((1/Calculations!$C$10)-1)+'Reaction Information'!$P$17*10^5*Calculations!$C$14*(Calculations!$O49-Calculations!$C$8))</f>
        <v>#N/A</v>
      </c>
      <c r="AH49" s="8" t="e">
        <f>IF(ISBLANK(Input!$AD$4),NA(),'Reaction Information'!$E$21-'Reaction Information'!$G$21*(Calculations!$O49-Calculations!$C$8)-'Reaction Information'!$N$21*(Calculations!$O49*LN(Calculations!$O49/Calculations!$C$8)-Calculations!$O49+Calculations!$C$8)-'Reaction Information'!$O$21*10^4*(((1/(Calculations!$O49-Calculations!$C$13))-(1/(Calculations!$C$8-Calculations!$C$13)))*((Calculations!$C$13-Calculations!$O49)/(Calculations!$C$13))-(Calculations!$O49/(Calculations!$C$13*Calculations!$C$13))*LN((Calculations!$C$8*(Calculations!$O49-Calculations!$C$13))/(Calculations!$O49*(Calculations!$C$8-Calculations!$C$13))))+'Reaction Information'!$J$21*10^-1*(Calculations!$M49-Calculations!$C$9)+'Reaction Information'!$K$21*10^2*LN((Calculations!$C$12+Calculations!$M49)/(Calculations!$C$12+Calculations!$C$9))+(1/(Calculations!$O49-Calculations!$C$13))*('Reaction Information'!$L$21*(Calculations!$M49-Calculations!$C$9)+'Reaction Information'!$M$21*10^4*LN((Calculations!$C$12+Calculations!$M49)/(Calculations!$C$12+Calculations!$C$9)))+calculateOmega(Calculations!M49,Calculations!N49,Calculations!Q49,'Reaction Information'!$C$21,'Reaction Information'!$P$21*10^5,'Reaction Information'!$Q$21)*((1/Calculations!$S49)-1)-'Reaction Information'!$P$21*10^5*((1/Calculations!$C$10)-1)+'Reaction Information'!$P$21*10^5*Calculations!$C$14*(Calculations!$O49-Calculations!$C$8))</f>
        <v>#N/A</v>
      </c>
      <c r="AI49" s="8" t="e">
        <f>IF(ISBLANK(Input!$AG$4),NA(),'Reaction Information'!$E$25-'Reaction Information'!$G$25*(Calculations!$O49-Calculations!$C$8)-'Reaction Information'!$N$25*(Calculations!$O49*LN(Calculations!$O49/Calculations!$C$8)-Calculations!$O49+Calculations!$C$8)-'Reaction Information'!$O$25*10^4*(((1/(Calculations!$O49-Calculations!$C$13))-(1/(Calculations!$C$8-Calculations!$C$13)))*((Calculations!$C$13-Calculations!$O49)/(Calculations!$C$13))-(Calculations!$O49/(Calculations!$C$13*Calculations!$C$13))*LN((Calculations!$C$8*(Calculations!$O49-Calculations!$C$13))/(Calculations!$O49*(Calculations!$C$8-Calculations!$C$13))))+'Reaction Information'!$J$25*10^-1*(Calculations!$M49-Calculations!$C$9)+'Reaction Information'!$K$25*10^2*LN((Calculations!$C$12+Calculations!$M49)/(Calculations!$C$12+Calculations!$C$9))+(1/(Calculations!$O49-Calculations!$C$13))*('Reaction Information'!$L$25*(Calculations!$M49-Calculations!$C$9)+'Reaction Information'!$M$25*10^4*LN((Calculations!$C$12+Calculations!$M49)/(Calculations!$C$12+Calculations!$C$9)))+calculateOmega(Calculations!M49,Calculations!N49,Calculations!Q49,'Reaction Information'!$C$25,'Reaction Information'!$P$25*10^5,'Reaction Information'!$Q$25)*((1/Calculations!$S49)-1)-'Reaction Information'!$P$25*10^5*((1/Calculations!$C$10)-1)+'Reaction Information'!$P$25*10^5*Calculations!$C$14*(Calculations!$O49-Calculations!$C$8))</f>
        <v>#N/A</v>
      </c>
      <c r="AJ49" s="8" t="e">
        <f>IF(ISBLANK(Input!$AJ$4),NA(),'Reaction Information'!$E$29-'Reaction Information'!$G$29*(Calculations!$O49-Calculations!$C$8)-'Reaction Information'!$N$29*(Calculations!$O49*LN(Calculations!$O49/Calculations!$C$8)-Calculations!$O49+Calculations!$C$8)-'Reaction Information'!$O$29*10^4*(((1/(Calculations!$O49-Calculations!$C$13))-(1/(Calculations!$C$8-Calculations!$C$13)))*((Calculations!$C$13-Calculations!$O49)/(Calculations!$C$13))-(Calculations!$O49/(Calculations!$C$13*Calculations!$C$13))*LN((Calculations!$C$8*(Calculations!$O49-Calculations!$C$13))/(Calculations!$O49*(Calculations!$C$8-Calculations!$C$13))))+'Reaction Information'!$J$29*10^-1*(Calculations!$M49-Calculations!$C$9)+'Reaction Information'!$K$29*10^2*LN((Calculations!$C$12+Calculations!$M49)/(Calculations!$C$12+Calculations!$C$9))+(1/(Calculations!$O49-Calculations!$C$13))*('Reaction Information'!$L$29*(Calculations!$M49-Calculations!$C$9)+'Reaction Information'!$M$29*10^4*LN((Calculations!$C$12+Calculations!$M49)/(Calculations!$C$12+Calculations!$C$9)))+calculateOmega(Calculations!M49,Calculations!N49,Calculations!Q49,'Reaction Information'!$C$29,'Reaction Information'!$P$29*10^5,'Reaction Information'!$Q$29)*((1/Calculations!$S49)-1)-'Reaction Information'!$P$29*10^5*((1/Calculations!$C$10)-1)+'Reaction Information'!$P$29*10^5*Calculations!$C$14*(Calculations!$O49-Calculations!$C$8))</f>
        <v>#N/A</v>
      </c>
      <c r="AK49" s="8" t="e">
        <f>IF(ISBLANK(Input!$AM$4),NA(),'Reaction Information'!$E$33-'Reaction Information'!$G$33*(Calculations!$O49-Calculations!$C$8)-'Reaction Information'!$N$33*(Calculations!$O49*LN(Calculations!$O49/Calculations!$C$8)-Calculations!$O49+Calculations!$C$8)-'Reaction Information'!$O$33*10^4*(((1/(Calculations!$O49-Calculations!$C$13))-(1/(Calculations!$C$8-Calculations!$C$13)))*((Calculations!$C$13-Calculations!$O49)/(Calculations!$C$13))-(Calculations!$O49/(Calculations!$C$13*Calculations!$C$13))*LN((Calculations!$C$8*(Calculations!$O49-Calculations!$C$13))/(Calculations!$O49*(Calculations!$C$8-Calculations!$C$13))))+'Reaction Information'!$J$33*10^-1*(Calculations!$M49-Calculations!$C$9)+'Reaction Information'!$K$33*10^2*LN((Calculations!$C$12+Calculations!$M49)/(Calculations!$C$12+Calculations!$C$9))+(1/(Calculations!$O49-Calculations!$C$13))*('Reaction Information'!$L$33*(Calculations!$M49-Calculations!$C$9)+'Reaction Information'!$M$33*10^4*LN((Calculations!$C$12+Calculations!$M49)/(Calculations!$C$12+Calculations!$C$9)))+calculateOmega(Calculations!M49,Calculations!N49,Calculations!Q49,'Reaction Information'!$C$33,'Reaction Information'!$P$33*10^5,'Reaction Information'!$Q$33)*((1/Calculations!$S49)-1)-'Reaction Information'!$P$33*10^5*((1/Calculations!$C$10)-1)+'Reaction Information'!$P$33*10^5*Calculations!$C$14*(Calculations!$O49-Calculations!$C$8))</f>
        <v>#N/A</v>
      </c>
      <c r="AL49" s="1">
        <f>Results!S51</f>
        <v>0</v>
      </c>
      <c r="AM49" s="1">
        <f>Results!T51</f>
        <v>0</v>
      </c>
      <c r="AN49" s="1">
        <f>Results!U51</f>
        <v>0</v>
      </c>
      <c r="AO49" s="1">
        <f>Results!V51</f>
        <v>0</v>
      </c>
      <c r="AP49" s="8" t="e">
        <f>IF(ISBLANK(Input!$BB$4),NA(),'Reaction Information'!$E$38-'Reaction Information'!$G$38*(Calculations!$O49-Calculations!$C$8)+'Reaction Information'!$I$38*(Calculations!$O49-Calculations!$C$8-Calculations!$O49*LN(Calculations!$O49/Calculations!$C$8))+'Reaction Information'!$J$38*0.001/2*(2*Calculations!$O49*Calculations!$C$8-Calculations!$O49^2-Calculations!$C$8^2) + 'Reaction Information'!$K$38*100000*(Calculations!$O49^2 + Calculations!$C$8^2 - 2*Calculations!$O49*Calculations!$C$8)/(2*Calculations!$O49*Calculations!$C$8^2))</f>
        <v>#N/A</v>
      </c>
      <c r="AQ49" s="8" t="e">
        <f>IF(ISBLANK(Input!$BE$4),NA(),'Reaction Information'!$E$42-'Reaction Information'!$G$42*(Calculations!$O49-Calculations!$C$8)+'Reaction Information'!$I$42*(Calculations!$O49-Calculations!$C$8-Calculations!$O49*LN(Calculations!$O49/Calculations!$C$8))+'Reaction Information'!$J$42*0.001/2*(2*Calculations!$O49*Calculations!$C$8-Calculations!$O49^2-Calculations!$C$8^2) + 'Reaction Information'!$K$42*100000*(Calculations!$O49^2 + Calculations!$C$8^2 - 2*Calculations!$O49*Calculations!$C$8)/(2*Calculations!$O49*Calculations!$C$8^2))</f>
        <v>#N/A</v>
      </c>
      <c r="AR49" s="8" t="e">
        <f>IF(AR$5="H2O", IF($D$24=3,IF(T49=0,NA(),T49),calculateGibbsOfWater(M49,N49,$D$24,$D$20,$D$19=3)),NA())</f>
        <v>#N/A</v>
      </c>
      <c r="AS49" s="8">
        <f>IF(ISBLANK(Input!$BK$4),NA(),'Reaction Information'!$E$46-'Reaction Information'!$G$46*(Calculations!O49-Calculations!$C$8)-'Reaction Information'!$N$46*(Calculations!O49*LN(Calculations!O49/Calculations!$C$8)-Calculations!O49+Calculations!$C$8)-'Reaction Information'!$O$46*10^4*(((1/(Calculations!O49-Calculations!$C$13))-(1/(Calculations!$C$8-Calculations!$C$13)))*((Calculations!$C$13-Calculations!O49)/(Calculations!$C$13))-(Calculations!O49/(Calculations!$C$13*Calculations!$C$13))*LN((Calculations!$C$8*(Calculations!O49-Calculations!$C$13))/(Calculations!O49*(Calculations!$C$8-Calculations!$C$13))))+'Reaction Information'!$J$46*10^-1*(Calculations!$M49-Calculations!$C$9)+'Reaction Information'!$K$46*10^2*LN((Calculations!$C$12+Calculations!$M49)/(Calculations!$C$12+Calculations!$C$9))+(1/(Calculations!O49-Calculations!$C$13))*('Reaction Information'!$L$46*(Calculations!$M49-Calculations!$C$9)+'Reaction Information'!$M$46*10^4*LN((Calculations!$C$12+Calculations!$M49)/(Calculations!$C$12+Calculations!$C$9)))+calculateOmega(Calculations!M49,Calculations!N49,Calculations!Q49,'Reaction Information'!$C$46,'Reaction Information'!$P$46*10^5,'Reaction Information'!$Q$46)*((1/Calculations!S49)-1)-'Reaction Information'!$P$46*10^5*((1/Calculations!$C$10)-1)+'Reaction Information'!$P$46*10^5*Calculations!$C$14*(Calculations!O49-Calculations!$C$8))</f>
        <v>0</v>
      </c>
      <c r="AT49" s="8">
        <f>IF(ISBLANK(Input!$BN$4),NA(),'Reaction Information'!$E$50-'Reaction Information'!$G$50*(Calculations!O49-Calculations!$C$8)-'Reaction Information'!$N$50*(Calculations!O49*LN(Calculations!O49/Calculations!$C$8)-Calculations!O49+Calculations!$C$8)-'Reaction Information'!$O$50*10^4*(((1/(Calculations!O49-Calculations!$C$13))-(1/(Calculations!$C$8-Calculations!$C$13)))*((Calculations!$C$13-Calculations!O49)/(Calculations!$C$13))-(Calculations!O49/(Calculations!$C$13*Calculations!$C$13))*LN((Calculations!$C$8*(Calculations!O49-Calculations!$C$13))/(Calculations!O49*(Calculations!$C$8-Calculations!$C$13))))+'Reaction Information'!$J$50*10^-1*(Calculations!$M49-Calculations!$C$9)+'Reaction Information'!$K$50*10^2*LN((Calculations!$C$12+Calculations!$M49)/(Calculations!$C$12+Calculations!$C$9))+(1/(Calculations!O49-Calculations!$C$13))*('Reaction Information'!$L$50*(Calculations!$M49-Calculations!$C$9)+'Reaction Information'!$M$50*10^4*LN((Calculations!$C$12+Calculations!$M49)/(Calculations!$C$12+Calculations!$C$9)))+calculateOmega(Calculations!M49,Calculations!N49,Calculations!Q49,'Reaction Information'!$C$50,'Reaction Information'!$P$50*10^5,'Reaction Information'!$Q$50)*((1/Calculations!S49)-1)-'Reaction Information'!$P$50*10^5*((1/Calculations!$C$10)-1)+'Reaction Information'!$P$50*10^5*Calculations!$C$14*(Calculations!O49-Calculations!$C$8))</f>
        <v>-155724.59393484748</v>
      </c>
      <c r="AU49" s="8" t="e">
        <f>IF(ISBLANK(Input!$BQ$4),NA(),'Reaction Information'!$E$54-'Reaction Information'!$G$54*(Calculations!$O49-Calculations!$C$8)-'Reaction Information'!$N$54*(Calculations!$O49*LN(Calculations!$O49/Calculations!$C$8)-Calculations!$O49+Calculations!$C$8)-'Reaction Information'!$O$54*10^4*(((1/(Calculations!$O49-Calculations!$C$13))-(1/(Calculations!$C$8-Calculations!$C$13)))*((Calculations!$C$13-Calculations!$O49)/(Calculations!$C$13))-(Calculations!$O49/(Calculations!$C$13*Calculations!$C$13))*LN((Calculations!$C$8*(Calculations!$O49-Calculations!$C$13))/(Calculations!$O49*(Calculations!$C$8-Calculations!$C$13))))+'Reaction Information'!$J$54*10^-1*(Calculations!$M49-Calculations!$C$9)+'Reaction Information'!$K$54*10^2*LN((Calculations!$C$12+Calculations!$M49)/(Calculations!$C$12+Calculations!$C$9))+(1/(Calculations!$O49-Calculations!$C$13))*('Reaction Information'!$L$54*(Calculations!$M49-Calculations!$C$9)+'Reaction Information'!$M$54*10^4*LN((Calculations!$C$12+Calculations!$M49)/(Calculations!$C$12+Calculations!$C$9)))+calculateOmega(Calculations!M49,Calculations!N49,Calculations!Q49,'Reaction Information'!$C$54,'Reaction Information'!$P$54*10^5,'Reaction Information'!$Q$54)*((1/Calculations!$S49)-1)-'Reaction Information'!$P$54*10^5*((1/Calculations!$C$10)-1)+'Reaction Information'!$P$54*10^5*Calculations!$C$14*(Calculations!$O49-Calculations!$C$8))</f>
        <v>#N/A</v>
      </c>
      <c r="AV49" s="8" t="e">
        <f>IF(ISBLANK(Input!$BT$4),NA(),'Reaction Information'!$E$58-'Reaction Information'!$G$58*(Calculations!$O49-Calculations!$C$8)-'Reaction Information'!$N$58*(Calculations!$O49*LN(Calculations!$O49/Calculations!$C$8)-Calculations!$O49+Calculations!$C$8)-'Reaction Information'!$O$58*10^4*(((1/(Calculations!$O49-Calculations!$C$13))-(1/(Calculations!$C$8-Calculations!$C$13)))*((Calculations!$C$13-Calculations!$O49)/(Calculations!$C$13))-(Calculations!$O49/(Calculations!$C$13*Calculations!$C$13))*LN((Calculations!$C$8*(Calculations!$O49-Calculations!$C$13))/(Calculations!$O49*(Calculations!$C$8-Calculations!$C$13))))+'Reaction Information'!$J$58*10^-1*(Calculations!$M49-Calculations!$C$9)+'Reaction Information'!$K$58*10^2*LN((Calculations!$C$12+Calculations!$M49)/(Calculations!$C$12+Calculations!$C$9))+(1/(Calculations!$O49-Calculations!$C$13))*('Reaction Information'!$L$58*(Calculations!$M49-Calculations!$C$9)+'Reaction Information'!$M$58*10^4*LN((Calculations!$C$12+Calculations!$M49)/(Calculations!$C$12+Calculations!$C$9)))+calculateOmega(Calculations!M49,Calculations!N49,Calculations!Q49,'Reaction Information'!$C$58,'Reaction Information'!$P$58*10^5,'Reaction Information'!$Q$58)*((1/Calculations!$S49)-1)-'Reaction Information'!$P$58*10^5*((1/Calculations!$C$10)-1)+'Reaction Information'!$P$58*10^5*Calculations!$C$14*(Calculations!$O49-Calculations!$C$8))</f>
        <v>#N/A</v>
      </c>
      <c r="AW49" s="8" t="e">
        <f>IF(ISBLANK(Input!$BW$4),NA(),'Reaction Information'!$E$62-'Reaction Information'!$G$62*(Calculations!$O49-Calculations!$C$8)-'Reaction Information'!$N$62*(Calculations!$O49*LN(Calculations!$O49/Calculations!$C$8)-Calculations!$O49+Calculations!$C$8)-'Reaction Information'!$O$62*10^4*(((1/(Calculations!$O49-Calculations!$C$13))-(1/(Calculations!$C$8-Calculations!$C$13)))*((Calculations!$C$13-Calculations!$O49)/(Calculations!$C$13))-(Calculations!$O49/(Calculations!$C$13*Calculations!$C$13))*LN((Calculations!$C$8*(Calculations!$O49-Calculations!$C$13))/(Calculations!$O49*(Calculations!$C$8-Calculations!$C$13))))+'Reaction Information'!$J$62*10^-1*(Calculations!$M49-Calculations!$C$9)+'Reaction Information'!$K$62*10^2*LN((Calculations!$C$12+Calculations!$M49)/(Calculations!$C$12+Calculations!$C$9))+(1/(Calculations!$O49-Calculations!$C$13))*('Reaction Information'!$L$62*(Calculations!$M49-Calculations!$C$9)+'Reaction Information'!$M$62*10^4*LN((Calculations!$C$12+Calculations!$M49)/(Calculations!$C$12+Calculations!$C$9)))+calculateOmega(Calculations!M49,Calculations!N49,Calculations!Q49,'Reaction Information'!$C$62,'Reaction Information'!$P$62*10^5,'Reaction Information'!$Q$62)*((1/Calculations!$S49)-1)-'Reaction Information'!$P$62*10^5*((1/Calculations!$C$10)-1)+'Reaction Information'!$P$62*10^5*Calculations!$C$14*(Calculations!$O49-Calculations!$C$8))</f>
        <v>#N/A</v>
      </c>
      <c r="AX49" s="8" t="e">
        <f>IF(ISBLANK(Input!$BZ$4),NA(),'Reaction Information'!$E$66-'Reaction Information'!$G$66*(Calculations!$O49-Calculations!$C$8)-'Reaction Information'!$N$66*(Calculations!$O49*LN(Calculations!$O49/Calculations!$C$8)-Calculations!$O49+Calculations!$C$8)-'Reaction Information'!$O$66*10^4*(((1/(Calculations!$O49-Calculations!$C$13))-(1/(Calculations!$C$8-Calculations!$C$13)))*((Calculations!$C$13-Calculations!$O49)/(Calculations!$C$13))-(Calculations!$O49/(Calculations!$C$13*Calculations!$C$13))*LN((Calculations!$C$8*(Calculations!$O49-Calculations!$C$13))/(Calculations!$O49*(Calculations!$C$8-Calculations!$C$13))))+'Reaction Information'!$J$66*10^-1*(Calculations!$M49-Calculations!$C$9)+'Reaction Information'!$K$66*10^2*LN((Calculations!$C$12+Calculations!$M49)/(Calculations!$C$12+Calculations!$C$9))+(1/(Calculations!$O49-Calculations!$C$13))*('Reaction Information'!$L$66*(Calculations!$M49-Calculations!$C$9)+'Reaction Information'!$M$66*10^4*LN((Calculations!$C$12+Calculations!$M49)/(Calculations!$C$12+Calculations!$C$9)))+calculateOmega(Calculations!M49,Calculations!N49,Calculations!Q49,'Reaction Information'!$C$66,'Reaction Information'!$P$66*10^5,'Reaction Information'!$Q$66)*((1/Calculations!$S49)-1)-'Reaction Information'!$P$66*10^5*((1/Calculations!$C$10)-1)+'Reaction Information'!$P$66*10^5*Calculations!$C$14*(Calculations!$O49-Calculations!$C$8))</f>
        <v>#N/A</v>
      </c>
      <c r="AY49" s="31">
        <f>(AL49*Input!$AO$4+AM49*Input!$AR$4+AN49*Input!$AU$4+AO49*Input!$AX$4+IF(ISNA(AP49),0,AP49*Input!$BA$4)+IF(ISNA(AQ49),0,AQ49*Input!$BD$4)+IF(ISNA(AR49),0,AR49*Input!$BG$4)+IF(ISNA(AS49),0,AS49*Input!$BJ$4)+IF(ISNA(AT49),0,AT49*Input!$BM$4)+IF(ISNA(AU49),0,AU49*Input!$BP$4)+IF(ISNA(AV49),0,AV49*Input!$BS$4)+IF(ISNA(AW49),0,AW49*Input!$BV$4)+IF(ISNA(AX49),0,AX49*Input!$BY$4))-(Y49*Input!$B$4+Z49*Input!$E$4+AA49*Input!$H$4+AB49*Input!$K$4+IF(ISNA(AC49),0,AC49*Input!$N$4)+IF(ISNA(AD49),0,AD49*Input!$Q$4)+IF(ISNA(AE49),0,AE49*Input!$T$4)+IF(ISNA(AF49),0,AF49*Input!$W$4)+IF(ISNA(AG49),0,AG49*Input!$Z$4)+IF(ISNA(AH49),0,AH49*Input!$AC$4)+IF(ISNA(AI49),0,AI49*Input!$AF$4)+IF(ISNA(AJ49),0,AJ49*Input!$AI$4)+IF(ISNA(AK49),0,AK49*Input!$AL$4))</f>
        <v>44234.243288842117</v>
      </c>
      <c r="AZ49" s="42">
        <f t="shared" si="16"/>
        <v>-7.9088029688510311</v>
      </c>
      <c r="BA49" s="1">
        <f t="shared" si="8"/>
        <v>950</v>
      </c>
      <c r="BB49" s="46">
        <f t="shared" si="9"/>
        <v>15000</v>
      </c>
      <c r="BC49" s="1"/>
      <c r="BD49" s="2">
        <f t="shared" si="10"/>
        <v>15000</v>
      </c>
      <c r="BE49" s="46">
        <f t="shared" si="11"/>
        <v>950</v>
      </c>
      <c r="BF49" s="1">
        <f>Results!AJ51</f>
        <v>0</v>
      </c>
      <c r="BG49" s="1">
        <f>Results!AK51</f>
        <v>0</v>
      </c>
      <c r="BH49" s="1">
        <f>Results!AL51</f>
        <v>0</v>
      </c>
      <c r="BI49" s="1">
        <f>Results!AM51</f>
        <v>0</v>
      </c>
      <c r="BJ49" s="1" t="e">
        <f>IF(OR(ISNA('Reaction Information'!$D$5), $N49 = "", $D$27 = FALSE, 'Reaction Information'!$D$5 = ""), NA(), 24.465)</f>
        <v>#N/A</v>
      </c>
      <c r="BK49" s="1" t="e">
        <f>IF(OR(ISNA('Reaction Information'!$D$9), $N49 = "", $D$27 = FALSE, 'Reaction Information'!$D$9 = ""), NA(), 24.465)</f>
        <v>#N/A</v>
      </c>
      <c r="BL49" s="8">
        <f t="shared" si="17"/>
        <v>19.332710283424213</v>
      </c>
      <c r="BM49" s="8">
        <f>IF(OR(ISBLANK(Input!$X$4),$D$27=FALSE),NA(),('Reaction Information'!$J$13/10+'Reaction Information'!$K$13*100/(Calculations!$C$12+Calculations!$M49)+('Reaction Information'!$L$13+'Reaction Information'!$M$13*10^4/(Calculations!$C$12+Calculations!$M49))/(Calculations!$O49-Calculations!$C$13) -calculateOmega(Calculations!$M49,Calculations!$N49,Calculations!$Q49,'Reaction Information'!$C$13,'Reaction Information'!$P$13*10^5,'Reaction Information'!$Q$13)*Calculations!$U49*10^-6 + (1/$S49 - 1)*calculate_domegadP(Calculations!$M49,Calculations!$N49,Calculations!$Q49,'Reaction Information'!$C$13,'Reaction Information'!$P$13*10^5,'Reaction Information'!$Q$13,$D$20,$D$19=3))*41.84)</f>
        <v>34.218865901146906</v>
      </c>
      <c r="BN49" s="8" t="e">
        <f>IF(OR(ISBLANK(Input!$AA$4),$D$27=FALSE),NA(),('Reaction Information'!$J$17/10+'Reaction Information'!$K$17*100/(Calculations!$C$12+Calculations!$M49)+('Reaction Information'!$L$17+'Reaction Information'!$M$17*10000/(Calculations!$C$12+Calculations!$M49))/(Calculations!$O49-Calculations!$C$13)-calculateOmega(Calculations!M49,Calculations!N49,Calculations!Q49,'Reaction Information'!$C$17,'Reaction Information'!$P$17*10^5,'Reaction Information'!$Q$17)*Calculations!$U49*10^-6 + (1/$S49 - 1)*calculate_domegadP(Calculations!M49,Calculations!N49,Calculations!Q49,'Reaction Information'!$C$17,'Reaction Information'!$P$17*10^5,'Reaction Information'!$Q$17,$D$20,$D$19=3))*41.84)</f>
        <v>#N/A</v>
      </c>
      <c r="BO49" s="8" t="e">
        <f>IF(OR(ISBLANK(Input!$AD$4),$D$27=FALSE),NA(),('Reaction Information'!$J$21/10+'Reaction Information'!$K$21*100/(Calculations!$C$12+Calculations!$M49)+('Reaction Information'!$L$21+'Reaction Information'!$M$21*10000/(Calculations!$C$12+Calculations!$M49))/(Calculations!$O49-Calculations!$C$13)-calculateOmega(Calculations!M49,Calculations!N49,Calculations!Q49,'Reaction Information'!$C$21,'Reaction Information'!$P$21*10^5,'Reaction Information'!$Q$21)*Calculations!$U49*10^-6 + (1/$S49 - 1)*calculate_domegadP(Calculations!M49,Calculations!N49,Calculations!Q49,'Reaction Information'!$C$21,'Reaction Information'!$P$21*10^5,'Reaction Information'!$Q$21,$D$20,$D$19=3))*41.84)</f>
        <v>#N/A</v>
      </c>
      <c r="BP49" s="8" t="e">
        <f>IF(OR(ISBLANK(Input!$AG$4),$D$27=FALSE),NA(),('Reaction Information'!$J$25/10+'Reaction Information'!$K$25*100/(Calculations!$C$12+Calculations!$M49)+('Reaction Information'!$L$25+'Reaction Information'!$M$25*10000/(Calculations!$C$12+Calculations!$M49))/(Calculations!$O49-Calculations!$C$13)-calculateOmega(Calculations!M49,Calculations!N49,Calculations!Q49,'Reaction Information'!$C$25,'Reaction Information'!$P$25*10^5,'Reaction Information'!$Q$25)*Calculations!$U49*10^-6 + (1/$S49 - 1)*calculate_domegadP(Calculations!M49,Calculations!N49,Calculations!Q49,'Reaction Information'!$C$25,'Reaction Information'!$P$25*10^5,'Reaction Information'!$Q$25,$D$20,$D$19=3))*41.84)</f>
        <v>#N/A</v>
      </c>
      <c r="BQ49" s="8" t="e">
        <f>IF(OR(ISBLANK(Input!$AJ$4),$D$27=FALSE),NA(),('Reaction Information'!$J$29/10+'Reaction Information'!$K$29*100/(Calculations!$C$12+Calculations!$M49)+('Reaction Information'!$L$29+'Reaction Information'!$M$29*10000/(Calculations!$C$12+Calculations!$M49))/(Calculations!$O49-Calculations!$C$13)-calculateOmega(Calculations!M49,Calculations!N49,Calculations!Q49,'Reaction Information'!$C$29,'Reaction Information'!$P$29*10^5,'Reaction Information'!$Q$29)*Calculations!$U49*10^-6 + (1/$S49 - 1)*calculate_domegadP(Calculations!M49,Calculations!N49,Calculations!Q49,'Reaction Information'!$C$29,'Reaction Information'!$P$29*10^5,'Reaction Information'!$Q$29,$D$20,$D$19=3))*41.84)</f>
        <v>#N/A</v>
      </c>
      <c r="BR49" s="8" t="e">
        <f>IF(OR(ISBLANK(Input!$AM$4),$D$27=FALSE),NA(),('Reaction Information'!$J$33/10+'Reaction Information'!$K$33*100/(Calculations!$C$12+Calculations!$M49)+('Reaction Information'!$L$33+'Reaction Information'!$M$33*10000/(Calculations!$C$12+Calculations!$M49))/(Calculations!$O49-Calculations!$C$13)-calculateOmega(Calculations!M49,Calculations!N49,Calculations!Q49,'Reaction Information'!$C$33,'Reaction Information'!$P$33*10^5,'Reaction Information'!$Q$33)*Calculations!$U49*10^-6 + (1/$S49 - 1)*calculate_domegadP(Calculations!M49,Calculations!N49,Calculations!Q49,'Reaction Information'!$C$33,'Reaction Information'!$P$33*10^5,'Reaction Information'!$Q$33,$D$20,$D$19=3))*41.84)</f>
        <v>#N/A</v>
      </c>
      <c r="BS49" s="1">
        <f>Results!AW51</f>
        <v>0</v>
      </c>
      <c r="BT49" s="1">
        <f>Results!AX51</f>
        <v>0</v>
      </c>
      <c r="BU49" s="1">
        <f>Results!AY51</f>
        <v>0</v>
      </c>
      <c r="BV49" s="1">
        <f>Results!AZ51</f>
        <v>0</v>
      </c>
      <c r="BW49" s="1" t="e">
        <f>IF(OR(ISNA('Reaction Information'!$D$38), $N49 = "", $D$27 = FALSE, 'Reaction Information'!$D$38 = ""), NA(), 24.465)</f>
        <v>#N/A</v>
      </c>
      <c r="BX49" s="1" t="e">
        <f>IF(OR(ISNA('Reaction Information'!$D$42), $N49 = "", $D$27 = FALSE, 'Reaction Information'!$D$42 = ""), NA(), 24.465)</f>
        <v>#N/A</v>
      </c>
      <c r="BY49" s="8" t="e">
        <f t="shared" si="18"/>
        <v>#N/A</v>
      </c>
      <c r="BZ49" s="8">
        <f>IF(OR(ISBLANK(Input!$BK$4),$D$27=FALSE),NA(),('Reaction Information'!$J$46/10+'Reaction Information'!$K$46*100/(Calculations!$C$12+Calculations!$M49)+('Reaction Information'!$L$46+'Reaction Information'!$M$46*10000/(Calculations!$C$12+Calculations!$M49))/(Calculations!$O49-Calculations!$C$13)-calculateOmega(Calculations!M49,Calculations!N49,Calculations!Q49,'Reaction Information'!$C$46,'Reaction Information'!$P$46*10^5,'Reaction Information'!$Q$46)*Calculations!$U49*10^-6 + (1/$S49 - 1)*calculate_domegadP(Calculations!M49,Calculations!N49,Calculations!Q49,'Reaction Information'!$C$46,'Reaction Information'!$P$46*10^5,'Reaction Information'!$Q$46,$D$20,$D$19=3))*41.84)</f>
        <v>0</v>
      </c>
      <c r="CA49" s="8">
        <f>IF(OR(ISBLANK(Input!$BN$4),$D$27=FALSE),NA(),('Reaction Information'!$J$50/10+'Reaction Information'!$K$50*100/(Calculations!$C$12+Calculations!$M49)+('Reaction Information'!$L$50+'Reaction Information'!$M$50*10000/(Calculations!$C$12+Calculations!$M49))/(Calculations!$O49-Calculations!$C$13)-calculateOmega(Calculations!M49,Calculations!N49,Calculations!Q49,'Reaction Information'!$C$50,'Reaction Information'!$P$50*10^5,'Reaction Information'!$Q$50)*Calculations!$U49*10^-6 + (1/$S49 - 1)*calculate_domegadP(Calculations!M49,Calculations!N49,Calculations!Q49,'Reaction Information'!$C$50,'Reaction Information'!$P$50*10^5,'Reaction Information'!$Q$50,$D$20,$D$19=3))*41.84)</f>
        <v>25.060058627465043</v>
      </c>
      <c r="CB49" s="8" t="e">
        <f>IF(OR(ISBLANK(Input!$BQ$4),$D$27=FALSE),NA(),('Reaction Information'!$J$54/10+'Reaction Information'!$K$54*100/(Calculations!$C$12+Calculations!$M49)+('Reaction Information'!$L$54+'Reaction Information'!$M$54*10000/(Calculations!$C$12+Calculations!$M49))/(Calculations!$O49-Calculations!$C$13)-calculateOmega(Calculations!M49,Calculations!N49,Calculations!Q49,'Reaction Information'!$C$54,'Reaction Information'!$P$54*10^5,'Reaction Information'!$Q$54)*Calculations!$U49*10^-6 + (1/$S49 - 1)*calculate_domegadP(Calculations!M49,Calculations!N49,Calculations!Q49,'Reaction Information'!$C$54,'Reaction Information'!$P$54*10^5,'Reaction Information'!$Q$54,$D$20,$D$19=3))*41.84)</f>
        <v>#N/A</v>
      </c>
      <c r="CC49" s="8" t="e">
        <f>IF(OR(ISBLANK(Input!$BT$4),$D$27=FALSE),NA(),('Reaction Information'!$J$58/10+'Reaction Information'!$K$58*100/(Calculations!$C$12+Calculations!$M49)+('Reaction Information'!$L$58+'Reaction Information'!$M$58*10000/(Calculations!$C$12+Calculations!$M49))/(Calculations!$O49-Calculations!$C$13)-calculateOmega(Calculations!M49,Calculations!N49,Calculations!Q49,'Reaction Information'!$C$58,'Reaction Information'!$P$58*10^5,'Reaction Information'!$Q$58)*Calculations!$U49*10^-6 + (1/$S49 - 1)*calculate_domegadP(Calculations!M49,Calculations!N49,Calculations!Q49,'Reaction Information'!$C$58,'Reaction Information'!$P$58*10^5,'Reaction Information'!$Q$58,$D$20,$D$19=3))*41.84)</f>
        <v>#N/A</v>
      </c>
      <c r="CD49" s="8" t="e">
        <f>IF(OR(ISBLANK(Input!$BW$4),$D$27=FALSE),NA(),('Reaction Information'!$J$62/10+'Reaction Information'!$K$62*100/(Calculations!$C$12+Calculations!$M49)+('Reaction Information'!$L$62+'Reaction Information'!$M$62*10000/(Calculations!$C$12+Calculations!$M49))/(Calculations!$O49-Calculations!$C$13)-calculateOmega(Calculations!M49,Calculations!N49,Calculations!Q49,'Reaction Information'!$C$62,'Reaction Information'!$P$62*10^5,'Reaction Information'!$Q$62)*Calculations!$U49*10^-6 + (1/$S49 - 1)*calculate_domegadP(Calculations!M49,Calculations!N49,Calculations!Q49,'Reaction Information'!$C$62,'Reaction Information'!$P$62*10^5,'Reaction Information'!$Q$62,$D$20,$D$19=3))*41.84)</f>
        <v>#N/A</v>
      </c>
      <c r="CE49" s="8" t="e">
        <f>IF(OR(ISBLANK(Input!$BZ$4),$D$27=FALSE),NA(),('Reaction Information'!$J$66/10+'Reaction Information'!$K$66*100/(Calculations!$C$12+Calculations!$M49)+('Reaction Information'!$L$66+'Reaction Information'!$M$66*10000/(Calculations!$C$12+Calculations!$M49))/(Calculations!$O49-Calculations!$C$13)-calculateOmega(Calculations!M49,Calculations!N49,Calculations!Q49,'Reaction Information'!$C$66,'Reaction Information'!$P$66*10^5,'Reaction Information'!$Q$66)*Calculations!$U49*10^-6 + (1/$S49 - 1)*calculate_domegadP(Calculations!M49,Calculations!N49,Calculations!Q49,'Reaction Information'!$C$66,'Reaction Information'!$P$66*10^5,'Reaction Information'!$Q$66,$D$20,$D$19=3))*41.84)</f>
        <v>#N/A</v>
      </c>
      <c r="CF49" s="31">
        <f>(BS49*Input!$AO$4+BT49*Input!$AR$4+BU49*Input!$AU$4+BV49*Input!$AX$4+IF(ISNA(BW49),0,BW49*Input!$BA$4)+IF(ISNA(BX49),0,BX49*Input!$BD$4)+IF(ISNA(BY49),0,BY49*Input!$BG$4)+IF(ISNA(BZ49),0,BZ49*Input!$BJ$4)+IF(ISNA(CA49),0,CA49*Input!$BM$4)+IF(ISNA(CB49),0,CB49*Input!$BP$4)+IF(ISNA(CC49),0,CC49*Input!$BS$4)+IF(ISNA(CD49),0,CD49*Input!$BV$4)+IF(ISNA(CE49),0,CE49*Input!$BY$4))-(BF49*Input!$B$4+BG49*Input!$E$4+BH49*Input!$H$4+BI49*Input!$K$4+IF(ISNA(BJ49),0,BJ49*Input!$N$4)+IF(ISNA(BK49),0,BK49*Input!$Q$4)+IF(ISNA(BL49),0,BL49*Input!$T$4)+IF(ISNA(BM49),0,BM49*Input!$W$4)+IF(ISNA(BN49),0,BN49*Input!$Z$4)+IF(ISNA(BO49),0,BO49*Input!$AC$4)+IF(ISNA(BP49),0,BP49*Input!$AF$4)+IF(ISNA(BQ49),0,BQ49*Input!$AI$4)+IF(ISNA(BR49),0,BR49*Input!$AL$4))</f>
        <v>-28.491517557106075</v>
      </c>
      <c r="CG49" s="1">
        <f t="shared" si="12"/>
        <v>950</v>
      </c>
      <c r="CH49" s="46">
        <f t="shared" si="13"/>
        <v>15000</v>
      </c>
      <c r="CI49" s="1"/>
    </row>
    <row r="50" spans="1:87" x14ac:dyDescent="0.2">
      <c r="A50" s="1"/>
      <c r="E50" s="1"/>
      <c r="F50" s="2">
        <v>45</v>
      </c>
      <c r="G50" s="1" t="str">
        <f>IF(ISBLANK(Input!CB50), "", Input!CB50*1000)</f>
        <v/>
      </c>
      <c r="H50" s="1" t="str">
        <f>IF(ISBLANK(Input!CC50), "", Input!CC50)</f>
        <v/>
      </c>
      <c r="I50" s="1">
        <f>IF(Input!$CF$5 + Input!$CF$6*(FLOOR((Calculations!$F50-1)/(FLOOR((Input!$CF$12-Input!$CF$10)/Input!$CF$11,1)+1),1)) &gt; Input!$CF$7, "", (Input!$CF$5 + Input!$CF$6*(FLOOR((Calculations!$F50-1)/(FLOOR((Input!$CF$12-Input!$CF$10)/Input!$CF$11,1)+1),1)))*1000)</f>
        <v>15000</v>
      </c>
      <c r="J50" s="1">
        <f>IF(Calculations!I50 = "", "", Input!$CF$10 + Input!$CF$11*(Calculations!$F50-1) - (FLOOR((Input!$CF$12-Input!$CF$10)/Input!$CF$11,1)+1)*Input!$CF$11*FLOOR((Calculations!$F50-1)/(FLOOR((Input!$CF$12-Input!$CF$10)/Input!$CF$11,1)+1),1))</f>
        <v>1000</v>
      </c>
      <c r="K50" s="8" t="str">
        <f t="shared" si="14"/>
        <v/>
      </c>
      <c r="L50" s="117" t="str">
        <f>IF(OR(Input!$CJ$5 + Input!$CJ$6*(Calculations!F50-1) &gt; Input!$CJ$7, Input!$CJ$5 + Input!$CJ$6*(Calculations!F50-1) &gt; 350), "", Input!$CJ$5 + Input!$CJ$6*(Calculations!F50-1))</f>
        <v/>
      </c>
      <c r="M50" s="1">
        <f t="shared" si="2"/>
        <v>15000</v>
      </c>
      <c r="N50" s="1">
        <f t="shared" si="3"/>
        <v>1000</v>
      </c>
      <c r="O50" s="1">
        <f t="shared" si="15"/>
        <v>1273.1500000000001</v>
      </c>
      <c r="P50" s="1" t="e">
        <f>IF(OR($D$20=3,AND($D$21=TRUE,M50&lt;1000)),INDEX('Water Density'!$C$6:$CX$120,MATCH(Calculations!N50,'Water Density'!$B$6:$B$120),MATCH(Calculations!M50/1000,'Water Density'!$C$5:$CX$5)),NA())</f>
        <v>#N/A</v>
      </c>
      <c r="Q50" s="182">
        <f>IF(OR($D$20=3,AND($D$21=TRUE,M50&lt;1000)), IF(P50&lt;&gt;0,P50,NA()), calculateDensity(M50,N50,$D$20,0.01,$D$19 = 3))</f>
        <v>0.91585912169933326</v>
      </c>
      <c r="R50" s="1" t="e">
        <f>IF($D$22=5,INDEX('Dielectric Constant'!$C$6:$CX$120,MATCH(Calculations!N50,'Dielectric Constant'!$B$6:$B$120),MATCH(Calculations!M50/1000,'Dielectric Constant'!$C$5:$CX$5)),NA())</f>
        <v>#N/A</v>
      </c>
      <c r="S50" s="58">
        <f>IF($D$22=5, IF(R50&lt;&gt;0,R50,NA()), IF(AND($D$23,M50&lt;=5000,$D$19 &lt;&gt; 3),calculateEpsilon(Q50,N50,1,FALSE),calculateEpsilon(Q50,N50,$D$22,$D$19 = 3)))</f>
        <v>10.780381720529748</v>
      </c>
      <c r="T50" s="1" t="e">
        <f>IF($D$24=3,INDEX('Water Free Energy'!$C$6:$CX$120,MATCH(Calculations!N50,'Water Free Energy'!$B$6:$B$120),MATCH(Calculations!M50/1000,'Water Free Energy'!$C$5:$CX$5)),NA())</f>
        <v>#N/A</v>
      </c>
      <c r="U50" s="179">
        <f>IF($D$27,calculateQ(M50,N50,Q50,$D$20,$D$22,$D$19=3)*10^6,NA())</f>
        <v>1.4511162514374365</v>
      </c>
      <c r="V50"/>
      <c r="W50" s="2">
        <f t="shared" si="5"/>
        <v>15000</v>
      </c>
      <c r="X50" s="1">
        <f t="shared" si="6"/>
        <v>1000</v>
      </c>
      <c r="Y50" s="1">
        <f>Results!F52</f>
        <v>0</v>
      </c>
      <c r="Z50" s="1">
        <f>Results!G52</f>
        <v>0</v>
      </c>
      <c r="AA50" s="1">
        <f>Results!H52</f>
        <v>0</v>
      </c>
      <c r="AB50" s="1">
        <f>Results!I52</f>
        <v>0</v>
      </c>
      <c r="AC50" s="1" t="e">
        <f>IF(ISBLANK(Input!$O$4),NA(),'Reaction Information'!$E$5-'Reaction Information'!$G$5*(Calculations!$O50-Calculations!$C$8)+'Reaction Information'!$I$5*(Calculations!$O50-Calculations!$C$8-Calculations!$O50*LN(Calculations!$O50/Calculations!$C$8))+'Reaction Information'!$J$5*0.001/2*(2*Calculations!$O50*Calculations!$C$8-Calculations!$O50^2-Calculations!$C$8^2) + 'Reaction Information'!$K$5*100000*(Calculations!$O50^2 + Calculations!$C$8^2 - 2*Calculations!$O50*Calculations!$C$8)/(2*Calculations!$O50*Calculations!$C$8^2))</f>
        <v>#N/A</v>
      </c>
      <c r="AD50" s="8" t="e">
        <f>IF(ISBLANK(Input!$R$4),NA(),'Reaction Information'!$E$9-'Reaction Information'!$G$9*(Calculations!$O50-Calculations!$C$8)+'Reaction Information'!$I$9*(Calculations!$O50-Calculations!$C$8-Calculations!$O50*LN(Calculations!$O50/Calculations!$C$8))+'Reaction Information'!$J$9*0.001/2*(2*Calculations!$O50*Calculations!$C$8-Calculations!$O50^2-Calculations!$C$8^2) + 'Reaction Information'!$K$9*100000*(Calculations!$O50^2 + Calculations!$C$8^2 - 2*Calculations!$O50*Calculations!$C$8)/(2*Calculations!$O50*Calculations!$C$8^2))</f>
        <v>#N/A</v>
      </c>
      <c r="AE50" s="8">
        <f>IF(AE$5="H2O",IF($D$24=3,IF(T50=0,NA(),T50),calculateGibbsOfWater(M50,N50,$D$24,$D$20,$D$19=3)),NA())</f>
        <v>-78699.277503697231</v>
      </c>
      <c r="AF50" s="8">
        <f>IF(ISBLANK(Input!$X$4),NA(),'Reaction Information'!$E$13-'Reaction Information'!$G$13*(Calculations!O50-Calculations!$C$8)-'Reaction Information'!$N$13*(Calculations!O50*LN(Calculations!O50/Calculations!$C$8)-Calculations!O50+Calculations!$C$8)-'Reaction Information'!$O$13*10^4*(((1/(Calculations!O50-Calculations!$C$13))-(1/(Calculations!$C$8-Calculations!$C$13)))*((Calculations!$C$13-Calculations!O50)/(Calculations!$C$13))-(Calculations!O50/(Calculations!$C$13*Calculations!$C$13))*LN((Calculations!$C$8*(Calculations!O50-Calculations!$C$13))/(Calculations!O50*(Calculations!$C$8-Calculations!$C$13))))+'Reaction Information'!$J$13*10^-1*(Calculations!M50-Calculations!$C$9)+'Reaction Information'!$K$13*10^2*LN((Calculations!$C$12+Calculations!M50)/(Calculations!$C$12+Calculations!$C$9))+(1/(Calculations!O50-Calculations!$C$13))*('Reaction Information'!$L$13*(Calculations!M50-Calculations!$C$9)+'Reaction Information'!$M$13*10^4*LN((Calculations!$C$12+Calculations!M50)/(Calculations!$C$12+Calculations!$C$9)))+calculateOmega(Calculations!M50,Calculations!N50,Calculations!Q50,'Reaction Information'!$C$13,'Reaction Information'!$P$13*10^5,'Reaction Information'!$Q$13)*((1/Calculations!S50)-1)-'Reaction Information'!$P$13*10^5*((1/Calculations!$C$10)-1)+'Reaction Information'!$P$13*10^5*Calculations!$C$14*(Calculations!O50-Calculations!$C$8))</f>
        <v>-125823.5743171573</v>
      </c>
      <c r="AG50" s="8" t="e">
        <f>IF(ISBLANK(Input!$AA$4),NA(),'Reaction Information'!$E$17-'Reaction Information'!$G$17*(Calculations!$O50-Calculations!$C$8)-'Reaction Information'!$N$17*(Calculations!$O50*LN(Calculations!$O50/Calculations!$C$8)-Calculations!$O50+Calculations!$C$8)-'Reaction Information'!$O$17*10^4*(((1/(Calculations!$O50-Calculations!$C$13))-(1/(Calculations!$C$8-Calculations!$C$13)))*((Calculations!$C$13-Calculations!$O50)/(Calculations!$C$13))-(Calculations!$O50/(Calculations!$C$13*Calculations!$C$13))*LN((Calculations!$C$8*(Calculations!$O50-Calculations!$C$13))/(Calculations!$O50*(Calculations!$C$8-Calculations!$C$13))))+'Reaction Information'!$J$17*10^-1*(Calculations!$M50-Calculations!$C$9)+'Reaction Information'!$K$17*10^2*LN((Calculations!$C$12+Calculations!$M50)/(Calculations!$C$12+Calculations!$C$9))+(1/(Calculations!$O50-Calculations!$C$13))*('Reaction Information'!$L$17*(Calculations!$M50-Calculations!$C$9)+'Reaction Information'!$M$17*10^4*LN((Calculations!$C$12+Calculations!$M50)/(Calculations!$C$12+Calculations!$C$9)))+calculateOmega(Calculations!M50,Calculations!N50,Calculations!Q50,'Reaction Information'!$C$17,'Reaction Information'!$P$17*10^5,'Reaction Information'!$Q$17)*((1/Calculations!$S50)-1)-'Reaction Information'!$P$17*10^5*((1/Calculations!$C$10)-1)+'Reaction Information'!$P$17*10^5*Calculations!$C$14*(Calculations!$O50-Calculations!$C$8))</f>
        <v>#N/A</v>
      </c>
      <c r="AH50" s="8" t="e">
        <f>IF(ISBLANK(Input!$AD$4),NA(),'Reaction Information'!$E$21-'Reaction Information'!$G$21*(Calculations!$O50-Calculations!$C$8)-'Reaction Information'!$N$21*(Calculations!$O50*LN(Calculations!$O50/Calculations!$C$8)-Calculations!$O50+Calculations!$C$8)-'Reaction Information'!$O$21*10^4*(((1/(Calculations!$O50-Calculations!$C$13))-(1/(Calculations!$C$8-Calculations!$C$13)))*((Calculations!$C$13-Calculations!$O50)/(Calculations!$C$13))-(Calculations!$O50/(Calculations!$C$13*Calculations!$C$13))*LN((Calculations!$C$8*(Calculations!$O50-Calculations!$C$13))/(Calculations!$O50*(Calculations!$C$8-Calculations!$C$13))))+'Reaction Information'!$J$21*10^-1*(Calculations!$M50-Calculations!$C$9)+'Reaction Information'!$K$21*10^2*LN((Calculations!$C$12+Calculations!$M50)/(Calculations!$C$12+Calculations!$C$9))+(1/(Calculations!$O50-Calculations!$C$13))*('Reaction Information'!$L$21*(Calculations!$M50-Calculations!$C$9)+'Reaction Information'!$M$21*10^4*LN((Calculations!$C$12+Calculations!$M50)/(Calculations!$C$12+Calculations!$C$9)))+calculateOmega(Calculations!M50,Calculations!N50,Calculations!Q50,'Reaction Information'!$C$21,'Reaction Information'!$P$21*10^5,'Reaction Information'!$Q$21)*((1/Calculations!$S50)-1)-'Reaction Information'!$P$21*10^5*((1/Calculations!$C$10)-1)+'Reaction Information'!$P$21*10^5*Calculations!$C$14*(Calculations!$O50-Calculations!$C$8))</f>
        <v>#N/A</v>
      </c>
      <c r="AI50" s="8" t="e">
        <f>IF(ISBLANK(Input!$AG$4),NA(),'Reaction Information'!$E$25-'Reaction Information'!$G$25*(Calculations!$O50-Calculations!$C$8)-'Reaction Information'!$N$25*(Calculations!$O50*LN(Calculations!$O50/Calculations!$C$8)-Calculations!$O50+Calculations!$C$8)-'Reaction Information'!$O$25*10^4*(((1/(Calculations!$O50-Calculations!$C$13))-(1/(Calculations!$C$8-Calculations!$C$13)))*((Calculations!$C$13-Calculations!$O50)/(Calculations!$C$13))-(Calculations!$O50/(Calculations!$C$13*Calculations!$C$13))*LN((Calculations!$C$8*(Calculations!$O50-Calculations!$C$13))/(Calculations!$O50*(Calculations!$C$8-Calculations!$C$13))))+'Reaction Information'!$J$25*10^-1*(Calculations!$M50-Calculations!$C$9)+'Reaction Information'!$K$25*10^2*LN((Calculations!$C$12+Calculations!$M50)/(Calculations!$C$12+Calculations!$C$9))+(1/(Calculations!$O50-Calculations!$C$13))*('Reaction Information'!$L$25*(Calculations!$M50-Calculations!$C$9)+'Reaction Information'!$M$25*10^4*LN((Calculations!$C$12+Calculations!$M50)/(Calculations!$C$12+Calculations!$C$9)))+calculateOmega(Calculations!M50,Calculations!N50,Calculations!Q50,'Reaction Information'!$C$25,'Reaction Information'!$P$25*10^5,'Reaction Information'!$Q$25)*((1/Calculations!$S50)-1)-'Reaction Information'!$P$25*10^5*((1/Calculations!$C$10)-1)+'Reaction Information'!$P$25*10^5*Calculations!$C$14*(Calculations!$O50-Calculations!$C$8))</f>
        <v>#N/A</v>
      </c>
      <c r="AJ50" s="8" t="e">
        <f>IF(ISBLANK(Input!$AJ$4),NA(),'Reaction Information'!$E$29-'Reaction Information'!$G$29*(Calculations!$O50-Calculations!$C$8)-'Reaction Information'!$N$29*(Calculations!$O50*LN(Calculations!$O50/Calculations!$C$8)-Calculations!$O50+Calculations!$C$8)-'Reaction Information'!$O$29*10^4*(((1/(Calculations!$O50-Calculations!$C$13))-(1/(Calculations!$C$8-Calculations!$C$13)))*((Calculations!$C$13-Calculations!$O50)/(Calculations!$C$13))-(Calculations!$O50/(Calculations!$C$13*Calculations!$C$13))*LN((Calculations!$C$8*(Calculations!$O50-Calculations!$C$13))/(Calculations!$O50*(Calculations!$C$8-Calculations!$C$13))))+'Reaction Information'!$J$29*10^-1*(Calculations!$M50-Calculations!$C$9)+'Reaction Information'!$K$29*10^2*LN((Calculations!$C$12+Calculations!$M50)/(Calculations!$C$12+Calculations!$C$9))+(1/(Calculations!$O50-Calculations!$C$13))*('Reaction Information'!$L$29*(Calculations!$M50-Calculations!$C$9)+'Reaction Information'!$M$29*10^4*LN((Calculations!$C$12+Calculations!$M50)/(Calculations!$C$12+Calculations!$C$9)))+calculateOmega(Calculations!M50,Calculations!N50,Calculations!Q50,'Reaction Information'!$C$29,'Reaction Information'!$P$29*10^5,'Reaction Information'!$Q$29)*((1/Calculations!$S50)-1)-'Reaction Information'!$P$29*10^5*((1/Calculations!$C$10)-1)+'Reaction Information'!$P$29*10^5*Calculations!$C$14*(Calculations!$O50-Calculations!$C$8))</f>
        <v>#N/A</v>
      </c>
      <c r="AK50" s="8" t="e">
        <f>IF(ISBLANK(Input!$AM$4),NA(),'Reaction Information'!$E$33-'Reaction Information'!$G$33*(Calculations!$O50-Calculations!$C$8)-'Reaction Information'!$N$33*(Calculations!$O50*LN(Calculations!$O50/Calculations!$C$8)-Calculations!$O50+Calculations!$C$8)-'Reaction Information'!$O$33*10^4*(((1/(Calculations!$O50-Calculations!$C$13))-(1/(Calculations!$C$8-Calculations!$C$13)))*((Calculations!$C$13-Calculations!$O50)/(Calculations!$C$13))-(Calculations!$O50/(Calculations!$C$13*Calculations!$C$13))*LN((Calculations!$C$8*(Calculations!$O50-Calculations!$C$13))/(Calculations!$O50*(Calculations!$C$8-Calculations!$C$13))))+'Reaction Information'!$J$33*10^-1*(Calculations!$M50-Calculations!$C$9)+'Reaction Information'!$K$33*10^2*LN((Calculations!$C$12+Calculations!$M50)/(Calculations!$C$12+Calculations!$C$9))+(1/(Calculations!$O50-Calculations!$C$13))*('Reaction Information'!$L$33*(Calculations!$M50-Calculations!$C$9)+'Reaction Information'!$M$33*10^4*LN((Calculations!$C$12+Calculations!$M50)/(Calculations!$C$12+Calculations!$C$9)))+calculateOmega(Calculations!M50,Calculations!N50,Calculations!Q50,'Reaction Information'!$C$33,'Reaction Information'!$P$33*10^5,'Reaction Information'!$Q$33)*((1/Calculations!$S50)-1)-'Reaction Information'!$P$33*10^5*((1/Calculations!$C$10)-1)+'Reaction Information'!$P$33*10^5*Calculations!$C$14*(Calculations!$O50-Calculations!$C$8))</f>
        <v>#N/A</v>
      </c>
      <c r="AL50" s="1">
        <f>Results!S52</f>
        <v>0</v>
      </c>
      <c r="AM50" s="1">
        <f>Results!T52</f>
        <v>0</v>
      </c>
      <c r="AN50" s="1">
        <f>Results!U52</f>
        <v>0</v>
      </c>
      <c r="AO50" s="1">
        <f>Results!V52</f>
        <v>0</v>
      </c>
      <c r="AP50" s="8" t="e">
        <f>IF(ISBLANK(Input!$BB$4),NA(),'Reaction Information'!$E$38-'Reaction Information'!$G$38*(Calculations!$O50-Calculations!$C$8)+'Reaction Information'!$I$38*(Calculations!$O50-Calculations!$C$8-Calculations!$O50*LN(Calculations!$O50/Calculations!$C$8))+'Reaction Information'!$J$38*0.001/2*(2*Calculations!$O50*Calculations!$C$8-Calculations!$O50^2-Calculations!$C$8^2) + 'Reaction Information'!$K$38*100000*(Calculations!$O50^2 + Calculations!$C$8^2 - 2*Calculations!$O50*Calculations!$C$8)/(2*Calculations!$O50*Calculations!$C$8^2))</f>
        <v>#N/A</v>
      </c>
      <c r="AQ50" s="8" t="e">
        <f>IF(ISBLANK(Input!$BE$4),NA(),'Reaction Information'!$E$42-'Reaction Information'!$G$42*(Calculations!$O50-Calculations!$C$8)+'Reaction Information'!$I$42*(Calculations!$O50-Calculations!$C$8-Calculations!$O50*LN(Calculations!$O50/Calculations!$C$8))+'Reaction Information'!$J$42*0.001/2*(2*Calculations!$O50*Calculations!$C$8-Calculations!$O50^2-Calculations!$C$8^2) + 'Reaction Information'!$K$42*100000*(Calculations!$O50^2 + Calculations!$C$8^2 - 2*Calculations!$O50*Calculations!$C$8)/(2*Calculations!$O50*Calculations!$C$8^2))</f>
        <v>#N/A</v>
      </c>
      <c r="AR50" s="8" t="e">
        <f>IF(AR$5="H2O", IF($D$24=3,IF(T50=0,NA(),T50),calculateGibbsOfWater(M50,N50,$D$24,$D$20,$D$19=3)),NA())</f>
        <v>#N/A</v>
      </c>
      <c r="AS50" s="8">
        <f>IF(ISBLANK(Input!$BK$4),NA(),'Reaction Information'!$E$46-'Reaction Information'!$G$46*(Calculations!O50-Calculations!$C$8)-'Reaction Information'!$N$46*(Calculations!O50*LN(Calculations!O50/Calculations!$C$8)-Calculations!O50+Calculations!$C$8)-'Reaction Information'!$O$46*10^4*(((1/(Calculations!O50-Calculations!$C$13))-(1/(Calculations!$C$8-Calculations!$C$13)))*((Calculations!$C$13-Calculations!O50)/(Calculations!$C$13))-(Calculations!O50/(Calculations!$C$13*Calculations!$C$13))*LN((Calculations!$C$8*(Calculations!O50-Calculations!$C$13))/(Calculations!O50*(Calculations!$C$8-Calculations!$C$13))))+'Reaction Information'!$J$46*10^-1*(Calculations!$M50-Calculations!$C$9)+'Reaction Information'!$K$46*10^2*LN((Calculations!$C$12+Calculations!$M50)/(Calculations!$C$12+Calculations!$C$9))+(1/(Calculations!O50-Calculations!$C$13))*('Reaction Information'!$L$46*(Calculations!$M50-Calculations!$C$9)+'Reaction Information'!$M$46*10^4*LN((Calculations!$C$12+Calculations!$M50)/(Calculations!$C$12+Calculations!$C$9)))+calculateOmega(Calculations!M50,Calculations!N50,Calculations!Q50,'Reaction Information'!$C$46,'Reaction Information'!$P$46*10^5,'Reaction Information'!$Q$46)*((1/Calculations!S50)-1)-'Reaction Information'!$P$46*10^5*((1/Calculations!$C$10)-1)+'Reaction Information'!$P$46*10^5*Calculations!$C$14*(Calculations!O50-Calculations!$C$8))</f>
        <v>0</v>
      </c>
      <c r="AT50" s="8">
        <f>IF(ISBLANK(Input!$BN$4),NA(),'Reaction Information'!$E$50-'Reaction Information'!$G$50*(Calculations!O50-Calculations!$C$8)-'Reaction Information'!$N$50*(Calculations!O50*LN(Calculations!O50/Calculations!$C$8)-Calculations!O50+Calculations!$C$8)-'Reaction Information'!$O$50*10^4*(((1/(Calculations!O50-Calculations!$C$13))-(1/(Calculations!$C$8-Calculations!$C$13)))*((Calculations!$C$13-Calculations!O50)/(Calculations!$C$13))-(Calculations!O50/(Calculations!$C$13*Calculations!$C$13))*LN((Calculations!$C$8*(Calculations!O50-Calculations!$C$13))/(Calculations!O50*(Calculations!$C$8-Calculations!$C$13))))+'Reaction Information'!$J$50*10^-1*(Calculations!$M50-Calculations!$C$9)+'Reaction Information'!$K$50*10^2*LN((Calculations!$C$12+Calculations!$M50)/(Calculations!$C$12+Calculations!$C$9))+(1/(Calculations!O50-Calculations!$C$13))*('Reaction Information'!$L$50*(Calculations!$M50-Calculations!$C$9)+'Reaction Information'!$M$50*10^4*LN((Calculations!$C$12+Calculations!$M50)/(Calculations!$C$12+Calculations!$C$9)))+calculateOmega(Calculations!M50,Calculations!N50,Calculations!Q50,'Reaction Information'!$C$50,'Reaction Information'!$P$50*10^5,'Reaction Information'!$Q$50)*((1/Calculations!S50)-1)-'Reaction Information'!$P$50*10^5*((1/Calculations!$C$10)-1)+'Reaction Information'!$P$50*10^5*Calculations!$C$14*(Calculations!O50-Calculations!$C$8))</f>
        <v>-157078.22102938624</v>
      </c>
      <c r="AU50" s="8" t="e">
        <f>IF(ISBLANK(Input!$BQ$4),NA(),'Reaction Information'!$E$54-'Reaction Information'!$G$54*(Calculations!$O50-Calculations!$C$8)-'Reaction Information'!$N$54*(Calculations!$O50*LN(Calculations!$O50/Calculations!$C$8)-Calculations!$O50+Calculations!$C$8)-'Reaction Information'!$O$54*10^4*(((1/(Calculations!$O50-Calculations!$C$13))-(1/(Calculations!$C$8-Calculations!$C$13)))*((Calculations!$C$13-Calculations!$O50)/(Calculations!$C$13))-(Calculations!$O50/(Calculations!$C$13*Calculations!$C$13))*LN((Calculations!$C$8*(Calculations!$O50-Calculations!$C$13))/(Calculations!$O50*(Calculations!$C$8-Calculations!$C$13))))+'Reaction Information'!$J$54*10^-1*(Calculations!$M50-Calculations!$C$9)+'Reaction Information'!$K$54*10^2*LN((Calculations!$C$12+Calculations!$M50)/(Calculations!$C$12+Calculations!$C$9))+(1/(Calculations!$O50-Calculations!$C$13))*('Reaction Information'!$L$54*(Calculations!$M50-Calculations!$C$9)+'Reaction Information'!$M$54*10^4*LN((Calculations!$C$12+Calculations!$M50)/(Calculations!$C$12+Calculations!$C$9)))+calculateOmega(Calculations!M50,Calculations!N50,Calculations!Q50,'Reaction Information'!$C$54,'Reaction Information'!$P$54*10^5,'Reaction Information'!$Q$54)*((1/Calculations!$S50)-1)-'Reaction Information'!$P$54*10^5*((1/Calculations!$C$10)-1)+'Reaction Information'!$P$54*10^5*Calculations!$C$14*(Calculations!$O50-Calculations!$C$8))</f>
        <v>#N/A</v>
      </c>
      <c r="AV50" s="8" t="e">
        <f>IF(ISBLANK(Input!$BT$4),NA(),'Reaction Information'!$E$58-'Reaction Information'!$G$58*(Calculations!$O50-Calculations!$C$8)-'Reaction Information'!$N$58*(Calculations!$O50*LN(Calculations!$O50/Calculations!$C$8)-Calculations!$O50+Calculations!$C$8)-'Reaction Information'!$O$58*10^4*(((1/(Calculations!$O50-Calculations!$C$13))-(1/(Calculations!$C$8-Calculations!$C$13)))*((Calculations!$C$13-Calculations!$O50)/(Calculations!$C$13))-(Calculations!$O50/(Calculations!$C$13*Calculations!$C$13))*LN((Calculations!$C$8*(Calculations!$O50-Calculations!$C$13))/(Calculations!$O50*(Calculations!$C$8-Calculations!$C$13))))+'Reaction Information'!$J$58*10^-1*(Calculations!$M50-Calculations!$C$9)+'Reaction Information'!$K$58*10^2*LN((Calculations!$C$12+Calculations!$M50)/(Calculations!$C$12+Calculations!$C$9))+(1/(Calculations!$O50-Calculations!$C$13))*('Reaction Information'!$L$58*(Calculations!$M50-Calculations!$C$9)+'Reaction Information'!$M$58*10^4*LN((Calculations!$C$12+Calculations!$M50)/(Calculations!$C$12+Calculations!$C$9)))+calculateOmega(Calculations!M50,Calculations!N50,Calculations!Q50,'Reaction Information'!$C$58,'Reaction Information'!$P$58*10^5,'Reaction Information'!$Q$58)*((1/Calculations!$S50)-1)-'Reaction Information'!$P$58*10^5*((1/Calculations!$C$10)-1)+'Reaction Information'!$P$58*10^5*Calculations!$C$14*(Calculations!$O50-Calculations!$C$8))</f>
        <v>#N/A</v>
      </c>
      <c r="AW50" s="8" t="e">
        <f>IF(ISBLANK(Input!$BW$4),NA(),'Reaction Information'!$E$62-'Reaction Information'!$G$62*(Calculations!$O50-Calculations!$C$8)-'Reaction Information'!$N$62*(Calculations!$O50*LN(Calculations!$O50/Calculations!$C$8)-Calculations!$O50+Calculations!$C$8)-'Reaction Information'!$O$62*10^4*(((1/(Calculations!$O50-Calculations!$C$13))-(1/(Calculations!$C$8-Calculations!$C$13)))*((Calculations!$C$13-Calculations!$O50)/(Calculations!$C$13))-(Calculations!$O50/(Calculations!$C$13*Calculations!$C$13))*LN((Calculations!$C$8*(Calculations!$O50-Calculations!$C$13))/(Calculations!$O50*(Calculations!$C$8-Calculations!$C$13))))+'Reaction Information'!$J$62*10^-1*(Calculations!$M50-Calculations!$C$9)+'Reaction Information'!$K$62*10^2*LN((Calculations!$C$12+Calculations!$M50)/(Calculations!$C$12+Calculations!$C$9))+(1/(Calculations!$O50-Calculations!$C$13))*('Reaction Information'!$L$62*(Calculations!$M50-Calculations!$C$9)+'Reaction Information'!$M$62*10^4*LN((Calculations!$C$12+Calculations!$M50)/(Calculations!$C$12+Calculations!$C$9)))+calculateOmega(Calculations!M50,Calculations!N50,Calculations!Q50,'Reaction Information'!$C$62,'Reaction Information'!$P$62*10^5,'Reaction Information'!$Q$62)*((1/Calculations!$S50)-1)-'Reaction Information'!$P$62*10^5*((1/Calculations!$C$10)-1)+'Reaction Information'!$P$62*10^5*Calculations!$C$14*(Calculations!$O50-Calculations!$C$8))</f>
        <v>#N/A</v>
      </c>
      <c r="AX50" s="8" t="e">
        <f>IF(ISBLANK(Input!$BZ$4),NA(),'Reaction Information'!$E$66-'Reaction Information'!$G$66*(Calculations!$O50-Calculations!$C$8)-'Reaction Information'!$N$66*(Calculations!$O50*LN(Calculations!$O50/Calculations!$C$8)-Calculations!$O50+Calculations!$C$8)-'Reaction Information'!$O$66*10^4*(((1/(Calculations!$O50-Calculations!$C$13))-(1/(Calculations!$C$8-Calculations!$C$13)))*((Calculations!$C$13-Calculations!$O50)/(Calculations!$C$13))-(Calculations!$O50/(Calculations!$C$13*Calculations!$C$13))*LN((Calculations!$C$8*(Calculations!$O50-Calculations!$C$13))/(Calculations!$O50*(Calculations!$C$8-Calculations!$C$13))))+'Reaction Information'!$J$66*10^-1*(Calculations!$M50-Calculations!$C$9)+'Reaction Information'!$K$66*10^2*LN((Calculations!$C$12+Calculations!$M50)/(Calculations!$C$12+Calculations!$C$9))+(1/(Calculations!$O50-Calculations!$C$13))*('Reaction Information'!$L$66*(Calculations!$M50-Calculations!$C$9)+'Reaction Information'!$M$66*10^4*LN((Calculations!$C$12+Calculations!$M50)/(Calculations!$C$12+Calculations!$C$9)))+calculateOmega(Calculations!M50,Calculations!N50,Calculations!Q50,'Reaction Information'!$C$66,'Reaction Information'!$P$66*10^5,'Reaction Information'!$Q$66)*((1/Calculations!$S50)-1)-'Reaction Information'!$P$66*10^5*((1/Calculations!$C$10)-1)+'Reaction Information'!$P$66*10^5*Calculations!$C$14*(Calculations!$O50-Calculations!$C$8))</f>
        <v>#N/A</v>
      </c>
      <c r="AY50" s="31">
        <f>(AL50*Input!$AO$4+AM50*Input!$AR$4+AN50*Input!$AU$4+AO50*Input!$AX$4+IF(ISNA(AP50),0,AP50*Input!$BA$4)+IF(ISNA(AQ50),0,AQ50*Input!$BD$4)+IF(ISNA(AR50),0,AR50*Input!$BG$4)+IF(ISNA(AS50),0,AS50*Input!$BJ$4)+IF(ISNA(AT50),0,AT50*Input!$BM$4)+IF(ISNA(AU50),0,AU50*Input!$BP$4)+IF(ISNA(AV50),0,AV50*Input!$BS$4)+IF(ISNA(AW50),0,AW50*Input!$BV$4)+IF(ISNA(AX50),0,AX50*Input!$BY$4))-(Y50*Input!$B$4+Z50*Input!$E$4+AA50*Input!$H$4+AB50*Input!$K$4+IF(ISNA(AC50),0,AC50*Input!$N$4)+IF(ISNA(AD50),0,AD50*Input!$Q$4)+IF(ISNA(AE50),0,AE50*Input!$T$4)+IF(ISNA(AF50),0,AF50*Input!$W$4)+IF(ISNA(AG50),0,AG50*Input!$Z$4)+IF(ISNA(AH50),0,AH50*Input!$AC$4)+IF(ISNA(AI50),0,AI50*Input!$AF$4)+IF(ISNA(AJ50),0,AJ50*Input!$AI$4)+IF(ISNA(AK50),0,AK50*Input!$AL$4))</f>
        <v>47444.630791468284</v>
      </c>
      <c r="AZ50" s="42">
        <f t="shared" si="16"/>
        <v>-8.1496577478127357</v>
      </c>
      <c r="BA50" s="1">
        <f t="shared" si="8"/>
        <v>1000</v>
      </c>
      <c r="BB50" s="46">
        <f t="shared" si="9"/>
        <v>15000</v>
      </c>
      <c r="BC50" s="1"/>
      <c r="BD50" s="2">
        <f t="shared" si="10"/>
        <v>15000</v>
      </c>
      <c r="BE50" s="46">
        <f t="shared" si="11"/>
        <v>1000</v>
      </c>
      <c r="BF50" s="1">
        <f>Results!AJ52</f>
        <v>0</v>
      </c>
      <c r="BG50" s="1">
        <f>Results!AK52</f>
        <v>0</v>
      </c>
      <c r="BH50" s="1">
        <f>Results!AL52</f>
        <v>0</v>
      </c>
      <c r="BI50" s="1">
        <f>Results!AM52</f>
        <v>0</v>
      </c>
      <c r="BJ50" s="1" t="e">
        <f>IF(OR(ISNA('Reaction Information'!$D$5), $N50 = "", $D$27 = FALSE, 'Reaction Information'!$D$5 = ""), NA(), 24.465)</f>
        <v>#N/A</v>
      </c>
      <c r="BK50" s="1" t="e">
        <f>IF(OR(ISNA('Reaction Information'!$D$9), $N50 = "", $D$27 = FALSE, 'Reaction Information'!$D$9 = ""), NA(), 24.465)</f>
        <v>#N/A</v>
      </c>
      <c r="BL50" s="8">
        <f t="shared" si="17"/>
        <v>19.670361492467862</v>
      </c>
      <c r="BM50" s="8">
        <f>IF(OR(ISBLANK(Input!$X$4),$D$27=FALSE),NA(),('Reaction Information'!$J$13/10+'Reaction Information'!$K$13*100/(Calculations!$C$12+Calculations!$M50)+('Reaction Information'!$L$13+'Reaction Information'!$M$13*10^4/(Calculations!$C$12+Calculations!$M50))/(Calculations!$O50-Calculations!$C$13) -calculateOmega(Calculations!$M50,Calculations!$N50,Calculations!$Q50,'Reaction Information'!$C$13,'Reaction Information'!$P$13*10^5,'Reaction Information'!$Q$13)*Calculations!$U50*10^-6 + (1/$S50 - 1)*calculate_domegadP(Calculations!$M50,Calculations!$N50,Calculations!$Q50,'Reaction Information'!$C$13,'Reaction Information'!$P$13*10^5,'Reaction Information'!$Q$13,$D$20,$D$19=3))*41.84)</f>
        <v>34.597556405696039</v>
      </c>
      <c r="BN50" s="8" t="e">
        <f>IF(OR(ISBLANK(Input!$AA$4),$D$27=FALSE),NA(),('Reaction Information'!$J$17/10+'Reaction Information'!$K$17*100/(Calculations!$C$12+Calculations!$M50)+('Reaction Information'!$L$17+'Reaction Information'!$M$17*10000/(Calculations!$C$12+Calculations!$M50))/(Calculations!$O50-Calculations!$C$13)-calculateOmega(Calculations!M50,Calculations!N50,Calculations!Q50,'Reaction Information'!$C$17,'Reaction Information'!$P$17*10^5,'Reaction Information'!$Q$17)*Calculations!$U50*10^-6 + (1/$S50 - 1)*calculate_domegadP(Calculations!M50,Calculations!N50,Calculations!Q50,'Reaction Information'!$C$17,'Reaction Information'!$P$17*10^5,'Reaction Information'!$Q$17,$D$20,$D$19=3))*41.84)</f>
        <v>#N/A</v>
      </c>
      <c r="BO50" s="8" t="e">
        <f>IF(OR(ISBLANK(Input!$AD$4),$D$27=FALSE),NA(),('Reaction Information'!$J$21/10+'Reaction Information'!$K$21*100/(Calculations!$C$12+Calculations!$M50)+('Reaction Information'!$L$21+'Reaction Information'!$M$21*10000/(Calculations!$C$12+Calculations!$M50))/(Calculations!$O50-Calculations!$C$13)-calculateOmega(Calculations!M50,Calculations!N50,Calculations!Q50,'Reaction Information'!$C$21,'Reaction Information'!$P$21*10^5,'Reaction Information'!$Q$21)*Calculations!$U50*10^-6 + (1/$S50 - 1)*calculate_domegadP(Calculations!M50,Calculations!N50,Calculations!Q50,'Reaction Information'!$C$21,'Reaction Information'!$P$21*10^5,'Reaction Information'!$Q$21,$D$20,$D$19=3))*41.84)</f>
        <v>#N/A</v>
      </c>
      <c r="BP50" s="8" t="e">
        <f>IF(OR(ISBLANK(Input!$AG$4),$D$27=FALSE),NA(),('Reaction Information'!$J$25/10+'Reaction Information'!$K$25*100/(Calculations!$C$12+Calculations!$M50)+('Reaction Information'!$L$25+'Reaction Information'!$M$25*10000/(Calculations!$C$12+Calculations!$M50))/(Calculations!$O50-Calculations!$C$13)-calculateOmega(Calculations!M50,Calculations!N50,Calculations!Q50,'Reaction Information'!$C$25,'Reaction Information'!$P$25*10^5,'Reaction Information'!$Q$25)*Calculations!$U50*10^-6 + (1/$S50 - 1)*calculate_domegadP(Calculations!M50,Calculations!N50,Calculations!Q50,'Reaction Information'!$C$25,'Reaction Information'!$P$25*10^5,'Reaction Information'!$Q$25,$D$20,$D$19=3))*41.84)</f>
        <v>#N/A</v>
      </c>
      <c r="BQ50" s="8" t="e">
        <f>IF(OR(ISBLANK(Input!$AJ$4),$D$27=FALSE),NA(),('Reaction Information'!$J$29/10+'Reaction Information'!$K$29*100/(Calculations!$C$12+Calculations!$M50)+('Reaction Information'!$L$29+'Reaction Information'!$M$29*10000/(Calculations!$C$12+Calculations!$M50))/(Calculations!$O50-Calculations!$C$13)-calculateOmega(Calculations!M50,Calculations!N50,Calculations!Q50,'Reaction Information'!$C$29,'Reaction Information'!$P$29*10^5,'Reaction Information'!$Q$29)*Calculations!$U50*10^-6 + (1/$S50 - 1)*calculate_domegadP(Calculations!M50,Calculations!N50,Calculations!Q50,'Reaction Information'!$C$29,'Reaction Information'!$P$29*10^5,'Reaction Information'!$Q$29,$D$20,$D$19=3))*41.84)</f>
        <v>#N/A</v>
      </c>
      <c r="BR50" s="8" t="e">
        <f>IF(OR(ISBLANK(Input!$AM$4),$D$27=FALSE),NA(),('Reaction Information'!$J$33/10+'Reaction Information'!$K$33*100/(Calculations!$C$12+Calculations!$M50)+('Reaction Information'!$L$33+'Reaction Information'!$M$33*10000/(Calculations!$C$12+Calculations!$M50))/(Calculations!$O50-Calculations!$C$13)-calculateOmega(Calculations!M50,Calculations!N50,Calculations!Q50,'Reaction Information'!$C$33,'Reaction Information'!$P$33*10^5,'Reaction Information'!$Q$33)*Calculations!$U50*10^-6 + (1/$S50 - 1)*calculate_domegadP(Calculations!M50,Calculations!N50,Calculations!Q50,'Reaction Information'!$C$33,'Reaction Information'!$P$33*10^5,'Reaction Information'!$Q$33,$D$20,$D$19=3))*41.84)</f>
        <v>#N/A</v>
      </c>
      <c r="BS50" s="1">
        <f>Results!AW52</f>
        <v>0</v>
      </c>
      <c r="BT50" s="1">
        <f>Results!AX52</f>
        <v>0</v>
      </c>
      <c r="BU50" s="1">
        <f>Results!AY52</f>
        <v>0</v>
      </c>
      <c r="BV50" s="1">
        <f>Results!AZ52</f>
        <v>0</v>
      </c>
      <c r="BW50" s="1" t="e">
        <f>IF(OR(ISNA('Reaction Information'!$D$38), $N50 = "", $D$27 = FALSE, 'Reaction Information'!$D$38 = ""), NA(), 24.465)</f>
        <v>#N/A</v>
      </c>
      <c r="BX50" s="1" t="e">
        <f>IF(OR(ISNA('Reaction Information'!$D$42), $N50 = "", $D$27 = FALSE, 'Reaction Information'!$D$42 = ""), NA(), 24.465)</f>
        <v>#N/A</v>
      </c>
      <c r="BY50" s="8" t="e">
        <f t="shared" si="18"/>
        <v>#N/A</v>
      </c>
      <c r="BZ50" s="8">
        <f>IF(OR(ISBLANK(Input!$BK$4),$D$27=FALSE),NA(),('Reaction Information'!$J$46/10+'Reaction Information'!$K$46*100/(Calculations!$C$12+Calculations!$M50)+('Reaction Information'!$L$46+'Reaction Information'!$M$46*10000/(Calculations!$C$12+Calculations!$M50))/(Calculations!$O50-Calculations!$C$13)-calculateOmega(Calculations!M50,Calculations!N50,Calculations!Q50,'Reaction Information'!$C$46,'Reaction Information'!$P$46*10^5,'Reaction Information'!$Q$46)*Calculations!$U50*10^-6 + (1/$S50 - 1)*calculate_domegadP(Calculations!M50,Calculations!N50,Calculations!Q50,'Reaction Information'!$C$46,'Reaction Information'!$P$46*10^5,'Reaction Information'!$Q$46,$D$20,$D$19=3))*41.84)</f>
        <v>0</v>
      </c>
      <c r="CA50" s="8">
        <f>IF(OR(ISBLANK(Input!$BN$4),$D$27=FALSE),NA(),('Reaction Information'!$J$50/10+'Reaction Information'!$K$50*100/(Calculations!$C$12+Calculations!$M50)+('Reaction Information'!$L$50+'Reaction Information'!$M$50*10000/(Calculations!$C$12+Calculations!$M50))/(Calculations!$O50-Calculations!$C$13)-calculateOmega(Calculations!M50,Calculations!N50,Calculations!Q50,'Reaction Information'!$C$50,'Reaction Information'!$P$50*10^5,'Reaction Information'!$Q$50)*Calculations!$U50*10^-6 + (1/$S50 - 1)*calculate_domegadP(Calculations!M50,Calculations!N50,Calculations!Q50,'Reaction Information'!$C$50,'Reaction Information'!$P$50*10^5,'Reaction Information'!$Q$50,$D$20,$D$19=3))*41.84)</f>
        <v>24.455382321423063</v>
      </c>
      <c r="CB50" s="8" t="e">
        <f>IF(OR(ISBLANK(Input!$BQ$4),$D$27=FALSE),NA(),('Reaction Information'!$J$54/10+'Reaction Information'!$K$54*100/(Calculations!$C$12+Calculations!$M50)+('Reaction Information'!$L$54+'Reaction Information'!$M$54*10000/(Calculations!$C$12+Calculations!$M50))/(Calculations!$O50-Calculations!$C$13)-calculateOmega(Calculations!M50,Calculations!N50,Calculations!Q50,'Reaction Information'!$C$54,'Reaction Information'!$P$54*10^5,'Reaction Information'!$Q$54)*Calculations!$U50*10^-6 + (1/$S50 - 1)*calculate_domegadP(Calculations!M50,Calculations!N50,Calculations!Q50,'Reaction Information'!$C$54,'Reaction Information'!$P$54*10^5,'Reaction Information'!$Q$54,$D$20,$D$19=3))*41.84)</f>
        <v>#N/A</v>
      </c>
      <c r="CC50" s="8" t="e">
        <f>IF(OR(ISBLANK(Input!$BT$4),$D$27=FALSE),NA(),('Reaction Information'!$J$58/10+'Reaction Information'!$K$58*100/(Calculations!$C$12+Calculations!$M50)+('Reaction Information'!$L$58+'Reaction Information'!$M$58*10000/(Calculations!$C$12+Calculations!$M50))/(Calculations!$O50-Calculations!$C$13)-calculateOmega(Calculations!M50,Calculations!N50,Calculations!Q50,'Reaction Information'!$C$58,'Reaction Information'!$P$58*10^5,'Reaction Information'!$Q$58)*Calculations!$U50*10^-6 + (1/$S50 - 1)*calculate_domegadP(Calculations!M50,Calculations!N50,Calculations!Q50,'Reaction Information'!$C$58,'Reaction Information'!$P$58*10^5,'Reaction Information'!$Q$58,$D$20,$D$19=3))*41.84)</f>
        <v>#N/A</v>
      </c>
      <c r="CD50" s="8" t="e">
        <f>IF(OR(ISBLANK(Input!$BW$4),$D$27=FALSE),NA(),('Reaction Information'!$J$62/10+'Reaction Information'!$K$62*100/(Calculations!$C$12+Calculations!$M50)+('Reaction Information'!$L$62+'Reaction Information'!$M$62*10000/(Calculations!$C$12+Calculations!$M50))/(Calculations!$O50-Calculations!$C$13)-calculateOmega(Calculations!M50,Calculations!N50,Calculations!Q50,'Reaction Information'!$C$62,'Reaction Information'!$P$62*10^5,'Reaction Information'!$Q$62)*Calculations!$U50*10^-6 + (1/$S50 - 1)*calculate_domegadP(Calculations!M50,Calculations!N50,Calculations!Q50,'Reaction Information'!$C$62,'Reaction Information'!$P$62*10^5,'Reaction Information'!$Q$62,$D$20,$D$19=3))*41.84)</f>
        <v>#N/A</v>
      </c>
      <c r="CE50" s="8" t="e">
        <f>IF(OR(ISBLANK(Input!$BZ$4),$D$27=FALSE),NA(),('Reaction Information'!$J$66/10+'Reaction Information'!$K$66*100/(Calculations!$C$12+Calculations!$M50)+('Reaction Information'!$L$66+'Reaction Information'!$M$66*10000/(Calculations!$C$12+Calculations!$M50))/(Calculations!$O50-Calculations!$C$13)-calculateOmega(Calculations!M50,Calculations!N50,Calculations!Q50,'Reaction Information'!$C$66,'Reaction Information'!$P$66*10^5,'Reaction Information'!$Q$66)*Calculations!$U50*10^-6 + (1/$S50 - 1)*calculate_domegadP(Calculations!M50,Calculations!N50,Calculations!Q50,'Reaction Information'!$C$66,'Reaction Information'!$P$66*10^5,'Reaction Information'!$Q$66,$D$20,$D$19=3))*41.84)</f>
        <v>#N/A</v>
      </c>
      <c r="CF50" s="31">
        <f>(BS50*Input!$AO$4+BT50*Input!$AR$4+BU50*Input!$AU$4+BV50*Input!$AX$4+IF(ISNA(BW50),0,BW50*Input!$BA$4)+IF(ISNA(BX50),0,BX50*Input!$BD$4)+IF(ISNA(BY50),0,BY50*Input!$BG$4)+IF(ISNA(BZ50),0,BZ50*Input!$BJ$4)+IF(ISNA(CA50),0,CA50*Input!$BM$4)+IF(ISNA(CB50),0,CB50*Input!$BP$4)+IF(ISNA(CC50),0,CC50*Input!$BS$4)+IF(ISNA(CD50),0,CD50*Input!$BV$4)+IF(ISNA(CE50),0,CE50*Input!$BY$4))-(BF50*Input!$B$4+BG50*Input!$E$4+BH50*Input!$H$4+BI50*Input!$K$4+IF(ISNA(BJ50),0,BJ50*Input!$N$4)+IF(ISNA(BK50),0,BK50*Input!$Q$4)+IF(ISNA(BL50),0,BL50*Input!$T$4)+IF(ISNA(BM50),0,BM50*Input!$W$4)+IF(ISNA(BN50),0,BN50*Input!$Z$4)+IF(ISNA(BO50),0,BO50*Input!$AC$4)+IF(ISNA(BP50),0,BP50*Input!$AF$4)+IF(ISNA(BQ50),0,BQ50*Input!$AI$4)+IF(ISNA(BR50),0,BR50*Input!$AL$4))</f>
        <v>-29.812535576740839</v>
      </c>
      <c r="CG50" s="1">
        <f t="shared" si="12"/>
        <v>1000</v>
      </c>
      <c r="CH50" s="46">
        <f t="shared" si="13"/>
        <v>15000</v>
      </c>
      <c r="CI50" s="1"/>
    </row>
    <row r="51" spans="1:87" x14ac:dyDescent="0.2">
      <c r="A51" s="1"/>
      <c r="E51" s="1"/>
      <c r="F51" s="2">
        <v>46</v>
      </c>
      <c r="G51" s="1" t="str">
        <f>IF(ISBLANK(Input!CB51), "", Input!CB51*1000)</f>
        <v/>
      </c>
      <c r="H51" s="1" t="str">
        <f>IF(ISBLANK(Input!CC51), "", Input!CC51)</f>
        <v/>
      </c>
      <c r="I51" s="1">
        <f>IF(Input!$CF$5 + Input!$CF$6*(FLOOR((Calculations!$F51-1)/(FLOOR((Input!$CF$12-Input!$CF$10)/Input!$CF$11,1)+1),1)) &gt; Input!$CF$7, "", (Input!$CF$5 + Input!$CF$6*(FLOOR((Calculations!$F51-1)/(FLOOR((Input!$CF$12-Input!$CF$10)/Input!$CF$11,1)+1),1)))*1000)</f>
        <v>20000</v>
      </c>
      <c r="J51" s="1">
        <f>IF(Calculations!I51 = "", "", Input!$CF$10 + Input!$CF$11*(Calculations!$F51-1) - (FLOOR((Input!$CF$12-Input!$CF$10)/Input!$CF$11,1)+1)*Input!$CF$11*FLOOR((Calculations!$F51-1)/(FLOOR((Input!$CF$12-Input!$CF$10)/Input!$CF$11,1)+1),1))</f>
        <v>300</v>
      </c>
      <c r="K51" s="8" t="str">
        <f t="shared" si="14"/>
        <v/>
      </c>
      <c r="L51" s="117" t="str">
        <f>IF(OR(Input!$CJ$5 + Input!$CJ$6*(Calculations!F51-1) &gt; Input!$CJ$7, Input!$CJ$5 + Input!$CJ$6*(Calculations!F51-1) &gt; 350), "", Input!$CJ$5 + Input!$CJ$6*(Calculations!F51-1))</f>
        <v/>
      </c>
      <c r="M51" s="1">
        <f t="shared" si="2"/>
        <v>20000</v>
      </c>
      <c r="N51" s="1">
        <f t="shared" si="3"/>
        <v>300</v>
      </c>
      <c r="O51" s="1">
        <f t="shared" si="15"/>
        <v>573.15</v>
      </c>
      <c r="P51" s="1" t="e">
        <f>IF(OR($D$20=3,AND($D$21=TRUE,M51&lt;1000)),INDEX('Water Density'!$C$6:$CX$120,MATCH(Calculations!N51,'Water Density'!$B$6:$B$120),MATCH(Calculations!M51/1000,'Water Density'!$C$5:$CX$5)),NA())</f>
        <v>#N/A</v>
      </c>
      <c r="Q51" s="182">
        <f>IF(OR($D$20=3,AND($D$21=TRUE,M51&lt;1000)), IF(P51&lt;&gt;0,P51,NA()), calculateDensity(M51,N51,$D$20,0.01,$D$19 = 3))</f>
        <v>1.2393530965399742</v>
      </c>
      <c r="R51" s="1" t="e">
        <f>IF($D$22=5,INDEX('Dielectric Constant'!$C$6:$CX$120,MATCH(Calculations!N51,'Dielectric Constant'!$B$6:$B$120),MATCH(Calculations!M51/1000,'Dielectric Constant'!$C$5:$CX$5)),NA())</f>
        <v>#N/A</v>
      </c>
      <c r="S51" s="58">
        <f>IF($D$22=5, IF(R51&lt;&gt;0,R51,NA()), IF(AND($D$23,M51&lt;=5000,$D$19 &lt;&gt; 3),calculateEpsilon(Q51,N51,1,FALSE),calculateEpsilon(Q51,N51,$D$22,$D$19 = 3)))</f>
        <v>46.868913958327788</v>
      </c>
      <c r="T51" s="1" t="e">
        <f>IF($D$24=3,INDEX('Water Free Energy'!$C$6:$CX$120,MATCH(Calculations!N51,'Water Free Energy'!$B$6:$B$120),MATCH(Calculations!M51/1000,'Water Free Energy'!$C$5:$CX$5)),NA())</f>
        <v>#N/A</v>
      </c>
      <c r="U51" s="179">
        <f>IF($D$27,calculateQ(M51,N51,Q51,$D$20,$D$22,$D$19=3)*10^6,NA())</f>
        <v>0.21572745439716681</v>
      </c>
      <c r="V51"/>
      <c r="W51" s="2">
        <f t="shared" si="5"/>
        <v>20000</v>
      </c>
      <c r="X51" s="1">
        <f t="shared" si="6"/>
        <v>300</v>
      </c>
      <c r="Y51" s="1">
        <f>Results!F53</f>
        <v>0</v>
      </c>
      <c r="Z51" s="1">
        <f>Results!G53</f>
        <v>0</v>
      </c>
      <c r="AA51" s="1">
        <f>Results!H53</f>
        <v>0</v>
      </c>
      <c r="AB51" s="1">
        <f>Results!I53</f>
        <v>0</v>
      </c>
      <c r="AC51" s="1" t="e">
        <f>IF(ISBLANK(Input!$O$4),NA(),'Reaction Information'!$E$5-'Reaction Information'!$G$5*(Calculations!$O51-Calculations!$C$8)+'Reaction Information'!$I$5*(Calculations!$O51-Calculations!$C$8-Calculations!$O51*LN(Calculations!$O51/Calculations!$C$8))+'Reaction Information'!$J$5*0.001/2*(2*Calculations!$O51*Calculations!$C$8-Calculations!$O51^2-Calculations!$C$8^2) + 'Reaction Information'!$K$5*100000*(Calculations!$O51^2 + Calculations!$C$8^2 - 2*Calculations!$O51*Calculations!$C$8)/(2*Calculations!$O51*Calculations!$C$8^2))</f>
        <v>#N/A</v>
      </c>
      <c r="AD51" s="8" t="e">
        <f>IF(ISBLANK(Input!$R$4),NA(),'Reaction Information'!$E$9-'Reaction Information'!$G$9*(Calculations!$O51-Calculations!$C$8)+'Reaction Information'!$I$9*(Calculations!$O51-Calculations!$C$8-Calculations!$O51*LN(Calculations!$O51/Calculations!$C$8))+'Reaction Information'!$J$9*0.001/2*(2*Calculations!$O51*Calculations!$C$8-Calculations!$O51^2-Calculations!$C$8^2) + 'Reaction Information'!$K$9*100000*(Calculations!$O51^2 + Calculations!$C$8^2 - 2*Calculations!$O51*Calculations!$C$8)/(2*Calculations!$O51*Calculations!$C$8^2))</f>
        <v>#N/A</v>
      </c>
      <c r="AE51" s="8">
        <f>IF(AE$5="H2O",IF($D$24=3,IF(T51=0,NA(),T51),calculateGibbsOfWater(M51,N51,$D$24,$D$20,$D$19=3)),NA())</f>
        <v>-54954.090830470072</v>
      </c>
      <c r="AF51" s="8">
        <f>IF(ISBLANK(Input!$X$4),NA(),'Reaction Information'!$E$13-'Reaction Information'!$G$13*(Calculations!O51-Calculations!$C$8)-'Reaction Information'!$N$13*(Calculations!O51*LN(Calculations!O51/Calculations!$C$8)-Calculations!O51+Calculations!$C$8)-'Reaction Information'!$O$13*10^4*(((1/(Calculations!O51-Calculations!$C$13))-(1/(Calculations!$C$8-Calculations!$C$13)))*((Calculations!$C$13-Calculations!O51)/(Calculations!$C$13))-(Calculations!O51/(Calculations!$C$13*Calculations!$C$13))*LN((Calculations!$C$8*(Calculations!O51-Calculations!$C$13))/(Calculations!O51*(Calculations!$C$8-Calculations!$C$13))))+'Reaction Information'!$J$13*10^-1*(Calculations!M51-Calculations!$C$9)+'Reaction Information'!$K$13*10^2*LN((Calculations!$C$12+Calculations!M51)/(Calculations!$C$12+Calculations!$C$9))+(1/(Calculations!O51-Calculations!$C$13))*('Reaction Information'!$L$13*(Calculations!M51-Calculations!$C$9)+'Reaction Information'!$M$13*10^4*LN((Calculations!$C$12+Calculations!M51)/(Calculations!$C$12+Calculations!$C$9)))+calculateOmega(Calculations!M51,Calculations!N51,Calculations!Q51,'Reaction Information'!$C$13,'Reaction Information'!$P$13*10^5,'Reaction Information'!$Q$13)*((1/Calculations!S51)-1)-'Reaction Information'!$P$13*10^5*((1/Calculations!$C$10)-1)+'Reaction Information'!$P$13*10^5*Calculations!$C$14*(Calculations!O51-Calculations!$C$8))</f>
        <v>-87932.279084554772</v>
      </c>
      <c r="AG51" s="8" t="e">
        <f>IF(ISBLANK(Input!$AA$4),NA(),'Reaction Information'!$E$17-'Reaction Information'!$G$17*(Calculations!$O51-Calculations!$C$8)-'Reaction Information'!$N$17*(Calculations!$O51*LN(Calculations!$O51/Calculations!$C$8)-Calculations!$O51+Calculations!$C$8)-'Reaction Information'!$O$17*10^4*(((1/(Calculations!$O51-Calculations!$C$13))-(1/(Calculations!$C$8-Calculations!$C$13)))*((Calculations!$C$13-Calculations!$O51)/(Calculations!$C$13))-(Calculations!$O51/(Calculations!$C$13*Calculations!$C$13))*LN((Calculations!$C$8*(Calculations!$O51-Calculations!$C$13))/(Calculations!$O51*(Calculations!$C$8-Calculations!$C$13))))+'Reaction Information'!$J$17*10^-1*(Calculations!$M51-Calculations!$C$9)+'Reaction Information'!$K$17*10^2*LN((Calculations!$C$12+Calculations!$M51)/(Calculations!$C$12+Calculations!$C$9))+(1/(Calculations!$O51-Calculations!$C$13))*('Reaction Information'!$L$17*(Calculations!$M51-Calculations!$C$9)+'Reaction Information'!$M$17*10^4*LN((Calculations!$C$12+Calculations!$M51)/(Calculations!$C$12+Calculations!$C$9)))+calculateOmega(Calculations!M51,Calculations!N51,Calculations!Q51,'Reaction Information'!$C$17,'Reaction Information'!$P$17*10^5,'Reaction Information'!$Q$17)*((1/Calculations!$S51)-1)-'Reaction Information'!$P$17*10^5*((1/Calculations!$C$10)-1)+'Reaction Information'!$P$17*10^5*Calculations!$C$14*(Calculations!$O51-Calculations!$C$8))</f>
        <v>#N/A</v>
      </c>
      <c r="AH51" s="8" t="e">
        <f>IF(ISBLANK(Input!$AD$4),NA(),'Reaction Information'!$E$21-'Reaction Information'!$G$21*(Calculations!$O51-Calculations!$C$8)-'Reaction Information'!$N$21*(Calculations!$O51*LN(Calculations!$O51/Calculations!$C$8)-Calculations!$O51+Calculations!$C$8)-'Reaction Information'!$O$21*10^4*(((1/(Calculations!$O51-Calculations!$C$13))-(1/(Calculations!$C$8-Calculations!$C$13)))*((Calculations!$C$13-Calculations!$O51)/(Calculations!$C$13))-(Calculations!$O51/(Calculations!$C$13*Calculations!$C$13))*LN((Calculations!$C$8*(Calculations!$O51-Calculations!$C$13))/(Calculations!$O51*(Calculations!$C$8-Calculations!$C$13))))+'Reaction Information'!$J$21*10^-1*(Calculations!$M51-Calculations!$C$9)+'Reaction Information'!$K$21*10^2*LN((Calculations!$C$12+Calculations!$M51)/(Calculations!$C$12+Calculations!$C$9))+(1/(Calculations!$O51-Calculations!$C$13))*('Reaction Information'!$L$21*(Calculations!$M51-Calculations!$C$9)+'Reaction Information'!$M$21*10^4*LN((Calculations!$C$12+Calculations!$M51)/(Calculations!$C$12+Calculations!$C$9)))+calculateOmega(Calculations!M51,Calculations!N51,Calculations!Q51,'Reaction Information'!$C$21,'Reaction Information'!$P$21*10^5,'Reaction Information'!$Q$21)*((1/Calculations!$S51)-1)-'Reaction Information'!$P$21*10^5*((1/Calculations!$C$10)-1)+'Reaction Information'!$P$21*10^5*Calculations!$C$14*(Calculations!$O51-Calculations!$C$8))</f>
        <v>#N/A</v>
      </c>
      <c r="AI51" s="8" t="e">
        <f>IF(ISBLANK(Input!$AG$4),NA(),'Reaction Information'!$E$25-'Reaction Information'!$G$25*(Calculations!$O51-Calculations!$C$8)-'Reaction Information'!$N$25*(Calculations!$O51*LN(Calculations!$O51/Calculations!$C$8)-Calculations!$O51+Calculations!$C$8)-'Reaction Information'!$O$25*10^4*(((1/(Calculations!$O51-Calculations!$C$13))-(1/(Calculations!$C$8-Calculations!$C$13)))*((Calculations!$C$13-Calculations!$O51)/(Calculations!$C$13))-(Calculations!$O51/(Calculations!$C$13*Calculations!$C$13))*LN((Calculations!$C$8*(Calculations!$O51-Calculations!$C$13))/(Calculations!$O51*(Calculations!$C$8-Calculations!$C$13))))+'Reaction Information'!$J$25*10^-1*(Calculations!$M51-Calculations!$C$9)+'Reaction Information'!$K$25*10^2*LN((Calculations!$C$12+Calculations!$M51)/(Calculations!$C$12+Calculations!$C$9))+(1/(Calculations!$O51-Calculations!$C$13))*('Reaction Information'!$L$25*(Calculations!$M51-Calculations!$C$9)+'Reaction Information'!$M$25*10^4*LN((Calculations!$C$12+Calculations!$M51)/(Calculations!$C$12+Calculations!$C$9)))+calculateOmega(Calculations!M51,Calculations!N51,Calculations!Q51,'Reaction Information'!$C$25,'Reaction Information'!$P$25*10^5,'Reaction Information'!$Q$25)*((1/Calculations!$S51)-1)-'Reaction Information'!$P$25*10^5*((1/Calculations!$C$10)-1)+'Reaction Information'!$P$25*10^5*Calculations!$C$14*(Calculations!$O51-Calculations!$C$8))</f>
        <v>#N/A</v>
      </c>
      <c r="AJ51" s="8" t="e">
        <f>IF(ISBLANK(Input!$AJ$4),NA(),'Reaction Information'!$E$29-'Reaction Information'!$G$29*(Calculations!$O51-Calculations!$C$8)-'Reaction Information'!$N$29*(Calculations!$O51*LN(Calculations!$O51/Calculations!$C$8)-Calculations!$O51+Calculations!$C$8)-'Reaction Information'!$O$29*10^4*(((1/(Calculations!$O51-Calculations!$C$13))-(1/(Calculations!$C$8-Calculations!$C$13)))*((Calculations!$C$13-Calculations!$O51)/(Calculations!$C$13))-(Calculations!$O51/(Calculations!$C$13*Calculations!$C$13))*LN((Calculations!$C$8*(Calculations!$O51-Calculations!$C$13))/(Calculations!$O51*(Calculations!$C$8-Calculations!$C$13))))+'Reaction Information'!$J$29*10^-1*(Calculations!$M51-Calculations!$C$9)+'Reaction Information'!$K$29*10^2*LN((Calculations!$C$12+Calculations!$M51)/(Calculations!$C$12+Calculations!$C$9))+(1/(Calculations!$O51-Calculations!$C$13))*('Reaction Information'!$L$29*(Calculations!$M51-Calculations!$C$9)+'Reaction Information'!$M$29*10^4*LN((Calculations!$C$12+Calculations!$M51)/(Calculations!$C$12+Calculations!$C$9)))+calculateOmega(Calculations!M51,Calculations!N51,Calculations!Q51,'Reaction Information'!$C$29,'Reaction Information'!$P$29*10^5,'Reaction Information'!$Q$29)*((1/Calculations!$S51)-1)-'Reaction Information'!$P$29*10^5*((1/Calculations!$C$10)-1)+'Reaction Information'!$P$29*10^5*Calculations!$C$14*(Calculations!$O51-Calculations!$C$8))</f>
        <v>#N/A</v>
      </c>
      <c r="AK51" s="8" t="e">
        <f>IF(ISBLANK(Input!$AM$4),NA(),'Reaction Information'!$E$33-'Reaction Information'!$G$33*(Calculations!$O51-Calculations!$C$8)-'Reaction Information'!$N$33*(Calculations!$O51*LN(Calculations!$O51/Calculations!$C$8)-Calculations!$O51+Calculations!$C$8)-'Reaction Information'!$O$33*10^4*(((1/(Calculations!$O51-Calculations!$C$13))-(1/(Calculations!$C$8-Calculations!$C$13)))*((Calculations!$C$13-Calculations!$O51)/(Calculations!$C$13))-(Calculations!$O51/(Calculations!$C$13*Calculations!$C$13))*LN((Calculations!$C$8*(Calculations!$O51-Calculations!$C$13))/(Calculations!$O51*(Calculations!$C$8-Calculations!$C$13))))+'Reaction Information'!$J$33*10^-1*(Calculations!$M51-Calculations!$C$9)+'Reaction Information'!$K$33*10^2*LN((Calculations!$C$12+Calculations!$M51)/(Calculations!$C$12+Calculations!$C$9))+(1/(Calculations!$O51-Calculations!$C$13))*('Reaction Information'!$L$33*(Calculations!$M51-Calculations!$C$9)+'Reaction Information'!$M$33*10^4*LN((Calculations!$C$12+Calculations!$M51)/(Calculations!$C$12+Calculations!$C$9)))+calculateOmega(Calculations!M51,Calculations!N51,Calculations!Q51,'Reaction Information'!$C$33,'Reaction Information'!$P$33*10^5,'Reaction Information'!$Q$33)*((1/Calculations!$S51)-1)-'Reaction Information'!$P$33*10^5*((1/Calculations!$C$10)-1)+'Reaction Information'!$P$33*10^5*Calculations!$C$14*(Calculations!$O51-Calculations!$C$8))</f>
        <v>#N/A</v>
      </c>
      <c r="AL51" s="1">
        <f>Results!S53</f>
        <v>0</v>
      </c>
      <c r="AM51" s="1">
        <f>Results!T53</f>
        <v>0</v>
      </c>
      <c r="AN51" s="1">
        <f>Results!U53</f>
        <v>0</v>
      </c>
      <c r="AO51" s="1">
        <f>Results!V53</f>
        <v>0</v>
      </c>
      <c r="AP51" s="8" t="e">
        <f>IF(ISBLANK(Input!$BB$4),NA(),'Reaction Information'!$E$38-'Reaction Information'!$G$38*(Calculations!$O51-Calculations!$C$8)+'Reaction Information'!$I$38*(Calculations!$O51-Calculations!$C$8-Calculations!$O51*LN(Calculations!$O51/Calculations!$C$8))+'Reaction Information'!$J$38*0.001/2*(2*Calculations!$O51*Calculations!$C$8-Calculations!$O51^2-Calculations!$C$8^2) + 'Reaction Information'!$K$38*100000*(Calculations!$O51^2 + Calculations!$C$8^2 - 2*Calculations!$O51*Calculations!$C$8)/(2*Calculations!$O51*Calculations!$C$8^2))</f>
        <v>#N/A</v>
      </c>
      <c r="AQ51" s="8" t="e">
        <f>IF(ISBLANK(Input!$BE$4),NA(),'Reaction Information'!$E$42-'Reaction Information'!$G$42*(Calculations!$O51-Calculations!$C$8)+'Reaction Information'!$I$42*(Calculations!$O51-Calculations!$C$8-Calculations!$O51*LN(Calculations!$O51/Calculations!$C$8))+'Reaction Information'!$J$42*0.001/2*(2*Calculations!$O51*Calculations!$C$8-Calculations!$O51^2-Calculations!$C$8^2) + 'Reaction Information'!$K$42*100000*(Calculations!$O51^2 + Calculations!$C$8^2 - 2*Calculations!$O51*Calculations!$C$8)/(2*Calculations!$O51*Calculations!$C$8^2))</f>
        <v>#N/A</v>
      </c>
      <c r="AR51" s="8" t="e">
        <f>IF(AR$5="H2O", IF($D$24=3,IF(T51=0,NA(),T51),calculateGibbsOfWater(M51,N51,$D$24,$D$20,$D$19=3)),NA())</f>
        <v>#N/A</v>
      </c>
      <c r="AS51" s="8">
        <f>IF(ISBLANK(Input!$BK$4),NA(),'Reaction Information'!$E$46-'Reaction Information'!$G$46*(Calculations!O51-Calculations!$C$8)-'Reaction Information'!$N$46*(Calculations!O51*LN(Calculations!O51/Calculations!$C$8)-Calculations!O51+Calculations!$C$8)-'Reaction Information'!$O$46*10^4*(((1/(Calculations!O51-Calculations!$C$13))-(1/(Calculations!$C$8-Calculations!$C$13)))*((Calculations!$C$13-Calculations!O51)/(Calculations!$C$13))-(Calculations!O51/(Calculations!$C$13*Calculations!$C$13))*LN((Calculations!$C$8*(Calculations!O51-Calculations!$C$13))/(Calculations!O51*(Calculations!$C$8-Calculations!$C$13))))+'Reaction Information'!$J$46*10^-1*(Calculations!$M51-Calculations!$C$9)+'Reaction Information'!$K$46*10^2*LN((Calculations!$C$12+Calculations!$M51)/(Calculations!$C$12+Calculations!$C$9))+(1/(Calculations!O51-Calculations!$C$13))*('Reaction Information'!$L$46*(Calculations!$M51-Calculations!$C$9)+'Reaction Information'!$M$46*10^4*LN((Calculations!$C$12+Calculations!$M51)/(Calculations!$C$12+Calculations!$C$9)))+calculateOmega(Calculations!M51,Calculations!N51,Calculations!Q51,'Reaction Information'!$C$46,'Reaction Information'!$P$46*10^5,'Reaction Information'!$Q$46)*((1/Calculations!S51)-1)-'Reaction Information'!$P$46*10^5*((1/Calculations!$C$10)-1)+'Reaction Information'!$P$46*10^5*Calculations!$C$14*(Calculations!O51-Calculations!$C$8))</f>
        <v>0</v>
      </c>
      <c r="AT51" s="8">
        <f>IF(ISBLANK(Input!$BN$4),NA(),'Reaction Information'!$E$50-'Reaction Information'!$G$50*(Calculations!O51-Calculations!$C$8)-'Reaction Information'!$N$50*(Calculations!O51*LN(Calculations!O51/Calculations!$C$8)-Calculations!O51+Calculations!$C$8)-'Reaction Information'!$O$50*10^4*(((1/(Calculations!O51-Calculations!$C$13))-(1/(Calculations!$C$8-Calculations!$C$13)))*((Calculations!$C$13-Calculations!O51)/(Calculations!$C$13))-(Calculations!O51/(Calculations!$C$13*Calculations!$C$13))*LN((Calculations!$C$8*(Calculations!O51-Calculations!$C$13))/(Calculations!O51*(Calculations!$C$8-Calculations!$C$13))))+'Reaction Information'!$J$50*10^-1*(Calculations!$M51-Calculations!$C$9)+'Reaction Information'!$K$50*10^2*LN((Calculations!$C$12+Calculations!$M51)/(Calculations!$C$12+Calculations!$C$9))+(1/(Calculations!O51-Calculations!$C$13))*('Reaction Information'!$L$50*(Calculations!$M51-Calculations!$C$9)+'Reaction Information'!$M$50*10^4*LN((Calculations!$C$12+Calculations!$M51)/(Calculations!$C$12+Calculations!$C$9)))+calculateOmega(Calculations!M51,Calculations!N51,Calculations!Q51,'Reaction Information'!$C$50,'Reaction Information'!$P$50*10^5,'Reaction Information'!$Q$50)*((1/Calculations!S51)-1)-'Reaction Information'!$P$50*10^5*((1/Calculations!$C$10)-1)+'Reaction Information'!$P$50*10^5*Calculations!$C$14*(Calculations!O51-Calculations!$C$8))</f>
        <v>-133168.65205577915</v>
      </c>
      <c r="AU51" s="8" t="e">
        <f>IF(ISBLANK(Input!$BQ$4),NA(),'Reaction Information'!$E$54-'Reaction Information'!$G$54*(Calculations!$O51-Calculations!$C$8)-'Reaction Information'!$N$54*(Calculations!$O51*LN(Calculations!$O51/Calculations!$C$8)-Calculations!$O51+Calculations!$C$8)-'Reaction Information'!$O$54*10^4*(((1/(Calculations!$O51-Calculations!$C$13))-(1/(Calculations!$C$8-Calculations!$C$13)))*((Calculations!$C$13-Calculations!$O51)/(Calculations!$C$13))-(Calculations!$O51/(Calculations!$C$13*Calculations!$C$13))*LN((Calculations!$C$8*(Calculations!$O51-Calculations!$C$13))/(Calculations!$O51*(Calculations!$C$8-Calculations!$C$13))))+'Reaction Information'!$J$54*10^-1*(Calculations!$M51-Calculations!$C$9)+'Reaction Information'!$K$54*10^2*LN((Calculations!$C$12+Calculations!$M51)/(Calculations!$C$12+Calculations!$C$9))+(1/(Calculations!$O51-Calculations!$C$13))*('Reaction Information'!$L$54*(Calculations!$M51-Calculations!$C$9)+'Reaction Information'!$M$54*10^4*LN((Calculations!$C$12+Calculations!$M51)/(Calculations!$C$12+Calculations!$C$9)))+calculateOmega(Calculations!M51,Calculations!N51,Calculations!Q51,'Reaction Information'!$C$54,'Reaction Information'!$P$54*10^5,'Reaction Information'!$Q$54)*((1/Calculations!$S51)-1)-'Reaction Information'!$P$54*10^5*((1/Calculations!$C$10)-1)+'Reaction Information'!$P$54*10^5*Calculations!$C$14*(Calculations!$O51-Calculations!$C$8))</f>
        <v>#N/A</v>
      </c>
      <c r="AV51" s="8" t="e">
        <f>IF(ISBLANK(Input!$BT$4),NA(),'Reaction Information'!$E$58-'Reaction Information'!$G$58*(Calculations!$O51-Calculations!$C$8)-'Reaction Information'!$N$58*(Calculations!$O51*LN(Calculations!$O51/Calculations!$C$8)-Calculations!$O51+Calculations!$C$8)-'Reaction Information'!$O$58*10^4*(((1/(Calculations!$O51-Calculations!$C$13))-(1/(Calculations!$C$8-Calculations!$C$13)))*((Calculations!$C$13-Calculations!$O51)/(Calculations!$C$13))-(Calculations!$O51/(Calculations!$C$13*Calculations!$C$13))*LN((Calculations!$C$8*(Calculations!$O51-Calculations!$C$13))/(Calculations!$O51*(Calculations!$C$8-Calculations!$C$13))))+'Reaction Information'!$J$58*10^-1*(Calculations!$M51-Calculations!$C$9)+'Reaction Information'!$K$58*10^2*LN((Calculations!$C$12+Calculations!$M51)/(Calculations!$C$12+Calculations!$C$9))+(1/(Calculations!$O51-Calculations!$C$13))*('Reaction Information'!$L$58*(Calculations!$M51-Calculations!$C$9)+'Reaction Information'!$M$58*10^4*LN((Calculations!$C$12+Calculations!$M51)/(Calculations!$C$12+Calculations!$C$9)))+calculateOmega(Calculations!M51,Calculations!N51,Calculations!Q51,'Reaction Information'!$C$58,'Reaction Information'!$P$58*10^5,'Reaction Information'!$Q$58)*((1/Calculations!$S51)-1)-'Reaction Information'!$P$58*10^5*((1/Calculations!$C$10)-1)+'Reaction Information'!$P$58*10^5*Calculations!$C$14*(Calculations!$O51-Calculations!$C$8))</f>
        <v>#N/A</v>
      </c>
      <c r="AW51" s="8" t="e">
        <f>IF(ISBLANK(Input!$BW$4),NA(),'Reaction Information'!$E$62-'Reaction Information'!$G$62*(Calculations!$O51-Calculations!$C$8)-'Reaction Information'!$N$62*(Calculations!$O51*LN(Calculations!$O51/Calculations!$C$8)-Calculations!$O51+Calculations!$C$8)-'Reaction Information'!$O$62*10^4*(((1/(Calculations!$O51-Calculations!$C$13))-(1/(Calculations!$C$8-Calculations!$C$13)))*((Calculations!$C$13-Calculations!$O51)/(Calculations!$C$13))-(Calculations!$O51/(Calculations!$C$13*Calculations!$C$13))*LN((Calculations!$C$8*(Calculations!$O51-Calculations!$C$13))/(Calculations!$O51*(Calculations!$C$8-Calculations!$C$13))))+'Reaction Information'!$J$62*10^-1*(Calculations!$M51-Calculations!$C$9)+'Reaction Information'!$K$62*10^2*LN((Calculations!$C$12+Calculations!$M51)/(Calculations!$C$12+Calculations!$C$9))+(1/(Calculations!$O51-Calculations!$C$13))*('Reaction Information'!$L$62*(Calculations!$M51-Calculations!$C$9)+'Reaction Information'!$M$62*10^4*LN((Calculations!$C$12+Calculations!$M51)/(Calculations!$C$12+Calculations!$C$9)))+calculateOmega(Calculations!M51,Calculations!N51,Calculations!Q51,'Reaction Information'!$C$62,'Reaction Information'!$P$62*10^5,'Reaction Information'!$Q$62)*((1/Calculations!$S51)-1)-'Reaction Information'!$P$62*10^5*((1/Calculations!$C$10)-1)+'Reaction Information'!$P$62*10^5*Calculations!$C$14*(Calculations!$O51-Calculations!$C$8))</f>
        <v>#N/A</v>
      </c>
      <c r="AX51" s="8" t="e">
        <f>IF(ISBLANK(Input!$BZ$4),NA(),'Reaction Information'!$E$66-'Reaction Information'!$G$66*(Calculations!$O51-Calculations!$C$8)-'Reaction Information'!$N$66*(Calculations!$O51*LN(Calculations!$O51/Calculations!$C$8)-Calculations!$O51+Calculations!$C$8)-'Reaction Information'!$O$66*10^4*(((1/(Calculations!$O51-Calculations!$C$13))-(1/(Calculations!$C$8-Calculations!$C$13)))*((Calculations!$C$13-Calculations!$O51)/(Calculations!$C$13))-(Calculations!$O51/(Calculations!$C$13*Calculations!$C$13))*LN((Calculations!$C$8*(Calculations!$O51-Calculations!$C$13))/(Calculations!$O51*(Calculations!$C$8-Calculations!$C$13))))+'Reaction Information'!$J$66*10^-1*(Calculations!$M51-Calculations!$C$9)+'Reaction Information'!$K$66*10^2*LN((Calculations!$C$12+Calculations!$M51)/(Calculations!$C$12+Calculations!$C$9))+(1/(Calculations!$O51-Calculations!$C$13))*('Reaction Information'!$L$66*(Calculations!$M51-Calculations!$C$9)+'Reaction Information'!$M$66*10^4*LN((Calculations!$C$12+Calculations!$M51)/(Calculations!$C$12+Calculations!$C$9)))+calculateOmega(Calculations!M51,Calculations!N51,Calculations!Q51,'Reaction Information'!$C$66,'Reaction Information'!$P$66*10^5,'Reaction Information'!$Q$66)*((1/Calculations!$S51)-1)-'Reaction Information'!$P$66*10^5*((1/Calculations!$C$10)-1)+'Reaction Information'!$P$66*10^5*Calculations!$C$14*(Calculations!$O51-Calculations!$C$8))</f>
        <v>#N/A</v>
      </c>
      <c r="AY51" s="31">
        <f>(AL51*Input!$AO$4+AM51*Input!$AR$4+AN51*Input!$AU$4+AO51*Input!$AX$4+IF(ISNA(AP51),0,AP51*Input!$BA$4)+IF(ISNA(AQ51),0,AQ51*Input!$BD$4)+IF(ISNA(AR51),0,AR51*Input!$BG$4)+IF(ISNA(AS51),0,AS51*Input!$BJ$4)+IF(ISNA(AT51),0,AT51*Input!$BM$4)+IF(ISNA(AU51),0,AU51*Input!$BP$4)+IF(ISNA(AV51),0,AV51*Input!$BS$4)+IF(ISNA(AW51),0,AW51*Input!$BV$4)+IF(ISNA(AX51),0,AX51*Input!$BY$4))-(Y51*Input!$B$4+Z51*Input!$E$4+AA51*Input!$H$4+AB51*Input!$K$4+IF(ISNA(AC51),0,AC51*Input!$N$4)+IF(ISNA(AD51),0,AD51*Input!$Q$4)+IF(ISNA(AE51),0,AE51*Input!$T$4)+IF(ISNA(AF51),0,AF51*Input!$W$4)+IF(ISNA(AG51),0,AG51*Input!$Z$4)+IF(ISNA(AH51),0,AH51*Input!$AC$4)+IF(ISNA(AI51),0,AI51*Input!$AF$4)+IF(ISNA(AJ51),0,AJ51*Input!$AI$4)+IF(ISNA(AK51),0,AK51*Input!$AL$4))</f>
        <v>9717.7178592456912</v>
      </c>
      <c r="AZ51" s="42">
        <f t="shared" si="16"/>
        <v>-3.707898716139777</v>
      </c>
      <c r="BA51" s="1">
        <f t="shared" si="8"/>
        <v>300</v>
      </c>
      <c r="BB51" s="46">
        <f t="shared" si="9"/>
        <v>20000</v>
      </c>
      <c r="BC51" s="1"/>
      <c r="BD51" s="2">
        <f t="shared" si="10"/>
        <v>20000</v>
      </c>
      <c r="BE51" s="46">
        <f t="shared" si="11"/>
        <v>300</v>
      </c>
      <c r="BF51" s="1">
        <f>Results!AJ53</f>
        <v>0</v>
      </c>
      <c r="BG51" s="1">
        <f>Results!AK53</f>
        <v>0</v>
      </c>
      <c r="BH51" s="1">
        <f>Results!AL53</f>
        <v>0</v>
      </c>
      <c r="BI51" s="1">
        <f>Results!AM53</f>
        <v>0</v>
      </c>
      <c r="BJ51" s="1" t="e">
        <f>IF(OR(ISNA('Reaction Information'!$D$5), $N51 = "", $D$27 = FALSE, 'Reaction Information'!$D$5 = ""), NA(), 24.465)</f>
        <v>#N/A</v>
      </c>
      <c r="BK51" s="1" t="e">
        <f>IF(OR(ISNA('Reaction Information'!$D$9), $N51 = "", $D$27 = FALSE, 'Reaction Information'!$D$9 = ""), NA(), 24.465)</f>
        <v>#N/A</v>
      </c>
      <c r="BL51" s="8">
        <f t="shared" si="17"/>
        <v>14.536035009147158</v>
      </c>
      <c r="BM51" s="8">
        <f>IF(OR(ISBLANK(Input!$X$4),$D$27=FALSE),NA(),('Reaction Information'!$J$13/10+'Reaction Information'!$K$13*100/(Calculations!$C$12+Calculations!$M51)+('Reaction Information'!$L$13+'Reaction Information'!$M$13*10^4/(Calculations!$C$12+Calculations!$M51))/(Calculations!$O51-Calculations!$C$13) -calculateOmega(Calculations!$M51,Calculations!$N51,Calculations!$Q51,'Reaction Information'!$C$13,'Reaction Information'!$P$13*10^5,'Reaction Information'!$Q$13)*Calculations!$U51*10^-6 + (1/$S51 - 1)*calculate_domegadP(Calculations!$M51,Calculations!$N51,Calculations!$Q51,'Reaction Information'!$C$13,'Reaction Information'!$P$13*10^5,'Reaction Information'!$Q$13,$D$20,$D$19=3))*41.84)</f>
        <v>30.483289158691857</v>
      </c>
      <c r="BN51" s="8" t="e">
        <f>IF(OR(ISBLANK(Input!$AA$4),$D$27=FALSE),NA(),('Reaction Information'!$J$17/10+'Reaction Information'!$K$17*100/(Calculations!$C$12+Calculations!$M51)+('Reaction Information'!$L$17+'Reaction Information'!$M$17*10000/(Calculations!$C$12+Calculations!$M51))/(Calculations!$O51-Calculations!$C$13)-calculateOmega(Calculations!M51,Calculations!N51,Calculations!Q51,'Reaction Information'!$C$17,'Reaction Information'!$P$17*10^5,'Reaction Information'!$Q$17)*Calculations!$U51*10^-6 + (1/$S51 - 1)*calculate_domegadP(Calculations!M51,Calculations!N51,Calculations!Q51,'Reaction Information'!$C$17,'Reaction Information'!$P$17*10^5,'Reaction Information'!$Q$17,$D$20,$D$19=3))*41.84)</f>
        <v>#N/A</v>
      </c>
      <c r="BO51" s="8" t="e">
        <f>IF(OR(ISBLANK(Input!$AD$4),$D$27=FALSE),NA(),('Reaction Information'!$J$21/10+'Reaction Information'!$K$21*100/(Calculations!$C$12+Calculations!$M51)+('Reaction Information'!$L$21+'Reaction Information'!$M$21*10000/(Calculations!$C$12+Calculations!$M51))/(Calculations!$O51-Calculations!$C$13)-calculateOmega(Calculations!M51,Calculations!N51,Calculations!Q51,'Reaction Information'!$C$21,'Reaction Information'!$P$21*10^5,'Reaction Information'!$Q$21)*Calculations!$U51*10^-6 + (1/$S51 - 1)*calculate_domegadP(Calculations!M51,Calculations!N51,Calculations!Q51,'Reaction Information'!$C$21,'Reaction Information'!$P$21*10^5,'Reaction Information'!$Q$21,$D$20,$D$19=3))*41.84)</f>
        <v>#N/A</v>
      </c>
      <c r="BP51" s="8" t="e">
        <f>IF(OR(ISBLANK(Input!$AG$4),$D$27=FALSE),NA(),('Reaction Information'!$J$25/10+'Reaction Information'!$K$25*100/(Calculations!$C$12+Calculations!$M51)+('Reaction Information'!$L$25+'Reaction Information'!$M$25*10000/(Calculations!$C$12+Calculations!$M51))/(Calculations!$O51-Calculations!$C$13)-calculateOmega(Calculations!M51,Calculations!N51,Calculations!Q51,'Reaction Information'!$C$25,'Reaction Information'!$P$25*10^5,'Reaction Information'!$Q$25)*Calculations!$U51*10^-6 + (1/$S51 - 1)*calculate_domegadP(Calculations!M51,Calculations!N51,Calculations!Q51,'Reaction Information'!$C$25,'Reaction Information'!$P$25*10^5,'Reaction Information'!$Q$25,$D$20,$D$19=3))*41.84)</f>
        <v>#N/A</v>
      </c>
      <c r="BQ51" s="8" t="e">
        <f>IF(OR(ISBLANK(Input!$AJ$4),$D$27=FALSE),NA(),('Reaction Information'!$J$29/10+'Reaction Information'!$K$29*100/(Calculations!$C$12+Calculations!$M51)+('Reaction Information'!$L$29+'Reaction Information'!$M$29*10000/(Calculations!$C$12+Calculations!$M51))/(Calculations!$O51-Calculations!$C$13)-calculateOmega(Calculations!M51,Calculations!N51,Calculations!Q51,'Reaction Information'!$C$29,'Reaction Information'!$P$29*10^5,'Reaction Information'!$Q$29)*Calculations!$U51*10^-6 + (1/$S51 - 1)*calculate_domegadP(Calculations!M51,Calculations!N51,Calculations!Q51,'Reaction Information'!$C$29,'Reaction Information'!$P$29*10^5,'Reaction Information'!$Q$29,$D$20,$D$19=3))*41.84)</f>
        <v>#N/A</v>
      </c>
      <c r="BR51" s="8" t="e">
        <f>IF(OR(ISBLANK(Input!$AM$4),$D$27=FALSE),NA(),('Reaction Information'!$J$33/10+'Reaction Information'!$K$33*100/(Calculations!$C$12+Calculations!$M51)+('Reaction Information'!$L$33+'Reaction Information'!$M$33*10000/(Calculations!$C$12+Calculations!$M51))/(Calculations!$O51-Calculations!$C$13)-calculateOmega(Calculations!M51,Calculations!N51,Calculations!Q51,'Reaction Information'!$C$33,'Reaction Information'!$P$33*10^5,'Reaction Information'!$Q$33)*Calculations!$U51*10^-6 + (1/$S51 - 1)*calculate_domegadP(Calculations!M51,Calculations!N51,Calculations!Q51,'Reaction Information'!$C$33,'Reaction Information'!$P$33*10^5,'Reaction Information'!$Q$33,$D$20,$D$19=3))*41.84)</f>
        <v>#N/A</v>
      </c>
      <c r="BS51" s="1">
        <f>Results!AW53</f>
        <v>0</v>
      </c>
      <c r="BT51" s="1">
        <f>Results!AX53</f>
        <v>0</v>
      </c>
      <c r="BU51" s="1">
        <f>Results!AY53</f>
        <v>0</v>
      </c>
      <c r="BV51" s="1">
        <f>Results!AZ53</f>
        <v>0</v>
      </c>
      <c r="BW51" s="1" t="e">
        <f>IF(OR(ISNA('Reaction Information'!$D$38), $N51 = "", $D$27 = FALSE, 'Reaction Information'!$D$38 = ""), NA(), 24.465)</f>
        <v>#N/A</v>
      </c>
      <c r="BX51" s="1" t="e">
        <f>IF(OR(ISNA('Reaction Information'!$D$42), $N51 = "", $D$27 = FALSE, 'Reaction Information'!$D$42 = ""), NA(), 24.465)</f>
        <v>#N/A</v>
      </c>
      <c r="BY51" s="8" t="e">
        <f t="shared" si="18"/>
        <v>#N/A</v>
      </c>
      <c r="BZ51" s="8">
        <f>IF(OR(ISBLANK(Input!$BK$4),$D$27=FALSE),NA(),('Reaction Information'!$J$46/10+'Reaction Information'!$K$46*100/(Calculations!$C$12+Calculations!$M51)+('Reaction Information'!$L$46+'Reaction Information'!$M$46*10000/(Calculations!$C$12+Calculations!$M51))/(Calculations!$O51-Calculations!$C$13)-calculateOmega(Calculations!M51,Calculations!N51,Calculations!Q51,'Reaction Information'!$C$46,'Reaction Information'!$P$46*10^5,'Reaction Information'!$Q$46)*Calculations!$U51*10^-6 + (1/$S51 - 1)*calculate_domegadP(Calculations!M51,Calculations!N51,Calculations!Q51,'Reaction Information'!$C$46,'Reaction Information'!$P$46*10^5,'Reaction Information'!$Q$46,$D$20,$D$19=3))*41.84)</f>
        <v>0</v>
      </c>
      <c r="CA51" s="8">
        <f>IF(OR(ISBLANK(Input!$BN$4),$D$27=FALSE),NA(),('Reaction Information'!$J$50/10+'Reaction Information'!$K$50*100/(Calculations!$C$12+Calculations!$M51)+('Reaction Information'!$L$50+'Reaction Information'!$M$50*10000/(Calculations!$C$12+Calculations!$M51))/(Calculations!$O51-Calculations!$C$13)-calculateOmega(Calculations!M51,Calculations!N51,Calculations!Q51,'Reaction Information'!$C$50,'Reaction Information'!$P$50*10^5,'Reaction Information'!$Q$50)*Calculations!$U51*10^-6 + (1/$S51 - 1)*calculate_domegadP(Calculations!M51,Calculations!N51,Calculations!Q51,'Reaction Information'!$C$50,'Reaction Information'!$P$50*10^5,'Reaction Information'!$Q$50,$D$20,$D$19=3))*41.84)</f>
        <v>30.950110336692617</v>
      </c>
      <c r="CB51" s="8" t="e">
        <f>IF(OR(ISBLANK(Input!$BQ$4),$D$27=FALSE),NA(),('Reaction Information'!$J$54/10+'Reaction Information'!$K$54*100/(Calculations!$C$12+Calculations!$M51)+('Reaction Information'!$L$54+'Reaction Information'!$M$54*10000/(Calculations!$C$12+Calculations!$M51))/(Calculations!$O51-Calculations!$C$13)-calculateOmega(Calculations!M51,Calculations!N51,Calculations!Q51,'Reaction Information'!$C$54,'Reaction Information'!$P$54*10^5,'Reaction Information'!$Q$54)*Calculations!$U51*10^-6 + (1/$S51 - 1)*calculate_domegadP(Calculations!M51,Calculations!N51,Calculations!Q51,'Reaction Information'!$C$54,'Reaction Information'!$P$54*10^5,'Reaction Information'!$Q$54,$D$20,$D$19=3))*41.84)</f>
        <v>#N/A</v>
      </c>
      <c r="CC51" s="8" t="e">
        <f>IF(OR(ISBLANK(Input!$BT$4),$D$27=FALSE),NA(),('Reaction Information'!$J$58/10+'Reaction Information'!$K$58*100/(Calculations!$C$12+Calculations!$M51)+('Reaction Information'!$L$58+'Reaction Information'!$M$58*10000/(Calculations!$C$12+Calculations!$M51))/(Calculations!$O51-Calculations!$C$13)-calculateOmega(Calculations!M51,Calculations!N51,Calculations!Q51,'Reaction Information'!$C$58,'Reaction Information'!$P$58*10^5,'Reaction Information'!$Q$58)*Calculations!$U51*10^-6 + (1/$S51 - 1)*calculate_domegadP(Calculations!M51,Calculations!N51,Calculations!Q51,'Reaction Information'!$C$58,'Reaction Information'!$P$58*10^5,'Reaction Information'!$Q$58,$D$20,$D$19=3))*41.84)</f>
        <v>#N/A</v>
      </c>
      <c r="CD51" s="8" t="e">
        <f>IF(OR(ISBLANK(Input!$BW$4),$D$27=FALSE),NA(),('Reaction Information'!$J$62/10+'Reaction Information'!$K$62*100/(Calculations!$C$12+Calculations!$M51)+('Reaction Information'!$L$62+'Reaction Information'!$M$62*10000/(Calculations!$C$12+Calculations!$M51))/(Calculations!$O51-Calculations!$C$13)-calculateOmega(Calculations!M51,Calculations!N51,Calculations!Q51,'Reaction Information'!$C$62,'Reaction Information'!$P$62*10^5,'Reaction Information'!$Q$62)*Calculations!$U51*10^-6 + (1/$S51 - 1)*calculate_domegadP(Calculations!M51,Calculations!N51,Calculations!Q51,'Reaction Information'!$C$62,'Reaction Information'!$P$62*10^5,'Reaction Information'!$Q$62,$D$20,$D$19=3))*41.84)</f>
        <v>#N/A</v>
      </c>
      <c r="CE51" s="8" t="e">
        <f>IF(OR(ISBLANK(Input!$BZ$4),$D$27=FALSE),NA(),('Reaction Information'!$J$66/10+'Reaction Information'!$K$66*100/(Calculations!$C$12+Calculations!$M51)+('Reaction Information'!$L$66+'Reaction Information'!$M$66*10000/(Calculations!$C$12+Calculations!$M51))/(Calculations!$O51-Calculations!$C$13)-calculateOmega(Calculations!M51,Calculations!N51,Calculations!Q51,'Reaction Information'!$C$66,'Reaction Information'!$P$66*10^5,'Reaction Information'!$Q$66)*Calculations!$U51*10^-6 + (1/$S51 - 1)*calculate_domegadP(Calculations!M51,Calculations!N51,Calculations!Q51,'Reaction Information'!$C$66,'Reaction Information'!$P$66*10^5,'Reaction Information'!$Q$66,$D$20,$D$19=3))*41.84)</f>
        <v>#N/A</v>
      </c>
      <c r="CF51" s="31">
        <f>(BS51*Input!$AO$4+BT51*Input!$AR$4+BU51*Input!$AU$4+BV51*Input!$AX$4+IF(ISNA(BW51),0,BW51*Input!$BA$4)+IF(ISNA(BX51),0,BX51*Input!$BD$4)+IF(ISNA(BY51),0,BY51*Input!$BG$4)+IF(ISNA(BZ51),0,BZ51*Input!$BJ$4)+IF(ISNA(CA51),0,CA51*Input!$BM$4)+IF(ISNA(CB51),0,CB51*Input!$BP$4)+IF(ISNA(CC51),0,CC51*Input!$BS$4)+IF(ISNA(CD51),0,CD51*Input!$BV$4)+IF(ISNA(CE51),0,CE51*Input!$BY$4))-(BF51*Input!$B$4+BG51*Input!$E$4+BH51*Input!$H$4+BI51*Input!$K$4+IF(ISNA(BJ51),0,BJ51*Input!$N$4)+IF(ISNA(BK51),0,BK51*Input!$Q$4)+IF(ISNA(BL51),0,BL51*Input!$T$4)+IF(ISNA(BM51),0,BM51*Input!$W$4)+IF(ISNA(BN51),0,BN51*Input!$Z$4)+IF(ISNA(BO51),0,BO51*Input!$AC$4)+IF(ISNA(BP51),0,BP51*Input!$AF$4)+IF(ISNA(BQ51),0,BQ51*Input!$AI$4)+IF(ISNA(BR51),0,BR51*Input!$AL$4))</f>
        <v>-14.069213831146399</v>
      </c>
      <c r="CG51" s="1">
        <f t="shared" si="12"/>
        <v>300</v>
      </c>
      <c r="CH51" s="46">
        <f t="shared" si="13"/>
        <v>20000</v>
      </c>
      <c r="CI51" s="1"/>
    </row>
    <row r="52" spans="1:87" x14ac:dyDescent="0.2">
      <c r="A52" s="1"/>
      <c r="E52" s="1"/>
      <c r="F52" s="2">
        <v>47</v>
      </c>
      <c r="G52" s="1" t="str">
        <f>IF(ISBLANK(Input!CB52), "", Input!CB52*1000)</f>
        <v/>
      </c>
      <c r="H52" s="1" t="str">
        <f>IF(ISBLANK(Input!CC52), "", Input!CC52)</f>
        <v/>
      </c>
      <c r="I52" s="1">
        <f>IF(Input!$CF$5 + Input!$CF$6*(FLOOR((Calculations!$F52-1)/(FLOOR((Input!$CF$12-Input!$CF$10)/Input!$CF$11,1)+1),1)) &gt; Input!$CF$7, "", (Input!$CF$5 + Input!$CF$6*(FLOOR((Calculations!$F52-1)/(FLOOR((Input!$CF$12-Input!$CF$10)/Input!$CF$11,1)+1),1)))*1000)</f>
        <v>20000</v>
      </c>
      <c r="J52" s="1">
        <f>IF(Calculations!I52 = "", "", Input!$CF$10 + Input!$CF$11*(Calculations!$F52-1) - (FLOOR((Input!$CF$12-Input!$CF$10)/Input!$CF$11,1)+1)*Input!$CF$11*FLOOR((Calculations!$F52-1)/(FLOOR((Input!$CF$12-Input!$CF$10)/Input!$CF$11,1)+1),1))</f>
        <v>350</v>
      </c>
      <c r="K52" s="8" t="str">
        <f t="shared" si="14"/>
        <v/>
      </c>
      <c r="L52" s="117" t="str">
        <f>IF(OR(Input!$CJ$5 + Input!$CJ$6*(Calculations!F52-1) &gt; Input!$CJ$7, Input!$CJ$5 + Input!$CJ$6*(Calculations!F52-1) &gt; 350), "", Input!$CJ$5 + Input!$CJ$6*(Calculations!F52-1))</f>
        <v/>
      </c>
      <c r="M52" s="1">
        <f t="shared" si="2"/>
        <v>20000</v>
      </c>
      <c r="N52" s="1">
        <f t="shared" si="3"/>
        <v>350</v>
      </c>
      <c r="O52" s="1">
        <f t="shared" si="15"/>
        <v>623.15</v>
      </c>
      <c r="P52" s="1" t="e">
        <f>IF(OR($D$20=3,AND($D$21=TRUE,M52&lt;1000)),INDEX('Water Density'!$C$6:$CX$120,MATCH(Calculations!N52,'Water Density'!$B$6:$B$120),MATCH(Calculations!M52/1000,'Water Density'!$C$5:$CX$5)),NA())</f>
        <v>#N/A</v>
      </c>
      <c r="Q52" s="182">
        <f>IF(OR($D$20=3,AND($D$21=TRUE,M52&lt;1000)), IF(P52&lt;&gt;0,P52,NA()), calculateDensity(M52,N52,$D$20,0.01,$D$19 = 3))</f>
        <v>1.2206754597640037</v>
      </c>
      <c r="R52" s="1" t="e">
        <f>IF($D$22=5,INDEX('Dielectric Constant'!$C$6:$CX$120,MATCH(Calculations!N52,'Dielectric Constant'!$B$6:$B$120),MATCH(Calculations!M52/1000,'Dielectric Constant'!$C$5:$CX$5)),NA())</f>
        <v>#N/A</v>
      </c>
      <c r="S52" s="58">
        <f>IF($D$22=5, IF(R52&lt;&gt;0,R52,NA()), IF(AND($D$23,M52&lt;=5000,$D$19 &lt;&gt; 3),calculateEpsilon(Q52,N52,1,FALSE),calculateEpsilon(Q52,N52,$D$22,$D$19 = 3)))</f>
        <v>41.634075256403847</v>
      </c>
      <c r="T52" s="1" t="e">
        <f>IF($D$24=3,INDEX('Water Free Energy'!$C$6:$CX$120,MATCH(Calculations!N52,'Water Free Energy'!$B$6:$B$120),MATCH(Calculations!M52/1000,'Water Free Energy'!$C$5:$CX$5)),NA())</f>
        <v>#N/A</v>
      </c>
      <c r="U52" s="179">
        <f>IF($D$27,calculateQ(M52,N52,Q52,$D$20,$D$22,$D$19=3)*10^6,NA())</f>
        <v>0.24786670459191915</v>
      </c>
      <c r="V52"/>
      <c r="W52" s="2">
        <f t="shared" si="5"/>
        <v>20000</v>
      </c>
      <c r="X52" s="1">
        <f t="shared" si="6"/>
        <v>350</v>
      </c>
      <c r="Y52" s="1">
        <f>Results!F54</f>
        <v>0</v>
      </c>
      <c r="Z52" s="1">
        <f>Results!G54</f>
        <v>0</v>
      </c>
      <c r="AA52" s="1">
        <f>Results!H54</f>
        <v>0</v>
      </c>
      <c r="AB52" s="1">
        <f>Results!I54</f>
        <v>0</v>
      </c>
      <c r="AC52" s="1" t="e">
        <f>IF(ISBLANK(Input!$O$4),NA(),'Reaction Information'!$E$5-'Reaction Information'!$G$5*(Calculations!$O52-Calculations!$C$8)+'Reaction Information'!$I$5*(Calculations!$O52-Calculations!$C$8-Calculations!$O52*LN(Calculations!$O52/Calculations!$C$8))+'Reaction Information'!$J$5*0.001/2*(2*Calculations!$O52*Calculations!$C$8-Calculations!$O52^2-Calculations!$C$8^2) + 'Reaction Information'!$K$5*100000*(Calculations!$O52^2 + Calculations!$C$8^2 - 2*Calculations!$O52*Calculations!$C$8)/(2*Calculations!$O52*Calculations!$C$8^2))</f>
        <v>#N/A</v>
      </c>
      <c r="AD52" s="8" t="e">
        <f>IF(ISBLANK(Input!$R$4),NA(),'Reaction Information'!$E$9-'Reaction Information'!$G$9*(Calculations!$O52-Calculations!$C$8)+'Reaction Information'!$I$9*(Calculations!$O52-Calculations!$C$8-Calculations!$O52*LN(Calculations!$O52/Calculations!$C$8))+'Reaction Information'!$J$9*0.001/2*(2*Calculations!$O52*Calculations!$C$8-Calculations!$O52^2-Calculations!$C$8^2) + 'Reaction Information'!$K$9*100000*(Calculations!$O52^2 + Calculations!$C$8^2 - 2*Calculations!$O52*Calculations!$C$8)/(2*Calculations!$O52*Calculations!$C$8^2))</f>
        <v>#N/A</v>
      </c>
      <c r="AE52" s="8">
        <f>IF(AE$5="H2O",IF($D$24=3,IF(T52=0,NA(),T52),calculateGibbsOfWater(M52,N52,$D$24,$D$20,$D$19=3)),NA())</f>
        <v>-56192.753966515877</v>
      </c>
      <c r="AF52" s="8">
        <f>IF(ISBLANK(Input!$X$4),NA(),'Reaction Information'!$E$13-'Reaction Information'!$G$13*(Calculations!O52-Calculations!$C$8)-'Reaction Information'!$N$13*(Calculations!O52*LN(Calculations!O52/Calculations!$C$8)-Calculations!O52+Calculations!$C$8)-'Reaction Information'!$O$13*10^4*(((1/(Calculations!O52-Calculations!$C$13))-(1/(Calculations!$C$8-Calculations!$C$13)))*((Calculations!$C$13-Calculations!O52)/(Calculations!$C$13))-(Calculations!O52/(Calculations!$C$13*Calculations!$C$13))*LN((Calculations!$C$8*(Calculations!O52-Calculations!$C$13))/(Calculations!O52*(Calculations!$C$8-Calculations!$C$13))))+'Reaction Information'!$J$13*10^-1*(Calculations!M52-Calculations!$C$9)+'Reaction Information'!$K$13*10^2*LN((Calculations!$C$12+Calculations!M52)/(Calculations!$C$12+Calculations!$C$9))+(1/(Calculations!O52-Calculations!$C$13))*('Reaction Information'!$L$13*(Calculations!M52-Calculations!$C$9)+'Reaction Information'!$M$13*10^4*LN((Calculations!$C$12+Calculations!M52)/(Calculations!$C$12+Calculations!$C$9)))+calculateOmega(Calculations!M52,Calculations!N52,Calculations!Q52,'Reaction Information'!$C$13,'Reaction Information'!$P$13*10^5,'Reaction Information'!$Q$13)*((1/Calculations!S52)-1)-'Reaction Information'!$P$13*10^5*((1/Calculations!$C$10)-1)+'Reaction Information'!$P$13*10^5*Calculations!$C$14*(Calculations!O52-Calculations!$C$8))</f>
        <v>-90012.506011808655</v>
      </c>
      <c r="AG52" s="8" t="e">
        <f>IF(ISBLANK(Input!$AA$4),NA(),'Reaction Information'!$E$17-'Reaction Information'!$G$17*(Calculations!$O52-Calculations!$C$8)-'Reaction Information'!$N$17*(Calculations!$O52*LN(Calculations!$O52/Calculations!$C$8)-Calculations!$O52+Calculations!$C$8)-'Reaction Information'!$O$17*10^4*(((1/(Calculations!$O52-Calculations!$C$13))-(1/(Calculations!$C$8-Calculations!$C$13)))*((Calculations!$C$13-Calculations!$O52)/(Calculations!$C$13))-(Calculations!$O52/(Calculations!$C$13*Calculations!$C$13))*LN((Calculations!$C$8*(Calculations!$O52-Calculations!$C$13))/(Calculations!$O52*(Calculations!$C$8-Calculations!$C$13))))+'Reaction Information'!$J$17*10^-1*(Calculations!$M52-Calculations!$C$9)+'Reaction Information'!$K$17*10^2*LN((Calculations!$C$12+Calculations!$M52)/(Calculations!$C$12+Calculations!$C$9))+(1/(Calculations!$O52-Calculations!$C$13))*('Reaction Information'!$L$17*(Calculations!$M52-Calculations!$C$9)+'Reaction Information'!$M$17*10^4*LN((Calculations!$C$12+Calculations!$M52)/(Calculations!$C$12+Calculations!$C$9)))+calculateOmega(Calculations!M52,Calculations!N52,Calculations!Q52,'Reaction Information'!$C$17,'Reaction Information'!$P$17*10^5,'Reaction Information'!$Q$17)*((1/Calculations!$S52)-1)-'Reaction Information'!$P$17*10^5*((1/Calculations!$C$10)-1)+'Reaction Information'!$P$17*10^5*Calculations!$C$14*(Calculations!$O52-Calculations!$C$8))</f>
        <v>#N/A</v>
      </c>
      <c r="AH52" s="8" t="e">
        <f>IF(ISBLANK(Input!$AD$4),NA(),'Reaction Information'!$E$21-'Reaction Information'!$G$21*(Calculations!$O52-Calculations!$C$8)-'Reaction Information'!$N$21*(Calculations!$O52*LN(Calculations!$O52/Calculations!$C$8)-Calculations!$O52+Calculations!$C$8)-'Reaction Information'!$O$21*10^4*(((1/(Calculations!$O52-Calculations!$C$13))-(1/(Calculations!$C$8-Calculations!$C$13)))*((Calculations!$C$13-Calculations!$O52)/(Calculations!$C$13))-(Calculations!$O52/(Calculations!$C$13*Calculations!$C$13))*LN((Calculations!$C$8*(Calculations!$O52-Calculations!$C$13))/(Calculations!$O52*(Calculations!$C$8-Calculations!$C$13))))+'Reaction Information'!$J$21*10^-1*(Calculations!$M52-Calculations!$C$9)+'Reaction Information'!$K$21*10^2*LN((Calculations!$C$12+Calculations!$M52)/(Calculations!$C$12+Calculations!$C$9))+(1/(Calculations!$O52-Calculations!$C$13))*('Reaction Information'!$L$21*(Calculations!$M52-Calculations!$C$9)+'Reaction Information'!$M$21*10^4*LN((Calculations!$C$12+Calculations!$M52)/(Calculations!$C$12+Calculations!$C$9)))+calculateOmega(Calculations!M52,Calculations!N52,Calculations!Q52,'Reaction Information'!$C$21,'Reaction Information'!$P$21*10^5,'Reaction Information'!$Q$21)*((1/Calculations!$S52)-1)-'Reaction Information'!$P$21*10^5*((1/Calculations!$C$10)-1)+'Reaction Information'!$P$21*10^5*Calculations!$C$14*(Calculations!$O52-Calculations!$C$8))</f>
        <v>#N/A</v>
      </c>
      <c r="AI52" s="8" t="e">
        <f>IF(ISBLANK(Input!$AG$4),NA(),'Reaction Information'!$E$25-'Reaction Information'!$G$25*(Calculations!$O52-Calculations!$C$8)-'Reaction Information'!$N$25*(Calculations!$O52*LN(Calculations!$O52/Calculations!$C$8)-Calculations!$O52+Calculations!$C$8)-'Reaction Information'!$O$25*10^4*(((1/(Calculations!$O52-Calculations!$C$13))-(1/(Calculations!$C$8-Calculations!$C$13)))*((Calculations!$C$13-Calculations!$O52)/(Calculations!$C$13))-(Calculations!$O52/(Calculations!$C$13*Calculations!$C$13))*LN((Calculations!$C$8*(Calculations!$O52-Calculations!$C$13))/(Calculations!$O52*(Calculations!$C$8-Calculations!$C$13))))+'Reaction Information'!$J$25*10^-1*(Calculations!$M52-Calculations!$C$9)+'Reaction Information'!$K$25*10^2*LN((Calculations!$C$12+Calculations!$M52)/(Calculations!$C$12+Calculations!$C$9))+(1/(Calculations!$O52-Calculations!$C$13))*('Reaction Information'!$L$25*(Calculations!$M52-Calculations!$C$9)+'Reaction Information'!$M$25*10^4*LN((Calculations!$C$12+Calculations!$M52)/(Calculations!$C$12+Calculations!$C$9)))+calculateOmega(Calculations!M52,Calculations!N52,Calculations!Q52,'Reaction Information'!$C$25,'Reaction Information'!$P$25*10^5,'Reaction Information'!$Q$25)*((1/Calculations!$S52)-1)-'Reaction Information'!$P$25*10^5*((1/Calculations!$C$10)-1)+'Reaction Information'!$P$25*10^5*Calculations!$C$14*(Calculations!$O52-Calculations!$C$8))</f>
        <v>#N/A</v>
      </c>
      <c r="AJ52" s="8" t="e">
        <f>IF(ISBLANK(Input!$AJ$4),NA(),'Reaction Information'!$E$29-'Reaction Information'!$G$29*(Calculations!$O52-Calculations!$C$8)-'Reaction Information'!$N$29*(Calculations!$O52*LN(Calculations!$O52/Calculations!$C$8)-Calculations!$O52+Calculations!$C$8)-'Reaction Information'!$O$29*10^4*(((1/(Calculations!$O52-Calculations!$C$13))-(1/(Calculations!$C$8-Calculations!$C$13)))*((Calculations!$C$13-Calculations!$O52)/(Calculations!$C$13))-(Calculations!$O52/(Calculations!$C$13*Calculations!$C$13))*LN((Calculations!$C$8*(Calculations!$O52-Calculations!$C$13))/(Calculations!$O52*(Calculations!$C$8-Calculations!$C$13))))+'Reaction Information'!$J$29*10^-1*(Calculations!$M52-Calculations!$C$9)+'Reaction Information'!$K$29*10^2*LN((Calculations!$C$12+Calculations!$M52)/(Calculations!$C$12+Calculations!$C$9))+(1/(Calculations!$O52-Calculations!$C$13))*('Reaction Information'!$L$29*(Calculations!$M52-Calculations!$C$9)+'Reaction Information'!$M$29*10^4*LN((Calculations!$C$12+Calculations!$M52)/(Calculations!$C$12+Calculations!$C$9)))+calculateOmega(Calculations!M52,Calculations!N52,Calculations!Q52,'Reaction Information'!$C$29,'Reaction Information'!$P$29*10^5,'Reaction Information'!$Q$29)*((1/Calculations!$S52)-1)-'Reaction Information'!$P$29*10^5*((1/Calculations!$C$10)-1)+'Reaction Information'!$P$29*10^5*Calculations!$C$14*(Calculations!$O52-Calculations!$C$8))</f>
        <v>#N/A</v>
      </c>
      <c r="AK52" s="8" t="e">
        <f>IF(ISBLANK(Input!$AM$4),NA(),'Reaction Information'!$E$33-'Reaction Information'!$G$33*(Calculations!$O52-Calculations!$C$8)-'Reaction Information'!$N$33*(Calculations!$O52*LN(Calculations!$O52/Calculations!$C$8)-Calculations!$O52+Calculations!$C$8)-'Reaction Information'!$O$33*10^4*(((1/(Calculations!$O52-Calculations!$C$13))-(1/(Calculations!$C$8-Calculations!$C$13)))*((Calculations!$C$13-Calculations!$O52)/(Calculations!$C$13))-(Calculations!$O52/(Calculations!$C$13*Calculations!$C$13))*LN((Calculations!$C$8*(Calculations!$O52-Calculations!$C$13))/(Calculations!$O52*(Calculations!$C$8-Calculations!$C$13))))+'Reaction Information'!$J$33*10^-1*(Calculations!$M52-Calculations!$C$9)+'Reaction Information'!$K$33*10^2*LN((Calculations!$C$12+Calculations!$M52)/(Calculations!$C$12+Calculations!$C$9))+(1/(Calculations!$O52-Calculations!$C$13))*('Reaction Information'!$L$33*(Calculations!$M52-Calculations!$C$9)+'Reaction Information'!$M$33*10^4*LN((Calculations!$C$12+Calculations!$M52)/(Calculations!$C$12+Calculations!$C$9)))+calculateOmega(Calculations!M52,Calculations!N52,Calculations!Q52,'Reaction Information'!$C$33,'Reaction Information'!$P$33*10^5,'Reaction Information'!$Q$33)*((1/Calculations!$S52)-1)-'Reaction Information'!$P$33*10^5*((1/Calculations!$C$10)-1)+'Reaction Information'!$P$33*10^5*Calculations!$C$14*(Calculations!$O52-Calculations!$C$8))</f>
        <v>#N/A</v>
      </c>
      <c r="AL52" s="1">
        <f>Results!S54</f>
        <v>0</v>
      </c>
      <c r="AM52" s="1">
        <f>Results!T54</f>
        <v>0</v>
      </c>
      <c r="AN52" s="1">
        <f>Results!U54</f>
        <v>0</v>
      </c>
      <c r="AO52" s="1">
        <f>Results!V54</f>
        <v>0</v>
      </c>
      <c r="AP52" s="8" t="e">
        <f>IF(ISBLANK(Input!$BB$4),NA(),'Reaction Information'!$E$38-'Reaction Information'!$G$38*(Calculations!$O52-Calculations!$C$8)+'Reaction Information'!$I$38*(Calculations!$O52-Calculations!$C$8-Calculations!$O52*LN(Calculations!$O52/Calculations!$C$8))+'Reaction Information'!$J$38*0.001/2*(2*Calculations!$O52*Calculations!$C$8-Calculations!$O52^2-Calculations!$C$8^2) + 'Reaction Information'!$K$38*100000*(Calculations!$O52^2 + Calculations!$C$8^2 - 2*Calculations!$O52*Calculations!$C$8)/(2*Calculations!$O52*Calculations!$C$8^2))</f>
        <v>#N/A</v>
      </c>
      <c r="AQ52" s="8" t="e">
        <f>IF(ISBLANK(Input!$BE$4),NA(),'Reaction Information'!$E$42-'Reaction Information'!$G$42*(Calculations!$O52-Calculations!$C$8)+'Reaction Information'!$I$42*(Calculations!$O52-Calculations!$C$8-Calculations!$O52*LN(Calculations!$O52/Calculations!$C$8))+'Reaction Information'!$J$42*0.001/2*(2*Calculations!$O52*Calculations!$C$8-Calculations!$O52^2-Calculations!$C$8^2) + 'Reaction Information'!$K$42*100000*(Calculations!$O52^2 + Calculations!$C$8^2 - 2*Calculations!$O52*Calculations!$C$8)/(2*Calculations!$O52*Calculations!$C$8^2))</f>
        <v>#N/A</v>
      </c>
      <c r="AR52" s="8" t="e">
        <f>IF(AR$5="H2O", IF($D$24=3,IF(T52=0,NA(),T52),calculateGibbsOfWater(M52,N52,$D$24,$D$20,$D$19=3)),NA())</f>
        <v>#N/A</v>
      </c>
      <c r="AS52" s="8">
        <f>IF(ISBLANK(Input!$BK$4),NA(),'Reaction Information'!$E$46-'Reaction Information'!$G$46*(Calculations!O52-Calculations!$C$8)-'Reaction Information'!$N$46*(Calculations!O52*LN(Calculations!O52/Calculations!$C$8)-Calculations!O52+Calculations!$C$8)-'Reaction Information'!$O$46*10^4*(((1/(Calculations!O52-Calculations!$C$13))-(1/(Calculations!$C$8-Calculations!$C$13)))*((Calculations!$C$13-Calculations!O52)/(Calculations!$C$13))-(Calculations!O52/(Calculations!$C$13*Calculations!$C$13))*LN((Calculations!$C$8*(Calculations!O52-Calculations!$C$13))/(Calculations!O52*(Calculations!$C$8-Calculations!$C$13))))+'Reaction Information'!$J$46*10^-1*(Calculations!$M52-Calculations!$C$9)+'Reaction Information'!$K$46*10^2*LN((Calculations!$C$12+Calculations!$M52)/(Calculations!$C$12+Calculations!$C$9))+(1/(Calculations!O52-Calculations!$C$13))*('Reaction Information'!$L$46*(Calculations!$M52-Calculations!$C$9)+'Reaction Information'!$M$46*10^4*LN((Calculations!$C$12+Calculations!$M52)/(Calculations!$C$12+Calculations!$C$9)))+calculateOmega(Calculations!M52,Calculations!N52,Calculations!Q52,'Reaction Information'!$C$46,'Reaction Information'!$P$46*10^5,'Reaction Information'!$Q$46)*((1/Calculations!S52)-1)-'Reaction Information'!$P$46*10^5*((1/Calculations!$C$10)-1)+'Reaction Information'!$P$46*10^5*Calculations!$C$14*(Calculations!O52-Calculations!$C$8))</f>
        <v>0</v>
      </c>
      <c r="AT52" s="8">
        <f>IF(ISBLANK(Input!$BN$4),NA(),'Reaction Information'!$E$50-'Reaction Information'!$G$50*(Calculations!O52-Calculations!$C$8)-'Reaction Information'!$N$50*(Calculations!O52*LN(Calculations!O52/Calculations!$C$8)-Calculations!O52+Calculations!$C$8)-'Reaction Information'!$O$50*10^4*(((1/(Calculations!O52-Calculations!$C$13))-(1/(Calculations!$C$8-Calculations!$C$13)))*((Calculations!$C$13-Calculations!O52)/(Calculations!$C$13))-(Calculations!O52/(Calculations!$C$13*Calculations!$C$13))*LN((Calculations!$C$8*(Calculations!O52-Calculations!$C$13))/(Calculations!O52*(Calculations!$C$8-Calculations!$C$13))))+'Reaction Information'!$J$50*10^-1*(Calculations!$M52-Calculations!$C$9)+'Reaction Information'!$K$50*10^2*LN((Calculations!$C$12+Calculations!$M52)/(Calculations!$C$12+Calculations!$C$9))+(1/(Calculations!O52-Calculations!$C$13))*('Reaction Information'!$L$50*(Calculations!$M52-Calculations!$C$9)+'Reaction Information'!$M$50*10^4*LN((Calculations!$C$12+Calculations!$M52)/(Calculations!$C$12+Calculations!$C$9)))+calculateOmega(Calculations!M52,Calculations!N52,Calculations!Q52,'Reaction Information'!$C$50,'Reaction Information'!$P$50*10^5,'Reaction Information'!$Q$50)*((1/Calculations!S52)-1)-'Reaction Information'!$P$50*10^5*((1/Calculations!$C$10)-1)+'Reaction Information'!$P$50*10^5*Calculations!$C$14*(Calculations!O52-Calculations!$C$8))</f>
        <v>-134676.64057553629</v>
      </c>
      <c r="AU52" s="8" t="e">
        <f>IF(ISBLANK(Input!$BQ$4),NA(),'Reaction Information'!$E$54-'Reaction Information'!$G$54*(Calculations!$O52-Calculations!$C$8)-'Reaction Information'!$N$54*(Calculations!$O52*LN(Calculations!$O52/Calculations!$C$8)-Calculations!$O52+Calculations!$C$8)-'Reaction Information'!$O$54*10^4*(((1/(Calculations!$O52-Calculations!$C$13))-(1/(Calculations!$C$8-Calculations!$C$13)))*((Calculations!$C$13-Calculations!$O52)/(Calculations!$C$13))-(Calculations!$O52/(Calculations!$C$13*Calculations!$C$13))*LN((Calculations!$C$8*(Calculations!$O52-Calculations!$C$13))/(Calculations!$O52*(Calculations!$C$8-Calculations!$C$13))))+'Reaction Information'!$J$54*10^-1*(Calculations!$M52-Calculations!$C$9)+'Reaction Information'!$K$54*10^2*LN((Calculations!$C$12+Calculations!$M52)/(Calculations!$C$12+Calculations!$C$9))+(1/(Calculations!$O52-Calculations!$C$13))*('Reaction Information'!$L$54*(Calculations!$M52-Calculations!$C$9)+'Reaction Information'!$M$54*10^4*LN((Calculations!$C$12+Calculations!$M52)/(Calculations!$C$12+Calculations!$C$9)))+calculateOmega(Calculations!M52,Calculations!N52,Calculations!Q52,'Reaction Information'!$C$54,'Reaction Information'!$P$54*10^5,'Reaction Information'!$Q$54)*((1/Calculations!$S52)-1)-'Reaction Information'!$P$54*10^5*((1/Calculations!$C$10)-1)+'Reaction Information'!$P$54*10^5*Calculations!$C$14*(Calculations!$O52-Calculations!$C$8))</f>
        <v>#N/A</v>
      </c>
      <c r="AV52" s="8" t="e">
        <f>IF(ISBLANK(Input!$BT$4),NA(),'Reaction Information'!$E$58-'Reaction Information'!$G$58*(Calculations!$O52-Calculations!$C$8)-'Reaction Information'!$N$58*(Calculations!$O52*LN(Calculations!$O52/Calculations!$C$8)-Calculations!$O52+Calculations!$C$8)-'Reaction Information'!$O$58*10^4*(((1/(Calculations!$O52-Calculations!$C$13))-(1/(Calculations!$C$8-Calculations!$C$13)))*((Calculations!$C$13-Calculations!$O52)/(Calculations!$C$13))-(Calculations!$O52/(Calculations!$C$13*Calculations!$C$13))*LN((Calculations!$C$8*(Calculations!$O52-Calculations!$C$13))/(Calculations!$O52*(Calculations!$C$8-Calculations!$C$13))))+'Reaction Information'!$J$58*10^-1*(Calculations!$M52-Calculations!$C$9)+'Reaction Information'!$K$58*10^2*LN((Calculations!$C$12+Calculations!$M52)/(Calculations!$C$12+Calculations!$C$9))+(1/(Calculations!$O52-Calculations!$C$13))*('Reaction Information'!$L$58*(Calculations!$M52-Calculations!$C$9)+'Reaction Information'!$M$58*10^4*LN((Calculations!$C$12+Calculations!$M52)/(Calculations!$C$12+Calculations!$C$9)))+calculateOmega(Calculations!M52,Calculations!N52,Calculations!Q52,'Reaction Information'!$C$58,'Reaction Information'!$P$58*10^5,'Reaction Information'!$Q$58)*((1/Calculations!$S52)-1)-'Reaction Information'!$P$58*10^5*((1/Calculations!$C$10)-1)+'Reaction Information'!$P$58*10^5*Calculations!$C$14*(Calculations!$O52-Calculations!$C$8))</f>
        <v>#N/A</v>
      </c>
      <c r="AW52" s="8" t="e">
        <f>IF(ISBLANK(Input!$BW$4),NA(),'Reaction Information'!$E$62-'Reaction Information'!$G$62*(Calculations!$O52-Calculations!$C$8)-'Reaction Information'!$N$62*(Calculations!$O52*LN(Calculations!$O52/Calculations!$C$8)-Calculations!$O52+Calculations!$C$8)-'Reaction Information'!$O$62*10^4*(((1/(Calculations!$O52-Calculations!$C$13))-(1/(Calculations!$C$8-Calculations!$C$13)))*((Calculations!$C$13-Calculations!$O52)/(Calculations!$C$13))-(Calculations!$O52/(Calculations!$C$13*Calculations!$C$13))*LN((Calculations!$C$8*(Calculations!$O52-Calculations!$C$13))/(Calculations!$O52*(Calculations!$C$8-Calculations!$C$13))))+'Reaction Information'!$J$62*10^-1*(Calculations!$M52-Calculations!$C$9)+'Reaction Information'!$K$62*10^2*LN((Calculations!$C$12+Calculations!$M52)/(Calculations!$C$12+Calculations!$C$9))+(1/(Calculations!$O52-Calculations!$C$13))*('Reaction Information'!$L$62*(Calculations!$M52-Calculations!$C$9)+'Reaction Information'!$M$62*10^4*LN((Calculations!$C$12+Calculations!$M52)/(Calculations!$C$12+Calculations!$C$9)))+calculateOmega(Calculations!M52,Calculations!N52,Calculations!Q52,'Reaction Information'!$C$62,'Reaction Information'!$P$62*10^5,'Reaction Information'!$Q$62)*((1/Calculations!$S52)-1)-'Reaction Information'!$P$62*10^5*((1/Calculations!$C$10)-1)+'Reaction Information'!$P$62*10^5*Calculations!$C$14*(Calculations!$O52-Calculations!$C$8))</f>
        <v>#N/A</v>
      </c>
      <c r="AX52" s="8" t="e">
        <f>IF(ISBLANK(Input!$BZ$4),NA(),'Reaction Information'!$E$66-'Reaction Information'!$G$66*(Calculations!$O52-Calculations!$C$8)-'Reaction Information'!$N$66*(Calculations!$O52*LN(Calculations!$O52/Calculations!$C$8)-Calculations!$O52+Calculations!$C$8)-'Reaction Information'!$O$66*10^4*(((1/(Calculations!$O52-Calculations!$C$13))-(1/(Calculations!$C$8-Calculations!$C$13)))*((Calculations!$C$13-Calculations!$O52)/(Calculations!$C$13))-(Calculations!$O52/(Calculations!$C$13*Calculations!$C$13))*LN((Calculations!$C$8*(Calculations!$O52-Calculations!$C$13))/(Calculations!$O52*(Calculations!$C$8-Calculations!$C$13))))+'Reaction Information'!$J$66*10^-1*(Calculations!$M52-Calculations!$C$9)+'Reaction Information'!$K$66*10^2*LN((Calculations!$C$12+Calculations!$M52)/(Calculations!$C$12+Calculations!$C$9))+(1/(Calculations!$O52-Calculations!$C$13))*('Reaction Information'!$L$66*(Calculations!$M52-Calculations!$C$9)+'Reaction Information'!$M$66*10^4*LN((Calculations!$C$12+Calculations!$M52)/(Calculations!$C$12+Calculations!$C$9)))+calculateOmega(Calculations!M52,Calculations!N52,Calculations!Q52,'Reaction Information'!$C$66,'Reaction Information'!$P$66*10^5,'Reaction Information'!$Q$66)*((1/Calculations!$S52)-1)-'Reaction Information'!$P$66*10^5*((1/Calculations!$C$10)-1)+'Reaction Information'!$P$66*10^5*Calculations!$C$14*(Calculations!$O52-Calculations!$C$8))</f>
        <v>#N/A</v>
      </c>
      <c r="AY52" s="31">
        <f>(AL52*Input!$AO$4+AM52*Input!$AR$4+AN52*Input!$AU$4+AO52*Input!$AX$4+IF(ISNA(AP52),0,AP52*Input!$BA$4)+IF(ISNA(AQ52),0,AQ52*Input!$BD$4)+IF(ISNA(AR52),0,AR52*Input!$BG$4)+IF(ISNA(AS52),0,AS52*Input!$BJ$4)+IF(ISNA(AT52),0,AT52*Input!$BM$4)+IF(ISNA(AU52),0,AU52*Input!$BP$4)+IF(ISNA(AV52),0,AV52*Input!$BS$4)+IF(ISNA(AW52),0,AW52*Input!$BV$4)+IF(ISNA(AX52),0,AX52*Input!$BY$4))-(Y52*Input!$B$4+Z52*Input!$E$4+AA52*Input!$H$4+AB52*Input!$K$4+IF(ISNA(AC52),0,AC52*Input!$N$4)+IF(ISNA(AD52),0,AD52*Input!$Q$4)+IF(ISNA(AE52),0,AE52*Input!$T$4)+IF(ISNA(AF52),0,AF52*Input!$W$4)+IF(ISNA(AG52),0,AG52*Input!$Z$4)+IF(ISNA(AH52),0,AH52*Input!$AC$4)+IF(ISNA(AI52),0,AI52*Input!$AF$4)+IF(ISNA(AJ52),0,AJ52*Input!$AI$4)+IF(ISNA(AK52),0,AK52*Input!$AL$4))</f>
        <v>11528.61940278823</v>
      </c>
      <c r="AZ52" s="42">
        <f t="shared" si="16"/>
        <v>-4.0459133384367254</v>
      </c>
      <c r="BA52" s="1">
        <f t="shared" si="8"/>
        <v>350</v>
      </c>
      <c r="BB52" s="46">
        <f t="shared" si="9"/>
        <v>20000</v>
      </c>
      <c r="BC52" s="1"/>
      <c r="BD52" s="2">
        <f t="shared" si="10"/>
        <v>20000</v>
      </c>
      <c r="BE52" s="46">
        <f t="shared" si="11"/>
        <v>350</v>
      </c>
      <c r="BF52" s="1">
        <f>Results!AJ54</f>
        <v>0</v>
      </c>
      <c r="BG52" s="1">
        <f>Results!AK54</f>
        <v>0</v>
      </c>
      <c r="BH52" s="1">
        <f>Results!AL54</f>
        <v>0</v>
      </c>
      <c r="BI52" s="1">
        <f>Results!AM54</f>
        <v>0</v>
      </c>
      <c r="BJ52" s="1" t="e">
        <f>IF(OR(ISNA('Reaction Information'!$D$5), $N52 = "", $D$27 = FALSE, 'Reaction Information'!$D$5 = ""), NA(), 24.465)</f>
        <v>#N/A</v>
      </c>
      <c r="BK52" s="1" t="e">
        <f>IF(OR(ISNA('Reaction Information'!$D$9), $N52 = "", $D$27 = FALSE, 'Reaction Information'!$D$9 = ""), NA(), 24.465)</f>
        <v>#N/A</v>
      </c>
      <c r="BL52" s="8">
        <f t="shared" si="17"/>
        <v>14.758451852126969</v>
      </c>
      <c r="BM52" s="8">
        <f>IF(OR(ISBLANK(Input!$X$4),$D$27=FALSE),NA(),('Reaction Information'!$J$13/10+'Reaction Information'!$K$13*100/(Calculations!$C$12+Calculations!$M52)+('Reaction Information'!$L$13+'Reaction Information'!$M$13*10^4/(Calculations!$C$12+Calculations!$M52))/(Calculations!$O52-Calculations!$C$13) -calculateOmega(Calculations!$M52,Calculations!$N52,Calculations!$Q52,'Reaction Information'!$C$13,'Reaction Information'!$P$13*10^5,'Reaction Information'!$Q$13)*Calculations!$U52*10^-6 + (1/$S52 - 1)*calculate_domegadP(Calculations!$M52,Calculations!$N52,Calculations!$Q52,'Reaction Information'!$C$13,'Reaction Information'!$P$13*10^5,'Reaction Information'!$Q$13,$D$20,$D$19=3))*41.84)</f>
        <v>30.566351482479771</v>
      </c>
      <c r="BN52" s="8" t="e">
        <f>IF(OR(ISBLANK(Input!$AA$4),$D$27=FALSE),NA(),('Reaction Information'!$J$17/10+'Reaction Information'!$K$17*100/(Calculations!$C$12+Calculations!$M52)+('Reaction Information'!$L$17+'Reaction Information'!$M$17*10000/(Calculations!$C$12+Calculations!$M52))/(Calculations!$O52-Calculations!$C$13)-calculateOmega(Calculations!M52,Calculations!N52,Calculations!Q52,'Reaction Information'!$C$17,'Reaction Information'!$P$17*10^5,'Reaction Information'!$Q$17)*Calculations!$U52*10^-6 + (1/$S52 - 1)*calculate_domegadP(Calculations!M52,Calculations!N52,Calculations!Q52,'Reaction Information'!$C$17,'Reaction Information'!$P$17*10^5,'Reaction Information'!$Q$17,$D$20,$D$19=3))*41.84)</f>
        <v>#N/A</v>
      </c>
      <c r="BO52" s="8" t="e">
        <f>IF(OR(ISBLANK(Input!$AD$4),$D$27=FALSE),NA(),('Reaction Information'!$J$21/10+'Reaction Information'!$K$21*100/(Calculations!$C$12+Calculations!$M52)+('Reaction Information'!$L$21+'Reaction Information'!$M$21*10000/(Calculations!$C$12+Calculations!$M52))/(Calculations!$O52-Calculations!$C$13)-calculateOmega(Calculations!M52,Calculations!N52,Calculations!Q52,'Reaction Information'!$C$21,'Reaction Information'!$P$21*10^5,'Reaction Information'!$Q$21)*Calculations!$U52*10^-6 + (1/$S52 - 1)*calculate_domegadP(Calculations!M52,Calculations!N52,Calculations!Q52,'Reaction Information'!$C$21,'Reaction Information'!$P$21*10^5,'Reaction Information'!$Q$21,$D$20,$D$19=3))*41.84)</f>
        <v>#N/A</v>
      </c>
      <c r="BP52" s="8" t="e">
        <f>IF(OR(ISBLANK(Input!$AG$4),$D$27=FALSE),NA(),('Reaction Information'!$J$25/10+'Reaction Information'!$K$25*100/(Calculations!$C$12+Calculations!$M52)+('Reaction Information'!$L$25+'Reaction Information'!$M$25*10000/(Calculations!$C$12+Calculations!$M52))/(Calculations!$O52-Calculations!$C$13)-calculateOmega(Calculations!M52,Calculations!N52,Calculations!Q52,'Reaction Information'!$C$25,'Reaction Information'!$P$25*10^5,'Reaction Information'!$Q$25)*Calculations!$U52*10^-6 + (1/$S52 - 1)*calculate_domegadP(Calculations!M52,Calculations!N52,Calculations!Q52,'Reaction Information'!$C$25,'Reaction Information'!$P$25*10^5,'Reaction Information'!$Q$25,$D$20,$D$19=3))*41.84)</f>
        <v>#N/A</v>
      </c>
      <c r="BQ52" s="8" t="e">
        <f>IF(OR(ISBLANK(Input!$AJ$4),$D$27=FALSE),NA(),('Reaction Information'!$J$29/10+'Reaction Information'!$K$29*100/(Calculations!$C$12+Calculations!$M52)+('Reaction Information'!$L$29+'Reaction Information'!$M$29*10000/(Calculations!$C$12+Calculations!$M52))/(Calculations!$O52-Calculations!$C$13)-calculateOmega(Calculations!M52,Calculations!N52,Calculations!Q52,'Reaction Information'!$C$29,'Reaction Information'!$P$29*10^5,'Reaction Information'!$Q$29)*Calculations!$U52*10^-6 + (1/$S52 - 1)*calculate_domegadP(Calculations!M52,Calculations!N52,Calculations!Q52,'Reaction Information'!$C$29,'Reaction Information'!$P$29*10^5,'Reaction Information'!$Q$29,$D$20,$D$19=3))*41.84)</f>
        <v>#N/A</v>
      </c>
      <c r="BR52" s="8" t="e">
        <f>IF(OR(ISBLANK(Input!$AM$4),$D$27=FALSE),NA(),('Reaction Information'!$J$33/10+'Reaction Information'!$K$33*100/(Calculations!$C$12+Calculations!$M52)+('Reaction Information'!$L$33+'Reaction Information'!$M$33*10000/(Calculations!$C$12+Calculations!$M52))/(Calculations!$O52-Calculations!$C$13)-calculateOmega(Calculations!M52,Calculations!N52,Calculations!Q52,'Reaction Information'!$C$33,'Reaction Information'!$P$33*10^5,'Reaction Information'!$Q$33)*Calculations!$U52*10^-6 + (1/$S52 - 1)*calculate_domegadP(Calculations!M52,Calculations!N52,Calculations!Q52,'Reaction Information'!$C$33,'Reaction Information'!$P$33*10^5,'Reaction Information'!$Q$33,$D$20,$D$19=3))*41.84)</f>
        <v>#N/A</v>
      </c>
      <c r="BS52" s="1">
        <f>Results!AW54</f>
        <v>0</v>
      </c>
      <c r="BT52" s="1">
        <f>Results!AX54</f>
        <v>0</v>
      </c>
      <c r="BU52" s="1">
        <f>Results!AY54</f>
        <v>0</v>
      </c>
      <c r="BV52" s="1">
        <f>Results!AZ54</f>
        <v>0</v>
      </c>
      <c r="BW52" s="1" t="e">
        <f>IF(OR(ISNA('Reaction Information'!$D$38), $N52 = "", $D$27 = FALSE, 'Reaction Information'!$D$38 = ""), NA(), 24.465)</f>
        <v>#N/A</v>
      </c>
      <c r="BX52" s="1" t="e">
        <f>IF(OR(ISNA('Reaction Information'!$D$42), $N52 = "", $D$27 = FALSE, 'Reaction Information'!$D$42 = ""), NA(), 24.465)</f>
        <v>#N/A</v>
      </c>
      <c r="BY52" s="8" t="e">
        <f t="shared" si="18"/>
        <v>#N/A</v>
      </c>
      <c r="BZ52" s="8">
        <f>IF(OR(ISBLANK(Input!$BK$4),$D$27=FALSE),NA(),('Reaction Information'!$J$46/10+'Reaction Information'!$K$46*100/(Calculations!$C$12+Calculations!$M52)+('Reaction Information'!$L$46+'Reaction Information'!$M$46*10000/(Calculations!$C$12+Calculations!$M52))/(Calculations!$O52-Calculations!$C$13)-calculateOmega(Calculations!M52,Calculations!N52,Calculations!Q52,'Reaction Information'!$C$46,'Reaction Information'!$P$46*10^5,'Reaction Information'!$Q$46)*Calculations!$U52*10^-6 + (1/$S52 - 1)*calculate_domegadP(Calculations!M52,Calculations!N52,Calculations!Q52,'Reaction Information'!$C$46,'Reaction Information'!$P$46*10^5,'Reaction Information'!$Q$46,$D$20,$D$19=3))*41.84)</f>
        <v>0</v>
      </c>
      <c r="CA52" s="8">
        <f>IF(OR(ISBLANK(Input!$BN$4),$D$27=FALSE),NA(),('Reaction Information'!$J$50/10+'Reaction Information'!$K$50*100/(Calculations!$C$12+Calculations!$M52)+('Reaction Information'!$L$50+'Reaction Information'!$M$50*10000/(Calculations!$C$12+Calculations!$M52))/(Calculations!$O52-Calculations!$C$13)-calculateOmega(Calculations!M52,Calculations!N52,Calculations!Q52,'Reaction Information'!$C$50,'Reaction Information'!$P$50*10^5,'Reaction Information'!$Q$50)*Calculations!$U52*10^-6 + (1/$S52 - 1)*calculate_domegadP(Calculations!M52,Calculations!N52,Calculations!Q52,'Reaction Information'!$C$50,'Reaction Information'!$P$50*10^5,'Reaction Information'!$Q$50,$D$20,$D$19=3))*41.84)</f>
        <v>30.788825187134407</v>
      </c>
      <c r="CB52" s="8" t="e">
        <f>IF(OR(ISBLANK(Input!$BQ$4),$D$27=FALSE),NA(),('Reaction Information'!$J$54/10+'Reaction Information'!$K$54*100/(Calculations!$C$12+Calculations!$M52)+('Reaction Information'!$L$54+'Reaction Information'!$M$54*10000/(Calculations!$C$12+Calculations!$M52))/(Calculations!$O52-Calculations!$C$13)-calculateOmega(Calculations!M52,Calculations!N52,Calculations!Q52,'Reaction Information'!$C$54,'Reaction Information'!$P$54*10^5,'Reaction Information'!$Q$54)*Calculations!$U52*10^-6 + (1/$S52 - 1)*calculate_domegadP(Calculations!M52,Calculations!N52,Calculations!Q52,'Reaction Information'!$C$54,'Reaction Information'!$P$54*10^5,'Reaction Information'!$Q$54,$D$20,$D$19=3))*41.84)</f>
        <v>#N/A</v>
      </c>
      <c r="CC52" s="8" t="e">
        <f>IF(OR(ISBLANK(Input!$BT$4),$D$27=FALSE),NA(),('Reaction Information'!$J$58/10+'Reaction Information'!$K$58*100/(Calculations!$C$12+Calculations!$M52)+('Reaction Information'!$L$58+'Reaction Information'!$M$58*10000/(Calculations!$C$12+Calculations!$M52))/(Calculations!$O52-Calculations!$C$13)-calculateOmega(Calculations!M52,Calculations!N52,Calculations!Q52,'Reaction Information'!$C$58,'Reaction Information'!$P$58*10^5,'Reaction Information'!$Q$58)*Calculations!$U52*10^-6 + (1/$S52 - 1)*calculate_domegadP(Calculations!M52,Calculations!N52,Calculations!Q52,'Reaction Information'!$C$58,'Reaction Information'!$P$58*10^5,'Reaction Information'!$Q$58,$D$20,$D$19=3))*41.84)</f>
        <v>#N/A</v>
      </c>
      <c r="CD52" s="8" t="e">
        <f>IF(OR(ISBLANK(Input!$BW$4),$D$27=FALSE),NA(),('Reaction Information'!$J$62/10+'Reaction Information'!$K$62*100/(Calculations!$C$12+Calculations!$M52)+('Reaction Information'!$L$62+'Reaction Information'!$M$62*10000/(Calculations!$C$12+Calculations!$M52))/(Calculations!$O52-Calculations!$C$13)-calculateOmega(Calculations!M52,Calculations!N52,Calculations!Q52,'Reaction Information'!$C$62,'Reaction Information'!$P$62*10^5,'Reaction Information'!$Q$62)*Calculations!$U52*10^-6 + (1/$S52 - 1)*calculate_domegadP(Calculations!M52,Calculations!N52,Calculations!Q52,'Reaction Information'!$C$62,'Reaction Information'!$P$62*10^5,'Reaction Information'!$Q$62,$D$20,$D$19=3))*41.84)</f>
        <v>#N/A</v>
      </c>
      <c r="CE52" s="8" t="e">
        <f>IF(OR(ISBLANK(Input!$BZ$4),$D$27=FALSE),NA(),('Reaction Information'!$J$66/10+'Reaction Information'!$K$66*100/(Calculations!$C$12+Calculations!$M52)+('Reaction Information'!$L$66+'Reaction Information'!$M$66*10000/(Calculations!$C$12+Calculations!$M52))/(Calculations!$O52-Calculations!$C$13)-calculateOmega(Calculations!M52,Calculations!N52,Calculations!Q52,'Reaction Information'!$C$66,'Reaction Information'!$P$66*10^5,'Reaction Information'!$Q$66)*Calculations!$U52*10^-6 + (1/$S52 - 1)*calculate_domegadP(Calculations!M52,Calculations!N52,Calculations!Q52,'Reaction Information'!$C$66,'Reaction Information'!$P$66*10^5,'Reaction Information'!$Q$66,$D$20,$D$19=3))*41.84)</f>
        <v>#N/A</v>
      </c>
      <c r="CF52" s="31">
        <f>(BS52*Input!$AO$4+BT52*Input!$AR$4+BU52*Input!$AU$4+BV52*Input!$AX$4+IF(ISNA(BW52),0,BW52*Input!$BA$4)+IF(ISNA(BX52),0,BX52*Input!$BD$4)+IF(ISNA(BY52),0,BY52*Input!$BG$4)+IF(ISNA(BZ52),0,BZ52*Input!$BJ$4)+IF(ISNA(CA52),0,CA52*Input!$BM$4)+IF(ISNA(CB52),0,CB52*Input!$BP$4)+IF(ISNA(CC52),0,CC52*Input!$BS$4)+IF(ISNA(CD52),0,CD52*Input!$BV$4)+IF(ISNA(CE52),0,CE52*Input!$BY$4))-(BF52*Input!$B$4+BG52*Input!$E$4+BH52*Input!$H$4+BI52*Input!$K$4+IF(ISNA(BJ52),0,BJ52*Input!$N$4)+IF(ISNA(BK52),0,BK52*Input!$Q$4)+IF(ISNA(BL52),0,BL52*Input!$T$4)+IF(ISNA(BM52),0,BM52*Input!$W$4)+IF(ISNA(BN52),0,BN52*Input!$Z$4)+IF(ISNA(BO52),0,BO52*Input!$AC$4)+IF(ISNA(BP52),0,BP52*Input!$AF$4)+IF(ISNA(BQ52),0,BQ52*Input!$AI$4)+IF(ISNA(BR52),0,BR52*Input!$AL$4))</f>
        <v>-14.535978147472335</v>
      </c>
      <c r="CG52" s="1">
        <f t="shared" si="12"/>
        <v>350</v>
      </c>
      <c r="CH52" s="46">
        <f t="shared" si="13"/>
        <v>20000</v>
      </c>
      <c r="CI52" s="1"/>
    </row>
    <row r="53" spans="1:87" x14ac:dyDescent="0.2">
      <c r="A53" s="1"/>
      <c r="E53" s="1"/>
      <c r="F53" s="2">
        <v>48</v>
      </c>
      <c r="G53" s="1" t="str">
        <f>IF(ISBLANK(Input!CB53), "", Input!CB53*1000)</f>
        <v/>
      </c>
      <c r="H53" s="1" t="str">
        <f>IF(ISBLANK(Input!CC53), "", Input!CC53)</f>
        <v/>
      </c>
      <c r="I53" s="1">
        <f>IF(Input!$CF$5 + Input!$CF$6*(FLOOR((Calculations!$F53-1)/(FLOOR((Input!$CF$12-Input!$CF$10)/Input!$CF$11,1)+1),1)) &gt; Input!$CF$7, "", (Input!$CF$5 + Input!$CF$6*(FLOOR((Calculations!$F53-1)/(FLOOR((Input!$CF$12-Input!$CF$10)/Input!$CF$11,1)+1),1)))*1000)</f>
        <v>20000</v>
      </c>
      <c r="J53" s="1">
        <f>IF(Calculations!I53 = "", "", Input!$CF$10 + Input!$CF$11*(Calculations!$F53-1) - (FLOOR((Input!$CF$12-Input!$CF$10)/Input!$CF$11,1)+1)*Input!$CF$11*FLOOR((Calculations!$F53-1)/(FLOOR((Input!$CF$12-Input!$CF$10)/Input!$CF$11,1)+1),1))</f>
        <v>400</v>
      </c>
      <c r="K53" s="8" t="str">
        <f t="shared" si="14"/>
        <v/>
      </c>
      <c r="L53" s="117" t="str">
        <f>IF(OR(Input!$CJ$5 + Input!$CJ$6*(Calculations!F53-1) &gt; Input!$CJ$7, Input!$CJ$5 + Input!$CJ$6*(Calculations!F53-1) &gt; 350), "", Input!$CJ$5 + Input!$CJ$6*(Calculations!F53-1))</f>
        <v/>
      </c>
      <c r="M53" s="1">
        <f t="shared" si="2"/>
        <v>20000</v>
      </c>
      <c r="N53" s="1">
        <f t="shared" si="3"/>
        <v>400</v>
      </c>
      <c r="O53" s="1">
        <f t="shared" si="15"/>
        <v>673.15</v>
      </c>
      <c r="P53" s="1" t="e">
        <f>IF(OR($D$20=3,AND($D$21=TRUE,M53&lt;1000)),INDEX('Water Density'!$C$6:$CX$120,MATCH(Calculations!N53,'Water Density'!$B$6:$B$120),MATCH(Calculations!M53/1000,'Water Density'!$C$5:$CX$5)),NA())</f>
        <v>#N/A</v>
      </c>
      <c r="Q53" s="182">
        <f>IF(OR($D$20=3,AND($D$21=TRUE,M53&lt;1000)), IF(P53&lt;&gt;0,P53,NA()), calculateDensity(M53,N53,$D$20,0.01,$D$19 = 3))</f>
        <v>1.2021319329023359</v>
      </c>
      <c r="R53" s="1" t="e">
        <f>IF($D$22=5,INDEX('Dielectric Constant'!$C$6:$CX$120,MATCH(Calculations!N53,'Dielectric Constant'!$B$6:$B$120),MATCH(Calculations!M53/1000,'Dielectric Constant'!$C$5:$CX$5)),NA())</f>
        <v>#N/A</v>
      </c>
      <c r="S53" s="58">
        <f>IF($D$22=5, IF(R53&lt;&gt;0,R53,NA()), IF(AND($D$23,M53&lt;=5000,$D$19 &lt;&gt; 3),calculateEpsilon(Q53,N53,1,FALSE),calculateEpsilon(Q53,N53,$D$22,$D$19 = 3)))</f>
        <v>37.159538638876825</v>
      </c>
      <c r="T53" s="1" t="e">
        <f>IF($D$24=3,INDEX('Water Free Energy'!$C$6:$CX$120,MATCH(Calculations!N53,'Water Free Energy'!$B$6:$B$120),MATCH(Calculations!M53/1000,'Water Free Energy'!$C$5:$CX$5)),NA())</f>
        <v>#N/A</v>
      </c>
      <c r="U53" s="179">
        <f>IF($D$27,calculateQ(M53,N53,Q53,$D$20,$D$22,$D$19=3)*10^6,NA())</f>
        <v>0.28236528026373425</v>
      </c>
      <c r="V53"/>
      <c r="W53" s="2">
        <f t="shared" si="5"/>
        <v>20000</v>
      </c>
      <c r="X53" s="1">
        <f t="shared" si="6"/>
        <v>400</v>
      </c>
      <c r="Y53" s="1">
        <f>Results!F55</f>
        <v>0</v>
      </c>
      <c r="Z53" s="1">
        <f>Results!G55</f>
        <v>0</v>
      </c>
      <c r="AA53" s="1">
        <f>Results!H55</f>
        <v>0</v>
      </c>
      <c r="AB53" s="1">
        <f>Results!I55</f>
        <v>0</v>
      </c>
      <c r="AC53" s="1" t="e">
        <f>IF(ISBLANK(Input!$O$4),NA(),'Reaction Information'!$E$5-'Reaction Information'!$G$5*(Calculations!$O53-Calculations!$C$8)+'Reaction Information'!$I$5*(Calculations!$O53-Calculations!$C$8-Calculations!$O53*LN(Calculations!$O53/Calculations!$C$8))+'Reaction Information'!$J$5*0.001/2*(2*Calculations!$O53*Calculations!$C$8-Calculations!$O53^2-Calculations!$C$8^2) + 'Reaction Information'!$K$5*100000*(Calculations!$O53^2 + Calculations!$C$8^2 - 2*Calculations!$O53*Calculations!$C$8)/(2*Calculations!$O53*Calculations!$C$8^2))</f>
        <v>#N/A</v>
      </c>
      <c r="AD53" s="8" t="e">
        <f>IF(ISBLANK(Input!$R$4),NA(),'Reaction Information'!$E$9-'Reaction Information'!$G$9*(Calculations!$O53-Calculations!$C$8)+'Reaction Information'!$I$9*(Calculations!$O53-Calculations!$C$8-Calculations!$O53*LN(Calculations!$O53/Calculations!$C$8))+'Reaction Information'!$J$9*0.001/2*(2*Calculations!$O53*Calculations!$C$8-Calculations!$O53^2-Calculations!$C$8^2) + 'Reaction Information'!$K$9*100000*(Calculations!$O53^2 + Calculations!$C$8^2 - 2*Calculations!$O53*Calculations!$C$8)/(2*Calculations!$O53*Calculations!$C$8^2))</f>
        <v>#N/A</v>
      </c>
      <c r="AE53" s="8">
        <f>IF(AE$5="H2O",IF($D$24=3,IF(T53=0,NA(),T53),calculateGibbsOfWater(M53,N53,$D$24,$D$20,$D$19=3)),NA())</f>
        <v>-57494.781327660457</v>
      </c>
      <c r="AF53" s="8">
        <f>IF(ISBLANK(Input!$X$4),NA(),'Reaction Information'!$E$13-'Reaction Information'!$G$13*(Calculations!O53-Calculations!$C$8)-'Reaction Information'!$N$13*(Calculations!O53*LN(Calculations!O53/Calculations!$C$8)-Calculations!O53+Calculations!$C$8)-'Reaction Information'!$O$13*10^4*(((1/(Calculations!O53-Calculations!$C$13))-(1/(Calculations!$C$8-Calculations!$C$13)))*((Calculations!$C$13-Calculations!O53)/(Calculations!$C$13))-(Calculations!O53/(Calculations!$C$13*Calculations!$C$13))*LN((Calculations!$C$8*(Calculations!O53-Calculations!$C$13))/(Calculations!O53*(Calculations!$C$8-Calculations!$C$13))))+'Reaction Information'!$J$13*10^-1*(Calculations!M53-Calculations!$C$9)+'Reaction Information'!$K$13*10^2*LN((Calculations!$C$12+Calculations!M53)/(Calculations!$C$12+Calculations!$C$9))+(1/(Calculations!O53-Calculations!$C$13))*('Reaction Information'!$L$13*(Calculations!M53-Calculations!$C$9)+'Reaction Information'!$M$13*10^4*LN((Calculations!$C$12+Calculations!M53)/(Calculations!$C$12+Calculations!$C$9)))+calculateOmega(Calculations!M53,Calculations!N53,Calculations!Q53,'Reaction Information'!$C$13,'Reaction Information'!$P$13*10^5,'Reaction Information'!$Q$13)*((1/Calculations!S53)-1)-'Reaction Information'!$P$13*10^5*((1/Calculations!$C$10)-1)+'Reaction Information'!$P$13*10^5*Calculations!$C$14*(Calculations!O53-Calculations!$C$8))</f>
        <v>-92144.937346556515</v>
      </c>
      <c r="AG53" s="8" t="e">
        <f>IF(ISBLANK(Input!$AA$4),NA(),'Reaction Information'!$E$17-'Reaction Information'!$G$17*(Calculations!$O53-Calculations!$C$8)-'Reaction Information'!$N$17*(Calculations!$O53*LN(Calculations!$O53/Calculations!$C$8)-Calculations!$O53+Calculations!$C$8)-'Reaction Information'!$O$17*10^4*(((1/(Calculations!$O53-Calculations!$C$13))-(1/(Calculations!$C$8-Calculations!$C$13)))*((Calculations!$C$13-Calculations!$O53)/(Calculations!$C$13))-(Calculations!$O53/(Calculations!$C$13*Calculations!$C$13))*LN((Calculations!$C$8*(Calculations!$O53-Calculations!$C$13))/(Calculations!$O53*(Calculations!$C$8-Calculations!$C$13))))+'Reaction Information'!$J$17*10^-1*(Calculations!$M53-Calculations!$C$9)+'Reaction Information'!$K$17*10^2*LN((Calculations!$C$12+Calculations!$M53)/(Calculations!$C$12+Calculations!$C$9))+(1/(Calculations!$O53-Calculations!$C$13))*('Reaction Information'!$L$17*(Calculations!$M53-Calculations!$C$9)+'Reaction Information'!$M$17*10^4*LN((Calculations!$C$12+Calculations!$M53)/(Calculations!$C$12+Calculations!$C$9)))+calculateOmega(Calculations!M53,Calculations!N53,Calculations!Q53,'Reaction Information'!$C$17,'Reaction Information'!$P$17*10^5,'Reaction Information'!$Q$17)*((1/Calculations!$S53)-1)-'Reaction Information'!$P$17*10^5*((1/Calculations!$C$10)-1)+'Reaction Information'!$P$17*10^5*Calculations!$C$14*(Calculations!$O53-Calculations!$C$8))</f>
        <v>#N/A</v>
      </c>
      <c r="AH53" s="8" t="e">
        <f>IF(ISBLANK(Input!$AD$4),NA(),'Reaction Information'!$E$21-'Reaction Information'!$G$21*(Calculations!$O53-Calculations!$C$8)-'Reaction Information'!$N$21*(Calculations!$O53*LN(Calculations!$O53/Calculations!$C$8)-Calculations!$O53+Calculations!$C$8)-'Reaction Information'!$O$21*10^4*(((1/(Calculations!$O53-Calculations!$C$13))-(1/(Calculations!$C$8-Calculations!$C$13)))*((Calculations!$C$13-Calculations!$O53)/(Calculations!$C$13))-(Calculations!$O53/(Calculations!$C$13*Calculations!$C$13))*LN((Calculations!$C$8*(Calculations!$O53-Calculations!$C$13))/(Calculations!$O53*(Calculations!$C$8-Calculations!$C$13))))+'Reaction Information'!$J$21*10^-1*(Calculations!$M53-Calculations!$C$9)+'Reaction Information'!$K$21*10^2*LN((Calculations!$C$12+Calculations!$M53)/(Calculations!$C$12+Calculations!$C$9))+(1/(Calculations!$O53-Calculations!$C$13))*('Reaction Information'!$L$21*(Calculations!$M53-Calculations!$C$9)+'Reaction Information'!$M$21*10^4*LN((Calculations!$C$12+Calculations!$M53)/(Calculations!$C$12+Calculations!$C$9)))+calculateOmega(Calculations!M53,Calculations!N53,Calculations!Q53,'Reaction Information'!$C$21,'Reaction Information'!$P$21*10^5,'Reaction Information'!$Q$21)*((1/Calculations!$S53)-1)-'Reaction Information'!$P$21*10^5*((1/Calculations!$C$10)-1)+'Reaction Information'!$P$21*10^5*Calculations!$C$14*(Calculations!$O53-Calculations!$C$8))</f>
        <v>#N/A</v>
      </c>
      <c r="AI53" s="8" t="e">
        <f>IF(ISBLANK(Input!$AG$4),NA(),'Reaction Information'!$E$25-'Reaction Information'!$G$25*(Calculations!$O53-Calculations!$C$8)-'Reaction Information'!$N$25*(Calculations!$O53*LN(Calculations!$O53/Calculations!$C$8)-Calculations!$O53+Calculations!$C$8)-'Reaction Information'!$O$25*10^4*(((1/(Calculations!$O53-Calculations!$C$13))-(1/(Calculations!$C$8-Calculations!$C$13)))*((Calculations!$C$13-Calculations!$O53)/(Calculations!$C$13))-(Calculations!$O53/(Calculations!$C$13*Calculations!$C$13))*LN((Calculations!$C$8*(Calculations!$O53-Calculations!$C$13))/(Calculations!$O53*(Calculations!$C$8-Calculations!$C$13))))+'Reaction Information'!$J$25*10^-1*(Calculations!$M53-Calculations!$C$9)+'Reaction Information'!$K$25*10^2*LN((Calculations!$C$12+Calculations!$M53)/(Calculations!$C$12+Calculations!$C$9))+(1/(Calculations!$O53-Calculations!$C$13))*('Reaction Information'!$L$25*(Calculations!$M53-Calculations!$C$9)+'Reaction Information'!$M$25*10^4*LN((Calculations!$C$12+Calculations!$M53)/(Calculations!$C$12+Calculations!$C$9)))+calculateOmega(Calculations!M53,Calculations!N53,Calculations!Q53,'Reaction Information'!$C$25,'Reaction Information'!$P$25*10^5,'Reaction Information'!$Q$25)*((1/Calculations!$S53)-1)-'Reaction Information'!$P$25*10^5*((1/Calculations!$C$10)-1)+'Reaction Information'!$P$25*10^5*Calculations!$C$14*(Calculations!$O53-Calculations!$C$8))</f>
        <v>#N/A</v>
      </c>
      <c r="AJ53" s="8" t="e">
        <f>IF(ISBLANK(Input!$AJ$4),NA(),'Reaction Information'!$E$29-'Reaction Information'!$G$29*(Calculations!$O53-Calculations!$C$8)-'Reaction Information'!$N$29*(Calculations!$O53*LN(Calculations!$O53/Calculations!$C$8)-Calculations!$O53+Calculations!$C$8)-'Reaction Information'!$O$29*10^4*(((1/(Calculations!$O53-Calculations!$C$13))-(1/(Calculations!$C$8-Calculations!$C$13)))*((Calculations!$C$13-Calculations!$O53)/(Calculations!$C$13))-(Calculations!$O53/(Calculations!$C$13*Calculations!$C$13))*LN((Calculations!$C$8*(Calculations!$O53-Calculations!$C$13))/(Calculations!$O53*(Calculations!$C$8-Calculations!$C$13))))+'Reaction Information'!$J$29*10^-1*(Calculations!$M53-Calculations!$C$9)+'Reaction Information'!$K$29*10^2*LN((Calculations!$C$12+Calculations!$M53)/(Calculations!$C$12+Calculations!$C$9))+(1/(Calculations!$O53-Calculations!$C$13))*('Reaction Information'!$L$29*(Calculations!$M53-Calculations!$C$9)+'Reaction Information'!$M$29*10^4*LN((Calculations!$C$12+Calculations!$M53)/(Calculations!$C$12+Calculations!$C$9)))+calculateOmega(Calculations!M53,Calculations!N53,Calculations!Q53,'Reaction Information'!$C$29,'Reaction Information'!$P$29*10^5,'Reaction Information'!$Q$29)*((1/Calculations!$S53)-1)-'Reaction Information'!$P$29*10^5*((1/Calculations!$C$10)-1)+'Reaction Information'!$P$29*10^5*Calculations!$C$14*(Calculations!$O53-Calculations!$C$8))</f>
        <v>#N/A</v>
      </c>
      <c r="AK53" s="8" t="e">
        <f>IF(ISBLANK(Input!$AM$4),NA(),'Reaction Information'!$E$33-'Reaction Information'!$G$33*(Calculations!$O53-Calculations!$C$8)-'Reaction Information'!$N$33*(Calculations!$O53*LN(Calculations!$O53/Calculations!$C$8)-Calculations!$O53+Calculations!$C$8)-'Reaction Information'!$O$33*10^4*(((1/(Calculations!$O53-Calculations!$C$13))-(1/(Calculations!$C$8-Calculations!$C$13)))*((Calculations!$C$13-Calculations!$O53)/(Calculations!$C$13))-(Calculations!$O53/(Calculations!$C$13*Calculations!$C$13))*LN((Calculations!$C$8*(Calculations!$O53-Calculations!$C$13))/(Calculations!$O53*(Calculations!$C$8-Calculations!$C$13))))+'Reaction Information'!$J$33*10^-1*(Calculations!$M53-Calculations!$C$9)+'Reaction Information'!$K$33*10^2*LN((Calculations!$C$12+Calculations!$M53)/(Calculations!$C$12+Calculations!$C$9))+(1/(Calculations!$O53-Calculations!$C$13))*('Reaction Information'!$L$33*(Calculations!$M53-Calculations!$C$9)+'Reaction Information'!$M$33*10^4*LN((Calculations!$C$12+Calculations!$M53)/(Calculations!$C$12+Calculations!$C$9)))+calculateOmega(Calculations!M53,Calculations!N53,Calculations!Q53,'Reaction Information'!$C$33,'Reaction Information'!$P$33*10^5,'Reaction Information'!$Q$33)*((1/Calculations!$S53)-1)-'Reaction Information'!$P$33*10^5*((1/Calculations!$C$10)-1)+'Reaction Information'!$P$33*10^5*Calculations!$C$14*(Calculations!$O53-Calculations!$C$8))</f>
        <v>#N/A</v>
      </c>
      <c r="AL53" s="1">
        <f>Results!S55</f>
        <v>0</v>
      </c>
      <c r="AM53" s="1">
        <f>Results!T55</f>
        <v>0</v>
      </c>
      <c r="AN53" s="1">
        <f>Results!U55</f>
        <v>0</v>
      </c>
      <c r="AO53" s="1">
        <f>Results!V55</f>
        <v>0</v>
      </c>
      <c r="AP53" s="8" t="e">
        <f>IF(ISBLANK(Input!$BB$4),NA(),'Reaction Information'!$E$38-'Reaction Information'!$G$38*(Calculations!$O53-Calculations!$C$8)+'Reaction Information'!$I$38*(Calculations!$O53-Calculations!$C$8-Calculations!$O53*LN(Calculations!$O53/Calculations!$C$8))+'Reaction Information'!$J$38*0.001/2*(2*Calculations!$O53*Calculations!$C$8-Calculations!$O53^2-Calculations!$C$8^2) + 'Reaction Information'!$K$38*100000*(Calculations!$O53^2 + Calculations!$C$8^2 - 2*Calculations!$O53*Calculations!$C$8)/(2*Calculations!$O53*Calculations!$C$8^2))</f>
        <v>#N/A</v>
      </c>
      <c r="AQ53" s="8" t="e">
        <f>IF(ISBLANK(Input!$BE$4),NA(),'Reaction Information'!$E$42-'Reaction Information'!$G$42*(Calculations!$O53-Calculations!$C$8)+'Reaction Information'!$I$42*(Calculations!$O53-Calculations!$C$8-Calculations!$O53*LN(Calculations!$O53/Calculations!$C$8))+'Reaction Information'!$J$42*0.001/2*(2*Calculations!$O53*Calculations!$C$8-Calculations!$O53^2-Calculations!$C$8^2) + 'Reaction Information'!$K$42*100000*(Calculations!$O53^2 + Calculations!$C$8^2 - 2*Calculations!$O53*Calculations!$C$8)/(2*Calculations!$O53*Calculations!$C$8^2))</f>
        <v>#N/A</v>
      </c>
      <c r="AR53" s="8" t="e">
        <f>IF(AR$5="H2O", IF($D$24=3,IF(T53=0,NA(),T53),calculateGibbsOfWater(M53,N53,$D$24,$D$20,$D$19=3)),NA())</f>
        <v>#N/A</v>
      </c>
      <c r="AS53" s="8">
        <f>IF(ISBLANK(Input!$BK$4),NA(),'Reaction Information'!$E$46-'Reaction Information'!$G$46*(Calculations!O53-Calculations!$C$8)-'Reaction Information'!$N$46*(Calculations!O53*LN(Calculations!O53/Calculations!$C$8)-Calculations!O53+Calculations!$C$8)-'Reaction Information'!$O$46*10^4*(((1/(Calculations!O53-Calculations!$C$13))-(1/(Calculations!$C$8-Calculations!$C$13)))*((Calculations!$C$13-Calculations!O53)/(Calculations!$C$13))-(Calculations!O53/(Calculations!$C$13*Calculations!$C$13))*LN((Calculations!$C$8*(Calculations!O53-Calculations!$C$13))/(Calculations!O53*(Calculations!$C$8-Calculations!$C$13))))+'Reaction Information'!$J$46*10^-1*(Calculations!$M53-Calculations!$C$9)+'Reaction Information'!$K$46*10^2*LN((Calculations!$C$12+Calculations!$M53)/(Calculations!$C$12+Calculations!$C$9))+(1/(Calculations!O53-Calculations!$C$13))*('Reaction Information'!$L$46*(Calculations!$M53-Calculations!$C$9)+'Reaction Information'!$M$46*10^4*LN((Calculations!$C$12+Calculations!$M53)/(Calculations!$C$12+Calculations!$C$9)))+calculateOmega(Calculations!M53,Calculations!N53,Calculations!Q53,'Reaction Information'!$C$46,'Reaction Information'!$P$46*10^5,'Reaction Information'!$Q$46)*((1/Calculations!S53)-1)-'Reaction Information'!$P$46*10^5*((1/Calculations!$C$10)-1)+'Reaction Information'!$P$46*10^5*Calculations!$C$14*(Calculations!O53-Calculations!$C$8))</f>
        <v>0</v>
      </c>
      <c r="AT53" s="8">
        <f>IF(ISBLANK(Input!$BN$4),NA(),'Reaction Information'!$E$50-'Reaction Information'!$G$50*(Calculations!O53-Calculations!$C$8)-'Reaction Information'!$N$50*(Calculations!O53*LN(Calculations!O53/Calculations!$C$8)-Calculations!O53+Calculations!$C$8)-'Reaction Information'!$O$50*10^4*(((1/(Calculations!O53-Calculations!$C$13))-(1/(Calculations!$C$8-Calculations!$C$13)))*((Calculations!$C$13-Calculations!O53)/(Calculations!$C$13))-(Calculations!O53/(Calculations!$C$13*Calculations!$C$13))*LN((Calculations!$C$8*(Calculations!O53-Calculations!$C$13))/(Calculations!O53*(Calculations!$C$8-Calculations!$C$13))))+'Reaction Information'!$J$50*10^-1*(Calculations!$M53-Calculations!$C$9)+'Reaction Information'!$K$50*10^2*LN((Calculations!$C$12+Calculations!$M53)/(Calculations!$C$12+Calculations!$C$9))+(1/(Calculations!O53-Calculations!$C$13))*('Reaction Information'!$L$50*(Calculations!$M53-Calculations!$C$9)+'Reaction Information'!$M$50*10^4*LN((Calculations!$C$12+Calculations!$M53)/(Calculations!$C$12+Calculations!$C$9)))+calculateOmega(Calculations!M53,Calculations!N53,Calculations!Q53,'Reaction Information'!$C$50,'Reaction Information'!$P$50*10^5,'Reaction Information'!$Q$50)*((1/Calculations!S53)-1)-'Reaction Information'!$P$50*10^5*((1/Calculations!$C$10)-1)+'Reaction Information'!$P$50*10^5*Calculations!$C$14*(Calculations!O53-Calculations!$C$8))</f>
        <v>-136205.17339350036</v>
      </c>
      <c r="AU53" s="8" t="e">
        <f>IF(ISBLANK(Input!$BQ$4),NA(),'Reaction Information'!$E$54-'Reaction Information'!$G$54*(Calculations!$O53-Calculations!$C$8)-'Reaction Information'!$N$54*(Calculations!$O53*LN(Calculations!$O53/Calculations!$C$8)-Calculations!$O53+Calculations!$C$8)-'Reaction Information'!$O$54*10^4*(((1/(Calculations!$O53-Calculations!$C$13))-(1/(Calculations!$C$8-Calculations!$C$13)))*((Calculations!$C$13-Calculations!$O53)/(Calculations!$C$13))-(Calculations!$O53/(Calculations!$C$13*Calculations!$C$13))*LN((Calculations!$C$8*(Calculations!$O53-Calculations!$C$13))/(Calculations!$O53*(Calculations!$C$8-Calculations!$C$13))))+'Reaction Information'!$J$54*10^-1*(Calculations!$M53-Calculations!$C$9)+'Reaction Information'!$K$54*10^2*LN((Calculations!$C$12+Calculations!$M53)/(Calculations!$C$12+Calculations!$C$9))+(1/(Calculations!$O53-Calculations!$C$13))*('Reaction Information'!$L$54*(Calculations!$M53-Calculations!$C$9)+'Reaction Information'!$M$54*10^4*LN((Calculations!$C$12+Calculations!$M53)/(Calculations!$C$12+Calculations!$C$9)))+calculateOmega(Calculations!M53,Calculations!N53,Calculations!Q53,'Reaction Information'!$C$54,'Reaction Information'!$P$54*10^5,'Reaction Information'!$Q$54)*((1/Calculations!$S53)-1)-'Reaction Information'!$P$54*10^5*((1/Calculations!$C$10)-1)+'Reaction Information'!$P$54*10^5*Calculations!$C$14*(Calculations!$O53-Calculations!$C$8))</f>
        <v>#N/A</v>
      </c>
      <c r="AV53" s="8" t="e">
        <f>IF(ISBLANK(Input!$BT$4),NA(),'Reaction Information'!$E$58-'Reaction Information'!$G$58*(Calculations!$O53-Calculations!$C$8)-'Reaction Information'!$N$58*(Calculations!$O53*LN(Calculations!$O53/Calculations!$C$8)-Calculations!$O53+Calculations!$C$8)-'Reaction Information'!$O$58*10^4*(((1/(Calculations!$O53-Calculations!$C$13))-(1/(Calculations!$C$8-Calculations!$C$13)))*((Calculations!$C$13-Calculations!$O53)/(Calculations!$C$13))-(Calculations!$O53/(Calculations!$C$13*Calculations!$C$13))*LN((Calculations!$C$8*(Calculations!$O53-Calculations!$C$13))/(Calculations!$O53*(Calculations!$C$8-Calculations!$C$13))))+'Reaction Information'!$J$58*10^-1*(Calculations!$M53-Calculations!$C$9)+'Reaction Information'!$K$58*10^2*LN((Calculations!$C$12+Calculations!$M53)/(Calculations!$C$12+Calculations!$C$9))+(1/(Calculations!$O53-Calculations!$C$13))*('Reaction Information'!$L$58*(Calculations!$M53-Calculations!$C$9)+'Reaction Information'!$M$58*10^4*LN((Calculations!$C$12+Calculations!$M53)/(Calculations!$C$12+Calculations!$C$9)))+calculateOmega(Calculations!M53,Calculations!N53,Calculations!Q53,'Reaction Information'!$C$58,'Reaction Information'!$P$58*10^5,'Reaction Information'!$Q$58)*((1/Calculations!$S53)-1)-'Reaction Information'!$P$58*10^5*((1/Calculations!$C$10)-1)+'Reaction Information'!$P$58*10^5*Calculations!$C$14*(Calculations!$O53-Calculations!$C$8))</f>
        <v>#N/A</v>
      </c>
      <c r="AW53" s="8" t="e">
        <f>IF(ISBLANK(Input!$BW$4),NA(),'Reaction Information'!$E$62-'Reaction Information'!$G$62*(Calculations!$O53-Calculations!$C$8)-'Reaction Information'!$N$62*(Calculations!$O53*LN(Calculations!$O53/Calculations!$C$8)-Calculations!$O53+Calculations!$C$8)-'Reaction Information'!$O$62*10^4*(((1/(Calculations!$O53-Calculations!$C$13))-(1/(Calculations!$C$8-Calculations!$C$13)))*((Calculations!$C$13-Calculations!$O53)/(Calculations!$C$13))-(Calculations!$O53/(Calculations!$C$13*Calculations!$C$13))*LN((Calculations!$C$8*(Calculations!$O53-Calculations!$C$13))/(Calculations!$O53*(Calculations!$C$8-Calculations!$C$13))))+'Reaction Information'!$J$62*10^-1*(Calculations!$M53-Calculations!$C$9)+'Reaction Information'!$K$62*10^2*LN((Calculations!$C$12+Calculations!$M53)/(Calculations!$C$12+Calculations!$C$9))+(1/(Calculations!$O53-Calculations!$C$13))*('Reaction Information'!$L$62*(Calculations!$M53-Calculations!$C$9)+'Reaction Information'!$M$62*10^4*LN((Calculations!$C$12+Calculations!$M53)/(Calculations!$C$12+Calculations!$C$9)))+calculateOmega(Calculations!M53,Calculations!N53,Calculations!Q53,'Reaction Information'!$C$62,'Reaction Information'!$P$62*10^5,'Reaction Information'!$Q$62)*((1/Calculations!$S53)-1)-'Reaction Information'!$P$62*10^5*((1/Calculations!$C$10)-1)+'Reaction Information'!$P$62*10^5*Calculations!$C$14*(Calculations!$O53-Calculations!$C$8))</f>
        <v>#N/A</v>
      </c>
      <c r="AX53" s="8" t="e">
        <f>IF(ISBLANK(Input!$BZ$4),NA(),'Reaction Information'!$E$66-'Reaction Information'!$G$66*(Calculations!$O53-Calculations!$C$8)-'Reaction Information'!$N$66*(Calculations!$O53*LN(Calculations!$O53/Calculations!$C$8)-Calculations!$O53+Calculations!$C$8)-'Reaction Information'!$O$66*10^4*(((1/(Calculations!$O53-Calculations!$C$13))-(1/(Calculations!$C$8-Calculations!$C$13)))*((Calculations!$C$13-Calculations!$O53)/(Calculations!$C$13))-(Calculations!$O53/(Calculations!$C$13*Calculations!$C$13))*LN((Calculations!$C$8*(Calculations!$O53-Calculations!$C$13))/(Calculations!$O53*(Calculations!$C$8-Calculations!$C$13))))+'Reaction Information'!$J$66*10^-1*(Calculations!$M53-Calculations!$C$9)+'Reaction Information'!$K$66*10^2*LN((Calculations!$C$12+Calculations!$M53)/(Calculations!$C$12+Calculations!$C$9))+(1/(Calculations!$O53-Calculations!$C$13))*('Reaction Information'!$L$66*(Calculations!$M53-Calculations!$C$9)+'Reaction Information'!$M$66*10^4*LN((Calculations!$C$12+Calculations!$M53)/(Calculations!$C$12+Calculations!$C$9)))+calculateOmega(Calculations!M53,Calculations!N53,Calculations!Q53,'Reaction Information'!$C$66,'Reaction Information'!$P$66*10^5,'Reaction Information'!$Q$66)*((1/Calculations!$S53)-1)-'Reaction Information'!$P$66*10^5*((1/Calculations!$C$10)-1)+'Reaction Information'!$P$66*10^5*Calculations!$C$14*(Calculations!$O53-Calculations!$C$8))</f>
        <v>#N/A</v>
      </c>
      <c r="AY53" s="31">
        <f>(AL53*Input!$AO$4+AM53*Input!$AR$4+AN53*Input!$AU$4+AO53*Input!$AX$4+IF(ISNA(AP53),0,AP53*Input!$BA$4)+IF(ISNA(AQ53),0,AQ53*Input!$BD$4)+IF(ISNA(AR53),0,AR53*Input!$BG$4)+IF(ISNA(AS53),0,AS53*Input!$BJ$4)+IF(ISNA(AT53),0,AT53*Input!$BM$4)+IF(ISNA(AU53),0,AU53*Input!$BP$4)+IF(ISNA(AV53),0,AV53*Input!$BS$4)+IF(ISNA(AW53),0,AW53*Input!$BV$4)+IF(ISNA(AX53),0,AX53*Input!$BY$4))-(Y53*Input!$B$4+Z53*Input!$E$4+AA53*Input!$H$4+AB53*Input!$K$4+IF(ISNA(AC53),0,AC53*Input!$N$4)+IF(ISNA(AD53),0,AD53*Input!$Q$4)+IF(ISNA(AE53),0,AE53*Input!$T$4)+IF(ISNA(AF53),0,AF53*Input!$W$4)+IF(ISNA(AG53),0,AG53*Input!$Z$4)+IF(ISNA(AH53),0,AH53*Input!$AC$4)+IF(ISNA(AI53),0,AI53*Input!$AF$4)+IF(ISNA(AJ53),0,AJ53*Input!$AI$4)+IF(ISNA(AK53),0,AK53*Input!$AL$4))</f>
        <v>13434.545280716615</v>
      </c>
      <c r="AZ53" s="42">
        <f t="shared" si="16"/>
        <v>-4.3645853930524865</v>
      </c>
      <c r="BA53" s="1">
        <f t="shared" si="8"/>
        <v>400</v>
      </c>
      <c r="BB53" s="46">
        <f t="shared" si="9"/>
        <v>20000</v>
      </c>
      <c r="BC53" s="1"/>
      <c r="BD53" s="2">
        <f t="shared" si="10"/>
        <v>20000</v>
      </c>
      <c r="BE53" s="46">
        <f t="shared" si="11"/>
        <v>400</v>
      </c>
      <c r="BF53" s="1">
        <f>Results!AJ55</f>
        <v>0</v>
      </c>
      <c r="BG53" s="1">
        <f>Results!AK55</f>
        <v>0</v>
      </c>
      <c r="BH53" s="1">
        <f>Results!AL55</f>
        <v>0</v>
      </c>
      <c r="BI53" s="1">
        <f>Results!AM55</f>
        <v>0</v>
      </c>
      <c r="BJ53" s="1" t="e">
        <f>IF(OR(ISNA('Reaction Information'!$D$5), $N53 = "", $D$27 = FALSE, 'Reaction Information'!$D$5 = ""), NA(), 24.465)</f>
        <v>#N/A</v>
      </c>
      <c r="BK53" s="1" t="e">
        <f>IF(OR(ISNA('Reaction Information'!$D$9), $N53 = "", $D$27 = FALSE, 'Reaction Information'!$D$9 = ""), NA(), 24.465)</f>
        <v>#N/A</v>
      </c>
      <c r="BL53" s="8">
        <f t="shared" si="17"/>
        <v>14.986108851218418</v>
      </c>
      <c r="BM53" s="8">
        <f>IF(OR(ISBLANK(Input!$X$4),$D$27=FALSE),NA(),('Reaction Information'!$J$13/10+'Reaction Information'!$K$13*100/(Calculations!$C$12+Calculations!$M53)+('Reaction Information'!$L$13+'Reaction Information'!$M$13*10^4/(Calculations!$C$12+Calculations!$M53))/(Calculations!$O53-Calculations!$C$13) -calculateOmega(Calculations!$M53,Calculations!$N53,Calculations!$Q53,'Reaction Information'!$C$13,'Reaction Information'!$P$13*10^5,'Reaction Information'!$Q$13)*Calculations!$U53*10^-6 + (1/$S53 - 1)*calculate_domegadP(Calculations!$M53,Calculations!$N53,Calculations!$Q53,'Reaction Information'!$C$13,'Reaction Information'!$P$13*10^5,'Reaction Information'!$Q$13,$D$20,$D$19=3))*41.84)</f>
        <v>30.662817887480578</v>
      </c>
      <c r="BN53" s="8" t="e">
        <f>IF(OR(ISBLANK(Input!$AA$4),$D$27=FALSE),NA(),('Reaction Information'!$J$17/10+'Reaction Information'!$K$17*100/(Calculations!$C$12+Calculations!$M53)+('Reaction Information'!$L$17+'Reaction Information'!$M$17*10000/(Calculations!$C$12+Calculations!$M53))/(Calculations!$O53-Calculations!$C$13)-calculateOmega(Calculations!M53,Calculations!N53,Calculations!Q53,'Reaction Information'!$C$17,'Reaction Information'!$P$17*10^5,'Reaction Information'!$Q$17)*Calculations!$U53*10^-6 + (1/$S53 - 1)*calculate_domegadP(Calculations!M53,Calculations!N53,Calculations!Q53,'Reaction Information'!$C$17,'Reaction Information'!$P$17*10^5,'Reaction Information'!$Q$17,$D$20,$D$19=3))*41.84)</f>
        <v>#N/A</v>
      </c>
      <c r="BO53" s="8" t="e">
        <f>IF(OR(ISBLANK(Input!$AD$4),$D$27=FALSE),NA(),('Reaction Information'!$J$21/10+'Reaction Information'!$K$21*100/(Calculations!$C$12+Calculations!$M53)+('Reaction Information'!$L$21+'Reaction Information'!$M$21*10000/(Calculations!$C$12+Calculations!$M53))/(Calculations!$O53-Calculations!$C$13)-calculateOmega(Calculations!M53,Calculations!N53,Calculations!Q53,'Reaction Information'!$C$21,'Reaction Information'!$P$21*10^5,'Reaction Information'!$Q$21)*Calculations!$U53*10^-6 + (1/$S53 - 1)*calculate_domegadP(Calculations!M53,Calculations!N53,Calculations!Q53,'Reaction Information'!$C$21,'Reaction Information'!$P$21*10^5,'Reaction Information'!$Q$21,$D$20,$D$19=3))*41.84)</f>
        <v>#N/A</v>
      </c>
      <c r="BP53" s="8" t="e">
        <f>IF(OR(ISBLANK(Input!$AG$4),$D$27=FALSE),NA(),('Reaction Information'!$J$25/10+'Reaction Information'!$K$25*100/(Calculations!$C$12+Calculations!$M53)+('Reaction Information'!$L$25+'Reaction Information'!$M$25*10000/(Calculations!$C$12+Calculations!$M53))/(Calculations!$O53-Calculations!$C$13)-calculateOmega(Calculations!M53,Calculations!N53,Calculations!Q53,'Reaction Information'!$C$25,'Reaction Information'!$P$25*10^5,'Reaction Information'!$Q$25)*Calculations!$U53*10^-6 + (1/$S53 - 1)*calculate_domegadP(Calculations!M53,Calculations!N53,Calculations!Q53,'Reaction Information'!$C$25,'Reaction Information'!$P$25*10^5,'Reaction Information'!$Q$25,$D$20,$D$19=3))*41.84)</f>
        <v>#N/A</v>
      </c>
      <c r="BQ53" s="8" t="e">
        <f>IF(OR(ISBLANK(Input!$AJ$4),$D$27=FALSE),NA(),('Reaction Information'!$J$29/10+'Reaction Information'!$K$29*100/(Calculations!$C$12+Calculations!$M53)+('Reaction Information'!$L$29+'Reaction Information'!$M$29*10000/(Calculations!$C$12+Calculations!$M53))/(Calculations!$O53-Calculations!$C$13)-calculateOmega(Calculations!M53,Calculations!N53,Calculations!Q53,'Reaction Information'!$C$29,'Reaction Information'!$P$29*10^5,'Reaction Information'!$Q$29)*Calculations!$U53*10^-6 + (1/$S53 - 1)*calculate_domegadP(Calculations!M53,Calculations!N53,Calculations!Q53,'Reaction Information'!$C$29,'Reaction Information'!$P$29*10^5,'Reaction Information'!$Q$29,$D$20,$D$19=3))*41.84)</f>
        <v>#N/A</v>
      </c>
      <c r="BR53" s="8" t="e">
        <f>IF(OR(ISBLANK(Input!$AM$4),$D$27=FALSE),NA(),('Reaction Information'!$J$33/10+'Reaction Information'!$K$33*100/(Calculations!$C$12+Calculations!$M53)+('Reaction Information'!$L$33+'Reaction Information'!$M$33*10000/(Calculations!$C$12+Calculations!$M53))/(Calculations!$O53-Calculations!$C$13)-calculateOmega(Calculations!M53,Calculations!N53,Calculations!Q53,'Reaction Information'!$C$33,'Reaction Information'!$P$33*10^5,'Reaction Information'!$Q$33)*Calculations!$U53*10^-6 + (1/$S53 - 1)*calculate_domegadP(Calculations!M53,Calculations!N53,Calculations!Q53,'Reaction Information'!$C$33,'Reaction Information'!$P$33*10^5,'Reaction Information'!$Q$33,$D$20,$D$19=3))*41.84)</f>
        <v>#N/A</v>
      </c>
      <c r="BS53" s="1">
        <f>Results!AW55</f>
        <v>0</v>
      </c>
      <c r="BT53" s="1">
        <f>Results!AX55</f>
        <v>0</v>
      </c>
      <c r="BU53" s="1">
        <f>Results!AY55</f>
        <v>0</v>
      </c>
      <c r="BV53" s="1">
        <f>Results!AZ55</f>
        <v>0</v>
      </c>
      <c r="BW53" s="1" t="e">
        <f>IF(OR(ISNA('Reaction Information'!$D$38), $N53 = "", $D$27 = FALSE, 'Reaction Information'!$D$38 = ""), NA(), 24.465)</f>
        <v>#N/A</v>
      </c>
      <c r="BX53" s="1" t="e">
        <f>IF(OR(ISNA('Reaction Information'!$D$42), $N53 = "", $D$27 = FALSE, 'Reaction Information'!$D$42 = ""), NA(), 24.465)</f>
        <v>#N/A</v>
      </c>
      <c r="BY53" s="8" t="e">
        <f t="shared" si="18"/>
        <v>#N/A</v>
      </c>
      <c r="BZ53" s="8">
        <f>IF(OR(ISBLANK(Input!$BK$4),$D$27=FALSE),NA(),('Reaction Information'!$J$46/10+'Reaction Information'!$K$46*100/(Calculations!$C$12+Calculations!$M53)+('Reaction Information'!$L$46+'Reaction Information'!$M$46*10000/(Calculations!$C$12+Calculations!$M53))/(Calculations!$O53-Calculations!$C$13)-calculateOmega(Calculations!M53,Calculations!N53,Calculations!Q53,'Reaction Information'!$C$46,'Reaction Information'!$P$46*10^5,'Reaction Information'!$Q$46)*Calculations!$U53*10^-6 + (1/$S53 - 1)*calculate_domegadP(Calculations!M53,Calculations!N53,Calculations!Q53,'Reaction Information'!$C$46,'Reaction Information'!$P$46*10^5,'Reaction Information'!$Q$46,$D$20,$D$19=3))*41.84)</f>
        <v>0</v>
      </c>
      <c r="CA53" s="8">
        <f>IF(OR(ISBLANK(Input!$BN$4),$D$27=FALSE),NA(),('Reaction Information'!$J$50/10+'Reaction Information'!$K$50*100/(Calculations!$C$12+Calculations!$M53)+('Reaction Information'!$L$50+'Reaction Information'!$M$50*10000/(Calculations!$C$12+Calculations!$M53))/(Calculations!$O53-Calculations!$C$13)-calculateOmega(Calculations!M53,Calculations!N53,Calculations!Q53,'Reaction Information'!$C$50,'Reaction Information'!$P$50*10^5,'Reaction Information'!$Q$50)*Calculations!$U53*10^-6 + (1/$S53 - 1)*calculate_domegadP(Calculations!M53,Calculations!N53,Calculations!Q53,'Reaction Information'!$C$50,'Reaction Information'!$P$50*10^5,'Reaction Information'!$Q$50,$D$20,$D$19=3))*41.84)</f>
        <v>30.612738638535216</v>
      </c>
      <c r="CB53" s="8" t="e">
        <f>IF(OR(ISBLANK(Input!$BQ$4),$D$27=FALSE),NA(),('Reaction Information'!$J$54/10+'Reaction Information'!$K$54*100/(Calculations!$C$12+Calculations!$M53)+('Reaction Information'!$L$54+'Reaction Information'!$M$54*10000/(Calculations!$C$12+Calculations!$M53))/(Calculations!$O53-Calculations!$C$13)-calculateOmega(Calculations!M53,Calculations!N53,Calculations!Q53,'Reaction Information'!$C$54,'Reaction Information'!$P$54*10^5,'Reaction Information'!$Q$54)*Calculations!$U53*10^-6 + (1/$S53 - 1)*calculate_domegadP(Calculations!M53,Calculations!N53,Calculations!Q53,'Reaction Information'!$C$54,'Reaction Information'!$P$54*10^5,'Reaction Information'!$Q$54,$D$20,$D$19=3))*41.84)</f>
        <v>#N/A</v>
      </c>
      <c r="CC53" s="8" t="e">
        <f>IF(OR(ISBLANK(Input!$BT$4),$D$27=FALSE),NA(),('Reaction Information'!$J$58/10+'Reaction Information'!$K$58*100/(Calculations!$C$12+Calculations!$M53)+('Reaction Information'!$L$58+'Reaction Information'!$M$58*10000/(Calculations!$C$12+Calculations!$M53))/(Calculations!$O53-Calculations!$C$13)-calculateOmega(Calculations!M53,Calculations!N53,Calculations!Q53,'Reaction Information'!$C$58,'Reaction Information'!$P$58*10^5,'Reaction Information'!$Q$58)*Calculations!$U53*10^-6 + (1/$S53 - 1)*calculate_domegadP(Calculations!M53,Calculations!N53,Calculations!Q53,'Reaction Information'!$C$58,'Reaction Information'!$P$58*10^5,'Reaction Information'!$Q$58,$D$20,$D$19=3))*41.84)</f>
        <v>#N/A</v>
      </c>
      <c r="CD53" s="8" t="e">
        <f>IF(OR(ISBLANK(Input!$BW$4),$D$27=FALSE),NA(),('Reaction Information'!$J$62/10+'Reaction Information'!$K$62*100/(Calculations!$C$12+Calculations!$M53)+('Reaction Information'!$L$62+'Reaction Information'!$M$62*10000/(Calculations!$C$12+Calculations!$M53))/(Calculations!$O53-Calculations!$C$13)-calculateOmega(Calculations!M53,Calculations!N53,Calculations!Q53,'Reaction Information'!$C$62,'Reaction Information'!$P$62*10^5,'Reaction Information'!$Q$62)*Calculations!$U53*10^-6 + (1/$S53 - 1)*calculate_domegadP(Calculations!M53,Calculations!N53,Calculations!Q53,'Reaction Information'!$C$62,'Reaction Information'!$P$62*10^5,'Reaction Information'!$Q$62,$D$20,$D$19=3))*41.84)</f>
        <v>#N/A</v>
      </c>
      <c r="CE53" s="8" t="e">
        <f>IF(OR(ISBLANK(Input!$BZ$4),$D$27=FALSE),NA(),('Reaction Information'!$J$66/10+'Reaction Information'!$K$66*100/(Calculations!$C$12+Calculations!$M53)+('Reaction Information'!$L$66+'Reaction Information'!$M$66*10000/(Calculations!$C$12+Calculations!$M53))/(Calculations!$O53-Calculations!$C$13)-calculateOmega(Calculations!M53,Calculations!N53,Calculations!Q53,'Reaction Information'!$C$66,'Reaction Information'!$P$66*10^5,'Reaction Information'!$Q$66)*Calculations!$U53*10^-6 + (1/$S53 - 1)*calculate_domegadP(Calculations!M53,Calculations!N53,Calculations!Q53,'Reaction Information'!$C$66,'Reaction Information'!$P$66*10^5,'Reaction Information'!$Q$66,$D$20,$D$19=3))*41.84)</f>
        <v>#N/A</v>
      </c>
      <c r="CF53" s="31">
        <f>(BS53*Input!$AO$4+BT53*Input!$AR$4+BU53*Input!$AU$4+BV53*Input!$AX$4+IF(ISNA(BW53),0,BW53*Input!$BA$4)+IF(ISNA(BX53),0,BX53*Input!$BD$4)+IF(ISNA(BY53),0,BY53*Input!$BG$4)+IF(ISNA(BZ53),0,BZ53*Input!$BJ$4)+IF(ISNA(CA53),0,CA53*Input!$BM$4)+IF(ISNA(CB53),0,CB53*Input!$BP$4)+IF(ISNA(CC53),0,CC53*Input!$BS$4)+IF(ISNA(CD53),0,CD53*Input!$BV$4)+IF(ISNA(CE53),0,CE53*Input!$BY$4))-(BF53*Input!$B$4+BG53*Input!$E$4+BH53*Input!$H$4+BI53*Input!$K$4+IF(ISNA(BJ53),0,BJ53*Input!$N$4)+IF(ISNA(BK53),0,BK53*Input!$Q$4)+IF(ISNA(BL53),0,BL53*Input!$T$4)+IF(ISNA(BM53),0,BM53*Input!$W$4)+IF(ISNA(BN53),0,BN53*Input!$Z$4)+IF(ISNA(BO53),0,BO53*Input!$AC$4)+IF(ISNA(BP53),0,BP53*Input!$AF$4)+IF(ISNA(BQ53),0,BQ53*Input!$AI$4)+IF(ISNA(BR53),0,BR53*Input!$AL$4))</f>
        <v>-15.03618810016378</v>
      </c>
      <c r="CG53" s="1">
        <f t="shared" si="12"/>
        <v>400</v>
      </c>
      <c r="CH53" s="46">
        <f t="shared" si="13"/>
        <v>20000</v>
      </c>
      <c r="CI53" s="1"/>
    </row>
    <row r="54" spans="1:87" x14ac:dyDescent="0.2">
      <c r="A54" s="1"/>
      <c r="E54" s="1"/>
      <c r="F54" s="2">
        <v>49</v>
      </c>
      <c r="G54" s="1" t="str">
        <f>IF(ISBLANK(Input!CB54), "", Input!CB54*1000)</f>
        <v/>
      </c>
      <c r="H54" s="1" t="str">
        <f>IF(ISBLANK(Input!CC54), "", Input!CC54)</f>
        <v/>
      </c>
      <c r="I54" s="1">
        <f>IF(Input!$CF$5 + Input!$CF$6*(FLOOR((Calculations!$F54-1)/(FLOOR((Input!$CF$12-Input!$CF$10)/Input!$CF$11,1)+1),1)) &gt; Input!$CF$7, "", (Input!$CF$5 + Input!$CF$6*(FLOOR((Calculations!$F54-1)/(FLOOR((Input!$CF$12-Input!$CF$10)/Input!$CF$11,1)+1),1)))*1000)</f>
        <v>20000</v>
      </c>
      <c r="J54" s="1">
        <f>IF(Calculations!I54 = "", "", Input!$CF$10 + Input!$CF$11*(Calculations!$F54-1) - (FLOOR((Input!$CF$12-Input!$CF$10)/Input!$CF$11,1)+1)*Input!$CF$11*FLOOR((Calculations!$F54-1)/(FLOOR((Input!$CF$12-Input!$CF$10)/Input!$CF$11,1)+1),1))</f>
        <v>450</v>
      </c>
      <c r="K54" s="8" t="str">
        <f t="shared" si="14"/>
        <v/>
      </c>
      <c r="L54" s="117" t="str">
        <f>IF(OR(Input!$CJ$5 + Input!$CJ$6*(Calculations!F54-1) &gt; Input!$CJ$7, Input!$CJ$5 + Input!$CJ$6*(Calculations!F54-1) &gt; 350), "", Input!$CJ$5 + Input!$CJ$6*(Calculations!F54-1))</f>
        <v/>
      </c>
      <c r="M54" s="1">
        <f t="shared" si="2"/>
        <v>20000</v>
      </c>
      <c r="N54" s="1">
        <f t="shared" si="3"/>
        <v>450</v>
      </c>
      <c r="O54" s="1">
        <f t="shared" si="15"/>
        <v>723.15</v>
      </c>
      <c r="P54" s="1" t="e">
        <f>IF(OR($D$20=3,AND($D$21=TRUE,M54&lt;1000)),INDEX('Water Density'!$C$6:$CX$120,MATCH(Calculations!N54,'Water Density'!$B$6:$B$120),MATCH(Calculations!M54/1000,'Water Density'!$C$5:$CX$5)),NA())</f>
        <v>#N/A</v>
      </c>
      <c r="Q54" s="182">
        <f>IF(OR($D$20=3,AND($D$21=TRUE,M54&lt;1000)), IF(P54&lt;&gt;0,P54,NA()), calculateDensity(M54,N54,$D$20,0.01,$D$19 = 3))</f>
        <v>1.1837277313405279</v>
      </c>
      <c r="R54" s="1" t="e">
        <f>IF($D$22=5,INDEX('Dielectric Constant'!$C$6:$CX$120,MATCH(Calculations!N54,'Dielectric Constant'!$B$6:$B$120),MATCH(Calculations!M54/1000,'Dielectric Constant'!$C$5:$CX$5)),NA())</f>
        <v>#N/A</v>
      </c>
      <c r="S54" s="58">
        <f>IF($D$22=5, IF(R54&lt;&gt;0,R54,NA()), IF(AND($D$23,M54&lt;=5000,$D$19 &lt;&gt; 3),calculateEpsilon(Q54,N54,1,FALSE),calculateEpsilon(Q54,N54,$D$22,$D$19 = 3)))</f>
        <v>33.299923208802177</v>
      </c>
      <c r="T54" s="1" t="e">
        <f>IF($D$24=3,INDEX('Water Free Energy'!$C$6:$CX$120,MATCH(Calculations!N54,'Water Free Energy'!$B$6:$B$120),MATCH(Calculations!M54/1000,'Water Free Energy'!$C$5:$CX$5)),NA())</f>
        <v>#N/A</v>
      </c>
      <c r="U54" s="179">
        <f>IF($D$27,calculateQ(M54,N54,Q54,$D$20,$D$22,$D$19=3)*10^6,NA())</f>
        <v>0.31927519339229615</v>
      </c>
      <c r="V54"/>
      <c r="W54" s="2">
        <f t="shared" si="5"/>
        <v>20000</v>
      </c>
      <c r="X54" s="1">
        <f t="shared" si="6"/>
        <v>450</v>
      </c>
      <c r="Y54" s="1">
        <f>Results!F56</f>
        <v>0</v>
      </c>
      <c r="Z54" s="1">
        <f>Results!G56</f>
        <v>0</v>
      </c>
      <c r="AA54" s="1">
        <f>Results!H56</f>
        <v>0</v>
      </c>
      <c r="AB54" s="1">
        <f>Results!I56</f>
        <v>0</v>
      </c>
      <c r="AC54" s="1" t="e">
        <f>IF(ISBLANK(Input!$O$4),NA(),'Reaction Information'!$E$5-'Reaction Information'!$G$5*(Calculations!$O54-Calculations!$C$8)+'Reaction Information'!$I$5*(Calculations!$O54-Calculations!$C$8-Calculations!$O54*LN(Calculations!$O54/Calculations!$C$8))+'Reaction Information'!$J$5*0.001/2*(2*Calculations!$O54*Calculations!$C$8-Calculations!$O54^2-Calculations!$C$8^2) + 'Reaction Information'!$K$5*100000*(Calculations!$O54^2 + Calculations!$C$8^2 - 2*Calculations!$O54*Calculations!$C$8)/(2*Calculations!$O54*Calculations!$C$8^2))</f>
        <v>#N/A</v>
      </c>
      <c r="AD54" s="8" t="e">
        <f>IF(ISBLANK(Input!$R$4),NA(),'Reaction Information'!$E$9-'Reaction Information'!$G$9*(Calculations!$O54-Calculations!$C$8)+'Reaction Information'!$I$9*(Calculations!$O54-Calculations!$C$8-Calculations!$O54*LN(Calculations!$O54/Calculations!$C$8))+'Reaction Information'!$J$9*0.001/2*(2*Calculations!$O54*Calculations!$C$8-Calculations!$O54^2-Calculations!$C$8^2) + 'Reaction Information'!$K$9*100000*(Calculations!$O54^2 + Calculations!$C$8^2 - 2*Calculations!$O54*Calculations!$C$8)/(2*Calculations!$O54*Calculations!$C$8^2))</f>
        <v>#N/A</v>
      </c>
      <c r="AE54" s="8">
        <f>IF(AE$5="H2O",IF($D$24=3,IF(T54=0,NA(),T54),calculateGibbsOfWater(M54,N54,$D$24,$D$20,$D$19=3)),NA())</f>
        <v>-58851.708434799155</v>
      </c>
      <c r="AF54" s="8">
        <f>IF(ISBLANK(Input!$X$4),NA(),'Reaction Information'!$E$13-'Reaction Information'!$G$13*(Calculations!O54-Calculations!$C$8)-'Reaction Information'!$N$13*(Calculations!O54*LN(Calculations!O54/Calculations!$C$8)-Calculations!O54+Calculations!$C$8)-'Reaction Information'!$O$13*10^4*(((1/(Calculations!O54-Calculations!$C$13))-(1/(Calculations!$C$8-Calculations!$C$13)))*((Calculations!$C$13-Calculations!O54)/(Calculations!$C$13))-(Calculations!O54/(Calculations!$C$13*Calculations!$C$13))*LN((Calculations!$C$8*(Calculations!O54-Calculations!$C$13))/(Calculations!O54*(Calculations!$C$8-Calculations!$C$13))))+'Reaction Information'!$J$13*10^-1*(Calculations!M54-Calculations!$C$9)+'Reaction Information'!$K$13*10^2*LN((Calculations!$C$12+Calculations!M54)/(Calculations!$C$12+Calculations!$C$9))+(1/(Calculations!O54-Calculations!$C$13))*('Reaction Information'!$L$13*(Calculations!M54-Calculations!$C$9)+'Reaction Information'!$M$13*10^4*LN((Calculations!$C$12+Calculations!M54)/(Calculations!$C$12+Calculations!$C$9)))+calculateOmega(Calculations!M54,Calculations!N54,Calculations!Q54,'Reaction Information'!$C$13,'Reaction Information'!$P$13*10^5,'Reaction Information'!$Q$13)*((1/Calculations!S54)-1)-'Reaction Information'!$P$13*10^5*((1/Calculations!$C$10)-1)+'Reaction Information'!$P$13*10^5*Calculations!$C$14*(Calculations!O54-Calculations!$C$8))</f>
        <v>-94328.215518726734</v>
      </c>
      <c r="AG54" s="8" t="e">
        <f>IF(ISBLANK(Input!$AA$4),NA(),'Reaction Information'!$E$17-'Reaction Information'!$G$17*(Calculations!$O54-Calculations!$C$8)-'Reaction Information'!$N$17*(Calculations!$O54*LN(Calculations!$O54/Calculations!$C$8)-Calculations!$O54+Calculations!$C$8)-'Reaction Information'!$O$17*10^4*(((1/(Calculations!$O54-Calculations!$C$13))-(1/(Calculations!$C$8-Calculations!$C$13)))*((Calculations!$C$13-Calculations!$O54)/(Calculations!$C$13))-(Calculations!$O54/(Calculations!$C$13*Calculations!$C$13))*LN((Calculations!$C$8*(Calculations!$O54-Calculations!$C$13))/(Calculations!$O54*(Calculations!$C$8-Calculations!$C$13))))+'Reaction Information'!$J$17*10^-1*(Calculations!$M54-Calculations!$C$9)+'Reaction Information'!$K$17*10^2*LN((Calculations!$C$12+Calculations!$M54)/(Calculations!$C$12+Calculations!$C$9))+(1/(Calculations!$O54-Calculations!$C$13))*('Reaction Information'!$L$17*(Calculations!$M54-Calculations!$C$9)+'Reaction Information'!$M$17*10^4*LN((Calculations!$C$12+Calculations!$M54)/(Calculations!$C$12+Calculations!$C$9)))+calculateOmega(Calculations!M54,Calculations!N54,Calculations!Q54,'Reaction Information'!$C$17,'Reaction Information'!$P$17*10^5,'Reaction Information'!$Q$17)*((1/Calculations!$S54)-1)-'Reaction Information'!$P$17*10^5*((1/Calculations!$C$10)-1)+'Reaction Information'!$P$17*10^5*Calculations!$C$14*(Calculations!$O54-Calculations!$C$8))</f>
        <v>#N/A</v>
      </c>
      <c r="AH54" s="8" t="e">
        <f>IF(ISBLANK(Input!$AD$4),NA(),'Reaction Information'!$E$21-'Reaction Information'!$G$21*(Calculations!$O54-Calculations!$C$8)-'Reaction Information'!$N$21*(Calculations!$O54*LN(Calculations!$O54/Calculations!$C$8)-Calculations!$O54+Calculations!$C$8)-'Reaction Information'!$O$21*10^4*(((1/(Calculations!$O54-Calculations!$C$13))-(1/(Calculations!$C$8-Calculations!$C$13)))*((Calculations!$C$13-Calculations!$O54)/(Calculations!$C$13))-(Calculations!$O54/(Calculations!$C$13*Calculations!$C$13))*LN((Calculations!$C$8*(Calculations!$O54-Calculations!$C$13))/(Calculations!$O54*(Calculations!$C$8-Calculations!$C$13))))+'Reaction Information'!$J$21*10^-1*(Calculations!$M54-Calculations!$C$9)+'Reaction Information'!$K$21*10^2*LN((Calculations!$C$12+Calculations!$M54)/(Calculations!$C$12+Calculations!$C$9))+(1/(Calculations!$O54-Calculations!$C$13))*('Reaction Information'!$L$21*(Calculations!$M54-Calculations!$C$9)+'Reaction Information'!$M$21*10^4*LN((Calculations!$C$12+Calculations!$M54)/(Calculations!$C$12+Calculations!$C$9)))+calculateOmega(Calculations!M54,Calculations!N54,Calculations!Q54,'Reaction Information'!$C$21,'Reaction Information'!$P$21*10^5,'Reaction Information'!$Q$21)*((1/Calculations!$S54)-1)-'Reaction Information'!$P$21*10^5*((1/Calculations!$C$10)-1)+'Reaction Information'!$P$21*10^5*Calculations!$C$14*(Calculations!$O54-Calculations!$C$8))</f>
        <v>#N/A</v>
      </c>
      <c r="AI54" s="8" t="e">
        <f>IF(ISBLANK(Input!$AG$4),NA(),'Reaction Information'!$E$25-'Reaction Information'!$G$25*(Calculations!$O54-Calculations!$C$8)-'Reaction Information'!$N$25*(Calculations!$O54*LN(Calculations!$O54/Calculations!$C$8)-Calculations!$O54+Calculations!$C$8)-'Reaction Information'!$O$25*10^4*(((1/(Calculations!$O54-Calculations!$C$13))-(1/(Calculations!$C$8-Calculations!$C$13)))*((Calculations!$C$13-Calculations!$O54)/(Calculations!$C$13))-(Calculations!$O54/(Calculations!$C$13*Calculations!$C$13))*LN((Calculations!$C$8*(Calculations!$O54-Calculations!$C$13))/(Calculations!$O54*(Calculations!$C$8-Calculations!$C$13))))+'Reaction Information'!$J$25*10^-1*(Calculations!$M54-Calculations!$C$9)+'Reaction Information'!$K$25*10^2*LN((Calculations!$C$12+Calculations!$M54)/(Calculations!$C$12+Calculations!$C$9))+(1/(Calculations!$O54-Calculations!$C$13))*('Reaction Information'!$L$25*(Calculations!$M54-Calculations!$C$9)+'Reaction Information'!$M$25*10^4*LN((Calculations!$C$12+Calculations!$M54)/(Calculations!$C$12+Calculations!$C$9)))+calculateOmega(Calculations!M54,Calculations!N54,Calculations!Q54,'Reaction Information'!$C$25,'Reaction Information'!$P$25*10^5,'Reaction Information'!$Q$25)*((1/Calculations!$S54)-1)-'Reaction Information'!$P$25*10^5*((1/Calculations!$C$10)-1)+'Reaction Information'!$P$25*10^5*Calculations!$C$14*(Calculations!$O54-Calculations!$C$8))</f>
        <v>#N/A</v>
      </c>
      <c r="AJ54" s="8" t="e">
        <f>IF(ISBLANK(Input!$AJ$4),NA(),'Reaction Information'!$E$29-'Reaction Information'!$G$29*(Calculations!$O54-Calculations!$C$8)-'Reaction Information'!$N$29*(Calculations!$O54*LN(Calculations!$O54/Calculations!$C$8)-Calculations!$O54+Calculations!$C$8)-'Reaction Information'!$O$29*10^4*(((1/(Calculations!$O54-Calculations!$C$13))-(1/(Calculations!$C$8-Calculations!$C$13)))*((Calculations!$C$13-Calculations!$O54)/(Calculations!$C$13))-(Calculations!$O54/(Calculations!$C$13*Calculations!$C$13))*LN((Calculations!$C$8*(Calculations!$O54-Calculations!$C$13))/(Calculations!$O54*(Calculations!$C$8-Calculations!$C$13))))+'Reaction Information'!$J$29*10^-1*(Calculations!$M54-Calculations!$C$9)+'Reaction Information'!$K$29*10^2*LN((Calculations!$C$12+Calculations!$M54)/(Calculations!$C$12+Calculations!$C$9))+(1/(Calculations!$O54-Calculations!$C$13))*('Reaction Information'!$L$29*(Calculations!$M54-Calculations!$C$9)+'Reaction Information'!$M$29*10^4*LN((Calculations!$C$12+Calculations!$M54)/(Calculations!$C$12+Calculations!$C$9)))+calculateOmega(Calculations!M54,Calculations!N54,Calculations!Q54,'Reaction Information'!$C$29,'Reaction Information'!$P$29*10^5,'Reaction Information'!$Q$29)*((1/Calculations!$S54)-1)-'Reaction Information'!$P$29*10^5*((1/Calculations!$C$10)-1)+'Reaction Information'!$P$29*10^5*Calculations!$C$14*(Calculations!$O54-Calculations!$C$8))</f>
        <v>#N/A</v>
      </c>
      <c r="AK54" s="8" t="e">
        <f>IF(ISBLANK(Input!$AM$4),NA(),'Reaction Information'!$E$33-'Reaction Information'!$G$33*(Calculations!$O54-Calculations!$C$8)-'Reaction Information'!$N$33*(Calculations!$O54*LN(Calculations!$O54/Calculations!$C$8)-Calculations!$O54+Calculations!$C$8)-'Reaction Information'!$O$33*10^4*(((1/(Calculations!$O54-Calculations!$C$13))-(1/(Calculations!$C$8-Calculations!$C$13)))*((Calculations!$C$13-Calculations!$O54)/(Calculations!$C$13))-(Calculations!$O54/(Calculations!$C$13*Calculations!$C$13))*LN((Calculations!$C$8*(Calculations!$O54-Calculations!$C$13))/(Calculations!$O54*(Calculations!$C$8-Calculations!$C$13))))+'Reaction Information'!$J$33*10^-1*(Calculations!$M54-Calculations!$C$9)+'Reaction Information'!$K$33*10^2*LN((Calculations!$C$12+Calculations!$M54)/(Calculations!$C$12+Calculations!$C$9))+(1/(Calculations!$O54-Calculations!$C$13))*('Reaction Information'!$L$33*(Calculations!$M54-Calculations!$C$9)+'Reaction Information'!$M$33*10^4*LN((Calculations!$C$12+Calculations!$M54)/(Calculations!$C$12+Calculations!$C$9)))+calculateOmega(Calculations!M54,Calculations!N54,Calculations!Q54,'Reaction Information'!$C$33,'Reaction Information'!$P$33*10^5,'Reaction Information'!$Q$33)*((1/Calculations!$S54)-1)-'Reaction Information'!$P$33*10^5*((1/Calculations!$C$10)-1)+'Reaction Information'!$P$33*10^5*Calculations!$C$14*(Calculations!$O54-Calculations!$C$8))</f>
        <v>#N/A</v>
      </c>
      <c r="AL54" s="1">
        <f>Results!S56</f>
        <v>0</v>
      </c>
      <c r="AM54" s="1">
        <f>Results!T56</f>
        <v>0</v>
      </c>
      <c r="AN54" s="1">
        <f>Results!U56</f>
        <v>0</v>
      </c>
      <c r="AO54" s="1">
        <f>Results!V56</f>
        <v>0</v>
      </c>
      <c r="AP54" s="8" t="e">
        <f>IF(ISBLANK(Input!$BB$4),NA(),'Reaction Information'!$E$38-'Reaction Information'!$G$38*(Calculations!$O54-Calculations!$C$8)+'Reaction Information'!$I$38*(Calculations!$O54-Calculations!$C$8-Calculations!$O54*LN(Calculations!$O54/Calculations!$C$8))+'Reaction Information'!$J$38*0.001/2*(2*Calculations!$O54*Calculations!$C$8-Calculations!$O54^2-Calculations!$C$8^2) + 'Reaction Information'!$K$38*100000*(Calculations!$O54^2 + Calculations!$C$8^2 - 2*Calculations!$O54*Calculations!$C$8)/(2*Calculations!$O54*Calculations!$C$8^2))</f>
        <v>#N/A</v>
      </c>
      <c r="AQ54" s="8" t="e">
        <f>IF(ISBLANK(Input!$BE$4),NA(),'Reaction Information'!$E$42-'Reaction Information'!$G$42*(Calculations!$O54-Calculations!$C$8)+'Reaction Information'!$I$42*(Calculations!$O54-Calculations!$C$8-Calculations!$O54*LN(Calculations!$O54/Calculations!$C$8))+'Reaction Information'!$J$42*0.001/2*(2*Calculations!$O54*Calculations!$C$8-Calculations!$O54^2-Calculations!$C$8^2) + 'Reaction Information'!$K$42*100000*(Calculations!$O54^2 + Calculations!$C$8^2 - 2*Calculations!$O54*Calculations!$C$8)/(2*Calculations!$O54*Calculations!$C$8^2))</f>
        <v>#N/A</v>
      </c>
      <c r="AR54" s="8" t="e">
        <f>IF(AR$5="H2O", IF($D$24=3,IF(T54=0,NA(),T54),calculateGibbsOfWater(M54,N54,$D$24,$D$20,$D$19=3)),NA())</f>
        <v>#N/A</v>
      </c>
      <c r="AS54" s="8">
        <f>IF(ISBLANK(Input!$BK$4),NA(),'Reaction Information'!$E$46-'Reaction Information'!$G$46*(Calculations!O54-Calculations!$C$8)-'Reaction Information'!$N$46*(Calculations!O54*LN(Calculations!O54/Calculations!$C$8)-Calculations!O54+Calculations!$C$8)-'Reaction Information'!$O$46*10^4*(((1/(Calculations!O54-Calculations!$C$13))-(1/(Calculations!$C$8-Calculations!$C$13)))*((Calculations!$C$13-Calculations!O54)/(Calculations!$C$13))-(Calculations!O54/(Calculations!$C$13*Calculations!$C$13))*LN((Calculations!$C$8*(Calculations!O54-Calculations!$C$13))/(Calculations!O54*(Calculations!$C$8-Calculations!$C$13))))+'Reaction Information'!$J$46*10^-1*(Calculations!$M54-Calculations!$C$9)+'Reaction Information'!$K$46*10^2*LN((Calculations!$C$12+Calculations!$M54)/(Calculations!$C$12+Calculations!$C$9))+(1/(Calculations!O54-Calculations!$C$13))*('Reaction Information'!$L$46*(Calculations!$M54-Calculations!$C$9)+'Reaction Information'!$M$46*10^4*LN((Calculations!$C$12+Calculations!$M54)/(Calculations!$C$12+Calculations!$C$9)))+calculateOmega(Calculations!M54,Calculations!N54,Calculations!Q54,'Reaction Information'!$C$46,'Reaction Information'!$P$46*10^5,'Reaction Information'!$Q$46)*((1/Calculations!S54)-1)-'Reaction Information'!$P$46*10^5*((1/Calculations!$C$10)-1)+'Reaction Information'!$P$46*10^5*Calculations!$C$14*(Calculations!O54-Calculations!$C$8))</f>
        <v>0</v>
      </c>
      <c r="AT54" s="8">
        <f>IF(ISBLANK(Input!$BN$4),NA(),'Reaction Information'!$E$50-'Reaction Information'!$G$50*(Calculations!O54-Calculations!$C$8)-'Reaction Information'!$N$50*(Calculations!O54*LN(Calculations!O54/Calculations!$C$8)-Calculations!O54+Calculations!$C$8)-'Reaction Information'!$O$50*10^4*(((1/(Calculations!O54-Calculations!$C$13))-(1/(Calculations!$C$8-Calculations!$C$13)))*((Calculations!$C$13-Calculations!O54)/(Calculations!$C$13))-(Calculations!O54/(Calculations!$C$13*Calculations!$C$13))*LN((Calculations!$C$8*(Calculations!O54-Calculations!$C$13))/(Calculations!O54*(Calculations!$C$8-Calculations!$C$13))))+'Reaction Information'!$J$50*10^-1*(Calculations!$M54-Calculations!$C$9)+'Reaction Information'!$K$50*10^2*LN((Calculations!$C$12+Calculations!$M54)/(Calculations!$C$12+Calculations!$C$9))+(1/(Calculations!O54-Calculations!$C$13))*('Reaction Information'!$L$50*(Calculations!$M54-Calculations!$C$9)+'Reaction Information'!$M$50*10^4*LN((Calculations!$C$12+Calculations!$M54)/(Calculations!$C$12+Calculations!$C$9)))+calculateOmega(Calculations!M54,Calculations!N54,Calculations!Q54,'Reaction Information'!$C$50,'Reaction Information'!$P$50*10^5,'Reaction Information'!$Q$50)*((1/Calculations!S54)-1)-'Reaction Information'!$P$50*10^5*((1/Calculations!$C$10)-1)+'Reaction Information'!$P$50*10^5*Calculations!$C$14*(Calculations!O54-Calculations!$C$8))</f>
        <v>-137747.79658644702</v>
      </c>
      <c r="AU54" s="8" t="e">
        <f>IF(ISBLANK(Input!$BQ$4),NA(),'Reaction Information'!$E$54-'Reaction Information'!$G$54*(Calculations!$O54-Calculations!$C$8)-'Reaction Information'!$N$54*(Calculations!$O54*LN(Calculations!$O54/Calculations!$C$8)-Calculations!$O54+Calculations!$C$8)-'Reaction Information'!$O$54*10^4*(((1/(Calculations!$O54-Calculations!$C$13))-(1/(Calculations!$C$8-Calculations!$C$13)))*((Calculations!$C$13-Calculations!$O54)/(Calculations!$C$13))-(Calculations!$O54/(Calculations!$C$13*Calculations!$C$13))*LN((Calculations!$C$8*(Calculations!$O54-Calculations!$C$13))/(Calculations!$O54*(Calculations!$C$8-Calculations!$C$13))))+'Reaction Information'!$J$54*10^-1*(Calculations!$M54-Calculations!$C$9)+'Reaction Information'!$K$54*10^2*LN((Calculations!$C$12+Calculations!$M54)/(Calculations!$C$12+Calculations!$C$9))+(1/(Calculations!$O54-Calculations!$C$13))*('Reaction Information'!$L$54*(Calculations!$M54-Calculations!$C$9)+'Reaction Information'!$M$54*10^4*LN((Calculations!$C$12+Calculations!$M54)/(Calculations!$C$12+Calculations!$C$9)))+calculateOmega(Calculations!M54,Calculations!N54,Calculations!Q54,'Reaction Information'!$C$54,'Reaction Information'!$P$54*10^5,'Reaction Information'!$Q$54)*((1/Calculations!$S54)-1)-'Reaction Information'!$P$54*10^5*((1/Calculations!$C$10)-1)+'Reaction Information'!$P$54*10^5*Calculations!$C$14*(Calculations!$O54-Calculations!$C$8))</f>
        <v>#N/A</v>
      </c>
      <c r="AV54" s="8" t="e">
        <f>IF(ISBLANK(Input!$BT$4),NA(),'Reaction Information'!$E$58-'Reaction Information'!$G$58*(Calculations!$O54-Calculations!$C$8)-'Reaction Information'!$N$58*(Calculations!$O54*LN(Calculations!$O54/Calculations!$C$8)-Calculations!$O54+Calculations!$C$8)-'Reaction Information'!$O$58*10^4*(((1/(Calculations!$O54-Calculations!$C$13))-(1/(Calculations!$C$8-Calculations!$C$13)))*((Calculations!$C$13-Calculations!$O54)/(Calculations!$C$13))-(Calculations!$O54/(Calculations!$C$13*Calculations!$C$13))*LN((Calculations!$C$8*(Calculations!$O54-Calculations!$C$13))/(Calculations!$O54*(Calculations!$C$8-Calculations!$C$13))))+'Reaction Information'!$J$58*10^-1*(Calculations!$M54-Calculations!$C$9)+'Reaction Information'!$K$58*10^2*LN((Calculations!$C$12+Calculations!$M54)/(Calculations!$C$12+Calculations!$C$9))+(1/(Calculations!$O54-Calculations!$C$13))*('Reaction Information'!$L$58*(Calculations!$M54-Calculations!$C$9)+'Reaction Information'!$M$58*10^4*LN((Calculations!$C$12+Calculations!$M54)/(Calculations!$C$12+Calculations!$C$9)))+calculateOmega(Calculations!M54,Calculations!N54,Calculations!Q54,'Reaction Information'!$C$58,'Reaction Information'!$P$58*10^5,'Reaction Information'!$Q$58)*((1/Calculations!$S54)-1)-'Reaction Information'!$P$58*10^5*((1/Calculations!$C$10)-1)+'Reaction Information'!$P$58*10^5*Calculations!$C$14*(Calculations!$O54-Calculations!$C$8))</f>
        <v>#N/A</v>
      </c>
      <c r="AW54" s="8" t="e">
        <f>IF(ISBLANK(Input!$BW$4),NA(),'Reaction Information'!$E$62-'Reaction Information'!$G$62*(Calculations!$O54-Calculations!$C$8)-'Reaction Information'!$N$62*(Calculations!$O54*LN(Calculations!$O54/Calculations!$C$8)-Calculations!$O54+Calculations!$C$8)-'Reaction Information'!$O$62*10^4*(((1/(Calculations!$O54-Calculations!$C$13))-(1/(Calculations!$C$8-Calculations!$C$13)))*((Calculations!$C$13-Calculations!$O54)/(Calculations!$C$13))-(Calculations!$O54/(Calculations!$C$13*Calculations!$C$13))*LN((Calculations!$C$8*(Calculations!$O54-Calculations!$C$13))/(Calculations!$O54*(Calculations!$C$8-Calculations!$C$13))))+'Reaction Information'!$J$62*10^-1*(Calculations!$M54-Calculations!$C$9)+'Reaction Information'!$K$62*10^2*LN((Calculations!$C$12+Calculations!$M54)/(Calculations!$C$12+Calculations!$C$9))+(1/(Calculations!$O54-Calculations!$C$13))*('Reaction Information'!$L$62*(Calculations!$M54-Calculations!$C$9)+'Reaction Information'!$M$62*10^4*LN((Calculations!$C$12+Calculations!$M54)/(Calculations!$C$12+Calculations!$C$9)))+calculateOmega(Calculations!M54,Calculations!N54,Calculations!Q54,'Reaction Information'!$C$62,'Reaction Information'!$P$62*10^5,'Reaction Information'!$Q$62)*((1/Calculations!$S54)-1)-'Reaction Information'!$P$62*10^5*((1/Calculations!$C$10)-1)+'Reaction Information'!$P$62*10^5*Calculations!$C$14*(Calculations!$O54-Calculations!$C$8))</f>
        <v>#N/A</v>
      </c>
      <c r="AX54" s="8" t="e">
        <f>IF(ISBLANK(Input!$BZ$4),NA(),'Reaction Information'!$E$66-'Reaction Information'!$G$66*(Calculations!$O54-Calculations!$C$8)-'Reaction Information'!$N$66*(Calculations!$O54*LN(Calculations!$O54/Calculations!$C$8)-Calculations!$O54+Calculations!$C$8)-'Reaction Information'!$O$66*10^4*(((1/(Calculations!$O54-Calculations!$C$13))-(1/(Calculations!$C$8-Calculations!$C$13)))*((Calculations!$C$13-Calculations!$O54)/(Calculations!$C$13))-(Calculations!$O54/(Calculations!$C$13*Calculations!$C$13))*LN((Calculations!$C$8*(Calculations!$O54-Calculations!$C$13))/(Calculations!$O54*(Calculations!$C$8-Calculations!$C$13))))+'Reaction Information'!$J$66*10^-1*(Calculations!$M54-Calculations!$C$9)+'Reaction Information'!$K$66*10^2*LN((Calculations!$C$12+Calculations!$M54)/(Calculations!$C$12+Calculations!$C$9))+(1/(Calculations!$O54-Calculations!$C$13))*('Reaction Information'!$L$66*(Calculations!$M54-Calculations!$C$9)+'Reaction Information'!$M$66*10^4*LN((Calculations!$C$12+Calculations!$M54)/(Calculations!$C$12+Calculations!$C$9)))+calculateOmega(Calculations!M54,Calculations!N54,Calculations!Q54,'Reaction Information'!$C$66,'Reaction Information'!$P$66*10^5,'Reaction Information'!$Q$66)*((1/Calculations!$S54)-1)-'Reaction Information'!$P$66*10^5*((1/Calculations!$C$10)-1)+'Reaction Information'!$P$66*10^5*Calculations!$C$14*(Calculations!$O54-Calculations!$C$8))</f>
        <v>#N/A</v>
      </c>
      <c r="AY54" s="31">
        <f>(AL54*Input!$AO$4+AM54*Input!$AR$4+AN54*Input!$AU$4+AO54*Input!$AX$4+IF(ISNA(AP54),0,AP54*Input!$BA$4)+IF(ISNA(AQ54),0,AQ54*Input!$BD$4)+IF(ISNA(AR54),0,AR54*Input!$BG$4)+IF(ISNA(AS54),0,AS54*Input!$BJ$4)+IF(ISNA(AT54),0,AT54*Input!$BM$4)+IF(ISNA(AU54),0,AU54*Input!$BP$4)+IF(ISNA(AV54),0,AV54*Input!$BS$4)+IF(ISNA(AW54),0,AW54*Input!$BV$4)+IF(ISNA(AX54),0,AX54*Input!$BY$4))-(Y54*Input!$B$4+Z54*Input!$E$4+AA54*Input!$H$4+AB54*Input!$K$4+IF(ISNA(AC54),0,AC54*Input!$N$4)+IF(ISNA(AD54),0,AD54*Input!$Q$4)+IF(ISNA(AE54),0,AE54*Input!$T$4)+IF(ISNA(AF54),0,AF54*Input!$W$4)+IF(ISNA(AG54),0,AG54*Input!$Z$4)+IF(ISNA(AH54),0,AH54*Input!$AC$4)+IF(ISNA(AI54),0,AI54*Input!$AF$4)+IF(ISNA(AJ54),0,AJ54*Input!$AI$4)+IF(ISNA(AK54),0,AK54*Input!$AL$4))</f>
        <v>15432.12736707888</v>
      </c>
      <c r="AZ54" s="42">
        <f t="shared" si="16"/>
        <v>-4.6669084562660839</v>
      </c>
      <c r="BA54" s="1">
        <f t="shared" si="8"/>
        <v>450</v>
      </c>
      <c r="BB54" s="46">
        <f t="shared" si="9"/>
        <v>20000</v>
      </c>
      <c r="BC54" s="1"/>
      <c r="BD54" s="2">
        <f t="shared" si="10"/>
        <v>20000</v>
      </c>
      <c r="BE54" s="46">
        <f t="shared" si="11"/>
        <v>450</v>
      </c>
      <c r="BF54" s="1">
        <f>Results!AJ56</f>
        <v>0</v>
      </c>
      <c r="BG54" s="1">
        <f>Results!AK56</f>
        <v>0</v>
      </c>
      <c r="BH54" s="1">
        <f>Results!AL56</f>
        <v>0</v>
      </c>
      <c r="BI54" s="1">
        <f>Results!AM56</f>
        <v>0</v>
      </c>
      <c r="BJ54" s="1" t="e">
        <f>IF(OR(ISNA('Reaction Information'!$D$5), $N54 = "", $D$27 = FALSE, 'Reaction Information'!$D$5 = ""), NA(), 24.465)</f>
        <v>#N/A</v>
      </c>
      <c r="BK54" s="1" t="e">
        <f>IF(OR(ISNA('Reaction Information'!$D$9), $N54 = "", $D$27 = FALSE, 'Reaction Information'!$D$9 = ""), NA(), 24.465)</f>
        <v>#N/A</v>
      </c>
      <c r="BL54" s="8">
        <f t="shared" si="17"/>
        <v>15.219107842982069</v>
      </c>
      <c r="BM54" s="8">
        <f>IF(OR(ISBLANK(Input!$X$4),$D$27=FALSE),NA(),('Reaction Information'!$J$13/10+'Reaction Information'!$K$13*100/(Calculations!$C$12+Calculations!$M54)+('Reaction Information'!$L$13+'Reaction Information'!$M$13*10^4/(Calculations!$C$12+Calculations!$M54))/(Calculations!$O54-Calculations!$C$13) -calculateOmega(Calculations!$M54,Calculations!$N54,Calculations!$Q54,'Reaction Information'!$C$13,'Reaction Information'!$P$13*10^5,'Reaction Information'!$Q$13)*Calculations!$U54*10^-6 + (1/$S54 - 1)*calculate_domegadP(Calculations!$M54,Calculations!$N54,Calculations!$Q54,'Reaction Information'!$C$13,'Reaction Information'!$P$13*10^5,'Reaction Information'!$Q$13,$D$20,$D$19=3))*41.84)</f>
        <v>30.771194201916984</v>
      </c>
      <c r="BN54" s="8" t="e">
        <f>IF(OR(ISBLANK(Input!$AA$4),$D$27=FALSE),NA(),('Reaction Information'!$J$17/10+'Reaction Information'!$K$17*100/(Calculations!$C$12+Calculations!$M54)+('Reaction Information'!$L$17+'Reaction Information'!$M$17*10000/(Calculations!$C$12+Calculations!$M54))/(Calculations!$O54-Calculations!$C$13)-calculateOmega(Calculations!M54,Calculations!N54,Calculations!Q54,'Reaction Information'!$C$17,'Reaction Information'!$P$17*10^5,'Reaction Information'!$Q$17)*Calculations!$U54*10^-6 + (1/$S54 - 1)*calculate_domegadP(Calculations!M54,Calculations!N54,Calculations!Q54,'Reaction Information'!$C$17,'Reaction Information'!$P$17*10^5,'Reaction Information'!$Q$17,$D$20,$D$19=3))*41.84)</f>
        <v>#N/A</v>
      </c>
      <c r="BO54" s="8" t="e">
        <f>IF(OR(ISBLANK(Input!$AD$4),$D$27=FALSE),NA(),('Reaction Information'!$J$21/10+'Reaction Information'!$K$21*100/(Calculations!$C$12+Calculations!$M54)+('Reaction Information'!$L$21+'Reaction Information'!$M$21*10000/(Calculations!$C$12+Calculations!$M54))/(Calculations!$O54-Calculations!$C$13)-calculateOmega(Calculations!M54,Calculations!N54,Calculations!Q54,'Reaction Information'!$C$21,'Reaction Information'!$P$21*10^5,'Reaction Information'!$Q$21)*Calculations!$U54*10^-6 + (1/$S54 - 1)*calculate_domegadP(Calculations!M54,Calculations!N54,Calculations!Q54,'Reaction Information'!$C$21,'Reaction Information'!$P$21*10^5,'Reaction Information'!$Q$21,$D$20,$D$19=3))*41.84)</f>
        <v>#N/A</v>
      </c>
      <c r="BP54" s="8" t="e">
        <f>IF(OR(ISBLANK(Input!$AG$4),$D$27=FALSE),NA(),('Reaction Information'!$J$25/10+'Reaction Information'!$K$25*100/(Calculations!$C$12+Calculations!$M54)+('Reaction Information'!$L$25+'Reaction Information'!$M$25*10000/(Calculations!$C$12+Calculations!$M54))/(Calculations!$O54-Calculations!$C$13)-calculateOmega(Calculations!M54,Calculations!N54,Calculations!Q54,'Reaction Information'!$C$25,'Reaction Information'!$P$25*10^5,'Reaction Information'!$Q$25)*Calculations!$U54*10^-6 + (1/$S54 - 1)*calculate_domegadP(Calculations!M54,Calculations!N54,Calculations!Q54,'Reaction Information'!$C$25,'Reaction Information'!$P$25*10^5,'Reaction Information'!$Q$25,$D$20,$D$19=3))*41.84)</f>
        <v>#N/A</v>
      </c>
      <c r="BQ54" s="8" t="e">
        <f>IF(OR(ISBLANK(Input!$AJ$4),$D$27=FALSE),NA(),('Reaction Information'!$J$29/10+'Reaction Information'!$K$29*100/(Calculations!$C$12+Calculations!$M54)+('Reaction Information'!$L$29+'Reaction Information'!$M$29*10000/(Calculations!$C$12+Calculations!$M54))/(Calculations!$O54-Calculations!$C$13)-calculateOmega(Calculations!M54,Calculations!N54,Calculations!Q54,'Reaction Information'!$C$29,'Reaction Information'!$P$29*10^5,'Reaction Information'!$Q$29)*Calculations!$U54*10^-6 + (1/$S54 - 1)*calculate_domegadP(Calculations!M54,Calculations!N54,Calculations!Q54,'Reaction Information'!$C$29,'Reaction Information'!$P$29*10^5,'Reaction Information'!$Q$29,$D$20,$D$19=3))*41.84)</f>
        <v>#N/A</v>
      </c>
      <c r="BR54" s="8" t="e">
        <f>IF(OR(ISBLANK(Input!$AM$4),$D$27=FALSE),NA(),('Reaction Information'!$J$33/10+'Reaction Information'!$K$33*100/(Calculations!$C$12+Calculations!$M54)+('Reaction Information'!$L$33+'Reaction Information'!$M$33*10000/(Calculations!$C$12+Calculations!$M54))/(Calculations!$O54-Calculations!$C$13)-calculateOmega(Calculations!M54,Calculations!N54,Calculations!Q54,'Reaction Information'!$C$33,'Reaction Information'!$P$33*10^5,'Reaction Information'!$Q$33)*Calculations!$U54*10^-6 + (1/$S54 - 1)*calculate_domegadP(Calculations!M54,Calculations!N54,Calculations!Q54,'Reaction Information'!$C$33,'Reaction Information'!$P$33*10^5,'Reaction Information'!$Q$33,$D$20,$D$19=3))*41.84)</f>
        <v>#N/A</v>
      </c>
      <c r="BS54" s="1">
        <f>Results!AW56</f>
        <v>0</v>
      </c>
      <c r="BT54" s="1">
        <f>Results!AX56</f>
        <v>0</v>
      </c>
      <c r="BU54" s="1">
        <f>Results!AY56</f>
        <v>0</v>
      </c>
      <c r="BV54" s="1">
        <f>Results!AZ56</f>
        <v>0</v>
      </c>
      <c r="BW54" s="1" t="e">
        <f>IF(OR(ISNA('Reaction Information'!$D$38), $N54 = "", $D$27 = FALSE, 'Reaction Information'!$D$38 = ""), NA(), 24.465)</f>
        <v>#N/A</v>
      </c>
      <c r="BX54" s="1" t="e">
        <f>IF(OR(ISNA('Reaction Information'!$D$42), $N54 = "", $D$27 = FALSE, 'Reaction Information'!$D$42 = ""), NA(), 24.465)</f>
        <v>#N/A</v>
      </c>
      <c r="BY54" s="8" t="e">
        <f t="shared" si="18"/>
        <v>#N/A</v>
      </c>
      <c r="BZ54" s="8">
        <f>IF(OR(ISBLANK(Input!$BK$4),$D$27=FALSE),NA(),('Reaction Information'!$J$46/10+'Reaction Information'!$K$46*100/(Calculations!$C$12+Calculations!$M54)+('Reaction Information'!$L$46+'Reaction Information'!$M$46*10000/(Calculations!$C$12+Calculations!$M54))/(Calculations!$O54-Calculations!$C$13)-calculateOmega(Calculations!M54,Calculations!N54,Calculations!Q54,'Reaction Information'!$C$46,'Reaction Information'!$P$46*10^5,'Reaction Information'!$Q$46)*Calculations!$U54*10^-6 + (1/$S54 - 1)*calculate_domegadP(Calculations!M54,Calculations!N54,Calculations!Q54,'Reaction Information'!$C$46,'Reaction Information'!$P$46*10^5,'Reaction Information'!$Q$46,$D$20,$D$19=3))*41.84)</f>
        <v>0</v>
      </c>
      <c r="CA54" s="8">
        <f>IF(OR(ISBLANK(Input!$BN$4),$D$27=FALSE),NA(),('Reaction Information'!$J$50/10+'Reaction Information'!$K$50*100/(Calculations!$C$12+Calculations!$M54)+('Reaction Information'!$L$50+'Reaction Information'!$M$50*10000/(Calculations!$C$12+Calculations!$M54))/(Calculations!$O54-Calculations!$C$13)-calculateOmega(Calculations!M54,Calculations!N54,Calculations!Q54,'Reaction Information'!$C$50,'Reaction Information'!$P$50*10^5,'Reaction Information'!$Q$50)*Calculations!$U54*10^-6 + (1/$S54 - 1)*calculate_domegadP(Calculations!M54,Calculations!N54,Calculations!Q54,'Reaction Information'!$C$50,'Reaction Information'!$P$50*10^5,'Reaction Information'!$Q$50,$D$20,$D$19=3))*41.84)</f>
        <v>30.422249793667923</v>
      </c>
      <c r="CB54" s="8" t="e">
        <f>IF(OR(ISBLANK(Input!$BQ$4),$D$27=FALSE),NA(),('Reaction Information'!$J$54/10+'Reaction Information'!$K$54*100/(Calculations!$C$12+Calculations!$M54)+('Reaction Information'!$L$54+'Reaction Information'!$M$54*10000/(Calculations!$C$12+Calculations!$M54))/(Calculations!$O54-Calculations!$C$13)-calculateOmega(Calculations!M54,Calculations!N54,Calculations!Q54,'Reaction Information'!$C$54,'Reaction Information'!$P$54*10^5,'Reaction Information'!$Q$54)*Calculations!$U54*10^-6 + (1/$S54 - 1)*calculate_domegadP(Calculations!M54,Calculations!N54,Calculations!Q54,'Reaction Information'!$C$54,'Reaction Information'!$P$54*10^5,'Reaction Information'!$Q$54,$D$20,$D$19=3))*41.84)</f>
        <v>#N/A</v>
      </c>
      <c r="CC54" s="8" t="e">
        <f>IF(OR(ISBLANK(Input!$BT$4),$D$27=FALSE),NA(),('Reaction Information'!$J$58/10+'Reaction Information'!$K$58*100/(Calculations!$C$12+Calculations!$M54)+('Reaction Information'!$L$58+'Reaction Information'!$M$58*10000/(Calculations!$C$12+Calculations!$M54))/(Calculations!$O54-Calculations!$C$13)-calculateOmega(Calculations!M54,Calculations!N54,Calculations!Q54,'Reaction Information'!$C$58,'Reaction Information'!$P$58*10^5,'Reaction Information'!$Q$58)*Calculations!$U54*10^-6 + (1/$S54 - 1)*calculate_domegadP(Calculations!M54,Calculations!N54,Calculations!Q54,'Reaction Information'!$C$58,'Reaction Information'!$P$58*10^5,'Reaction Information'!$Q$58,$D$20,$D$19=3))*41.84)</f>
        <v>#N/A</v>
      </c>
      <c r="CD54" s="8" t="e">
        <f>IF(OR(ISBLANK(Input!$BW$4),$D$27=FALSE),NA(),('Reaction Information'!$J$62/10+'Reaction Information'!$K$62*100/(Calculations!$C$12+Calculations!$M54)+('Reaction Information'!$L$62+'Reaction Information'!$M$62*10000/(Calculations!$C$12+Calculations!$M54))/(Calculations!$O54-Calculations!$C$13)-calculateOmega(Calculations!M54,Calculations!N54,Calculations!Q54,'Reaction Information'!$C$62,'Reaction Information'!$P$62*10^5,'Reaction Information'!$Q$62)*Calculations!$U54*10^-6 + (1/$S54 - 1)*calculate_domegadP(Calculations!M54,Calculations!N54,Calculations!Q54,'Reaction Information'!$C$62,'Reaction Information'!$P$62*10^5,'Reaction Information'!$Q$62,$D$20,$D$19=3))*41.84)</f>
        <v>#N/A</v>
      </c>
      <c r="CE54" s="8" t="e">
        <f>IF(OR(ISBLANK(Input!$BZ$4),$D$27=FALSE),NA(),('Reaction Information'!$J$66/10+'Reaction Information'!$K$66*100/(Calculations!$C$12+Calculations!$M54)+('Reaction Information'!$L$66+'Reaction Information'!$M$66*10000/(Calculations!$C$12+Calculations!$M54))/(Calculations!$O54-Calculations!$C$13)-calculateOmega(Calculations!M54,Calculations!N54,Calculations!Q54,'Reaction Information'!$C$66,'Reaction Information'!$P$66*10^5,'Reaction Information'!$Q$66)*Calculations!$U54*10^-6 + (1/$S54 - 1)*calculate_domegadP(Calculations!M54,Calculations!N54,Calculations!Q54,'Reaction Information'!$C$66,'Reaction Information'!$P$66*10^5,'Reaction Information'!$Q$66,$D$20,$D$19=3))*41.84)</f>
        <v>#N/A</v>
      </c>
      <c r="CF54" s="31">
        <f>(BS54*Input!$AO$4+BT54*Input!$AR$4+BU54*Input!$AU$4+BV54*Input!$AX$4+IF(ISNA(BW54),0,BW54*Input!$BA$4)+IF(ISNA(BX54),0,BX54*Input!$BD$4)+IF(ISNA(BY54),0,BY54*Input!$BG$4)+IF(ISNA(BZ54),0,BZ54*Input!$BJ$4)+IF(ISNA(CA54),0,CA54*Input!$BM$4)+IF(ISNA(CB54),0,CB54*Input!$BP$4)+IF(ISNA(CC54),0,CC54*Input!$BS$4)+IF(ISNA(CD54),0,CD54*Input!$BV$4)+IF(ISNA(CE54),0,CE54*Input!$BY$4))-(BF54*Input!$B$4+BG54*Input!$E$4+BH54*Input!$H$4+BI54*Input!$K$4+IF(ISNA(BJ54),0,BJ54*Input!$N$4)+IF(ISNA(BK54),0,BK54*Input!$Q$4)+IF(ISNA(BL54),0,BL54*Input!$T$4)+IF(ISNA(BM54),0,BM54*Input!$W$4)+IF(ISNA(BN54),0,BN54*Input!$Z$4)+IF(ISNA(BO54),0,BO54*Input!$AC$4)+IF(ISNA(BP54),0,BP54*Input!$AF$4)+IF(ISNA(BQ54),0,BQ54*Input!$AI$4)+IF(ISNA(BR54),0,BR54*Input!$AL$4))</f>
        <v>-15.56805225123113</v>
      </c>
      <c r="CG54" s="1">
        <f t="shared" si="12"/>
        <v>450</v>
      </c>
      <c r="CH54" s="46">
        <f t="shared" si="13"/>
        <v>20000</v>
      </c>
      <c r="CI54" s="1"/>
    </row>
    <row r="55" spans="1:87" x14ac:dyDescent="0.2">
      <c r="A55" s="1"/>
      <c r="E55" s="1"/>
      <c r="F55" s="2">
        <v>50</v>
      </c>
      <c r="G55" s="1" t="str">
        <f>IF(ISBLANK(Input!CB55), "", Input!CB55*1000)</f>
        <v/>
      </c>
      <c r="H55" s="1" t="str">
        <f>IF(ISBLANK(Input!CC55), "", Input!CC55)</f>
        <v/>
      </c>
      <c r="I55" s="1">
        <f>IF(Input!$CF$5 + Input!$CF$6*(FLOOR((Calculations!$F55-1)/(FLOOR((Input!$CF$12-Input!$CF$10)/Input!$CF$11,1)+1),1)) &gt; Input!$CF$7, "", (Input!$CF$5 + Input!$CF$6*(FLOOR((Calculations!$F55-1)/(FLOOR((Input!$CF$12-Input!$CF$10)/Input!$CF$11,1)+1),1)))*1000)</f>
        <v>20000</v>
      </c>
      <c r="J55" s="1">
        <f>IF(Calculations!I55 = "", "", Input!$CF$10 + Input!$CF$11*(Calculations!$F55-1) - (FLOOR((Input!$CF$12-Input!$CF$10)/Input!$CF$11,1)+1)*Input!$CF$11*FLOOR((Calculations!$F55-1)/(FLOOR((Input!$CF$12-Input!$CF$10)/Input!$CF$11,1)+1),1))</f>
        <v>500</v>
      </c>
      <c r="K55" s="8" t="str">
        <f t="shared" si="14"/>
        <v/>
      </c>
      <c r="L55" s="117" t="str">
        <f>IF(OR(Input!$CJ$5 + Input!$CJ$6*(Calculations!F55-1) &gt; Input!$CJ$7, Input!$CJ$5 + Input!$CJ$6*(Calculations!F55-1) &gt; 350), "", Input!$CJ$5 + Input!$CJ$6*(Calculations!F55-1))</f>
        <v/>
      </c>
      <c r="M55" s="1">
        <f t="shared" si="2"/>
        <v>20000</v>
      </c>
      <c r="N55" s="1">
        <f t="shared" si="3"/>
        <v>500</v>
      </c>
      <c r="O55" s="1">
        <f t="shared" si="15"/>
        <v>773.15</v>
      </c>
      <c r="P55" s="1" t="e">
        <f>IF(OR($D$20=3,AND($D$21=TRUE,M55&lt;1000)),INDEX('Water Density'!$C$6:$CX$120,MATCH(Calculations!N55,'Water Density'!$B$6:$B$120),MATCH(Calculations!M55/1000,'Water Density'!$C$5:$CX$5)),NA())</f>
        <v>#N/A</v>
      </c>
      <c r="Q55" s="182">
        <f>IF(OR($D$20=3,AND($D$21=TRUE,M55&lt;1000)), IF(P55&lt;&gt;0,P55,NA()), calculateDensity(M55,N55,$D$20,0.01,$D$19 = 3))</f>
        <v>1.1654981706893441</v>
      </c>
      <c r="R55" s="1" t="e">
        <f>IF($D$22=5,INDEX('Dielectric Constant'!$C$6:$CX$120,MATCH(Calculations!N55,'Dielectric Constant'!$B$6:$B$120),MATCH(Calculations!M55/1000,'Dielectric Constant'!$C$5:$CX$5)),NA())</f>
        <v>#N/A</v>
      </c>
      <c r="S55" s="58">
        <f>IF($D$22=5, IF(R55&lt;&gt;0,R55,NA()), IF(AND($D$23,M55&lt;=5000,$D$19 &lt;&gt; 3),calculateEpsilon(Q55,N55,1,FALSE),calculateEpsilon(Q55,N55,$D$22,$D$19 = 3)))</f>
        <v>29.948103416877274</v>
      </c>
      <c r="T55" s="1" t="e">
        <f>IF($D$24=3,INDEX('Water Free Energy'!$C$6:$CX$120,MATCH(Calculations!N55,'Water Free Energy'!$B$6:$B$120),MATCH(Calculations!M55/1000,'Water Free Energy'!$C$5:$CX$5)),NA())</f>
        <v>#N/A</v>
      </c>
      <c r="U55" s="179">
        <f>IF($D$27,calculateQ(M55,N55,Q55,$D$20,$D$22,$D$19=3)*10^6,NA())</f>
        <v>0.35863280630309785</v>
      </c>
      <c r="V55"/>
      <c r="W55" s="2">
        <f t="shared" si="5"/>
        <v>20000</v>
      </c>
      <c r="X55" s="1">
        <f t="shared" si="6"/>
        <v>500</v>
      </c>
      <c r="Y55" s="1">
        <f>Results!F57</f>
        <v>0</v>
      </c>
      <c r="Z55" s="1">
        <f>Results!G57</f>
        <v>0</v>
      </c>
      <c r="AA55" s="1">
        <f>Results!H57</f>
        <v>0</v>
      </c>
      <c r="AB55" s="1">
        <f>Results!I57</f>
        <v>0</v>
      </c>
      <c r="AC55" s="1" t="e">
        <f>IF(ISBLANK(Input!$O$4),NA(),'Reaction Information'!$E$5-'Reaction Information'!$G$5*(Calculations!$O55-Calculations!$C$8)+'Reaction Information'!$I$5*(Calculations!$O55-Calculations!$C$8-Calculations!$O55*LN(Calculations!$O55/Calculations!$C$8))+'Reaction Information'!$J$5*0.001/2*(2*Calculations!$O55*Calculations!$C$8-Calculations!$O55^2-Calculations!$C$8^2) + 'Reaction Information'!$K$5*100000*(Calculations!$O55^2 + Calculations!$C$8^2 - 2*Calculations!$O55*Calculations!$C$8)/(2*Calculations!$O55*Calculations!$C$8^2))</f>
        <v>#N/A</v>
      </c>
      <c r="AD55" s="8" t="e">
        <f>IF(ISBLANK(Input!$R$4),NA(),'Reaction Information'!$E$9-'Reaction Information'!$G$9*(Calculations!$O55-Calculations!$C$8)+'Reaction Information'!$I$9*(Calculations!$O55-Calculations!$C$8-Calculations!$O55*LN(Calculations!$O55/Calculations!$C$8))+'Reaction Information'!$J$9*0.001/2*(2*Calculations!$O55*Calculations!$C$8-Calculations!$O55^2-Calculations!$C$8^2) + 'Reaction Information'!$K$9*100000*(Calculations!$O55^2 + Calculations!$C$8^2 - 2*Calculations!$O55*Calculations!$C$8)/(2*Calculations!$O55*Calculations!$C$8^2))</f>
        <v>#N/A</v>
      </c>
      <c r="AE55" s="8">
        <f>IF(AE$5="H2O",IF($D$24=3,IF(T55=0,NA(),T55),calculateGibbsOfWater(M55,N55,$D$24,$D$20,$D$19=3)),NA())</f>
        <v>-60255.436234742883</v>
      </c>
      <c r="AF55" s="8">
        <f>IF(ISBLANK(Input!$X$4),NA(),'Reaction Information'!$E$13-'Reaction Information'!$G$13*(Calculations!O55-Calculations!$C$8)-'Reaction Information'!$N$13*(Calculations!O55*LN(Calculations!O55/Calculations!$C$8)-Calculations!O55+Calculations!$C$8)-'Reaction Information'!$O$13*10^4*(((1/(Calculations!O55-Calculations!$C$13))-(1/(Calculations!$C$8-Calculations!$C$13)))*((Calculations!$C$13-Calculations!O55)/(Calculations!$C$13))-(Calculations!O55/(Calculations!$C$13*Calculations!$C$13))*LN((Calculations!$C$8*(Calculations!O55-Calculations!$C$13))/(Calculations!O55*(Calculations!$C$8-Calculations!$C$13))))+'Reaction Information'!$J$13*10^-1*(Calculations!M55-Calculations!$C$9)+'Reaction Information'!$K$13*10^2*LN((Calculations!$C$12+Calculations!M55)/(Calculations!$C$12+Calculations!$C$9))+(1/(Calculations!O55-Calculations!$C$13))*('Reaction Information'!$L$13*(Calculations!M55-Calculations!$C$9)+'Reaction Information'!$M$13*10^4*LN((Calculations!$C$12+Calculations!M55)/(Calculations!$C$12+Calculations!$C$9)))+calculateOmega(Calculations!M55,Calculations!N55,Calculations!Q55,'Reaction Information'!$C$13,'Reaction Information'!$P$13*10^5,'Reaction Information'!$Q$13)*((1/Calculations!S55)-1)-'Reaction Information'!$P$13*10^5*((1/Calculations!$C$10)-1)+'Reaction Information'!$P$13*10^5*Calculations!$C$14*(Calculations!O55-Calculations!$C$8))</f>
        <v>-96561.204629656349</v>
      </c>
      <c r="AG55" s="8" t="e">
        <f>IF(ISBLANK(Input!$AA$4),NA(),'Reaction Information'!$E$17-'Reaction Information'!$G$17*(Calculations!$O55-Calculations!$C$8)-'Reaction Information'!$N$17*(Calculations!$O55*LN(Calculations!$O55/Calculations!$C$8)-Calculations!$O55+Calculations!$C$8)-'Reaction Information'!$O$17*10^4*(((1/(Calculations!$O55-Calculations!$C$13))-(1/(Calculations!$C$8-Calculations!$C$13)))*((Calculations!$C$13-Calculations!$O55)/(Calculations!$C$13))-(Calculations!$O55/(Calculations!$C$13*Calculations!$C$13))*LN((Calculations!$C$8*(Calculations!$O55-Calculations!$C$13))/(Calculations!$O55*(Calculations!$C$8-Calculations!$C$13))))+'Reaction Information'!$J$17*10^-1*(Calculations!$M55-Calculations!$C$9)+'Reaction Information'!$K$17*10^2*LN((Calculations!$C$12+Calculations!$M55)/(Calculations!$C$12+Calculations!$C$9))+(1/(Calculations!$O55-Calculations!$C$13))*('Reaction Information'!$L$17*(Calculations!$M55-Calculations!$C$9)+'Reaction Information'!$M$17*10^4*LN((Calculations!$C$12+Calculations!$M55)/(Calculations!$C$12+Calculations!$C$9)))+calculateOmega(Calculations!M55,Calculations!N55,Calculations!Q55,'Reaction Information'!$C$17,'Reaction Information'!$P$17*10^5,'Reaction Information'!$Q$17)*((1/Calculations!$S55)-1)-'Reaction Information'!$P$17*10^5*((1/Calculations!$C$10)-1)+'Reaction Information'!$P$17*10^5*Calculations!$C$14*(Calculations!$O55-Calculations!$C$8))</f>
        <v>#N/A</v>
      </c>
      <c r="AH55" s="8" t="e">
        <f>IF(ISBLANK(Input!$AD$4),NA(),'Reaction Information'!$E$21-'Reaction Information'!$G$21*(Calculations!$O55-Calculations!$C$8)-'Reaction Information'!$N$21*(Calculations!$O55*LN(Calculations!$O55/Calculations!$C$8)-Calculations!$O55+Calculations!$C$8)-'Reaction Information'!$O$21*10^4*(((1/(Calculations!$O55-Calculations!$C$13))-(1/(Calculations!$C$8-Calculations!$C$13)))*((Calculations!$C$13-Calculations!$O55)/(Calculations!$C$13))-(Calculations!$O55/(Calculations!$C$13*Calculations!$C$13))*LN((Calculations!$C$8*(Calculations!$O55-Calculations!$C$13))/(Calculations!$O55*(Calculations!$C$8-Calculations!$C$13))))+'Reaction Information'!$J$21*10^-1*(Calculations!$M55-Calculations!$C$9)+'Reaction Information'!$K$21*10^2*LN((Calculations!$C$12+Calculations!$M55)/(Calculations!$C$12+Calculations!$C$9))+(1/(Calculations!$O55-Calculations!$C$13))*('Reaction Information'!$L$21*(Calculations!$M55-Calculations!$C$9)+'Reaction Information'!$M$21*10^4*LN((Calculations!$C$12+Calculations!$M55)/(Calculations!$C$12+Calculations!$C$9)))+calculateOmega(Calculations!M55,Calculations!N55,Calculations!Q55,'Reaction Information'!$C$21,'Reaction Information'!$P$21*10^5,'Reaction Information'!$Q$21)*((1/Calculations!$S55)-1)-'Reaction Information'!$P$21*10^5*((1/Calculations!$C$10)-1)+'Reaction Information'!$P$21*10^5*Calculations!$C$14*(Calculations!$O55-Calculations!$C$8))</f>
        <v>#N/A</v>
      </c>
      <c r="AI55" s="8" t="e">
        <f>IF(ISBLANK(Input!$AG$4),NA(),'Reaction Information'!$E$25-'Reaction Information'!$G$25*(Calculations!$O55-Calculations!$C$8)-'Reaction Information'!$N$25*(Calculations!$O55*LN(Calculations!$O55/Calculations!$C$8)-Calculations!$O55+Calculations!$C$8)-'Reaction Information'!$O$25*10^4*(((1/(Calculations!$O55-Calculations!$C$13))-(1/(Calculations!$C$8-Calculations!$C$13)))*((Calculations!$C$13-Calculations!$O55)/(Calculations!$C$13))-(Calculations!$O55/(Calculations!$C$13*Calculations!$C$13))*LN((Calculations!$C$8*(Calculations!$O55-Calculations!$C$13))/(Calculations!$O55*(Calculations!$C$8-Calculations!$C$13))))+'Reaction Information'!$J$25*10^-1*(Calculations!$M55-Calculations!$C$9)+'Reaction Information'!$K$25*10^2*LN((Calculations!$C$12+Calculations!$M55)/(Calculations!$C$12+Calculations!$C$9))+(1/(Calculations!$O55-Calculations!$C$13))*('Reaction Information'!$L$25*(Calculations!$M55-Calculations!$C$9)+'Reaction Information'!$M$25*10^4*LN((Calculations!$C$12+Calculations!$M55)/(Calculations!$C$12+Calculations!$C$9)))+calculateOmega(Calculations!M55,Calculations!N55,Calculations!Q55,'Reaction Information'!$C$25,'Reaction Information'!$P$25*10^5,'Reaction Information'!$Q$25)*((1/Calculations!$S55)-1)-'Reaction Information'!$P$25*10^5*((1/Calculations!$C$10)-1)+'Reaction Information'!$P$25*10^5*Calculations!$C$14*(Calculations!$O55-Calculations!$C$8))</f>
        <v>#N/A</v>
      </c>
      <c r="AJ55" s="8" t="e">
        <f>IF(ISBLANK(Input!$AJ$4),NA(),'Reaction Information'!$E$29-'Reaction Information'!$G$29*(Calculations!$O55-Calculations!$C$8)-'Reaction Information'!$N$29*(Calculations!$O55*LN(Calculations!$O55/Calculations!$C$8)-Calculations!$O55+Calculations!$C$8)-'Reaction Information'!$O$29*10^4*(((1/(Calculations!$O55-Calculations!$C$13))-(1/(Calculations!$C$8-Calculations!$C$13)))*((Calculations!$C$13-Calculations!$O55)/(Calculations!$C$13))-(Calculations!$O55/(Calculations!$C$13*Calculations!$C$13))*LN((Calculations!$C$8*(Calculations!$O55-Calculations!$C$13))/(Calculations!$O55*(Calculations!$C$8-Calculations!$C$13))))+'Reaction Information'!$J$29*10^-1*(Calculations!$M55-Calculations!$C$9)+'Reaction Information'!$K$29*10^2*LN((Calculations!$C$12+Calculations!$M55)/(Calculations!$C$12+Calculations!$C$9))+(1/(Calculations!$O55-Calculations!$C$13))*('Reaction Information'!$L$29*(Calculations!$M55-Calculations!$C$9)+'Reaction Information'!$M$29*10^4*LN((Calculations!$C$12+Calculations!$M55)/(Calculations!$C$12+Calculations!$C$9)))+calculateOmega(Calculations!M55,Calculations!N55,Calculations!Q55,'Reaction Information'!$C$29,'Reaction Information'!$P$29*10^5,'Reaction Information'!$Q$29)*((1/Calculations!$S55)-1)-'Reaction Information'!$P$29*10^5*((1/Calculations!$C$10)-1)+'Reaction Information'!$P$29*10^5*Calculations!$C$14*(Calculations!$O55-Calculations!$C$8))</f>
        <v>#N/A</v>
      </c>
      <c r="AK55" s="8" t="e">
        <f>IF(ISBLANK(Input!$AM$4),NA(),'Reaction Information'!$E$33-'Reaction Information'!$G$33*(Calculations!$O55-Calculations!$C$8)-'Reaction Information'!$N$33*(Calculations!$O55*LN(Calculations!$O55/Calculations!$C$8)-Calculations!$O55+Calculations!$C$8)-'Reaction Information'!$O$33*10^4*(((1/(Calculations!$O55-Calculations!$C$13))-(1/(Calculations!$C$8-Calculations!$C$13)))*((Calculations!$C$13-Calculations!$O55)/(Calculations!$C$13))-(Calculations!$O55/(Calculations!$C$13*Calculations!$C$13))*LN((Calculations!$C$8*(Calculations!$O55-Calculations!$C$13))/(Calculations!$O55*(Calculations!$C$8-Calculations!$C$13))))+'Reaction Information'!$J$33*10^-1*(Calculations!$M55-Calculations!$C$9)+'Reaction Information'!$K$33*10^2*LN((Calculations!$C$12+Calculations!$M55)/(Calculations!$C$12+Calculations!$C$9))+(1/(Calculations!$O55-Calculations!$C$13))*('Reaction Information'!$L$33*(Calculations!$M55-Calculations!$C$9)+'Reaction Information'!$M$33*10^4*LN((Calculations!$C$12+Calculations!$M55)/(Calculations!$C$12+Calculations!$C$9)))+calculateOmega(Calculations!M55,Calculations!N55,Calculations!Q55,'Reaction Information'!$C$33,'Reaction Information'!$P$33*10^5,'Reaction Information'!$Q$33)*((1/Calculations!$S55)-1)-'Reaction Information'!$P$33*10^5*((1/Calculations!$C$10)-1)+'Reaction Information'!$P$33*10^5*Calculations!$C$14*(Calculations!$O55-Calculations!$C$8))</f>
        <v>#N/A</v>
      </c>
      <c r="AL55" s="1">
        <f>Results!S57</f>
        <v>0</v>
      </c>
      <c r="AM55" s="1">
        <f>Results!T57</f>
        <v>0</v>
      </c>
      <c r="AN55" s="1">
        <f>Results!U57</f>
        <v>0</v>
      </c>
      <c r="AO55" s="1">
        <f>Results!V57</f>
        <v>0</v>
      </c>
      <c r="AP55" s="8" t="e">
        <f>IF(ISBLANK(Input!$BB$4),NA(),'Reaction Information'!$E$38-'Reaction Information'!$G$38*(Calculations!$O55-Calculations!$C$8)+'Reaction Information'!$I$38*(Calculations!$O55-Calculations!$C$8-Calculations!$O55*LN(Calculations!$O55/Calculations!$C$8))+'Reaction Information'!$J$38*0.001/2*(2*Calculations!$O55*Calculations!$C$8-Calculations!$O55^2-Calculations!$C$8^2) + 'Reaction Information'!$K$38*100000*(Calculations!$O55^2 + Calculations!$C$8^2 - 2*Calculations!$O55*Calculations!$C$8)/(2*Calculations!$O55*Calculations!$C$8^2))</f>
        <v>#N/A</v>
      </c>
      <c r="AQ55" s="8" t="e">
        <f>IF(ISBLANK(Input!$BE$4),NA(),'Reaction Information'!$E$42-'Reaction Information'!$G$42*(Calculations!$O55-Calculations!$C$8)+'Reaction Information'!$I$42*(Calculations!$O55-Calculations!$C$8-Calculations!$O55*LN(Calculations!$O55/Calculations!$C$8))+'Reaction Information'!$J$42*0.001/2*(2*Calculations!$O55*Calculations!$C$8-Calculations!$O55^2-Calculations!$C$8^2) + 'Reaction Information'!$K$42*100000*(Calculations!$O55^2 + Calculations!$C$8^2 - 2*Calculations!$O55*Calculations!$C$8)/(2*Calculations!$O55*Calculations!$C$8^2))</f>
        <v>#N/A</v>
      </c>
      <c r="AR55" s="8" t="e">
        <f>IF(AR$5="H2O", IF($D$24=3,IF(T55=0,NA(),T55),calculateGibbsOfWater(M55,N55,$D$24,$D$20,$D$19=3)),NA())</f>
        <v>#N/A</v>
      </c>
      <c r="AS55" s="8">
        <f>IF(ISBLANK(Input!$BK$4),NA(),'Reaction Information'!$E$46-'Reaction Information'!$G$46*(Calculations!O55-Calculations!$C$8)-'Reaction Information'!$N$46*(Calculations!O55*LN(Calculations!O55/Calculations!$C$8)-Calculations!O55+Calculations!$C$8)-'Reaction Information'!$O$46*10^4*(((1/(Calculations!O55-Calculations!$C$13))-(1/(Calculations!$C$8-Calculations!$C$13)))*((Calculations!$C$13-Calculations!O55)/(Calculations!$C$13))-(Calculations!O55/(Calculations!$C$13*Calculations!$C$13))*LN((Calculations!$C$8*(Calculations!O55-Calculations!$C$13))/(Calculations!O55*(Calculations!$C$8-Calculations!$C$13))))+'Reaction Information'!$J$46*10^-1*(Calculations!$M55-Calculations!$C$9)+'Reaction Information'!$K$46*10^2*LN((Calculations!$C$12+Calculations!$M55)/(Calculations!$C$12+Calculations!$C$9))+(1/(Calculations!O55-Calculations!$C$13))*('Reaction Information'!$L$46*(Calculations!$M55-Calculations!$C$9)+'Reaction Information'!$M$46*10^4*LN((Calculations!$C$12+Calculations!$M55)/(Calculations!$C$12+Calculations!$C$9)))+calculateOmega(Calculations!M55,Calculations!N55,Calculations!Q55,'Reaction Information'!$C$46,'Reaction Information'!$P$46*10^5,'Reaction Information'!$Q$46)*((1/Calculations!S55)-1)-'Reaction Information'!$P$46*10^5*((1/Calculations!$C$10)-1)+'Reaction Information'!$P$46*10^5*Calculations!$C$14*(Calculations!O55-Calculations!$C$8))</f>
        <v>0</v>
      </c>
      <c r="AT55" s="8">
        <f>IF(ISBLANK(Input!$BN$4),NA(),'Reaction Information'!$E$50-'Reaction Information'!$G$50*(Calculations!O55-Calculations!$C$8)-'Reaction Information'!$N$50*(Calculations!O55*LN(Calculations!O55/Calculations!$C$8)-Calculations!O55+Calculations!$C$8)-'Reaction Information'!$O$50*10^4*(((1/(Calculations!O55-Calculations!$C$13))-(1/(Calculations!$C$8-Calculations!$C$13)))*((Calculations!$C$13-Calculations!O55)/(Calculations!$C$13))-(Calculations!O55/(Calculations!$C$13*Calculations!$C$13))*LN((Calculations!$C$8*(Calculations!O55-Calculations!$C$13))/(Calculations!O55*(Calculations!$C$8-Calculations!$C$13))))+'Reaction Information'!$J$50*10^-1*(Calculations!$M55-Calculations!$C$9)+'Reaction Information'!$K$50*10^2*LN((Calculations!$C$12+Calculations!$M55)/(Calculations!$C$12+Calculations!$C$9))+(1/(Calculations!O55-Calculations!$C$13))*('Reaction Information'!$L$50*(Calculations!$M55-Calculations!$C$9)+'Reaction Information'!$M$50*10^4*LN((Calculations!$C$12+Calculations!$M55)/(Calculations!$C$12+Calculations!$C$9)))+calculateOmega(Calculations!M55,Calculations!N55,Calculations!Q55,'Reaction Information'!$C$50,'Reaction Information'!$P$50*10^5,'Reaction Information'!$Q$50)*((1/Calculations!S55)-1)-'Reaction Information'!$P$50*10^5*((1/Calculations!$C$10)-1)+'Reaction Information'!$P$50*10^5*Calculations!$C$14*(Calculations!O55-Calculations!$C$8))</f>
        <v>-139299.17602971941</v>
      </c>
      <c r="AU55" s="8" t="e">
        <f>IF(ISBLANK(Input!$BQ$4),NA(),'Reaction Information'!$E$54-'Reaction Information'!$G$54*(Calculations!$O55-Calculations!$C$8)-'Reaction Information'!$N$54*(Calculations!$O55*LN(Calculations!$O55/Calculations!$C$8)-Calculations!$O55+Calculations!$C$8)-'Reaction Information'!$O$54*10^4*(((1/(Calculations!$O55-Calculations!$C$13))-(1/(Calculations!$C$8-Calculations!$C$13)))*((Calculations!$C$13-Calculations!$O55)/(Calculations!$C$13))-(Calculations!$O55/(Calculations!$C$13*Calculations!$C$13))*LN((Calculations!$C$8*(Calculations!$O55-Calculations!$C$13))/(Calculations!$O55*(Calculations!$C$8-Calculations!$C$13))))+'Reaction Information'!$J$54*10^-1*(Calculations!$M55-Calculations!$C$9)+'Reaction Information'!$K$54*10^2*LN((Calculations!$C$12+Calculations!$M55)/(Calculations!$C$12+Calculations!$C$9))+(1/(Calculations!$O55-Calculations!$C$13))*('Reaction Information'!$L$54*(Calculations!$M55-Calculations!$C$9)+'Reaction Information'!$M$54*10^4*LN((Calculations!$C$12+Calculations!$M55)/(Calculations!$C$12+Calculations!$C$9)))+calculateOmega(Calculations!M55,Calculations!N55,Calculations!Q55,'Reaction Information'!$C$54,'Reaction Information'!$P$54*10^5,'Reaction Information'!$Q$54)*((1/Calculations!$S55)-1)-'Reaction Information'!$P$54*10^5*((1/Calculations!$C$10)-1)+'Reaction Information'!$P$54*10^5*Calculations!$C$14*(Calculations!$O55-Calculations!$C$8))</f>
        <v>#N/A</v>
      </c>
      <c r="AV55" s="8" t="e">
        <f>IF(ISBLANK(Input!$BT$4),NA(),'Reaction Information'!$E$58-'Reaction Information'!$G$58*(Calculations!$O55-Calculations!$C$8)-'Reaction Information'!$N$58*(Calculations!$O55*LN(Calculations!$O55/Calculations!$C$8)-Calculations!$O55+Calculations!$C$8)-'Reaction Information'!$O$58*10^4*(((1/(Calculations!$O55-Calculations!$C$13))-(1/(Calculations!$C$8-Calculations!$C$13)))*((Calculations!$C$13-Calculations!$O55)/(Calculations!$C$13))-(Calculations!$O55/(Calculations!$C$13*Calculations!$C$13))*LN((Calculations!$C$8*(Calculations!$O55-Calculations!$C$13))/(Calculations!$O55*(Calculations!$C$8-Calculations!$C$13))))+'Reaction Information'!$J$58*10^-1*(Calculations!$M55-Calculations!$C$9)+'Reaction Information'!$K$58*10^2*LN((Calculations!$C$12+Calculations!$M55)/(Calculations!$C$12+Calculations!$C$9))+(1/(Calculations!$O55-Calculations!$C$13))*('Reaction Information'!$L$58*(Calculations!$M55-Calculations!$C$9)+'Reaction Information'!$M$58*10^4*LN((Calculations!$C$12+Calculations!$M55)/(Calculations!$C$12+Calculations!$C$9)))+calculateOmega(Calculations!M55,Calculations!N55,Calculations!Q55,'Reaction Information'!$C$58,'Reaction Information'!$P$58*10^5,'Reaction Information'!$Q$58)*((1/Calculations!$S55)-1)-'Reaction Information'!$P$58*10^5*((1/Calculations!$C$10)-1)+'Reaction Information'!$P$58*10^5*Calculations!$C$14*(Calculations!$O55-Calculations!$C$8))</f>
        <v>#N/A</v>
      </c>
      <c r="AW55" s="8" t="e">
        <f>IF(ISBLANK(Input!$BW$4),NA(),'Reaction Information'!$E$62-'Reaction Information'!$G$62*(Calculations!$O55-Calculations!$C$8)-'Reaction Information'!$N$62*(Calculations!$O55*LN(Calculations!$O55/Calculations!$C$8)-Calculations!$O55+Calculations!$C$8)-'Reaction Information'!$O$62*10^4*(((1/(Calculations!$O55-Calculations!$C$13))-(1/(Calculations!$C$8-Calculations!$C$13)))*((Calculations!$C$13-Calculations!$O55)/(Calculations!$C$13))-(Calculations!$O55/(Calculations!$C$13*Calculations!$C$13))*LN((Calculations!$C$8*(Calculations!$O55-Calculations!$C$13))/(Calculations!$O55*(Calculations!$C$8-Calculations!$C$13))))+'Reaction Information'!$J$62*10^-1*(Calculations!$M55-Calculations!$C$9)+'Reaction Information'!$K$62*10^2*LN((Calculations!$C$12+Calculations!$M55)/(Calculations!$C$12+Calculations!$C$9))+(1/(Calculations!$O55-Calculations!$C$13))*('Reaction Information'!$L$62*(Calculations!$M55-Calculations!$C$9)+'Reaction Information'!$M$62*10^4*LN((Calculations!$C$12+Calculations!$M55)/(Calculations!$C$12+Calculations!$C$9)))+calculateOmega(Calculations!M55,Calculations!N55,Calculations!Q55,'Reaction Information'!$C$62,'Reaction Information'!$P$62*10^5,'Reaction Information'!$Q$62)*((1/Calculations!$S55)-1)-'Reaction Information'!$P$62*10^5*((1/Calculations!$C$10)-1)+'Reaction Information'!$P$62*10^5*Calculations!$C$14*(Calculations!$O55-Calculations!$C$8))</f>
        <v>#N/A</v>
      </c>
      <c r="AX55" s="8" t="e">
        <f>IF(ISBLANK(Input!$BZ$4),NA(),'Reaction Information'!$E$66-'Reaction Information'!$G$66*(Calculations!$O55-Calculations!$C$8)-'Reaction Information'!$N$66*(Calculations!$O55*LN(Calculations!$O55/Calculations!$C$8)-Calculations!$O55+Calculations!$C$8)-'Reaction Information'!$O$66*10^4*(((1/(Calculations!$O55-Calculations!$C$13))-(1/(Calculations!$C$8-Calculations!$C$13)))*((Calculations!$C$13-Calculations!$O55)/(Calculations!$C$13))-(Calculations!$O55/(Calculations!$C$13*Calculations!$C$13))*LN((Calculations!$C$8*(Calculations!$O55-Calculations!$C$13))/(Calculations!$O55*(Calculations!$C$8-Calculations!$C$13))))+'Reaction Information'!$J$66*10^-1*(Calculations!$M55-Calculations!$C$9)+'Reaction Information'!$K$66*10^2*LN((Calculations!$C$12+Calculations!$M55)/(Calculations!$C$12+Calculations!$C$9))+(1/(Calculations!$O55-Calculations!$C$13))*('Reaction Information'!$L$66*(Calculations!$M55-Calculations!$C$9)+'Reaction Information'!$M$66*10^4*LN((Calculations!$C$12+Calculations!$M55)/(Calculations!$C$12+Calculations!$C$9)))+calculateOmega(Calculations!M55,Calculations!N55,Calculations!Q55,'Reaction Information'!$C$66,'Reaction Information'!$P$66*10^5,'Reaction Information'!$Q$66)*((1/Calculations!$S55)-1)-'Reaction Information'!$P$66*10^5*((1/Calculations!$C$10)-1)+'Reaction Information'!$P$66*10^5*Calculations!$C$14*(Calculations!$O55-Calculations!$C$8))</f>
        <v>#N/A</v>
      </c>
      <c r="AY55" s="31">
        <f>(AL55*Input!$AO$4+AM55*Input!$AR$4+AN55*Input!$AU$4+AO55*Input!$AX$4+IF(ISNA(AP55),0,AP55*Input!$BA$4)+IF(ISNA(AQ55),0,AQ55*Input!$BD$4)+IF(ISNA(AR55),0,AR55*Input!$BG$4)+IF(ISNA(AS55),0,AS55*Input!$BJ$4)+IF(ISNA(AT55),0,AT55*Input!$BM$4)+IF(ISNA(AU55),0,AU55*Input!$BP$4)+IF(ISNA(AV55),0,AV55*Input!$BS$4)+IF(ISNA(AW55),0,AW55*Input!$BV$4)+IF(ISNA(AX55),0,AX55*Input!$BY$4))-(Y55*Input!$B$4+Z55*Input!$E$4+AA55*Input!$H$4+AB55*Input!$K$4+IF(ISNA(AC55),0,AC55*Input!$N$4)+IF(ISNA(AD55),0,AD55*Input!$Q$4)+IF(ISNA(AE55),0,AE55*Input!$T$4)+IF(ISNA(AF55),0,AF55*Input!$W$4)+IF(ISNA(AG55),0,AG55*Input!$Z$4)+IF(ISNA(AH55),0,AH55*Input!$AC$4)+IF(ISNA(AI55),0,AI55*Input!$AF$4)+IF(ISNA(AJ55),0,AJ55*Input!$AI$4)+IF(ISNA(AK55),0,AK55*Input!$AL$4))</f>
        <v>17517.46483467982</v>
      </c>
      <c r="AZ55" s="42">
        <f t="shared" si="16"/>
        <v>-4.9549510413264297</v>
      </c>
      <c r="BA55" s="1">
        <f t="shared" si="8"/>
        <v>500</v>
      </c>
      <c r="BB55" s="46">
        <f t="shared" si="9"/>
        <v>20000</v>
      </c>
      <c r="BC55" s="1"/>
      <c r="BD55" s="2">
        <f t="shared" si="10"/>
        <v>20000</v>
      </c>
      <c r="BE55" s="46">
        <f t="shared" si="11"/>
        <v>500</v>
      </c>
      <c r="BF55" s="1">
        <f>Results!AJ57</f>
        <v>0</v>
      </c>
      <c r="BG55" s="1">
        <f>Results!AK57</f>
        <v>0</v>
      </c>
      <c r="BH55" s="1">
        <f>Results!AL57</f>
        <v>0</v>
      </c>
      <c r="BI55" s="1">
        <f>Results!AM57</f>
        <v>0</v>
      </c>
      <c r="BJ55" s="1" t="e">
        <f>IF(OR(ISNA('Reaction Information'!$D$5), $N55 = "", $D$27 = FALSE, 'Reaction Information'!$D$5 = ""), NA(), 24.465)</f>
        <v>#N/A</v>
      </c>
      <c r="BK55" s="1" t="e">
        <f>IF(OR(ISNA('Reaction Information'!$D$9), $N55 = "", $D$27 = FALSE, 'Reaction Information'!$D$9 = ""), NA(), 24.465)</f>
        <v>#N/A</v>
      </c>
      <c r="BL55" s="8">
        <f t="shared" si="17"/>
        <v>15.457149957897149</v>
      </c>
      <c r="BM55" s="8">
        <f>IF(OR(ISBLANK(Input!$X$4),$D$27=FALSE),NA(),('Reaction Information'!$J$13/10+'Reaction Information'!$K$13*100/(Calculations!$C$12+Calculations!$M55)+('Reaction Information'!$L$13+'Reaction Information'!$M$13*10^4/(Calculations!$C$12+Calculations!$M55))/(Calculations!$O55-Calculations!$C$13) -calculateOmega(Calculations!$M55,Calculations!$N55,Calculations!$Q55,'Reaction Information'!$C$13,'Reaction Information'!$P$13*10^5,'Reaction Information'!$Q$13)*Calculations!$U55*10^-6 + (1/$S55 - 1)*calculate_domegadP(Calculations!$M55,Calculations!$N55,Calculations!$Q55,'Reaction Information'!$C$13,'Reaction Information'!$P$13*10^5,'Reaction Information'!$Q$13,$D$20,$D$19=3))*41.84)</f>
        <v>30.890545910845571</v>
      </c>
      <c r="BN55" s="8" t="e">
        <f>IF(OR(ISBLANK(Input!$AA$4),$D$27=FALSE),NA(),('Reaction Information'!$J$17/10+'Reaction Information'!$K$17*100/(Calculations!$C$12+Calculations!$M55)+('Reaction Information'!$L$17+'Reaction Information'!$M$17*10000/(Calculations!$C$12+Calculations!$M55))/(Calculations!$O55-Calculations!$C$13)-calculateOmega(Calculations!M55,Calculations!N55,Calculations!Q55,'Reaction Information'!$C$17,'Reaction Information'!$P$17*10^5,'Reaction Information'!$Q$17)*Calculations!$U55*10^-6 + (1/$S55 - 1)*calculate_domegadP(Calculations!M55,Calculations!N55,Calculations!Q55,'Reaction Information'!$C$17,'Reaction Information'!$P$17*10^5,'Reaction Information'!$Q$17,$D$20,$D$19=3))*41.84)</f>
        <v>#N/A</v>
      </c>
      <c r="BO55" s="8" t="e">
        <f>IF(OR(ISBLANK(Input!$AD$4),$D$27=FALSE),NA(),('Reaction Information'!$J$21/10+'Reaction Information'!$K$21*100/(Calculations!$C$12+Calculations!$M55)+('Reaction Information'!$L$21+'Reaction Information'!$M$21*10000/(Calculations!$C$12+Calculations!$M55))/(Calculations!$O55-Calculations!$C$13)-calculateOmega(Calculations!M55,Calculations!N55,Calculations!Q55,'Reaction Information'!$C$21,'Reaction Information'!$P$21*10^5,'Reaction Information'!$Q$21)*Calculations!$U55*10^-6 + (1/$S55 - 1)*calculate_domegadP(Calculations!M55,Calculations!N55,Calculations!Q55,'Reaction Information'!$C$21,'Reaction Information'!$P$21*10^5,'Reaction Information'!$Q$21,$D$20,$D$19=3))*41.84)</f>
        <v>#N/A</v>
      </c>
      <c r="BP55" s="8" t="e">
        <f>IF(OR(ISBLANK(Input!$AG$4),$D$27=FALSE),NA(),('Reaction Information'!$J$25/10+'Reaction Information'!$K$25*100/(Calculations!$C$12+Calculations!$M55)+('Reaction Information'!$L$25+'Reaction Information'!$M$25*10000/(Calculations!$C$12+Calculations!$M55))/(Calculations!$O55-Calculations!$C$13)-calculateOmega(Calculations!M55,Calculations!N55,Calculations!Q55,'Reaction Information'!$C$25,'Reaction Information'!$P$25*10^5,'Reaction Information'!$Q$25)*Calculations!$U55*10^-6 + (1/$S55 - 1)*calculate_domegadP(Calculations!M55,Calculations!N55,Calculations!Q55,'Reaction Information'!$C$25,'Reaction Information'!$P$25*10^5,'Reaction Information'!$Q$25,$D$20,$D$19=3))*41.84)</f>
        <v>#N/A</v>
      </c>
      <c r="BQ55" s="8" t="e">
        <f>IF(OR(ISBLANK(Input!$AJ$4),$D$27=FALSE),NA(),('Reaction Information'!$J$29/10+'Reaction Information'!$K$29*100/(Calculations!$C$12+Calculations!$M55)+('Reaction Information'!$L$29+'Reaction Information'!$M$29*10000/(Calculations!$C$12+Calculations!$M55))/(Calculations!$O55-Calculations!$C$13)-calculateOmega(Calculations!M55,Calculations!N55,Calculations!Q55,'Reaction Information'!$C$29,'Reaction Information'!$P$29*10^5,'Reaction Information'!$Q$29)*Calculations!$U55*10^-6 + (1/$S55 - 1)*calculate_domegadP(Calculations!M55,Calculations!N55,Calculations!Q55,'Reaction Information'!$C$29,'Reaction Information'!$P$29*10^5,'Reaction Information'!$Q$29,$D$20,$D$19=3))*41.84)</f>
        <v>#N/A</v>
      </c>
      <c r="BR55" s="8" t="e">
        <f>IF(OR(ISBLANK(Input!$AM$4),$D$27=FALSE),NA(),('Reaction Information'!$J$33/10+'Reaction Information'!$K$33*100/(Calculations!$C$12+Calculations!$M55)+('Reaction Information'!$L$33+'Reaction Information'!$M$33*10000/(Calculations!$C$12+Calculations!$M55))/(Calculations!$O55-Calculations!$C$13)-calculateOmega(Calculations!M55,Calculations!N55,Calculations!Q55,'Reaction Information'!$C$33,'Reaction Information'!$P$33*10^5,'Reaction Information'!$Q$33)*Calculations!$U55*10^-6 + (1/$S55 - 1)*calculate_domegadP(Calculations!M55,Calculations!N55,Calculations!Q55,'Reaction Information'!$C$33,'Reaction Information'!$P$33*10^5,'Reaction Information'!$Q$33,$D$20,$D$19=3))*41.84)</f>
        <v>#N/A</v>
      </c>
      <c r="BS55" s="1">
        <f>Results!AW57</f>
        <v>0</v>
      </c>
      <c r="BT55" s="1">
        <f>Results!AX57</f>
        <v>0</v>
      </c>
      <c r="BU55" s="1">
        <f>Results!AY57</f>
        <v>0</v>
      </c>
      <c r="BV55" s="1">
        <f>Results!AZ57</f>
        <v>0</v>
      </c>
      <c r="BW55" s="1" t="e">
        <f>IF(OR(ISNA('Reaction Information'!$D$38), $N55 = "", $D$27 = FALSE, 'Reaction Information'!$D$38 = ""), NA(), 24.465)</f>
        <v>#N/A</v>
      </c>
      <c r="BX55" s="1" t="e">
        <f>IF(OR(ISNA('Reaction Information'!$D$42), $N55 = "", $D$27 = FALSE, 'Reaction Information'!$D$42 = ""), NA(), 24.465)</f>
        <v>#N/A</v>
      </c>
      <c r="BY55" s="8" t="e">
        <f t="shared" si="18"/>
        <v>#N/A</v>
      </c>
      <c r="BZ55" s="8">
        <f>IF(OR(ISBLANK(Input!$BK$4),$D$27=FALSE),NA(),('Reaction Information'!$J$46/10+'Reaction Information'!$K$46*100/(Calculations!$C$12+Calculations!$M55)+('Reaction Information'!$L$46+'Reaction Information'!$M$46*10000/(Calculations!$C$12+Calculations!$M55))/(Calculations!$O55-Calculations!$C$13)-calculateOmega(Calculations!M55,Calculations!N55,Calculations!Q55,'Reaction Information'!$C$46,'Reaction Information'!$P$46*10^5,'Reaction Information'!$Q$46)*Calculations!$U55*10^-6 + (1/$S55 - 1)*calculate_domegadP(Calculations!M55,Calculations!N55,Calculations!Q55,'Reaction Information'!$C$46,'Reaction Information'!$P$46*10^5,'Reaction Information'!$Q$46,$D$20,$D$19=3))*41.84)</f>
        <v>0</v>
      </c>
      <c r="CA55" s="8">
        <f>IF(OR(ISBLANK(Input!$BN$4),$D$27=FALSE),NA(),('Reaction Information'!$J$50/10+'Reaction Information'!$K$50*100/(Calculations!$C$12+Calculations!$M55)+('Reaction Information'!$L$50+'Reaction Information'!$M$50*10000/(Calculations!$C$12+Calculations!$M55))/(Calculations!$O55-Calculations!$C$13)-calculateOmega(Calculations!M55,Calculations!N55,Calculations!Q55,'Reaction Information'!$C$50,'Reaction Information'!$P$50*10^5,'Reaction Information'!$Q$50)*Calculations!$U55*10^-6 + (1/$S55 - 1)*calculate_domegadP(Calculations!M55,Calculations!N55,Calculations!Q55,'Reaction Information'!$C$50,'Reaction Information'!$P$50*10^5,'Reaction Information'!$Q$50,$D$20,$D$19=3))*41.84)</f>
        <v>30.21759305162087</v>
      </c>
      <c r="CB55" s="8" t="e">
        <f>IF(OR(ISBLANK(Input!$BQ$4),$D$27=FALSE),NA(),('Reaction Information'!$J$54/10+'Reaction Information'!$K$54*100/(Calculations!$C$12+Calculations!$M55)+('Reaction Information'!$L$54+'Reaction Information'!$M$54*10000/(Calculations!$C$12+Calculations!$M55))/(Calculations!$O55-Calculations!$C$13)-calculateOmega(Calculations!M55,Calculations!N55,Calculations!Q55,'Reaction Information'!$C$54,'Reaction Information'!$P$54*10^5,'Reaction Information'!$Q$54)*Calculations!$U55*10^-6 + (1/$S55 - 1)*calculate_domegadP(Calculations!M55,Calculations!N55,Calculations!Q55,'Reaction Information'!$C$54,'Reaction Information'!$P$54*10^5,'Reaction Information'!$Q$54,$D$20,$D$19=3))*41.84)</f>
        <v>#N/A</v>
      </c>
      <c r="CC55" s="8" t="e">
        <f>IF(OR(ISBLANK(Input!$BT$4),$D$27=FALSE),NA(),('Reaction Information'!$J$58/10+'Reaction Information'!$K$58*100/(Calculations!$C$12+Calculations!$M55)+('Reaction Information'!$L$58+'Reaction Information'!$M$58*10000/(Calculations!$C$12+Calculations!$M55))/(Calculations!$O55-Calculations!$C$13)-calculateOmega(Calculations!M55,Calculations!N55,Calculations!Q55,'Reaction Information'!$C$58,'Reaction Information'!$P$58*10^5,'Reaction Information'!$Q$58)*Calculations!$U55*10^-6 + (1/$S55 - 1)*calculate_domegadP(Calculations!M55,Calculations!N55,Calculations!Q55,'Reaction Information'!$C$58,'Reaction Information'!$P$58*10^5,'Reaction Information'!$Q$58,$D$20,$D$19=3))*41.84)</f>
        <v>#N/A</v>
      </c>
      <c r="CD55" s="8" t="e">
        <f>IF(OR(ISBLANK(Input!$BW$4),$D$27=FALSE),NA(),('Reaction Information'!$J$62/10+'Reaction Information'!$K$62*100/(Calculations!$C$12+Calculations!$M55)+('Reaction Information'!$L$62+'Reaction Information'!$M$62*10000/(Calculations!$C$12+Calculations!$M55))/(Calculations!$O55-Calculations!$C$13)-calculateOmega(Calculations!M55,Calculations!N55,Calculations!Q55,'Reaction Information'!$C$62,'Reaction Information'!$P$62*10^5,'Reaction Information'!$Q$62)*Calculations!$U55*10^-6 + (1/$S55 - 1)*calculate_domegadP(Calculations!M55,Calculations!N55,Calculations!Q55,'Reaction Information'!$C$62,'Reaction Information'!$P$62*10^5,'Reaction Information'!$Q$62,$D$20,$D$19=3))*41.84)</f>
        <v>#N/A</v>
      </c>
      <c r="CE55" s="8" t="e">
        <f>IF(OR(ISBLANK(Input!$BZ$4),$D$27=FALSE),NA(),('Reaction Information'!$J$66/10+'Reaction Information'!$K$66*100/(Calculations!$C$12+Calculations!$M55)+('Reaction Information'!$L$66+'Reaction Information'!$M$66*10000/(Calculations!$C$12+Calculations!$M55))/(Calculations!$O55-Calculations!$C$13)-calculateOmega(Calculations!M55,Calculations!N55,Calculations!Q55,'Reaction Information'!$C$66,'Reaction Information'!$P$66*10^5,'Reaction Information'!$Q$66)*Calculations!$U55*10^-6 + (1/$S55 - 1)*calculate_domegadP(Calculations!M55,Calculations!N55,Calculations!Q55,'Reaction Information'!$C$66,'Reaction Information'!$P$66*10^5,'Reaction Information'!$Q$66,$D$20,$D$19=3))*41.84)</f>
        <v>#N/A</v>
      </c>
      <c r="CF55" s="31">
        <f>(BS55*Input!$AO$4+BT55*Input!$AR$4+BU55*Input!$AU$4+BV55*Input!$AX$4+IF(ISNA(BW55),0,BW55*Input!$BA$4)+IF(ISNA(BX55),0,BX55*Input!$BD$4)+IF(ISNA(BY55),0,BY55*Input!$BG$4)+IF(ISNA(BZ55),0,BZ55*Input!$BJ$4)+IF(ISNA(CA55),0,CA55*Input!$BM$4)+IF(ISNA(CB55),0,CB55*Input!$BP$4)+IF(ISNA(CC55),0,CC55*Input!$BS$4)+IF(ISNA(CD55),0,CD55*Input!$BV$4)+IF(ISNA(CE55),0,CE55*Input!$BY$4))-(BF55*Input!$B$4+BG55*Input!$E$4+BH55*Input!$H$4+BI55*Input!$K$4+IF(ISNA(BJ55),0,BJ55*Input!$N$4)+IF(ISNA(BK55),0,BK55*Input!$Q$4)+IF(ISNA(BL55),0,BL55*Input!$T$4)+IF(ISNA(BM55),0,BM55*Input!$W$4)+IF(ISNA(BN55),0,BN55*Input!$Z$4)+IF(ISNA(BO55),0,BO55*Input!$AC$4)+IF(ISNA(BP55),0,BP55*Input!$AF$4)+IF(ISNA(BQ55),0,BQ55*Input!$AI$4)+IF(ISNA(BR55),0,BR55*Input!$AL$4))</f>
        <v>-16.130102817121848</v>
      </c>
      <c r="CG55" s="1">
        <f t="shared" si="12"/>
        <v>500</v>
      </c>
      <c r="CH55" s="46">
        <f t="shared" si="13"/>
        <v>20000</v>
      </c>
      <c r="CI55" s="1"/>
    </row>
    <row r="56" spans="1:87" x14ac:dyDescent="0.2">
      <c r="A56" s="1"/>
      <c r="E56" s="1"/>
      <c r="F56" s="2">
        <v>51</v>
      </c>
      <c r="G56" s="1" t="str">
        <f>IF(ISBLANK(Input!CB56), "", Input!CB56*1000)</f>
        <v/>
      </c>
      <c r="H56" s="1" t="str">
        <f>IF(ISBLANK(Input!CC56), "", Input!CC56)</f>
        <v/>
      </c>
      <c r="I56" s="1">
        <f>IF(Input!$CF$5 + Input!$CF$6*(FLOOR((Calculations!$F56-1)/(FLOOR((Input!$CF$12-Input!$CF$10)/Input!$CF$11,1)+1),1)) &gt; Input!$CF$7, "", (Input!$CF$5 + Input!$CF$6*(FLOOR((Calculations!$F56-1)/(FLOOR((Input!$CF$12-Input!$CF$10)/Input!$CF$11,1)+1),1)))*1000)</f>
        <v>20000</v>
      </c>
      <c r="J56" s="1">
        <f>IF(Calculations!I56 = "", "", Input!$CF$10 + Input!$CF$11*(Calculations!$F56-1) - (FLOOR((Input!$CF$12-Input!$CF$10)/Input!$CF$11,1)+1)*Input!$CF$11*FLOOR((Calculations!$F56-1)/(FLOOR((Input!$CF$12-Input!$CF$10)/Input!$CF$11,1)+1),1))</f>
        <v>550</v>
      </c>
      <c r="K56" s="8" t="str">
        <f t="shared" si="14"/>
        <v/>
      </c>
      <c r="L56" s="117" t="str">
        <f>IF(OR(Input!$CJ$5 + Input!$CJ$6*(Calculations!F56-1) &gt; Input!$CJ$7, Input!$CJ$5 + Input!$CJ$6*(Calculations!F56-1) &gt; 350), "", Input!$CJ$5 + Input!$CJ$6*(Calculations!F56-1))</f>
        <v/>
      </c>
      <c r="M56" s="1">
        <f t="shared" si="2"/>
        <v>20000</v>
      </c>
      <c r="N56" s="1">
        <f t="shared" si="3"/>
        <v>550</v>
      </c>
      <c r="O56" s="1">
        <f t="shared" si="15"/>
        <v>823.15</v>
      </c>
      <c r="P56" s="1" t="e">
        <f>IF(OR($D$20=3,AND($D$21=TRUE,M56&lt;1000)),INDEX('Water Density'!$C$6:$CX$120,MATCH(Calculations!N56,'Water Density'!$B$6:$B$120),MATCH(Calculations!M56/1000,'Water Density'!$C$5:$CX$5)),NA())</f>
        <v>#N/A</v>
      </c>
      <c r="Q56" s="182">
        <f>IF(OR($D$20=3,AND($D$21=TRUE,M56&lt;1000)), IF(P56&lt;&gt;0,P56,NA()), calculateDensity(M56,N56,$D$20,0.01,$D$19 = 3))</f>
        <v>1.1474888483196497</v>
      </c>
      <c r="R56" s="1" t="e">
        <f>IF($D$22=5,INDEX('Dielectric Constant'!$C$6:$CX$120,MATCH(Calculations!N56,'Dielectric Constant'!$B$6:$B$120),MATCH(Calculations!M56/1000,'Dielectric Constant'!$C$5:$CX$5)),NA())</f>
        <v>#N/A</v>
      </c>
      <c r="S56" s="58">
        <f>IF($D$22=5, IF(R56&lt;&gt;0,R56,NA()), IF(AND($D$23,M56&lt;=5000,$D$19 &lt;&gt; 3),calculateEpsilon(Q56,N56,1,FALSE),calculateEpsilon(Q56,N56,$D$22,$D$19 = 3)))</f>
        <v>27.021890418131527</v>
      </c>
      <c r="T56" s="1" t="e">
        <f>IF($D$24=3,INDEX('Water Free Energy'!$C$6:$CX$120,MATCH(Calculations!N56,'Water Free Energy'!$B$6:$B$120),MATCH(Calculations!M56/1000,'Water Free Energy'!$C$5:$CX$5)),NA())</f>
        <v>#N/A</v>
      </c>
      <c r="U56" s="179">
        <f>IF($D$27,calculateQ(M56,N56,Q56,$D$20,$D$22,$D$19=3)*10^6,NA())</f>
        <v>0.40045458324621952</v>
      </c>
      <c r="V56"/>
      <c r="W56" s="2">
        <f t="shared" si="5"/>
        <v>20000</v>
      </c>
      <c r="X56" s="1">
        <f t="shared" si="6"/>
        <v>550</v>
      </c>
      <c r="Y56" s="1">
        <f>Results!F58</f>
        <v>0</v>
      </c>
      <c r="Z56" s="1">
        <f>Results!G58</f>
        <v>0</v>
      </c>
      <c r="AA56" s="1">
        <f>Results!H58</f>
        <v>0</v>
      </c>
      <c r="AB56" s="1">
        <f>Results!I58</f>
        <v>0</v>
      </c>
      <c r="AC56" s="1" t="e">
        <f>IF(ISBLANK(Input!$O$4),NA(),'Reaction Information'!$E$5-'Reaction Information'!$G$5*(Calculations!$O56-Calculations!$C$8)+'Reaction Information'!$I$5*(Calculations!$O56-Calculations!$C$8-Calculations!$O56*LN(Calculations!$O56/Calculations!$C$8))+'Reaction Information'!$J$5*0.001/2*(2*Calculations!$O56*Calculations!$C$8-Calculations!$O56^2-Calculations!$C$8^2) + 'Reaction Information'!$K$5*100000*(Calculations!$O56^2 + Calculations!$C$8^2 - 2*Calculations!$O56*Calculations!$C$8)/(2*Calculations!$O56*Calculations!$C$8^2))</f>
        <v>#N/A</v>
      </c>
      <c r="AD56" s="8" t="e">
        <f>IF(ISBLANK(Input!$R$4),NA(),'Reaction Information'!$E$9-'Reaction Information'!$G$9*(Calculations!$O56-Calculations!$C$8)+'Reaction Information'!$I$9*(Calculations!$O56-Calculations!$C$8-Calculations!$O56*LN(Calculations!$O56/Calculations!$C$8))+'Reaction Information'!$J$9*0.001/2*(2*Calculations!$O56*Calculations!$C$8-Calculations!$O56^2-Calculations!$C$8^2) + 'Reaction Information'!$K$9*100000*(Calculations!$O56^2 + Calculations!$C$8^2 - 2*Calculations!$O56*Calculations!$C$8)/(2*Calculations!$O56*Calculations!$C$8^2))</f>
        <v>#N/A</v>
      </c>
      <c r="AE56" s="8">
        <f>IF(AE$5="H2O",IF($D$24=3,IF(T56=0,NA(),T56),calculateGibbsOfWater(M56,N56,$D$24,$D$20,$D$19=3)),NA())</f>
        <v>-61701.39910146116</v>
      </c>
      <c r="AF56" s="8">
        <f>IF(ISBLANK(Input!$X$4),NA(),'Reaction Information'!$E$13-'Reaction Information'!$G$13*(Calculations!O56-Calculations!$C$8)-'Reaction Information'!$N$13*(Calculations!O56*LN(Calculations!O56/Calculations!$C$8)-Calculations!O56+Calculations!$C$8)-'Reaction Information'!$O$13*10^4*(((1/(Calculations!O56-Calculations!$C$13))-(1/(Calculations!$C$8-Calculations!$C$13)))*((Calculations!$C$13-Calculations!O56)/(Calculations!$C$13))-(Calculations!O56/(Calculations!$C$13*Calculations!$C$13))*LN((Calculations!$C$8*(Calculations!O56-Calculations!$C$13))/(Calculations!O56*(Calculations!$C$8-Calculations!$C$13))))+'Reaction Information'!$J$13*10^-1*(Calculations!M56-Calculations!$C$9)+'Reaction Information'!$K$13*10^2*LN((Calculations!$C$12+Calculations!M56)/(Calculations!$C$12+Calculations!$C$9))+(1/(Calculations!O56-Calculations!$C$13))*('Reaction Information'!$L$13*(Calculations!M56-Calculations!$C$9)+'Reaction Information'!$M$13*10^4*LN((Calculations!$C$12+Calculations!M56)/(Calculations!$C$12+Calculations!$C$9)))+calculateOmega(Calculations!M56,Calculations!N56,Calculations!Q56,'Reaction Information'!$C$13,'Reaction Information'!$P$13*10^5,'Reaction Information'!$Q$13)*((1/Calculations!S56)-1)-'Reaction Information'!$P$13*10^5*((1/Calculations!$C$10)-1)+'Reaction Information'!$P$13*10^5*Calculations!$C$14*(Calculations!O56-Calculations!$C$8))</f>
        <v>-98842.935908249885</v>
      </c>
      <c r="AG56" s="8" t="e">
        <f>IF(ISBLANK(Input!$AA$4),NA(),'Reaction Information'!$E$17-'Reaction Information'!$G$17*(Calculations!$O56-Calculations!$C$8)-'Reaction Information'!$N$17*(Calculations!$O56*LN(Calculations!$O56/Calculations!$C$8)-Calculations!$O56+Calculations!$C$8)-'Reaction Information'!$O$17*10^4*(((1/(Calculations!$O56-Calculations!$C$13))-(1/(Calculations!$C$8-Calculations!$C$13)))*((Calculations!$C$13-Calculations!$O56)/(Calculations!$C$13))-(Calculations!$O56/(Calculations!$C$13*Calculations!$C$13))*LN((Calculations!$C$8*(Calculations!$O56-Calculations!$C$13))/(Calculations!$O56*(Calculations!$C$8-Calculations!$C$13))))+'Reaction Information'!$J$17*10^-1*(Calculations!$M56-Calculations!$C$9)+'Reaction Information'!$K$17*10^2*LN((Calculations!$C$12+Calculations!$M56)/(Calculations!$C$12+Calculations!$C$9))+(1/(Calculations!$O56-Calculations!$C$13))*('Reaction Information'!$L$17*(Calculations!$M56-Calculations!$C$9)+'Reaction Information'!$M$17*10^4*LN((Calculations!$C$12+Calculations!$M56)/(Calculations!$C$12+Calculations!$C$9)))+calculateOmega(Calculations!M56,Calculations!N56,Calculations!Q56,'Reaction Information'!$C$17,'Reaction Information'!$P$17*10^5,'Reaction Information'!$Q$17)*((1/Calculations!$S56)-1)-'Reaction Information'!$P$17*10^5*((1/Calculations!$C$10)-1)+'Reaction Information'!$P$17*10^5*Calculations!$C$14*(Calculations!$O56-Calculations!$C$8))</f>
        <v>#N/A</v>
      </c>
      <c r="AH56" s="8" t="e">
        <f>IF(ISBLANK(Input!$AD$4),NA(),'Reaction Information'!$E$21-'Reaction Information'!$G$21*(Calculations!$O56-Calculations!$C$8)-'Reaction Information'!$N$21*(Calculations!$O56*LN(Calculations!$O56/Calculations!$C$8)-Calculations!$O56+Calculations!$C$8)-'Reaction Information'!$O$21*10^4*(((1/(Calculations!$O56-Calculations!$C$13))-(1/(Calculations!$C$8-Calculations!$C$13)))*((Calculations!$C$13-Calculations!$O56)/(Calculations!$C$13))-(Calculations!$O56/(Calculations!$C$13*Calculations!$C$13))*LN((Calculations!$C$8*(Calculations!$O56-Calculations!$C$13))/(Calculations!$O56*(Calculations!$C$8-Calculations!$C$13))))+'Reaction Information'!$J$21*10^-1*(Calculations!$M56-Calculations!$C$9)+'Reaction Information'!$K$21*10^2*LN((Calculations!$C$12+Calculations!$M56)/(Calculations!$C$12+Calculations!$C$9))+(1/(Calculations!$O56-Calculations!$C$13))*('Reaction Information'!$L$21*(Calculations!$M56-Calculations!$C$9)+'Reaction Information'!$M$21*10^4*LN((Calculations!$C$12+Calculations!$M56)/(Calculations!$C$12+Calculations!$C$9)))+calculateOmega(Calculations!M56,Calculations!N56,Calculations!Q56,'Reaction Information'!$C$21,'Reaction Information'!$P$21*10^5,'Reaction Information'!$Q$21)*((1/Calculations!$S56)-1)-'Reaction Information'!$P$21*10^5*((1/Calculations!$C$10)-1)+'Reaction Information'!$P$21*10^5*Calculations!$C$14*(Calculations!$O56-Calculations!$C$8))</f>
        <v>#N/A</v>
      </c>
      <c r="AI56" s="8" t="e">
        <f>IF(ISBLANK(Input!$AG$4),NA(),'Reaction Information'!$E$25-'Reaction Information'!$G$25*(Calculations!$O56-Calculations!$C$8)-'Reaction Information'!$N$25*(Calculations!$O56*LN(Calculations!$O56/Calculations!$C$8)-Calculations!$O56+Calculations!$C$8)-'Reaction Information'!$O$25*10^4*(((1/(Calculations!$O56-Calculations!$C$13))-(1/(Calculations!$C$8-Calculations!$C$13)))*((Calculations!$C$13-Calculations!$O56)/(Calculations!$C$13))-(Calculations!$O56/(Calculations!$C$13*Calculations!$C$13))*LN((Calculations!$C$8*(Calculations!$O56-Calculations!$C$13))/(Calculations!$O56*(Calculations!$C$8-Calculations!$C$13))))+'Reaction Information'!$J$25*10^-1*(Calculations!$M56-Calculations!$C$9)+'Reaction Information'!$K$25*10^2*LN((Calculations!$C$12+Calculations!$M56)/(Calculations!$C$12+Calculations!$C$9))+(1/(Calculations!$O56-Calculations!$C$13))*('Reaction Information'!$L$25*(Calculations!$M56-Calculations!$C$9)+'Reaction Information'!$M$25*10^4*LN((Calculations!$C$12+Calculations!$M56)/(Calculations!$C$12+Calculations!$C$9)))+calculateOmega(Calculations!M56,Calculations!N56,Calculations!Q56,'Reaction Information'!$C$25,'Reaction Information'!$P$25*10^5,'Reaction Information'!$Q$25)*((1/Calculations!$S56)-1)-'Reaction Information'!$P$25*10^5*((1/Calculations!$C$10)-1)+'Reaction Information'!$P$25*10^5*Calculations!$C$14*(Calculations!$O56-Calculations!$C$8))</f>
        <v>#N/A</v>
      </c>
      <c r="AJ56" s="8" t="e">
        <f>IF(ISBLANK(Input!$AJ$4),NA(),'Reaction Information'!$E$29-'Reaction Information'!$G$29*(Calculations!$O56-Calculations!$C$8)-'Reaction Information'!$N$29*(Calculations!$O56*LN(Calculations!$O56/Calculations!$C$8)-Calculations!$O56+Calculations!$C$8)-'Reaction Information'!$O$29*10^4*(((1/(Calculations!$O56-Calculations!$C$13))-(1/(Calculations!$C$8-Calculations!$C$13)))*((Calculations!$C$13-Calculations!$O56)/(Calculations!$C$13))-(Calculations!$O56/(Calculations!$C$13*Calculations!$C$13))*LN((Calculations!$C$8*(Calculations!$O56-Calculations!$C$13))/(Calculations!$O56*(Calculations!$C$8-Calculations!$C$13))))+'Reaction Information'!$J$29*10^-1*(Calculations!$M56-Calculations!$C$9)+'Reaction Information'!$K$29*10^2*LN((Calculations!$C$12+Calculations!$M56)/(Calculations!$C$12+Calculations!$C$9))+(1/(Calculations!$O56-Calculations!$C$13))*('Reaction Information'!$L$29*(Calculations!$M56-Calculations!$C$9)+'Reaction Information'!$M$29*10^4*LN((Calculations!$C$12+Calculations!$M56)/(Calculations!$C$12+Calculations!$C$9)))+calculateOmega(Calculations!M56,Calculations!N56,Calculations!Q56,'Reaction Information'!$C$29,'Reaction Information'!$P$29*10^5,'Reaction Information'!$Q$29)*((1/Calculations!$S56)-1)-'Reaction Information'!$P$29*10^5*((1/Calculations!$C$10)-1)+'Reaction Information'!$P$29*10^5*Calculations!$C$14*(Calculations!$O56-Calculations!$C$8))</f>
        <v>#N/A</v>
      </c>
      <c r="AK56" s="8" t="e">
        <f>IF(ISBLANK(Input!$AM$4),NA(),'Reaction Information'!$E$33-'Reaction Information'!$G$33*(Calculations!$O56-Calculations!$C$8)-'Reaction Information'!$N$33*(Calculations!$O56*LN(Calculations!$O56/Calculations!$C$8)-Calculations!$O56+Calculations!$C$8)-'Reaction Information'!$O$33*10^4*(((1/(Calculations!$O56-Calculations!$C$13))-(1/(Calculations!$C$8-Calculations!$C$13)))*((Calculations!$C$13-Calculations!$O56)/(Calculations!$C$13))-(Calculations!$O56/(Calculations!$C$13*Calculations!$C$13))*LN((Calculations!$C$8*(Calculations!$O56-Calculations!$C$13))/(Calculations!$O56*(Calculations!$C$8-Calculations!$C$13))))+'Reaction Information'!$J$33*10^-1*(Calculations!$M56-Calculations!$C$9)+'Reaction Information'!$K$33*10^2*LN((Calculations!$C$12+Calculations!$M56)/(Calculations!$C$12+Calculations!$C$9))+(1/(Calculations!$O56-Calculations!$C$13))*('Reaction Information'!$L$33*(Calculations!$M56-Calculations!$C$9)+'Reaction Information'!$M$33*10^4*LN((Calculations!$C$12+Calculations!$M56)/(Calculations!$C$12+Calculations!$C$9)))+calculateOmega(Calculations!M56,Calculations!N56,Calculations!Q56,'Reaction Information'!$C$33,'Reaction Information'!$P$33*10^5,'Reaction Information'!$Q$33)*((1/Calculations!$S56)-1)-'Reaction Information'!$P$33*10^5*((1/Calculations!$C$10)-1)+'Reaction Information'!$P$33*10^5*Calculations!$C$14*(Calculations!$O56-Calculations!$C$8))</f>
        <v>#N/A</v>
      </c>
      <c r="AL56" s="1">
        <f>Results!S58</f>
        <v>0</v>
      </c>
      <c r="AM56" s="1">
        <f>Results!T58</f>
        <v>0</v>
      </c>
      <c r="AN56" s="1">
        <f>Results!U58</f>
        <v>0</v>
      </c>
      <c r="AO56" s="1">
        <f>Results!V58</f>
        <v>0</v>
      </c>
      <c r="AP56" s="8" t="e">
        <f>IF(ISBLANK(Input!$BB$4),NA(),'Reaction Information'!$E$38-'Reaction Information'!$G$38*(Calculations!$O56-Calculations!$C$8)+'Reaction Information'!$I$38*(Calculations!$O56-Calculations!$C$8-Calculations!$O56*LN(Calculations!$O56/Calculations!$C$8))+'Reaction Information'!$J$38*0.001/2*(2*Calculations!$O56*Calculations!$C$8-Calculations!$O56^2-Calculations!$C$8^2) + 'Reaction Information'!$K$38*100000*(Calculations!$O56^2 + Calculations!$C$8^2 - 2*Calculations!$O56*Calculations!$C$8)/(2*Calculations!$O56*Calculations!$C$8^2))</f>
        <v>#N/A</v>
      </c>
      <c r="AQ56" s="8" t="e">
        <f>IF(ISBLANK(Input!$BE$4),NA(),'Reaction Information'!$E$42-'Reaction Information'!$G$42*(Calculations!$O56-Calculations!$C$8)+'Reaction Information'!$I$42*(Calculations!$O56-Calculations!$C$8-Calculations!$O56*LN(Calculations!$O56/Calculations!$C$8))+'Reaction Information'!$J$42*0.001/2*(2*Calculations!$O56*Calculations!$C$8-Calculations!$O56^2-Calculations!$C$8^2) + 'Reaction Information'!$K$42*100000*(Calculations!$O56^2 + Calculations!$C$8^2 - 2*Calculations!$O56*Calculations!$C$8)/(2*Calculations!$O56*Calculations!$C$8^2))</f>
        <v>#N/A</v>
      </c>
      <c r="AR56" s="8" t="e">
        <f>IF(AR$5="H2O", IF($D$24=3,IF(T56=0,NA(),T56),calculateGibbsOfWater(M56,N56,$D$24,$D$20,$D$19=3)),NA())</f>
        <v>#N/A</v>
      </c>
      <c r="AS56" s="8">
        <f>IF(ISBLANK(Input!$BK$4),NA(),'Reaction Information'!$E$46-'Reaction Information'!$G$46*(Calculations!O56-Calculations!$C$8)-'Reaction Information'!$N$46*(Calculations!O56*LN(Calculations!O56/Calculations!$C$8)-Calculations!O56+Calculations!$C$8)-'Reaction Information'!$O$46*10^4*(((1/(Calculations!O56-Calculations!$C$13))-(1/(Calculations!$C$8-Calculations!$C$13)))*((Calculations!$C$13-Calculations!O56)/(Calculations!$C$13))-(Calculations!O56/(Calculations!$C$13*Calculations!$C$13))*LN((Calculations!$C$8*(Calculations!O56-Calculations!$C$13))/(Calculations!O56*(Calculations!$C$8-Calculations!$C$13))))+'Reaction Information'!$J$46*10^-1*(Calculations!$M56-Calculations!$C$9)+'Reaction Information'!$K$46*10^2*LN((Calculations!$C$12+Calculations!$M56)/(Calculations!$C$12+Calculations!$C$9))+(1/(Calculations!O56-Calculations!$C$13))*('Reaction Information'!$L$46*(Calculations!$M56-Calculations!$C$9)+'Reaction Information'!$M$46*10^4*LN((Calculations!$C$12+Calculations!$M56)/(Calculations!$C$12+Calculations!$C$9)))+calculateOmega(Calculations!M56,Calculations!N56,Calculations!Q56,'Reaction Information'!$C$46,'Reaction Information'!$P$46*10^5,'Reaction Information'!$Q$46)*((1/Calculations!S56)-1)-'Reaction Information'!$P$46*10^5*((1/Calculations!$C$10)-1)+'Reaction Information'!$P$46*10^5*Calculations!$C$14*(Calculations!O56-Calculations!$C$8))</f>
        <v>0</v>
      </c>
      <c r="AT56" s="8">
        <f>IF(ISBLANK(Input!$BN$4),NA(),'Reaction Information'!$E$50-'Reaction Information'!$G$50*(Calculations!O56-Calculations!$C$8)-'Reaction Information'!$N$50*(Calculations!O56*LN(Calculations!O56/Calculations!$C$8)-Calculations!O56+Calculations!$C$8)-'Reaction Information'!$O$50*10^4*(((1/(Calculations!O56-Calculations!$C$13))-(1/(Calculations!$C$8-Calculations!$C$13)))*((Calculations!$C$13-Calculations!O56)/(Calculations!$C$13))-(Calculations!O56/(Calculations!$C$13*Calculations!$C$13))*LN((Calculations!$C$8*(Calculations!O56-Calculations!$C$13))/(Calculations!O56*(Calculations!$C$8-Calculations!$C$13))))+'Reaction Information'!$J$50*10^-1*(Calculations!$M56-Calculations!$C$9)+'Reaction Information'!$K$50*10^2*LN((Calculations!$C$12+Calculations!$M56)/(Calculations!$C$12+Calculations!$C$9))+(1/(Calculations!O56-Calculations!$C$13))*('Reaction Information'!$L$50*(Calculations!$M56-Calculations!$C$9)+'Reaction Information'!$M$50*10^4*LN((Calculations!$C$12+Calculations!$M56)/(Calculations!$C$12+Calculations!$C$9)))+calculateOmega(Calculations!M56,Calculations!N56,Calculations!Q56,'Reaction Information'!$C$50,'Reaction Information'!$P$50*10^5,'Reaction Information'!$Q$50)*((1/Calculations!S56)-1)-'Reaction Information'!$P$50*10^5*((1/Calculations!$C$10)-1)+'Reaction Information'!$P$50*10^5*Calculations!$C$14*(Calculations!O56-Calculations!$C$8))</f>
        <v>-140854.79534864318</v>
      </c>
      <c r="AU56" s="8" t="e">
        <f>IF(ISBLANK(Input!$BQ$4),NA(),'Reaction Information'!$E$54-'Reaction Information'!$G$54*(Calculations!$O56-Calculations!$C$8)-'Reaction Information'!$N$54*(Calculations!$O56*LN(Calculations!$O56/Calculations!$C$8)-Calculations!$O56+Calculations!$C$8)-'Reaction Information'!$O$54*10^4*(((1/(Calculations!$O56-Calculations!$C$13))-(1/(Calculations!$C$8-Calculations!$C$13)))*((Calculations!$C$13-Calculations!$O56)/(Calculations!$C$13))-(Calculations!$O56/(Calculations!$C$13*Calculations!$C$13))*LN((Calculations!$C$8*(Calculations!$O56-Calculations!$C$13))/(Calculations!$O56*(Calculations!$C$8-Calculations!$C$13))))+'Reaction Information'!$J$54*10^-1*(Calculations!$M56-Calculations!$C$9)+'Reaction Information'!$K$54*10^2*LN((Calculations!$C$12+Calculations!$M56)/(Calculations!$C$12+Calculations!$C$9))+(1/(Calculations!$O56-Calculations!$C$13))*('Reaction Information'!$L$54*(Calculations!$M56-Calculations!$C$9)+'Reaction Information'!$M$54*10^4*LN((Calculations!$C$12+Calculations!$M56)/(Calculations!$C$12+Calculations!$C$9)))+calculateOmega(Calculations!M56,Calculations!N56,Calculations!Q56,'Reaction Information'!$C$54,'Reaction Information'!$P$54*10^5,'Reaction Information'!$Q$54)*((1/Calculations!$S56)-1)-'Reaction Information'!$P$54*10^5*((1/Calculations!$C$10)-1)+'Reaction Information'!$P$54*10^5*Calculations!$C$14*(Calculations!$O56-Calculations!$C$8))</f>
        <v>#N/A</v>
      </c>
      <c r="AV56" s="8" t="e">
        <f>IF(ISBLANK(Input!$BT$4),NA(),'Reaction Information'!$E$58-'Reaction Information'!$G$58*(Calculations!$O56-Calculations!$C$8)-'Reaction Information'!$N$58*(Calculations!$O56*LN(Calculations!$O56/Calculations!$C$8)-Calculations!$O56+Calculations!$C$8)-'Reaction Information'!$O$58*10^4*(((1/(Calculations!$O56-Calculations!$C$13))-(1/(Calculations!$C$8-Calculations!$C$13)))*((Calculations!$C$13-Calculations!$O56)/(Calculations!$C$13))-(Calculations!$O56/(Calculations!$C$13*Calculations!$C$13))*LN((Calculations!$C$8*(Calculations!$O56-Calculations!$C$13))/(Calculations!$O56*(Calculations!$C$8-Calculations!$C$13))))+'Reaction Information'!$J$58*10^-1*(Calculations!$M56-Calculations!$C$9)+'Reaction Information'!$K$58*10^2*LN((Calculations!$C$12+Calculations!$M56)/(Calculations!$C$12+Calculations!$C$9))+(1/(Calculations!$O56-Calculations!$C$13))*('Reaction Information'!$L$58*(Calculations!$M56-Calculations!$C$9)+'Reaction Information'!$M$58*10^4*LN((Calculations!$C$12+Calculations!$M56)/(Calculations!$C$12+Calculations!$C$9)))+calculateOmega(Calculations!M56,Calculations!N56,Calculations!Q56,'Reaction Information'!$C$58,'Reaction Information'!$P$58*10^5,'Reaction Information'!$Q$58)*((1/Calculations!$S56)-1)-'Reaction Information'!$P$58*10^5*((1/Calculations!$C$10)-1)+'Reaction Information'!$P$58*10^5*Calculations!$C$14*(Calculations!$O56-Calculations!$C$8))</f>
        <v>#N/A</v>
      </c>
      <c r="AW56" s="8" t="e">
        <f>IF(ISBLANK(Input!$BW$4),NA(),'Reaction Information'!$E$62-'Reaction Information'!$G$62*(Calculations!$O56-Calculations!$C$8)-'Reaction Information'!$N$62*(Calculations!$O56*LN(Calculations!$O56/Calculations!$C$8)-Calculations!$O56+Calculations!$C$8)-'Reaction Information'!$O$62*10^4*(((1/(Calculations!$O56-Calculations!$C$13))-(1/(Calculations!$C$8-Calculations!$C$13)))*((Calculations!$C$13-Calculations!$O56)/(Calculations!$C$13))-(Calculations!$O56/(Calculations!$C$13*Calculations!$C$13))*LN((Calculations!$C$8*(Calculations!$O56-Calculations!$C$13))/(Calculations!$O56*(Calculations!$C$8-Calculations!$C$13))))+'Reaction Information'!$J$62*10^-1*(Calculations!$M56-Calculations!$C$9)+'Reaction Information'!$K$62*10^2*LN((Calculations!$C$12+Calculations!$M56)/(Calculations!$C$12+Calculations!$C$9))+(1/(Calculations!$O56-Calculations!$C$13))*('Reaction Information'!$L$62*(Calculations!$M56-Calculations!$C$9)+'Reaction Information'!$M$62*10^4*LN((Calculations!$C$12+Calculations!$M56)/(Calculations!$C$12+Calculations!$C$9)))+calculateOmega(Calculations!M56,Calculations!N56,Calculations!Q56,'Reaction Information'!$C$62,'Reaction Information'!$P$62*10^5,'Reaction Information'!$Q$62)*((1/Calculations!$S56)-1)-'Reaction Information'!$P$62*10^5*((1/Calculations!$C$10)-1)+'Reaction Information'!$P$62*10^5*Calculations!$C$14*(Calculations!$O56-Calculations!$C$8))</f>
        <v>#N/A</v>
      </c>
      <c r="AX56" s="8" t="e">
        <f>IF(ISBLANK(Input!$BZ$4),NA(),'Reaction Information'!$E$66-'Reaction Information'!$G$66*(Calculations!$O56-Calculations!$C$8)-'Reaction Information'!$N$66*(Calculations!$O56*LN(Calculations!$O56/Calculations!$C$8)-Calculations!$O56+Calculations!$C$8)-'Reaction Information'!$O$66*10^4*(((1/(Calculations!$O56-Calculations!$C$13))-(1/(Calculations!$C$8-Calculations!$C$13)))*((Calculations!$C$13-Calculations!$O56)/(Calculations!$C$13))-(Calculations!$O56/(Calculations!$C$13*Calculations!$C$13))*LN((Calculations!$C$8*(Calculations!$O56-Calculations!$C$13))/(Calculations!$O56*(Calculations!$C$8-Calculations!$C$13))))+'Reaction Information'!$J$66*10^-1*(Calculations!$M56-Calculations!$C$9)+'Reaction Information'!$K$66*10^2*LN((Calculations!$C$12+Calculations!$M56)/(Calculations!$C$12+Calculations!$C$9))+(1/(Calculations!$O56-Calculations!$C$13))*('Reaction Information'!$L$66*(Calculations!$M56-Calculations!$C$9)+'Reaction Information'!$M$66*10^4*LN((Calculations!$C$12+Calculations!$M56)/(Calculations!$C$12+Calculations!$C$9)))+calculateOmega(Calculations!M56,Calculations!N56,Calculations!Q56,'Reaction Information'!$C$66,'Reaction Information'!$P$66*10^5,'Reaction Information'!$Q$66)*((1/Calculations!$S56)-1)-'Reaction Information'!$P$66*10^5*((1/Calculations!$C$10)-1)+'Reaction Information'!$P$66*10^5*Calculations!$C$14*(Calculations!$O56-Calculations!$C$8))</f>
        <v>#N/A</v>
      </c>
      <c r="AY56" s="31">
        <f>(AL56*Input!$AO$4+AM56*Input!$AR$4+AN56*Input!$AU$4+AO56*Input!$AX$4+IF(ISNA(AP56),0,AP56*Input!$BA$4)+IF(ISNA(AQ56),0,AQ56*Input!$BD$4)+IF(ISNA(AR56),0,AR56*Input!$BG$4)+IF(ISNA(AS56),0,AS56*Input!$BJ$4)+IF(ISNA(AT56),0,AT56*Input!$BM$4)+IF(ISNA(AU56),0,AU56*Input!$BP$4)+IF(ISNA(AV56),0,AV56*Input!$BS$4)+IF(ISNA(AW56),0,AW56*Input!$BV$4)+IF(ISNA(AX56),0,AX56*Input!$BY$4))-(Y56*Input!$B$4+Z56*Input!$E$4+AA56*Input!$H$4+AB56*Input!$K$4+IF(ISNA(AC56),0,AC56*Input!$N$4)+IF(ISNA(AD56),0,AD56*Input!$Q$4)+IF(ISNA(AE56),0,AE56*Input!$T$4)+IF(ISNA(AF56),0,AF56*Input!$W$4)+IF(ISNA(AG56),0,AG56*Input!$Z$4)+IF(ISNA(AH56),0,AH56*Input!$AC$4)+IF(ISNA(AI56),0,AI56*Input!$AF$4)+IF(ISNA(AJ56),0,AJ56*Input!$AI$4)+IF(ISNA(AK56),0,AK56*Input!$AL$4))</f>
        <v>19689.539661067858</v>
      </c>
      <c r="AZ56" s="42">
        <f t="shared" si="16"/>
        <v>-5.2310449697500383</v>
      </c>
      <c r="BA56" s="1">
        <f t="shared" si="8"/>
        <v>550</v>
      </c>
      <c r="BB56" s="46">
        <f t="shared" si="9"/>
        <v>20000</v>
      </c>
      <c r="BC56" s="1"/>
      <c r="BD56" s="2">
        <f t="shared" si="10"/>
        <v>20000</v>
      </c>
      <c r="BE56" s="46">
        <f t="shared" si="11"/>
        <v>550</v>
      </c>
      <c r="BF56" s="1">
        <f>Results!AJ58</f>
        <v>0</v>
      </c>
      <c r="BG56" s="1">
        <f>Results!AK58</f>
        <v>0</v>
      </c>
      <c r="BH56" s="1">
        <f>Results!AL58</f>
        <v>0</v>
      </c>
      <c r="BI56" s="1">
        <f>Results!AM58</f>
        <v>0</v>
      </c>
      <c r="BJ56" s="1" t="e">
        <f>IF(OR(ISNA('Reaction Information'!$D$5), $N56 = "", $D$27 = FALSE, 'Reaction Information'!$D$5 = ""), NA(), 24.465)</f>
        <v>#N/A</v>
      </c>
      <c r="BK56" s="1" t="e">
        <f>IF(OR(ISNA('Reaction Information'!$D$9), $N56 = "", $D$27 = FALSE, 'Reaction Information'!$D$9 = ""), NA(), 24.465)</f>
        <v>#N/A</v>
      </c>
      <c r="BL56" s="8">
        <f t="shared" si="17"/>
        <v>15.69974298781297</v>
      </c>
      <c r="BM56" s="8">
        <f>IF(OR(ISBLANK(Input!$X$4),$D$27=FALSE),NA(),('Reaction Information'!$J$13/10+'Reaction Information'!$K$13*100/(Calculations!$C$12+Calculations!$M56)+('Reaction Information'!$L$13+'Reaction Information'!$M$13*10^4/(Calculations!$C$12+Calculations!$M56))/(Calculations!$O56-Calculations!$C$13) -calculateOmega(Calculations!$M56,Calculations!$N56,Calculations!$Q56,'Reaction Information'!$C$13,'Reaction Information'!$P$13*10^5,'Reaction Information'!$Q$13)*Calculations!$U56*10^-6 + (1/$S56 - 1)*calculate_domegadP(Calculations!$M56,Calculations!$N56,Calculations!$Q56,'Reaction Information'!$C$13,'Reaction Information'!$P$13*10^5,'Reaction Information'!$Q$13,$D$20,$D$19=3))*41.84)</f>
        <v>31.020226841261625</v>
      </c>
      <c r="BN56" s="8" t="e">
        <f>IF(OR(ISBLANK(Input!$AA$4),$D$27=FALSE),NA(),('Reaction Information'!$J$17/10+'Reaction Information'!$K$17*100/(Calculations!$C$12+Calculations!$M56)+('Reaction Information'!$L$17+'Reaction Information'!$M$17*10000/(Calculations!$C$12+Calculations!$M56))/(Calculations!$O56-Calculations!$C$13)-calculateOmega(Calculations!M56,Calculations!N56,Calculations!Q56,'Reaction Information'!$C$17,'Reaction Information'!$P$17*10^5,'Reaction Information'!$Q$17)*Calculations!$U56*10^-6 + (1/$S56 - 1)*calculate_domegadP(Calculations!M56,Calculations!N56,Calculations!Q56,'Reaction Information'!$C$17,'Reaction Information'!$P$17*10^5,'Reaction Information'!$Q$17,$D$20,$D$19=3))*41.84)</f>
        <v>#N/A</v>
      </c>
      <c r="BO56" s="8" t="e">
        <f>IF(OR(ISBLANK(Input!$AD$4),$D$27=FALSE),NA(),('Reaction Information'!$J$21/10+'Reaction Information'!$K$21*100/(Calculations!$C$12+Calculations!$M56)+('Reaction Information'!$L$21+'Reaction Information'!$M$21*10000/(Calculations!$C$12+Calculations!$M56))/(Calculations!$O56-Calculations!$C$13)-calculateOmega(Calculations!M56,Calculations!N56,Calculations!Q56,'Reaction Information'!$C$21,'Reaction Information'!$P$21*10^5,'Reaction Information'!$Q$21)*Calculations!$U56*10^-6 + (1/$S56 - 1)*calculate_domegadP(Calculations!M56,Calculations!N56,Calculations!Q56,'Reaction Information'!$C$21,'Reaction Information'!$P$21*10^5,'Reaction Information'!$Q$21,$D$20,$D$19=3))*41.84)</f>
        <v>#N/A</v>
      </c>
      <c r="BP56" s="8" t="e">
        <f>IF(OR(ISBLANK(Input!$AG$4),$D$27=FALSE),NA(),('Reaction Information'!$J$25/10+'Reaction Information'!$K$25*100/(Calculations!$C$12+Calculations!$M56)+('Reaction Information'!$L$25+'Reaction Information'!$M$25*10000/(Calculations!$C$12+Calculations!$M56))/(Calculations!$O56-Calculations!$C$13)-calculateOmega(Calculations!M56,Calculations!N56,Calculations!Q56,'Reaction Information'!$C$25,'Reaction Information'!$P$25*10^5,'Reaction Information'!$Q$25)*Calculations!$U56*10^-6 + (1/$S56 - 1)*calculate_domegadP(Calculations!M56,Calculations!N56,Calculations!Q56,'Reaction Information'!$C$25,'Reaction Information'!$P$25*10^5,'Reaction Information'!$Q$25,$D$20,$D$19=3))*41.84)</f>
        <v>#N/A</v>
      </c>
      <c r="BQ56" s="8" t="e">
        <f>IF(OR(ISBLANK(Input!$AJ$4),$D$27=FALSE),NA(),('Reaction Information'!$J$29/10+'Reaction Information'!$K$29*100/(Calculations!$C$12+Calculations!$M56)+('Reaction Information'!$L$29+'Reaction Information'!$M$29*10000/(Calculations!$C$12+Calculations!$M56))/(Calculations!$O56-Calculations!$C$13)-calculateOmega(Calculations!M56,Calculations!N56,Calculations!Q56,'Reaction Information'!$C$29,'Reaction Information'!$P$29*10^5,'Reaction Information'!$Q$29)*Calculations!$U56*10^-6 + (1/$S56 - 1)*calculate_domegadP(Calculations!M56,Calculations!N56,Calculations!Q56,'Reaction Information'!$C$29,'Reaction Information'!$P$29*10^5,'Reaction Information'!$Q$29,$D$20,$D$19=3))*41.84)</f>
        <v>#N/A</v>
      </c>
      <c r="BR56" s="8" t="e">
        <f>IF(OR(ISBLANK(Input!$AM$4),$D$27=FALSE),NA(),('Reaction Information'!$J$33/10+'Reaction Information'!$K$33*100/(Calculations!$C$12+Calculations!$M56)+('Reaction Information'!$L$33+'Reaction Information'!$M$33*10000/(Calculations!$C$12+Calculations!$M56))/(Calculations!$O56-Calculations!$C$13)-calculateOmega(Calculations!M56,Calculations!N56,Calculations!Q56,'Reaction Information'!$C$33,'Reaction Information'!$P$33*10^5,'Reaction Information'!$Q$33)*Calculations!$U56*10^-6 + (1/$S56 - 1)*calculate_domegadP(Calculations!M56,Calculations!N56,Calculations!Q56,'Reaction Information'!$C$33,'Reaction Information'!$P$33*10^5,'Reaction Information'!$Q$33,$D$20,$D$19=3))*41.84)</f>
        <v>#N/A</v>
      </c>
      <c r="BS56" s="1">
        <f>Results!AW58</f>
        <v>0</v>
      </c>
      <c r="BT56" s="1">
        <f>Results!AX58</f>
        <v>0</v>
      </c>
      <c r="BU56" s="1">
        <f>Results!AY58</f>
        <v>0</v>
      </c>
      <c r="BV56" s="1">
        <f>Results!AZ58</f>
        <v>0</v>
      </c>
      <c r="BW56" s="1" t="e">
        <f>IF(OR(ISNA('Reaction Information'!$D$38), $N56 = "", $D$27 = FALSE, 'Reaction Information'!$D$38 = ""), NA(), 24.465)</f>
        <v>#N/A</v>
      </c>
      <c r="BX56" s="1" t="e">
        <f>IF(OR(ISNA('Reaction Information'!$D$42), $N56 = "", $D$27 = FALSE, 'Reaction Information'!$D$42 = ""), NA(), 24.465)</f>
        <v>#N/A</v>
      </c>
      <c r="BY56" s="8" t="e">
        <f t="shared" si="18"/>
        <v>#N/A</v>
      </c>
      <c r="BZ56" s="8">
        <f>IF(OR(ISBLANK(Input!$BK$4),$D$27=FALSE),NA(),('Reaction Information'!$J$46/10+'Reaction Information'!$K$46*100/(Calculations!$C$12+Calculations!$M56)+('Reaction Information'!$L$46+'Reaction Information'!$M$46*10000/(Calculations!$C$12+Calculations!$M56))/(Calculations!$O56-Calculations!$C$13)-calculateOmega(Calculations!M56,Calculations!N56,Calculations!Q56,'Reaction Information'!$C$46,'Reaction Information'!$P$46*10^5,'Reaction Information'!$Q$46)*Calculations!$U56*10^-6 + (1/$S56 - 1)*calculate_domegadP(Calculations!M56,Calculations!N56,Calculations!Q56,'Reaction Information'!$C$46,'Reaction Information'!$P$46*10^5,'Reaction Information'!$Q$46,$D$20,$D$19=3))*41.84)</f>
        <v>0</v>
      </c>
      <c r="CA56" s="8">
        <f>IF(OR(ISBLANK(Input!$BN$4),$D$27=FALSE),NA(),('Reaction Information'!$J$50/10+'Reaction Information'!$K$50*100/(Calculations!$C$12+Calculations!$M56)+('Reaction Information'!$L$50+'Reaction Information'!$M$50*10000/(Calculations!$C$12+Calculations!$M56))/(Calculations!$O56-Calculations!$C$13)-calculateOmega(Calculations!M56,Calculations!N56,Calculations!Q56,'Reaction Information'!$C$50,'Reaction Information'!$P$50*10^5,'Reaction Information'!$Q$50)*Calculations!$U56*10^-6 + (1/$S56 - 1)*calculate_domegadP(Calculations!M56,Calculations!N56,Calculations!Q56,'Reaction Information'!$C$50,'Reaction Information'!$P$50*10^5,'Reaction Information'!$Q$50,$D$20,$D$19=3))*41.84)</f>
        <v>29.998964948977406</v>
      </c>
      <c r="CB56" s="8" t="e">
        <f>IF(OR(ISBLANK(Input!$BQ$4),$D$27=FALSE),NA(),('Reaction Information'!$J$54/10+'Reaction Information'!$K$54*100/(Calculations!$C$12+Calculations!$M56)+('Reaction Information'!$L$54+'Reaction Information'!$M$54*10000/(Calculations!$C$12+Calculations!$M56))/(Calculations!$O56-Calculations!$C$13)-calculateOmega(Calculations!M56,Calculations!N56,Calculations!Q56,'Reaction Information'!$C$54,'Reaction Information'!$P$54*10^5,'Reaction Information'!$Q$54)*Calculations!$U56*10^-6 + (1/$S56 - 1)*calculate_domegadP(Calculations!M56,Calculations!N56,Calculations!Q56,'Reaction Information'!$C$54,'Reaction Information'!$P$54*10^5,'Reaction Information'!$Q$54,$D$20,$D$19=3))*41.84)</f>
        <v>#N/A</v>
      </c>
      <c r="CC56" s="8" t="e">
        <f>IF(OR(ISBLANK(Input!$BT$4),$D$27=FALSE),NA(),('Reaction Information'!$J$58/10+'Reaction Information'!$K$58*100/(Calculations!$C$12+Calculations!$M56)+('Reaction Information'!$L$58+'Reaction Information'!$M$58*10000/(Calculations!$C$12+Calculations!$M56))/(Calculations!$O56-Calculations!$C$13)-calculateOmega(Calculations!M56,Calculations!N56,Calculations!Q56,'Reaction Information'!$C$58,'Reaction Information'!$P$58*10^5,'Reaction Information'!$Q$58)*Calculations!$U56*10^-6 + (1/$S56 - 1)*calculate_domegadP(Calculations!M56,Calculations!N56,Calculations!Q56,'Reaction Information'!$C$58,'Reaction Information'!$P$58*10^5,'Reaction Information'!$Q$58,$D$20,$D$19=3))*41.84)</f>
        <v>#N/A</v>
      </c>
      <c r="CD56" s="8" t="e">
        <f>IF(OR(ISBLANK(Input!$BW$4),$D$27=FALSE),NA(),('Reaction Information'!$J$62/10+'Reaction Information'!$K$62*100/(Calculations!$C$12+Calculations!$M56)+('Reaction Information'!$L$62+'Reaction Information'!$M$62*10000/(Calculations!$C$12+Calculations!$M56))/(Calculations!$O56-Calculations!$C$13)-calculateOmega(Calculations!M56,Calculations!N56,Calculations!Q56,'Reaction Information'!$C$62,'Reaction Information'!$P$62*10^5,'Reaction Information'!$Q$62)*Calculations!$U56*10^-6 + (1/$S56 - 1)*calculate_domegadP(Calculations!M56,Calculations!N56,Calculations!Q56,'Reaction Information'!$C$62,'Reaction Information'!$P$62*10^5,'Reaction Information'!$Q$62,$D$20,$D$19=3))*41.84)</f>
        <v>#N/A</v>
      </c>
      <c r="CE56" s="8" t="e">
        <f>IF(OR(ISBLANK(Input!$BZ$4),$D$27=FALSE),NA(),('Reaction Information'!$J$66/10+'Reaction Information'!$K$66*100/(Calculations!$C$12+Calculations!$M56)+('Reaction Information'!$L$66+'Reaction Information'!$M$66*10000/(Calculations!$C$12+Calculations!$M56))/(Calculations!$O56-Calculations!$C$13)-calculateOmega(Calculations!M56,Calculations!N56,Calculations!Q56,'Reaction Information'!$C$66,'Reaction Information'!$P$66*10^5,'Reaction Information'!$Q$66)*Calculations!$U56*10^-6 + (1/$S56 - 1)*calculate_domegadP(Calculations!M56,Calculations!N56,Calculations!Q56,'Reaction Information'!$C$66,'Reaction Information'!$P$66*10^5,'Reaction Information'!$Q$66,$D$20,$D$19=3))*41.84)</f>
        <v>#N/A</v>
      </c>
      <c r="CF56" s="31">
        <f>(BS56*Input!$AO$4+BT56*Input!$AR$4+BU56*Input!$AU$4+BV56*Input!$AX$4+IF(ISNA(BW56),0,BW56*Input!$BA$4)+IF(ISNA(BX56),0,BX56*Input!$BD$4)+IF(ISNA(BY56),0,BY56*Input!$BG$4)+IF(ISNA(BZ56),0,BZ56*Input!$BJ$4)+IF(ISNA(CA56),0,CA56*Input!$BM$4)+IF(ISNA(CB56),0,CB56*Input!$BP$4)+IF(ISNA(CC56),0,CC56*Input!$BS$4)+IF(ISNA(CD56),0,CD56*Input!$BV$4)+IF(ISNA(CE56),0,CE56*Input!$BY$4))-(BF56*Input!$B$4+BG56*Input!$E$4+BH56*Input!$H$4+BI56*Input!$K$4+IF(ISNA(BJ56),0,BJ56*Input!$N$4)+IF(ISNA(BK56),0,BK56*Input!$Q$4)+IF(ISNA(BL56),0,BL56*Input!$T$4)+IF(ISNA(BM56),0,BM56*Input!$W$4)+IF(ISNA(BN56),0,BN56*Input!$Z$4)+IF(ISNA(BO56),0,BO56*Input!$AC$4)+IF(ISNA(BP56),0,BP56*Input!$AF$4)+IF(ISNA(BQ56),0,BQ56*Input!$AI$4)+IF(ISNA(BR56),0,BR56*Input!$AL$4))</f>
        <v>-16.721004880097187</v>
      </c>
      <c r="CG56" s="1">
        <f t="shared" si="12"/>
        <v>550</v>
      </c>
      <c r="CH56" s="46">
        <f t="shared" si="13"/>
        <v>20000</v>
      </c>
      <c r="CI56" s="1"/>
    </row>
    <row r="57" spans="1:87" x14ac:dyDescent="0.2">
      <c r="A57" s="1"/>
      <c r="E57" s="1"/>
      <c r="F57" s="2">
        <v>52</v>
      </c>
      <c r="G57" s="1" t="str">
        <f>IF(ISBLANK(Input!CB57), "", Input!CB57*1000)</f>
        <v/>
      </c>
      <c r="H57" s="1" t="str">
        <f>IF(ISBLANK(Input!CC57), "", Input!CC57)</f>
        <v/>
      </c>
      <c r="I57" s="1">
        <f>IF(Input!$CF$5 + Input!$CF$6*(FLOOR((Calculations!$F57-1)/(FLOOR((Input!$CF$12-Input!$CF$10)/Input!$CF$11,1)+1),1)) &gt; Input!$CF$7, "", (Input!$CF$5 + Input!$CF$6*(FLOOR((Calculations!$F57-1)/(FLOOR((Input!$CF$12-Input!$CF$10)/Input!$CF$11,1)+1),1)))*1000)</f>
        <v>20000</v>
      </c>
      <c r="J57" s="1">
        <f>IF(Calculations!I57 = "", "", Input!$CF$10 + Input!$CF$11*(Calculations!$F57-1) - (FLOOR((Input!$CF$12-Input!$CF$10)/Input!$CF$11,1)+1)*Input!$CF$11*FLOOR((Calculations!$F57-1)/(FLOOR((Input!$CF$12-Input!$CF$10)/Input!$CF$11,1)+1),1))</f>
        <v>600</v>
      </c>
      <c r="K57" s="8" t="str">
        <f t="shared" si="14"/>
        <v/>
      </c>
      <c r="L57" s="117" t="str">
        <f>IF(OR(Input!$CJ$5 + Input!$CJ$6*(Calculations!F57-1) &gt; Input!$CJ$7, Input!$CJ$5 + Input!$CJ$6*(Calculations!F57-1) &gt; 350), "", Input!$CJ$5 + Input!$CJ$6*(Calculations!F57-1))</f>
        <v/>
      </c>
      <c r="M57" s="1">
        <f t="shared" si="2"/>
        <v>20000</v>
      </c>
      <c r="N57" s="1">
        <f t="shared" si="3"/>
        <v>600</v>
      </c>
      <c r="O57" s="1">
        <f t="shared" si="15"/>
        <v>873.15</v>
      </c>
      <c r="P57" s="1" t="e">
        <f>IF(OR($D$20=3,AND($D$21=TRUE,M57&lt;1000)),INDEX('Water Density'!$C$6:$CX$120,MATCH(Calculations!N57,'Water Density'!$B$6:$B$120),MATCH(Calculations!M57/1000,'Water Density'!$C$5:$CX$5)),NA())</f>
        <v>#N/A</v>
      </c>
      <c r="Q57" s="182">
        <f>IF(OR($D$20=3,AND($D$21=TRUE,M57&lt;1000)), IF(P57&lt;&gt;0,P57,NA()), calculateDensity(M57,N57,$D$20,0.01,$D$19 = 3))</f>
        <v>1.1297447655582431</v>
      </c>
      <c r="R57" s="1" t="e">
        <f>IF($D$22=5,INDEX('Dielectric Constant'!$C$6:$CX$120,MATCH(Calculations!N57,'Dielectric Constant'!$B$6:$B$120),MATCH(Calculations!M57/1000,'Dielectric Constant'!$C$5:$CX$5)),NA())</f>
        <v>#N/A</v>
      </c>
      <c r="S57" s="58">
        <f>IF($D$22=5, IF(R57&lt;&gt;0,R57,NA()), IF(AND($D$23,M57&lt;=5000,$D$19 &lt;&gt; 3),calculateEpsilon(Q57,N57,1,FALSE),calculateEpsilon(Q57,N57,$D$22,$D$19 = 3)))</f>
        <v>24.456255711105221</v>
      </c>
      <c r="T57" s="1" t="e">
        <f>IF($D$24=3,INDEX('Water Free Energy'!$C$6:$CX$120,MATCH(Calculations!N57,'Water Free Energy'!$B$6:$B$120),MATCH(Calculations!M57/1000,'Water Free Energy'!$C$5:$CX$5)),NA())</f>
        <v>#N/A</v>
      </c>
      <c r="U57" s="179">
        <f>IF($D$27,calculateQ(M57,N57,Q57,$D$20,$D$22,$D$19=3)*10^6,NA())</f>
        <v>0.44473529493062192</v>
      </c>
      <c r="V57"/>
      <c r="W57" s="2">
        <f t="shared" si="5"/>
        <v>20000</v>
      </c>
      <c r="X57" s="1">
        <f t="shared" si="6"/>
        <v>600</v>
      </c>
      <c r="Y57" s="1">
        <f>Results!F59</f>
        <v>0</v>
      </c>
      <c r="Z57" s="1">
        <f>Results!G59</f>
        <v>0</v>
      </c>
      <c r="AA57" s="1">
        <f>Results!H59</f>
        <v>0</v>
      </c>
      <c r="AB57" s="1">
        <f>Results!I59</f>
        <v>0</v>
      </c>
      <c r="AC57" s="1" t="e">
        <f>IF(ISBLANK(Input!$O$4),NA(),'Reaction Information'!$E$5-'Reaction Information'!$G$5*(Calculations!$O57-Calculations!$C$8)+'Reaction Information'!$I$5*(Calculations!$O57-Calculations!$C$8-Calculations!$O57*LN(Calculations!$O57/Calculations!$C$8))+'Reaction Information'!$J$5*0.001/2*(2*Calculations!$O57*Calculations!$C$8-Calculations!$O57^2-Calculations!$C$8^2) + 'Reaction Information'!$K$5*100000*(Calculations!$O57^2 + Calculations!$C$8^2 - 2*Calculations!$O57*Calculations!$C$8)/(2*Calculations!$O57*Calculations!$C$8^2))</f>
        <v>#N/A</v>
      </c>
      <c r="AD57" s="8" t="e">
        <f>IF(ISBLANK(Input!$R$4),NA(),'Reaction Information'!$E$9-'Reaction Information'!$G$9*(Calculations!$O57-Calculations!$C$8)+'Reaction Information'!$I$9*(Calculations!$O57-Calculations!$C$8-Calculations!$O57*LN(Calculations!$O57/Calculations!$C$8))+'Reaction Information'!$J$9*0.001/2*(2*Calculations!$O57*Calculations!$C$8-Calculations!$O57^2-Calculations!$C$8^2) + 'Reaction Information'!$K$9*100000*(Calculations!$O57^2 + Calculations!$C$8^2 - 2*Calculations!$O57*Calculations!$C$8)/(2*Calculations!$O57*Calculations!$C$8^2))</f>
        <v>#N/A</v>
      </c>
      <c r="AE57" s="8">
        <f>IF(AE$5="H2O",IF($D$24=3,IF(T57=0,NA(),T57),calculateGibbsOfWater(M57,N57,$D$24,$D$20,$D$19=3)),NA())</f>
        <v>-63182.175733709533</v>
      </c>
      <c r="AF57" s="8">
        <f>IF(ISBLANK(Input!$X$4),NA(),'Reaction Information'!$E$13-'Reaction Information'!$G$13*(Calculations!O57-Calculations!$C$8)-'Reaction Information'!$N$13*(Calculations!O57*LN(Calculations!O57/Calculations!$C$8)-Calculations!O57+Calculations!$C$8)-'Reaction Information'!$O$13*10^4*(((1/(Calculations!O57-Calculations!$C$13))-(1/(Calculations!$C$8-Calculations!$C$13)))*((Calculations!$C$13-Calculations!O57)/(Calculations!$C$13))-(Calculations!O57/(Calculations!$C$13*Calculations!$C$13))*LN((Calculations!$C$8*(Calculations!O57-Calculations!$C$13))/(Calculations!O57*(Calculations!$C$8-Calculations!$C$13))))+'Reaction Information'!$J$13*10^-1*(Calculations!M57-Calculations!$C$9)+'Reaction Information'!$K$13*10^2*LN((Calculations!$C$12+Calculations!M57)/(Calculations!$C$12+Calculations!$C$9))+(1/(Calculations!O57-Calculations!$C$13))*('Reaction Information'!$L$13*(Calculations!M57-Calculations!$C$9)+'Reaction Information'!$M$13*10^4*LN((Calculations!$C$12+Calculations!M57)/(Calculations!$C$12+Calculations!$C$9)))+calculateOmega(Calculations!M57,Calculations!N57,Calculations!Q57,'Reaction Information'!$C$13,'Reaction Information'!$P$13*10^5,'Reaction Information'!$Q$13)*((1/Calculations!S57)-1)-'Reaction Information'!$P$13*10^5*((1/Calculations!$C$10)-1)+'Reaction Information'!$P$13*10^5*Calculations!$C$14*(Calculations!O57-Calculations!$C$8))</f>
        <v>-101172.56685097798</v>
      </c>
      <c r="AG57" s="8" t="e">
        <f>IF(ISBLANK(Input!$AA$4),NA(),'Reaction Information'!$E$17-'Reaction Information'!$G$17*(Calculations!$O57-Calculations!$C$8)-'Reaction Information'!$N$17*(Calculations!$O57*LN(Calculations!$O57/Calculations!$C$8)-Calculations!$O57+Calculations!$C$8)-'Reaction Information'!$O$17*10^4*(((1/(Calculations!$O57-Calculations!$C$13))-(1/(Calculations!$C$8-Calculations!$C$13)))*((Calculations!$C$13-Calculations!$O57)/(Calculations!$C$13))-(Calculations!$O57/(Calculations!$C$13*Calculations!$C$13))*LN((Calculations!$C$8*(Calculations!$O57-Calculations!$C$13))/(Calculations!$O57*(Calculations!$C$8-Calculations!$C$13))))+'Reaction Information'!$J$17*10^-1*(Calculations!$M57-Calculations!$C$9)+'Reaction Information'!$K$17*10^2*LN((Calculations!$C$12+Calculations!$M57)/(Calculations!$C$12+Calculations!$C$9))+(1/(Calculations!$O57-Calculations!$C$13))*('Reaction Information'!$L$17*(Calculations!$M57-Calculations!$C$9)+'Reaction Information'!$M$17*10^4*LN((Calculations!$C$12+Calculations!$M57)/(Calculations!$C$12+Calculations!$C$9)))+calculateOmega(Calculations!M57,Calculations!N57,Calculations!Q57,'Reaction Information'!$C$17,'Reaction Information'!$P$17*10^5,'Reaction Information'!$Q$17)*((1/Calculations!$S57)-1)-'Reaction Information'!$P$17*10^5*((1/Calculations!$C$10)-1)+'Reaction Information'!$P$17*10^5*Calculations!$C$14*(Calculations!$O57-Calculations!$C$8))</f>
        <v>#N/A</v>
      </c>
      <c r="AH57" s="8" t="e">
        <f>IF(ISBLANK(Input!$AD$4),NA(),'Reaction Information'!$E$21-'Reaction Information'!$G$21*(Calculations!$O57-Calculations!$C$8)-'Reaction Information'!$N$21*(Calculations!$O57*LN(Calculations!$O57/Calculations!$C$8)-Calculations!$O57+Calculations!$C$8)-'Reaction Information'!$O$21*10^4*(((1/(Calculations!$O57-Calculations!$C$13))-(1/(Calculations!$C$8-Calculations!$C$13)))*((Calculations!$C$13-Calculations!$O57)/(Calculations!$C$13))-(Calculations!$O57/(Calculations!$C$13*Calculations!$C$13))*LN((Calculations!$C$8*(Calculations!$O57-Calculations!$C$13))/(Calculations!$O57*(Calculations!$C$8-Calculations!$C$13))))+'Reaction Information'!$J$21*10^-1*(Calculations!$M57-Calculations!$C$9)+'Reaction Information'!$K$21*10^2*LN((Calculations!$C$12+Calculations!$M57)/(Calculations!$C$12+Calculations!$C$9))+(1/(Calculations!$O57-Calculations!$C$13))*('Reaction Information'!$L$21*(Calculations!$M57-Calculations!$C$9)+'Reaction Information'!$M$21*10^4*LN((Calculations!$C$12+Calculations!$M57)/(Calculations!$C$12+Calculations!$C$9)))+calculateOmega(Calculations!M57,Calculations!N57,Calculations!Q57,'Reaction Information'!$C$21,'Reaction Information'!$P$21*10^5,'Reaction Information'!$Q$21)*((1/Calculations!$S57)-1)-'Reaction Information'!$P$21*10^5*((1/Calculations!$C$10)-1)+'Reaction Information'!$P$21*10^5*Calculations!$C$14*(Calculations!$O57-Calculations!$C$8))</f>
        <v>#N/A</v>
      </c>
      <c r="AI57" s="8" t="e">
        <f>IF(ISBLANK(Input!$AG$4),NA(),'Reaction Information'!$E$25-'Reaction Information'!$G$25*(Calculations!$O57-Calculations!$C$8)-'Reaction Information'!$N$25*(Calculations!$O57*LN(Calculations!$O57/Calculations!$C$8)-Calculations!$O57+Calculations!$C$8)-'Reaction Information'!$O$25*10^4*(((1/(Calculations!$O57-Calculations!$C$13))-(1/(Calculations!$C$8-Calculations!$C$13)))*((Calculations!$C$13-Calculations!$O57)/(Calculations!$C$13))-(Calculations!$O57/(Calculations!$C$13*Calculations!$C$13))*LN((Calculations!$C$8*(Calculations!$O57-Calculations!$C$13))/(Calculations!$O57*(Calculations!$C$8-Calculations!$C$13))))+'Reaction Information'!$J$25*10^-1*(Calculations!$M57-Calculations!$C$9)+'Reaction Information'!$K$25*10^2*LN((Calculations!$C$12+Calculations!$M57)/(Calculations!$C$12+Calculations!$C$9))+(1/(Calculations!$O57-Calculations!$C$13))*('Reaction Information'!$L$25*(Calculations!$M57-Calculations!$C$9)+'Reaction Information'!$M$25*10^4*LN((Calculations!$C$12+Calculations!$M57)/(Calculations!$C$12+Calculations!$C$9)))+calculateOmega(Calculations!M57,Calculations!N57,Calculations!Q57,'Reaction Information'!$C$25,'Reaction Information'!$P$25*10^5,'Reaction Information'!$Q$25)*((1/Calculations!$S57)-1)-'Reaction Information'!$P$25*10^5*((1/Calculations!$C$10)-1)+'Reaction Information'!$P$25*10^5*Calculations!$C$14*(Calculations!$O57-Calculations!$C$8))</f>
        <v>#N/A</v>
      </c>
      <c r="AJ57" s="8" t="e">
        <f>IF(ISBLANK(Input!$AJ$4),NA(),'Reaction Information'!$E$29-'Reaction Information'!$G$29*(Calculations!$O57-Calculations!$C$8)-'Reaction Information'!$N$29*(Calculations!$O57*LN(Calculations!$O57/Calculations!$C$8)-Calculations!$O57+Calculations!$C$8)-'Reaction Information'!$O$29*10^4*(((1/(Calculations!$O57-Calculations!$C$13))-(1/(Calculations!$C$8-Calculations!$C$13)))*((Calculations!$C$13-Calculations!$O57)/(Calculations!$C$13))-(Calculations!$O57/(Calculations!$C$13*Calculations!$C$13))*LN((Calculations!$C$8*(Calculations!$O57-Calculations!$C$13))/(Calculations!$O57*(Calculations!$C$8-Calculations!$C$13))))+'Reaction Information'!$J$29*10^-1*(Calculations!$M57-Calculations!$C$9)+'Reaction Information'!$K$29*10^2*LN((Calculations!$C$12+Calculations!$M57)/(Calculations!$C$12+Calculations!$C$9))+(1/(Calculations!$O57-Calculations!$C$13))*('Reaction Information'!$L$29*(Calculations!$M57-Calculations!$C$9)+'Reaction Information'!$M$29*10^4*LN((Calculations!$C$12+Calculations!$M57)/(Calculations!$C$12+Calculations!$C$9)))+calculateOmega(Calculations!M57,Calculations!N57,Calculations!Q57,'Reaction Information'!$C$29,'Reaction Information'!$P$29*10^5,'Reaction Information'!$Q$29)*((1/Calculations!$S57)-1)-'Reaction Information'!$P$29*10^5*((1/Calculations!$C$10)-1)+'Reaction Information'!$P$29*10^5*Calculations!$C$14*(Calculations!$O57-Calculations!$C$8))</f>
        <v>#N/A</v>
      </c>
      <c r="AK57" s="8" t="e">
        <f>IF(ISBLANK(Input!$AM$4),NA(),'Reaction Information'!$E$33-'Reaction Information'!$G$33*(Calculations!$O57-Calculations!$C$8)-'Reaction Information'!$N$33*(Calculations!$O57*LN(Calculations!$O57/Calculations!$C$8)-Calculations!$O57+Calculations!$C$8)-'Reaction Information'!$O$33*10^4*(((1/(Calculations!$O57-Calculations!$C$13))-(1/(Calculations!$C$8-Calculations!$C$13)))*((Calculations!$C$13-Calculations!$O57)/(Calculations!$C$13))-(Calculations!$O57/(Calculations!$C$13*Calculations!$C$13))*LN((Calculations!$C$8*(Calculations!$O57-Calculations!$C$13))/(Calculations!$O57*(Calculations!$C$8-Calculations!$C$13))))+'Reaction Information'!$J$33*10^-1*(Calculations!$M57-Calculations!$C$9)+'Reaction Information'!$K$33*10^2*LN((Calculations!$C$12+Calculations!$M57)/(Calculations!$C$12+Calculations!$C$9))+(1/(Calculations!$O57-Calculations!$C$13))*('Reaction Information'!$L$33*(Calculations!$M57-Calculations!$C$9)+'Reaction Information'!$M$33*10^4*LN((Calculations!$C$12+Calculations!$M57)/(Calculations!$C$12+Calculations!$C$9)))+calculateOmega(Calculations!M57,Calculations!N57,Calculations!Q57,'Reaction Information'!$C$33,'Reaction Information'!$P$33*10^5,'Reaction Information'!$Q$33)*((1/Calculations!$S57)-1)-'Reaction Information'!$P$33*10^5*((1/Calculations!$C$10)-1)+'Reaction Information'!$P$33*10^5*Calculations!$C$14*(Calculations!$O57-Calculations!$C$8))</f>
        <v>#N/A</v>
      </c>
      <c r="AL57" s="1">
        <f>Results!S59</f>
        <v>0</v>
      </c>
      <c r="AM57" s="1">
        <f>Results!T59</f>
        <v>0</v>
      </c>
      <c r="AN57" s="1">
        <f>Results!U59</f>
        <v>0</v>
      </c>
      <c r="AO57" s="1">
        <f>Results!V59</f>
        <v>0</v>
      </c>
      <c r="AP57" s="8" t="e">
        <f>IF(ISBLANK(Input!$BB$4),NA(),'Reaction Information'!$E$38-'Reaction Information'!$G$38*(Calculations!$O57-Calculations!$C$8)+'Reaction Information'!$I$38*(Calculations!$O57-Calculations!$C$8-Calculations!$O57*LN(Calculations!$O57/Calculations!$C$8))+'Reaction Information'!$J$38*0.001/2*(2*Calculations!$O57*Calculations!$C$8-Calculations!$O57^2-Calculations!$C$8^2) + 'Reaction Information'!$K$38*100000*(Calculations!$O57^2 + Calculations!$C$8^2 - 2*Calculations!$O57*Calculations!$C$8)/(2*Calculations!$O57*Calculations!$C$8^2))</f>
        <v>#N/A</v>
      </c>
      <c r="AQ57" s="8" t="e">
        <f>IF(ISBLANK(Input!$BE$4),NA(),'Reaction Information'!$E$42-'Reaction Information'!$G$42*(Calculations!$O57-Calculations!$C$8)+'Reaction Information'!$I$42*(Calculations!$O57-Calculations!$C$8-Calculations!$O57*LN(Calculations!$O57/Calculations!$C$8))+'Reaction Information'!$J$42*0.001/2*(2*Calculations!$O57*Calculations!$C$8-Calculations!$O57^2-Calculations!$C$8^2) + 'Reaction Information'!$K$42*100000*(Calculations!$O57^2 + Calculations!$C$8^2 - 2*Calculations!$O57*Calculations!$C$8)/(2*Calculations!$O57*Calculations!$C$8^2))</f>
        <v>#N/A</v>
      </c>
      <c r="AR57" s="8" t="e">
        <f>IF(AR$5="H2O", IF($D$24=3,IF(T57=0,NA(),T57),calculateGibbsOfWater(M57,N57,$D$24,$D$20,$D$19=3)),NA())</f>
        <v>#N/A</v>
      </c>
      <c r="AS57" s="8">
        <f>IF(ISBLANK(Input!$BK$4),NA(),'Reaction Information'!$E$46-'Reaction Information'!$G$46*(Calculations!O57-Calculations!$C$8)-'Reaction Information'!$N$46*(Calculations!O57*LN(Calculations!O57/Calculations!$C$8)-Calculations!O57+Calculations!$C$8)-'Reaction Information'!$O$46*10^4*(((1/(Calculations!O57-Calculations!$C$13))-(1/(Calculations!$C$8-Calculations!$C$13)))*((Calculations!$C$13-Calculations!O57)/(Calculations!$C$13))-(Calculations!O57/(Calculations!$C$13*Calculations!$C$13))*LN((Calculations!$C$8*(Calculations!O57-Calculations!$C$13))/(Calculations!O57*(Calculations!$C$8-Calculations!$C$13))))+'Reaction Information'!$J$46*10^-1*(Calculations!$M57-Calculations!$C$9)+'Reaction Information'!$K$46*10^2*LN((Calculations!$C$12+Calculations!$M57)/(Calculations!$C$12+Calculations!$C$9))+(1/(Calculations!O57-Calculations!$C$13))*('Reaction Information'!$L$46*(Calculations!$M57-Calculations!$C$9)+'Reaction Information'!$M$46*10^4*LN((Calculations!$C$12+Calculations!$M57)/(Calculations!$C$12+Calculations!$C$9)))+calculateOmega(Calculations!M57,Calculations!N57,Calculations!Q57,'Reaction Information'!$C$46,'Reaction Information'!$P$46*10^5,'Reaction Information'!$Q$46)*((1/Calculations!S57)-1)-'Reaction Information'!$P$46*10^5*((1/Calculations!$C$10)-1)+'Reaction Information'!$P$46*10^5*Calculations!$C$14*(Calculations!O57-Calculations!$C$8))</f>
        <v>0</v>
      </c>
      <c r="AT57" s="8">
        <f>IF(ISBLANK(Input!$BN$4),NA(),'Reaction Information'!$E$50-'Reaction Information'!$G$50*(Calculations!O57-Calculations!$C$8)-'Reaction Information'!$N$50*(Calculations!O57*LN(Calculations!O57/Calculations!$C$8)-Calculations!O57+Calculations!$C$8)-'Reaction Information'!$O$50*10^4*(((1/(Calculations!O57-Calculations!$C$13))-(1/(Calculations!$C$8-Calculations!$C$13)))*((Calculations!$C$13-Calculations!O57)/(Calculations!$C$13))-(Calculations!O57/(Calculations!$C$13*Calculations!$C$13))*LN((Calculations!$C$8*(Calculations!O57-Calculations!$C$13))/(Calculations!O57*(Calculations!$C$8-Calculations!$C$13))))+'Reaction Information'!$J$50*10^-1*(Calculations!$M57-Calculations!$C$9)+'Reaction Information'!$K$50*10^2*LN((Calculations!$C$12+Calculations!$M57)/(Calculations!$C$12+Calculations!$C$9))+(1/(Calculations!O57-Calculations!$C$13))*('Reaction Information'!$L$50*(Calculations!$M57-Calculations!$C$9)+'Reaction Information'!$M$50*10^4*LN((Calculations!$C$12+Calculations!$M57)/(Calculations!$C$12+Calculations!$C$9)))+calculateOmega(Calculations!M57,Calculations!N57,Calculations!Q57,'Reaction Information'!$C$50,'Reaction Information'!$P$50*10^5,'Reaction Information'!$Q$50)*((1/Calculations!S57)-1)-'Reaction Information'!$P$50*10^5*((1/Calculations!$C$10)-1)+'Reaction Information'!$P$50*10^5*Calculations!$C$14*(Calculations!O57-Calculations!$C$8))</f>
        <v>-142410.76950572839</v>
      </c>
      <c r="AU57" s="8" t="e">
        <f>IF(ISBLANK(Input!$BQ$4),NA(),'Reaction Information'!$E$54-'Reaction Information'!$G$54*(Calculations!$O57-Calculations!$C$8)-'Reaction Information'!$N$54*(Calculations!$O57*LN(Calculations!$O57/Calculations!$C$8)-Calculations!$O57+Calculations!$C$8)-'Reaction Information'!$O$54*10^4*(((1/(Calculations!$O57-Calculations!$C$13))-(1/(Calculations!$C$8-Calculations!$C$13)))*((Calculations!$C$13-Calculations!$O57)/(Calculations!$C$13))-(Calculations!$O57/(Calculations!$C$13*Calculations!$C$13))*LN((Calculations!$C$8*(Calculations!$O57-Calculations!$C$13))/(Calculations!$O57*(Calculations!$C$8-Calculations!$C$13))))+'Reaction Information'!$J$54*10^-1*(Calculations!$M57-Calculations!$C$9)+'Reaction Information'!$K$54*10^2*LN((Calculations!$C$12+Calculations!$M57)/(Calculations!$C$12+Calculations!$C$9))+(1/(Calculations!$O57-Calculations!$C$13))*('Reaction Information'!$L$54*(Calculations!$M57-Calculations!$C$9)+'Reaction Information'!$M$54*10^4*LN((Calculations!$C$12+Calculations!$M57)/(Calculations!$C$12+Calculations!$C$9)))+calculateOmega(Calculations!M57,Calculations!N57,Calculations!Q57,'Reaction Information'!$C$54,'Reaction Information'!$P$54*10^5,'Reaction Information'!$Q$54)*((1/Calculations!$S57)-1)-'Reaction Information'!$P$54*10^5*((1/Calculations!$C$10)-1)+'Reaction Information'!$P$54*10^5*Calculations!$C$14*(Calculations!$O57-Calculations!$C$8))</f>
        <v>#N/A</v>
      </c>
      <c r="AV57" s="8" t="e">
        <f>IF(ISBLANK(Input!$BT$4),NA(),'Reaction Information'!$E$58-'Reaction Information'!$G$58*(Calculations!$O57-Calculations!$C$8)-'Reaction Information'!$N$58*(Calculations!$O57*LN(Calculations!$O57/Calculations!$C$8)-Calculations!$O57+Calculations!$C$8)-'Reaction Information'!$O$58*10^4*(((1/(Calculations!$O57-Calculations!$C$13))-(1/(Calculations!$C$8-Calculations!$C$13)))*((Calculations!$C$13-Calculations!$O57)/(Calculations!$C$13))-(Calculations!$O57/(Calculations!$C$13*Calculations!$C$13))*LN((Calculations!$C$8*(Calculations!$O57-Calculations!$C$13))/(Calculations!$O57*(Calculations!$C$8-Calculations!$C$13))))+'Reaction Information'!$J$58*10^-1*(Calculations!$M57-Calculations!$C$9)+'Reaction Information'!$K$58*10^2*LN((Calculations!$C$12+Calculations!$M57)/(Calculations!$C$12+Calculations!$C$9))+(1/(Calculations!$O57-Calculations!$C$13))*('Reaction Information'!$L$58*(Calculations!$M57-Calculations!$C$9)+'Reaction Information'!$M$58*10^4*LN((Calculations!$C$12+Calculations!$M57)/(Calculations!$C$12+Calculations!$C$9)))+calculateOmega(Calculations!M57,Calculations!N57,Calculations!Q57,'Reaction Information'!$C$58,'Reaction Information'!$P$58*10^5,'Reaction Information'!$Q$58)*((1/Calculations!$S57)-1)-'Reaction Information'!$P$58*10^5*((1/Calculations!$C$10)-1)+'Reaction Information'!$P$58*10^5*Calculations!$C$14*(Calculations!$O57-Calculations!$C$8))</f>
        <v>#N/A</v>
      </c>
      <c r="AW57" s="8" t="e">
        <f>IF(ISBLANK(Input!$BW$4),NA(),'Reaction Information'!$E$62-'Reaction Information'!$G$62*(Calculations!$O57-Calculations!$C$8)-'Reaction Information'!$N$62*(Calculations!$O57*LN(Calculations!$O57/Calculations!$C$8)-Calculations!$O57+Calculations!$C$8)-'Reaction Information'!$O$62*10^4*(((1/(Calculations!$O57-Calculations!$C$13))-(1/(Calculations!$C$8-Calculations!$C$13)))*((Calculations!$C$13-Calculations!$O57)/(Calculations!$C$13))-(Calculations!$O57/(Calculations!$C$13*Calculations!$C$13))*LN((Calculations!$C$8*(Calculations!$O57-Calculations!$C$13))/(Calculations!$O57*(Calculations!$C$8-Calculations!$C$13))))+'Reaction Information'!$J$62*10^-1*(Calculations!$M57-Calculations!$C$9)+'Reaction Information'!$K$62*10^2*LN((Calculations!$C$12+Calculations!$M57)/(Calculations!$C$12+Calculations!$C$9))+(1/(Calculations!$O57-Calculations!$C$13))*('Reaction Information'!$L$62*(Calculations!$M57-Calculations!$C$9)+'Reaction Information'!$M$62*10^4*LN((Calculations!$C$12+Calculations!$M57)/(Calculations!$C$12+Calculations!$C$9)))+calculateOmega(Calculations!M57,Calculations!N57,Calculations!Q57,'Reaction Information'!$C$62,'Reaction Information'!$P$62*10^5,'Reaction Information'!$Q$62)*((1/Calculations!$S57)-1)-'Reaction Information'!$P$62*10^5*((1/Calculations!$C$10)-1)+'Reaction Information'!$P$62*10^5*Calculations!$C$14*(Calculations!$O57-Calculations!$C$8))</f>
        <v>#N/A</v>
      </c>
      <c r="AX57" s="8" t="e">
        <f>IF(ISBLANK(Input!$BZ$4),NA(),'Reaction Information'!$E$66-'Reaction Information'!$G$66*(Calculations!$O57-Calculations!$C$8)-'Reaction Information'!$N$66*(Calculations!$O57*LN(Calculations!$O57/Calculations!$C$8)-Calculations!$O57+Calculations!$C$8)-'Reaction Information'!$O$66*10^4*(((1/(Calculations!$O57-Calculations!$C$13))-(1/(Calculations!$C$8-Calculations!$C$13)))*((Calculations!$C$13-Calculations!$O57)/(Calculations!$C$13))-(Calculations!$O57/(Calculations!$C$13*Calculations!$C$13))*LN((Calculations!$C$8*(Calculations!$O57-Calculations!$C$13))/(Calculations!$O57*(Calculations!$C$8-Calculations!$C$13))))+'Reaction Information'!$J$66*10^-1*(Calculations!$M57-Calculations!$C$9)+'Reaction Information'!$K$66*10^2*LN((Calculations!$C$12+Calculations!$M57)/(Calculations!$C$12+Calculations!$C$9))+(1/(Calculations!$O57-Calculations!$C$13))*('Reaction Information'!$L$66*(Calculations!$M57-Calculations!$C$9)+'Reaction Information'!$M$66*10^4*LN((Calculations!$C$12+Calculations!$M57)/(Calculations!$C$12+Calculations!$C$9)))+calculateOmega(Calculations!M57,Calculations!N57,Calculations!Q57,'Reaction Information'!$C$66,'Reaction Information'!$P$66*10^5,'Reaction Information'!$Q$66)*((1/Calculations!$S57)-1)-'Reaction Information'!$P$66*10^5*((1/Calculations!$C$10)-1)+'Reaction Information'!$P$66*10^5*Calculations!$C$14*(Calculations!$O57-Calculations!$C$8))</f>
        <v>#N/A</v>
      </c>
      <c r="AY57" s="31">
        <f>(AL57*Input!$AO$4+AM57*Input!$AR$4+AN57*Input!$AU$4+AO57*Input!$AX$4+IF(ISNA(AP57),0,AP57*Input!$BA$4)+IF(ISNA(AQ57),0,AQ57*Input!$BD$4)+IF(ISNA(AR57),0,AR57*Input!$BG$4)+IF(ISNA(AS57),0,AS57*Input!$BJ$4)+IF(ISNA(AT57),0,AT57*Input!$BM$4)+IF(ISNA(AU57),0,AU57*Input!$BP$4)+IF(ISNA(AV57),0,AV57*Input!$BS$4)+IF(ISNA(AW57),0,AW57*Input!$BV$4)+IF(ISNA(AX57),0,AX57*Input!$BY$4))-(Y57*Input!$B$4+Z57*Input!$E$4+AA57*Input!$H$4+AB57*Input!$K$4+IF(ISNA(AC57),0,AC57*Input!$N$4)+IF(ISNA(AD57),0,AD57*Input!$Q$4)+IF(ISNA(AE57),0,AE57*Input!$T$4)+IF(ISNA(AF57),0,AF57*Input!$W$4)+IF(ISNA(AG57),0,AG57*Input!$Z$4)+IF(ISNA(AH57),0,AH57*Input!$AC$4)+IF(ISNA(AI57),0,AI57*Input!$AF$4)+IF(ISNA(AJ57),0,AJ57*Input!$AI$4)+IF(ISNA(AK57),0,AK57*Input!$AL$4))</f>
        <v>21943.973078959127</v>
      </c>
      <c r="AZ57" s="42">
        <f t="shared" si="16"/>
        <v>-5.4961462048603531</v>
      </c>
      <c r="BA57" s="1">
        <f t="shared" si="8"/>
        <v>600</v>
      </c>
      <c r="BB57" s="46">
        <f t="shared" si="9"/>
        <v>20000</v>
      </c>
      <c r="BC57" s="1"/>
      <c r="BD57" s="2">
        <f t="shared" si="10"/>
        <v>20000</v>
      </c>
      <c r="BE57" s="46">
        <f t="shared" si="11"/>
        <v>600</v>
      </c>
      <c r="BF57" s="1">
        <f>Results!AJ59</f>
        <v>0</v>
      </c>
      <c r="BG57" s="1">
        <f>Results!AK59</f>
        <v>0</v>
      </c>
      <c r="BH57" s="1">
        <f>Results!AL59</f>
        <v>0</v>
      </c>
      <c r="BI57" s="1">
        <f>Results!AM59</f>
        <v>0</v>
      </c>
      <c r="BJ57" s="1" t="e">
        <f>IF(OR(ISNA('Reaction Information'!$D$5), $N57 = "", $D$27 = FALSE, 'Reaction Information'!$D$5 = ""), NA(), 24.465)</f>
        <v>#N/A</v>
      </c>
      <c r="BK57" s="1" t="e">
        <f>IF(OR(ISNA('Reaction Information'!$D$9), $N57 = "", $D$27 = FALSE, 'Reaction Information'!$D$9 = ""), NA(), 24.465)</f>
        <v>#N/A</v>
      </c>
      <c r="BL57" s="8">
        <f t="shared" si="17"/>
        <v>15.946327479639239</v>
      </c>
      <c r="BM57" s="8">
        <f>IF(OR(ISBLANK(Input!$X$4),$D$27=FALSE),NA(),('Reaction Information'!$J$13/10+'Reaction Information'!$K$13*100/(Calculations!$C$12+Calculations!$M57)+('Reaction Information'!$L$13+'Reaction Information'!$M$13*10^4/(Calculations!$C$12+Calculations!$M57))/(Calculations!$O57-Calculations!$C$13) -calculateOmega(Calculations!$M57,Calculations!$N57,Calculations!$Q57,'Reaction Information'!$C$13,'Reaction Information'!$P$13*10^5,'Reaction Information'!$Q$13)*Calculations!$U57*10^-6 + (1/$S57 - 1)*calculate_domegadP(Calculations!$M57,Calculations!$N57,Calculations!$Q57,'Reaction Information'!$C$13,'Reaction Information'!$P$13*10^5,'Reaction Information'!$Q$13,$D$20,$D$19=3))*41.84)</f>
        <v>31.159735608808319</v>
      </c>
      <c r="BN57" s="8" t="e">
        <f>IF(OR(ISBLANK(Input!$AA$4),$D$27=FALSE),NA(),('Reaction Information'!$J$17/10+'Reaction Information'!$K$17*100/(Calculations!$C$12+Calculations!$M57)+('Reaction Information'!$L$17+'Reaction Information'!$M$17*10000/(Calculations!$C$12+Calculations!$M57))/(Calculations!$O57-Calculations!$C$13)-calculateOmega(Calculations!M57,Calculations!N57,Calculations!Q57,'Reaction Information'!$C$17,'Reaction Information'!$P$17*10^5,'Reaction Information'!$Q$17)*Calculations!$U57*10^-6 + (1/$S57 - 1)*calculate_domegadP(Calculations!M57,Calculations!N57,Calculations!Q57,'Reaction Information'!$C$17,'Reaction Information'!$P$17*10^5,'Reaction Information'!$Q$17,$D$20,$D$19=3))*41.84)</f>
        <v>#N/A</v>
      </c>
      <c r="BO57" s="8" t="e">
        <f>IF(OR(ISBLANK(Input!$AD$4),$D$27=FALSE),NA(),('Reaction Information'!$J$21/10+'Reaction Information'!$K$21*100/(Calculations!$C$12+Calculations!$M57)+('Reaction Information'!$L$21+'Reaction Information'!$M$21*10000/(Calculations!$C$12+Calculations!$M57))/(Calculations!$O57-Calculations!$C$13)-calculateOmega(Calculations!M57,Calculations!N57,Calculations!Q57,'Reaction Information'!$C$21,'Reaction Information'!$P$21*10^5,'Reaction Information'!$Q$21)*Calculations!$U57*10^-6 + (1/$S57 - 1)*calculate_domegadP(Calculations!M57,Calculations!N57,Calculations!Q57,'Reaction Information'!$C$21,'Reaction Information'!$P$21*10^5,'Reaction Information'!$Q$21,$D$20,$D$19=3))*41.84)</f>
        <v>#N/A</v>
      </c>
      <c r="BP57" s="8" t="e">
        <f>IF(OR(ISBLANK(Input!$AG$4),$D$27=FALSE),NA(),('Reaction Information'!$J$25/10+'Reaction Information'!$K$25*100/(Calculations!$C$12+Calculations!$M57)+('Reaction Information'!$L$25+'Reaction Information'!$M$25*10000/(Calculations!$C$12+Calculations!$M57))/(Calculations!$O57-Calculations!$C$13)-calculateOmega(Calculations!M57,Calculations!N57,Calculations!Q57,'Reaction Information'!$C$25,'Reaction Information'!$P$25*10^5,'Reaction Information'!$Q$25)*Calculations!$U57*10^-6 + (1/$S57 - 1)*calculate_domegadP(Calculations!M57,Calculations!N57,Calculations!Q57,'Reaction Information'!$C$25,'Reaction Information'!$P$25*10^5,'Reaction Information'!$Q$25,$D$20,$D$19=3))*41.84)</f>
        <v>#N/A</v>
      </c>
      <c r="BQ57" s="8" t="e">
        <f>IF(OR(ISBLANK(Input!$AJ$4),$D$27=FALSE),NA(),('Reaction Information'!$J$29/10+'Reaction Information'!$K$29*100/(Calculations!$C$12+Calculations!$M57)+('Reaction Information'!$L$29+'Reaction Information'!$M$29*10000/(Calculations!$C$12+Calculations!$M57))/(Calculations!$O57-Calculations!$C$13)-calculateOmega(Calculations!M57,Calculations!N57,Calculations!Q57,'Reaction Information'!$C$29,'Reaction Information'!$P$29*10^5,'Reaction Information'!$Q$29)*Calculations!$U57*10^-6 + (1/$S57 - 1)*calculate_domegadP(Calculations!M57,Calculations!N57,Calculations!Q57,'Reaction Information'!$C$29,'Reaction Information'!$P$29*10^5,'Reaction Information'!$Q$29,$D$20,$D$19=3))*41.84)</f>
        <v>#N/A</v>
      </c>
      <c r="BR57" s="8" t="e">
        <f>IF(OR(ISBLANK(Input!$AM$4),$D$27=FALSE),NA(),('Reaction Information'!$J$33/10+'Reaction Information'!$K$33*100/(Calculations!$C$12+Calculations!$M57)+('Reaction Information'!$L$33+'Reaction Information'!$M$33*10000/(Calculations!$C$12+Calculations!$M57))/(Calculations!$O57-Calculations!$C$13)-calculateOmega(Calculations!M57,Calculations!N57,Calculations!Q57,'Reaction Information'!$C$33,'Reaction Information'!$P$33*10^5,'Reaction Information'!$Q$33)*Calculations!$U57*10^-6 + (1/$S57 - 1)*calculate_domegadP(Calculations!M57,Calculations!N57,Calculations!Q57,'Reaction Information'!$C$33,'Reaction Information'!$P$33*10^5,'Reaction Information'!$Q$33,$D$20,$D$19=3))*41.84)</f>
        <v>#N/A</v>
      </c>
      <c r="BS57" s="1">
        <f>Results!AW59</f>
        <v>0</v>
      </c>
      <c r="BT57" s="1">
        <f>Results!AX59</f>
        <v>0</v>
      </c>
      <c r="BU57" s="1">
        <f>Results!AY59</f>
        <v>0</v>
      </c>
      <c r="BV57" s="1">
        <f>Results!AZ59</f>
        <v>0</v>
      </c>
      <c r="BW57" s="1" t="e">
        <f>IF(OR(ISNA('Reaction Information'!$D$38), $N57 = "", $D$27 = FALSE, 'Reaction Information'!$D$38 = ""), NA(), 24.465)</f>
        <v>#N/A</v>
      </c>
      <c r="BX57" s="1" t="e">
        <f>IF(OR(ISNA('Reaction Information'!$D$42), $N57 = "", $D$27 = FALSE, 'Reaction Information'!$D$42 = ""), NA(), 24.465)</f>
        <v>#N/A</v>
      </c>
      <c r="BY57" s="8" t="e">
        <f t="shared" si="18"/>
        <v>#N/A</v>
      </c>
      <c r="BZ57" s="8">
        <f>IF(OR(ISBLANK(Input!$BK$4),$D$27=FALSE),NA(),('Reaction Information'!$J$46/10+'Reaction Information'!$K$46*100/(Calculations!$C$12+Calculations!$M57)+('Reaction Information'!$L$46+'Reaction Information'!$M$46*10000/(Calculations!$C$12+Calculations!$M57))/(Calculations!$O57-Calculations!$C$13)-calculateOmega(Calculations!M57,Calculations!N57,Calculations!Q57,'Reaction Information'!$C$46,'Reaction Information'!$P$46*10^5,'Reaction Information'!$Q$46)*Calculations!$U57*10^-6 + (1/$S57 - 1)*calculate_domegadP(Calculations!M57,Calculations!N57,Calculations!Q57,'Reaction Information'!$C$46,'Reaction Information'!$P$46*10^5,'Reaction Information'!$Q$46,$D$20,$D$19=3))*41.84)</f>
        <v>0</v>
      </c>
      <c r="CA57" s="8">
        <f>IF(OR(ISBLANK(Input!$BN$4),$D$27=FALSE),NA(),('Reaction Information'!$J$50/10+'Reaction Information'!$K$50*100/(Calculations!$C$12+Calculations!$M57)+('Reaction Information'!$L$50+'Reaction Information'!$M$50*10000/(Calculations!$C$12+Calculations!$M57))/(Calculations!$O57-Calculations!$C$13)-calculateOmega(Calculations!M57,Calculations!N57,Calculations!Q57,'Reaction Information'!$C$50,'Reaction Information'!$P$50*10^5,'Reaction Information'!$Q$50)*Calculations!$U57*10^-6 + (1/$S57 - 1)*calculate_domegadP(Calculations!M57,Calculations!N57,Calculations!Q57,'Reaction Information'!$C$50,'Reaction Information'!$P$50*10^5,'Reaction Information'!$Q$50,$D$20,$D$19=3))*41.84)</f>
        <v>29.766589475445297</v>
      </c>
      <c r="CB57" s="8" t="e">
        <f>IF(OR(ISBLANK(Input!$BQ$4),$D$27=FALSE),NA(),('Reaction Information'!$J$54/10+'Reaction Information'!$K$54*100/(Calculations!$C$12+Calculations!$M57)+('Reaction Information'!$L$54+'Reaction Information'!$M$54*10000/(Calculations!$C$12+Calculations!$M57))/(Calculations!$O57-Calculations!$C$13)-calculateOmega(Calculations!M57,Calculations!N57,Calculations!Q57,'Reaction Information'!$C$54,'Reaction Information'!$P$54*10^5,'Reaction Information'!$Q$54)*Calculations!$U57*10^-6 + (1/$S57 - 1)*calculate_domegadP(Calculations!M57,Calculations!N57,Calculations!Q57,'Reaction Information'!$C$54,'Reaction Information'!$P$54*10^5,'Reaction Information'!$Q$54,$D$20,$D$19=3))*41.84)</f>
        <v>#N/A</v>
      </c>
      <c r="CC57" s="8" t="e">
        <f>IF(OR(ISBLANK(Input!$BT$4),$D$27=FALSE),NA(),('Reaction Information'!$J$58/10+'Reaction Information'!$K$58*100/(Calculations!$C$12+Calculations!$M57)+('Reaction Information'!$L$58+'Reaction Information'!$M$58*10000/(Calculations!$C$12+Calculations!$M57))/(Calculations!$O57-Calculations!$C$13)-calculateOmega(Calculations!M57,Calculations!N57,Calculations!Q57,'Reaction Information'!$C$58,'Reaction Information'!$P$58*10^5,'Reaction Information'!$Q$58)*Calculations!$U57*10^-6 + (1/$S57 - 1)*calculate_domegadP(Calculations!M57,Calculations!N57,Calculations!Q57,'Reaction Information'!$C$58,'Reaction Information'!$P$58*10^5,'Reaction Information'!$Q$58,$D$20,$D$19=3))*41.84)</f>
        <v>#N/A</v>
      </c>
      <c r="CD57" s="8" t="e">
        <f>IF(OR(ISBLANK(Input!$BW$4),$D$27=FALSE),NA(),('Reaction Information'!$J$62/10+'Reaction Information'!$K$62*100/(Calculations!$C$12+Calculations!$M57)+('Reaction Information'!$L$62+'Reaction Information'!$M$62*10000/(Calculations!$C$12+Calculations!$M57))/(Calculations!$O57-Calculations!$C$13)-calculateOmega(Calculations!M57,Calculations!N57,Calculations!Q57,'Reaction Information'!$C$62,'Reaction Information'!$P$62*10^5,'Reaction Information'!$Q$62)*Calculations!$U57*10^-6 + (1/$S57 - 1)*calculate_domegadP(Calculations!M57,Calculations!N57,Calculations!Q57,'Reaction Information'!$C$62,'Reaction Information'!$P$62*10^5,'Reaction Information'!$Q$62,$D$20,$D$19=3))*41.84)</f>
        <v>#N/A</v>
      </c>
      <c r="CE57" s="8" t="e">
        <f>IF(OR(ISBLANK(Input!$BZ$4),$D$27=FALSE),NA(),('Reaction Information'!$J$66/10+'Reaction Information'!$K$66*100/(Calculations!$C$12+Calculations!$M57)+('Reaction Information'!$L$66+'Reaction Information'!$M$66*10000/(Calculations!$C$12+Calculations!$M57))/(Calculations!$O57-Calculations!$C$13)-calculateOmega(Calculations!M57,Calculations!N57,Calculations!Q57,'Reaction Information'!$C$66,'Reaction Information'!$P$66*10^5,'Reaction Information'!$Q$66)*Calculations!$U57*10^-6 + (1/$S57 - 1)*calculate_domegadP(Calculations!M57,Calculations!N57,Calculations!Q57,'Reaction Information'!$C$66,'Reaction Information'!$P$66*10^5,'Reaction Information'!$Q$66,$D$20,$D$19=3))*41.84)</f>
        <v>#N/A</v>
      </c>
      <c r="CF57" s="31">
        <f>(BS57*Input!$AO$4+BT57*Input!$AR$4+BU57*Input!$AU$4+BV57*Input!$AX$4+IF(ISNA(BW57),0,BW57*Input!$BA$4)+IF(ISNA(BX57),0,BX57*Input!$BD$4)+IF(ISNA(BY57),0,BY57*Input!$BG$4)+IF(ISNA(BZ57),0,BZ57*Input!$BJ$4)+IF(ISNA(CA57),0,CA57*Input!$BM$4)+IF(ISNA(CB57),0,CB57*Input!$BP$4)+IF(ISNA(CC57),0,CC57*Input!$BS$4)+IF(ISNA(CD57),0,CD57*Input!$BV$4)+IF(ISNA(CE57),0,CE57*Input!$BY$4))-(BF57*Input!$B$4+BG57*Input!$E$4+BH57*Input!$H$4+BI57*Input!$K$4+IF(ISNA(BJ57),0,BJ57*Input!$N$4)+IF(ISNA(BK57),0,BK57*Input!$Q$4)+IF(ISNA(BL57),0,BL57*Input!$T$4)+IF(ISNA(BM57),0,BM57*Input!$W$4)+IF(ISNA(BN57),0,BN57*Input!$Z$4)+IF(ISNA(BO57),0,BO57*Input!$AC$4)+IF(ISNA(BP57),0,BP57*Input!$AF$4)+IF(ISNA(BQ57),0,BQ57*Input!$AI$4)+IF(ISNA(BR57),0,BR57*Input!$AL$4))</f>
        <v>-17.339473613002259</v>
      </c>
      <c r="CG57" s="1">
        <f t="shared" si="12"/>
        <v>600</v>
      </c>
      <c r="CH57" s="46">
        <f t="shared" si="13"/>
        <v>20000</v>
      </c>
      <c r="CI57" s="1"/>
    </row>
    <row r="58" spans="1:87" x14ac:dyDescent="0.2">
      <c r="A58" s="1"/>
      <c r="E58" s="1"/>
      <c r="F58" s="2">
        <v>53</v>
      </c>
      <c r="G58" s="1" t="str">
        <f>IF(ISBLANK(Input!CB58), "", Input!CB58*1000)</f>
        <v/>
      </c>
      <c r="H58" s="1" t="str">
        <f>IF(ISBLANK(Input!CC58), "", Input!CC58)</f>
        <v/>
      </c>
      <c r="I58" s="1">
        <f>IF(Input!$CF$5 + Input!$CF$6*(FLOOR((Calculations!$F58-1)/(FLOOR((Input!$CF$12-Input!$CF$10)/Input!$CF$11,1)+1),1)) &gt; Input!$CF$7, "", (Input!$CF$5 + Input!$CF$6*(FLOOR((Calculations!$F58-1)/(FLOOR((Input!$CF$12-Input!$CF$10)/Input!$CF$11,1)+1),1)))*1000)</f>
        <v>20000</v>
      </c>
      <c r="J58" s="1">
        <f>IF(Calculations!I58 = "", "", Input!$CF$10 + Input!$CF$11*(Calculations!$F58-1) - (FLOOR((Input!$CF$12-Input!$CF$10)/Input!$CF$11,1)+1)*Input!$CF$11*FLOOR((Calculations!$F58-1)/(FLOOR((Input!$CF$12-Input!$CF$10)/Input!$CF$11,1)+1),1))</f>
        <v>650</v>
      </c>
      <c r="K58" s="8" t="str">
        <f t="shared" si="14"/>
        <v/>
      </c>
      <c r="L58" s="117" t="str">
        <f>IF(OR(Input!$CJ$5 + Input!$CJ$6*(Calculations!F58-1) &gt; Input!$CJ$7, Input!$CJ$5 + Input!$CJ$6*(Calculations!F58-1) &gt; 350), "", Input!$CJ$5 + Input!$CJ$6*(Calculations!F58-1))</f>
        <v/>
      </c>
      <c r="M58" s="1">
        <f t="shared" si="2"/>
        <v>20000</v>
      </c>
      <c r="N58" s="1">
        <f t="shared" si="3"/>
        <v>650</v>
      </c>
      <c r="O58" s="1">
        <f t="shared" si="15"/>
        <v>923.15</v>
      </c>
      <c r="P58" s="1" t="e">
        <f>IF(OR($D$20=3,AND($D$21=TRUE,M58&lt;1000)),INDEX('Water Density'!$C$6:$CX$120,MATCH(Calculations!N58,'Water Density'!$B$6:$B$120),MATCH(Calculations!M58/1000,'Water Density'!$C$5:$CX$5)),NA())</f>
        <v>#N/A</v>
      </c>
      <c r="Q58" s="182">
        <f>IF(OR($D$20=3,AND($D$21=TRUE,M58&lt;1000)), IF(P58&lt;&gt;0,P58,NA()), calculateDensity(M58,N58,$D$20,0.01,$D$19 = 3))</f>
        <v>1.1123060063683989</v>
      </c>
      <c r="R58" s="1" t="e">
        <f>IF($D$22=5,INDEX('Dielectric Constant'!$C$6:$CX$120,MATCH(Calculations!N58,'Dielectric Constant'!$B$6:$B$120),MATCH(Calculations!M58/1000,'Dielectric Constant'!$C$5:$CX$5)),NA())</f>
        <v>#N/A</v>
      </c>
      <c r="S58" s="58">
        <f>IF($D$22=5, IF(R58&lt;&gt;0,R58,NA()), IF(AND($D$23,M58&lt;=5000,$D$19 &lt;&gt; 3),calculateEpsilon(Q58,N58,1,FALSE),calculateEpsilon(Q58,N58,$D$22,$D$19 = 3)))</f>
        <v>22.198582349068452</v>
      </c>
      <c r="T58" s="1" t="e">
        <f>IF($D$24=3,INDEX('Water Free Energy'!$C$6:$CX$120,MATCH(Calculations!N58,'Water Free Energy'!$B$6:$B$120),MATCH(Calculations!M58/1000,'Water Free Energy'!$C$5:$CX$5)),NA())</f>
        <v>#N/A</v>
      </c>
      <c r="U58" s="179">
        <f>IF($D$27,calculateQ(M58,N58,Q58,$D$20,$D$22,$D$19=3)*10^6,NA())</f>
        <v>0.49144428991256184</v>
      </c>
      <c r="V58"/>
      <c r="W58" s="2">
        <f t="shared" si="5"/>
        <v>20000</v>
      </c>
      <c r="X58" s="1">
        <f t="shared" si="6"/>
        <v>650</v>
      </c>
      <c r="Y58" s="1">
        <f>Results!F60</f>
        <v>0</v>
      </c>
      <c r="Z58" s="1">
        <f>Results!G60</f>
        <v>0</v>
      </c>
      <c r="AA58" s="1">
        <f>Results!H60</f>
        <v>0</v>
      </c>
      <c r="AB58" s="1">
        <f>Results!I60</f>
        <v>0</v>
      </c>
      <c r="AC58" s="1" t="e">
        <f>IF(ISBLANK(Input!$O$4),NA(),'Reaction Information'!$E$5-'Reaction Information'!$G$5*(Calculations!$O58-Calculations!$C$8)+'Reaction Information'!$I$5*(Calculations!$O58-Calculations!$C$8-Calculations!$O58*LN(Calculations!$O58/Calculations!$C$8))+'Reaction Information'!$J$5*0.001/2*(2*Calculations!$O58*Calculations!$C$8-Calculations!$O58^2-Calculations!$C$8^2) + 'Reaction Information'!$K$5*100000*(Calculations!$O58^2 + Calculations!$C$8^2 - 2*Calculations!$O58*Calculations!$C$8)/(2*Calculations!$O58*Calculations!$C$8^2))</f>
        <v>#N/A</v>
      </c>
      <c r="AD58" s="8" t="e">
        <f>IF(ISBLANK(Input!$R$4),NA(),'Reaction Information'!$E$9-'Reaction Information'!$G$9*(Calculations!$O58-Calculations!$C$8)+'Reaction Information'!$I$9*(Calculations!$O58-Calculations!$C$8-Calculations!$O58*LN(Calculations!$O58/Calculations!$C$8))+'Reaction Information'!$J$9*0.001/2*(2*Calculations!$O58*Calculations!$C$8-Calculations!$O58^2-Calculations!$C$8^2) + 'Reaction Information'!$K$9*100000*(Calculations!$O58^2 + Calculations!$C$8^2 - 2*Calculations!$O58*Calculations!$C$8)/(2*Calculations!$O58*Calculations!$C$8^2))</f>
        <v>#N/A</v>
      </c>
      <c r="AE58" s="8">
        <f>IF(AE$5="H2O",IF($D$24=3,IF(T58=0,NA(),T58),calculateGibbsOfWater(M58,N58,$D$24,$D$20,$D$19=3)),NA())</f>
        <v>-64697.831424326076</v>
      </c>
      <c r="AF58" s="8">
        <f>IF(ISBLANK(Input!$X$4),NA(),'Reaction Information'!$E$13-'Reaction Information'!$G$13*(Calculations!O58-Calculations!$C$8)-'Reaction Information'!$N$13*(Calculations!O58*LN(Calculations!O58/Calculations!$C$8)-Calculations!O58+Calculations!$C$8)-'Reaction Information'!$O$13*10^4*(((1/(Calculations!O58-Calculations!$C$13))-(1/(Calculations!$C$8-Calculations!$C$13)))*((Calculations!$C$13-Calculations!O58)/(Calculations!$C$13))-(Calculations!O58/(Calculations!$C$13*Calculations!$C$13))*LN((Calculations!$C$8*(Calculations!O58-Calculations!$C$13))/(Calculations!O58*(Calculations!$C$8-Calculations!$C$13))))+'Reaction Information'!$J$13*10^-1*(Calculations!M58-Calculations!$C$9)+'Reaction Information'!$K$13*10^2*LN((Calculations!$C$12+Calculations!M58)/(Calculations!$C$12+Calculations!$C$9))+(1/(Calculations!O58-Calculations!$C$13))*('Reaction Information'!$L$13*(Calculations!M58-Calculations!$C$9)+'Reaction Information'!$M$13*10^4*LN((Calculations!$C$12+Calculations!M58)/(Calculations!$C$12+Calculations!$C$9)))+calculateOmega(Calculations!M58,Calculations!N58,Calculations!Q58,'Reaction Information'!$C$13,'Reaction Information'!$P$13*10^5,'Reaction Information'!$Q$13)*((1/Calculations!S58)-1)-'Reaction Information'!$P$13*10^5*((1/Calculations!$C$10)-1)+'Reaction Information'!$P$13*10^5*Calculations!$C$14*(Calculations!O58-Calculations!$C$8))</f>
        <v>-103549.34401672619</v>
      </c>
      <c r="AG58" s="8" t="e">
        <f>IF(ISBLANK(Input!$AA$4),NA(),'Reaction Information'!$E$17-'Reaction Information'!$G$17*(Calculations!$O58-Calculations!$C$8)-'Reaction Information'!$N$17*(Calculations!$O58*LN(Calculations!$O58/Calculations!$C$8)-Calculations!$O58+Calculations!$C$8)-'Reaction Information'!$O$17*10^4*(((1/(Calculations!$O58-Calculations!$C$13))-(1/(Calculations!$C$8-Calculations!$C$13)))*((Calculations!$C$13-Calculations!$O58)/(Calculations!$C$13))-(Calculations!$O58/(Calculations!$C$13*Calculations!$C$13))*LN((Calculations!$C$8*(Calculations!$O58-Calculations!$C$13))/(Calculations!$O58*(Calculations!$C$8-Calculations!$C$13))))+'Reaction Information'!$J$17*10^-1*(Calculations!$M58-Calculations!$C$9)+'Reaction Information'!$K$17*10^2*LN((Calculations!$C$12+Calculations!$M58)/(Calculations!$C$12+Calculations!$C$9))+(1/(Calculations!$O58-Calculations!$C$13))*('Reaction Information'!$L$17*(Calculations!$M58-Calculations!$C$9)+'Reaction Information'!$M$17*10^4*LN((Calculations!$C$12+Calculations!$M58)/(Calculations!$C$12+Calculations!$C$9)))+calculateOmega(Calculations!M58,Calculations!N58,Calculations!Q58,'Reaction Information'!$C$17,'Reaction Information'!$P$17*10^5,'Reaction Information'!$Q$17)*((1/Calculations!$S58)-1)-'Reaction Information'!$P$17*10^5*((1/Calculations!$C$10)-1)+'Reaction Information'!$P$17*10^5*Calculations!$C$14*(Calculations!$O58-Calculations!$C$8))</f>
        <v>#N/A</v>
      </c>
      <c r="AH58" s="8" t="e">
        <f>IF(ISBLANK(Input!$AD$4),NA(),'Reaction Information'!$E$21-'Reaction Information'!$G$21*(Calculations!$O58-Calculations!$C$8)-'Reaction Information'!$N$21*(Calculations!$O58*LN(Calculations!$O58/Calculations!$C$8)-Calculations!$O58+Calculations!$C$8)-'Reaction Information'!$O$21*10^4*(((1/(Calculations!$O58-Calculations!$C$13))-(1/(Calculations!$C$8-Calculations!$C$13)))*((Calculations!$C$13-Calculations!$O58)/(Calculations!$C$13))-(Calculations!$O58/(Calculations!$C$13*Calculations!$C$13))*LN((Calculations!$C$8*(Calculations!$O58-Calculations!$C$13))/(Calculations!$O58*(Calculations!$C$8-Calculations!$C$13))))+'Reaction Information'!$J$21*10^-1*(Calculations!$M58-Calculations!$C$9)+'Reaction Information'!$K$21*10^2*LN((Calculations!$C$12+Calculations!$M58)/(Calculations!$C$12+Calculations!$C$9))+(1/(Calculations!$O58-Calculations!$C$13))*('Reaction Information'!$L$21*(Calculations!$M58-Calculations!$C$9)+'Reaction Information'!$M$21*10^4*LN((Calculations!$C$12+Calculations!$M58)/(Calculations!$C$12+Calculations!$C$9)))+calculateOmega(Calculations!M58,Calculations!N58,Calculations!Q58,'Reaction Information'!$C$21,'Reaction Information'!$P$21*10^5,'Reaction Information'!$Q$21)*((1/Calculations!$S58)-1)-'Reaction Information'!$P$21*10^5*((1/Calculations!$C$10)-1)+'Reaction Information'!$P$21*10^5*Calculations!$C$14*(Calculations!$O58-Calculations!$C$8))</f>
        <v>#N/A</v>
      </c>
      <c r="AI58" s="8" t="e">
        <f>IF(ISBLANK(Input!$AG$4),NA(),'Reaction Information'!$E$25-'Reaction Information'!$G$25*(Calculations!$O58-Calculations!$C$8)-'Reaction Information'!$N$25*(Calculations!$O58*LN(Calculations!$O58/Calculations!$C$8)-Calculations!$O58+Calculations!$C$8)-'Reaction Information'!$O$25*10^4*(((1/(Calculations!$O58-Calculations!$C$13))-(1/(Calculations!$C$8-Calculations!$C$13)))*((Calculations!$C$13-Calculations!$O58)/(Calculations!$C$13))-(Calculations!$O58/(Calculations!$C$13*Calculations!$C$13))*LN((Calculations!$C$8*(Calculations!$O58-Calculations!$C$13))/(Calculations!$O58*(Calculations!$C$8-Calculations!$C$13))))+'Reaction Information'!$J$25*10^-1*(Calculations!$M58-Calculations!$C$9)+'Reaction Information'!$K$25*10^2*LN((Calculations!$C$12+Calculations!$M58)/(Calculations!$C$12+Calculations!$C$9))+(1/(Calculations!$O58-Calculations!$C$13))*('Reaction Information'!$L$25*(Calculations!$M58-Calculations!$C$9)+'Reaction Information'!$M$25*10^4*LN((Calculations!$C$12+Calculations!$M58)/(Calculations!$C$12+Calculations!$C$9)))+calculateOmega(Calculations!M58,Calculations!N58,Calculations!Q58,'Reaction Information'!$C$25,'Reaction Information'!$P$25*10^5,'Reaction Information'!$Q$25)*((1/Calculations!$S58)-1)-'Reaction Information'!$P$25*10^5*((1/Calculations!$C$10)-1)+'Reaction Information'!$P$25*10^5*Calculations!$C$14*(Calculations!$O58-Calculations!$C$8))</f>
        <v>#N/A</v>
      </c>
      <c r="AJ58" s="8" t="e">
        <f>IF(ISBLANK(Input!$AJ$4),NA(),'Reaction Information'!$E$29-'Reaction Information'!$G$29*(Calculations!$O58-Calculations!$C$8)-'Reaction Information'!$N$29*(Calculations!$O58*LN(Calculations!$O58/Calculations!$C$8)-Calculations!$O58+Calculations!$C$8)-'Reaction Information'!$O$29*10^4*(((1/(Calculations!$O58-Calculations!$C$13))-(1/(Calculations!$C$8-Calculations!$C$13)))*((Calculations!$C$13-Calculations!$O58)/(Calculations!$C$13))-(Calculations!$O58/(Calculations!$C$13*Calculations!$C$13))*LN((Calculations!$C$8*(Calculations!$O58-Calculations!$C$13))/(Calculations!$O58*(Calculations!$C$8-Calculations!$C$13))))+'Reaction Information'!$J$29*10^-1*(Calculations!$M58-Calculations!$C$9)+'Reaction Information'!$K$29*10^2*LN((Calculations!$C$12+Calculations!$M58)/(Calculations!$C$12+Calculations!$C$9))+(1/(Calculations!$O58-Calculations!$C$13))*('Reaction Information'!$L$29*(Calculations!$M58-Calculations!$C$9)+'Reaction Information'!$M$29*10^4*LN((Calculations!$C$12+Calculations!$M58)/(Calculations!$C$12+Calculations!$C$9)))+calculateOmega(Calculations!M58,Calculations!N58,Calculations!Q58,'Reaction Information'!$C$29,'Reaction Information'!$P$29*10^5,'Reaction Information'!$Q$29)*((1/Calculations!$S58)-1)-'Reaction Information'!$P$29*10^5*((1/Calculations!$C$10)-1)+'Reaction Information'!$P$29*10^5*Calculations!$C$14*(Calculations!$O58-Calculations!$C$8))</f>
        <v>#N/A</v>
      </c>
      <c r="AK58" s="8" t="e">
        <f>IF(ISBLANK(Input!$AM$4),NA(),'Reaction Information'!$E$33-'Reaction Information'!$G$33*(Calculations!$O58-Calculations!$C$8)-'Reaction Information'!$N$33*(Calculations!$O58*LN(Calculations!$O58/Calculations!$C$8)-Calculations!$O58+Calculations!$C$8)-'Reaction Information'!$O$33*10^4*(((1/(Calculations!$O58-Calculations!$C$13))-(1/(Calculations!$C$8-Calculations!$C$13)))*((Calculations!$C$13-Calculations!$O58)/(Calculations!$C$13))-(Calculations!$O58/(Calculations!$C$13*Calculations!$C$13))*LN((Calculations!$C$8*(Calculations!$O58-Calculations!$C$13))/(Calculations!$O58*(Calculations!$C$8-Calculations!$C$13))))+'Reaction Information'!$J$33*10^-1*(Calculations!$M58-Calculations!$C$9)+'Reaction Information'!$K$33*10^2*LN((Calculations!$C$12+Calculations!$M58)/(Calculations!$C$12+Calculations!$C$9))+(1/(Calculations!$O58-Calculations!$C$13))*('Reaction Information'!$L$33*(Calculations!$M58-Calculations!$C$9)+'Reaction Information'!$M$33*10^4*LN((Calculations!$C$12+Calculations!$M58)/(Calculations!$C$12+Calculations!$C$9)))+calculateOmega(Calculations!M58,Calculations!N58,Calculations!Q58,'Reaction Information'!$C$33,'Reaction Information'!$P$33*10^5,'Reaction Information'!$Q$33)*((1/Calculations!$S58)-1)-'Reaction Information'!$P$33*10^5*((1/Calculations!$C$10)-1)+'Reaction Information'!$P$33*10^5*Calculations!$C$14*(Calculations!$O58-Calculations!$C$8))</f>
        <v>#N/A</v>
      </c>
      <c r="AL58" s="1">
        <f>Results!S60</f>
        <v>0</v>
      </c>
      <c r="AM58" s="1">
        <f>Results!T60</f>
        <v>0</v>
      </c>
      <c r="AN58" s="1">
        <f>Results!U60</f>
        <v>0</v>
      </c>
      <c r="AO58" s="1">
        <f>Results!V60</f>
        <v>0</v>
      </c>
      <c r="AP58" s="8" t="e">
        <f>IF(ISBLANK(Input!$BB$4),NA(),'Reaction Information'!$E$38-'Reaction Information'!$G$38*(Calculations!$O58-Calculations!$C$8)+'Reaction Information'!$I$38*(Calculations!$O58-Calculations!$C$8-Calculations!$O58*LN(Calculations!$O58/Calculations!$C$8))+'Reaction Information'!$J$38*0.001/2*(2*Calculations!$O58*Calculations!$C$8-Calculations!$O58^2-Calculations!$C$8^2) + 'Reaction Information'!$K$38*100000*(Calculations!$O58^2 + Calculations!$C$8^2 - 2*Calculations!$O58*Calculations!$C$8)/(2*Calculations!$O58*Calculations!$C$8^2))</f>
        <v>#N/A</v>
      </c>
      <c r="AQ58" s="8" t="e">
        <f>IF(ISBLANK(Input!$BE$4),NA(),'Reaction Information'!$E$42-'Reaction Information'!$G$42*(Calculations!$O58-Calculations!$C$8)+'Reaction Information'!$I$42*(Calculations!$O58-Calculations!$C$8-Calculations!$O58*LN(Calculations!$O58/Calculations!$C$8))+'Reaction Information'!$J$42*0.001/2*(2*Calculations!$O58*Calculations!$C$8-Calculations!$O58^2-Calculations!$C$8^2) + 'Reaction Information'!$K$42*100000*(Calculations!$O58^2 + Calculations!$C$8^2 - 2*Calculations!$O58*Calculations!$C$8)/(2*Calculations!$O58*Calculations!$C$8^2))</f>
        <v>#N/A</v>
      </c>
      <c r="AR58" s="8" t="e">
        <f>IF(AR$5="H2O", IF($D$24=3,IF(T58=0,NA(),T58),calculateGibbsOfWater(M58,N58,$D$24,$D$20,$D$19=3)),NA())</f>
        <v>#N/A</v>
      </c>
      <c r="AS58" s="8">
        <f>IF(ISBLANK(Input!$BK$4),NA(),'Reaction Information'!$E$46-'Reaction Information'!$G$46*(Calculations!O58-Calculations!$C$8)-'Reaction Information'!$N$46*(Calculations!O58*LN(Calculations!O58/Calculations!$C$8)-Calculations!O58+Calculations!$C$8)-'Reaction Information'!$O$46*10^4*(((1/(Calculations!O58-Calculations!$C$13))-(1/(Calculations!$C$8-Calculations!$C$13)))*((Calculations!$C$13-Calculations!O58)/(Calculations!$C$13))-(Calculations!O58/(Calculations!$C$13*Calculations!$C$13))*LN((Calculations!$C$8*(Calculations!O58-Calculations!$C$13))/(Calculations!O58*(Calculations!$C$8-Calculations!$C$13))))+'Reaction Information'!$J$46*10^-1*(Calculations!$M58-Calculations!$C$9)+'Reaction Information'!$K$46*10^2*LN((Calculations!$C$12+Calculations!$M58)/(Calculations!$C$12+Calculations!$C$9))+(1/(Calculations!O58-Calculations!$C$13))*('Reaction Information'!$L$46*(Calculations!$M58-Calculations!$C$9)+'Reaction Information'!$M$46*10^4*LN((Calculations!$C$12+Calculations!$M58)/(Calculations!$C$12+Calculations!$C$9)))+calculateOmega(Calculations!M58,Calculations!N58,Calculations!Q58,'Reaction Information'!$C$46,'Reaction Information'!$P$46*10^5,'Reaction Information'!$Q$46)*((1/Calculations!S58)-1)-'Reaction Information'!$P$46*10^5*((1/Calculations!$C$10)-1)+'Reaction Information'!$P$46*10^5*Calculations!$C$14*(Calculations!O58-Calculations!$C$8))</f>
        <v>0</v>
      </c>
      <c r="AT58" s="8">
        <f>IF(ISBLANK(Input!$BN$4),NA(),'Reaction Information'!$E$50-'Reaction Information'!$G$50*(Calculations!O58-Calculations!$C$8)-'Reaction Information'!$N$50*(Calculations!O58*LN(Calculations!O58/Calculations!$C$8)-Calculations!O58+Calculations!$C$8)-'Reaction Information'!$O$50*10^4*(((1/(Calculations!O58-Calculations!$C$13))-(1/(Calculations!$C$8-Calculations!$C$13)))*((Calculations!$C$13-Calculations!O58)/(Calculations!$C$13))-(Calculations!O58/(Calculations!$C$13*Calculations!$C$13))*LN((Calculations!$C$8*(Calculations!O58-Calculations!$C$13))/(Calculations!O58*(Calculations!$C$8-Calculations!$C$13))))+'Reaction Information'!$J$50*10^-1*(Calculations!$M58-Calculations!$C$9)+'Reaction Information'!$K$50*10^2*LN((Calculations!$C$12+Calculations!$M58)/(Calculations!$C$12+Calculations!$C$9))+(1/(Calculations!O58-Calculations!$C$13))*('Reaction Information'!$L$50*(Calculations!$M58-Calculations!$C$9)+'Reaction Information'!$M$50*10^4*LN((Calculations!$C$12+Calculations!$M58)/(Calculations!$C$12+Calculations!$C$9)))+calculateOmega(Calculations!M58,Calculations!N58,Calculations!Q58,'Reaction Information'!$C$50,'Reaction Information'!$P$50*10^5,'Reaction Information'!$Q$50)*((1/Calculations!S58)-1)-'Reaction Information'!$P$50*10^5*((1/Calculations!$C$10)-1)+'Reaction Information'!$P$50*10^5*Calculations!$C$14*(Calculations!O58-Calculations!$C$8))</f>
        <v>-143963.73097353196</v>
      </c>
      <c r="AU58" s="8" t="e">
        <f>IF(ISBLANK(Input!$BQ$4),NA(),'Reaction Information'!$E$54-'Reaction Information'!$G$54*(Calculations!$O58-Calculations!$C$8)-'Reaction Information'!$N$54*(Calculations!$O58*LN(Calculations!$O58/Calculations!$C$8)-Calculations!$O58+Calculations!$C$8)-'Reaction Information'!$O$54*10^4*(((1/(Calculations!$O58-Calculations!$C$13))-(1/(Calculations!$C$8-Calculations!$C$13)))*((Calculations!$C$13-Calculations!$O58)/(Calculations!$C$13))-(Calculations!$O58/(Calculations!$C$13*Calculations!$C$13))*LN((Calculations!$C$8*(Calculations!$O58-Calculations!$C$13))/(Calculations!$O58*(Calculations!$C$8-Calculations!$C$13))))+'Reaction Information'!$J$54*10^-1*(Calculations!$M58-Calculations!$C$9)+'Reaction Information'!$K$54*10^2*LN((Calculations!$C$12+Calculations!$M58)/(Calculations!$C$12+Calculations!$C$9))+(1/(Calculations!$O58-Calculations!$C$13))*('Reaction Information'!$L$54*(Calculations!$M58-Calculations!$C$9)+'Reaction Information'!$M$54*10^4*LN((Calculations!$C$12+Calculations!$M58)/(Calculations!$C$12+Calculations!$C$9)))+calculateOmega(Calculations!M58,Calculations!N58,Calculations!Q58,'Reaction Information'!$C$54,'Reaction Information'!$P$54*10^5,'Reaction Information'!$Q$54)*((1/Calculations!$S58)-1)-'Reaction Information'!$P$54*10^5*((1/Calculations!$C$10)-1)+'Reaction Information'!$P$54*10^5*Calculations!$C$14*(Calculations!$O58-Calculations!$C$8))</f>
        <v>#N/A</v>
      </c>
      <c r="AV58" s="8" t="e">
        <f>IF(ISBLANK(Input!$BT$4),NA(),'Reaction Information'!$E$58-'Reaction Information'!$G$58*(Calculations!$O58-Calculations!$C$8)-'Reaction Information'!$N$58*(Calculations!$O58*LN(Calculations!$O58/Calculations!$C$8)-Calculations!$O58+Calculations!$C$8)-'Reaction Information'!$O$58*10^4*(((1/(Calculations!$O58-Calculations!$C$13))-(1/(Calculations!$C$8-Calculations!$C$13)))*((Calculations!$C$13-Calculations!$O58)/(Calculations!$C$13))-(Calculations!$O58/(Calculations!$C$13*Calculations!$C$13))*LN((Calculations!$C$8*(Calculations!$O58-Calculations!$C$13))/(Calculations!$O58*(Calculations!$C$8-Calculations!$C$13))))+'Reaction Information'!$J$58*10^-1*(Calculations!$M58-Calculations!$C$9)+'Reaction Information'!$K$58*10^2*LN((Calculations!$C$12+Calculations!$M58)/(Calculations!$C$12+Calculations!$C$9))+(1/(Calculations!$O58-Calculations!$C$13))*('Reaction Information'!$L$58*(Calculations!$M58-Calculations!$C$9)+'Reaction Information'!$M$58*10^4*LN((Calculations!$C$12+Calculations!$M58)/(Calculations!$C$12+Calculations!$C$9)))+calculateOmega(Calculations!M58,Calculations!N58,Calculations!Q58,'Reaction Information'!$C$58,'Reaction Information'!$P$58*10^5,'Reaction Information'!$Q$58)*((1/Calculations!$S58)-1)-'Reaction Information'!$P$58*10^5*((1/Calculations!$C$10)-1)+'Reaction Information'!$P$58*10^5*Calculations!$C$14*(Calculations!$O58-Calculations!$C$8))</f>
        <v>#N/A</v>
      </c>
      <c r="AW58" s="8" t="e">
        <f>IF(ISBLANK(Input!$BW$4),NA(),'Reaction Information'!$E$62-'Reaction Information'!$G$62*(Calculations!$O58-Calculations!$C$8)-'Reaction Information'!$N$62*(Calculations!$O58*LN(Calculations!$O58/Calculations!$C$8)-Calculations!$O58+Calculations!$C$8)-'Reaction Information'!$O$62*10^4*(((1/(Calculations!$O58-Calculations!$C$13))-(1/(Calculations!$C$8-Calculations!$C$13)))*((Calculations!$C$13-Calculations!$O58)/(Calculations!$C$13))-(Calculations!$O58/(Calculations!$C$13*Calculations!$C$13))*LN((Calculations!$C$8*(Calculations!$O58-Calculations!$C$13))/(Calculations!$O58*(Calculations!$C$8-Calculations!$C$13))))+'Reaction Information'!$J$62*10^-1*(Calculations!$M58-Calculations!$C$9)+'Reaction Information'!$K$62*10^2*LN((Calculations!$C$12+Calculations!$M58)/(Calculations!$C$12+Calculations!$C$9))+(1/(Calculations!$O58-Calculations!$C$13))*('Reaction Information'!$L$62*(Calculations!$M58-Calculations!$C$9)+'Reaction Information'!$M$62*10^4*LN((Calculations!$C$12+Calculations!$M58)/(Calculations!$C$12+Calculations!$C$9)))+calculateOmega(Calculations!M58,Calculations!N58,Calculations!Q58,'Reaction Information'!$C$62,'Reaction Information'!$P$62*10^5,'Reaction Information'!$Q$62)*((1/Calculations!$S58)-1)-'Reaction Information'!$P$62*10^5*((1/Calculations!$C$10)-1)+'Reaction Information'!$P$62*10^5*Calculations!$C$14*(Calculations!$O58-Calculations!$C$8))</f>
        <v>#N/A</v>
      </c>
      <c r="AX58" s="8" t="e">
        <f>IF(ISBLANK(Input!$BZ$4),NA(),'Reaction Information'!$E$66-'Reaction Information'!$G$66*(Calculations!$O58-Calculations!$C$8)-'Reaction Information'!$N$66*(Calculations!$O58*LN(Calculations!$O58/Calculations!$C$8)-Calculations!$O58+Calculations!$C$8)-'Reaction Information'!$O$66*10^4*(((1/(Calculations!$O58-Calculations!$C$13))-(1/(Calculations!$C$8-Calculations!$C$13)))*((Calculations!$C$13-Calculations!$O58)/(Calculations!$C$13))-(Calculations!$O58/(Calculations!$C$13*Calculations!$C$13))*LN((Calculations!$C$8*(Calculations!$O58-Calculations!$C$13))/(Calculations!$O58*(Calculations!$C$8-Calculations!$C$13))))+'Reaction Information'!$J$66*10^-1*(Calculations!$M58-Calculations!$C$9)+'Reaction Information'!$K$66*10^2*LN((Calculations!$C$12+Calculations!$M58)/(Calculations!$C$12+Calculations!$C$9))+(1/(Calculations!$O58-Calculations!$C$13))*('Reaction Information'!$L$66*(Calculations!$M58-Calculations!$C$9)+'Reaction Information'!$M$66*10^4*LN((Calculations!$C$12+Calculations!$M58)/(Calculations!$C$12+Calculations!$C$9)))+calculateOmega(Calculations!M58,Calculations!N58,Calculations!Q58,'Reaction Information'!$C$66,'Reaction Information'!$P$66*10^5,'Reaction Information'!$Q$66)*((1/Calculations!$S58)-1)-'Reaction Information'!$P$66*10^5*((1/Calculations!$C$10)-1)+'Reaction Information'!$P$66*10^5*Calculations!$C$14*(Calculations!$O58-Calculations!$C$8))</f>
        <v>#N/A</v>
      </c>
      <c r="AY58" s="31">
        <f>(AL58*Input!$AO$4+AM58*Input!$AR$4+AN58*Input!$AU$4+AO58*Input!$AX$4+IF(ISNA(AP58),0,AP58*Input!$BA$4)+IF(ISNA(AQ58),0,AQ58*Input!$BD$4)+IF(ISNA(AR58),0,AR58*Input!$BG$4)+IF(ISNA(AS58),0,AS58*Input!$BJ$4)+IF(ISNA(AT58),0,AT58*Input!$BM$4)+IF(ISNA(AU58),0,AU58*Input!$BP$4)+IF(ISNA(AV58),0,AV58*Input!$BS$4)+IF(ISNA(AW58),0,AW58*Input!$BV$4)+IF(ISNA(AX58),0,AX58*Input!$BY$4))-(Y58*Input!$B$4+Z58*Input!$E$4+AA58*Input!$H$4+AB58*Input!$K$4+IF(ISNA(AC58),0,AC58*Input!$N$4)+IF(ISNA(AD58),0,AD58*Input!$Q$4)+IF(ISNA(AE58),0,AE58*Input!$T$4)+IF(ISNA(AF58),0,AF58*Input!$W$4)+IF(ISNA(AG58),0,AG58*Input!$Z$4)+IF(ISNA(AH58),0,AH58*Input!$AC$4)+IF(ISNA(AI58),0,AI58*Input!$AF$4)+IF(ISNA(AJ58),0,AJ58*Input!$AI$4)+IF(ISNA(AK58),0,AK58*Input!$AL$4))</f>
        <v>24283.444467520312</v>
      </c>
      <c r="AZ58" s="42">
        <f t="shared" si="16"/>
        <v>-5.7526756548583755</v>
      </c>
      <c r="BA58" s="1">
        <f t="shared" si="8"/>
        <v>650</v>
      </c>
      <c r="BB58" s="46">
        <f t="shared" si="9"/>
        <v>20000</v>
      </c>
      <c r="BC58" s="1"/>
      <c r="BD58" s="2">
        <f t="shared" si="10"/>
        <v>20000</v>
      </c>
      <c r="BE58" s="46">
        <f t="shared" si="11"/>
        <v>650</v>
      </c>
      <c r="BF58" s="1">
        <f>Results!AJ60</f>
        <v>0</v>
      </c>
      <c r="BG58" s="1">
        <f>Results!AK60</f>
        <v>0</v>
      </c>
      <c r="BH58" s="1">
        <f>Results!AL60</f>
        <v>0</v>
      </c>
      <c r="BI58" s="1">
        <f>Results!AM60</f>
        <v>0</v>
      </c>
      <c r="BJ58" s="1" t="e">
        <f>IF(OR(ISNA('Reaction Information'!$D$5), $N58 = "", $D$27 = FALSE, 'Reaction Information'!$D$5 = ""), NA(), 24.465)</f>
        <v>#N/A</v>
      </c>
      <c r="BK58" s="1" t="e">
        <f>IF(OR(ISNA('Reaction Information'!$D$9), $N58 = "", $D$27 = FALSE, 'Reaction Information'!$D$9 = ""), NA(), 24.465)</f>
        <v>#N/A</v>
      </c>
      <c r="BL58" s="8">
        <f t="shared" si="17"/>
        <v>16.196334369189128</v>
      </c>
      <c r="BM58" s="8">
        <f>IF(OR(ISBLANK(Input!$X$4),$D$27=FALSE),NA(),('Reaction Information'!$J$13/10+'Reaction Information'!$K$13*100/(Calculations!$C$12+Calculations!$M58)+('Reaction Information'!$L$13+'Reaction Information'!$M$13*10^4/(Calculations!$C$12+Calculations!$M58))/(Calculations!$O58-Calculations!$C$13) -calculateOmega(Calculations!$M58,Calculations!$N58,Calculations!$Q58,'Reaction Information'!$C$13,'Reaction Information'!$P$13*10^5,'Reaction Information'!$Q$13)*Calculations!$U58*10^-6 + (1/$S58 - 1)*calculate_domegadP(Calculations!$M58,Calculations!$N58,Calculations!$Q58,'Reaction Information'!$C$13,'Reaction Information'!$P$13*10^5,'Reaction Information'!$Q$13,$D$20,$D$19=3))*41.84)</f>
        <v>31.308624952347252</v>
      </c>
      <c r="BN58" s="8" t="e">
        <f>IF(OR(ISBLANK(Input!$AA$4),$D$27=FALSE),NA(),('Reaction Information'!$J$17/10+'Reaction Information'!$K$17*100/(Calculations!$C$12+Calculations!$M58)+('Reaction Information'!$L$17+'Reaction Information'!$M$17*10000/(Calculations!$C$12+Calculations!$M58))/(Calculations!$O58-Calculations!$C$13)-calculateOmega(Calculations!M58,Calculations!N58,Calculations!Q58,'Reaction Information'!$C$17,'Reaction Information'!$P$17*10^5,'Reaction Information'!$Q$17)*Calculations!$U58*10^-6 + (1/$S58 - 1)*calculate_domegadP(Calculations!M58,Calculations!N58,Calculations!Q58,'Reaction Information'!$C$17,'Reaction Information'!$P$17*10^5,'Reaction Information'!$Q$17,$D$20,$D$19=3))*41.84)</f>
        <v>#N/A</v>
      </c>
      <c r="BO58" s="8" t="e">
        <f>IF(OR(ISBLANK(Input!$AD$4),$D$27=FALSE),NA(),('Reaction Information'!$J$21/10+'Reaction Information'!$K$21*100/(Calculations!$C$12+Calculations!$M58)+('Reaction Information'!$L$21+'Reaction Information'!$M$21*10000/(Calculations!$C$12+Calculations!$M58))/(Calculations!$O58-Calculations!$C$13)-calculateOmega(Calculations!M58,Calculations!N58,Calculations!Q58,'Reaction Information'!$C$21,'Reaction Information'!$P$21*10^5,'Reaction Information'!$Q$21)*Calculations!$U58*10^-6 + (1/$S58 - 1)*calculate_domegadP(Calculations!M58,Calculations!N58,Calculations!Q58,'Reaction Information'!$C$21,'Reaction Information'!$P$21*10^5,'Reaction Information'!$Q$21,$D$20,$D$19=3))*41.84)</f>
        <v>#N/A</v>
      </c>
      <c r="BP58" s="8" t="e">
        <f>IF(OR(ISBLANK(Input!$AG$4),$D$27=FALSE),NA(),('Reaction Information'!$J$25/10+'Reaction Information'!$K$25*100/(Calculations!$C$12+Calculations!$M58)+('Reaction Information'!$L$25+'Reaction Information'!$M$25*10000/(Calculations!$C$12+Calculations!$M58))/(Calculations!$O58-Calculations!$C$13)-calculateOmega(Calculations!M58,Calculations!N58,Calculations!Q58,'Reaction Information'!$C$25,'Reaction Information'!$P$25*10^5,'Reaction Information'!$Q$25)*Calculations!$U58*10^-6 + (1/$S58 - 1)*calculate_domegadP(Calculations!M58,Calculations!N58,Calculations!Q58,'Reaction Information'!$C$25,'Reaction Information'!$P$25*10^5,'Reaction Information'!$Q$25,$D$20,$D$19=3))*41.84)</f>
        <v>#N/A</v>
      </c>
      <c r="BQ58" s="8" t="e">
        <f>IF(OR(ISBLANK(Input!$AJ$4),$D$27=FALSE),NA(),('Reaction Information'!$J$29/10+'Reaction Information'!$K$29*100/(Calculations!$C$12+Calculations!$M58)+('Reaction Information'!$L$29+'Reaction Information'!$M$29*10000/(Calculations!$C$12+Calculations!$M58))/(Calculations!$O58-Calculations!$C$13)-calculateOmega(Calculations!M58,Calculations!N58,Calculations!Q58,'Reaction Information'!$C$29,'Reaction Information'!$P$29*10^5,'Reaction Information'!$Q$29)*Calculations!$U58*10^-6 + (1/$S58 - 1)*calculate_domegadP(Calculations!M58,Calculations!N58,Calculations!Q58,'Reaction Information'!$C$29,'Reaction Information'!$P$29*10^5,'Reaction Information'!$Q$29,$D$20,$D$19=3))*41.84)</f>
        <v>#N/A</v>
      </c>
      <c r="BR58" s="8" t="e">
        <f>IF(OR(ISBLANK(Input!$AM$4),$D$27=FALSE),NA(),('Reaction Information'!$J$33/10+'Reaction Information'!$K$33*100/(Calculations!$C$12+Calculations!$M58)+('Reaction Information'!$L$33+'Reaction Information'!$M$33*10000/(Calculations!$C$12+Calculations!$M58))/(Calculations!$O58-Calculations!$C$13)-calculateOmega(Calculations!M58,Calculations!N58,Calculations!Q58,'Reaction Information'!$C$33,'Reaction Information'!$P$33*10^5,'Reaction Information'!$Q$33)*Calculations!$U58*10^-6 + (1/$S58 - 1)*calculate_domegadP(Calculations!M58,Calculations!N58,Calculations!Q58,'Reaction Information'!$C$33,'Reaction Information'!$P$33*10^5,'Reaction Information'!$Q$33,$D$20,$D$19=3))*41.84)</f>
        <v>#N/A</v>
      </c>
      <c r="BS58" s="1">
        <f>Results!AW60</f>
        <v>0</v>
      </c>
      <c r="BT58" s="1">
        <f>Results!AX60</f>
        <v>0</v>
      </c>
      <c r="BU58" s="1">
        <f>Results!AY60</f>
        <v>0</v>
      </c>
      <c r="BV58" s="1">
        <f>Results!AZ60</f>
        <v>0</v>
      </c>
      <c r="BW58" s="1" t="e">
        <f>IF(OR(ISNA('Reaction Information'!$D$38), $N58 = "", $D$27 = FALSE, 'Reaction Information'!$D$38 = ""), NA(), 24.465)</f>
        <v>#N/A</v>
      </c>
      <c r="BX58" s="1" t="e">
        <f>IF(OR(ISNA('Reaction Information'!$D$42), $N58 = "", $D$27 = FALSE, 'Reaction Information'!$D$42 = ""), NA(), 24.465)</f>
        <v>#N/A</v>
      </c>
      <c r="BY58" s="8" t="e">
        <f t="shared" si="18"/>
        <v>#N/A</v>
      </c>
      <c r="BZ58" s="8">
        <f>IF(OR(ISBLANK(Input!$BK$4),$D$27=FALSE),NA(),('Reaction Information'!$J$46/10+'Reaction Information'!$K$46*100/(Calculations!$C$12+Calculations!$M58)+('Reaction Information'!$L$46+'Reaction Information'!$M$46*10000/(Calculations!$C$12+Calculations!$M58))/(Calculations!$O58-Calculations!$C$13)-calculateOmega(Calculations!M58,Calculations!N58,Calculations!Q58,'Reaction Information'!$C$46,'Reaction Information'!$P$46*10^5,'Reaction Information'!$Q$46)*Calculations!$U58*10^-6 + (1/$S58 - 1)*calculate_domegadP(Calculations!M58,Calculations!N58,Calculations!Q58,'Reaction Information'!$C$46,'Reaction Information'!$P$46*10^5,'Reaction Information'!$Q$46,$D$20,$D$19=3))*41.84)</f>
        <v>0</v>
      </c>
      <c r="CA58" s="8">
        <f>IF(OR(ISBLANK(Input!$BN$4),$D$27=FALSE),NA(),('Reaction Information'!$J$50/10+'Reaction Information'!$K$50*100/(Calculations!$C$12+Calculations!$M58)+('Reaction Information'!$L$50+'Reaction Information'!$M$50*10000/(Calculations!$C$12+Calculations!$M58))/(Calculations!$O58-Calculations!$C$13)-calculateOmega(Calculations!M58,Calculations!N58,Calculations!Q58,'Reaction Information'!$C$50,'Reaction Information'!$P$50*10^5,'Reaction Information'!$Q$50)*Calculations!$U58*10^-6 + (1/$S58 - 1)*calculate_domegadP(Calculations!M58,Calculations!N58,Calculations!Q58,'Reaction Information'!$C$50,'Reaction Information'!$P$50*10^5,'Reaction Information'!$Q$50,$D$20,$D$19=3))*41.84)</f>
        <v>29.520769628607329</v>
      </c>
      <c r="CB58" s="8" t="e">
        <f>IF(OR(ISBLANK(Input!$BQ$4),$D$27=FALSE),NA(),('Reaction Information'!$J$54/10+'Reaction Information'!$K$54*100/(Calculations!$C$12+Calculations!$M58)+('Reaction Information'!$L$54+'Reaction Information'!$M$54*10000/(Calculations!$C$12+Calculations!$M58))/(Calculations!$O58-Calculations!$C$13)-calculateOmega(Calculations!M58,Calculations!N58,Calculations!Q58,'Reaction Information'!$C$54,'Reaction Information'!$P$54*10^5,'Reaction Information'!$Q$54)*Calculations!$U58*10^-6 + (1/$S58 - 1)*calculate_domegadP(Calculations!M58,Calculations!N58,Calculations!Q58,'Reaction Information'!$C$54,'Reaction Information'!$P$54*10^5,'Reaction Information'!$Q$54,$D$20,$D$19=3))*41.84)</f>
        <v>#N/A</v>
      </c>
      <c r="CC58" s="8" t="e">
        <f>IF(OR(ISBLANK(Input!$BT$4),$D$27=FALSE),NA(),('Reaction Information'!$J$58/10+'Reaction Information'!$K$58*100/(Calculations!$C$12+Calculations!$M58)+('Reaction Information'!$L$58+'Reaction Information'!$M$58*10000/(Calculations!$C$12+Calculations!$M58))/(Calculations!$O58-Calculations!$C$13)-calculateOmega(Calculations!M58,Calculations!N58,Calculations!Q58,'Reaction Information'!$C$58,'Reaction Information'!$P$58*10^5,'Reaction Information'!$Q$58)*Calculations!$U58*10^-6 + (1/$S58 - 1)*calculate_domegadP(Calculations!M58,Calculations!N58,Calculations!Q58,'Reaction Information'!$C$58,'Reaction Information'!$P$58*10^5,'Reaction Information'!$Q$58,$D$20,$D$19=3))*41.84)</f>
        <v>#N/A</v>
      </c>
      <c r="CD58" s="8" t="e">
        <f>IF(OR(ISBLANK(Input!$BW$4),$D$27=FALSE),NA(),('Reaction Information'!$J$62/10+'Reaction Information'!$K$62*100/(Calculations!$C$12+Calculations!$M58)+('Reaction Information'!$L$62+'Reaction Information'!$M$62*10000/(Calculations!$C$12+Calculations!$M58))/(Calculations!$O58-Calculations!$C$13)-calculateOmega(Calculations!M58,Calculations!N58,Calculations!Q58,'Reaction Information'!$C$62,'Reaction Information'!$P$62*10^5,'Reaction Information'!$Q$62)*Calculations!$U58*10^-6 + (1/$S58 - 1)*calculate_domegadP(Calculations!M58,Calculations!N58,Calculations!Q58,'Reaction Information'!$C$62,'Reaction Information'!$P$62*10^5,'Reaction Information'!$Q$62,$D$20,$D$19=3))*41.84)</f>
        <v>#N/A</v>
      </c>
      <c r="CE58" s="8" t="e">
        <f>IF(OR(ISBLANK(Input!$BZ$4),$D$27=FALSE),NA(),('Reaction Information'!$J$66/10+'Reaction Information'!$K$66*100/(Calculations!$C$12+Calculations!$M58)+('Reaction Information'!$L$66+'Reaction Information'!$M$66*10000/(Calculations!$C$12+Calculations!$M58))/(Calculations!$O58-Calculations!$C$13)-calculateOmega(Calculations!M58,Calculations!N58,Calculations!Q58,'Reaction Information'!$C$66,'Reaction Information'!$P$66*10^5,'Reaction Information'!$Q$66)*Calculations!$U58*10^-6 + (1/$S58 - 1)*calculate_domegadP(Calculations!M58,Calculations!N58,Calculations!Q58,'Reaction Information'!$C$66,'Reaction Information'!$P$66*10^5,'Reaction Information'!$Q$66,$D$20,$D$19=3))*41.84)</f>
        <v>#N/A</v>
      </c>
      <c r="CF58" s="31">
        <f>(BS58*Input!$AO$4+BT58*Input!$AR$4+BU58*Input!$AU$4+BV58*Input!$AX$4+IF(ISNA(BW58),0,BW58*Input!$BA$4)+IF(ISNA(BX58),0,BX58*Input!$BD$4)+IF(ISNA(BY58),0,BY58*Input!$BG$4)+IF(ISNA(BZ58),0,BZ58*Input!$BJ$4)+IF(ISNA(CA58),0,CA58*Input!$BM$4)+IF(ISNA(CB58),0,CB58*Input!$BP$4)+IF(ISNA(CC58),0,CC58*Input!$BS$4)+IF(ISNA(CD58),0,CD58*Input!$BV$4)+IF(ISNA(CE58),0,CE58*Input!$BY$4))-(BF58*Input!$B$4+BG58*Input!$E$4+BH58*Input!$H$4+BI58*Input!$K$4+IF(ISNA(BJ58),0,BJ58*Input!$N$4)+IF(ISNA(BK58),0,BK58*Input!$Q$4)+IF(ISNA(BL58),0,BL58*Input!$T$4)+IF(ISNA(BM58),0,BM58*Input!$W$4)+IF(ISNA(BN58),0,BN58*Input!$Z$4)+IF(ISNA(BO58),0,BO58*Input!$AC$4)+IF(ISNA(BP58),0,BP58*Input!$AF$4)+IF(ISNA(BQ58),0,BQ58*Input!$AI$4)+IF(ISNA(BR58),0,BR58*Input!$AL$4))</f>
        <v>-17.984189692929046</v>
      </c>
      <c r="CG58" s="1">
        <f t="shared" si="12"/>
        <v>650</v>
      </c>
      <c r="CH58" s="46">
        <f t="shared" si="13"/>
        <v>20000</v>
      </c>
      <c r="CI58" s="1"/>
    </row>
    <row r="59" spans="1:87" x14ac:dyDescent="0.2">
      <c r="A59" s="1"/>
      <c r="E59" s="1"/>
      <c r="F59" s="2">
        <v>54</v>
      </c>
      <c r="G59" s="1" t="str">
        <f>IF(ISBLANK(Input!CB59), "", Input!CB59*1000)</f>
        <v/>
      </c>
      <c r="H59" s="1" t="str">
        <f>IF(ISBLANK(Input!CC59), "", Input!CC59)</f>
        <v/>
      </c>
      <c r="I59" s="1">
        <f>IF(Input!$CF$5 + Input!$CF$6*(FLOOR((Calculations!$F59-1)/(FLOOR((Input!$CF$12-Input!$CF$10)/Input!$CF$11,1)+1),1)) &gt; Input!$CF$7, "", (Input!$CF$5 + Input!$CF$6*(FLOOR((Calculations!$F59-1)/(FLOOR((Input!$CF$12-Input!$CF$10)/Input!$CF$11,1)+1),1)))*1000)</f>
        <v>20000</v>
      </c>
      <c r="J59" s="1">
        <f>IF(Calculations!I59 = "", "", Input!$CF$10 + Input!$CF$11*(Calculations!$F59-1) - (FLOOR((Input!$CF$12-Input!$CF$10)/Input!$CF$11,1)+1)*Input!$CF$11*FLOOR((Calculations!$F59-1)/(FLOOR((Input!$CF$12-Input!$CF$10)/Input!$CF$11,1)+1),1))</f>
        <v>700</v>
      </c>
      <c r="K59" s="8" t="str">
        <f t="shared" si="14"/>
        <v/>
      </c>
      <c r="L59" s="117" t="str">
        <f>IF(OR(Input!$CJ$5 + Input!$CJ$6*(Calculations!F59-1) &gt; Input!$CJ$7, Input!$CJ$5 + Input!$CJ$6*(Calculations!F59-1) &gt; 350), "", Input!$CJ$5 + Input!$CJ$6*(Calculations!F59-1))</f>
        <v/>
      </c>
      <c r="M59" s="1">
        <f t="shared" si="2"/>
        <v>20000</v>
      </c>
      <c r="N59" s="1">
        <f t="shared" si="3"/>
        <v>700</v>
      </c>
      <c r="O59" s="1">
        <f t="shared" si="15"/>
        <v>973.15</v>
      </c>
      <c r="P59" s="1" t="e">
        <f>IF(OR($D$20=3,AND($D$21=TRUE,M59&lt;1000)),INDEX('Water Density'!$C$6:$CX$120,MATCH(Calculations!N59,'Water Density'!$B$6:$B$120),MATCH(Calculations!M59/1000,'Water Density'!$C$5:$CX$5)),NA())</f>
        <v>#N/A</v>
      </c>
      <c r="Q59" s="182">
        <f>IF(OR($D$20=3,AND($D$21=TRUE,M59&lt;1000)), IF(P59&lt;&gt;0,P59,NA()), calculateDensity(M59,N59,$D$20,0.01,$D$19 = 3))</f>
        <v>1.0952060982286933</v>
      </c>
      <c r="R59" s="1" t="e">
        <f>IF($D$22=5,INDEX('Dielectric Constant'!$C$6:$CX$120,MATCH(Calculations!N59,'Dielectric Constant'!$B$6:$B$120),MATCH(Calculations!M59/1000,'Dielectric Constant'!$C$5:$CX$5)),NA())</f>
        <v>#N/A</v>
      </c>
      <c r="S59" s="58">
        <f>IF($D$22=5, IF(R59&lt;&gt;0,R59,NA()), IF(AND($D$23,M59&lt;=5000,$D$19 &lt;&gt; 3),calculateEpsilon(Q59,N59,1,FALSE),calculateEpsilon(Q59,N59,$D$22,$D$19 = 3)))</f>
        <v>20.205579923264295</v>
      </c>
      <c r="T59" s="1" t="e">
        <f>IF($D$24=3,INDEX('Water Free Energy'!$C$6:$CX$120,MATCH(Calculations!N59,'Water Free Energy'!$B$6:$B$120),MATCH(Calculations!M59/1000,'Water Free Energy'!$C$5:$CX$5)),NA())</f>
        <v>#N/A</v>
      </c>
      <c r="U59" s="179">
        <f>IF($D$27,calculateQ(M59,N59,Q59,$D$20,$D$22,$D$19=3)*10^6,NA())</f>
        <v>0.54052179971140624</v>
      </c>
      <c r="V59"/>
      <c r="W59" s="2">
        <f t="shared" si="5"/>
        <v>20000</v>
      </c>
      <c r="X59" s="1">
        <f t="shared" si="6"/>
        <v>700</v>
      </c>
      <c r="Y59" s="1">
        <f>Results!F61</f>
        <v>0</v>
      </c>
      <c r="Z59" s="1">
        <f>Results!G61</f>
        <v>0</v>
      </c>
      <c r="AA59" s="1">
        <f>Results!H61</f>
        <v>0</v>
      </c>
      <c r="AB59" s="1">
        <f>Results!I61</f>
        <v>0</v>
      </c>
      <c r="AC59" s="1" t="e">
        <f>IF(ISBLANK(Input!$O$4),NA(),'Reaction Information'!$E$5-'Reaction Information'!$G$5*(Calculations!$O59-Calculations!$C$8)+'Reaction Information'!$I$5*(Calculations!$O59-Calculations!$C$8-Calculations!$O59*LN(Calculations!$O59/Calculations!$C$8))+'Reaction Information'!$J$5*0.001/2*(2*Calculations!$O59*Calculations!$C$8-Calculations!$O59^2-Calculations!$C$8^2) + 'Reaction Information'!$K$5*100000*(Calculations!$O59^2 + Calculations!$C$8^2 - 2*Calculations!$O59*Calculations!$C$8)/(2*Calculations!$O59*Calculations!$C$8^2))</f>
        <v>#N/A</v>
      </c>
      <c r="AD59" s="8" t="e">
        <f>IF(ISBLANK(Input!$R$4),NA(),'Reaction Information'!$E$9-'Reaction Information'!$G$9*(Calculations!$O59-Calculations!$C$8)+'Reaction Information'!$I$9*(Calculations!$O59-Calculations!$C$8-Calculations!$O59*LN(Calculations!$O59/Calculations!$C$8))+'Reaction Information'!$J$9*0.001/2*(2*Calculations!$O59*Calculations!$C$8-Calculations!$O59^2-Calculations!$C$8^2) + 'Reaction Information'!$K$9*100000*(Calculations!$O59^2 + Calculations!$C$8^2 - 2*Calculations!$O59*Calculations!$C$8)/(2*Calculations!$O59*Calculations!$C$8^2))</f>
        <v>#N/A</v>
      </c>
      <c r="AE59" s="8">
        <f>IF(AE$5="H2O",IF($D$24=3,IF(T59=0,NA(),T59),calculateGibbsOfWater(M59,N59,$D$24,$D$20,$D$19=3)),NA())</f>
        <v>-66275.755488950963</v>
      </c>
      <c r="AF59" s="8">
        <f>IF(ISBLANK(Input!$X$4),NA(),'Reaction Information'!$E$13-'Reaction Information'!$G$13*(Calculations!O59-Calculations!$C$8)-'Reaction Information'!$N$13*(Calculations!O59*LN(Calculations!O59/Calculations!$C$8)-Calculations!O59+Calculations!$C$8)-'Reaction Information'!$O$13*10^4*(((1/(Calculations!O59-Calculations!$C$13))-(1/(Calculations!$C$8-Calculations!$C$13)))*((Calculations!$C$13-Calculations!O59)/(Calculations!$C$13))-(Calculations!O59/(Calculations!$C$13*Calculations!$C$13))*LN((Calculations!$C$8*(Calculations!O59-Calculations!$C$13))/(Calculations!O59*(Calculations!$C$8-Calculations!$C$13))))+'Reaction Information'!$J$13*10^-1*(Calculations!M59-Calculations!$C$9)+'Reaction Information'!$K$13*10^2*LN((Calculations!$C$12+Calculations!M59)/(Calculations!$C$12+Calculations!$C$9))+(1/(Calculations!O59-Calculations!$C$13))*('Reaction Information'!$L$13*(Calculations!M59-Calculations!$C$9)+'Reaction Information'!$M$13*10^4*LN((Calculations!$C$12+Calculations!M59)/(Calculations!$C$12+Calculations!$C$9)))+calculateOmega(Calculations!M59,Calculations!N59,Calculations!Q59,'Reaction Information'!$C$13,'Reaction Information'!$P$13*10^5,'Reaction Information'!$Q$13)*((1/Calculations!S59)-1)-'Reaction Information'!$P$13*10^5*((1/Calculations!$C$10)-1)+'Reaction Information'!$P$13*10^5*Calculations!$C$14*(Calculations!O59-Calculations!$C$8))</f>
        <v>-105972.5713316937</v>
      </c>
      <c r="AG59" s="8" t="e">
        <f>IF(ISBLANK(Input!$AA$4),NA(),'Reaction Information'!$E$17-'Reaction Information'!$G$17*(Calculations!$O59-Calculations!$C$8)-'Reaction Information'!$N$17*(Calculations!$O59*LN(Calculations!$O59/Calculations!$C$8)-Calculations!$O59+Calculations!$C$8)-'Reaction Information'!$O$17*10^4*(((1/(Calculations!$O59-Calculations!$C$13))-(1/(Calculations!$C$8-Calculations!$C$13)))*((Calculations!$C$13-Calculations!$O59)/(Calculations!$C$13))-(Calculations!$O59/(Calculations!$C$13*Calculations!$C$13))*LN((Calculations!$C$8*(Calculations!$O59-Calculations!$C$13))/(Calculations!$O59*(Calculations!$C$8-Calculations!$C$13))))+'Reaction Information'!$J$17*10^-1*(Calculations!$M59-Calculations!$C$9)+'Reaction Information'!$K$17*10^2*LN((Calculations!$C$12+Calculations!$M59)/(Calculations!$C$12+Calculations!$C$9))+(1/(Calculations!$O59-Calculations!$C$13))*('Reaction Information'!$L$17*(Calculations!$M59-Calculations!$C$9)+'Reaction Information'!$M$17*10^4*LN((Calculations!$C$12+Calculations!$M59)/(Calculations!$C$12+Calculations!$C$9)))+calculateOmega(Calculations!M59,Calculations!N59,Calculations!Q59,'Reaction Information'!$C$17,'Reaction Information'!$P$17*10^5,'Reaction Information'!$Q$17)*((1/Calculations!$S59)-1)-'Reaction Information'!$P$17*10^5*((1/Calculations!$C$10)-1)+'Reaction Information'!$P$17*10^5*Calculations!$C$14*(Calculations!$O59-Calculations!$C$8))</f>
        <v>#N/A</v>
      </c>
      <c r="AH59" s="8" t="e">
        <f>IF(ISBLANK(Input!$AD$4),NA(),'Reaction Information'!$E$21-'Reaction Information'!$G$21*(Calculations!$O59-Calculations!$C$8)-'Reaction Information'!$N$21*(Calculations!$O59*LN(Calculations!$O59/Calculations!$C$8)-Calculations!$O59+Calculations!$C$8)-'Reaction Information'!$O$21*10^4*(((1/(Calculations!$O59-Calculations!$C$13))-(1/(Calculations!$C$8-Calculations!$C$13)))*((Calculations!$C$13-Calculations!$O59)/(Calculations!$C$13))-(Calculations!$O59/(Calculations!$C$13*Calculations!$C$13))*LN((Calculations!$C$8*(Calculations!$O59-Calculations!$C$13))/(Calculations!$O59*(Calculations!$C$8-Calculations!$C$13))))+'Reaction Information'!$J$21*10^-1*(Calculations!$M59-Calculations!$C$9)+'Reaction Information'!$K$21*10^2*LN((Calculations!$C$12+Calculations!$M59)/(Calculations!$C$12+Calculations!$C$9))+(1/(Calculations!$O59-Calculations!$C$13))*('Reaction Information'!$L$21*(Calculations!$M59-Calculations!$C$9)+'Reaction Information'!$M$21*10^4*LN((Calculations!$C$12+Calculations!$M59)/(Calculations!$C$12+Calculations!$C$9)))+calculateOmega(Calculations!M59,Calculations!N59,Calculations!Q59,'Reaction Information'!$C$21,'Reaction Information'!$P$21*10^5,'Reaction Information'!$Q$21)*((1/Calculations!$S59)-1)-'Reaction Information'!$P$21*10^5*((1/Calculations!$C$10)-1)+'Reaction Information'!$P$21*10^5*Calculations!$C$14*(Calculations!$O59-Calculations!$C$8))</f>
        <v>#N/A</v>
      </c>
      <c r="AI59" s="8" t="e">
        <f>IF(ISBLANK(Input!$AG$4),NA(),'Reaction Information'!$E$25-'Reaction Information'!$G$25*(Calculations!$O59-Calculations!$C$8)-'Reaction Information'!$N$25*(Calculations!$O59*LN(Calculations!$O59/Calculations!$C$8)-Calculations!$O59+Calculations!$C$8)-'Reaction Information'!$O$25*10^4*(((1/(Calculations!$O59-Calculations!$C$13))-(1/(Calculations!$C$8-Calculations!$C$13)))*((Calculations!$C$13-Calculations!$O59)/(Calculations!$C$13))-(Calculations!$O59/(Calculations!$C$13*Calculations!$C$13))*LN((Calculations!$C$8*(Calculations!$O59-Calculations!$C$13))/(Calculations!$O59*(Calculations!$C$8-Calculations!$C$13))))+'Reaction Information'!$J$25*10^-1*(Calculations!$M59-Calculations!$C$9)+'Reaction Information'!$K$25*10^2*LN((Calculations!$C$12+Calculations!$M59)/(Calculations!$C$12+Calculations!$C$9))+(1/(Calculations!$O59-Calculations!$C$13))*('Reaction Information'!$L$25*(Calculations!$M59-Calculations!$C$9)+'Reaction Information'!$M$25*10^4*LN((Calculations!$C$12+Calculations!$M59)/(Calculations!$C$12+Calculations!$C$9)))+calculateOmega(Calculations!M59,Calculations!N59,Calculations!Q59,'Reaction Information'!$C$25,'Reaction Information'!$P$25*10^5,'Reaction Information'!$Q$25)*((1/Calculations!$S59)-1)-'Reaction Information'!$P$25*10^5*((1/Calculations!$C$10)-1)+'Reaction Information'!$P$25*10^5*Calculations!$C$14*(Calculations!$O59-Calculations!$C$8))</f>
        <v>#N/A</v>
      </c>
      <c r="AJ59" s="8" t="e">
        <f>IF(ISBLANK(Input!$AJ$4),NA(),'Reaction Information'!$E$29-'Reaction Information'!$G$29*(Calculations!$O59-Calculations!$C$8)-'Reaction Information'!$N$29*(Calculations!$O59*LN(Calculations!$O59/Calculations!$C$8)-Calculations!$O59+Calculations!$C$8)-'Reaction Information'!$O$29*10^4*(((1/(Calculations!$O59-Calculations!$C$13))-(1/(Calculations!$C$8-Calculations!$C$13)))*((Calculations!$C$13-Calculations!$O59)/(Calculations!$C$13))-(Calculations!$O59/(Calculations!$C$13*Calculations!$C$13))*LN((Calculations!$C$8*(Calculations!$O59-Calculations!$C$13))/(Calculations!$O59*(Calculations!$C$8-Calculations!$C$13))))+'Reaction Information'!$J$29*10^-1*(Calculations!$M59-Calculations!$C$9)+'Reaction Information'!$K$29*10^2*LN((Calculations!$C$12+Calculations!$M59)/(Calculations!$C$12+Calculations!$C$9))+(1/(Calculations!$O59-Calculations!$C$13))*('Reaction Information'!$L$29*(Calculations!$M59-Calculations!$C$9)+'Reaction Information'!$M$29*10^4*LN((Calculations!$C$12+Calculations!$M59)/(Calculations!$C$12+Calculations!$C$9)))+calculateOmega(Calculations!M59,Calculations!N59,Calculations!Q59,'Reaction Information'!$C$29,'Reaction Information'!$P$29*10^5,'Reaction Information'!$Q$29)*((1/Calculations!$S59)-1)-'Reaction Information'!$P$29*10^5*((1/Calculations!$C$10)-1)+'Reaction Information'!$P$29*10^5*Calculations!$C$14*(Calculations!$O59-Calculations!$C$8))</f>
        <v>#N/A</v>
      </c>
      <c r="AK59" s="8" t="e">
        <f>IF(ISBLANK(Input!$AM$4),NA(),'Reaction Information'!$E$33-'Reaction Information'!$G$33*(Calculations!$O59-Calculations!$C$8)-'Reaction Information'!$N$33*(Calculations!$O59*LN(Calculations!$O59/Calculations!$C$8)-Calculations!$O59+Calculations!$C$8)-'Reaction Information'!$O$33*10^4*(((1/(Calculations!$O59-Calculations!$C$13))-(1/(Calculations!$C$8-Calculations!$C$13)))*((Calculations!$C$13-Calculations!$O59)/(Calculations!$C$13))-(Calculations!$O59/(Calculations!$C$13*Calculations!$C$13))*LN((Calculations!$C$8*(Calculations!$O59-Calculations!$C$13))/(Calculations!$O59*(Calculations!$C$8-Calculations!$C$13))))+'Reaction Information'!$J$33*10^-1*(Calculations!$M59-Calculations!$C$9)+'Reaction Information'!$K$33*10^2*LN((Calculations!$C$12+Calculations!$M59)/(Calculations!$C$12+Calculations!$C$9))+(1/(Calculations!$O59-Calculations!$C$13))*('Reaction Information'!$L$33*(Calculations!$M59-Calculations!$C$9)+'Reaction Information'!$M$33*10^4*LN((Calculations!$C$12+Calculations!$M59)/(Calculations!$C$12+Calculations!$C$9)))+calculateOmega(Calculations!M59,Calculations!N59,Calculations!Q59,'Reaction Information'!$C$33,'Reaction Information'!$P$33*10^5,'Reaction Information'!$Q$33)*((1/Calculations!$S59)-1)-'Reaction Information'!$P$33*10^5*((1/Calculations!$C$10)-1)+'Reaction Information'!$P$33*10^5*Calculations!$C$14*(Calculations!$O59-Calculations!$C$8))</f>
        <v>#N/A</v>
      </c>
      <c r="AL59" s="1">
        <f>Results!S61</f>
        <v>0</v>
      </c>
      <c r="AM59" s="1">
        <f>Results!T61</f>
        <v>0</v>
      </c>
      <c r="AN59" s="1">
        <f>Results!U61</f>
        <v>0</v>
      </c>
      <c r="AO59" s="1">
        <f>Results!V61</f>
        <v>0</v>
      </c>
      <c r="AP59" s="8" t="e">
        <f>IF(ISBLANK(Input!$BB$4),NA(),'Reaction Information'!$E$38-'Reaction Information'!$G$38*(Calculations!$O59-Calculations!$C$8)+'Reaction Information'!$I$38*(Calculations!$O59-Calculations!$C$8-Calculations!$O59*LN(Calculations!$O59/Calculations!$C$8))+'Reaction Information'!$J$38*0.001/2*(2*Calculations!$O59*Calculations!$C$8-Calculations!$O59^2-Calculations!$C$8^2) + 'Reaction Information'!$K$38*100000*(Calculations!$O59^2 + Calculations!$C$8^2 - 2*Calculations!$O59*Calculations!$C$8)/(2*Calculations!$O59*Calculations!$C$8^2))</f>
        <v>#N/A</v>
      </c>
      <c r="AQ59" s="8" t="e">
        <f>IF(ISBLANK(Input!$BE$4),NA(),'Reaction Information'!$E$42-'Reaction Information'!$G$42*(Calculations!$O59-Calculations!$C$8)+'Reaction Information'!$I$42*(Calculations!$O59-Calculations!$C$8-Calculations!$O59*LN(Calculations!$O59/Calculations!$C$8))+'Reaction Information'!$J$42*0.001/2*(2*Calculations!$O59*Calculations!$C$8-Calculations!$O59^2-Calculations!$C$8^2) + 'Reaction Information'!$K$42*100000*(Calculations!$O59^2 + Calculations!$C$8^2 - 2*Calculations!$O59*Calculations!$C$8)/(2*Calculations!$O59*Calculations!$C$8^2))</f>
        <v>#N/A</v>
      </c>
      <c r="AR59" s="8" t="e">
        <f>IF(AR$5="H2O", IF($D$24=3,IF(T59=0,NA(),T59),calculateGibbsOfWater(M59,N59,$D$24,$D$20,$D$19=3)),NA())</f>
        <v>#N/A</v>
      </c>
      <c r="AS59" s="8">
        <f>IF(ISBLANK(Input!$BK$4),NA(),'Reaction Information'!$E$46-'Reaction Information'!$G$46*(Calculations!O59-Calculations!$C$8)-'Reaction Information'!$N$46*(Calculations!O59*LN(Calculations!O59/Calculations!$C$8)-Calculations!O59+Calculations!$C$8)-'Reaction Information'!$O$46*10^4*(((1/(Calculations!O59-Calculations!$C$13))-(1/(Calculations!$C$8-Calculations!$C$13)))*((Calculations!$C$13-Calculations!O59)/(Calculations!$C$13))-(Calculations!O59/(Calculations!$C$13*Calculations!$C$13))*LN((Calculations!$C$8*(Calculations!O59-Calculations!$C$13))/(Calculations!O59*(Calculations!$C$8-Calculations!$C$13))))+'Reaction Information'!$J$46*10^-1*(Calculations!$M59-Calculations!$C$9)+'Reaction Information'!$K$46*10^2*LN((Calculations!$C$12+Calculations!$M59)/(Calculations!$C$12+Calculations!$C$9))+(1/(Calculations!O59-Calculations!$C$13))*('Reaction Information'!$L$46*(Calculations!$M59-Calculations!$C$9)+'Reaction Information'!$M$46*10^4*LN((Calculations!$C$12+Calculations!$M59)/(Calculations!$C$12+Calculations!$C$9)))+calculateOmega(Calculations!M59,Calculations!N59,Calculations!Q59,'Reaction Information'!$C$46,'Reaction Information'!$P$46*10^5,'Reaction Information'!$Q$46)*((1/Calculations!S59)-1)-'Reaction Information'!$P$46*10^5*((1/Calculations!$C$10)-1)+'Reaction Information'!$P$46*10^5*Calculations!$C$14*(Calculations!O59-Calculations!$C$8))</f>
        <v>0</v>
      </c>
      <c r="AT59" s="8">
        <f>IF(ISBLANK(Input!$BN$4),NA(),'Reaction Information'!$E$50-'Reaction Information'!$G$50*(Calculations!O59-Calculations!$C$8)-'Reaction Information'!$N$50*(Calculations!O59*LN(Calculations!O59/Calculations!$C$8)-Calculations!O59+Calculations!$C$8)-'Reaction Information'!$O$50*10^4*(((1/(Calculations!O59-Calculations!$C$13))-(1/(Calculations!$C$8-Calculations!$C$13)))*((Calculations!$C$13-Calculations!O59)/(Calculations!$C$13))-(Calculations!O59/(Calculations!$C$13*Calculations!$C$13))*LN((Calculations!$C$8*(Calculations!O59-Calculations!$C$13))/(Calculations!O59*(Calculations!$C$8-Calculations!$C$13))))+'Reaction Information'!$J$50*10^-1*(Calculations!$M59-Calculations!$C$9)+'Reaction Information'!$K$50*10^2*LN((Calculations!$C$12+Calculations!$M59)/(Calculations!$C$12+Calculations!$C$9))+(1/(Calculations!O59-Calculations!$C$13))*('Reaction Information'!$L$50*(Calculations!$M59-Calculations!$C$9)+'Reaction Information'!$M$50*10^4*LN((Calculations!$C$12+Calculations!$M59)/(Calculations!$C$12+Calculations!$C$9)))+calculateOmega(Calculations!M59,Calculations!N59,Calculations!Q59,'Reaction Information'!$C$50,'Reaction Information'!$P$50*10^5,'Reaction Information'!$Q$50)*((1/Calculations!S59)-1)-'Reaction Information'!$P$50*10^5*((1/Calculations!$C$10)-1)+'Reaction Information'!$P$50*10^5*Calculations!$C$14*(Calculations!O59-Calculations!$C$8))</f>
        <v>-145510.75542327974</v>
      </c>
      <c r="AU59" s="8" t="e">
        <f>IF(ISBLANK(Input!$BQ$4),NA(),'Reaction Information'!$E$54-'Reaction Information'!$G$54*(Calculations!$O59-Calculations!$C$8)-'Reaction Information'!$N$54*(Calculations!$O59*LN(Calculations!$O59/Calculations!$C$8)-Calculations!$O59+Calculations!$C$8)-'Reaction Information'!$O$54*10^4*(((1/(Calculations!$O59-Calculations!$C$13))-(1/(Calculations!$C$8-Calculations!$C$13)))*((Calculations!$C$13-Calculations!$O59)/(Calculations!$C$13))-(Calculations!$O59/(Calculations!$C$13*Calculations!$C$13))*LN((Calculations!$C$8*(Calculations!$O59-Calculations!$C$13))/(Calculations!$O59*(Calculations!$C$8-Calculations!$C$13))))+'Reaction Information'!$J$54*10^-1*(Calculations!$M59-Calculations!$C$9)+'Reaction Information'!$K$54*10^2*LN((Calculations!$C$12+Calculations!$M59)/(Calculations!$C$12+Calculations!$C$9))+(1/(Calculations!$O59-Calculations!$C$13))*('Reaction Information'!$L$54*(Calculations!$M59-Calculations!$C$9)+'Reaction Information'!$M$54*10^4*LN((Calculations!$C$12+Calculations!$M59)/(Calculations!$C$12+Calculations!$C$9)))+calculateOmega(Calculations!M59,Calculations!N59,Calculations!Q59,'Reaction Information'!$C$54,'Reaction Information'!$P$54*10^5,'Reaction Information'!$Q$54)*((1/Calculations!$S59)-1)-'Reaction Information'!$P$54*10^5*((1/Calculations!$C$10)-1)+'Reaction Information'!$P$54*10^5*Calculations!$C$14*(Calculations!$O59-Calculations!$C$8))</f>
        <v>#N/A</v>
      </c>
      <c r="AV59" s="8" t="e">
        <f>IF(ISBLANK(Input!$BT$4),NA(),'Reaction Information'!$E$58-'Reaction Information'!$G$58*(Calculations!$O59-Calculations!$C$8)-'Reaction Information'!$N$58*(Calculations!$O59*LN(Calculations!$O59/Calculations!$C$8)-Calculations!$O59+Calculations!$C$8)-'Reaction Information'!$O$58*10^4*(((1/(Calculations!$O59-Calculations!$C$13))-(1/(Calculations!$C$8-Calculations!$C$13)))*((Calculations!$C$13-Calculations!$O59)/(Calculations!$C$13))-(Calculations!$O59/(Calculations!$C$13*Calculations!$C$13))*LN((Calculations!$C$8*(Calculations!$O59-Calculations!$C$13))/(Calculations!$O59*(Calculations!$C$8-Calculations!$C$13))))+'Reaction Information'!$J$58*10^-1*(Calculations!$M59-Calculations!$C$9)+'Reaction Information'!$K$58*10^2*LN((Calculations!$C$12+Calculations!$M59)/(Calculations!$C$12+Calculations!$C$9))+(1/(Calculations!$O59-Calculations!$C$13))*('Reaction Information'!$L$58*(Calculations!$M59-Calculations!$C$9)+'Reaction Information'!$M$58*10^4*LN((Calculations!$C$12+Calculations!$M59)/(Calculations!$C$12+Calculations!$C$9)))+calculateOmega(Calculations!M59,Calculations!N59,Calculations!Q59,'Reaction Information'!$C$58,'Reaction Information'!$P$58*10^5,'Reaction Information'!$Q$58)*((1/Calculations!$S59)-1)-'Reaction Information'!$P$58*10^5*((1/Calculations!$C$10)-1)+'Reaction Information'!$P$58*10^5*Calculations!$C$14*(Calculations!$O59-Calculations!$C$8))</f>
        <v>#N/A</v>
      </c>
      <c r="AW59" s="8" t="e">
        <f>IF(ISBLANK(Input!$BW$4),NA(),'Reaction Information'!$E$62-'Reaction Information'!$G$62*(Calculations!$O59-Calculations!$C$8)-'Reaction Information'!$N$62*(Calculations!$O59*LN(Calculations!$O59/Calculations!$C$8)-Calculations!$O59+Calculations!$C$8)-'Reaction Information'!$O$62*10^4*(((1/(Calculations!$O59-Calculations!$C$13))-(1/(Calculations!$C$8-Calculations!$C$13)))*((Calculations!$C$13-Calculations!$O59)/(Calculations!$C$13))-(Calculations!$O59/(Calculations!$C$13*Calculations!$C$13))*LN((Calculations!$C$8*(Calculations!$O59-Calculations!$C$13))/(Calculations!$O59*(Calculations!$C$8-Calculations!$C$13))))+'Reaction Information'!$J$62*10^-1*(Calculations!$M59-Calculations!$C$9)+'Reaction Information'!$K$62*10^2*LN((Calculations!$C$12+Calculations!$M59)/(Calculations!$C$12+Calculations!$C$9))+(1/(Calculations!$O59-Calculations!$C$13))*('Reaction Information'!$L$62*(Calculations!$M59-Calculations!$C$9)+'Reaction Information'!$M$62*10^4*LN((Calculations!$C$12+Calculations!$M59)/(Calculations!$C$12+Calculations!$C$9)))+calculateOmega(Calculations!M59,Calculations!N59,Calculations!Q59,'Reaction Information'!$C$62,'Reaction Information'!$P$62*10^5,'Reaction Information'!$Q$62)*((1/Calculations!$S59)-1)-'Reaction Information'!$P$62*10^5*((1/Calculations!$C$10)-1)+'Reaction Information'!$P$62*10^5*Calculations!$C$14*(Calculations!$O59-Calculations!$C$8))</f>
        <v>#N/A</v>
      </c>
      <c r="AX59" s="8" t="e">
        <f>IF(ISBLANK(Input!$BZ$4),NA(),'Reaction Information'!$E$66-'Reaction Information'!$G$66*(Calculations!$O59-Calculations!$C$8)-'Reaction Information'!$N$66*(Calculations!$O59*LN(Calculations!$O59/Calculations!$C$8)-Calculations!$O59+Calculations!$C$8)-'Reaction Information'!$O$66*10^4*(((1/(Calculations!$O59-Calculations!$C$13))-(1/(Calculations!$C$8-Calculations!$C$13)))*((Calculations!$C$13-Calculations!$O59)/(Calculations!$C$13))-(Calculations!$O59/(Calculations!$C$13*Calculations!$C$13))*LN((Calculations!$C$8*(Calculations!$O59-Calculations!$C$13))/(Calculations!$O59*(Calculations!$C$8-Calculations!$C$13))))+'Reaction Information'!$J$66*10^-1*(Calculations!$M59-Calculations!$C$9)+'Reaction Information'!$K$66*10^2*LN((Calculations!$C$12+Calculations!$M59)/(Calculations!$C$12+Calculations!$C$9))+(1/(Calculations!$O59-Calculations!$C$13))*('Reaction Information'!$L$66*(Calculations!$M59-Calculations!$C$9)+'Reaction Information'!$M$66*10^4*LN((Calculations!$C$12+Calculations!$M59)/(Calculations!$C$12+Calculations!$C$9)))+calculateOmega(Calculations!M59,Calculations!N59,Calculations!Q59,'Reaction Information'!$C$66,'Reaction Information'!$P$66*10^5,'Reaction Information'!$Q$66)*((1/Calculations!$S59)-1)-'Reaction Information'!$P$66*10^5*((1/Calculations!$C$10)-1)+'Reaction Information'!$P$66*10^5*Calculations!$C$14*(Calculations!$O59-Calculations!$C$8))</f>
        <v>#N/A</v>
      </c>
      <c r="AY59" s="31">
        <f>(AL59*Input!$AO$4+AM59*Input!$AR$4+AN59*Input!$AU$4+AO59*Input!$AX$4+IF(ISNA(AP59),0,AP59*Input!$BA$4)+IF(ISNA(AQ59),0,AQ59*Input!$BD$4)+IF(ISNA(AR59),0,AR59*Input!$BG$4)+IF(ISNA(AS59),0,AS59*Input!$BJ$4)+IF(ISNA(AT59),0,AT59*Input!$BM$4)+IF(ISNA(AU59),0,AU59*Input!$BP$4)+IF(ISNA(AV59),0,AV59*Input!$BS$4)+IF(ISNA(AW59),0,AW59*Input!$BV$4)+IF(ISNA(AX59),0,AX59*Input!$BY$4))-(Y59*Input!$B$4+Z59*Input!$E$4+AA59*Input!$H$4+AB59*Input!$K$4+IF(ISNA(AC59),0,AC59*Input!$N$4)+IF(ISNA(AD59),0,AD59*Input!$Q$4)+IF(ISNA(AE59),0,AE59*Input!$T$4)+IF(ISNA(AF59),0,AF59*Input!$W$4)+IF(ISNA(AG59),0,AG59*Input!$Z$4)+IF(ISNA(AH59),0,AH59*Input!$AC$4)+IF(ISNA(AI59),0,AI59*Input!$AF$4)+IF(ISNA(AJ59),0,AJ59*Input!$AI$4)+IF(ISNA(AK59),0,AK59*Input!$AL$4))</f>
        <v>26737.571397364925</v>
      </c>
      <c r="AZ59" s="42">
        <f t="shared" si="16"/>
        <v>-6.0086103821348038</v>
      </c>
      <c r="BA59" s="1">
        <f t="shared" si="8"/>
        <v>700</v>
      </c>
      <c r="BB59" s="46">
        <f t="shared" si="9"/>
        <v>20000</v>
      </c>
      <c r="BC59" s="1"/>
      <c r="BD59" s="2">
        <f t="shared" si="10"/>
        <v>20000</v>
      </c>
      <c r="BE59" s="46">
        <f t="shared" si="11"/>
        <v>700</v>
      </c>
      <c r="BF59" s="1">
        <f>Results!AJ61</f>
        <v>0</v>
      </c>
      <c r="BG59" s="1">
        <f>Results!AK61</f>
        <v>0</v>
      </c>
      <c r="BH59" s="1">
        <f>Results!AL61</f>
        <v>0</v>
      </c>
      <c r="BI59" s="1">
        <f>Results!AM61</f>
        <v>0</v>
      </c>
      <c r="BJ59" s="1" t="e">
        <f>IF(OR(ISNA('Reaction Information'!$D$5), $N59 = "", $D$27 = FALSE, 'Reaction Information'!$D$5 = ""), NA(), 24.465)</f>
        <v>#N/A</v>
      </c>
      <c r="BK59" s="1" t="e">
        <f>IF(OR(ISNA('Reaction Information'!$D$9), $N59 = "", $D$27 = FALSE, 'Reaction Information'!$D$9 = ""), NA(), 24.465)</f>
        <v>#N/A</v>
      </c>
      <c r="BL59" s="8">
        <f t="shared" si="17"/>
        <v>16.449214471263996</v>
      </c>
      <c r="BM59" s="8">
        <f>IF(OR(ISBLANK(Input!$X$4),$D$27=FALSE),NA(),('Reaction Information'!$J$13/10+'Reaction Information'!$K$13*100/(Calculations!$C$12+Calculations!$M59)+('Reaction Information'!$L$13+'Reaction Information'!$M$13*10^4/(Calculations!$C$12+Calculations!$M59))/(Calculations!$O59-Calculations!$C$13) -calculateOmega(Calculations!$M59,Calculations!$N59,Calculations!$Q59,'Reaction Information'!$C$13,'Reaction Information'!$P$13*10^5,'Reaction Information'!$Q$13)*Calculations!$U59*10^-6 + (1/$S59 - 1)*calculate_domegadP(Calculations!$M59,Calculations!$N59,Calculations!$Q59,'Reaction Information'!$C$13,'Reaction Information'!$P$13*10^5,'Reaction Information'!$Q$13,$D$20,$D$19=3))*41.84)</f>
        <v>31.466442658984572</v>
      </c>
      <c r="BN59" s="8" t="e">
        <f>IF(OR(ISBLANK(Input!$AA$4),$D$27=FALSE),NA(),('Reaction Information'!$J$17/10+'Reaction Information'!$K$17*100/(Calculations!$C$12+Calculations!$M59)+('Reaction Information'!$L$17+'Reaction Information'!$M$17*10000/(Calculations!$C$12+Calculations!$M59))/(Calculations!$O59-Calculations!$C$13)-calculateOmega(Calculations!M59,Calculations!N59,Calculations!Q59,'Reaction Information'!$C$17,'Reaction Information'!$P$17*10^5,'Reaction Information'!$Q$17)*Calculations!$U59*10^-6 + (1/$S59 - 1)*calculate_domegadP(Calculations!M59,Calculations!N59,Calculations!Q59,'Reaction Information'!$C$17,'Reaction Information'!$P$17*10^5,'Reaction Information'!$Q$17,$D$20,$D$19=3))*41.84)</f>
        <v>#N/A</v>
      </c>
      <c r="BO59" s="8" t="e">
        <f>IF(OR(ISBLANK(Input!$AD$4),$D$27=FALSE),NA(),('Reaction Information'!$J$21/10+'Reaction Information'!$K$21*100/(Calculations!$C$12+Calculations!$M59)+('Reaction Information'!$L$21+'Reaction Information'!$M$21*10000/(Calculations!$C$12+Calculations!$M59))/(Calculations!$O59-Calculations!$C$13)-calculateOmega(Calculations!M59,Calculations!N59,Calculations!Q59,'Reaction Information'!$C$21,'Reaction Information'!$P$21*10^5,'Reaction Information'!$Q$21)*Calculations!$U59*10^-6 + (1/$S59 - 1)*calculate_domegadP(Calculations!M59,Calculations!N59,Calculations!Q59,'Reaction Information'!$C$21,'Reaction Information'!$P$21*10^5,'Reaction Information'!$Q$21,$D$20,$D$19=3))*41.84)</f>
        <v>#N/A</v>
      </c>
      <c r="BP59" s="8" t="e">
        <f>IF(OR(ISBLANK(Input!$AG$4),$D$27=FALSE),NA(),('Reaction Information'!$J$25/10+'Reaction Information'!$K$25*100/(Calculations!$C$12+Calculations!$M59)+('Reaction Information'!$L$25+'Reaction Information'!$M$25*10000/(Calculations!$C$12+Calculations!$M59))/(Calculations!$O59-Calculations!$C$13)-calculateOmega(Calculations!M59,Calculations!N59,Calculations!Q59,'Reaction Information'!$C$25,'Reaction Information'!$P$25*10^5,'Reaction Information'!$Q$25)*Calculations!$U59*10^-6 + (1/$S59 - 1)*calculate_domegadP(Calculations!M59,Calculations!N59,Calculations!Q59,'Reaction Information'!$C$25,'Reaction Information'!$P$25*10^5,'Reaction Information'!$Q$25,$D$20,$D$19=3))*41.84)</f>
        <v>#N/A</v>
      </c>
      <c r="BQ59" s="8" t="e">
        <f>IF(OR(ISBLANK(Input!$AJ$4),$D$27=FALSE),NA(),('Reaction Information'!$J$29/10+'Reaction Information'!$K$29*100/(Calculations!$C$12+Calculations!$M59)+('Reaction Information'!$L$29+'Reaction Information'!$M$29*10000/(Calculations!$C$12+Calculations!$M59))/(Calculations!$O59-Calculations!$C$13)-calculateOmega(Calculations!M59,Calculations!N59,Calculations!Q59,'Reaction Information'!$C$29,'Reaction Information'!$P$29*10^5,'Reaction Information'!$Q$29)*Calculations!$U59*10^-6 + (1/$S59 - 1)*calculate_domegadP(Calculations!M59,Calculations!N59,Calculations!Q59,'Reaction Information'!$C$29,'Reaction Information'!$P$29*10^5,'Reaction Information'!$Q$29,$D$20,$D$19=3))*41.84)</f>
        <v>#N/A</v>
      </c>
      <c r="BR59" s="8" t="e">
        <f>IF(OR(ISBLANK(Input!$AM$4),$D$27=FALSE),NA(),('Reaction Information'!$J$33/10+'Reaction Information'!$K$33*100/(Calculations!$C$12+Calculations!$M59)+('Reaction Information'!$L$33+'Reaction Information'!$M$33*10000/(Calculations!$C$12+Calculations!$M59))/(Calculations!$O59-Calculations!$C$13)-calculateOmega(Calculations!M59,Calculations!N59,Calculations!Q59,'Reaction Information'!$C$33,'Reaction Information'!$P$33*10^5,'Reaction Information'!$Q$33)*Calculations!$U59*10^-6 + (1/$S59 - 1)*calculate_domegadP(Calculations!M59,Calculations!N59,Calculations!Q59,'Reaction Information'!$C$33,'Reaction Information'!$P$33*10^5,'Reaction Information'!$Q$33,$D$20,$D$19=3))*41.84)</f>
        <v>#N/A</v>
      </c>
      <c r="BS59" s="1">
        <f>Results!AW61</f>
        <v>0</v>
      </c>
      <c r="BT59" s="1">
        <f>Results!AX61</f>
        <v>0</v>
      </c>
      <c r="BU59" s="1">
        <f>Results!AY61</f>
        <v>0</v>
      </c>
      <c r="BV59" s="1">
        <f>Results!AZ61</f>
        <v>0</v>
      </c>
      <c r="BW59" s="1" t="e">
        <f>IF(OR(ISNA('Reaction Information'!$D$38), $N59 = "", $D$27 = FALSE, 'Reaction Information'!$D$38 = ""), NA(), 24.465)</f>
        <v>#N/A</v>
      </c>
      <c r="BX59" s="1" t="e">
        <f>IF(OR(ISNA('Reaction Information'!$D$42), $N59 = "", $D$27 = FALSE, 'Reaction Information'!$D$42 = ""), NA(), 24.465)</f>
        <v>#N/A</v>
      </c>
      <c r="BY59" s="8" t="e">
        <f t="shared" si="18"/>
        <v>#N/A</v>
      </c>
      <c r="BZ59" s="8">
        <f>IF(OR(ISBLANK(Input!$BK$4),$D$27=FALSE),NA(),('Reaction Information'!$J$46/10+'Reaction Information'!$K$46*100/(Calculations!$C$12+Calculations!$M59)+('Reaction Information'!$L$46+'Reaction Information'!$M$46*10000/(Calculations!$C$12+Calculations!$M59))/(Calculations!$O59-Calculations!$C$13)-calculateOmega(Calculations!M59,Calculations!N59,Calculations!Q59,'Reaction Information'!$C$46,'Reaction Information'!$P$46*10^5,'Reaction Information'!$Q$46)*Calculations!$U59*10^-6 + (1/$S59 - 1)*calculate_domegadP(Calculations!M59,Calculations!N59,Calculations!Q59,'Reaction Information'!$C$46,'Reaction Information'!$P$46*10^5,'Reaction Information'!$Q$46,$D$20,$D$19=3))*41.84)</f>
        <v>0</v>
      </c>
      <c r="CA59" s="8">
        <f>IF(OR(ISBLANK(Input!$BN$4),$D$27=FALSE),NA(),('Reaction Information'!$J$50/10+'Reaction Information'!$K$50*100/(Calculations!$C$12+Calculations!$M59)+('Reaction Information'!$L$50+'Reaction Information'!$M$50*10000/(Calculations!$C$12+Calculations!$M59))/(Calculations!$O59-Calculations!$C$13)-calculateOmega(Calculations!M59,Calculations!N59,Calculations!Q59,'Reaction Information'!$C$50,'Reaction Information'!$P$50*10^5,'Reaction Information'!$Q$50)*Calculations!$U59*10^-6 + (1/$S59 - 1)*calculate_domegadP(Calculations!M59,Calculations!N59,Calculations!Q59,'Reaction Information'!$C$50,'Reaction Information'!$P$50*10^5,'Reaction Information'!$Q$50,$D$20,$D$19=3))*41.84)</f>
        <v>29.261926030234942</v>
      </c>
      <c r="CB59" s="8" t="e">
        <f>IF(OR(ISBLANK(Input!$BQ$4),$D$27=FALSE),NA(),('Reaction Information'!$J$54/10+'Reaction Information'!$K$54*100/(Calculations!$C$12+Calculations!$M59)+('Reaction Information'!$L$54+'Reaction Information'!$M$54*10000/(Calculations!$C$12+Calculations!$M59))/(Calculations!$O59-Calculations!$C$13)-calculateOmega(Calculations!M59,Calculations!N59,Calculations!Q59,'Reaction Information'!$C$54,'Reaction Information'!$P$54*10^5,'Reaction Information'!$Q$54)*Calculations!$U59*10^-6 + (1/$S59 - 1)*calculate_domegadP(Calculations!M59,Calculations!N59,Calculations!Q59,'Reaction Information'!$C$54,'Reaction Information'!$P$54*10^5,'Reaction Information'!$Q$54,$D$20,$D$19=3))*41.84)</f>
        <v>#N/A</v>
      </c>
      <c r="CC59" s="8" t="e">
        <f>IF(OR(ISBLANK(Input!$BT$4),$D$27=FALSE),NA(),('Reaction Information'!$J$58/10+'Reaction Information'!$K$58*100/(Calculations!$C$12+Calculations!$M59)+('Reaction Information'!$L$58+'Reaction Information'!$M$58*10000/(Calculations!$C$12+Calculations!$M59))/(Calculations!$O59-Calculations!$C$13)-calculateOmega(Calculations!M59,Calculations!N59,Calculations!Q59,'Reaction Information'!$C$58,'Reaction Information'!$P$58*10^5,'Reaction Information'!$Q$58)*Calculations!$U59*10^-6 + (1/$S59 - 1)*calculate_domegadP(Calculations!M59,Calculations!N59,Calculations!Q59,'Reaction Information'!$C$58,'Reaction Information'!$P$58*10^5,'Reaction Information'!$Q$58,$D$20,$D$19=3))*41.84)</f>
        <v>#N/A</v>
      </c>
      <c r="CD59" s="8" t="e">
        <f>IF(OR(ISBLANK(Input!$BW$4),$D$27=FALSE),NA(),('Reaction Information'!$J$62/10+'Reaction Information'!$K$62*100/(Calculations!$C$12+Calculations!$M59)+('Reaction Information'!$L$62+'Reaction Information'!$M$62*10000/(Calculations!$C$12+Calculations!$M59))/(Calculations!$O59-Calculations!$C$13)-calculateOmega(Calculations!M59,Calculations!N59,Calculations!Q59,'Reaction Information'!$C$62,'Reaction Information'!$P$62*10^5,'Reaction Information'!$Q$62)*Calculations!$U59*10^-6 + (1/$S59 - 1)*calculate_domegadP(Calculations!M59,Calculations!N59,Calculations!Q59,'Reaction Information'!$C$62,'Reaction Information'!$P$62*10^5,'Reaction Information'!$Q$62,$D$20,$D$19=3))*41.84)</f>
        <v>#N/A</v>
      </c>
      <c r="CE59" s="8" t="e">
        <f>IF(OR(ISBLANK(Input!$BZ$4),$D$27=FALSE),NA(),('Reaction Information'!$J$66/10+'Reaction Information'!$K$66*100/(Calculations!$C$12+Calculations!$M59)+('Reaction Information'!$L$66+'Reaction Information'!$M$66*10000/(Calculations!$C$12+Calculations!$M59))/(Calculations!$O59-Calculations!$C$13)-calculateOmega(Calculations!M59,Calculations!N59,Calculations!Q59,'Reaction Information'!$C$66,'Reaction Information'!$P$66*10^5,'Reaction Information'!$Q$66)*Calculations!$U59*10^-6 + (1/$S59 - 1)*calculate_domegadP(Calculations!M59,Calculations!N59,Calculations!Q59,'Reaction Information'!$C$66,'Reaction Information'!$P$66*10^5,'Reaction Information'!$Q$66,$D$20,$D$19=3))*41.84)</f>
        <v>#N/A</v>
      </c>
      <c r="CF59" s="31">
        <f>(BS59*Input!$AO$4+BT59*Input!$AR$4+BU59*Input!$AU$4+BV59*Input!$AX$4+IF(ISNA(BW59),0,BW59*Input!$BA$4)+IF(ISNA(BX59),0,BX59*Input!$BD$4)+IF(ISNA(BY59),0,BY59*Input!$BG$4)+IF(ISNA(BZ59),0,BZ59*Input!$BJ$4)+IF(ISNA(CA59),0,CA59*Input!$BM$4)+IF(ISNA(CB59),0,CB59*Input!$BP$4)+IF(ISNA(CC59),0,CC59*Input!$BS$4)+IF(ISNA(CD59),0,CD59*Input!$BV$4)+IF(ISNA(CE59),0,CE59*Input!$BY$4))-(BF59*Input!$B$4+BG59*Input!$E$4+BH59*Input!$H$4+BI59*Input!$K$4+IF(ISNA(BJ59),0,BJ59*Input!$N$4)+IF(ISNA(BK59),0,BK59*Input!$Q$4)+IF(ISNA(BL59),0,BL59*Input!$T$4)+IF(ISNA(BM59),0,BM59*Input!$W$4)+IF(ISNA(BN59),0,BN59*Input!$Z$4)+IF(ISNA(BO59),0,BO59*Input!$AC$4)+IF(ISNA(BP59),0,BP59*Input!$AF$4)+IF(ISNA(BQ59),0,BQ59*Input!$AI$4)+IF(ISNA(BR59),0,BR59*Input!$AL$4))</f>
        <v>-18.653731100013626</v>
      </c>
      <c r="CG59" s="1">
        <f t="shared" si="12"/>
        <v>700</v>
      </c>
      <c r="CH59" s="46">
        <f t="shared" si="13"/>
        <v>20000</v>
      </c>
      <c r="CI59" s="1"/>
    </row>
    <row r="60" spans="1:87" x14ac:dyDescent="0.2">
      <c r="A60" s="1"/>
      <c r="E60" s="1"/>
      <c r="F60" s="2">
        <v>55</v>
      </c>
      <c r="G60" s="1" t="str">
        <f>IF(ISBLANK(Input!CB60), "", Input!CB60*1000)</f>
        <v/>
      </c>
      <c r="H60" s="1" t="str">
        <f>IF(ISBLANK(Input!CC60), "", Input!CC60)</f>
        <v/>
      </c>
      <c r="I60" s="1">
        <f>IF(Input!$CF$5 + Input!$CF$6*(FLOOR((Calculations!$F60-1)/(FLOOR((Input!$CF$12-Input!$CF$10)/Input!$CF$11,1)+1),1)) &gt; Input!$CF$7, "", (Input!$CF$5 + Input!$CF$6*(FLOOR((Calculations!$F60-1)/(FLOOR((Input!$CF$12-Input!$CF$10)/Input!$CF$11,1)+1),1)))*1000)</f>
        <v>20000</v>
      </c>
      <c r="J60" s="1">
        <f>IF(Calculations!I60 = "", "", Input!$CF$10 + Input!$CF$11*(Calculations!$F60-1) - (FLOOR((Input!$CF$12-Input!$CF$10)/Input!$CF$11,1)+1)*Input!$CF$11*FLOOR((Calculations!$F60-1)/(FLOOR((Input!$CF$12-Input!$CF$10)/Input!$CF$11,1)+1),1))</f>
        <v>750</v>
      </c>
      <c r="K60" s="8" t="str">
        <f t="shared" si="14"/>
        <v/>
      </c>
      <c r="L60" s="117" t="str">
        <f>IF(OR(Input!$CJ$5 + Input!$CJ$6*(Calculations!F60-1) &gt; Input!$CJ$7, Input!$CJ$5 + Input!$CJ$6*(Calculations!F60-1) &gt; 350), "", Input!$CJ$5 + Input!$CJ$6*(Calculations!F60-1))</f>
        <v/>
      </c>
      <c r="M60" s="1">
        <f t="shared" si="2"/>
        <v>20000</v>
      </c>
      <c r="N60" s="1">
        <f t="shared" si="3"/>
        <v>750</v>
      </c>
      <c r="O60" s="1">
        <f t="shared" si="15"/>
        <v>1023.15</v>
      </c>
      <c r="P60" s="1" t="e">
        <f>IF(OR($D$20=3,AND($D$21=TRUE,M60&lt;1000)),INDEX('Water Density'!$C$6:$CX$120,MATCH(Calculations!N60,'Water Density'!$B$6:$B$120),MATCH(Calculations!M60/1000,'Water Density'!$C$5:$CX$5)),NA())</f>
        <v>#N/A</v>
      </c>
      <c r="Q60" s="182">
        <f>IF(OR($D$20=3,AND($D$21=TRUE,M60&lt;1000)), IF(P60&lt;&gt;0,P60,NA()), calculateDensity(M60,N60,$D$20,0.01,$D$19 = 3))</f>
        <v>1.0784709690558909</v>
      </c>
      <c r="R60" s="1" t="e">
        <f>IF($D$22=5,INDEX('Dielectric Constant'!$C$6:$CX$120,MATCH(Calculations!N60,'Dielectric Constant'!$B$6:$B$120),MATCH(Calculations!M60/1000,'Dielectric Constant'!$C$5:$CX$5)),NA())</f>
        <v>#N/A</v>
      </c>
      <c r="S60" s="58">
        <f>IF($D$22=5, IF(R60&lt;&gt;0,R60,NA()), IF(AND($D$23,M60&lt;=5000,$D$19 &lt;&gt; 3),calculateEpsilon(Q60,N60,1,FALSE),calculateEpsilon(Q60,N60,$D$22,$D$19 = 3)))</f>
        <v>18.441164044232551</v>
      </c>
      <c r="T60" s="1" t="e">
        <f>IF($D$24=3,INDEX('Water Free Energy'!$C$6:$CX$120,MATCH(Calculations!N60,'Water Free Energy'!$B$6:$B$120),MATCH(Calculations!M60/1000,'Water Free Energy'!$C$5:$CX$5)),NA())</f>
        <v>#N/A</v>
      </c>
      <c r="U60" s="179">
        <f>IF($D$27,calculateQ(M60,N60,Q60,$D$20,$D$22,$D$19=3)*10^6,NA())</f>
        <v>0.59187800281083869</v>
      </c>
      <c r="V60"/>
      <c r="W60" s="2">
        <f t="shared" si="5"/>
        <v>20000</v>
      </c>
      <c r="X60" s="1">
        <f t="shared" si="6"/>
        <v>750</v>
      </c>
      <c r="Y60" s="1">
        <f>Results!F62</f>
        <v>0</v>
      </c>
      <c r="Z60" s="1">
        <f>Results!G62</f>
        <v>0</v>
      </c>
      <c r="AA60" s="1">
        <f>Results!H62</f>
        <v>0</v>
      </c>
      <c r="AB60" s="1">
        <f>Results!I62</f>
        <v>0</v>
      </c>
      <c r="AC60" s="1" t="e">
        <f>IF(ISBLANK(Input!$O$4),NA(),'Reaction Information'!$E$5-'Reaction Information'!$G$5*(Calculations!$O60-Calculations!$C$8)+'Reaction Information'!$I$5*(Calculations!$O60-Calculations!$C$8-Calculations!$O60*LN(Calculations!$O60/Calculations!$C$8))+'Reaction Information'!$J$5*0.001/2*(2*Calculations!$O60*Calculations!$C$8-Calculations!$O60^2-Calculations!$C$8^2) + 'Reaction Information'!$K$5*100000*(Calculations!$O60^2 + Calculations!$C$8^2 - 2*Calculations!$O60*Calculations!$C$8)/(2*Calculations!$O60*Calculations!$C$8^2))</f>
        <v>#N/A</v>
      </c>
      <c r="AD60" s="8" t="e">
        <f>IF(ISBLANK(Input!$R$4),NA(),'Reaction Information'!$E$9-'Reaction Information'!$G$9*(Calculations!$O60-Calculations!$C$8)+'Reaction Information'!$I$9*(Calculations!$O60-Calculations!$C$8-Calculations!$O60*LN(Calculations!$O60/Calculations!$C$8))+'Reaction Information'!$J$9*0.001/2*(2*Calculations!$O60*Calculations!$C$8-Calculations!$O60^2-Calculations!$C$8^2) + 'Reaction Information'!$K$9*100000*(Calculations!$O60^2 + Calculations!$C$8^2 - 2*Calculations!$O60*Calculations!$C$8)/(2*Calculations!$O60*Calculations!$C$8^2))</f>
        <v>#N/A</v>
      </c>
      <c r="AE60" s="8">
        <f>IF(AE$5="H2O",IF($D$24=3,IF(T60=0,NA(),T60),calculateGibbsOfWater(M60,N60,$D$24,$D$20,$D$19=3)),NA())</f>
        <v>-67868.223900074532</v>
      </c>
      <c r="AF60" s="8">
        <f>IF(ISBLANK(Input!$X$4),NA(),'Reaction Information'!$E$13-'Reaction Information'!$G$13*(Calculations!O60-Calculations!$C$8)-'Reaction Information'!$N$13*(Calculations!O60*LN(Calculations!O60/Calculations!$C$8)-Calculations!O60+Calculations!$C$8)-'Reaction Information'!$O$13*10^4*(((1/(Calculations!O60-Calculations!$C$13))-(1/(Calculations!$C$8-Calculations!$C$13)))*((Calculations!$C$13-Calculations!O60)/(Calculations!$C$13))-(Calculations!O60/(Calculations!$C$13*Calculations!$C$13))*LN((Calculations!$C$8*(Calculations!O60-Calculations!$C$13))/(Calculations!O60*(Calculations!$C$8-Calculations!$C$13))))+'Reaction Information'!$J$13*10^-1*(Calculations!M60-Calculations!$C$9)+'Reaction Information'!$K$13*10^2*LN((Calculations!$C$12+Calculations!M60)/(Calculations!$C$12+Calculations!$C$9))+(1/(Calculations!O60-Calculations!$C$13))*('Reaction Information'!$L$13*(Calculations!M60-Calculations!$C$9)+'Reaction Information'!$M$13*10^4*LN((Calculations!$C$12+Calculations!M60)/(Calculations!$C$12+Calculations!$C$9)))+calculateOmega(Calculations!M60,Calculations!N60,Calculations!Q60,'Reaction Information'!$C$13,'Reaction Information'!$P$13*10^5,'Reaction Information'!$Q$13)*((1/Calculations!S60)-1)-'Reaction Information'!$P$13*10^5*((1/Calculations!$C$10)-1)+'Reaction Information'!$P$13*10^5*Calculations!$C$14*(Calculations!O60-Calculations!$C$8))</f>
        <v>-108441.58741599409</v>
      </c>
      <c r="AG60" s="8" t="e">
        <f>IF(ISBLANK(Input!$AA$4),NA(),'Reaction Information'!$E$17-'Reaction Information'!$G$17*(Calculations!$O60-Calculations!$C$8)-'Reaction Information'!$N$17*(Calculations!$O60*LN(Calculations!$O60/Calculations!$C$8)-Calculations!$O60+Calculations!$C$8)-'Reaction Information'!$O$17*10^4*(((1/(Calculations!$O60-Calculations!$C$13))-(1/(Calculations!$C$8-Calculations!$C$13)))*((Calculations!$C$13-Calculations!$O60)/(Calculations!$C$13))-(Calculations!$O60/(Calculations!$C$13*Calculations!$C$13))*LN((Calculations!$C$8*(Calculations!$O60-Calculations!$C$13))/(Calculations!$O60*(Calculations!$C$8-Calculations!$C$13))))+'Reaction Information'!$J$17*10^-1*(Calculations!$M60-Calculations!$C$9)+'Reaction Information'!$K$17*10^2*LN((Calculations!$C$12+Calculations!$M60)/(Calculations!$C$12+Calculations!$C$9))+(1/(Calculations!$O60-Calculations!$C$13))*('Reaction Information'!$L$17*(Calculations!$M60-Calculations!$C$9)+'Reaction Information'!$M$17*10^4*LN((Calculations!$C$12+Calculations!$M60)/(Calculations!$C$12+Calculations!$C$9)))+calculateOmega(Calculations!M60,Calculations!N60,Calculations!Q60,'Reaction Information'!$C$17,'Reaction Information'!$P$17*10^5,'Reaction Information'!$Q$17)*((1/Calculations!$S60)-1)-'Reaction Information'!$P$17*10^5*((1/Calculations!$C$10)-1)+'Reaction Information'!$P$17*10^5*Calculations!$C$14*(Calculations!$O60-Calculations!$C$8))</f>
        <v>#N/A</v>
      </c>
      <c r="AH60" s="8" t="e">
        <f>IF(ISBLANK(Input!$AD$4),NA(),'Reaction Information'!$E$21-'Reaction Information'!$G$21*(Calculations!$O60-Calculations!$C$8)-'Reaction Information'!$N$21*(Calculations!$O60*LN(Calculations!$O60/Calculations!$C$8)-Calculations!$O60+Calculations!$C$8)-'Reaction Information'!$O$21*10^4*(((1/(Calculations!$O60-Calculations!$C$13))-(1/(Calculations!$C$8-Calculations!$C$13)))*((Calculations!$C$13-Calculations!$O60)/(Calculations!$C$13))-(Calculations!$O60/(Calculations!$C$13*Calculations!$C$13))*LN((Calculations!$C$8*(Calculations!$O60-Calculations!$C$13))/(Calculations!$O60*(Calculations!$C$8-Calculations!$C$13))))+'Reaction Information'!$J$21*10^-1*(Calculations!$M60-Calculations!$C$9)+'Reaction Information'!$K$21*10^2*LN((Calculations!$C$12+Calculations!$M60)/(Calculations!$C$12+Calculations!$C$9))+(1/(Calculations!$O60-Calculations!$C$13))*('Reaction Information'!$L$21*(Calculations!$M60-Calculations!$C$9)+'Reaction Information'!$M$21*10^4*LN((Calculations!$C$12+Calculations!$M60)/(Calculations!$C$12+Calculations!$C$9)))+calculateOmega(Calculations!M60,Calculations!N60,Calculations!Q60,'Reaction Information'!$C$21,'Reaction Information'!$P$21*10^5,'Reaction Information'!$Q$21)*((1/Calculations!$S60)-1)-'Reaction Information'!$P$21*10^5*((1/Calculations!$C$10)-1)+'Reaction Information'!$P$21*10^5*Calculations!$C$14*(Calculations!$O60-Calculations!$C$8))</f>
        <v>#N/A</v>
      </c>
      <c r="AI60" s="8" t="e">
        <f>IF(ISBLANK(Input!$AG$4),NA(),'Reaction Information'!$E$25-'Reaction Information'!$G$25*(Calculations!$O60-Calculations!$C$8)-'Reaction Information'!$N$25*(Calculations!$O60*LN(Calculations!$O60/Calculations!$C$8)-Calculations!$O60+Calculations!$C$8)-'Reaction Information'!$O$25*10^4*(((1/(Calculations!$O60-Calculations!$C$13))-(1/(Calculations!$C$8-Calculations!$C$13)))*((Calculations!$C$13-Calculations!$O60)/(Calculations!$C$13))-(Calculations!$O60/(Calculations!$C$13*Calculations!$C$13))*LN((Calculations!$C$8*(Calculations!$O60-Calculations!$C$13))/(Calculations!$O60*(Calculations!$C$8-Calculations!$C$13))))+'Reaction Information'!$J$25*10^-1*(Calculations!$M60-Calculations!$C$9)+'Reaction Information'!$K$25*10^2*LN((Calculations!$C$12+Calculations!$M60)/(Calculations!$C$12+Calculations!$C$9))+(1/(Calculations!$O60-Calculations!$C$13))*('Reaction Information'!$L$25*(Calculations!$M60-Calculations!$C$9)+'Reaction Information'!$M$25*10^4*LN((Calculations!$C$12+Calculations!$M60)/(Calculations!$C$12+Calculations!$C$9)))+calculateOmega(Calculations!M60,Calculations!N60,Calculations!Q60,'Reaction Information'!$C$25,'Reaction Information'!$P$25*10^5,'Reaction Information'!$Q$25)*((1/Calculations!$S60)-1)-'Reaction Information'!$P$25*10^5*((1/Calculations!$C$10)-1)+'Reaction Information'!$P$25*10^5*Calculations!$C$14*(Calculations!$O60-Calculations!$C$8))</f>
        <v>#N/A</v>
      </c>
      <c r="AJ60" s="8" t="e">
        <f>IF(ISBLANK(Input!$AJ$4),NA(),'Reaction Information'!$E$29-'Reaction Information'!$G$29*(Calculations!$O60-Calculations!$C$8)-'Reaction Information'!$N$29*(Calculations!$O60*LN(Calculations!$O60/Calculations!$C$8)-Calculations!$O60+Calculations!$C$8)-'Reaction Information'!$O$29*10^4*(((1/(Calculations!$O60-Calculations!$C$13))-(1/(Calculations!$C$8-Calculations!$C$13)))*((Calculations!$C$13-Calculations!$O60)/(Calculations!$C$13))-(Calculations!$O60/(Calculations!$C$13*Calculations!$C$13))*LN((Calculations!$C$8*(Calculations!$O60-Calculations!$C$13))/(Calculations!$O60*(Calculations!$C$8-Calculations!$C$13))))+'Reaction Information'!$J$29*10^-1*(Calculations!$M60-Calculations!$C$9)+'Reaction Information'!$K$29*10^2*LN((Calculations!$C$12+Calculations!$M60)/(Calculations!$C$12+Calculations!$C$9))+(1/(Calculations!$O60-Calculations!$C$13))*('Reaction Information'!$L$29*(Calculations!$M60-Calculations!$C$9)+'Reaction Information'!$M$29*10^4*LN((Calculations!$C$12+Calculations!$M60)/(Calculations!$C$12+Calculations!$C$9)))+calculateOmega(Calculations!M60,Calculations!N60,Calculations!Q60,'Reaction Information'!$C$29,'Reaction Information'!$P$29*10^5,'Reaction Information'!$Q$29)*((1/Calculations!$S60)-1)-'Reaction Information'!$P$29*10^5*((1/Calculations!$C$10)-1)+'Reaction Information'!$P$29*10^5*Calculations!$C$14*(Calculations!$O60-Calculations!$C$8))</f>
        <v>#N/A</v>
      </c>
      <c r="AK60" s="8" t="e">
        <f>IF(ISBLANK(Input!$AM$4),NA(),'Reaction Information'!$E$33-'Reaction Information'!$G$33*(Calculations!$O60-Calculations!$C$8)-'Reaction Information'!$N$33*(Calculations!$O60*LN(Calculations!$O60/Calculations!$C$8)-Calculations!$O60+Calculations!$C$8)-'Reaction Information'!$O$33*10^4*(((1/(Calculations!$O60-Calculations!$C$13))-(1/(Calculations!$C$8-Calculations!$C$13)))*((Calculations!$C$13-Calculations!$O60)/(Calculations!$C$13))-(Calculations!$O60/(Calculations!$C$13*Calculations!$C$13))*LN((Calculations!$C$8*(Calculations!$O60-Calculations!$C$13))/(Calculations!$O60*(Calculations!$C$8-Calculations!$C$13))))+'Reaction Information'!$J$33*10^-1*(Calculations!$M60-Calculations!$C$9)+'Reaction Information'!$K$33*10^2*LN((Calculations!$C$12+Calculations!$M60)/(Calculations!$C$12+Calculations!$C$9))+(1/(Calculations!$O60-Calculations!$C$13))*('Reaction Information'!$L$33*(Calculations!$M60-Calculations!$C$9)+'Reaction Information'!$M$33*10^4*LN((Calculations!$C$12+Calculations!$M60)/(Calculations!$C$12+Calculations!$C$9)))+calculateOmega(Calculations!M60,Calculations!N60,Calculations!Q60,'Reaction Information'!$C$33,'Reaction Information'!$P$33*10^5,'Reaction Information'!$Q$33)*((1/Calculations!$S60)-1)-'Reaction Information'!$P$33*10^5*((1/Calculations!$C$10)-1)+'Reaction Information'!$P$33*10^5*Calculations!$C$14*(Calculations!$O60-Calculations!$C$8))</f>
        <v>#N/A</v>
      </c>
      <c r="AL60" s="1">
        <f>Results!S62</f>
        <v>0</v>
      </c>
      <c r="AM60" s="1">
        <f>Results!T62</f>
        <v>0</v>
      </c>
      <c r="AN60" s="1">
        <f>Results!U62</f>
        <v>0</v>
      </c>
      <c r="AO60" s="1">
        <f>Results!V62</f>
        <v>0</v>
      </c>
      <c r="AP60" s="8" t="e">
        <f>IF(ISBLANK(Input!$BB$4),NA(),'Reaction Information'!$E$38-'Reaction Information'!$G$38*(Calculations!$O60-Calculations!$C$8)+'Reaction Information'!$I$38*(Calculations!$O60-Calculations!$C$8-Calculations!$O60*LN(Calculations!$O60/Calculations!$C$8))+'Reaction Information'!$J$38*0.001/2*(2*Calculations!$O60*Calculations!$C$8-Calculations!$O60^2-Calculations!$C$8^2) + 'Reaction Information'!$K$38*100000*(Calculations!$O60^2 + Calculations!$C$8^2 - 2*Calculations!$O60*Calculations!$C$8)/(2*Calculations!$O60*Calculations!$C$8^2))</f>
        <v>#N/A</v>
      </c>
      <c r="AQ60" s="8" t="e">
        <f>IF(ISBLANK(Input!$BE$4),NA(),'Reaction Information'!$E$42-'Reaction Information'!$G$42*(Calculations!$O60-Calculations!$C$8)+'Reaction Information'!$I$42*(Calculations!$O60-Calculations!$C$8-Calculations!$O60*LN(Calculations!$O60/Calculations!$C$8))+'Reaction Information'!$J$42*0.001/2*(2*Calculations!$O60*Calculations!$C$8-Calculations!$O60^2-Calculations!$C$8^2) + 'Reaction Information'!$K$42*100000*(Calculations!$O60^2 + Calculations!$C$8^2 - 2*Calculations!$O60*Calculations!$C$8)/(2*Calculations!$O60*Calculations!$C$8^2))</f>
        <v>#N/A</v>
      </c>
      <c r="AR60" s="8" t="e">
        <f>IF(AR$5="H2O", IF($D$24=3,IF(T60=0,NA(),T60),calculateGibbsOfWater(M60,N60,$D$24,$D$20,$D$19=3)),NA())</f>
        <v>#N/A</v>
      </c>
      <c r="AS60" s="8">
        <f>IF(ISBLANK(Input!$BK$4),NA(),'Reaction Information'!$E$46-'Reaction Information'!$G$46*(Calculations!O60-Calculations!$C$8)-'Reaction Information'!$N$46*(Calculations!O60*LN(Calculations!O60/Calculations!$C$8)-Calculations!O60+Calculations!$C$8)-'Reaction Information'!$O$46*10^4*(((1/(Calculations!O60-Calculations!$C$13))-(1/(Calculations!$C$8-Calculations!$C$13)))*((Calculations!$C$13-Calculations!O60)/(Calculations!$C$13))-(Calculations!O60/(Calculations!$C$13*Calculations!$C$13))*LN((Calculations!$C$8*(Calculations!O60-Calculations!$C$13))/(Calculations!O60*(Calculations!$C$8-Calculations!$C$13))))+'Reaction Information'!$J$46*10^-1*(Calculations!$M60-Calculations!$C$9)+'Reaction Information'!$K$46*10^2*LN((Calculations!$C$12+Calculations!$M60)/(Calculations!$C$12+Calculations!$C$9))+(1/(Calculations!O60-Calculations!$C$13))*('Reaction Information'!$L$46*(Calculations!$M60-Calculations!$C$9)+'Reaction Information'!$M$46*10^4*LN((Calculations!$C$12+Calculations!$M60)/(Calculations!$C$12+Calculations!$C$9)))+calculateOmega(Calculations!M60,Calculations!N60,Calculations!Q60,'Reaction Information'!$C$46,'Reaction Information'!$P$46*10^5,'Reaction Information'!$Q$46)*((1/Calculations!S60)-1)-'Reaction Information'!$P$46*10^5*((1/Calculations!$C$10)-1)+'Reaction Information'!$P$46*10^5*Calculations!$C$14*(Calculations!O60-Calculations!$C$8))</f>
        <v>0</v>
      </c>
      <c r="AT60" s="8">
        <f>IF(ISBLANK(Input!$BN$4),NA(),'Reaction Information'!$E$50-'Reaction Information'!$G$50*(Calculations!O60-Calculations!$C$8)-'Reaction Information'!$N$50*(Calculations!O60*LN(Calculations!O60/Calculations!$C$8)-Calculations!O60+Calculations!$C$8)-'Reaction Information'!$O$50*10^4*(((1/(Calculations!O60-Calculations!$C$13))-(1/(Calculations!$C$8-Calculations!$C$13)))*((Calculations!$C$13-Calculations!O60)/(Calculations!$C$13))-(Calculations!O60/(Calculations!$C$13*Calculations!$C$13))*LN((Calculations!$C$8*(Calculations!O60-Calculations!$C$13))/(Calculations!O60*(Calculations!$C$8-Calculations!$C$13))))+'Reaction Information'!$J$50*10^-1*(Calculations!$M60-Calculations!$C$9)+'Reaction Information'!$K$50*10^2*LN((Calculations!$C$12+Calculations!$M60)/(Calculations!$C$12+Calculations!$C$9))+(1/(Calculations!O60-Calculations!$C$13))*('Reaction Information'!$L$50*(Calculations!$M60-Calculations!$C$9)+'Reaction Information'!$M$50*10^4*LN((Calculations!$C$12+Calculations!$M60)/(Calculations!$C$12+Calculations!$C$9)))+calculateOmega(Calculations!M60,Calculations!N60,Calculations!Q60,'Reaction Information'!$C$50,'Reaction Information'!$P$50*10^5,'Reaction Information'!$Q$50)*((1/Calculations!S60)-1)-'Reaction Information'!$P$50*10^5*((1/Calculations!$C$10)-1)+'Reaction Information'!$P$50*10^5*Calculations!$C$14*(Calculations!O60-Calculations!$C$8))</f>
        <v>-147049.30461977219</v>
      </c>
      <c r="AU60" s="8" t="e">
        <f>IF(ISBLANK(Input!$BQ$4),NA(),'Reaction Information'!$E$54-'Reaction Information'!$G$54*(Calculations!$O60-Calculations!$C$8)-'Reaction Information'!$N$54*(Calculations!$O60*LN(Calculations!$O60/Calculations!$C$8)-Calculations!$O60+Calculations!$C$8)-'Reaction Information'!$O$54*10^4*(((1/(Calculations!$O60-Calculations!$C$13))-(1/(Calculations!$C$8-Calculations!$C$13)))*((Calculations!$C$13-Calculations!$O60)/(Calculations!$C$13))-(Calculations!$O60/(Calculations!$C$13*Calculations!$C$13))*LN((Calculations!$C$8*(Calculations!$O60-Calculations!$C$13))/(Calculations!$O60*(Calculations!$C$8-Calculations!$C$13))))+'Reaction Information'!$J$54*10^-1*(Calculations!$M60-Calculations!$C$9)+'Reaction Information'!$K$54*10^2*LN((Calculations!$C$12+Calculations!$M60)/(Calculations!$C$12+Calculations!$C$9))+(1/(Calculations!$O60-Calculations!$C$13))*('Reaction Information'!$L$54*(Calculations!$M60-Calculations!$C$9)+'Reaction Information'!$M$54*10^4*LN((Calculations!$C$12+Calculations!$M60)/(Calculations!$C$12+Calculations!$C$9)))+calculateOmega(Calculations!M60,Calculations!N60,Calculations!Q60,'Reaction Information'!$C$54,'Reaction Information'!$P$54*10^5,'Reaction Information'!$Q$54)*((1/Calculations!$S60)-1)-'Reaction Information'!$P$54*10^5*((1/Calculations!$C$10)-1)+'Reaction Information'!$P$54*10^5*Calculations!$C$14*(Calculations!$O60-Calculations!$C$8))</f>
        <v>#N/A</v>
      </c>
      <c r="AV60" s="8" t="e">
        <f>IF(ISBLANK(Input!$BT$4),NA(),'Reaction Information'!$E$58-'Reaction Information'!$G$58*(Calculations!$O60-Calculations!$C$8)-'Reaction Information'!$N$58*(Calculations!$O60*LN(Calculations!$O60/Calculations!$C$8)-Calculations!$O60+Calculations!$C$8)-'Reaction Information'!$O$58*10^4*(((1/(Calculations!$O60-Calculations!$C$13))-(1/(Calculations!$C$8-Calculations!$C$13)))*((Calculations!$C$13-Calculations!$O60)/(Calculations!$C$13))-(Calculations!$O60/(Calculations!$C$13*Calculations!$C$13))*LN((Calculations!$C$8*(Calculations!$O60-Calculations!$C$13))/(Calculations!$O60*(Calculations!$C$8-Calculations!$C$13))))+'Reaction Information'!$J$58*10^-1*(Calculations!$M60-Calculations!$C$9)+'Reaction Information'!$K$58*10^2*LN((Calculations!$C$12+Calculations!$M60)/(Calculations!$C$12+Calculations!$C$9))+(1/(Calculations!$O60-Calculations!$C$13))*('Reaction Information'!$L$58*(Calculations!$M60-Calculations!$C$9)+'Reaction Information'!$M$58*10^4*LN((Calculations!$C$12+Calculations!$M60)/(Calculations!$C$12+Calculations!$C$9)))+calculateOmega(Calculations!M60,Calculations!N60,Calculations!Q60,'Reaction Information'!$C$58,'Reaction Information'!$P$58*10^5,'Reaction Information'!$Q$58)*((1/Calculations!$S60)-1)-'Reaction Information'!$P$58*10^5*((1/Calculations!$C$10)-1)+'Reaction Information'!$P$58*10^5*Calculations!$C$14*(Calculations!$O60-Calculations!$C$8))</f>
        <v>#N/A</v>
      </c>
      <c r="AW60" s="8" t="e">
        <f>IF(ISBLANK(Input!$BW$4),NA(),'Reaction Information'!$E$62-'Reaction Information'!$G$62*(Calculations!$O60-Calculations!$C$8)-'Reaction Information'!$N$62*(Calculations!$O60*LN(Calculations!$O60/Calculations!$C$8)-Calculations!$O60+Calculations!$C$8)-'Reaction Information'!$O$62*10^4*(((1/(Calculations!$O60-Calculations!$C$13))-(1/(Calculations!$C$8-Calculations!$C$13)))*((Calculations!$C$13-Calculations!$O60)/(Calculations!$C$13))-(Calculations!$O60/(Calculations!$C$13*Calculations!$C$13))*LN((Calculations!$C$8*(Calculations!$O60-Calculations!$C$13))/(Calculations!$O60*(Calculations!$C$8-Calculations!$C$13))))+'Reaction Information'!$J$62*10^-1*(Calculations!$M60-Calculations!$C$9)+'Reaction Information'!$K$62*10^2*LN((Calculations!$C$12+Calculations!$M60)/(Calculations!$C$12+Calculations!$C$9))+(1/(Calculations!$O60-Calculations!$C$13))*('Reaction Information'!$L$62*(Calculations!$M60-Calculations!$C$9)+'Reaction Information'!$M$62*10^4*LN((Calculations!$C$12+Calculations!$M60)/(Calculations!$C$12+Calculations!$C$9)))+calculateOmega(Calculations!M60,Calculations!N60,Calculations!Q60,'Reaction Information'!$C$62,'Reaction Information'!$P$62*10^5,'Reaction Information'!$Q$62)*((1/Calculations!$S60)-1)-'Reaction Information'!$P$62*10^5*((1/Calculations!$C$10)-1)+'Reaction Information'!$P$62*10^5*Calculations!$C$14*(Calculations!$O60-Calculations!$C$8))</f>
        <v>#N/A</v>
      </c>
      <c r="AX60" s="8" t="e">
        <f>IF(ISBLANK(Input!$BZ$4),NA(),'Reaction Information'!$E$66-'Reaction Information'!$G$66*(Calculations!$O60-Calculations!$C$8)-'Reaction Information'!$N$66*(Calculations!$O60*LN(Calculations!$O60/Calculations!$C$8)-Calculations!$O60+Calculations!$C$8)-'Reaction Information'!$O$66*10^4*(((1/(Calculations!$O60-Calculations!$C$13))-(1/(Calculations!$C$8-Calculations!$C$13)))*((Calculations!$C$13-Calculations!$O60)/(Calculations!$C$13))-(Calculations!$O60/(Calculations!$C$13*Calculations!$C$13))*LN((Calculations!$C$8*(Calculations!$O60-Calculations!$C$13))/(Calculations!$O60*(Calculations!$C$8-Calculations!$C$13))))+'Reaction Information'!$J$66*10^-1*(Calculations!$M60-Calculations!$C$9)+'Reaction Information'!$K$66*10^2*LN((Calculations!$C$12+Calculations!$M60)/(Calculations!$C$12+Calculations!$C$9))+(1/(Calculations!$O60-Calculations!$C$13))*('Reaction Information'!$L$66*(Calculations!$M60-Calculations!$C$9)+'Reaction Information'!$M$66*10^4*LN((Calculations!$C$12+Calculations!$M60)/(Calculations!$C$12+Calculations!$C$9)))+calculateOmega(Calculations!M60,Calculations!N60,Calculations!Q60,'Reaction Information'!$C$66,'Reaction Information'!$P$66*10^5,'Reaction Information'!$Q$66)*((1/Calculations!$S60)-1)-'Reaction Information'!$P$66*10^5*((1/Calculations!$C$10)-1)+'Reaction Information'!$P$66*10^5*Calculations!$C$14*(Calculations!$O60-Calculations!$C$8))</f>
        <v>#N/A</v>
      </c>
      <c r="AY60" s="31">
        <f>(AL60*Input!$AO$4+AM60*Input!$AR$4+AN60*Input!$AU$4+AO60*Input!$AX$4+IF(ISNA(AP60),0,AP60*Input!$BA$4)+IF(ISNA(AQ60),0,AQ60*Input!$BD$4)+IF(ISNA(AR60),0,AR60*Input!$BG$4)+IF(ISNA(AS60),0,AS60*Input!$BJ$4)+IF(ISNA(AT60),0,AT60*Input!$BM$4)+IF(ISNA(AU60),0,AU60*Input!$BP$4)+IF(ISNA(AV60),0,AV60*Input!$BS$4)+IF(ISNA(AW60),0,AW60*Input!$BV$4)+IF(ISNA(AX60),0,AX60*Input!$BY$4))-(Y60*Input!$B$4+Z60*Input!$E$4+AA60*Input!$H$4+AB60*Input!$K$4+IF(ISNA(AC60),0,AC60*Input!$N$4)+IF(ISNA(AD60),0,AD60*Input!$Q$4)+IF(ISNA(AE60),0,AE60*Input!$T$4)+IF(ISNA(AF60),0,AF60*Input!$W$4)+IF(ISNA(AG60),0,AG60*Input!$Z$4)+IF(ISNA(AH60),0,AH60*Input!$AC$4)+IF(ISNA(AI60),0,AI60*Input!$AF$4)+IF(ISNA(AJ60),0,AJ60*Input!$AI$4)+IF(ISNA(AK60),0,AK60*Input!$AL$4))</f>
        <v>29260.506696296448</v>
      </c>
      <c r="AZ60" s="42">
        <f t="shared" si="16"/>
        <v>-6.2542380495337166</v>
      </c>
      <c r="BA60" s="1">
        <f t="shared" si="8"/>
        <v>750</v>
      </c>
      <c r="BB60" s="46">
        <f t="shared" si="9"/>
        <v>20000</v>
      </c>
      <c r="BC60" s="1"/>
      <c r="BD60" s="2">
        <f t="shared" si="10"/>
        <v>20000</v>
      </c>
      <c r="BE60" s="46">
        <f t="shared" si="11"/>
        <v>750</v>
      </c>
      <c r="BF60" s="1">
        <f>Results!AJ62</f>
        <v>0</v>
      </c>
      <c r="BG60" s="1">
        <f>Results!AK62</f>
        <v>0</v>
      </c>
      <c r="BH60" s="1">
        <f>Results!AL62</f>
        <v>0</v>
      </c>
      <c r="BI60" s="1">
        <f>Results!AM62</f>
        <v>0</v>
      </c>
      <c r="BJ60" s="1" t="e">
        <f>IF(OR(ISNA('Reaction Information'!$D$5), $N60 = "", $D$27 = FALSE, 'Reaction Information'!$D$5 = ""), NA(), 24.465)</f>
        <v>#N/A</v>
      </c>
      <c r="BK60" s="1" t="e">
        <f>IF(OR(ISNA('Reaction Information'!$D$9), $N60 = "", $D$27 = FALSE, 'Reaction Information'!$D$9 = ""), NA(), 24.465)</f>
        <v>#N/A</v>
      </c>
      <c r="BL60" s="8">
        <f t="shared" si="17"/>
        <v>16.7044644843531</v>
      </c>
      <c r="BM60" s="8">
        <f>IF(OR(ISBLANK(Input!$X$4),$D$27=FALSE),NA(),('Reaction Information'!$J$13/10+'Reaction Information'!$K$13*100/(Calculations!$C$12+Calculations!$M60)+('Reaction Information'!$L$13+'Reaction Information'!$M$13*10^4/(Calculations!$C$12+Calculations!$M60))/(Calculations!$O60-Calculations!$C$13) -calculateOmega(Calculations!$M60,Calculations!$N60,Calculations!$Q60,'Reaction Information'!$C$13,'Reaction Information'!$P$13*10^5,'Reaction Information'!$Q$13)*Calculations!$U60*10^-6 + (1/$S60 - 1)*calculate_domegadP(Calculations!$M60,Calculations!$N60,Calculations!$Q60,'Reaction Information'!$C$13,'Reaction Information'!$P$13*10^5,'Reaction Information'!$Q$13,$D$20,$D$19=3))*41.84)</f>
        <v>31.632699345768998</v>
      </c>
      <c r="BN60" s="8" t="e">
        <f>IF(OR(ISBLANK(Input!$AA$4),$D$27=FALSE),NA(),('Reaction Information'!$J$17/10+'Reaction Information'!$K$17*100/(Calculations!$C$12+Calculations!$M60)+('Reaction Information'!$L$17+'Reaction Information'!$M$17*10000/(Calculations!$C$12+Calculations!$M60))/(Calculations!$O60-Calculations!$C$13)-calculateOmega(Calculations!M60,Calculations!N60,Calculations!Q60,'Reaction Information'!$C$17,'Reaction Information'!$P$17*10^5,'Reaction Information'!$Q$17)*Calculations!$U60*10^-6 + (1/$S60 - 1)*calculate_domegadP(Calculations!M60,Calculations!N60,Calculations!Q60,'Reaction Information'!$C$17,'Reaction Information'!$P$17*10^5,'Reaction Information'!$Q$17,$D$20,$D$19=3))*41.84)</f>
        <v>#N/A</v>
      </c>
      <c r="BO60" s="8" t="e">
        <f>IF(OR(ISBLANK(Input!$AD$4),$D$27=FALSE),NA(),('Reaction Information'!$J$21/10+'Reaction Information'!$K$21*100/(Calculations!$C$12+Calculations!$M60)+('Reaction Information'!$L$21+'Reaction Information'!$M$21*10000/(Calculations!$C$12+Calculations!$M60))/(Calculations!$O60-Calculations!$C$13)-calculateOmega(Calculations!M60,Calculations!N60,Calculations!Q60,'Reaction Information'!$C$21,'Reaction Information'!$P$21*10^5,'Reaction Information'!$Q$21)*Calculations!$U60*10^-6 + (1/$S60 - 1)*calculate_domegadP(Calculations!M60,Calculations!N60,Calculations!Q60,'Reaction Information'!$C$21,'Reaction Information'!$P$21*10^5,'Reaction Information'!$Q$21,$D$20,$D$19=3))*41.84)</f>
        <v>#N/A</v>
      </c>
      <c r="BP60" s="8" t="e">
        <f>IF(OR(ISBLANK(Input!$AG$4),$D$27=FALSE),NA(),('Reaction Information'!$J$25/10+'Reaction Information'!$K$25*100/(Calculations!$C$12+Calculations!$M60)+('Reaction Information'!$L$25+'Reaction Information'!$M$25*10000/(Calculations!$C$12+Calculations!$M60))/(Calculations!$O60-Calculations!$C$13)-calculateOmega(Calculations!M60,Calculations!N60,Calculations!Q60,'Reaction Information'!$C$25,'Reaction Information'!$P$25*10^5,'Reaction Information'!$Q$25)*Calculations!$U60*10^-6 + (1/$S60 - 1)*calculate_domegadP(Calculations!M60,Calculations!N60,Calculations!Q60,'Reaction Information'!$C$25,'Reaction Information'!$P$25*10^5,'Reaction Information'!$Q$25,$D$20,$D$19=3))*41.84)</f>
        <v>#N/A</v>
      </c>
      <c r="BQ60" s="8" t="e">
        <f>IF(OR(ISBLANK(Input!$AJ$4),$D$27=FALSE),NA(),('Reaction Information'!$J$29/10+'Reaction Information'!$K$29*100/(Calculations!$C$12+Calculations!$M60)+('Reaction Information'!$L$29+'Reaction Information'!$M$29*10000/(Calculations!$C$12+Calculations!$M60))/(Calculations!$O60-Calculations!$C$13)-calculateOmega(Calculations!M60,Calculations!N60,Calculations!Q60,'Reaction Information'!$C$29,'Reaction Information'!$P$29*10^5,'Reaction Information'!$Q$29)*Calculations!$U60*10^-6 + (1/$S60 - 1)*calculate_domegadP(Calculations!M60,Calculations!N60,Calculations!Q60,'Reaction Information'!$C$29,'Reaction Information'!$P$29*10^5,'Reaction Information'!$Q$29,$D$20,$D$19=3))*41.84)</f>
        <v>#N/A</v>
      </c>
      <c r="BR60" s="8" t="e">
        <f>IF(OR(ISBLANK(Input!$AM$4),$D$27=FALSE),NA(),('Reaction Information'!$J$33/10+'Reaction Information'!$K$33*100/(Calculations!$C$12+Calculations!$M60)+('Reaction Information'!$L$33+'Reaction Information'!$M$33*10000/(Calculations!$C$12+Calculations!$M60))/(Calculations!$O60-Calculations!$C$13)-calculateOmega(Calculations!M60,Calculations!N60,Calculations!Q60,'Reaction Information'!$C$33,'Reaction Information'!$P$33*10^5,'Reaction Information'!$Q$33)*Calculations!$U60*10^-6 + (1/$S60 - 1)*calculate_domegadP(Calculations!M60,Calculations!N60,Calculations!Q60,'Reaction Information'!$C$33,'Reaction Information'!$P$33*10^5,'Reaction Information'!$Q$33,$D$20,$D$19=3))*41.84)</f>
        <v>#N/A</v>
      </c>
      <c r="BS60" s="1">
        <f>Results!AW62</f>
        <v>0</v>
      </c>
      <c r="BT60" s="1">
        <f>Results!AX62</f>
        <v>0</v>
      </c>
      <c r="BU60" s="1">
        <f>Results!AY62</f>
        <v>0</v>
      </c>
      <c r="BV60" s="1">
        <f>Results!AZ62</f>
        <v>0</v>
      </c>
      <c r="BW60" s="1" t="e">
        <f>IF(OR(ISNA('Reaction Information'!$D$38), $N60 = "", $D$27 = FALSE, 'Reaction Information'!$D$38 = ""), NA(), 24.465)</f>
        <v>#N/A</v>
      </c>
      <c r="BX60" s="1" t="e">
        <f>IF(OR(ISNA('Reaction Information'!$D$42), $N60 = "", $D$27 = FALSE, 'Reaction Information'!$D$42 = ""), NA(), 24.465)</f>
        <v>#N/A</v>
      </c>
      <c r="BY60" s="8" t="e">
        <f t="shared" si="18"/>
        <v>#N/A</v>
      </c>
      <c r="BZ60" s="8">
        <f>IF(OR(ISBLANK(Input!$BK$4),$D$27=FALSE),NA(),('Reaction Information'!$J$46/10+'Reaction Information'!$K$46*100/(Calculations!$C$12+Calculations!$M60)+('Reaction Information'!$L$46+'Reaction Information'!$M$46*10000/(Calculations!$C$12+Calculations!$M60))/(Calculations!$O60-Calculations!$C$13)-calculateOmega(Calculations!M60,Calculations!N60,Calculations!Q60,'Reaction Information'!$C$46,'Reaction Information'!$P$46*10^5,'Reaction Information'!$Q$46)*Calculations!$U60*10^-6 + (1/$S60 - 1)*calculate_domegadP(Calculations!M60,Calculations!N60,Calculations!Q60,'Reaction Information'!$C$46,'Reaction Information'!$P$46*10^5,'Reaction Information'!$Q$46,$D$20,$D$19=3))*41.84)</f>
        <v>0</v>
      </c>
      <c r="CA60" s="8">
        <f>IF(OR(ISBLANK(Input!$BN$4),$D$27=FALSE),NA(),('Reaction Information'!$J$50/10+'Reaction Information'!$K$50*100/(Calculations!$C$12+Calculations!$M60)+('Reaction Information'!$L$50+'Reaction Information'!$M$50*10000/(Calculations!$C$12+Calculations!$M60))/(Calculations!$O60-Calculations!$C$13)-calculateOmega(Calculations!M60,Calculations!N60,Calculations!Q60,'Reaction Information'!$C$50,'Reaction Information'!$P$50*10^5,'Reaction Information'!$Q$50)*Calculations!$U60*10^-6 + (1/$S60 - 1)*calculate_domegadP(Calculations!M60,Calculations!N60,Calculations!Q60,'Reaction Information'!$C$50,'Reaction Information'!$P$50*10^5,'Reaction Information'!$Q$50,$D$20,$D$19=3))*41.84)</f>
        <v>28.990613701922761</v>
      </c>
      <c r="CB60" s="8" t="e">
        <f>IF(OR(ISBLANK(Input!$BQ$4),$D$27=FALSE),NA(),('Reaction Information'!$J$54/10+'Reaction Information'!$K$54*100/(Calculations!$C$12+Calculations!$M60)+('Reaction Information'!$L$54+'Reaction Information'!$M$54*10000/(Calculations!$C$12+Calculations!$M60))/(Calculations!$O60-Calculations!$C$13)-calculateOmega(Calculations!M60,Calculations!N60,Calculations!Q60,'Reaction Information'!$C$54,'Reaction Information'!$P$54*10^5,'Reaction Information'!$Q$54)*Calculations!$U60*10^-6 + (1/$S60 - 1)*calculate_domegadP(Calculations!M60,Calculations!N60,Calculations!Q60,'Reaction Information'!$C$54,'Reaction Information'!$P$54*10^5,'Reaction Information'!$Q$54,$D$20,$D$19=3))*41.84)</f>
        <v>#N/A</v>
      </c>
      <c r="CC60" s="8" t="e">
        <f>IF(OR(ISBLANK(Input!$BT$4),$D$27=FALSE),NA(),('Reaction Information'!$J$58/10+'Reaction Information'!$K$58*100/(Calculations!$C$12+Calculations!$M60)+('Reaction Information'!$L$58+'Reaction Information'!$M$58*10000/(Calculations!$C$12+Calculations!$M60))/(Calculations!$O60-Calculations!$C$13)-calculateOmega(Calculations!M60,Calculations!N60,Calculations!Q60,'Reaction Information'!$C$58,'Reaction Information'!$P$58*10^5,'Reaction Information'!$Q$58)*Calculations!$U60*10^-6 + (1/$S60 - 1)*calculate_domegadP(Calculations!M60,Calculations!N60,Calculations!Q60,'Reaction Information'!$C$58,'Reaction Information'!$P$58*10^5,'Reaction Information'!$Q$58,$D$20,$D$19=3))*41.84)</f>
        <v>#N/A</v>
      </c>
      <c r="CD60" s="8" t="e">
        <f>IF(OR(ISBLANK(Input!$BW$4),$D$27=FALSE),NA(),('Reaction Information'!$J$62/10+'Reaction Information'!$K$62*100/(Calculations!$C$12+Calculations!$M60)+('Reaction Information'!$L$62+'Reaction Information'!$M$62*10000/(Calculations!$C$12+Calculations!$M60))/(Calculations!$O60-Calculations!$C$13)-calculateOmega(Calculations!M60,Calculations!N60,Calculations!Q60,'Reaction Information'!$C$62,'Reaction Information'!$P$62*10^5,'Reaction Information'!$Q$62)*Calculations!$U60*10^-6 + (1/$S60 - 1)*calculate_domegadP(Calculations!M60,Calculations!N60,Calculations!Q60,'Reaction Information'!$C$62,'Reaction Information'!$P$62*10^5,'Reaction Information'!$Q$62,$D$20,$D$19=3))*41.84)</f>
        <v>#N/A</v>
      </c>
      <c r="CE60" s="8" t="e">
        <f>IF(OR(ISBLANK(Input!$BZ$4),$D$27=FALSE),NA(),('Reaction Information'!$J$66/10+'Reaction Information'!$K$66*100/(Calculations!$C$12+Calculations!$M60)+('Reaction Information'!$L$66+'Reaction Information'!$M$66*10000/(Calculations!$C$12+Calculations!$M60))/(Calculations!$O60-Calculations!$C$13)-calculateOmega(Calculations!M60,Calculations!N60,Calculations!Q60,'Reaction Information'!$C$66,'Reaction Information'!$P$66*10^5,'Reaction Information'!$Q$66)*Calculations!$U60*10^-6 + (1/$S60 - 1)*calculate_domegadP(Calculations!M60,Calculations!N60,Calculations!Q60,'Reaction Information'!$C$66,'Reaction Information'!$P$66*10^5,'Reaction Information'!$Q$66,$D$20,$D$19=3))*41.84)</f>
        <v>#N/A</v>
      </c>
      <c r="CF60" s="31">
        <f>(BS60*Input!$AO$4+BT60*Input!$AR$4+BU60*Input!$AU$4+BV60*Input!$AX$4+IF(ISNA(BW60),0,BW60*Input!$BA$4)+IF(ISNA(BX60),0,BX60*Input!$BD$4)+IF(ISNA(BY60),0,BY60*Input!$BG$4)+IF(ISNA(BZ60),0,BZ60*Input!$BJ$4)+IF(ISNA(CA60),0,CA60*Input!$BM$4)+IF(ISNA(CB60),0,CB60*Input!$BP$4)+IF(ISNA(CC60),0,CC60*Input!$BS$4)+IF(ISNA(CD60),0,CD60*Input!$BV$4)+IF(ISNA(CE60),0,CE60*Input!$BY$4))-(BF60*Input!$B$4+BG60*Input!$E$4+BH60*Input!$H$4+BI60*Input!$K$4+IF(ISNA(BJ60),0,BJ60*Input!$N$4)+IF(ISNA(BK60),0,BK60*Input!$Q$4)+IF(ISNA(BL60),0,BL60*Input!$T$4)+IF(ISNA(BM60),0,BM60*Input!$W$4)+IF(ISNA(BN60),0,BN60*Input!$Z$4)+IF(ISNA(BO60),0,BO60*Input!$AC$4)+IF(ISNA(BP60),0,BP60*Input!$AF$4)+IF(ISNA(BQ60),0,BQ60*Input!$AI$4)+IF(ISNA(BR60),0,BR60*Input!$AL$4))</f>
        <v>-19.346550128199333</v>
      </c>
      <c r="CG60" s="1">
        <f t="shared" si="12"/>
        <v>750</v>
      </c>
      <c r="CH60" s="46">
        <f t="shared" si="13"/>
        <v>20000</v>
      </c>
      <c r="CI60" s="1"/>
    </row>
    <row r="61" spans="1:87" x14ac:dyDescent="0.2">
      <c r="A61" s="1"/>
      <c r="E61" s="1"/>
      <c r="F61" s="2">
        <v>56</v>
      </c>
      <c r="G61" s="1" t="str">
        <f>IF(ISBLANK(Input!CB61), "", Input!CB61*1000)</f>
        <v/>
      </c>
      <c r="H61" s="1" t="str">
        <f>IF(ISBLANK(Input!CC61), "", Input!CC61)</f>
        <v/>
      </c>
      <c r="I61" s="1">
        <f>IF(Input!$CF$5 + Input!$CF$6*(FLOOR((Calculations!$F61-1)/(FLOOR((Input!$CF$12-Input!$CF$10)/Input!$CF$11,1)+1),1)) &gt; Input!$CF$7, "", (Input!$CF$5 + Input!$CF$6*(FLOOR((Calculations!$F61-1)/(FLOOR((Input!$CF$12-Input!$CF$10)/Input!$CF$11,1)+1),1)))*1000)</f>
        <v>20000</v>
      </c>
      <c r="J61" s="1">
        <f>IF(Calculations!I61 = "", "", Input!$CF$10 + Input!$CF$11*(Calculations!$F61-1) - (FLOOR((Input!$CF$12-Input!$CF$10)/Input!$CF$11,1)+1)*Input!$CF$11*FLOOR((Calculations!$F61-1)/(FLOOR((Input!$CF$12-Input!$CF$10)/Input!$CF$11,1)+1),1))</f>
        <v>800</v>
      </c>
      <c r="K61" s="8" t="str">
        <f t="shared" si="14"/>
        <v/>
      </c>
      <c r="L61" s="117" t="str">
        <f>IF(OR(Input!$CJ$5 + Input!$CJ$6*(Calculations!F61-1) &gt; Input!$CJ$7, Input!$CJ$5 + Input!$CJ$6*(Calculations!F61-1) &gt; 350), "", Input!$CJ$5 + Input!$CJ$6*(Calculations!F61-1))</f>
        <v/>
      </c>
      <c r="M61" s="1">
        <f t="shared" si="2"/>
        <v>20000</v>
      </c>
      <c r="N61" s="1">
        <f t="shared" si="3"/>
        <v>800</v>
      </c>
      <c r="O61" s="1">
        <f t="shared" si="15"/>
        <v>1073.1500000000001</v>
      </c>
      <c r="P61" s="1" t="e">
        <f>IF(OR($D$20=3,AND($D$21=TRUE,M61&lt;1000)),INDEX('Water Density'!$C$6:$CX$120,MATCH(Calculations!N61,'Water Density'!$B$6:$B$120),MATCH(Calculations!M61/1000,'Water Density'!$C$5:$CX$5)),NA())</f>
        <v>#N/A</v>
      </c>
      <c r="Q61" s="182">
        <f>IF(OR($D$20=3,AND($D$21=TRUE,M61&lt;1000)), IF(P61&lt;&gt;0,P61,NA()), calculateDensity(M61,N61,$D$20,0.01,$D$19 = 3))</f>
        <v>1.0621198412710431</v>
      </c>
      <c r="R61" s="1" t="e">
        <f>IF($D$22=5,INDEX('Dielectric Constant'!$C$6:$CX$120,MATCH(Calculations!N61,'Dielectric Constant'!$B$6:$B$120),MATCH(Calculations!M61/1000,'Dielectric Constant'!$C$5:$CX$5)),NA())</f>
        <v>#N/A</v>
      </c>
      <c r="S61" s="58">
        <f>IF($D$22=5, IF(R61&lt;&gt;0,R61,NA()), IF(AND($D$23,M61&lt;=5000,$D$19 &lt;&gt; 3),calculateEpsilon(Q61,N61,1,FALSE),calculateEpsilon(Q61,N61,$D$22,$D$19 = 3)))</f>
        <v>16.874982528575156</v>
      </c>
      <c r="T61" s="1" t="e">
        <f>IF($D$24=3,INDEX('Water Free Energy'!$C$6:$CX$120,MATCH(Calculations!N61,'Water Free Energy'!$B$6:$B$120),MATCH(Calculations!M61/1000,'Water Free Energy'!$C$5:$CX$5)),NA())</f>
        <v>#N/A</v>
      </c>
      <c r="U61" s="179">
        <f>IF($D$27,calculateQ(M61,N61,Q61,$D$20,$D$22,$D$19=3)*10^6,NA())</f>
        <v>0.64538940220317231</v>
      </c>
      <c r="V61"/>
      <c r="W61" s="2">
        <f t="shared" si="5"/>
        <v>20000</v>
      </c>
      <c r="X61" s="1">
        <f t="shared" si="6"/>
        <v>800</v>
      </c>
      <c r="Y61" s="1">
        <f>Results!F63</f>
        <v>0</v>
      </c>
      <c r="Z61" s="1">
        <f>Results!G63</f>
        <v>0</v>
      </c>
      <c r="AA61" s="1">
        <f>Results!H63</f>
        <v>0</v>
      </c>
      <c r="AB61" s="1">
        <f>Results!I63</f>
        <v>0</v>
      </c>
      <c r="AC61" s="1" t="e">
        <f>IF(ISBLANK(Input!$O$4),NA(),'Reaction Information'!$E$5-'Reaction Information'!$G$5*(Calculations!$O61-Calculations!$C$8)+'Reaction Information'!$I$5*(Calculations!$O61-Calculations!$C$8-Calculations!$O61*LN(Calculations!$O61/Calculations!$C$8))+'Reaction Information'!$J$5*0.001/2*(2*Calculations!$O61*Calculations!$C$8-Calculations!$O61^2-Calculations!$C$8^2) + 'Reaction Information'!$K$5*100000*(Calculations!$O61^2 + Calculations!$C$8^2 - 2*Calculations!$O61*Calculations!$C$8)/(2*Calculations!$O61*Calculations!$C$8^2))</f>
        <v>#N/A</v>
      </c>
      <c r="AD61" s="8" t="e">
        <f>IF(ISBLANK(Input!$R$4),NA(),'Reaction Information'!$E$9-'Reaction Information'!$G$9*(Calculations!$O61-Calculations!$C$8)+'Reaction Information'!$I$9*(Calculations!$O61-Calculations!$C$8-Calculations!$O61*LN(Calculations!$O61/Calculations!$C$8))+'Reaction Information'!$J$9*0.001/2*(2*Calculations!$O61*Calculations!$C$8-Calculations!$O61^2-Calculations!$C$8^2) + 'Reaction Information'!$K$9*100000*(Calculations!$O61^2 + Calculations!$C$8^2 - 2*Calculations!$O61*Calculations!$C$8)/(2*Calculations!$O61*Calculations!$C$8^2))</f>
        <v>#N/A</v>
      </c>
      <c r="AE61" s="8">
        <f>IF(AE$5="H2O",IF($D$24=3,IF(T61=0,NA(),T61),calculateGibbsOfWater(M61,N61,$D$24,$D$20,$D$19=3)),NA())</f>
        <v>-69521.105636120861</v>
      </c>
      <c r="AF61" s="8">
        <f>IF(ISBLANK(Input!$X$4),NA(),'Reaction Information'!$E$13-'Reaction Information'!$G$13*(Calculations!O61-Calculations!$C$8)-'Reaction Information'!$N$13*(Calculations!O61*LN(Calculations!O61/Calculations!$C$8)-Calculations!O61+Calculations!$C$8)-'Reaction Information'!$O$13*10^4*(((1/(Calculations!O61-Calculations!$C$13))-(1/(Calculations!$C$8-Calculations!$C$13)))*((Calculations!$C$13-Calculations!O61)/(Calculations!$C$13))-(Calculations!O61/(Calculations!$C$13*Calculations!$C$13))*LN((Calculations!$C$8*(Calculations!O61-Calculations!$C$13))/(Calculations!O61*(Calculations!$C$8-Calculations!$C$13))))+'Reaction Information'!$J$13*10^-1*(Calculations!M61-Calculations!$C$9)+'Reaction Information'!$K$13*10^2*LN((Calculations!$C$12+Calculations!M61)/(Calculations!$C$12+Calculations!$C$9))+(1/(Calculations!O61-Calculations!$C$13))*('Reaction Information'!$L$13*(Calculations!M61-Calculations!$C$9)+'Reaction Information'!$M$13*10^4*LN((Calculations!$C$12+Calculations!M61)/(Calculations!$C$12+Calculations!$C$9)))+calculateOmega(Calculations!M61,Calculations!N61,Calculations!Q61,'Reaction Information'!$C$13,'Reaction Information'!$P$13*10^5,'Reaction Information'!$Q$13)*((1/Calculations!S61)-1)-'Reaction Information'!$P$13*10^5*((1/Calculations!$C$10)-1)+'Reaction Information'!$P$13*10^5*Calculations!$C$14*(Calculations!O61-Calculations!$C$8))</f>
        <v>-110955.74128877481</v>
      </c>
      <c r="AG61" s="8" t="e">
        <f>IF(ISBLANK(Input!$AA$4),NA(),'Reaction Information'!$E$17-'Reaction Information'!$G$17*(Calculations!$O61-Calculations!$C$8)-'Reaction Information'!$N$17*(Calculations!$O61*LN(Calculations!$O61/Calculations!$C$8)-Calculations!$O61+Calculations!$C$8)-'Reaction Information'!$O$17*10^4*(((1/(Calculations!$O61-Calculations!$C$13))-(1/(Calculations!$C$8-Calculations!$C$13)))*((Calculations!$C$13-Calculations!$O61)/(Calculations!$C$13))-(Calculations!$O61/(Calculations!$C$13*Calculations!$C$13))*LN((Calculations!$C$8*(Calculations!$O61-Calculations!$C$13))/(Calculations!$O61*(Calculations!$C$8-Calculations!$C$13))))+'Reaction Information'!$J$17*10^-1*(Calculations!$M61-Calculations!$C$9)+'Reaction Information'!$K$17*10^2*LN((Calculations!$C$12+Calculations!$M61)/(Calculations!$C$12+Calculations!$C$9))+(1/(Calculations!$O61-Calculations!$C$13))*('Reaction Information'!$L$17*(Calculations!$M61-Calculations!$C$9)+'Reaction Information'!$M$17*10^4*LN((Calculations!$C$12+Calculations!$M61)/(Calculations!$C$12+Calculations!$C$9)))+calculateOmega(Calculations!M61,Calculations!N61,Calculations!Q61,'Reaction Information'!$C$17,'Reaction Information'!$P$17*10^5,'Reaction Information'!$Q$17)*((1/Calculations!$S61)-1)-'Reaction Information'!$P$17*10^5*((1/Calculations!$C$10)-1)+'Reaction Information'!$P$17*10^5*Calculations!$C$14*(Calculations!$O61-Calculations!$C$8))</f>
        <v>#N/A</v>
      </c>
      <c r="AH61" s="8" t="e">
        <f>IF(ISBLANK(Input!$AD$4),NA(),'Reaction Information'!$E$21-'Reaction Information'!$G$21*(Calculations!$O61-Calculations!$C$8)-'Reaction Information'!$N$21*(Calculations!$O61*LN(Calculations!$O61/Calculations!$C$8)-Calculations!$O61+Calculations!$C$8)-'Reaction Information'!$O$21*10^4*(((1/(Calculations!$O61-Calculations!$C$13))-(1/(Calculations!$C$8-Calculations!$C$13)))*((Calculations!$C$13-Calculations!$O61)/(Calculations!$C$13))-(Calculations!$O61/(Calculations!$C$13*Calculations!$C$13))*LN((Calculations!$C$8*(Calculations!$O61-Calculations!$C$13))/(Calculations!$O61*(Calculations!$C$8-Calculations!$C$13))))+'Reaction Information'!$J$21*10^-1*(Calculations!$M61-Calculations!$C$9)+'Reaction Information'!$K$21*10^2*LN((Calculations!$C$12+Calculations!$M61)/(Calculations!$C$12+Calculations!$C$9))+(1/(Calculations!$O61-Calculations!$C$13))*('Reaction Information'!$L$21*(Calculations!$M61-Calculations!$C$9)+'Reaction Information'!$M$21*10^4*LN((Calculations!$C$12+Calculations!$M61)/(Calculations!$C$12+Calculations!$C$9)))+calculateOmega(Calculations!M61,Calculations!N61,Calculations!Q61,'Reaction Information'!$C$21,'Reaction Information'!$P$21*10^5,'Reaction Information'!$Q$21)*((1/Calculations!$S61)-1)-'Reaction Information'!$P$21*10^5*((1/Calculations!$C$10)-1)+'Reaction Information'!$P$21*10^5*Calculations!$C$14*(Calculations!$O61-Calculations!$C$8))</f>
        <v>#N/A</v>
      </c>
      <c r="AI61" s="8" t="e">
        <f>IF(ISBLANK(Input!$AG$4),NA(),'Reaction Information'!$E$25-'Reaction Information'!$G$25*(Calculations!$O61-Calculations!$C$8)-'Reaction Information'!$N$25*(Calculations!$O61*LN(Calculations!$O61/Calculations!$C$8)-Calculations!$O61+Calculations!$C$8)-'Reaction Information'!$O$25*10^4*(((1/(Calculations!$O61-Calculations!$C$13))-(1/(Calculations!$C$8-Calculations!$C$13)))*((Calculations!$C$13-Calculations!$O61)/(Calculations!$C$13))-(Calculations!$O61/(Calculations!$C$13*Calculations!$C$13))*LN((Calculations!$C$8*(Calculations!$O61-Calculations!$C$13))/(Calculations!$O61*(Calculations!$C$8-Calculations!$C$13))))+'Reaction Information'!$J$25*10^-1*(Calculations!$M61-Calculations!$C$9)+'Reaction Information'!$K$25*10^2*LN((Calculations!$C$12+Calculations!$M61)/(Calculations!$C$12+Calculations!$C$9))+(1/(Calculations!$O61-Calculations!$C$13))*('Reaction Information'!$L$25*(Calculations!$M61-Calculations!$C$9)+'Reaction Information'!$M$25*10^4*LN((Calculations!$C$12+Calculations!$M61)/(Calculations!$C$12+Calculations!$C$9)))+calculateOmega(Calculations!M61,Calculations!N61,Calculations!Q61,'Reaction Information'!$C$25,'Reaction Information'!$P$25*10^5,'Reaction Information'!$Q$25)*((1/Calculations!$S61)-1)-'Reaction Information'!$P$25*10^5*((1/Calculations!$C$10)-1)+'Reaction Information'!$P$25*10^5*Calculations!$C$14*(Calculations!$O61-Calculations!$C$8))</f>
        <v>#N/A</v>
      </c>
      <c r="AJ61" s="8" t="e">
        <f>IF(ISBLANK(Input!$AJ$4),NA(),'Reaction Information'!$E$29-'Reaction Information'!$G$29*(Calculations!$O61-Calculations!$C$8)-'Reaction Information'!$N$29*(Calculations!$O61*LN(Calculations!$O61/Calculations!$C$8)-Calculations!$O61+Calculations!$C$8)-'Reaction Information'!$O$29*10^4*(((1/(Calculations!$O61-Calculations!$C$13))-(1/(Calculations!$C$8-Calculations!$C$13)))*((Calculations!$C$13-Calculations!$O61)/(Calculations!$C$13))-(Calculations!$O61/(Calculations!$C$13*Calculations!$C$13))*LN((Calculations!$C$8*(Calculations!$O61-Calculations!$C$13))/(Calculations!$O61*(Calculations!$C$8-Calculations!$C$13))))+'Reaction Information'!$J$29*10^-1*(Calculations!$M61-Calculations!$C$9)+'Reaction Information'!$K$29*10^2*LN((Calculations!$C$12+Calculations!$M61)/(Calculations!$C$12+Calculations!$C$9))+(1/(Calculations!$O61-Calculations!$C$13))*('Reaction Information'!$L$29*(Calculations!$M61-Calculations!$C$9)+'Reaction Information'!$M$29*10^4*LN((Calculations!$C$12+Calculations!$M61)/(Calculations!$C$12+Calculations!$C$9)))+calculateOmega(Calculations!M61,Calculations!N61,Calculations!Q61,'Reaction Information'!$C$29,'Reaction Information'!$P$29*10^5,'Reaction Information'!$Q$29)*((1/Calculations!$S61)-1)-'Reaction Information'!$P$29*10^5*((1/Calculations!$C$10)-1)+'Reaction Information'!$P$29*10^5*Calculations!$C$14*(Calculations!$O61-Calculations!$C$8))</f>
        <v>#N/A</v>
      </c>
      <c r="AK61" s="8" t="e">
        <f>IF(ISBLANK(Input!$AM$4),NA(),'Reaction Information'!$E$33-'Reaction Information'!$G$33*(Calculations!$O61-Calculations!$C$8)-'Reaction Information'!$N$33*(Calculations!$O61*LN(Calculations!$O61/Calculations!$C$8)-Calculations!$O61+Calculations!$C$8)-'Reaction Information'!$O$33*10^4*(((1/(Calculations!$O61-Calculations!$C$13))-(1/(Calculations!$C$8-Calculations!$C$13)))*((Calculations!$C$13-Calculations!$O61)/(Calculations!$C$13))-(Calculations!$O61/(Calculations!$C$13*Calculations!$C$13))*LN((Calculations!$C$8*(Calculations!$O61-Calculations!$C$13))/(Calculations!$O61*(Calculations!$C$8-Calculations!$C$13))))+'Reaction Information'!$J$33*10^-1*(Calculations!$M61-Calculations!$C$9)+'Reaction Information'!$K$33*10^2*LN((Calculations!$C$12+Calculations!$M61)/(Calculations!$C$12+Calculations!$C$9))+(1/(Calculations!$O61-Calculations!$C$13))*('Reaction Information'!$L$33*(Calculations!$M61-Calculations!$C$9)+'Reaction Information'!$M$33*10^4*LN((Calculations!$C$12+Calculations!$M61)/(Calculations!$C$12+Calculations!$C$9)))+calculateOmega(Calculations!M61,Calculations!N61,Calculations!Q61,'Reaction Information'!$C$33,'Reaction Information'!$P$33*10^5,'Reaction Information'!$Q$33)*((1/Calculations!$S61)-1)-'Reaction Information'!$P$33*10^5*((1/Calculations!$C$10)-1)+'Reaction Information'!$P$33*10^5*Calculations!$C$14*(Calculations!$O61-Calculations!$C$8))</f>
        <v>#N/A</v>
      </c>
      <c r="AL61" s="1">
        <f>Results!S63</f>
        <v>0</v>
      </c>
      <c r="AM61" s="1">
        <f>Results!T63</f>
        <v>0</v>
      </c>
      <c r="AN61" s="1">
        <f>Results!U63</f>
        <v>0</v>
      </c>
      <c r="AO61" s="1">
        <f>Results!V63</f>
        <v>0</v>
      </c>
      <c r="AP61" s="8" t="e">
        <f>IF(ISBLANK(Input!$BB$4),NA(),'Reaction Information'!$E$38-'Reaction Information'!$G$38*(Calculations!$O61-Calculations!$C$8)+'Reaction Information'!$I$38*(Calculations!$O61-Calculations!$C$8-Calculations!$O61*LN(Calculations!$O61/Calculations!$C$8))+'Reaction Information'!$J$38*0.001/2*(2*Calculations!$O61*Calculations!$C$8-Calculations!$O61^2-Calculations!$C$8^2) + 'Reaction Information'!$K$38*100000*(Calculations!$O61^2 + Calculations!$C$8^2 - 2*Calculations!$O61*Calculations!$C$8)/(2*Calculations!$O61*Calculations!$C$8^2))</f>
        <v>#N/A</v>
      </c>
      <c r="AQ61" s="8" t="e">
        <f>IF(ISBLANK(Input!$BE$4),NA(),'Reaction Information'!$E$42-'Reaction Information'!$G$42*(Calculations!$O61-Calculations!$C$8)+'Reaction Information'!$I$42*(Calculations!$O61-Calculations!$C$8-Calculations!$O61*LN(Calculations!$O61/Calculations!$C$8))+'Reaction Information'!$J$42*0.001/2*(2*Calculations!$O61*Calculations!$C$8-Calculations!$O61^2-Calculations!$C$8^2) + 'Reaction Information'!$K$42*100000*(Calculations!$O61^2 + Calculations!$C$8^2 - 2*Calculations!$O61*Calculations!$C$8)/(2*Calculations!$O61*Calculations!$C$8^2))</f>
        <v>#N/A</v>
      </c>
      <c r="AR61" s="8" t="e">
        <f>IF(AR$5="H2O", IF($D$24=3,IF(T61=0,NA(),T61),calculateGibbsOfWater(M61,N61,$D$24,$D$20,$D$19=3)),NA())</f>
        <v>#N/A</v>
      </c>
      <c r="AS61" s="8">
        <f>IF(ISBLANK(Input!$BK$4),NA(),'Reaction Information'!$E$46-'Reaction Information'!$G$46*(Calculations!O61-Calculations!$C$8)-'Reaction Information'!$N$46*(Calculations!O61*LN(Calculations!O61/Calculations!$C$8)-Calculations!O61+Calculations!$C$8)-'Reaction Information'!$O$46*10^4*(((1/(Calculations!O61-Calculations!$C$13))-(1/(Calculations!$C$8-Calculations!$C$13)))*((Calculations!$C$13-Calculations!O61)/(Calculations!$C$13))-(Calculations!O61/(Calculations!$C$13*Calculations!$C$13))*LN((Calculations!$C$8*(Calculations!O61-Calculations!$C$13))/(Calculations!O61*(Calculations!$C$8-Calculations!$C$13))))+'Reaction Information'!$J$46*10^-1*(Calculations!$M61-Calculations!$C$9)+'Reaction Information'!$K$46*10^2*LN((Calculations!$C$12+Calculations!$M61)/(Calculations!$C$12+Calculations!$C$9))+(1/(Calculations!O61-Calculations!$C$13))*('Reaction Information'!$L$46*(Calculations!$M61-Calculations!$C$9)+'Reaction Information'!$M$46*10^4*LN((Calculations!$C$12+Calculations!$M61)/(Calculations!$C$12+Calculations!$C$9)))+calculateOmega(Calculations!M61,Calculations!N61,Calculations!Q61,'Reaction Information'!$C$46,'Reaction Information'!$P$46*10^5,'Reaction Information'!$Q$46)*((1/Calculations!S61)-1)-'Reaction Information'!$P$46*10^5*((1/Calculations!$C$10)-1)+'Reaction Information'!$P$46*10^5*Calculations!$C$14*(Calculations!O61-Calculations!$C$8))</f>
        <v>0</v>
      </c>
      <c r="AT61" s="8">
        <f>IF(ISBLANK(Input!$BN$4),NA(),'Reaction Information'!$E$50-'Reaction Information'!$G$50*(Calculations!O61-Calculations!$C$8)-'Reaction Information'!$N$50*(Calculations!O61*LN(Calculations!O61/Calculations!$C$8)-Calculations!O61+Calculations!$C$8)-'Reaction Information'!$O$50*10^4*(((1/(Calculations!O61-Calculations!$C$13))-(1/(Calculations!$C$8-Calculations!$C$13)))*((Calculations!$C$13-Calculations!O61)/(Calculations!$C$13))-(Calculations!O61/(Calculations!$C$13*Calculations!$C$13))*LN((Calculations!$C$8*(Calculations!O61-Calculations!$C$13))/(Calculations!O61*(Calculations!$C$8-Calculations!$C$13))))+'Reaction Information'!$J$50*10^-1*(Calculations!$M61-Calculations!$C$9)+'Reaction Information'!$K$50*10^2*LN((Calculations!$C$12+Calculations!$M61)/(Calculations!$C$12+Calculations!$C$9))+(1/(Calculations!O61-Calculations!$C$13))*('Reaction Information'!$L$50*(Calculations!$M61-Calculations!$C$9)+'Reaction Information'!$M$50*10^4*LN((Calculations!$C$12+Calculations!$M61)/(Calculations!$C$12+Calculations!$C$9)))+calculateOmega(Calculations!M61,Calculations!N61,Calculations!Q61,'Reaction Information'!$C$50,'Reaction Information'!$P$50*10^5,'Reaction Information'!$Q$50)*((1/Calculations!S61)-1)-'Reaction Information'!$P$50*10^5*((1/Calculations!$C$10)-1)+'Reaction Information'!$P$50*10^5*Calculations!$C$14*(Calculations!O61-Calculations!$C$8))</f>
        <v>-148577.19352341187</v>
      </c>
      <c r="AU61" s="8" t="e">
        <f>IF(ISBLANK(Input!$BQ$4),NA(),'Reaction Information'!$E$54-'Reaction Information'!$G$54*(Calculations!$O61-Calculations!$C$8)-'Reaction Information'!$N$54*(Calculations!$O61*LN(Calculations!$O61/Calculations!$C$8)-Calculations!$O61+Calculations!$C$8)-'Reaction Information'!$O$54*10^4*(((1/(Calculations!$O61-Calculations!$C$13))-(1/(Calculations!$C$8-Calculations!$C$13)))*((Calculations!$C$13-Calculations!$O61)/(Calculations!$C$13))-(Calculations!$O61/(Calculations!$C$13*Calculations!$C$13))*LN((Calculations!$C$8*(Calculations!$O61-Calculations!$C$13))/(Calculations!$O61*(Calculations!$C$8-Calculations!$C$13))))+'Reaction Information'!$J$54*10^-1*(Calculations!$M61-Calculations!$C$9)+'Reaction Information'!$K$54*10^2*LN((Calculations!$C$12+Calculations!$M61)/(Calculations!$C$12+Calculations!$C$9))+(1/(Calculations!$O61-Calculations!$C$13))*('Reaction Information'!$L$54*(Calculations!$M61-Calculations!$C$9)+'Reaction Information'!$M$54*10^4*LN((Calculations!$C$12+Calculations!$M61)/(Calculations!$C$12+Calculations!$C$9)))+calculateOmega(Calculations!M61,Calculations!N61,Calculations!Q61,'Reaction Information'!$C$54,'Reaction Information'!$P$54*10^5,'Reaction Information'!$Q$54)*((1/Calculations!$S61)-1)-'Reaction Information'!$P$54*10^5*((1/Calculations!$C$10)-1)+'Reaction Information'!$P$54*10^5*Calculations!$C$14*(Calculations!$O61-Calculations!$C$8))</f>
        <v>#N/A</v>
      </c>
      <c r="AV61" s="8" t="e">
        <f>IF(ISBLANK(Input!$BT$4),NA(),'Reaction Information'!$E$58-'Reaction Information'!$G$58*(Calculations!$O61-Calculations!$C$8)-'Reaction Information'!$N$58*(Calculations!$O61*LN(Calculations!$O61/Calculations!$C$8)-Calculations!$O61+Calculations!$C$8)-'Reaction Information'!$O$58*10^4*(((1/(Calculations!$O61-Calculations!$C$13))-(1/(Calculations!$C$8-Calculations!$C$13)))*((Calculations!$C$13-Calculations!$O61)/(Calculations!$C$13))-(Calculations!$O61/(Calculations!$C$13*Calculations!$C$13))*LN((Calculations!$C$8*(Calculations!$O61-Calculations!$C$13))/(Calculations!$O61*(Calculations!$C$8-Calculations!$C$13))))+'Reaction Information'!$J$58*10^-1*(Calculations!$M61-Calculations!$C$9)+'Reaction Information'!$K$58*10^2*LN((Calculations!$C$12+Calculations!$M61)/(Calculations!$C$12+Calculations!$C$9))+(1/(Calculations!$O61-Calculations!$C$13))*('Reaction Information'!$L$58*(Calculations!$M61-Calculations!$C$9)+'Reaction Information'!$M$58*10^4*LN((Calculations!$C$12+Calculations!$M61)/(Calculations!$C$12+Calculations!$C$9)))+calculateOmega(Calculations!M61,Calculations!N61,Calculations!Q61,'Reaction Information'!$C$58,'Reaction Information'!$P$58*10^5,'Reaction Information'!$Q$58)*((1/Calculations!$S61)-1)-'Reaction Information'!$P$58*10^5*((1/Calculations!$C$10)-1)+'Reaction Information'!$P$58*10^5*Calculations!$C$14*(Calculations!$O61-Calculations!$C$8))</f>
        <v>#N/A</v>
      </c>
      <c r="AW61" s="8" t="e">
        <f>IF(ISBLANK(Input!$BW$4),NA(),'Reaction Information'!$E$62-'Reaction Information'!$G$62*(Calculations!$O61-Calculations!$C$8)-'Reaction Information'!$N$62*(Calculations!$O61*LN(Calculations!$O61/Calculations!$C$8)-Calculations!$O61+Calculations!$C$8)-'Reaction Information'!$O$62*10^4*(((1/(Calculations!$O61-Calculations!$C$13))-(1/(Calculations!$C$8-Calculations!$C$13)))*((Calculations!$C$13-Calculations!$O61)/(Calculations!$C$13))-(Calculations!$O61/(Calculations!$C$13*Calculations!$C$13))*LN((Calculations!$C$8*(Calculations!$O61-Calculations!$C$13))/(Calculations!$O61*(Calculations!$C$8-Calculations!$C$13))))+'Reaction Information'!$J$62*10^-1*(Calculations!$M61-Calculations!$C$9)+'Reaction Information'!$K$62*10^2*LN((Calculations!$C$12+Calculations!$M61)/(Calculations!$C$12+Calculations!$C$9))+(1/(Calculations!$O61-Calculations!$C$13))*('Reaction Information'!$L$62*(Calculations!$M61-Calculations!$C$9)+'Reaction Information'!$M$62*10^4*LN((Calculations!$C$12+Calculations!$M61)/(Calculations!$C$12+Calculations!$C$9)))+calculateOmega(Calculations!M61,Calculations!N61,Calculations!Q61,'Reaction Information'!$C$62,'Reaction Information'!$P$62*10^5,'Reaction Information'!$Q$62)*((1/Calculations!$S61)-1)-'Reaction Information'!$P$62*10^5*((1/Calculations!$C$10)-1)+'Reaction Information'!$P$62*10^5*Calculations!$C$14*(Calculations!$O61-Calculations!$C$8))</f>
        <v>#N/A</v>
      </c>
      <c r="AX61" s="8" t="e">
        <f>IF(ISBLANK(Input!$BZ$4),NA(),'Reaction Information'!$E$66-'Reaction Information'!$G$66*(Calculations!$O61-Calculations!$C$8)-'Reaction Information'!$N$66*(Calculations!$O61*LN(Calculations!$O61/Calculations!$C$8)-Calculations!$O61+Calculations!$C$8)-'Reaction Information'!$O$66*10^4*(((1/(Calculations!$O61-Calculations!$C$13))-(1/(Calculations!$C$8-Calculations!$C$13)))*((Calculations!$C$13-Calculations!$O61)/(Calculations!$C$13))-(Calculations!$O61/(Calculations!$C$13*Calculations!$C$13))*LN((Calculations!$C$8*(Calculations!$O61-Calculations!$C$13))/(Calculations!$O61*(Calculations!$C$8-Calculations!$C$13))))+'Reaction Information'!$J$66*10^-1*(Calculations!$M61-Calculations!$C$9)+'Reaction Information'!$K$66*10^2*LN((Calculations!$C$12+Calculations!$M61)/(Calculations!$C$12+Calculations!$C$9))+(1/(Calculations!$O61-Calculations!$C$13))*('Reaction Information'!$L$66*(Calculations!$M61-Calculations!$C$9)+'Reaction Information'!$M$66*10^4*LN((Calculations!$C$12+Calculations!$M61)/(Calculations!$C$12+Calculations!$C$9)))+calculateOmega(Calculations!M61,Calculations!N61,Calculations!Q61,'Reaction Information'!$C$66,'Reaction Information'!$P$66*10^5,'Reaction Information'!$Q$66)*((1/Calculations!$S61)-1)-'Reaction Information'!$P$66*10^5*((1/Calculations!$C$10)-1)+'Reaction Information'!$P$66*10^5*Calculations!$C$14*(Calculations!$O61-Calculations!$C$8))</f>
        <v>#N/A</v>
      </c>
      <c r="AY61" s="31">
        <f>(AL61*Input!$AO$4+AM61*Input!$AR$4+AN61*Input!$AU$4+AO61*Input!$AX$4+IF(ISNA(AP61),0,AP61*Input!$BA$4)+IF(ISNA(AQ61),0,AQ61*Input!$BD$4)+IF(ISNA(AR61),0,AR61*Input!$BG$4)+IF(ISNA(AS61),0,AS61*Input!$BJ$4)+IF(ISNA(AT61),0,AT61*Input!$BM$4)+IF(ISNA(AU61),0,AU61*Input!$BP$4)+IF(ISNA(AV61),0,AV61*Input!$BS$4)+IF(ISNA(AW61),0,AW61*Input!$BV$4)+IF(ISNA(AX61),0,AX61*Input!$BY$4))-(Y61*Input!$B$4+Z61*Input!$E$4+AA61*Input!$H$4+AB61*Input!$K$4+IF(ISNA(AC61),0,AC61*Input!$N$4)+IF(ISNA(AD61),0,AD61*Input!$Q$4)+IF(ISNA(AE61),0,AE61*Input!$T$4)+IF(ISNA(AF61),0,AF61*Input!$W$4)+IF(ISNA(AG61),0,AG61*Input!$Z$4)+IF(ISNA(AH61),0,AH61*Input!$AC$4)+IF(ISNA(AI61),0,AI61*Input!$AF$4)+IF(ISNA(AJ61),0,AJ61*Input!$AI$4)+IF(ISNA(AK61),0,AK61*Input!$AL$4))</f>
        <v>31899.653401483782</v>
      </c>
      <c r="AZ61" s="42">
        <f t="shared" si="16"/>
        <v>-6.500659341556041</v>
      </c>
      <c r="BA61" s="1">
        <f t="shared" si="8"/>
        <v>800</v>
      </c>
      <c r="BB61" s="46">
        <f t="shared" si="9"/>
        <v>20000</v>
      </c>
      <c r="BC61" s="1"/>
      <c r="BD61" s="2">
        <f t="shared" si="10"/>
        <v>20000</v>
      </c>
      <c r="BE61" s="46">
        <f t="shared" si="11"/>
        <v>800</v>
      </c>
      <c r="BF61" s="1">
        <f>Results!AJ63</f>
        <v>0</v>
      </c>
      <c r="BG61" s="1">
        <f>Results!AK63</f>
        <v>0</v>
      </c>
      <c r="BH61" s="1">
        <f>Results!AL63</f>
        <v>0</v>
      </c>
      <c r="BI61" s="1">
        <f>Results!AM63</f>
        <v>0</v>
      </c>
      <c r="BJ61" s="1" t="e">
        <f>IF(OR(ISNA('Reaction Information'!$D$5), $N61 = "", $D$27 = FALSE, 'Reaction Information'!$D$5 = ""), NA(), 24.465)</f>
        <v>#N/A</v>
      </c>
      <c r="BK61" s="1" t="e">
        <f>IF(OR(ISNA('Reaction Information'!$D$9), $N61 = "", $D$27 = FALSE, 'Reaction Information'!$D$9 = ""), NA(), 24.465)</f>
        <v>#N/A</v>
      </c>
      <c r="BL61" s="8">
        <f t="shared" si="17"/>
        <v>16.961626456804577</v>
      </c>
      <c r="BM61" s="8">
        <f>IF(OR(ISBLANK(Input!$X$4),$D$27=FALSE),NA(),('Reaction Information'!$J$13/10+'Reaction Information'!$K$13*100/(Calculations!$C$12+Calculations!$M61)+('Reaction Information'!$L$13+'Reaction Information'!$M$13*10^4/(Calculations!$C$12+Calculations!$M61))/(Calculations!$O61-Calculations!$C$13) -calculateOmega(Calculations!$M61,Calculations!$N61,Calculations!$Q61,'Reaction Information'!$C$13,'Reaction Information'!$P$13*10^5,'Reaction Information'!$Q$13)*Calculations!$U61*10^-6 + (1/$S61 - 1)*calculate_domegadP(Calculations!$M61,Calculations!$N61,Calculations!$Q61,'Reaction Information'!$C$13,'Reaction Information'!$P$13*10^5,'Reaction Information'!$Q$13,$D$20,$D$19=3))*41.84)</f>
        <v>31.80683757360017</v>
      </c>
      <c r="BN61" s="8" t="e">
        <f>IF(OR(ISBLANK(Input!$AA$4),$D$27=FALSE),NA(),('Reaction Information'!$J$17/10+'Reaction Information'!$K$17*100/(Calculations!$C$12+Calculations!$M61)+('Reaction Information'!$L$17+'Reaction Information'!$M$17*10000/(Calculations!$C$12+Calculations!$M61))/(Calculations!$O61-Calculations!$C$13)-calculateOmega(Calculations!M61,Calculations!N61,Calculations!Q61,'Reaction Information'!$C$17,'Reaction Information'!$P$17*10^5,'Reaction Information'!$Q$17)*Calculations!$U61*10^-6 + (1/$S61 - 1)*calculate_domegadP(Calculations!M61,Calculations!N61,Calculations!Q61,'Reaction Information'!$C$17,'Reaction Information'!$P$17*10^5,'Reaction Information'!$Q$17,$D$20,$D$19=3))*41.84)</f>
        <v>#N/A</v>
      </c>
      <c r="BO61" s="8" t="e">
        <f>IF(OR(ISBLANK(Input!$AD$4),$D$27=FALSE),NA(),('Reaction Information'!$J$21/10+'Reaction Information'!$K$21*100/(Calculations!$C$12+Calculations!$M61)+('Reaction Information'!$L$21+'Reaction Information'!$M$21*10000/(Calculations!$C$12+Calculations!$M61))/(Calculations!$O61-Calculations!$C$13)-calculateOmega(Calculations!M61,Calculations!N61,Calculations!Q61,'Reaction Information'!$C$21,'Reaction Information'!$P$21*10^5,'Reaction Information'!$Q$21)*Calculations!$U61*10^-6 + (1/$S61 - 1)*calculate_domegadP(Calculations!M61,Calculations!N61,Calculations!Q61,'Reaction Information'!$C$21,'Reaction Information'!$P$21*10^5,'Reaction Information'!$Q$21,$D$20,$D$19=3))*41.84)</f>
        <v>#N/A</v>
      </c>
      <c r="BP61" s="8" t="e">
        <f>IF(OR(ISBLANK(Input!$AG$4),$D$27=FALSE),NA(),('Reaction Information'!$J$25/10+'Reaction Information'!$K$25*100/(Calculations!$C$12+Calculations!$M61)+('Reaction Information'!$L$25+'Reaction Information'!$M$25*10000/(Calculations!$C$12+Calculations!$M61))/(Calculations!$O61-Calculations!$C$13)-calculateOmega(Calculations!M61,Calculations!N61,Calculations!Q61,'Reaction Information'!$C$25,'Reaction Information'!$P$25*10^5,'Reaction Information'!$Q$25)*Calculations!$U61*10^-6 + (1/$S61 - 1)*calculate_domegadP(Calculations!M61,Calculations!N61,Calculations!Q61,'Reaction Information'!$C$25,'Reaction Information'!$P$25*10^5,'Reaction Information'!$Q$25,$D$20,$D$19=3))*41.84)</f>
        <v>#N/A</v>
      </c>
      <c r="BQ61" s="8" t="e">
        <f>IF(OR(ISBLANK(Input!$AJ$4),$D$27=FALSE),NA(),('Reaction Information'!$J$29/10+'Reaction Information'!$K$29*100/(Calculations!$C$12+Calculations!$M61)+('Reaction Information'!$L$29+'Reaction Information'!$M$29*10000/(Calculations!$C$12+Calculations!$M61))/(Calculations!$O61-Calculations!$C$13)-calculateOmega(Calculations!M61,Calculations!N61,Calculations!Q61,'Reaction Information'!$C$29,'Reaction Information'!$P$29*10^5,'Reaction Information'!$Q$29)*Calculations!$U61*10^-6 + (1/$S61 - 1)*calculate_domegadP(Calculations!M61,Calculations!N61,Calculations!Q61,'Reaction Information'!$C$29,'Reaction Information'!$P$29*10^5,'Reaction Information'!$Q$29,$D$20,$D$19=3))*41.84)</f>
        <v>#N/A</v>
      </c>
      <c r="BR61" s="8" t="e">
        <f>IF(OR(ISBLANK(Input!$AM$4),$D$27=FALSE),NA(),('Reaction Information'!$J$33/10+'Reaction Information'!$K$33*100/(Calculations!$C$12+Calculations!$M61)+('Reaction Information'!$L$33+'Reaction Information'!$M$33*10000/(Calculations!$C$12+Calculations!$M61))/(Calculations!$O61-Calculations!$C$13)-calculateOmega(Calculations!M61,Calculations!N61,Calculations!Q61,'Reaction Information'!$C$33,'Reaction Information'!$P$33*10^5,'Reaction Information'!$Q$33)*Calculations!$U61*10^-6 + (1/$S61 - 1)*calculate_domegadP(Calculations!M61,Calculations!N61,Calculations!Q61,'Reaction Information'!$C$33,'Reaction Information'!$P$33*10^5,'Reaction Information'!$Q$33,$D$20,$D$19=3))*41.84)</f>
        <v>#N/A</v>
      </c>
      <c r="BS61" s="1">
        <f>Results!AW63</f>
        <v>0</v>
      </c>
      <c r="BT61" s="1">
        <f>Results!AX63</f>
        <v>0</v>
      </c>
      <c r="BU61" s="1">
        <f>Results!AY63</f>
        <v>0</v>
      </c>
      <c r="BV61" s="1">
        <f>Results!AZ63</f>
        <v>0</v>
      </c>
      <c r="BW61" s="1" t="e">
        <f>IF(OR(ISNA('Reaction Information'!$D$38), $N61 = "", $D$27 = FALSE, 'Reaction Information'!$D$38 = ""), NA(), 24.465)</f>
        <v>#N/A</v>
      </c>
      <c r="BX61" s="1" t="e">
        <f>IF(OR(ISNA('Reaction Information'!$D$42), $N61 = "", $D$27 = FALSE, 'Reaction Information'!$D$42 = ""), NA(), 24.465)</f>
        <v>#N/A</v>
      </c>
      <c r="BY61" s="8" t="e">
        <f t="shared" si="18"/>
        <v>#N/A</v>
      </c>
      <c r="BZ61" s="8">
        <f>IF(OR(ISBLANK(Input!$BK$4),$D$27=FALSE),NA(),('Reaction Information'!$J$46/10+'Reaction Information'!$K$46*100/(Calculations!$C$12+Calculations!$M61)+('Reaction Information'!$L$46+'Reaction Information'!$M$46*10000/(Calculations!$C$12+Calculations!$M61))/(Calculations!$O61-Calculations!$C$13)-calculateOmega(Calculations!M61,Calculations!N61,Calculations!Q61,'Reaction Information'!$C$46,'Reaction Information'!$P$46*10^5,'Reaction Information'!$Q$46)*Calculations!$U61*10^-6 + (1/$S61 - 1)*calculate_domegadP(Calculations!M61,Calculations!N61,Calculations!Q61,'Reaction Information'!$C$46,'Reaction Information'!$P$46*10^5,'Reaction Information'!$Q$46,$D$20,$D$19=3))*41.84)</f>
        <v>0</v>
      </c>
      <c r="CA61" s="8">
        <f>IF(OR(ISBLANK(Input!$BN$4),$D$27=FALSE),NA(),('Reaction Information'!$J$50/10+'Reaction Information'!$K$50*100/(Calculations!$C$12+Calculations!$M61)+('Reaction Information'!$L$50+'Reaction Information'!$M$50*10000/(Calculations!$C$12+Calculations!$M61))/(Calculations!$O61-Calculations!$C$13)-calculateOmega(Calculations!M61,Calculations!N61,Calculations!Q61,'Reaction Information'!$C$50,'Reaction Information'!$P$50*10^5,'Reaction Information'!$Q$50)*Calculations!$U61*10^-6 + (1/$S61 - 1)*calculate_domegadP(Calculations!M61,Calculations!N61,Calculations!Q61,'Reaction Information'!$C$50,'Reaction Information'!$P$50*10^5,'Reaction Information'!$Q$50,$D$20,$D$19=3))*41.84)</f>
        <v>28.707548968046872</v>
      </c>
      <c r="CB61" s="8" t="e">
        <f>IF(OR(ISBLANK(Input!$BQ$4),$D$27=FALSE),NA(),('Reaction Information'!$J$54/10+'Reaction Information'!$K$54*100/(Calculations!$C$12+Calculations!$M61)+('Reaction Information'!$L$54+'Reaction Information'!$M$54*10000/(Calculations!$C$12+Calculations!$M61))/(Calculations!$O61-Calculations!$C$13)-calculateOmega(Calculations!M61,Calculations!N61,Calculations!Q61,'Reaction Information'!$C$54,'Reaction Information'!$P$54*10^5,'Reaction Information'!$Q$54)*Calculations!$U61*10^-6 + (1/$S61 - 1)*calculate_domegadP(Calculations!M61,Calculations!N61,Calculations!Q61,'Reaction Information'!$C$54,'Reaction Information'!$P$54*10^5,'Reaction Information'!$Q$54,$D$20,$D$19=3))*41.84)</f>
        <v>#N/A</v>
      </c>
      <c r="CC61" s="8" t="e">
        <f>IF(OR(ISBLANK(Input!$BT$4),$D$27=FALSE),NA(),('Reaction Information'!$J$58/10+'Reaction Information'!$K$58*100/(Calculations!$C$12+Calculations!$M61)+('Reaction Information'!$L$58+'Reaction Information'!$M$58*10000/(Calculations!$C$12+Calculations!$M61))/(Calculations!$O61-Calculations!$C$13)-calculateOmega(Calculations!M61,Calculations!N61,Calculations!Q61,'Reaction Information'!$C$58,'Reaction Information'!$P$58*10^5,'Reaction Information'!$Q$58)*Calculations!$U61*10^-6 + (1/$S61 - 1)*calculate_domegadP(Calculations!M61,Calculations!N61,Calculations!Q61,'Reaction Information'!$C$58,'Reaction Information'!$P$58*10^5,'Reaction Information'!$Q$58,$D$20,$D$19=3))*41.84)</f>
        <v>#N/A</v>
      </c>
      <c r="CD61" s="8" t="e">
        <f>IF(OR(ISBLANK(Input!$BW$4),$D$27=FALSE),NA(),('Reaction Information'!$J$62/10+'Reaction Information'!$K$62*100/(Calculations!$C$12+Calculations!$M61)+('Reaction Information'!$L$62+'Reaction Information'!$M$62*10000/(Calculations!$C$12+Calculations!$M61))/(Calculations!$O61-Calculations!$C$13)-calculateOmega(Calculations!M61,Calculations!N61,Calculations!Q61,'Reaction Information'!$C$62,'Reaction Information'!$P$62*10^5,'Reaction Information'!$Q$62)*Calculations!$U61*10^-6 + (1/$S61 - 1)*calculate_domegadP(Calculations!M61,Calculations!N61,Calculations!Q61,'Reaction Information'!$C$62,'Reaction Information'!$P$62*10^5,'Reaction Information'!$Q$62,$D$20,$D$19=3))*41.84)</f>
        <v>#N/A</v>
      </c>
      <c r="CE61" s="8" t="e">
        <f>IF(OR(ISBLANK(Input!$BZ$4),$D$27=FALSE),NA(),('Reaction Information'!$J$66/10+'Reaction Information'!$K$66*100/(Calculations!$C$12+Calculations!$M61)+('Reaction Information'!$L$66+'Reaction Information'!$M$66*10000/(Calculations!$C$12+Calculations!$M61))/(Calculations!$O61-Calculations!$C$13)-calculateOmega(Calculations!M61,Calculations!N61,Calculations!Q61,'Reaction Information'!$C$66,'Reaction Information'!$P$66*10^5,'Reaction Information'!$Q$66)*Calculations!$U61*10^-6 + (1/$S61 - 1)*calculate_domegadP(Calculations!M61,Calculations!N61,Calculations!Q61,'Reaction Information'!$C$66,'Reaction Information'!$P$66*10^5,'Reaction Information'!$Q$66,$D$20,$D$19=3))*41.84)</f>
        <v>#N/A</v>
      </c>
      <c r="CF61" s="31">
        <f>(BS61*Input!$AO$4+BT61*Input!$AR$4+BU61*Input!$AU$4+BV61*Input!$AX$4+IF(ISNA(BW61),0,BW61*Input!$BA$4)+IF(ISNA(BX61),0,BX61*Input!$BD$4)+IF(ISNA(BY61),0,BY61*Input!$BG$4)+IF(ISNA(BZ61),0,BZ61*Input!$BJ$4)+IF(ISNA(CA61),0,CA61*Input!$BM$4)+IF(ISNA(CB61),0,CB61*Input!$BP$4)+IF(ISNA(CC61),0,CC61*Input!$BS$4)+IF(ISNA(CD61),0,CD61*Input!$BV$4)+IF(ISNA(CE61),0,CE61*Input!$BY$4))-(BF61*Input!$B$4+BG61*Input!$E$4+BH61*Input!$H$4+BI61*Input!$K$4+IF(ISNA(BJ61),0,BJ61*Input!$N$4)+IF(ISNA(BK61),0,BK61*Input!$Q$4)+IF(ISNA(BL61),0,BL61*Input!$T$4)+IF(ISNA(BM61),0,BM61*Input!$W$4)+IF(ISNA(BN61),0,BN61*Input!$Z$4)+IF(ISNA(BO61),0,BO61*Input!$AC$4)+IF(ISNA(BP61),0,BP61*Input!$AF$4)+IF(ISNA(BQ61),0,BQ61*Input!$AI$4)+IF(ISNA(BR61),0,BR61*Input!$AL$4))</f>
        <v>-20.060915062357871</v>
      </c>
      <c r="CG61" s="1">
        <f t="shared" si="12"/>
        <v>800</v>
      </c>
      <c r="CH61" s="46">
        <f t="shared" si="13"/>
        <v>20000</v>
      </c>
      <c r="CI61" s="1"/>
    </row>
    <row r="62" spans="1:87" x14ac:dyDescent="0.2">
      <c r="A62" s="1"/>
      <c r="E62" s="1"/>
      <c r="F62" s="2">
        <v>57</v>
      </c>
      <c r="G62" s="1" t="str">
        <f>IF(ISBLANK(Input!CB62), "", Input!CB62*1000)</f>
        <v/>
      </c>
      <c r="H62" s="1" t="str">
        <f>IF(ISBLANK(Input!CC62), "", Input!CC62)</f>
        <v/>
      </c>
      <c r="I62" s="1">
        <f>IF(Input!$CF$5 + Input!$CF$6*(FLOOR((Calculations!$F62-1)/(FLOOR((Input!$CF$12-Input!$CF$10)/Input!$CF$11,1)+1),1)) &gt; Input!$CF$7, "", (Input!$CF$5 + Input!$CF$6*(FLOOR((Calculations!$F62-1)/(FLOOR((Input!$CF$12-Input!$CF$10)/Input!$CF$11,1)+1),1)))*1000)</f>
        <v>20000</v>
      </c>
      <c r="J62" s="1">
        <f>IF(Calculations!I62 = "", "", Input!$CF$10 + Input!$CF$11*(Calculations!$F62-1) - (FLOOR((Input!$CF$12-Input!$CF$10)/Input!$CF$11,1)+1)*Input!$CF$11*FLOOR((Calculations!$F62-1)/(FLOOR((Input!$CF$12-Input!$CF$10)/Input!$CF$11,1)+1),1))</f>
        <v>850</v>
      </c>
      <c r="K62" s="8" t="str">
        <f t="shared" si="14"/>
        <v/>
      </c>
      <c r="L62" s="117" t="str">
        <f>IF(OR(Input!$CJ$5 + Input!$CJ$6*(Calculations!F62-1) &gt; Input!$CJ$7, Input!$CJ$5 + Input!$CJ$6*(Calculations!F62-1) &gt; 350), "", Input!$CJ$5 + Input!$CJ$6*(Calculations!F62-1))</f>
        <v/>
      </c>
      <c r="M62" s="1">
        <f t="shared" si="2"/>
        <v>20000</v>
      </c>
      <c r="N62" s="1">
        <f t="shared" si="3"/>
        <v>850</v>
      </c>
      <c r="O62" s="1">
        <f t="shared" si="15"/>
        <v>1123.1500000000001</v>
      </c>
      <c r="P62" s="1" t="e">
        <f>IF(OR($D$20=3,AND($D$21=TRUE,M62&lt;1000)),INDEX('Water Density'!$C$6:$CX$120,MATCH(Calculations!N62,'Water Density'!$B$6:$B$120),MATCH(Calculations!M62/1000,'Water Density'!$C$5:$CX$5)),NA())</f>
        <v>#N/A</v>
      </c>
      <c r="Q62" s="182">
        <f>IF(OR($D$20=3,AND($D$21=TRUE,M62&lt;1000)), IF(P62&lt;&gt;0,P62,NA()), calculateDensity(M62,N62,$D$20,0.01,$D$19 = 3))</f>
        <v>1.0461653808104991</v>
      </c>
      <c r="R62" s="1" t="e">
        <f>IF($D$22=5,INDEX('Dielectric Constant'!$C$6:$CX$120,MATCH(Calculations!N62,'Dielectric Constant'!$B$6:$B$120),MATCH(Calculations!M62/1000,'Dielectric Constant'!$C$5:$CX$5)),NA())</f>
        <v>#N/A</v>
      </c>
      <c r="S62" s="58">
        <f>IF($D$22=5, IF(R62&lt;&gt;0,R62,NA()), IF(AND($D$23,M62&lt;=5000,$D$19 &lt;&gt; 3),calculateEpsilon(Q62,N62,1,FALSE),calculateEpsilon(Q62,N62,$D$22,$D$19 = 3)))</f>
        <v>15.481305824093401</v>
      </c>
      <c r="T62" s="1" t="e">
        <f>IF($D$24=3,INDEX('Water Free Energy'!$C$6:$CX$120,MATCH(Calculations!N62,'Water Free Energy'!$B$6:$B$120),MATCH(Calculations!M62/1000,'Water Free Energy'!$C$5:$CX$5)),NA())</f>
        <v>#N/A</v>
      </c>
      <c r="U62" s="179">
        <f>IF($D$27,calculateQ(M62,N62,Q62,$D$20,$D$22,$D$19=3)*10^6,NA())</f>
        <v>0.70089892978775359</v>
      </c>
      <c r="V62"/>
      <c r="W62" s="2">
        <f t="shared" si="5"/>
        <v>20000</v>
      </c>
      <c r="X62" s="1">
        <f t="shared" si="6"/>
        <v>850</v>
      </c>
      <c r="Y62" s="1">
        <f>Results!F64</f>
        <v>0</v>
      </c>
      <c r="Z62" s="1">
        <f>Results!G64</f>
        <v>0</v>
      </c>
      <c r="AA62" s="1">
        <f>Results!H64</f>
        <v>0</v>
      </c>
      <c r="AB62" s="1">
        <f>Results!I64</f>
        <v>0</v>
      </c>
      <c r="AC62" s="1" t="e">
        <f>IF(ISBLANK(Input!$O$4),NA(),'Reaction Information'!$E$5-'Reaction Information'!$G$5*(Calculations!$O62-Calculations!$C$8)+'Reaction Information'!$I$5*(Calculations!$O62-Calculations!$C$8-Calculations!$O62*LN(Calculations!$O62/Calculations!$C$8))+'Reaction Information'!$J$5*0.001/2*(2*Calculations!$O62*Calculations!$C$8-Calculations!$O62^2-Calculations!$C$8^2) + 'Reaction Information'!$K$5*100000*(Calculations!$O62^2 + Calculations!$C$8^2 - 2*Calculations!$O62*Calculations!$C$8)/(2*Calculations!$O62*Calculations!$C$8^2))</f>
        <v>#N/A</v>
      </c>
      <c r="AD62" s="8" t="e">
        <f>IF(ISBLANK(Input!$R$4),NA(),'Reaction Information'!$E$9-'Reaction Information'!$G$9*(Calculations!$O62-Calculations!$C$8)+'Reaction Information'!$I$9*(Calculations!$O62-Calculations!$C$8-Calculations!$O62*LN(Calculations!$O62/Calculations!$C$8))+'Reaction Information'!$J$9*0.001/2*(2*Calculations!$O62*Calculations!$C$8-Calculations!$O62^2-Calculations!$C$8^2) + 'Reaction Information'!$K$9*100000*(Calculations!$O62^2 + Calculations!$C$8^2 - 2*Calculations!$O62*Calculations!$C$8)/(2*Calculations!$O62*Calculations!$C$8^2))</f>
        <v>#N/A</v>
      </c>
      <c r="AE62" s="8">
        <f>IF(AE$5="H2O",IF($D$24=3,IF(T62=0,NA(),T62),calculateGibbsOfWater(M62,N62,$D$24,$D$20,$D$19=3)),NA())</f>
        <v>-71208.388013340969</v>
      </c>
      <c r="AF62" s="8">
        <f>IF(ISBLANK(Input!$X$4),NA(),'Reaction Information'!$E$13-'Reaction Information'!$G$13*(Calculations!O62-Calculations!$C$8)-'Reaction Information'!$N$13*(Calculations!O62*LN(Calculations!O62/Calculations!$C$8)-Calculations!O62+Calculations!$C$8)-'Reaction Information'!$O$13*10^4*(((1/(Calculations!O62-Calculations!$C$13))-(1/(Calculations!$C$8-Calculations!$C$13)))*((Calculations!$C$13-Calculations!O62)/(Calculations!$C$13))-(Calculations!O62/(Calculations!$C$13*Calculations!$C$13))*LN((Calculations!$C$8*(Calculations!O62-Calculations!$C$13))/(Calculations!O62*(Calculations!$C$8-Calculations!$C$13))))+'Reaction Information'!$J$13*10^-1*(Calculations!M62-Calculations!$C$9)+'Reaction Information'!$K$13*10^2*LN((Calculations!$C$12+Calculations!M62)/(Calculations!$C$12+Calculations!$C$9))+(1/(Calculations!O62-Calculations!$C$13))*('Reaction Information'!$L$13*(Calculations!M62-Calculations!$C$9)+'Reaction Information'!$M$13*10^4*LN((Calculations!$C$12+Calculations!M62)/(Calculations!$C$12+Calculations!$C$9)))+calculateOmega(Calculations!M62,Calculations!N62,Calculations!Q62,'Reaction Information'!$C$13,'Reaction Information'!$P$13*10^5,'Reaction Information'!$Q$13)*((1/Calculations!S62)-1)-'Reaction Information'!$P$13*10^5*((1/Calculations!$C$10)-1)+'Reaction Information'!$P$13*10^5*Calculations!$C$14*(Calculations!O62-Calculations!$C$8))</f>
        <v>-113514.37712592712</v>
      </c>
      <c r="AG62" s="8" t="e">
        <f>IF(ISBLANK(Input!$AA$4),NA(),'Reaction Information'!$E$17-'Reaction Information'!$G$17*(Calculations!$O62-Calculations!$C$8)-'Reaction Information'!$N$17*(Calculations!$O62*LN(Calculations!$O62/Calculations!$C$8)-Calculations!$O62+Calculations!$C$8)-'Reaction Information'!$O$17*10^4*(((1/(Calculations!$O62-Calculations!$C$13))-(1/(Calculations!$C$8-Calculations!$C$13)))*((Calculations!$C$13-Calculations!$O62)/(Calculations!$C$13))-(Calculations!$O62/(Calculations!$C$13*Calculations!$C$13))*LN((Calculations!$C$8*(Calculations!$O62-Calculations!$C$13))/(Calculations!$O62*(Calculations!$C$8-Calculations!$C$13))))+'Reaction Information'!$J$17*10^-1*(Calculations!$M62-Calculations!$C$9)+'Reaction Information'!$K$17*10^2*LN((Calculations!$C$12+Calculations!$M62)/(Calculations!$C$12+Calculations!$C$9))+(1/(Calculations!$O62-Calculations!$C$13))*('Reaction Information'!$L$17*(Calculations!$M62-Calculations!$C$9)+'Reaction Information'!$M$17*10^4*LN((Calculations!$C$12+Calculations!$M62)/(Calculations!$C$12+Calculations!$C$9)))+calculateOmega(Calculations!M62,Calculations!N62,Calculations!Q62,'Reaction Information'!$C$17,'Reaction Information'!$P$17*10^5,'Reaction Information'!$Q$17)*((1/Calculations!$S62)-1)-'Reaction Information'!$P$17*10^5*((1/Calculations!$C$10)-1)+'Reaction Information'!$P$17*10^5*Calculations!$C$14*(Calculations!$O62-Calculations!$C$8))</f>
        <v>#N/A</v>
      </c>
      <c r="AH62" s="8" t="e">
        <f>IF(ISBLANK(Input!$AD$4),NA(),'Reaction Information'!$E$21-'Reaction Information'!$G$21*(Calculations!$O62-Calculations!$C$8)-'Reaction Information'!$N$21*(Calculations!$O62*LN(Calculations!$O62/Calculations!$C$8)-Calculations!$O62+Calculations!$C$8)-'Reaction Information'!$O$21*10^4*(((1/(Calculations!$O62-Calculations!$C$13))-(1/(Calculations!$C$8-Calculations!$C$13)))*((Calculations!$C$13-Calculations!$O62)/(Calculations!$C$13))-(Calculations!$O62/(Calculations!$C$13*Calculations!$C$13))*LN((Calculations!$C$8*(Calculations!$O62-Calculations!$C$13))/(Calculations!$O62*(Calculations!$C$8-Calculations!$C$13))))+'Reaction Information'!$J$21*10^-1*(Calculations!$M62-Calculations!$C$9)+'Reaction Information'!$K$21*10^2*LN((Calculations!$C$12+Calculations!$M62)/(Calculations!$C$12+Calculations!$C$9))+(1/(Calculations!$O62-Calculations!$C$13))*('Reaction Information'!$L$21*(Calculations!$M62-Calculations!$C$9)+'Reaction Information'!$M$21*10^4*LN((Calculations!$C$12+Calculations!$M62)/(Calculations!$C$12+Calculations!$C$9)))+calculateOmega(Calculations!M62,Calculations!N62,Calculations!Q62,'Reaction Information'!$C$21,'Reaction Information'!$P$21*10^5,'Reaction Information'!$Q$21)*((1/Calculations!$S62)-1)-'Reaction Information'!$P$21*10^5*((1/Calculations!$C$10)-1)+'Reaction Information'!$P$21*10^5*Calculations!$C$14*(Calculations!$O62-Calculations!$C$8))</f>
        <v>#N/A</v>
      </c>
      <c r="AI62" s="8" t="e">
        <f>IF(ISBLANK(Input!$AG$4),NA(),'Reaction Information'!$E$25-'Reaction Information'!$G$25*(Calculations!$O62-Calculations!$C$8)-'Reaction Information'!$N$25*(Calculations!$O62*LN(Calculations!$O62/Calculations!$C$8)-Calculations!$O62+Calculations!$C$8)-'Reaction Information'!$O$25*10^4*(((1/(Calculations!$O62-Calculations!$C$13))-(1/(Calculations!$C$8-Calculations!$C$13)))*((Calculations!$C$13-Calculations!$O62)/(Calculations!$C$13))-(Calculations!$O62/(Calculations!$C$13*Calculations!$C$13))*LN((Calculations!$C$8*(Calculations!$O62-Calculations!$C$13))/(Calculations!$O62*(Calculations!$C$8-Calculations!$C$13))))+'Reaction Information'!$J$25*10^-1*(Calculations!$M62-Calculations!$C$9)+'Reaction Information'!$K$25*10^2*LN((Calculations!$C$12+Calculations!$M62)/(Calculations!$C$12+Calculations!$C$9))+(1/(Calculations!$O62-Calculations!$C$13))*('Reaction Information'!$L$25*(Calculations!$M62-Calculations!$C$9)+'Reaction Information'!$M$25*10^4*LN((Calculations!$C$12+Calculations!$M62)/(Calculations!$C$12+Calculations!$C$9)))+calculateOmega(Calculations!M62,Calculations!N62,Calculations!Q62,'Reaction Information'!$C$25,'Reaction Information'!$P$25*10^5,'Reaction Information'!$Q$25)*((1/Calculations!$S62)-1)-'Reaction Information'!$P$25*10^5*((1/Calculations!$C$10)-1)+'Reaction Information'!$P$25*10^5*Calculations!$C$14*(Calculations!$O62-Calculations!$C$8))</f>
        <v>#N/A</v>
      </c>
      <c r="AJ62" s="8" t="e">
        <f>IF(ISBLANK(Input!$AJ$4),NA(),'Reaction Information'!$E$29-'Reaction Information'!$G$29*(Calculations!$O62-Calculations!$C$8)-'Reaction Information'!$N$29*(Calculations!$O62*LN(Calculations!$O62/Calculations!$C$8)-Calculations!$O62+Calculations!$C$8)-'Reaction Information'!$O$29*10^4*(((1/(Calculations!$O62-Calculations!$C$13))-(1/(Calculations!$C$8-Calculations!$C$13)))*((Calculations!$C$13-Calculations!$O62)/(Calculations!$C$13))-(Calculations!$O62/(Calculations!$C$13*Calculations!$C$13))*LN((Calculations!$C$8*(Calculations!$O62-Calculations!$C$13))/(Calculations!$O62*(Calculations!$C$8-Calculations!$C$13))))+'Reaction Information'!$J$29*10^-1*(Calculations!$M62-Calculations!$C$9)+'Reaction Information'!$K$29*10^2*LN((Calculations!$C$12+Calculations!$M62)/(Calculations!$C$12+Calculations!$C$9))+(1/(Calculations!$O62-Calculations!$C$13))*('Reaction Information'!$L$29*(Calculations!$M62-Calculations!$C$9)+'Reaction Information'!$M$29*10^4*LN((Calculations!$C$12+Calculations!$M62)/(Calculations!$C$12+Calculations!$C$9)))+calculateOmega(Calculations!M62,Calculations!N62,Calculations!Q62,'Reaction Information'!$C$29,'Reaction Information'!$P$29*10^5,'Reaction Information'!$Q$29)*((1/Calculations!$S62)-1)-'Reaction Information'!$P$29*10^5*((1/Calculations!$C$10)-1)+'Reaction Information'!$P$29*10^5*Calculations!$C$14*(Calculations!$O62-Calculations!$C$8))</f>
        <v>#N/A</v>
      </c>
      <c r="AK62" s="8" t="e">
        <f>IF(ISBLANK(Input!$AM$4),NA(),'Reaction Information'!$E$33-'Reaction Information'!$G$33*(Calculations!$O62-Calculations!$C$8)-'Reaction Information'!$N$33*(Calculations!$O62*LN(Calculations!$O62/Calculations!$C$8)-Calculations!$O62+Calculations!$C$8)-'Reaction Information'!$O$33*10^4*(((1/(Calculations!$O62-Calculations!$C$13))-(1/(Calculations!$C$8-Calculations!$C$13)))*((Calculations!$C$13-Calculations!$O62)/(Calculations!$C$13))-(Calculations!$O62/(Calculations!$C$13*Calculations!$C$13))*LN((Calculations!$C$8*(Calculations!$O62-Calculations!$C$13))/(Calculations!$O62*(Calculations!$C$8-Calculations!$C$13))))+'Reaction Information'!$J$33*10^-1*(Calculations!$M62-Calculations!$C$9)+'Reaction Information'!$K$33*10^2*LN((Calculations!$C$12+Calculations!$M62)/(Calculations!$C$12+Calculations!$C$9))+(1/(Calculations!$O62-Calculations!$C$13))*('Reaction Information'!$L$33*(Calculations!$M62-Calculations!$C$9)+'Reaction Information'!$M$33*10^4*LN((Calculations!$C$12+Calculations!$M62)/(Calculations!$C$12+Calculations!$C$9)))+calculateOmega(Calculations!M62,Calculations!N62,Calculations!Q62,'Reaction Information'!$C$33,'Reaction Information'!$P$33*10^5,'Reaction Information'!$Q$33)*((1/Calculations!$S62)-1)-'Reaction Information'!$P$33*10^5*((1/Calculations!$C$10)-1)+'Reaction Information'!$P$33*10^5*Calculations!$C$14*(Calculations!$O62-Calculations!$C$8))</f>
        <v>#N/A</v>
      </c>
      <c r="AL62" s="1">
        <f>Results!S64</f>
        <v>0</v>
      </c>
      <c r="AM62" s="1">
        <f>Results!T64</f>
        <v>0</v>
      </c>
      <c r="AN62" s="1">
        <f>Results!U64</f>
        <v>0</v>
      </c>
      <c r="AO62" s="1">
        <f>Results!V64</f>
        <v>0</v>
      </c>
      <c r="AP62" s="8" t="e">
        <f>IF(ISBLANK(Input!$BB$4),NA(),'Reaction Information'!$E$38-'Reaction Information'!$G$38*(Calculations!$O62-Calculations!$C$8)+'Reaction Information'!$I$38*(Calculations!$O62-Calculations!$C$8-Calculations!$O62*LN(Calculations!$O62/Calculations!$C$8))+'Reaction Information'!$J$38*0.001/2*(2*Calculations!$O62*Calculations!$C$8-Calculations!$O62^2-Calculations!$C$8^2) + 'Reaction Information'!$K$38*100000*(Calculations!$O62^2 + Calculations!$C$8^2 - 2*Calculations!$O62*Calculations!$C$8)/(2*Calculations!$O62*Calculations!$C$8^2))</f>
        <v>#N/A</v>
      </c>
      <c r="AQ62" s="8" t="e">
        <f>IF(ISBLANK(Input!$BE$4),NA(),'Reaction Information'!$E$42-'Reaction Information'!$G$42*(Calculations!$O62-Calculations!$C$8)+'Reaction Information'!$I$42*(Calculations!$O62-Calculations!$C$8-Calculations!$O62*LN(Calculations!$O62/Calculations!$C$8))+'Reaction Information'!$J$42*0.001/2*(2*Calculations!$O62*Calculations!$C$8-Calculations!$O62^2-Calculations!$C$8^2) + 'Reaction Information'!$K$42*100000*(Calculations!$O62^2 + Calculations!$C$8^2 - 2*Calculations!$O62*Calculations!$C$8)/(2*Calculations!$O62*Calculations!$C$8^2))</f>
        <v>#N/A</v>
      </c>
      <c r="AR62" s="8" t="e">
        <f>IF(AR$5="H2O", IF($D$24=3,IF(T62=0,NA(),T62),calculateGibbsOfWater(M62,N62,$D$24,$D$20,$D$19=3)),NA())</f>
        <v>#N/A</v>
      </c>
      <c r="AS62" s="8">
        <f>IF(ISBLANK(Input!$BK$4),NA(),'Reaction Information'!$E$46-'Reaction Information'!$G$46*(Calculations!O62-Calculations!$C$8)-'Reaction Information'!$N$46*(Calculations!O62*LN(Calculations!O62/Calculations!$C$8)-Calculations!O62+Calculations!$C$8)-'Reaction Information'!$O$46*10^4*(((1/(Calculations!O62-Calculations!$C$13))-(1/(Calculations!$C$8-Calculations!$C$13)))*((Calculations!$C$13-Calculations!O62)/(Calculations!$C$13))-(Calculations!O62/(Calculations!$C$13*Calculations!$C$13))*LN((Calculations!$C$8*(Calculations!O62-Calculations!$C$13))/(Calculations!O62*(Calculations!$C$8-Calculations!$C$13))))+'Reaction Information'!$J$46*10^-1*(Calculations!$M62-Calculations!$C$9)+'Reaction Information'!$K$46*10^2*LN((Calculations!$C$12+Calculations!$M62)/(Calculations!$C$12+Calculations!$C$9))+(1/(Calculations!O62-Calculations!$C$13))*('Reaction Information'!$L$46*(Calculations!$M62-Calculations!$C$9)+'Reaction Information'!$M$46*10^4*LN((Calculations!$C$12+Calculations!$M62)/(Calculations!$C$12+Calculations!$C$9)))+calculateOmega(Calculations!M62,Calculations!N62,Calculations!Q62,'Reaction Information'!$C$46,'Reaction Information'!$P$46*10^5,'Reaction Information'!$Q$46)*((1/Calculations!S62)-1)-'Reaction Information'!$P$46*10^5*((1/Calculations!$C$10)-1)+'Reaction Information'!$P$46*10^5*Calculations!$C$14*(Calculations!O62-Calculations!$C$8))</f>
        <v>0</v>
      </c>
      <c r="AT62" s="8">
        <f>IF(ISBLANK(Input!$BN$4),NA(),'Reaction Information'!$E$50-'Reaction Information'!$G$50*(Calculations!O62-Calculations!$C$8)-'Reaction Information'!$N$50*(Calculations!O62*LN(Calculations!O62/Calculations!$C$8)-Calculations!O62+Calculations!$C$8)-'Reaction Information'!$O$50*10^4*(((1/(Calculations!O62-Calculations!$C$13))-(1/(Calculations!$C$8-Calculations!$C$13)))*((Calculations!$C$13-Calculations!O62)/(Calculations!$C$13))-(Calculations!O62/(Calculations!$C$13*Calculations!$C$13))*LN((Calculations!$C$8*(Calculations!O62-Calculations!$C$13))/(Calculations!O62*(Calculations!$C$8-Calculations!$C$13))))+'Reaction Information'!$J$50*10^-1*(Calculations!$M62-Calculations!$C$9)+'Reaction Information'!$K$50*10^2*LN((Calculations!$C$12+Calculations!$M62)/(Calculations!$C$12+Calculations!$C$9))+(1/(Calculations!O62-Calculations!$C$13))*('Reaction Information'!$L$50*(Calculations!$M62-Calculations!$C$9)+'Reaction Information'!$M$50*10^4*LN((Calculations!$C$12+Calculations!$M62)/(Calculations!$C$12+Calculations!$C$9)))+calculateOmega(Calculations!M62,Calculations!N62,Calculations!Q62,'Reaction Information'!$C$50,'Reaction Information'!$P$50*10^5,'Reaction Information'!$Q$50)*((1/Calculations!S62)-1)-'Reaction Information'!$P$50*10^5*((1/Calculations!$C$10)-1)+'Reaction Information'!$P$50*10^5*Calculations!$C$14*(Calculations!O62-Calculations!$C$8))</f>
        <v>-150092.55836401027</v>
      </c>
      <c r="AU62" s="8" t="e">
        <f>IF(ISBLANK(Input!$BQ$4),NA(),'Reaction Information'!$E$54-'Reaction Information'!$G$54*(Calculations!$O62-Calculations!$C$8)-'Reaction Information'!$N$54*(Calculations!$O62*LN(Calculations!$O62/Calculations!$C$8)-Calculations!$O62+Calculations!$C$8)-'Reaction Information'!$O$54*10^4*(((1/(Calculations!$O62-Calculations!$C$13))-(1/(Calculations!$C$8-Calculations!$C$13)))*((Calculations!$C$13-Calculations!$O62)/(Calculations!$C$13))-(Calculations!$O62/(Calculations!$C$13*Calculations!$C$13))*LN((Calculations!$C$8*(Calculations!$O62-Calculations!$C$13))/(Calculations!$O62*(Calculations!$C$8-Calculations!$C$13))))+'Reaction Information'!$J$54*10^-1*(Calculations!$M62-Calculations!$C$9)+'Reaction Information'!$K$54*10^2*LN((Calculations!$C$12+Calculations!$M62)/(Calculations!$C$12+Calculations!$C$9))+(1/(Calculations!$O62-Calculations!$C$13))*('Reaction Information'!$L$54*(Calculations!$M62-Calculations!$C$9)+'Reaction Information'!$M$54*10^4*LN((Calculations!$C$12+Calculations!$M62)/(Calculations!$C$12+Calculations!$C$9)))+calculateOmega(Calculations!M62,Calculations!N62,Calculations!Q62,'Reaction Information'!$C$54,'Reaction Information'!$P$54*10^5,'Reaction Information'!$Q$54)*((1/Calculations!$S62)-1)-'Reaction Information'!$P$54*10^5*((1/Calculations!$C$10)-1)+'Reaction Information'!$P$54*10^5*Calculations!$C$14*(Calculations!$O62-Calculations!$C$8))</f>
        <v>#N/A</v>
      </c>
      <c r="AV62" s="8" t="e">
        <f>IF(ISBLANK(Input!$BT$4),NA(),'Reaction Information'!$E$58-'Reaction Information'!$G$58*(Calculations!$O62-Calculations!$C$8)-'Reaction Information'!$N$58*(Calculations!$O62*LN(Calculations!$O62/Calculations!$C$8)-Calculations!$O62+Calculations!$C$8)-'Reaction Information'!$O$58*10^4*(((1/(Calculations!$O62-Calculations!$C$13))-(1/(Calculations!$C$8-Calculations!$C$13)))*((Calculations!$C$13-Calculations!$O62)/(Calculations!$C$13))-(Calculations!$O62/(Calculations!$C$13*Calculations!$C$13))*LN((Calculations!$C$8*(Calculations!$O62-Calculations!$C$13))/(Calculations!$O62*(Calculations!$C$8-Calculations!$C$13))))+'Reaction Information'!$J$58*10^-1*(Calculations!$M62-Calculations!$C$9)+'Reaction Information'!$K$58*10^2*LN((Calculations!$C$12+Calculations!$M62)/(Calculations!$C$12+Calculations!$C$9))+(1/(Calculations!$O62-Calculations!$C$13))*('Reaction Information'!$L$58*(Calculations!$M62-Calculations!$C$9)+'Reaction Information'!$M$58*10^4*LN((Calculations!$C$12+Calculations!$M62)/(Calculations!$C$12+Calculations!$C$9)))+calculateOmega(Calculations!M62,Calculations!N62,Calculations!Q62,'Reaction Information'!$C$58,'Reaction Information'!$P$58*10^5,'Reaction Information'!$Q$58)*((1/Calculations!$S62)-1)-'Reaction Information'!$P$58*10^5*((1/Calculations!$C$10)-1)+'Reaction Information'!$P$58*10^5*Calculations!$C$14*(Calculations!$O62-Calculations!$C$8))</f>
        <v>#N/A</v>
      </c>
      <c r="AW62" s="8" t="e">
        <f>IF(ISBLANK(Input!$BW$4),NA(),'Reaction Information'!$E$62-'Reaction Information'!$G$62*(Calculations!$O62-Calculations!$C$8)-'Reaction Information'!$N$62*(Calculations!$O62*LN(Calculations!$O62/Calculations!$C$8)-Calculations!$O62+Calculations!$C$8)-'Reaction Information'!$O$62*10^4*(((1/(Calculations!$O62-Calculations!$C$13))-(1/(Calculations!$C$8-Calculations!$C$13)))*((Calculations!$C$13-Calculations!$O62)/(Calculations!$C$13))-(Calculations!$O62/(Calculations!$C$13*Calculations!$C$13))*LN((Calculations!$C$8*(Calculations!$O62-Calculations!$C$13))/(Calculations!$O62*(Calculations!$C$8-Calculations!$C$13))))+'Reaction Information'!$J$62*10^-1*(Calculations!$M62-Calculations!$C$9)+'Reaction Information'!$K$62*10^2*LN((Calculations!$C$12+Calculations!$M62)/(Calculations!$C$12+Calculations!$C$9))+(1/(Calculations!$O62-Calculations!$C$13))*('Reaction Information'!$L$62*(Calculations!$M62-Calculations!$C$9)+'Reaction Information'!$M$62*10^4*LN((Calculations!$C$12+Calculations!$M62)/(Calculations!$C$12+Calculations!$C$9)))+calculateOmega(Calculations!M62,Calculations!N62,Calculations!Q62,'Reaction Information'!$C$62,'Reaction Information'!$P$62*10^5,'Reaction Information'!$Q$62)*((1/Calculations!$S62)-1)-'Reaction Information'!$P$62*10^5*((1/Calculations!$C$10)-1)+'Reaction Information'!$P$62*10^5*Calculations!$C$14*(Calculations!$O62-Calculations!$C$8))</f>
        <v>#N/A</v>
      </c>
      <c r="AX62" s="8" t="e">
        <f>IF(ISBLANK(Input!$BZ$4),NA(),'Reaction Information'!$E$66-'Reaction Information'!$G$66*(Calculations!$O62-Calculations!$C$8)-'Reaction Information'!$N$66*(Calculations!$O62*LN(Calculations!$O62/Calculations!$C$8)-Calculations!$O62+Calculations!$C$8)-'Reaction Information'!$O$66*10^4*(((1/(Calculations!$O62-Calculations!$C$13))-(1/(Calculations!$C$8-Calculations!$C$13)))*((Calculations!$C$13-Calculations!$O62)/(Calculations!$C$13))-(Calculations!$O62/(Calculations!$C$13*Calculations!$C$13))*LN((Calculations!$C$8*(Calculations!$O62-Calculations!$C$13))/(Calculations!$O62*(Calculations!$C$8-Calculations!$C$13))))+'Reaction Information'!$J$66*10^-1*(Calculations!$M62-Calculations!$C$9)+'Reaction Information'!$K$66*10^2*LN((Calculations!$C$12+Calculations!$M62)/(Calculations!$C$12+Calculations!$C$9))+(1/(Calculations!$O62-Calculations!$C$13))*('Reaction Information'!$L$66*(Calculations!$M62-Calculations!$C$9)+'Reaction Information'!$M$66*10^4*LN((Calculations!$C$12+Calculations!$M62)/(Calculations!$C$12+Calculations!$C$9)))+calculateOmega(Calculations!M62,Calculations!N62,Calculations!Q62,'Reaction Information'!$C$66,'Reaction Information'!$P$66*10^5,'Reaction Information'!$Q$66)*((1/Calculations!$S62)-1)-'Reaction Information'!$P$66*10^5*((1/Calculations!$C$10)-1)+'Reaction Information'!$P$66*10^5*Calculations!$C$14*(Calculations!$O62-Calculations!$C$8))</f>
        <v>#N/A</v>
      </c>
      <c r="AY62" s="31">
        <f>(AL62*Input!$AO$4+AM62*Input!$AR$4+AN62*Input!$AU$4+AO62*Input!$AX$4+IF(ISNA(AP62),0,AP62*Input!$BA$4)+IF(ISNA(AQ62),0,AQ62*Input!$BD$4)+IF(ISNA(AR62),0,AR62*Input!$BG$4)+IF(ISNA(AS62),0,AS62*Input!$BJ$4)+IF(ISNA(AT62),0,AT62*Input!$BM$4)+IF(ISNA(AU62),0,AU62*Input!$BP$4)+IF(ISNA(AV62),0,AV62*Input!$BS$4)+IF(ISNA(AW62),0,AW62*Input!$BV$4)+IF(ISNA(AX62),0,AX62*Input!$BY$4))-(Y62*Input!$B$4+Z62*Input!$E$4+AA62*Input!$H$4+AB62*Input!$K$4+IF(ISNA(AC62),0,AC62*Input!$N$4)+IF(ISNA(AD62),0,AD62*Input!$Q$4)+IF(ISNA(AE62),0,AE62*Input!$T$4)+IF(ISNA(AF62),0,AF62*Input!$W$4)+IF(ISNA(AG62),0,AG62*Input!$Z$4)+IF(ISNA(AH62),0,AH62*Input!$AC$4)+IF(ISNA(AI62),0,AI62*Input!$AF$4)+IF(ISNA(AJ62),0,AJ62*Input!$AI$4)+IF(ISNA(AK62),0,AK62*Input!$AL$4))</f>
        <v>34630.2067752578</v>
      </c>
      <c r="AZ62" s="42">
        <f t="shared" si="16"/>
        <v>-6.742938471700727</v>
      </c>
      <c r="BA62" s="1">
        <f t="shared" si="8"/>
        <v>850</v>
      </c>
      <c r="BB62" s="46">
        <f t="shared" si="9"/>
        <v>20000</v>
      </c>
      <c r="BC62" s="1"/>
      <c r="BD62" s="2">
        <f t="shared" si="10"/>
        <v>20000</v>
      </c>
      <c r="BE62" s="46">
        <f t="shared" si="11"/>
        <v>850</v>
      </c>
      <c r="BF62" s="1">
        <f>Results!AJ64</f>
        <v>0</v>
      </c>
      <c r="BG62" s="1">
        <f>Results!AK64</f>
        <v>0</v>
      </c>
      <c r="BH62" s="1">
        <f>Results!AL64</f>
        <v>0</v>
      </c>
      <c r="BI62" s="1">
        <f>Results!AM64</f>
        <v>0</v>
      </c>
      <c r="BJ62" s="1" t="e">
        <f>IF(OR(ISNA('Reaction Information'!$D$5), $N62 = "", $D$27 = FALSE, 'Reaction Information'!$D$5 = ""), NA(), 24.465)</f>
        <v>#N/A</v>
      </c>
      <c r="BK62" s="1" t="e">
        <f>IF(OR(ISNA('Reaction Information'!$D$9), $N62 = "", $D$27 = FALSE, 'Reaction Information'!$D$9 = ""), NA(), 24.465)</f>
        <v>#N/A</v>
      </c>
      <c r="BL62" s="8">
        <f t="shared" si="17"/>
        <v>17.220298368163323</v>
      </c>
      <c r="BM62" s="8">
        <f>IF(OR(ISBLANK(Input!$X$4),$D$27=FALSE),NA(),('Reaction Information'!$J$13/10+'Reaction Information'!$K$13*100/(Calculations!$C$12+Calculations!$M62)+('Reaction Information'!$L$13+'Reaction Information'!$M$13*10^4/(Calculations!$C$12+Calculations!$M62))/(Calculations!$O62-Calculations!$C$13) -calculateOmega(Calculations!$M62,Calculations!$N62,Calculations!$Q62,'Reaction Information'!$C$13,'Reaction Information'!$P$13*10^5,'Reaction Information'!$Q$13)*Calculations!$U62*10^-6 + (1/$S62 - 1)*calculate_domegadP(Calculations!$M62,Calculations!$N62,Calculations!$Q62,'Reaction Information'!$C$13,'Reaction Information'!$P$13*10^5,'Reaction Information'!$Q$13,$D$20,$D$19=3))*41.84)</f>
        <v>31.988219723215231</v>
      </c>
      <c r="BN62" s="8" t="e">
        <f>IF(OR(ISBLANK(Input!$AA$4),$D$27=FALSE),NA(),('Reaction Information'!$J$17/10+'Reaction Information'!$K$17*100/(Calculations!$C$12+Calculations!$M62)+('Reaction Information'!$L$17+'Reaction Information'!$M$17*10000/(Calculations!$C$12+Calculations!$M62))/(Calculations!$O62-Calculations!$C$13)-calculateOmega(Calculations!M62,Calculations!N62,Calculations!Q62,'Reaction Information'!$C$17,'Reaction Information'!$P$17*10^5,'Reaction Information'!$Q$17)*Calculations!$U62*10^-6 + (1/$S62 - 1)*calculate_domegadP(Calculations!M62,Calculations!N62,Calculations!Q62,'Reaction Information'!$C$17,'Reaction Information'!$P$17*10^5,'Reaction Information'!$Q$17,$D$20,$D$19=3))*41.84)</f>
        <v>#N/A</v>
      </c>
      <c r="BO62" s="8" t="e">
        <f>IF(OR(ISBLANK(Input!$AD$4),$D$27=FALSE),NA(),('Reaction Information'!$J$21/10+'Reaction Information'!$K$21*100/(Calculations!$C$12+Calculations!$M62)+('Reaction Information'!$L$21+'Reaction Information'!$M$21*10000/(Calculations!$C$12+Calculations!$M62))/(Calculations!$O62-Calculations!$C$13)-calculateOmega(Calculations!M62,Calculations!N62,Calculations!Q62,'Reaction Information'!$C$21,'Reaction Information'!$P$21*10^5,'Reaction Information'!$Q$21)*Calculations!$U62*10^-6 + (1/$S62 - 1)*calculate_domegadP(Calculations!M62,Calculations!N62,Calculations!Q62,'Reaction Information'!$C$21,'Reaction Information'!$P$21*10^5,'Reaction Information'!$Q$21,$D$20,$D$19=3))*41.84)</f>
        <v>#N/A</v>
      </c>
      <c r="BP62" s="8" t="e">
        <f>IF(OR(ISBLANK(Input!$AG$4),$D$27=FALSE),NA(),('Reaction Information'!$J$25/10+'Reaction Information'!$K$25*100/(Calculations!$C$12+Calculations!$M62)+('Reaction Information'!$L$25+'Reaction Information'!$M$25*10000/(Calculations!$C$12+Calculations!$M62))/(Calculations!$O62-Calculations!$C$13)-calculateOmega(Calculations!M62,Calculations!N62,Calculations!Q62,'Reaction Information'!$C$25,'Reaction Information'!$P$25*10^5,'Reaction Information'!$Q$25)*Calculations!$U62*10^-6 + (1/$S62 - 1)*calculate_domegadP(Calculations!M62,Calculations!N62,Calculations!Q62,'Reaction Information'!$C$25,'Reaction Information'!$P$25*10^5,'Reaction Information'!$Q$25,$D$20,$D$19=3))*41.84)</f>
        <v>#N/A</v>
      </c>
      <c r="BQ62" s="8" t="e">
        <f>IF(OR(ISBLANK(Input!$AJ$4),$D$27=FALSE),NA(),('Reaction Information'!$J$29/10+'Reaction Information'!$K$29*100/(Calculations!$C$12+Calculations!$M62)+('Reaction Information'!$L$29+'Reaction Information'!$M$29*10000/(Calculations!$C$12+Calculations!$M62))/(Calculations!$O62-Calculations!$C$13)-calculateOmega(Calculations!M62,Calculations!N62,Calculations!Q62,'Reaction Information'!$C$29,'Reaction Information'!$P$29*10^5,'Reaction Information'!$Q$29)*Calculations!$U62*10^-6 + (1/$S62 - 1)*calculate_domegadP(Calculations!M62,Calculations!N62,Calculations!Q62,'Reaction Information'!$C$29,'Reaction Information'!$P$29*10^5,'Reaction Information'!$Q$29,$D$20,$D$19=3))*41.84)</f>
        <v>#N/A</v>
      </c>
      <c r="BR62" s="8" t="e">
        <f>IF(OR(ISBLANK(Input!$AM$4),$D$27=FALSE),NA(),('Reaction Information'!$J$33/10+'Reaction Information'!$K$33*100/(Calculations!$C$12+Calculations!$M62)+('Reaction Information'!$L$33+'Reaction Information'!$M$33*10000/(Calculations!$C$12+Calculations!$M62))/(Calculations!$O62-Calculations!$C$13)-calculateOmega(Calculations!M62,Calculations!N62,Calculations!Q62,'Reaction Information'!$C$33,'Reaction Information'!$P$33*10^5,'Reaction Information'!$Q$33)*Calculations!$U62*10^-6 + (1/$S62 - 1)*calculate_domegadP(Calculations!M62,Calculations!N62,Calculations!Q62,'Reaction Information'!$C$33,'Reaction Information'!$P$33*10^5,'Reaction Information'!$Q$33,$D$20,$D$19=3))*41.84)</f>
        <v>#N/A</v>
      </c>
      <c r="BS62" s="1">
        <f>Results!AW64</f>
        <v>0</v>
      </c>
      <c r="BT62" s="1">
        <f>Results!AX64</f>
        <v>0</v>
      </c>
      <c r="BU62" s="1">
        <f>Results!AY64</f>
        <v>0</v>
      </c>
      <c r="BV62" s="1">
        <f>Results!AZ64</f>
        <v>0</v>
      </c>
      <c r="BW62" s="1" t="e">
        <f>IF(OR(ISNA('Reaction Information'!$D$38), $N62 = "", $D$27 = FALSE, 'Reaction Information'!$D$38 = ""), NA(), 24.465)</f>
        <v>#N/A</v>
      </c>
      <c r="BX62" s="1" t="e">
        <f>IF(OR(ISNA('Reaction Information'!$D$42), $N62 = "", $D$27 = FALSE, 'Reaction Information'!$D$42 = ""), NA(), 24.465)</f>
        <v>#N/A</v>
      </c>
      <c r="BY62" s="8" t="e">
        <f t="shared" si="18"/>
        <v>#N/A</v>
      </c>
      <c r="BZ62" s="8">
        <f>IF(OR(ISBLANK(Input!$BK$4),$D$27=FALSE),NA(),('Reaction Information'!$J$46/10+'Reaction Information'!$K$46*100/(Calculations!$C$12+Calculations!$M62)+('Reaction Information'!$L$46+'Reaction Information'!$M$46*10000/(Calculations!$C$12+Calculations!$M62))/(Calculations!$O62-Calculations!$C$13)-calculateOmega(Calculations!M62,Calculations!N62,Calculations!Q62,'Reaction Information'!$C$46,'Reaction Information'!$P$46*10^5,'Reaction Information'!$Q$46)*Calculations!$U62*10^-6 + (1/$S62 - 1)*calculate_domegadP(Calculations!M62,Calculations!N62,Calculations!Q62,'Reaction Information'!$C$46,'Reaction Information'!$P$46*10^5,'Reaction Information'!$Q$46,$D$20,$D$19=3))*41.84)</f>
        <v>0</v>
      </c>
      <c r="CA62" s="8">
        <f>IF(OR(ISBLANK(Input!$BN$4),$D$27=FALSE),NA(),('Reaction Information'!$J$50/10+'Reaction Information'!$K$50*100/(Calculations!$C$12+Calculations!$M62)+('Reaction Information'!$L$50+'Reaction Information'!$M$50*10000/(Calculations!$C$12+Calculations!$M62))/(Calculations!$O62-Calculations!$C$13)-calculateOmega(Calculations!M62,Calculations!N62,Calculations!Q62,'Reaction Information'!$C$50,'Reaction Information'!$P$50*10^5,'Reaction Information'!$Q$50)*Calculations!$U62*10^-6 + (1/$S62 - 1)*calculate_domegadP(Calculations!M62,Calculations!N62,Calculations!Q62,'Reaction Information'!$C$50,'Reaction Information'!$P$50*10^5,'Reaction Information'!$Q$50,$D$20,$D$19=3))*41.84)</f>
        <v>28.413613955431167</v>
      </c>
      <c r="CB62" s="8" t="e">
        <f>IF(OR(ISBLANK(Input!$BQ$4),$D$27=FALSE),NA(),('Reaction Information'!$J$54/10+'Reaction Information'!$K$54*100/(Calculations!$C$12+Calculations!$M62)+('Reaction Information'!$L$54+'Reaction Information'!$M$54*10000/(Calculations!$C$12+Calculations!$M62))/(Calculations!$O62-Calculations!$C$13)-calculateOmega(Calculations!M62,Calculations!N62,Calculations!Q62,'Reaction Information'!$C$54,'Reaction Information'!$P$54*10^5,'Reaction Information'!$Q$54)*Calculations!$U62*10^-6 + (1/$S62 - 1)*calculate_domegadP(Calculations!M62,Calculations!N62,Calculations!Q62,'Reaction Information'!$C$54,'Reaction Information'!$P$54*10^5,'Reaction Information'!$Q$54,$D$20,$D$19=3))*41.84)</f>
        <v>#N/A</v>
      </c>
      <c r="CC62" s="8" t="e">
        <f>IF(OR(ISBLANK(Input!$BT$4),$D$27=FALSE),NA(),('Reaction Information'!$J$58/10+'Reaction Information'!$K$58*100/(Calculations!$C$12+Calculations!$M62)+('Reaction Information'!$L$58+'Reaction Information'!$M$58*10000/(Calculations!$C$12+Calculations!$M62))/(Calculations!$O62-Calculations!$C$13)-calculateOmega(Calculations!M62,Calculations!N62,Calculations!Q62,'Reaction Information'!$C$58,'Reaction Information'!$P$58*10^5,'Reaction Information'!$Q$58)*Calculations!$U62*10^-6 + (1/$S62 - 1)*calculate_domegadP(Calculations!M62,Calculations!N62,Calculations!Q62,'Reaction Information'!$C$58,'Reaction Information'!$P$58*10^5,'Reaction Information'!$Q$58,$D$20,$D$19=3))*41.84)</f>
        <v>#N/A</v>
      </c>
      <c r="CD62" s="8" t="e">
        <f>IF(OR(ISBLANK(Input!$BW$4),$D$27=FALSE),NA(),('Reaction Information'!$J$62/10+'Reaction Information'!$K$62*100/(Calculations!$C$12+Calculations!$M62)+('Reaction Information'!$L$62+'Reaction Information'!$M$62*10000/(Calculations!$C$12+Calculations!$M62))/(Calculations!$O62-Calculations!$C$13)-calculateOmega(Calculations!M62,Calculations!N62,Calculations!Q62,'Reaction Information'!$C$62,'Reaction Information'!$P$62*10^5,'Reaction Information'!$Q$62)*Calculations!$U62*10^-6 + (1/$S62 - 1)*calculate_domegadP(Calculations!M62,Calculations!N62,Calculations!Q62,'Reaction Information'!$C$62,'Reaction Information'!$P$62*10^5,'Reaction Information'!$Q$62,$D$20,$D$19=3))*41.84)</f>
        <v>#N/A</v>
      </c>
      <c r="CE62" s="8" t="e">
        <f>IF(OR(ISBLANK(Input!$BZ$4),$D$27=FALSE),NA(),('Reaction Information'!$J$66/10+'Reaction Information'!$K$66*100/(Calculations!$C$12+Calculations!$M62)+('Reaction Information'!$L$66+'Reaction Information'!$M$66*10000/(Calculations!$C$12+Calculations!$M62))/(Calculations!$O62-Calculations!$C$13)-calculateOmega(Calculations!M62,Calculations!N62,Calculations!Q62,'Reaction Information'!$C$66,'Reaction Information'!$P$66*10^5,'Reaction Information'!$Q$66)*Calculations!$U62*10^-6 + (1/$S62 - 1)*calculate_domegadP(Calculations!M62,Calculations!N62,Calculations!Q62,'Reaction Information'!$C$66,'Reaction Information'!$P$66*10^5,'Reaction Information'!$Q$66,$D$20,$D$19=3))*41.84)</f>
        <v>#N/A</v>
      </c>
      <c r="CF62" s="31">
        <f>(BS62*Input!$AO$4+BT62*Input!$AR$4+BU62*Input!$AU$4+BV62*Input!$AX$4+IF(ISNA(BW62),0,BW62*Input!$BA$4)+IF(ISNA(BX62),0,BX62*Input!$BD$4)+IF(ISNA(BY62),0,BY62*Input!$BG$4)+IF(ISNA(BZ62),0,BZ62*Input!$BJ$4)+IF(ISNA(CA62),0,CA62*Input!$BM$4)+IF(ISNA(CB62),0,CB62*Input!$BP$4)+IF(ISNA(CC62),0,CC62*Input!$BS$4)+IF(ISNA(CD62),0,CD62*Input!$BV$4)+IF(ISNA(CE62),0,CE62*Input!$BY$4))-(BF62*Input!$B$4+BG62*Input!$E$4+BH62*Input!$H$4+BI62*Input!$K$4+IF(ISNA(BJ62),0,BJ62*Input!$N$4)+IF(ISNA(BK62),0,BK62*Input!$Q$4)+IF(ISNA(BL62),0,BL62*Input!$T$4)+IF(ISNA(BM62),0,BM62*Input!$W$4)+IF(ISNA(BN62),0,BN62*Input!$Z$4)+IF(ISNA(BO62),0,BO62*Input!$AC$4)+IF(ISNA(BP62),0,BP62*Input!$AF$4)+IF(ISNA(BQ62),0,BQ62*Input!$AI$4)+IF(ISNA(BR62),0,BR62*Input!$AL$4))</f>
        <v>-20.794904135947384</v>
      </c>
      <c r="CG62" s="1">
        <f t="shared" si="12"/>
        <v>850</v>
      </c>
      <c r="CH62" s="46">
        <f t="shared" si="13"/>
        <v>20000</v>
      </c>
      <c r="CI62" s="1"/>
    </row>
    <row r="63" spans="1:87" x14ac:dyDescent="0.2">
      <c r="A63" s="1"/>
      <c r="E63" s="1"/>
      <c r="F63" s="2">
        <v>58</v>
      </c>
      <c r="G63" s="1" t="str">
        <f>IF(ISBLANK(Input!CB63), "", Input!CB63*1000)</f>
        <v/>
      </c>
      <c r="H63" s="1" t="str">
        <f>IF(ISBLANK(Input!CC63), "", Input!CC63)</f>
        <v/>
      </c>
      <c r="I63" s="1">
        <f>IF(Input!$CF$5 + Input!$CF$6*(FLOOR((Calculations!$F63-1)/(FLOOR((Input!$CF$12-Input!$CF$10)/Input!$CF$11,1)+1),1)) &gt; Input!$CF$7, "", (Input!$CF$5 + Input!$CF$6*(FLOOR((Calculations!$F63-1)/(FLOOR((Input!$CF$12-Input!$CF$10)/Input!$CF$11,1)+1),1)))*1000)</f>
        <v>20000</v>
      </c>
      <c r="J63" s="1">
        <f>IF(Calculations!I63 = "", "", Input!$CF$10 + Input!$CF$11*(Calculations!$F63-1) - (FLOOR((Input!$CF$12-Input!$CF$10)/Input!$CF$11,1)+1)*Input!$CF$11*FLOOR((Calculations!$F63-1)/(FLOOR((Input!$CF$12-Input!$CF$10)/Input!$CF$11,1)+1),1))</f>
        <v>900</v>
      </c>
      <c r="K63" s="8" t="str">
        <f t="shared" si="14"/>
        <v/>
      </c>
      <c r="L63" s="117" t="str">
        <f>IF(OR(Input!$CJ$5 + Input!$CJ$6*(Calculations!F63-1) &gt; Input!$CJ$7, Input!$CJ$5 + Input!$CJ$6*(Calculations!F63-1) &gt; 350), "", Input!$CJ$5 + Input!$CJ$6*(Calculations!F63-1))</f>
        <v/>
      </c>
      <c r="M63" s="1">
        <f t="shared" si="2"/>
        <v>20000</v>
      </c>
      <c r="N63" s="1">
        <f t="shared" si="3"/>
        <v>900</v>
      </c>
      <c r="O63" s="1">
        <f t="shared" si="15"/>
        <v>1173.1500000000001</v>
      </c>
      <c r="P63" s="1" t="e">
        <f>IF(OR($D$20=3,AND($D$21=TRUE,M63&lt;1000)),INDEX('Water Density'!$C$6:$CX$120,MATCH(Calculations!N63,'Water Density'!$B$6:$B$120),MATCH(Calculations!M63/1000,'Water Density'!$C$5:$CX$5)),NA())</f>
        <v>#N/A</v>
      </c>
      <c r="Q63" s="182">
        <f>IF(OR($D$20=3,AND($D$21=TRUE,M63&lt;1000)), IF(P63&lt;&gt;0,P63,NA()), calculateDensity(M63,N63,$D$20,0.01,$D$19 = 3))</f>
        <v>1.0306151872360709</v>
      </c>
      <c r="R63" s="1" t="e">
        <f>IF($D$22=5,INDEX('Dielectric Constant'!$C$6:$CX$120,MATCH(Calculations!N63,'Dielectric Constant'!$B$6:$B$120),MATCH(Calculations!M63/1000,'Dielectric Constant'!$C$5:$CX$5)),NA())</f>
        <v>#N/A</v>
      </c>
      <c r="S63" s="58">
        <f>IF($D$22=5, IF(R63&lt;&gt;0,R63,NA()), IF(AND($D$23,M63&lt;=5000,$D$19 &lt;&gt; 3),calculateEpsilon(Q63,N63,1,FALSE),calculateEpsilon(Q63,N63,$D$22,$D$19 = 3)))</f>
        <v>14.238210966847864</v>
      </c>
      <c r="T63" s="1" t="e">
        <f>IF($D$24=3,INDEX('Water Free Energy'!$C$6:$CX$120,MATCH(Calculations!N63,'Water Free Energy'!$B$6:$B$120),MATCH(Calculations!M63/1000,'Water Free Energy'!$C$5:$CX$5)),NA())</f>
        <v>#N/A</v>
      </c>
      <c r="U63" s="179">
        <f>IF($D$27,calculateQ(M63,N63,Q63,$D$20,$D$22,$D$19=3)*10^6,NA())</f>
        <v>0.75821244404300481</v>
      </c>
      <c r="V63"/>
      <c r="W63" s="2">
        <f t="shared" si="5"/>
        <v>20000</v>
      </c>
      <c r="X63" s="1">
        <f t="shared" si="6"/>
        <v>900</v>
      </c>
      <c r="Y63" s="1">
        <f>Results!F65</f>
        <v>0</v>
      </c>
      <c r="Z63" s="1">
        <f>Results!G65</f>
        <v>0</v>
      </c>
      <c r="AA63" s="1">
        <f>Results!H65</f>
        <v>0</v>
      </c>
      <c r="AB63" s="1">
        <f>Results!I65</f>
        <v>0</v>
      </c>
      <c r="AC63" s="1" t="e">
        <f>IF(ISBLANK(Input!$O$4),NA(),'Reaction Information'!$E$5-'Reaction Information'!$G$5*(Calculations!$O63-Calculations!$C$8)+'Reaction Information'!$I$5*(Calculations!$O63-Calculations!$C$8-Calculations!$O63*LN(Calculations!$O63/Calculations!$C$8))+'Reaction Information'!$J$5*0.001/2*(2*Calculations!$O63*Calculations!$C$8-Calculations!$O63^2-Calculations!$C$8^2) + 'Reaction Information'!$K$5*100000*(Calculations!$O63^2 + Calculations!$C$8^2 - 2*Calculations!$O63*Calculations!$C$8)/(2*Calculations!$O63*Calculations!$C$8^2))</f>
        <v>#N/A</v>
      </c>
      <c r="AD63" s="8" t="e">
        <f>IF(ISBLANK(Input!$R$4),NA(),'Reaction Information'!$E$9-'Reaction Information'!$G$9*(Calculations!$O63-Calculations!$C$8)+'Reaction Information'!$I$9*(Calculations!$O63-Calculations!$C$8-Calculations!$O63*LN(Calculations!$O63/Calculations!$C$8))+'Reaction Information'!$J$9*0.001/2*(2*Calculations!$O63*Calculations!$C$8-Calculations!$O63^2-Calculations!$C$8^2) + 'Reaction Information'!$K$9*100000*(Calculations!$O63^2 + Calculations!$C$8^2 - 2*Calculations!$O63*Calculations!$C$8)/(2*Calculations!$O63*Calculations!$C$8^2))</f>
        <v>#N/A</v>
      </c>
      <c r="AE63" s="8">
        <f>IF(AE$5="H2O",IF($D$24=3,IF(T63=0,NA(),T63),calculateGibbsOfWater(M63,N63,$D$24,$D$20,$D$19=3)),NA())</f>
        <v>-72932.515999865442</v>
      </c>
      <c r="AF63" s="8">
        <f>IF(ISBLANK(Input!$X$4),NA(),'Reaction Information'!$E$13-'Reaction Information'!$G$13*(Calculations!O63-Calculations!$C$8)-'Reaction Information'!$N$13*(Calculations!O63*LN(Calculations!O63/Calculations!$C$8)-Calculations!O63+Calculations!$C$8)-'Reaction Information'!$O$13*10^4*(((1/(Calculations!O63-Calculations!$C$13))-(1/(Calculations!$C$8-Calculations!$C$13)))*((Calculations!$C$13-Calculations!O63)/(Calculations!$C$13))-(Calculations!O63/(Calculations!$C$13*Calculations!$C$13))*LN((Calculations!$C$8*(Calculations!O63-Calculations!$C$13))/(Calculations!O63*(Calculations!$C$8-Calculations!$C$13))))+'Reaction Information'!$J$13*10^-1*(Calculations!M63-Calculations!$C$9)+'Reaction Information'!$K$13*10^2*LN((Calculations!$C$12+Calculations!M63)/(Calculations!$C$12+Calculations!$C$9))+(1/(Calculations!O63-Calculations!$C$13))*('Reaction Information'!$L$13*(Calculations!M63-Calculations!$C$9)+'Reaction Information'!$M$13*10^4*LN((Calculations!$C$12+Calculations!M63)/(Calculations!$C$12+Calculations!$C$9)))+calculateOmega(Calculations!M63,Calculations!N63,Calculations!Q63,'Reaction Information'!$C$13,'Reaction Information'!$P$13*10^5,'Reaction Information'!$Q$13)*((1/Calculations!S63)-1)-'Reaction Information'!$P$13*10^5*((1/Calculations!$C$10)-1)+'Reaction Information'!$P$13*10^5*Calculations!$C$14*(Calculations!O63-Calculations!$C$8))</f>
        <v>-116116.81456591672</v>
      </c>
      <c r="AG63" s="8" t="e">
        <f>IF(ISBLANK(Input!$AA$4),NA(),'Reaction Information'!$E$17-'Reaction Information'!$G$17*(Calculations!$O63-Calculations!$C$8)-'Reaction Information'!$N$17*(Calculations!$O63*LN(Calculations!$O63/Calculations!$C$8)-Calculations!$O63+Calculations!$C$8)-'Reaction Information'!$O$17*10^4*(((1/(Calculations!$O63-Calculations!$C$13))-(1/(Calculations!$C$8-Calculations!$C$13)))*((Calculations!$C$13-Calculations!$O63)/(Calculations!$C$13))-(Calculations!$O63/(Calculations!$C$13*Calculations!$C$13))*LN((Calculations!$C$8*(Calculations!$O63-Calculations!$C$13))/(Calculations!$O63*(Calculations!$C$8-Calculations!$C$13))))+'Reaction Information'!$J$17*10^-1*(Calculations!$M63-Calculations!$C$9)+'Reaction Information'!$K$17*10^2*LN((Calculations!$C$12+Calculations!$M63)/(Calculations!$C$12+Calculations!$C$9))+(1/(Calculations!$O63-Calculations!$C$13))*('Reaction Information'!$L$17*(Calculations!$M63-Calculations!$C$9)+'Reaction Information'!$M$17*10^4*LN((Calculations!$C$12+Calculations!$M63)/(Calculations!$C$12+Calculations!$C$9)))+calculateOmega(Calculations!M63,Calculations!N63,Calculations!Q63,'Reaction Information'!$C$17,'Reaction Information'!$P$17*10^5,'Reaction Information'!$Q$17)*((1/Calculations!$S63)-1)-'Reaction Information'!$P$17*10^5*((1/Calculations!$C$10)-1)+'Reaction Information'!$P$17*10^5*Calculations!$C$14*(Calculations!$O63-Calculations!$C$8))</f>
        <v>#N/A</v>
      </c>
      <c r="AH63" s="8" t="e">
        <f>IF(ISBLANK(Input!$AD$4),NA(),'Reaction Information'!$E$21-'Reaction Information'!$G$21*(Calculations!$O63-Calculations!$C$8)-'Reaction Information'!$N$21*(Calculations!$O63*LN(Calculations!$O63/Calculations!$C$8)-Calculations!$O63+Calculations!$C$8)-'Reaction Information'!$O$21*10^4*(((1/(Calculations!$O63-Calculations!$C$13))-(1/(Calculations!$C$8-Calculations!$C$13)))*((Calculations!$C$13-Calculations!$O63)/(Calculations!$C$13))-(Calculations!$O63/(Calculations!$C$13*Calculations!$C$13))*LN((Calculations!$C$8*(Calculations!$O63-Calculations!$C$13))/(Calculations!$O63*(Calculations!$C$8-Calculations!$C$13))))+'Reaction Information'!$J$21*10^-1*(Calculations!$M63-Calculations!$C$9)+'Reaction Information'!$K$21*10^2*LN((Calculations!$C$12+Calculations!$M63)/(Calculations!$C$12+Calculations!$C$9))+(1/(Calculations!$O63-Calculations!$C$13))*('Reaction Information'!$L$21*(Calculations!$M63-Calculations!$C$9)+'Reaction Information'!$M$21*10^4*LN((Calculations!$C$12+Calculations!$M63)/(Calculations!$C$12+Calculations!$C$9)))+calculateOmega(Calculations!M63,Calculations!N63,Calculations!Q63,'Reaction Information'!$C$21,'Reaction Information'!$P$21*10^5,'Reaction Information'!$Q$21)*((1/Calculations!$S63)-1)-'Reaction Information'!$P$21*10^5*((1/Calculations!$C$10)-1)+'Reaction Information'!$P$21*10^5*Calculations!$C$14*(Calculations!$O63-Calculations!$C$8))</f>
        <v>#N/A</v>
      </c>
      <c r="AI63" s="8" t="e">
        <f>IF(ISBLANK(Input!$AG$4),NA(),'Reaction Information'!$E$25-'Reaction Information'!$G$25*(Calculations!$O63-Calculations!$C$8)-'Reaction Information'!$N$25*(Calculations!$O63*LN(Calculations!$O63/Calculations!$C$8)-Calculations!$O63+Calculations!$C$8)-'Reaction Information'!$O$25*10^4*(((1/(Calculations!$O63-Calculations!$C$13))-(1/(Calculations!$C$8-Calculations!$C$13)))*((Calculations!$C$13-Calculations!$O63)/(Calculations!$C$13))-(Calculations!$O63/(Calculations!$C$13*Calculations!$C$13))*LN((Calculations!$C$8*(Calculations!$O63-Calculations!$C$13))/(Calculations!$O63*(Calculations!$C$8-Calculations!$C$13))))+'Reaction Information'!$J$25*10^-1*(Calculations!$M63-Calculations!$C$9)+'Reaction Information'!$K$25*10^2*LN((Calculations!$C$12+Calculations!$M63)/(Calculations!$C$12+Calculations!$C$9))+(1/(Calculations!$O63-Calculations!$C$13))*('Reaction Information'!$L$25*(Calculations!$M63-Calculations!$C$9)+'Reaction Information'!$M$25*10^4*LN((Calculations!$C$12+Calculations!$M63)/(Calculations!$C$12+Calculations!$C$9)))+calculateOmega(Calculations!M63,Calculations!N63,Calculations!Q63,'Reaction Information'!$C$25,'Reaction Information'!$P$25*10^5,'Reaction Information'!$Q$25)*((1/Calculations!$S63)-1)-'Reaction Information'!$P$25*10^5*((1/Calculations!$C$10)-1)+'Reaction Information'!$P$25*10^5*Calculations!$C$14*(Calculations!$O63-Calculations!$C$8))</f>
        <v>#N/A</v>
      </c>
      <c r="AJ63" s="8" t="e">
        <f>IF(ISBLANK(Input!$AJ$4),NA(),'Reaction Information'!$E$29-'Reaction Information'!$G$29*(Calculations!$O63-Calculations!$C$8)-'Reaction Information'!$N$29*(Calculations!$O63*LN(Calculations!$O63/Calculations!$C$8)-Calculations!$O63+Calculations!$C$8)-'Reaction Information'!$O$29*10^4*(((1/(Calculations!$O63-Calculations!$C$13))-(1/(Calculations!$C$8-Calculations!$C$13)))*((Calculations!$C$13-Calculations!$O63)/(Calculations!$C$13))-(Calculations!$O63/(Calculations!$C$13*Calculations!$C$13))*LN((Calculations!$C$8*(Calculations!$O63-Calculations!$C$13))/(Calculations!$O63*(Calculations!$C$8-Calculations!$C$13))))+'Reaction Information'!$J$29*10^-1*(Calculations!$M63-Calculations!$C$9)+'Reaction Information'!$K$29*10^2*LN((Calculations!$C$12+Calculations!$M63)/(Calculations!$C$12+Calculations!$C$9))+(1/(Calculations!$O63-Calculations!$C$13))*('Reaction Information'!$L$29*(Calculations!$M63-Calculations!$C$9)+'Reaction Information'!$M$29*10^4*LN((Calculations!$C$12+Calculations!$M63)/(Calculations!$C$12+Calculations!$C$9)))+calculateOmega(Calculations!M63,Calculations!N63,Calculations!Q63,'Reaction Information'!$C$29,'Reaction Information'!$P$29*10^5,'Reaction Information'!$Q$29)*((1/Calculations!$S63)-1)-'Reaction Information'!$P$29*10^5*((1/Calculations!$C$10)-1)+'Reaction Information'!$P$29*10^5*Calculations!$C$14*(Calculations!$O63-Calculations!$C$8))</f>
        <v>#N/A</v>
      </c>
      <c r="AK63" s="8" t="e">
        <f>IF(ISBLANK(Input!$AM$4),NA(),'Reaction Information'!$E$33-'Reaction Information'!$G$33*(Calculations!$O63-Calculations!$C$8)-'Reaction Information'!$N$33*(Calculations!$O63*LN(Calculations!$O63/Calculations!$C$8)-Calculations!$O63+Calculations!$C$8)-'Reaction Information'!$O$33*10^4*(((1/(Calculations!$O63-Calculations!$C$13))-(1/(Calculations!$C$8-Calculations!$C$13)))*((Calculations!$C$13-Calculations!$O63)/(Calculations!$C$13))-(Calculations!$O63/(Calculations!$C$13*Calculations!$C$13))*LN((Calculations!$C$8*(Calculations!$O63-Calculations!$C$13))/(Calculations!$O63*(Calculations!$C$8-Calculations!$C$13))))+'Reaction Information'!$J$33*10^-1*(Calculations!$M63-Calculations!$C$9)+'Reaction Information'!$K$33*10^2*LN((Calculations!$C$12+Calculations!$M63)/(Calculations!$C$12+Calculations!$C$9))+(1/(Calculations!$O63-Calculations!$C$13))*('Reaction Information'!$L$33*(Calculations!$M63-Calculations!$C$9)+'Reaction Information'!$M$33*10^4*LN((Calculations!$C$12+Calculations!$M63)/(Calculations!$C$12+Calculations!$C$9)))+calculateOmega(Calculations!M63,Calculations!N63,Calculations!Q63,'Reaction Information'!$C$33,'Reaction Information'!$P$33*10^5,'Reaction Information'!$Q$33)*((1/Calculations!$S63)-1)-'Reaction Information'!$P$33*10^5*((1/Calculations!$C$10)-1)+'Reaction Information'!$P$33*10^5*Calculations!$C$14*(Calculations!$O63-Calculations!$C$8))</f>
        <v>#N/A</v>
      </c>
      <c r="AL63" s="1">
        <f>Results!S65</f>
        <v>0</v>
      </c>
      <c r="AM63" s="1">
        <f>Results!T65</f>
        <v>0</v>
      </c>
      <c r="AN63" s="1">
        <f>Results!U65</f>
        <v>0</v>
      </c>
      <c r="AO63" s="1">
        <f>Results!V65</f>
        <v>0</v>
      </c>
      <c r="AP63" s="8" t="e">
        <f>IF(ISBLANK(Input!$BB$4),NA(),'Reaction Information'!$E$38-'Reaction Information'!$G$38*(Calculations!$O63-Calculations!$C$8)+'Reaction Information'!$I$38*(Calculations!$O63-Calculations!$C$8-Calculations!$O63*LN(Calculations!$O63/Calculations!$C$8))+'Reaction Information'!$J$38*0.001/2*(2*Calculations!$O63*Calculations!$C$8-Calculations!$O63^2-Calculations!$C$8^2) + 'Reaction Information'!$K$38*100000*(Calculations!$O63^2 + Calculations!$C$8^2 - 2*Calculations!$O63*Calculations!$C$8)/(2*Calculations!$O63*Calculations!$C$8^2))</f>
        <v>#N/A</v>
      </c>
      <c r="AQ63" s="8" t="e">
        <f>IF(ISBLANK(Input!$BE$4),NA(),'Reaction Information'!$E$42-'Reaction Information'!$G$42*(Calculations!$O63-Calculations!$C$8)+'Reaction Information'!$I$42*(Calculations!$O63-Calculations!$C$8-Calculations!$O63*LN(Calculations!$O63/Calculations!$C$8))+'Reaction Information'!$J$42*0.001/2*(2*Calculations!$O63*Calculations!$C$8-Calculations!$O63^2-Calculations!$C$8^2) + 'Reaction Information'!$K$42*100000*(Calculations!$O63^2 + Calculations!$C$8^2 - 2*Calculations!$O63*Calculations!$C$8)/(2*Calculations!$O63*Calculations!$C$8^2))</f>
        <v>#N/A</v>
      </c>
      <c r="AR63" s="8" t="e">
        <f>IF(AR$5="H2O", IF($D$24=3,IF(T63=0,NA(),T63),calculateGibbsOfWater(M63,N63,$D$24,$D$20,$D$19=3)),NA())</f>
        <v>#N/A</v>
      </c>
      <c r="AS63" s="8">
        <f>IF(ISBLANK(Input!$BK$4),NA(),'Reaction Information'!$E$46-'Reaction Information'!$G$46*(Calculations!O63-Calculations!$C$8)-'Reaction Information'!$N$46*(Calculations!O63*LN(Calculations!O63/Calculations!$C$8)-Calculations!O63+Calculations!$C$8)-'Reaction Information'!$O$46*10^4*(((1/(Calculations!O63-Calculations!$C$13))-(1/(Calculations!$C$8-Calculations!$C$13)))*((Calculations!$C$13-Calculations!O63)/(Calculations!$C$13))-(Calculations!O63/(Calculations!$C$13*Calculations!$C$13))*LN((Calculations!$C$8*(Calculations!O63-Calculations!$C$13))/(Calculations!O63*(Calculations!$C$8-Calculations!$C$13))))+'Reaction Information'!$J$46*10^-1*(Calculations!$M63-Calculations!$C$9)+'Reaction Information'!$K$46*10^2*LN((Calculations!$C$12+Calculations!$M63)/(Calculations!$C$12+Calculations!$C$9))+(1/(Calculations!O63-Calculations!$C$13))*('Reaction Information'!$L$46*(Calculations!$M63-Calculations!$C$9)+'Reaction Information'!$M$46*10^4*LN((Calculations!$C$12+Calculations!$M63)/(Calculations!$C$12+Calculations!$C$9)))+calculateOmega(Calculations!M63,Calculations!N63,Calculations!Q63,'Reaction Information'!$C$46,'Reaction Information'!$P$46*10^5,'Reaction Information'!$Q$46)*((1/Calculations!S63)-1)-'Reaction Information'!$P$46*10^5*((1/Calculations!$C$10)-1)+'Reaction Information'!$P$46*10^5*Calculations!$C$14*(Calculations!O63-Calculations!$C$8))</f>
        <v>0</v>
      </c>
      <c r="AT63" s="8">
        <f>IF(ISBLANK(Input!$BN$4),NA(),'Reaction Information'!$E$50-'Reaction Information'!$G$50*(Calculations!O63-Calculations!$C$8)-'Reaction Information'!$N$50*(Calculations!O63*LN(Calculations!O63/Calculations!$C$8)-Calculations!O63+Calculations!$C$8)-'Reaction Information'!$O$50*10^4*(((1/(Calculations!O63-Calculations!$C$13))-(1/(Calculations!$C$8-Calculations!$C$13)))*((Calculations!$C$13-Calculations!O63)/(Calculations!$C$13))-(Calculations!O63/(Calculations!$C$13*Calculations!$C$13))*LN((Calculations!$C$8*(Calculations!O63-Calculations!$C$13))/(Calculations!O63*(Calculations!$C$8-Calculations!$C$13))))+'Reaction Information'!$J$50*10^-1*(Calculations!$M63-Calculations!$C$9)+'Reaction Information'!$K$50*10^2*LN((Calculations!$C$12+Calculations!$M63)/(Calculations!$C$12+Calculations!$C$9))+(1/(Calculations!O63-Calculations!$C$13))*('Reaction Information'!$L$50*(Calculations!$M63-Calculations!$C$9)+'Reaction Information'!$M$50*10^4*LN((Calculations!$C$12+Calculations!$M63)/(Calculations!$C$12+Calculations!$C$9)))+calculateOmega(Calculations!M63,Calculations!N63,Calculations!Q63,'Reaction Information'!$C$50,'Reaction Information'!$P$50*10^5,'Reaction Information'!$Q$50)*((1/Calculations!S63)-1)-'Reaction Information'!$P$50*10^5*((1/Calculations!$C$10)-1)+'Reaction Information'!$P$50*10^5*Calculations!$C$14*(Calculations!O63-Calculations!$C$8))</f>
        <v>-151593.84307227662</v>
      </c>
      <c r="AU63" s="8" t="e">
        <f>IF(ISBLANK(Input!$BQ$4),NA(),'Reaction Information'!$E$54-'Reaction Information'!$G$54*(Calculations!$O63-Calculations!$C$8)-'Reaction Information'!$N$54*(Calculations!$O63*LN(Calculations!$O63/Calculations!$C$8)-Calculations!$O63+Calculations!$C$8)-'Reaction Information'!$O$54*10^4*(((1/(Calculations!$O63-Calculations!$C$13))-(1/(Calculations!$C$8-Calculations!$C$13)))*((Calculations!$C$13-Calculations!$O63)/(Calculations!$C$13))-(Calculations!$O63/(Calculations!$C$13*Calculations!$C$13))*LN((Calculations!$C$8*(Calculations!$O63-Calculations!$C$13))/(Calculations!$O63*(Calculations!$C$8-Calculations!$C$13))))+'Reaction Information'!$J$54*10^-1*(Calculations!$M63-Calculations!$C$9)+'Reaction Information'!$K$54*10^2*LN((Calculations!$C$12+Calculations!$M63)/(Calculations!$C$12+Calculations!$C$9))+(1/(Calculations!$O63-Calculations!$C$13))*('Reaction Information'!$L$54*(Calculations!$M63-Calculations!$C$9)+'Reaction Information'!$M$54*10^4*LN((Calculations!$C$12+Calculations!$M63)/(Calculations!$C$12+Calculations!$C$9)))+calculateOmega(Calculations!M63,Calculations!N63,Calculations!Q63,'Reaction Information'!$C$54,'Reaction Information'!$P$54*10^5,'Reaction Information'!$Q$54)*((1/Calculations!$S63)-1)-'Reaction Information'!$P$54*10^5*((1/Calculations!$C$10)-1)+'Reaction Information'!$P$54*10^5*Calculations!$C$14*(Calculations!$O63-Calculations!$C$8))</f>
        <v>#N/A</v>
      </c>
      <c r="AV63" s="8" t="e">
        <f>IF(ISBLANK(Input!$BT$4),NA(),'Reaction Information'!$E$58-'Reaction Information'!$G$58*(Calculations!$O63-Calculations!$C$8)-'Reaction Information'!$N$58*(Calculations!$O63*LN(Calculations!$O63/Calculations!$C$8)-Calculations!$O63+Calculations!$C$8)-'Reaction Information'!$O$58*10^4*(((1/(Calculations!$O63-Calculations!$C$13))-(1/(Calculations!$C$8-Calculations!$C$13)))*((Calculations!$C$13-Calculations!$O63)/(Calculations!$C$13))-(Calculations!$O63/(Calculations!$C$13*Calculations!$C$13))*LN((Calculations!$C$8*(Calculations!$O63-Calculations!$C$13))/(Calculations!$O63*(Calculations!$C$8-Calculations!$C$13))))+'Reaction Information'!$J$58*10^-1*(Calculations!$M63-Calculations!$C$9)+'Reaction Information'!$K$58*10^2*LN((Calculations!$C$12+Calculations!$M63)/(Calculations!$C$12+Calculations!$C$9))+(1/(Calculations!$O63-Calculations!$C$13))*('Reaction Information'!$L$58*(Calculations!$M63-Calculations!$C$9)+'Reaction Information'!$M$58*10^4*LN((Calculations!$C$12+Calculations!$M63)/(Calculations!$C$12+Calculations!$C$9)))+calculateOmega(Calculations!M63,Calculations!N63,Calculations!Q63,'Reaction Information'!$C$58,'Reaction Information'!$P$58*10^5,'Reaction Information'!$Q$58)*((1/Calculations!$S63)-1)-'Reaction Information'!$P$58*10^5*((1/Calculations!$C$10)-1)+'Reaction Information'!$P$58*10^5*Calculations!$C$14*(Calculations!$O63-Calculations!$C$8))</f>
        <v>#N/A</v>
      </c>
      <c r="AW63" s="8" t="e">
        <f>IF(ISBLANK(Input!$BW$4),NA(),'Reaction Information'!$E$62-'Reaction Information'!$G$62*(Calculations!$O63-Calculations!$C$8)-'Reaction Information'!$N$62*(Calculations!$O63*LN(Calculations!$O63/Calculations!$C$8)-Calculations!$O63+Calculations!$C$8)-'Reaction Information'!$O$62*10^4*(((1/(Calculations!$O63-Calculations!$C$13))-(1/(Calculations!$C$8-Calculations!$C$13)))*((Calculations!$C$13-Calculations!$O63)/(Calculations!$C$13))-(Calculations!$O63/(Calculations!$C$13*Calculations!$C$13))*LN((Calculations!$C$8*(Calculations!$O63-Calculations!$C$13))/(Calculations!$O63*(Calculations!$C$8-Calculations!$C$13))))+'Reaction Information'!$J$62*10^-1*(Calculations!$M63-Calculations!$C$9)+'Reaction Information'!$K$62*10^2*LN((Calculations!$C$12+Calculations!$M63)/(Calculations!$C$12+Calculations!$C$9))+(1/(Calculations!$O63-Calculations!$C$13))*('Reaction Information'!$L$62*(Calculations!$M63-Calculations!$C$9)+'Reaction Information'!$M$62*10^4*LN((Calculations!$C$12+Calculations!$M63)/(Calculations!$C$12+Calculations!$C$9)))+calculateOmega(Calculations!M63,Calculations!N63,Calculations!Q63,'Reaction Information'!$C$62,'Reaction Information'!$P$62*10^5,'Reaction Information'!$Q$62)*((1/Calculations!$S63)-1)-'Reaction Information'!$P$62*10^5*((1/Calculations!$C$10)-1)+'Reaction Information'!$P$62*10^5*Calculations!$C$14*(Calculations!$O63-Calculations!$C$8))</f>
        <v>#N/A</v>
      </c>
      <c r="AX63" s="8" t="e">
        <f>IF(ISBLANK(Input!$BZ$4),NA(),'Reaction Information'!$E$66-'Reaction Information'!$G$66*(Calculations!$O63-Calculations!$C$8)-'Reaction Information'!$N$66*(Calculations!$O63*LN(Calculations!$O63/Calculations!$C$8)-Calculations!$O63+Calculations!$C$8)-'Reaction Information'!$O$66*10^4*(((1/(Calculations!$O63-Calculations!$C$13))-(1/(Calculations!$C$8-Calculations!$C$13)))*((Calculations!$C$13-Calculations!$O63)/(Calculations!$C$13))-(Calculations!$O63/(Calculations!$C$13*Calculations!$C$13))*LN((Calculations!$C$8*(Calculations!$O63-Calculations!$C$13))/(Calculations!$O63*(Calculations!$C$8-Calculations!$C$13))))+'Reaction Information'!$J$66*10^-1*(Calculations!$M63-Calculations!$C$9)+'Reaction Information'!$K$66*10^2*LN((Calculations!$C$12+Calculations!$M63)/(Calculations!$C$12+Calculations!$C$9))+(1/(Calculations!$O63-Calculations!$C$13))*('Reaction Information'!$L$66*(Calculations!$M63-Calculations!$C$9)+'Reaction Information'!$M$66*10^4*LN((Calculations!$C$12+Calculations!$M63)/(Calculations!$C$12+Calculations!$C$9)))+calculateOmega(Calculations!M63,Calculations!N63,Calculations!Q63,'Reaction Information'!$C$66,'Reaction Information'!$P$66*10^5,'Reaction Information'!$Q$66)*((1/Calculations!$S63)-1)-'Reaction Information'!$P$66*10^5*((1/Calculations!$C$10)-1)+'Reaction Information'!$P$66*10^5*Calculations!$C$14*(Calculations!$O63-Calculations!$C$8))</f>
        <v>#N/A</v>
      </c>
      <c r="AY63" s="31">
        <f>(AL63*Input!$AO$4+AM63*Input!$AR$4+AN63*Input!$AU$4+AO63*Input!$AX$4+IF(ISNA(AP63),0,AP63*Input!$BA$4)+IF(ISNA(AQ63),0,AQ63*Input!$BD$4)+IF(ISNA(AR63),0,AR63*Input!$BG$4)+IF(ISNA(AS63),0,AS63*Input!$BJ$4)+IF(ISNA(AT63),0,AT63*Input!$BM$4)+IF(ISNA(AU63),0,AU63*Input!$BP$4)+IF(ISNA(AV63),0,AV63*Input!$BS$4)+IF(ISNA(AW63),0,AW63*Input!$BV$4)+IF(ISNA(AX63),0,AX63*Input!$BY$4))-(Y63*Input!$B$4+Z63*Input!$E$4+AA63*Input!$H$4+AB63*Input!$K$4+IF(ISNA(AC63),0,AC63*Input!$N$4)+IF(ISNA(AD63),0,AD63*Input!$Q$4)+IF(ISNA(AE63),0,AE63*Input!$T$4)+IF(ISNA(AF63),0,AF63*Input!$W$4)+IF(ISNA(AG63),0,AG63*Input!$Z$4)+IF(ISNA(AH63),0,AH63*Input!$AC$4)+IF(ISNA(AI63),0,AI63*Input!$AF$4)+IF(ISNA(AJ63),0,AJ63*Input!$AI$4)+IF(ISNA(AK63),0,AK63*Input!$AL$4))</f>
        <v>37455.487493505527</v>
      </c>
      <c r="AZ63" s="42">
        <f t="shared" si="16"/>
        <v>-6.9822240806552207</v>
      </c>
      <c r="BA63" s="1">
        <f t="shared" si="8"/>
        <v>900</v>
      </c>
      <c r="BB63" s="46">
        <f t="shared" si="9"/>
        <v>20000</v>
      </c>
      <c r="BC63" s="1"/>
      <c r="BD63" s="2">
        <f t="shared" si="10"/>
        <v>20000</v>
      </c>
      <c r="BE63" s="46">
        <f t="shared" si="11"/>
        <v>900</v>
      </c>
      <c r="BF63" s="1">
        <f>Results!AJ65</f>
        <v>0</v>
      </c>
      <c r="BG63" s="1">
        <f>Results!AK65</f>
        <v>0</v>
      </c>
      <c r="BH63" s="1">
        <f>Results!AL65</f>
        <v>0</v>
      </c>
      <c r="BI63" s="1">
        <f>Results!AM65</f>
        <v>0</v>
      </c>
      <c r="BJ63" s="1" t="e">
        <f>IF(OR(ISNA('Reaction Information'!$D$5), $N63 = "", $D$27 = FALSE, 'Reaction Information'!$D$5 = ""), NA(), 24.465)</f>
        <v>#N/A</v>
      </c>
      <c r="BK63" s="1" t="e">
        <f>IF(OR(ISNA('Reaction Information'!$D$9), $N63 = "", $D$27 = FALSE, 'Reaction Information'!$D$9 = ""), NA(), 24.465)</f>
        <v>#N/A</v>
      </c>
      <c r="BL63" s="8">
        <f t="shared" si="17"/>
        <v>17.480122768531889</v>
      </c>
      <c r="BM63" s="8">
        <f>IF(OR(ISBLANK(Input!$X$4),$D$27=FALSE),NA(),('Reaction Information'!$J$13/10+'Reaction Information'!$K$13*100/(Calculations!$C$12+Calculations!$M63)+('Reaction Information'!$L$13+'Reaction Information'!$M$13*10^4/(Calculations!$C$12+Calculations!$M63))/(Calculations!$O63-Calculations!$C$13) -calculateOmega(Calculations!$M63,Calculations!$N63,Calculations!$Q63,'Reaction Information'!$C$13,'Reaction Information'!$P$13*10^5,'Reaction Information'!$Q$13)*Calculations!$U63*10^-6 + (1/$S63 - 1)*calculate_domegadP(Calculations!$M63,Calculations!$N63,Calculations!$Q63,'Reaction Information'!$C$13,'Reaction Information'!$P$13*10^5,'Reaction Information'!$Q$13,$D$20,$D$19=3))*41.84)</f>
        <v>32.176107757939711</v>
      </c>
      <c r="BN63" s="8" t="e">
        <f>IF(OR(ISBLANK(Input!$AA$4),$D$27=FALSE),NA(),('Reaction Information'!$J$17/10+'Reaction Information'!$K$17*100/(Calculations!$C$12+Calculations!$M63)+('Reaction Information'!$L$17+'Reaction Information'!$M$17*10000/(Calculations!$C$12+Calculations!$M63))/(Calculations!$O63-Calculations!$C$13)-calculateOmega(Calculations!M63,Calculations!N63,Calculations!Q63,'Reaction Information'!$C$17,'Reaction Information'!$P$17*10^5,'Reaction Information'!$Q$17)*Calculations!$U63*10^-6 + (1/$S63 - 1)*calculate_domegadP(Calculations!M63,Calculations!N63,Calculations!Q63,'Reaction Information'!$C$17,'Reaction Information'!$P$17*10^5,'Reaction Information'!$Q$17,$D$20,$D$19=3))*41.84)</f>
        <v>#N/A</v>
      </c>
      <c r="BO63" s="8" t="e">
        <f>IF(OR(ISBLANK(Input!$AD$4),$D$27=FALSE),NA(),('Reaction Information'!$J$21/10+'Reaction Information'!$K$21*100/(Calculations!$C$12+Calculations!$M63)+('Reaction Information'!$L$21+'Reaction Information'!$M$21*10000/(Calculations!$C$12+Calculations!$M63))/(Calculations!$O63-Calculations!$C$13)-calculateOmega(Calculations!M63,Calculations!N63,Calculations!Q63,'Reaction Information'!$C$21,'Reaction Information'!$P$21*10^5,'Reaction Information'!$Q$21)*Calculations!$U63*10^-6 + (1/$S63 - 1)*calculate_domegadP(Calculations!M63,Calculations!N63,Calculations!Q63,'Reaction Information'!$C$21,'Reaction Information'!$P$21*10^5,'Reaction Information'!$Q$21,$D$20,$D$19=3))*41.84)</f>
        <v>#N/A</v>
      </c>
      <c r="BP63" s="8" t="e">
        <f>IF(OR(ISBLANK(Input!$AG$4),$D$27=FALSE),NA(),('Reaction Information'!$J$25/10+'Reaction Information'!$K$25*100/(Calculations!$C$12+Calculations!$M63)+('Reaction Information'!$L$25+'Reaction Information'!$M$25*10000/(Calculations!$C$12+Calculations!$M63))/(Calculations!$O63-Calculations!$C$13)-calculateOmega(Calculations!M63,Calculations!N63,Calculations!Q63,'Reaction Information'!$C$25,'Reaction Information'!$P$25*10^5,'Reaction Information'!$Q$25)*Calculations!$U63*10^-6 + (1/$S63 - 1)*calculate_domegadP(Calculations!M63,Calculations!N63,Calculations!Q63,'Reaction Information'!$C$25,'Reaction Information'!$P$25*10^5,'Reaction Information'!$Q$25,$D$20,$D$19=3))*41.84)</f>
        <v>#N/A</v>
      </c>
      <c r="BQ63" s="8" t="e">
        <f>IF(OR(ISBLANK(Input!$AJ$4),$D$27=FALSE),NA(),('Reaction Information'!$J$29/10+'Reaction Information'!$K$29*100/(Calculations!$C$12+Calculations!$M63)+('Reaction Information'!$L$29+'Reaction Information'!$M$29*10000/(Calculations!$C$12+Calculations!$M63))/(Calculations!$O63-Calculations!$C$13)-calculateOmega(Calculations!M63,Calculations!N63,Calculations!Q63,'Reaction Information'!$C$29,'Reaction Information'!$P$29*10^5,'Reaction Information'!$Q$29)*Calculations!$U63*10^-6 + (1/$S63 - 1)*calculate_domegadP(Calculations!M63,Calculations!N63,Calculations!Q63,'Reaction Information'!$C$29,'Reaction Information'!$P$29*10^5,'Reaction Information'!$Q$29,$D$20,$D$19=3))*41.84)</f>
        <v>#N/A</v>
      </c>
      <c r="BR63" s="8" t="e">
        <f>IF(OR(ISBLANK(Input!$AM$4),$D$27=FALSE),NA(),('Reaction Information'!$J$33/10+'Reaction Information'!$K$33*100/(Calculations!$C$12+Calculations!$M63)+('Reaction Information'!$L$33+'Reaction Information'!$M$33*10000/(Calculations!$C$12+Calculations!$M63))/(Calculations!$O63-Calculations!$C$13)-calculateOmega(Calculations!M63,Calculations!N63,Calculations!Q63,'Reaction Information'!$C$33,'Reaction Information'!$P$33*10^5,'Reaction Information'!$Q$33)*Calculations!$U63*10^-6 + (1/$S63 - 1)*calculate_domegadP(Calculations!M63,Calculations!N63,Calculations!Q63,'Reaction Information'!$C$33,'Reaction Information'!$P$33*10^5,'Reaction Information'!$Q$33,$D$20,$D$19=3))*41.84)</f>
        <v>#N/A</v>
      </c>
      <c r="BS63" s="1">
        <f>Results!AW65</f>
        <v>0</v>
      </c>
      <c r="BT63" s="1">
        <f>Results!AX65</f>
        <v>0</v>
      </c>
      <c r="BU63" s="1">
        <f>Results!AY65</f>
        <v>0</v>
      </c>
      <c r="BV63" s="1">
        <f>Results!AZ65</f>
        <v>0</v>
      </c>
      <c r="BW63" s="1" t="e">
        <f>IF(OR(ISNA('Reaction Information'!$D$38), $N63 = "", $D$27 = FALSE, 'Reaction Information'!$D$38 = ""), NA(), 24.465)</f>
        <v>#N/A</v>
      </c>
      <c r="BX63" s="1" t="e">
        <f>IF(OR(ISNA('Reaction Information'!$D$42), $N63 = "", $D$27 = FALSE, 'Reaction Information'!$D$42 = ""), NA(), 24.465)</f>
        <v>#N/A</v>
      </c>
      <c r="BY63" s="8" t="e">
        <f t="shared" si="18"/>
        <v>#N/A</v>
      </c>
      <c r="BZ63" s="8">
        <f>IF(OR(ISBLANK(Input!$BK$4),$D$27=FALSE),NA(),('Reaction Information'!$J$46/10+'Reaction Information'!$K$46*100/(Calculations!$C$12+Calculations!$M63)+('Reaction Information'!$L$46+'Reaction Information'!$M$46*10000/(Calculations!$C$12+Calculations!$M63))/(Calculations!$O63-Calculations!$C$13)-calculateOmega(Calculations!M63,Calculations!N63,Calculations!Q63,'Reaction Information'!$C$46,'Reaction Information'!$P$46*10^5,'Reaction Information'!$Q$46)*Calculations!$U63*10^-6 + (1/$S63 - 1)*calculate_domegadP(Calculations!M63,Calculations!N63,Calculations!Q63,'Reaction Information'!$C$46,'Reaction Information'!$P$46*10^5,'Reaction Information'!$Q$46,$D$20,$D$19=3))*41.84)</f>
        <v>0</v>
      </c>
      <c r="CA63" s="8">
        <f>IF(OR(ISBLANK(Input!$BN$4),$D$27=FALSE),NA(),('Reaction Information'!$J$50/10+'Reaction Information'!$K$50*100/(Calculations!$C$12+Calculations!$M63)+('Reaction Information'!$L$50+'Reaction Information'!$M$50*10000/(Calculations!$C$12+Calculations!$M63))/(Calculations!$O63-Calculations!$C$13)-calculateOmega(Calculations!M63,Calculations!N63,Calculations!Q63,'Reaction Information'!$C$50,'Reaction Information'!$P$50*10^5,'Reaction Information'!$Q$50)*Calculations!$U63*10^-6 + (1/$S63 - 1)*calculate_domegadP(Calculations!M63,Calculations!N63,Calculations!Q63,'Reaction Information'!$C$50,'Reaction Information'!$P$50*10^5,'Reaction Information'!$Q$50,$D$20,$D$19=3))*41.84)</f>
        <v>28.10987870302608</v>
      </c>
      <c r="CB63" s="8" t="e">
        <f>IF(OR(ISBLANK(Input!$BQ$4),$D$27=FALSE),NA(),('Reaction Information'!$J$54/10+'Reaction Information'!$K$54*100/(Calculations!$C$12+Calculations!$M63)+('Reaction Information'!$L$54+'Reaction Information'!$M$54*10000/(Calculations!$C$12+Calculations!$M63))/(Calculations!$O63-Calculations!$C$13)-calculateOmega(Calculations!M63,Calculations!N63,Calculations!Q63,'Reaction Information'!$C$54,'Reaction Information'!$P$54*10^5,'Reaction Information'!$Q$54)*Calculations!$U63*10^-6 + (1/$S63 - 1)*calculate_domegadP(Calculations!M63,Calculations!N63,Calculations!Q63,'Reaction Information'!$C$54,'Reaction Information'!$P$54*10^5,'Reaction Information'!$Q$54,$D$20,$D$19=3))*41.84)</f>
        <v>#N/A</v>
      </c>
      <c r="CC63" s="8" t="e">
        <f>IF(OR(ISBLANK(Input!$BT$4),$D$27=FALSE),NA(),('Reaction Information'!$J$58/10+'Reaction Information'!$K$58*100/(Calculations!$C$12+Calculations!$M63)+('Reaction Information'!$L$58+'Reaction Information'!$M$58*10000/(Calculations!$C$12+Calculations!$M63))/(Calculations!$O63-Calculations!$C$13)-calculateOmega(Calculations!M63,Calculations!N63,Calculations!Q63,'Reaction Information'!$C$58,'Reaction Information'!$P$58*10^5,'Reaction Information'!$Q$58)*Calculations!$U63*10^-6 + (1/$S63 - 1)*calculate_domegadP(Calculations!M63,Calculations!N63,Calculations!Q63,'Reaction Information'!$C$58,'Reaction Information'!$P$58*10^5,'Reaction Information'!$Q$58,$D$20,$D$19=3))*41.84)</f>
        <v>#N/A</v>
      </c>
      <c r="CD63" s="8" t="e">
        <f>IF(OR(ISBLANK(Input!$BW$4),$D$27=FALSE),NA(),('Reaction Information'!$J$62/10+'Reaction Information'!$K$62*100/(Calculations!$C$12+Calculations!$M63)+('Reaction Information'!$L$62+'Reaction Information'!$M$62*10000/(Calculations!$C$12+Calculations!$M63))/(Calculations!$O63-Calculations!$C$13)-calculateOmega(Calculations!M63,Calculations!N63,Calculations!Q63,'Reaction Information'!$C$62,'Reaction Information'!$P$62*10^5,'Reaction Information'!$Q$62)*Calculations!$U63*10^-6 + (1/$S63 - 1)*calculate_domegadP(Calculations!M63,Calculations!N63,Calculations!Q63,'Reaction Information'!$C$62,'Reaction Information'!$P$62*10^5,'Reaction Information'!$Q$62,$D$20,$D$19=3))*41.84)</f>
        <v>#N/A</v>
      </c>
      <c r="CE63" s="8" t="e">
        <f>IF(OR(ISBLANK(Input!$BZ$4),$D$27=FALSE),NA(),('Reaction Information'!$J$66/10+'Reaction Information'!$K$66*100/(Calculations!$C$12+Calculations!$M63)+('Reaction Information'!$L$66+'Reaction Information'!$M$66*10000/(Calculations!$C$12+Calculations!$M63))/(Calculations!$O63-Calculations!$C$13)-calculateOmega(Calculations!M63,Calculations!N63,Calculations!Q63,'Reaction Information'!$C$66,'Reaction Information'!$P$66*10^5,'Reaction Information'!$Q$66)*Calculations!$U63*10^-6 + (1/$S63 - 1)*calculate_domegadP(Calculations!M63,Calculations!N63,Calculations!Q63,'Reaction Information'!$C$66,'Reaction Information'!$P$66*10^5,'Reaction Information'!$Q$66,$D$20,$D$19=3))*41.84)</f>
        <v>#N/A</v>
      </c>
      <c r="CF63" s="31">
        <f>(BS63*Input!$AO$4+BT63*Input!$AR$4+BU63*Input!$AU$4+BV63*Input!$AX$4+IF(ISNA(BW63),0,BW63*Input!$BA$4)+IF(ISNA(BX63),0,BX63*Input!$BD$4)+IF(ISNA(BY63),0,BY63*Input!$BG$4)+IF(ISNA(BZ63),0,BZ63*Input!$BJ$4)+IF(ISNA(CA63),0,CA63*Input!$BM$4)+IF(ISNA(CB63),0,CB63*Input!$BP$4)+IF(ISNA(CC63),0,CC63*Input!$BS$4)+IF(ISNA(CD63),0,CD63*Input!$BV$4)+IF(ISNA(CE63),0,CE63*Input!$BY$4))-(BF63*Input!$B$4+BG63*Input!$E$4+BH63*Input!$H$4+BI63*Input!$K$4+IF(ISNA(BJ63),0,BJ63*Input!$N$4)+IF(ISNA(BK63),0,BK63*Input!$Q$4)+IF(ISNA(BL63),0,BL63*Input!$T$4)+IF(ISNA(BM63),0,BM63*Input!$W$4)+IF(ISNA(BN63),0,BN63*Input!$Z$4)+IF(ISNA(BO63),0,BO63*Input!$AC$4)+IF(ISNA(BP63),0,BP63*Input!$AF$4)+IF(ISNA(BQ63),0,BQ63*Input!$AI$4)+IF(ISNA(BR63),0,BR63*Input!$AL$4))</f>
        <v>-21.546351823445523</v>
      </c>
      <c r="CG63" s="1">
        <f t="shared" si="12"/>
        <v>900</v>
      </c>
      <c r="CH63" s="46">
        <f t="shared" si="13"/>
        <v>20000</v>
      </c>
      <c r="CI63" s="1"/>
    </row>
    <row r="64" spans="1:87" x14ac:dyDescent="0.2">
      <c r="A64" s="1"/>
      <c r="E64" s="1"/>
      <c r="F64" s="2">
        <v>59</v>
      </c>
      <c r="G64" s="1" t="str">
        <f>IF(ISBLANK(Input!CB64), "", Input!CB64*1000)</f>
        <v/>
      </c>
      <c r="H64" s="1" t="str">
        <f>IF(ISBLANK(Input!CC64), "", Input!CC64)</f>
        <v/>
      </c>
      <c r="I64" s="1">
        <f>IF(Input!$CF$5 + Input!$CF$6*(FLOOR((Calculations!$F64-1)/(FLOOR((Input!$CF$12-Input!$CF$10)/Input!$CF$11,1)+1),1)) &gt; Input!$CF$7, "", (Input!$CF$5 + Input!$CF$6*(FLOOR((Calculations!$F64-1)/(FLOOR((Input!$CF$12-Input!$CF$10)/Input!$CF$11,1)+1),1)))*1000)</f>
        <v>20000</v>
      </c>
      <c r="J64" s="1">
        <f>IF(Calculations!I64 = "", "", Input!$CF$10 + Input!$CF$11*(Calculations!$F64-1) - (FLOOR((Input!$CF$12-Input!$CF$10)/Input!$CF$11,1)+1)*Input!$CF$11*FLOOR((Calculations!$F64-1)/(FLOOR((Input!$CF$12-Input!$CF$10)/Input!$CF$11,1)+1),1))</f>
        <v>950</v>
      </c>
      <c r="K64" s="8" t="str">
        <f t="shared" si="14"/>
        <v/>
      </c>
      <c r="L64" s="117" t="str">
        <f>IF(OR(Input!$CJ$5 + Input!$CJ$6*(Calculations!F64-1) &gt; Input!$CJ$7, Input!$CJ$5 + Input!$CJ$6*(Calculations!F64-1) &gt; 350), "", Input!$CJ$5 + Input!$CJ$6*(Calculations!F64-1))</f>
        <v/>
      </c>
      <c r="M64" s="1">
        <f t="shared" si="2"/>
        <v>20000</v>
      </c>
      <c r="N64" s="1">
        <f t="shared" si="3"/>
        <v>950</v>
      </c>
      <c r="O64" s="1">
        <f t="shared" si="15"/>
        <v>1223.1500000000001</v>
      </c>
      <c r="P64" s="1" t="e">
        <f>IF(OR($D$20=3,AND($D$21=TRUE,M64&lt;1000)),INDEX('Water Density'!$C$6:$CX$120,MATCH(Calculations!N64,'Water Density'!$B$6:$B$120),MATCH(Calculations!M64/1000,'Water Density'!$C$5:$CX$5)),NA())</f>
        <v>#N/A</v>
      </c>
      <c r="Q64" s="182">
        <f>IF(OR($D$20=3,AND($D$21=TRUE,M64&lt;1000)), IF(P64&lt;&gt;0,P64,NA()), calculateDensity(M64,N64,$D$20,0.01,$D$19 = 3))</f>
        <v>1.0154720917570592</v>
      </c>
      <c r="R64" s="1" t="e">
        <f>IF($D$22=5,INDEX('Dielectric Constant'!$C$6:$CX$120,MATCH(Calculations!N64,'Dielectric Constant'!$B$6:$B$120),MATCH(Calculations!M64/1000,'Dielectric Constant'!$C$5:$CX$5)),NA())</f>
        <v>#N/A</v>
      </c>
      <c r="S64" s="58">
        <f>IF($D$22=5, IF(R64&lt;&gt;0,R64,NA()), IF(AND($D$23,M64&lt;=5000,$D$19 &lt;&gt; 3),calculateEpsilon(Q64,N64,1,FALSE),calculateEpsilon(Q64,N64,$D$22,$D$19 = 3)))</f>
        <v>13.126921841833331</v>
      </c>
      <c r="T64" s="1" t="e">
        <f>IF($D$24=3,INDEX('Water Free Energy'!$C$6:$CX$120,MATCH(Calculations!N64,'Water Free Energy'!$B$6:$B$120),MATCH(Calculations!M64/1000,'Water Free Energy'!$C$5:$CX$5)),NA())</f>
        <v>#N/A</v>
      </c>
      <c r="U64" s="179">
        <f>IF($D$27,calculateQ(M64,N64,Q64,$D$20,$D$22,$D$19=3)*10^6,NA())</f>
        <v>0.81709988864038663</v>
      </c>
      <c r="V64"/>
      <c r="W64" s="2">
        <f t="shared" si="5"/>
        <v>20000</v>
      </c>
      <c r="X64" s="1">
        <f t="shared" si="6"/>
        <v>950</v>
      </c>
      <c r="Y64" s="1">
        <f>Results!F66</f>
        <v>0</v>
      </c>
      <c r="Z64" s="1">
        <f>Results!G66</f>
        <v>0</v>
      </c>
      <c r="AA64" s="1">
        <f>Results!H66</f>
        <v>0</v>
      </c>
      <c r="AB64" s="1">
        <f>Results!I66</f>
        <v>0</v>
      </c>
      <c r="AC64" s="1" t="e">
        <f>IF(ISBLANK(Input!$O$4),NA(),'Reaction Information'!$E$5-'Reaction Information'!$G$5*(Calculations!$O64-Calculations!$C$8)+'Reaction Information'!$I$5*(Calculations!$O64-Calculations!$C$8-Calculations!$O64*LN(Calculations!$O64/Calculations!$C$8))+'Reaction Information'!$J$5*0.001/2*(2*Calculations!$O64*Calculations!$C$8-Calculations!$O64^2-Calculations!$C$8^2) + 'Reaction Information'!$K$5*100000*(Calculations!$O64^2 + Calculations!$C$8^2 - 2*Calculations!$O64*Calculations!$C$8)/(2*Calculations!$O64*Calculations!$C$8^2))</f>
        <v>#N/A</v>
      </c>
      <c r="AD64" s="8" t="e">
        <f>IF(ISBLANK(Input!$R$4),NA(),'Reaction Information'!$E$9-'Reaction Information'!$G$9*(Calculations!$O64-Calculations!$C$8)+'Reaction Information'!$I$9*(Calculations!$O64-Calculations!$C$8-Calculations!$O64*LN(Calculations!$O64/Calculations!$C$8))+'Reaction Information'!$J$9*0.001/2*(2*Calculations!$O64*Calculations!$C$8-Calculations!$O64^2-Calculations!$C$8^2) + 'Reaction Information'!$K$9*100000*(Calculations!$O64^2 + Calculations!$C$8^2 - 2*Calculations!$O64*Calculations!$C$8)/(2*Calculations!$O64*Calculations!$C$8^2))</f>
        <v>#N/A</v>
      </c>
      <c r="AE64" s="8">
        <f>IF(AE$5="H2O",IF($D$24=3,IF(T64=0,NA(),T64),calculateGibbsOfWater(M64,N64,$D$24,$D$20,$D$19=3)),NA())</f>
        <v>-74678.346690812235</v>
      </c>
      <c r="AF64" s="8">
        <f>IF(ISBLANK(Input!$X$4),NA(),'Reaction Information'!$E$13-'Reaction Information'!$G$13*(Calculations!O64-Calculations!$C$8)-'Reaction Information'!$N$13*(Calculations!O64*LN(Calculations!O64/Calculations!$C$8)-Calculations!O64+Calculations!$C$8)-'Reaction Information'!$O$13*10^4*(((1/(Calculations!O64-Calculations!$C$13))-(1/(Calculations!$C$8-Calculations!$C$13)))*((Calculations!$C$13-Calculations!O64)/(Calculations!$C$13))-(Calculations!O64/(Calculations!$C$13*Calculations!$C$13))*LN((Calculations!$C$8*(Calculations!O64-Calculations!$C$13))/(Calculations!O64*(Calculations!$C$8-Calculations!$C$13))))+'Reaction Information'!$J$13*10^-1*(Calculations!M64-Calculations!$C$9)+'Reaction Information'!$K$13*10^2*LN((Calculations!$C$12+Calculations!M64)/(Calculations!$C$12+Calculations!$C$9))+(1/(Calculations!O64-Calculations!$C$13))*('Reaction Information'!$L$13*(Calculations!M64-Calculations!$C$9)+'Reaction Information'!$M$13*10^4*LN((Calculations!$C$12+Calculations!M64)/(Calculations!$C$12+Calculations!$C$9)))+calculateOmega(Calculations!M64,Calculations!N64,Calculations!Q64,'Reaction Information'!$C$13,'Reaction Information'!$P$13*10^5,'Reaction Information'!$Q$13)*((1/Calculations!S64)-1)-'Reaction Information'!$P$13*10^5*((1/Calculations!$C$10)-1)+'Reaction Information'!$P$13*10^5*Calculations!$C$14*(Calculations!O64-Calculations!$C$8))</f>
        <v>-118762.33880042871</v>
      </c>
      <c r="AG64" s="8" t="e">
        <f>IF(ISBLANK(Input!$AA$4),NA(),'Reaction Information'!$E$17-'Reaction Information'!$G$17*(Calculations!$O64-Calculations!$C$8)-'Reaction Information'!$N$17*(Calculations!$O64*LN(Calculations!$O64/Calculations!$C$8)-Calculations!$O64+Calculations!$C$8)-'Reaction Information'!$O$17*10^4*(((1/(Calculations!$O64-Calculations!$C$13))-(1/(Calculations!$C$8-Calculations!$C$13)))*((Calculations!$C$13-Calculations!$O64)/(Calculations!$C$13))-(Calculations!$O64/(Calculations!$C$13*Calculations!$C$13))*LN((Calculations!$C$8*(Calculations!$O64-Calculations!$C$13))/(Calculations!$O64*(Calculations!$C$8-Calculations!$C$13))))+'Reaction Information'!$J$17*10^-1*(Calculations!$M64-Calculations!$C$9)+'Reaction Information'!$K$17*10^2*LN((Calculations!$C$12+Calculations!$M64)/(Calculations!$C$12+Calculations!$C$9))+(1/(Calculations!$O64-Calculations!$C$13))*('Reaction Information'!$L$17*(Calculations!$M64-Calculations!$C$9)+'Reaction Information'!$M$17*10^4*LN((Calculations!$C$12+Calculations!$M64)/(Calculations!$C$12+Calculations!$C$9)))+calculateOmega(Calculations!M64,Calculations!N64,Calculations!Q64,'Reaction Information'!$C$17,'Reaction Information'!$P$17*10^5,'Reaction Information'!$Q$17)*((1/Calculations!$S64)-1)-'Reaction Information'!$P$17*10^5*((1/Calculations!$C$10)-1)+'Reaction Information'!$P$17*10^5*Calculations!$C$14*(Calculations!$O64-Calculations!$C$8))</f>
        <v>#N/A</v>
      </c>
      <c r="AH64" s="8" t="e">
        <f>IF(ISBLANK(Input!$AD$4),NA(),'Reaction Information'!$E$21-'Reaction Information'!$G$21*(Calculations!$O64-Calculations!$C$8)-'Reaction Information'!$N$21*(Calculations!$O64*LN(Calculations!$O64/Calculations!$C$8)-Calculations!$O64+Calculations!$C$8)-'Reaction Information'!$O$21*10^4*(((1/(Calculations!$O64-Calculations!$C$13))-(1/(Calculations!$C$8-Calculations!$C$13)))*((Calculations!$C$13-Calculations!$O64)/(Calculations!$C$13))-(Calculations!$O64/(Calculations!$C$13*Calculations!$C$13))*LN((Calculations!$C$8*(Calculations!$O64-Calculations!$C$13))/(Calculations!$O64*(Calculations!$C$8-Calculations!$C$13))))+'Reaction Information'!$J$21*10^-1*(Calculations!$M64-Calculations!$C$9)+'Reaction Information'!$K$21*10^2*LN((Calculations!$C$12+Calculations!$M64)/(Calculations!$C$12+Calculations!$C$9))+(1/(Calculations!$O64-Calculations!$C$13))*('Reaction Information'!$L$21*(Calculations!$M64-Calculations!$C$9)+'Reaction Information'!$M$21*10^4*LN((Calculations!$C$12+Calculations!$M64)/(Calculations!$C$12+Calculations!$C$9)))+calculateOmega(Calculations!M64,Calculations!N64,Calculations!Q64,'Reaction Information'!$C$21,'Reaction Information'!$P$21*10^5,'Reaction Information'!$Q$21)*((1/Calculations!$S64)-1)-'Reaction Information'!$P$21*10^5*((1/Calculations!$C$10)-1)+'Reaction Information'!$P$21*10^5*Calculations!$C$14*(Calculations!$O64-Calculations!$C$8))</f>
        <v>#N/A</v>
      </c>
      <c r="AI64" s="8" t="e">
        <f>IF(ISBLANK(Input!$AG$4),NA(),'Reaction Information'!$E$25-'Reaction Information'!$G$25*(Calculations!$O64-Calculations!$C$8)-'Reaction Information'!$N$25*(Calculations!$O64*LN(Calculations!$O64/Calculations!$C$8)-Calculations!$O64+Calculations!$C$8)-'Reaction Information'!$O$25*10^4*(((1/(Calculations!$O64-Calculations!$C$13))-(1/(Calculations!$C$8-Calculations!$C$13)))*((Calculations!$C$13-Calculations!$O64)/(Calculations!$C$13))-(Calculations!$O64/(Calculations!$C$13*Calculations!$C$13))*LN((Calculations!$C$8*(Calculations!$O64-Calculations!$C$13))/(Calculations!$O64*(Calculations!$C$8-Calculations!$C$13))))+'Reaction Information'!$J$25*10^-1*(Calculations!$M64-Calculations!$C$9)+'Reaction Information'!$K$25*10^2*LN((Calculations!$C$12+Calculations!$M64)/(Calculations!$C$12+Calculations!$C$9))+(1/(Calculations!$O64-Calculations!$C$13))*('Reaction Information'!$L$25*(Calculations!$M64-Calculations!$C$9)+'Reaction Information'!$M$25*10^4*LN((Calculations!$C$12+Calculations!$M64)/(Calculations!$C$12+Calculations!$C$9)))+calculateOmega(Calculations!M64,Calculations!N64,Calculations!Q64,'Reaction Information'!$C$25,'Reaction Information'!$P$25*10^5,'Reaction Information'!$Q$25)*((1/Calculations!$S64)-1)-'Reaction Information'!$P$25*10^5*((1/Calculations!$C$10)-1)+'Reaction Information'!$P$25*10^5*Calculations!$C$14*(Calculations!$O64-Calculations!$C$8))</f>
        <v>#N/A</v>
      </c>
      <c r="AJ64" s="8" t="e">
        <f>IF(ISBLANK(Input!$AJ$4),NA(),'Reaction Information'!$E$29-'Reaction Information'!$G$29*(Calculations!$O64-Calculations!$C$8)-'Reaction Information'!$N$29*(Calculations!$O64*LN(Calculations!$O64/Calculations!$C$8)-Calculations!$O64+Calculations!$C$8)-'Reaction Information'!$O$29*10^4*(((1/(Calculations!$O64-Calculations!$C$13))-(1/(Calculations!$C$8-Calculations!$C$13)))*((Calculations!$C$13-Calculations!$O64)/(Calculations!$C$13))-(Calculations!$O64/(Calculations!$C$13*Calculations!$C$13))*LN((Calculations!$C$8*(Calculations!$O64-Calculations!$C$13))/(Calculations!$O64*(Calculations!$C$8-Calculations!$C$13))))+'Reaction Information'!$J$29*10^-1*(Calculations!$M64-Calculations!$C$9)+'Reaction Information'!$K$29*10^2*LN((Calculations!$C$12+Calculations!$M64)/(Calculations!$C$12+Calculations!$C$9))+(1/(Calculations!$O64-Calculations!$C$13))*('Reaction Information'!$L$29*(Calculations!$M64-Calculations!$C$9)+'Reaction Information'!$M$29*10^4*LN((Calculations!$C$12+Calculations!$M64)/(Calculations!$C$12+Calculations!$C$9)))+calculateOmega(Calculations!M64,Calculations!N64,Calculations!Q64,'Reaction Information'!$C$29,'Reaction Information'!$P$29*10^5,'Reaction Information'!$Q$29)*((1/Calculations!$S64)-1)-'Reaction Information'!$P$29*10^5*((1/Calculations!$C$10)-1)+'Reaction Information'!$P$29*10^5*Calculations!$C$14*(Calculations!$O64-Calculations!$C$8))</f>
        <v>#N/A</v>
      </c>
      <c r="AK64" s="8" t="e">
        <f>IF(ISBLANK(Input!$AM$4),NA(),'Reaction Information'!$E$33-'Reaction Information'!$G$33*(Calculations!$O64-Calculations!$C$8)-'Reaction Information'!$N$33*(Calculations!$O64*LN(Calculations!$O64/Calculations!$C$8)-Calculations!$O64+Calculations!$C$8)-'Reaction Information'!$O$33*10^4*(((1/(Calculations!$O64-Calculations!$C$13))-(1/(Calculations!$C$8-Calculations!$C$13)))*((Calculations!$C$13-Calculations!$O64)/(Calculations!$C$13))-(Calculations!$O64/(Calculations!$C$13*Calculations!$C$13))*LN((Calculations!$C$8*(Calculations!$O64-Calculations!$C$13))/(Calculations!$O64*(Calculations!$C$8-Calculations!$C$13))))+'Reaction Information'!$J$33*10^-1*(Calculations!$M64-Calculations!$C$9)+'Reaction Information'!$K$33*10^2*LN((Calculations!$C$12+Calculations!$M64)/(Calculations!$C$12+Calculations!$C$9))+(1/(Calculations!$O64-Calculations!$C$13))*('Reaction Information'!$L$33*(Calculations!$M64-Calculations!$C$9)+'Reaction Information'!$M$33*10^4*LN((Calculations!$C$12+Calculations!$M64)/(Calculations!$C$12+Calculations!$C$9)))+calculateOmega(Calculations!M64,Calculations!N64,Calculations!Q64,'Reaction Information'!$C$33,'Reaction Information'!$P$33*10^5,'Reaction Information'!$Q$33)*((1/Calculations!$S64)-1)-'Reaction Information'!$P$33*10^5*((1/Calculations!$C$10)-1)+'Reaction Information'!$P$33*10^5*Calculations!$C$14*(Calculations!$O64-Calculations!$C$8))</f>
        <v>#N/A</v>
      </c>
      <c r="AL64" s="1">
        <f>Results!S66</f>
        <v>0</v>
      </c>
      <c r="AM64" s="1">
        <f>Results!T66</f>
        <v>0</v>
      </c>
      <c r="AN64" s="1">
        <f>Results!U66</f>
        <v>0</v>
      </c>
      <c r="AO64" s="1">
        <f>Results!V66</f>
        <v>0</v>
      </c>
      <c r="AP64" s="8" t="e">
        <f>IF(ISBLANK(Input!$BB$4),NA(),'Reaction Information'!$E$38-'Reaction Information'!$G$38*(Calculations!$O64-Calculations!$C$8)+'Reaction Information'!$I$38*(Calculations!$O64-Calculations!$C$8-Calculations!$O64*LN(Calculations!$O64/Calculations!$C$8))+'Reaction Information'!$J$38*0.001/2*(2*Calculations!$O64*Calculations!$C$8-Calculations!$O64^2-Calculations!$C$8^2) + 'Reaction Information'!$K$38*100000*(Calculations!$O64^2 + Calculations!$C$8^2 - 2*Calculations!$O64*Calculations!$C$8)/(2*Calculations!$O64*Calculations!$C$8^2))</f>
        <v>#N/A</v>
      </c>
      <c r="AQ64" s="8" t="e">
        <f>IF(ISBLANK(Input!$BE$4),NA(),'Reaction Information'!$E$42-'Reaction Information'!$G$42*(Calculations!$O64-Calculations!$C$8)+'Reaction Information'!$I$42*(Calculations!$O64-Calculations!$C$8-Calculations!$O64*LN(Calculations!$O64/Calculations!$C$8))+'Reaction Information'!$J$42*0.001/2*(2*Calculations!$O64*Calculations!$C$8-Calculations!$O64^2-Calculations!$C$8^2) + 'Reaction Information'!$K$42*100000*(Calculations!$O64^2 + Calculations!$C$8^2 - 2*Calculations!$O64*Calculations!$C$8)/(2*Calculations!$O64*Calculations!$C$8^2))</f>
        <v>#N/A</v>
      </c>
      <c r="AR64" s="8" t="e">
        <f>IF(AR$5="H2O", IF($D$24=3,IF(T64=0,NA(),T64),calculateGibbsOfWater(M64,N64,$D$24,$D$20,$D$19=3)),NA())</f>
        <v>#N/A</v>
      </c>
      <c r="AS64" s="8">
        <f>IF(ISBLANK(Input!$BK$4),NA(),'Reaction Information'!$E$46-'Reaction Information'!$G$46*(Calculations!O64-Calculations!$C$8)-'Reaction Information'!$N$46*(Calculations!O64*LN(Calculations!O64/Calculations!$C$8)-Calculations!O64+Calculations!$C$8)-'Reaction Information'!$O$46*10^4*(((1/(Calculations!O64-Calculations!$C$13))-(1/(Calculations!$C$8-Calculations!$C$13)))*((Calculations!$C$13-Calculations!O64)/(Calculations!$C$13))-(Calculations!O64/(Calculations!$C$13*Calculations!$C$13))*LN((Calculations!$C$8*(Calculations!O64-Calculations!$C$13))/(Calculations!O64*(Calculations!$C$8-Calculations!$C$13))))+'Reaction Information'!$J$46*10^-1*(Calculations!$M64-Calculations!$C$9)+'Reaction Information'!$K$46*10^2*LN((Calculations!$C$12+Calculations!$M64)/(Calculations!$C$12+Calculations!$C$9))+(1/(Calculations!O64-Calculations!$C$13))*('Reaction Information'!$L$46*(Calculations!$M64-Calculations!$C$9)+'Reaction Information'!$M$46*10^4*LN((Calculations!$C$12+Calculations!$M64)/(Calculations!$C$12+Calculations!$C$9)))+calculateOmega(Calculations!M64,Calculations!N64,Calculations!Q64,'Reaction Information'!$C$46,'Reaction Information'!$P$46*10^5,'Reaction Information'!$Q$46)*((1/Calculations!S64)-1)-'Reaction Information'!$P$46*10^5*((1/Calculations!$C$10)-1)+'Reaction Information'!$P$46*10^5*Calculations!$C$14*(Calculations!O64-Calculations!$C$8))</f>
        <v>0</v>
      </c>
      <c r="AT64" s="8">
        <f>IF(ISBLANK(Input!$BN$4),NA(),'Reaction Information'!$E$50-'Reaction Information'!$G$50*(Calculations!O64-Calculations!$C$8)-'Reaction Information'!$N$50*(Calculations!O64*LN(Calculations!O64/Calculations!$C$8)-Calculations!O64+Calculations!$C$8)-'Reaction Information'!$O$50*10^4*(((1/(Calculations!O64-Calculations!$C$13))-(1/(Calculations!$C$8-Calculations!$C$13)))*((Calculations!$C$13-Calculations!O64)/(Calculations!$C$13))-(Calculations!O64/(Calculations!$C$13*Calculations!$C$13))*LN((Calculations!$C$8*(Calculations!O64-Calculations!$C$13))/(Calculations!O64*(Calculations!$C$8-Calculations!$C$13))))+'Reaction Information'!$J$50*10^-1*(Calculations!$M64-Calculations!$C$9)+'Reaction Information'!$K$50*10^2*LN((Calculations!$C$12+Calculations!$M64)/(Calculations!$C$12+Calculations!$C$9))+(1/(Calculations!O64-Calculations!$C$13))*('Reaction Information'!$L$50*(Calculations!$M64-Calculations!$C$9)+'Reaction Information'!$M$50*10^4*LN((Calculations!$C$12+Calculations!$M64)/(Calculations!$C$12+Calculations!$C$9)))+calculateOmega(Calculations!M64,Calculations!N64,Calculations!Q64,'Reaction Information'!$C$50,'Reaction Information'!$P$50*10^5,'Reaction Information'!$Q$50)*((1/Calculations!S64)-1)-'Reaction Information'!$P$50*10^5*((1/Calculations!$C$10)-1)+'Reaction Information'!$P$50*10^5*Calculations!$C$14*(Calculations!O64-Calculations!$C$8))</f>
        <v>-153079.778604536</v>
      </c>
      <c r="AU64" s="8" t="e">
        <f>IF(ISBLANK(Input!$BQ$4),NA(),'Reaction Information'!$E$54-'Reaction Information'!$G$54*(Calculations!$O64-Calculations!$C$8)-'Reaction Information'!$N$54*(Calculations!$O64*LN(Calculations!$O64/Calculations!$C$8)-Calculations!$O64+Calculations!$C$8)-'Reaction Information'!$O$54*10^4*(((1/(Calculations!$O64-Calculations!$C$13))-(1/(Calculations!$C$8-Calculations!$C$13)))*((Calculations!$C$13-Calculations!$O64)/(Calculations!$C$13))-(Calculations!$O64/(Calculations!$C$13*Calculations!$C$13))*LN((Calculations!$C$8*(Calculations!$O64-Calculations!$C$13))/(Calculations!$O64*(Calculations!$C$8-Calculations!$C$13))))+'Reaction Information'!$J$54*10^-1*(Calculations!$M64-Calculations!$C$9)+'Reaction Information'!$K$54*10^2*LN((Calculations!$C$12+Calculations!$M64)/(Calculations!$C$12+Calculations!$C$9))+(1/(Calculations!$O64-Calculations!$C$13))*('Reaction Information'!$L$54*(Calculations!$M64-Calculations!$C$9)+'Reaction Information'!$M$54*10^4*LN((Calculations!$C$12+Calculations!$M64)/(Calculations!$C$12+Calculations!$C$9)))+calculateOmega(Calculations!M64,Calculations!N64,Calculations!Q64,'Reaction Information'!$C$54,'Reaction Information'!$P$54*10^5,'Reaction Information'!$Q$54)*((1/Calculations!$S64)-1)-'Reaction Information'!$P$54*10^5*((1/Calculations!$C$10)-1)+'Reaction Information'!$P$54*10^5*Calculations!$C$14*(Calculations!$O64-Calculations!$C$8))</f>
        <v>#N/A</v>
      </c>
      <c r="AV64" s="8" t="e">
        <f>IF(ISBLANK(Input!$BT$4),NA(),'Reaction Information'!$E$58-'Reaction Information'!$G$58*(Calculations!$O64-Calculations!$C$8)-'Reaction Information'!$N$58*(Calculations!$O64*LN(Calculations!$O64/Calculations!$C$8)-Calculations!$O64+Calculations!$C$8)-'Reaction Information'!$O$58*10^4*(((1/(Calculations!$O64-Calculations!$C$13))-(1/(Calculations!$C$8-Calculations!$C$13)))*((Calculations!$C$13-Calculations!$O64)/(Calculations!$C$13))-(Calculations!$O64/(Calculations!$C$13*Calculations!$C$13))*LN((Calculations!$C$8*(Calculations!$O64-Calculations!$C$13))/(Calculations!$O64*(Calculations!$C$8-Calculations!$C$13))))+'Reaction Information'!$J$58*10^-1*(Calculations!$M64-Calculations!$C$9)+'Reaction Information'!$K$58*10^2*LN((Calculations!$C$12+Calculations!$M64)/(Calculations!$C$12+Calculations!$C$9))+(1/(Calculations!$O64-Calculations!$C$13))*('Reaction Information'!$L$58*(Calculations!$M64-Calculations!$C$9)+'Reaction Information'!$M$58*10^4*LN((Calculations!$C$12+Calculations!$M64)/(Calculations!$C$12+Calculations!$C$9)))+calculateOmega(Calculations!M64,Calculations!N64,Calculations!Q64,'Reaction Information'!$C$58,'Reaction Information'!$P$58*10^5,'Reaction Information'!$Q$58)*((1/Calculations!$S64)-1)-'Reaction Information'!$P$58*10^5*((1/Calculations!$C$10)-1)+'Reaction Information'!$P$58*10^5*Calculations!$C$14*(Calculations!$O64-Calculations!$C$8))</f>
        <v>#N/A</v>
      </c>
      <c r="AW64" s="8" t="e">
        <f>IF(ISBLANK(Input!$BW$4),NA(),'Reaction Information'!$E$62-'Reaction Information'!$G$62*(Calculations!$O64-Calculations!$C$8)-'Reaction Information'!$N$62*(Calculations!$O64*LN(Calculations!$O64/Calculations!$C$8)-Calculations!$O64+Calculations!$C$8)-'Reaction Information'!$O$62*10^4*(((1/(Calculations!$O64-Calculations!$C$13))-(1/(Calculations!$C$8-Calculations!$C$13)))*((Calculations!$C$13-Calculations!$O64)/(Calculations!$C$13))-(Calculations!$O64/(Calculations!$C$13*Calculations!$C$13))*LN((Calculations!$C$8*(Calculations!$O64-Calculations!$C$13))/(Calculations!$O64*(Calculations!$C$8-Calculations!$C$13))))+'Reaction Information'!$J$62*10^-1*(Calculations!$M64-Calculations!$C$9)+'Reaction Information'!$K$62*10^2*LN((Calculations!$C$12+Calculations!$M64)/(Calculations!$C$12+Calculations!$C$9))+(1/(Calculations!$O64-Calculations!$C$13))*('Reaction Information'!$L$62*(Calculations!$M64-Calculations!$C$9)+'Reaction Information'!$M$62*10^4*LN((Calculations!$C$12+Calculations!$M64)/(Calculations!$C$12+Calculations!$C$9)))+calculateOmega(Calculations!M64,Calculations!N64,Calculations!Q64,'Reaction Information'!$C$62,'Reaction Information'!$P$62*10^5,'Reaction Information'!$Q$62)*((1/Calculations!$S64)-1)-'Reaction Information'!$P$62*10^5*((1/Calculations!$C$10)-1)+'Reaction Information'!$P$62*10^5*Calculations!$C$14*(Calculations!$O64-Calculations!$C$8))</f>
        <v>#N/A</v>
      </c>
      <c r="AX64" s="8" t="e">
        <f>IF(ISBLANK(Input!$BZ$4),NA(),'Reaction Information'!$E$66-'Reaction Information'!$G$66*(Calculations!$O64-Calculations!$C$8)-'Reaction Information'!$N$66*(Calculations!$O64*LN(Calculations!$O64/Calculations!$C$8)-Calculations!$O64+Calculations!$C$8)-'Reaction Information'!$O$66*10^4*(((1/(Calculations!$O64-Calculations!$C$13))-(1/(Calculations!$C$8-Calculations!$C$13)))*((Calculations!$C$13-Calculations!$O64)/(Calculations!$C$13))-(Calculations!$O64/(Calculations!$C$13*Calculations!$C$13))*LN((Calculations!$C$8*(Calculations!$O64-Calculations!$C$13))/(Calculations!$O64*(Calculations!$C$8-Calculations!$C$13))))+'Reaction Information'!$J$66*10^-1*(Calculations!$M64-Calculations!$C$9)+'Reaction Information'!$K$66*10^2*LN((Calculations!$C$12+Calculations!$M64)/(Calculations!$C$12+Calculations!$C$9))+(1/(Calculations!$O64-Calculations!$C$13))*('Reaction Information'!$L$66*(Calculations!$M64-Calculations!$C$9)+'Reaction Information'!$M$66*10^4*LN((Calculations!$C$12+Calculations!$M64)/(Calculations!$C$12+Calculations!$C$9)))+calculateOmega(Calculations!M64,Calculations!N64,Calculations!Q64,'Reaction Information'!$C$66,'Reaction Information'!$P$66*10^5,'Reaction Information'!$Q$66)*((1/Calculations!$S64)-1)-'Reaction Information'!$P$66*10^5*((1/Calculations!$C$10)-1)+'Reaction Information'!$P$66*10^5*Calculations!$C$14*(Calculations!$O64-Calculations!$C$8))</f>
        <v>#N/A</v>
      </c>
      <c r="AY64" s="31">
        <f>(AL64*Input!$AO$4+AM64*Input!$AR$4+AN64*Input!$AU$4+AO64*Input!$AX$4+IF(ISNA(AP64),0,AP64*Input!$BA$4)+IF(ISNA(AQ64),0,AQ64*Input!$BD$4)+IF(ISNA(AR64),0,AR64*Input!$BG$4)+IF(ISNA(AS64),0,AS64*Input!$BJ$4)+IF(ISNA(AT64),0,AT64*Input!$BM$4)+IF(ISNA(AU64),0,AU64*Input!$BP$4)+IF(ISNA(AV64),0,AV64*Input!$BS$4)+IF(ISNA(AW64),0,AW64*Input!$BV$4)+IF(ISNA(AX64),0,AX64*Input!$BY$4))-(Y64*Input!$B$4+Z64*Input!$E$4+AA64*Input!$H$4+AB64*Input!$K$4+IF(ISNA(AC64),0,AC64*Input!$N$4)+IF(ISNA(AD64),0,AD64*Input!$Q$4)+IF(ISNA(AE64),0,AE64*Input!$T$4)+IF(ISNA(AF64),0,AF64*Input!$W$4)+IF(ISNA(AG64),0,AG64*Input!$Z$4)+IF(ISNA(AH64),0,AH64*Input!$AC$4)+IF(ISNA(AI64),0,AI64*Input!$AF$4)+IF(ISNA(AJ64),0,AJ64*Input!$AI$4)+IF(ISNA(AK64),0,AK64*Input!$AL$4))</f>
        <v>40360.906886704935</v>
      </c>
      <c r="AZ64" s="42">
        <f t="shared" si="16"/>
        <v>-7.2162749145888601</v>
      </c>
      <c r="BA64" s="1">
        <f t="shared" si="8"/>
        <v>950</v>
      </c>
      <c r="BB64" s="46">
        <f t="shared" si="9"/>
        <v>20000</v>
      </c>
      <c r="BC64" s="1"/>
      <c r="BD64" s="2">
        <f t="shared" si="10"/>
        <v>20000</v>
      </c>
      <c r="BE64" s="46">
        <f t="shared" si="11"/>
        <v>950</v>
      </c>
      <c r="BF64" s="1">
        <f>Results!AJ66</f>
        <v>0</v>
      </c>
      <c r="BG64" s="1">
        <f>Results!AK66</f>
        <v>0</v>
      </c>
      <c r="BH64" s="1">
        <f>Results!AL66</f>
        <v>0</v>
      </c>
      <c r="BI64" s="1">
        <f>Results!AM66</f>
        <v>0</v>
      </c>
      <c r="BJ64" s="1" t="e">
        <f>IF(OR(ISNA('Reaction Information'!$D$5), $N64 = "", $D$27 = FALSE, 'Reaction Information'!$D$5 = ""), NA(), 24.465)</f>
        <v>#N/A</v>
      </c>
      <c r="BK64" s="1" t="e">
        <f>IF(OR(ISNA('Reaction Information'!$D$9), $N64 = "", $D$27 = FALSE, 'Reaction Information'!$D$9 = ""), NA(), 24.465)</f>
        <v>#N/A</v>
      </c>
      <c r="BL64" s="8">
        <f t="shared" si="17"/>
        <v>17.740792825559961</v>
      </c>
      <c r="BM64" s="8">
        <f>IF(OR(ISBLANK(Input!$X$4),$D$27=FALSE),NA(),('Reaction Information'!$J$13/10+'Reaction Information'!$K$13*100/(Calculations!$C$12+Calculations!$M64)+('Reaction Information'!$L$13+'Reaction Information'!$M$13*10^4/(Calculations!$C$12+Calculations!$M64))/(Calculations!$O64-Calculations!$C$13) -calculateOmega(Calculations!$M64,Calculations!$N64,Calculations!$Q64,'Reaction Information'!$C$13,'Reaction Information'!$P$13*10^5,'Reaction Information'!$Q$13)*Calculations!$U64*10^-6 + (1/$S64 - 1)*calculate_domegadP(Calculations!$M64,Calculations!$N64,Calculations!$Q64,'Reaction Information'!$C$13,'Reaction Information'!$P$13*10^5,'Reaction Information'!$Q$13,$D$20,$D$19=3))*41.84)</f>
        <v>32.369661154268968</v>
      </c>
      <c r="BN64" s="8" t="e">
        <f>IF(OR(ISBLANK(Input!$AA$4),$D$27=FALSE),NA(),('Reaction Information'!$J$17/10+'Reaction Information'!$K$17*100/(Calculations!$C$12+Calculations!$M64)+('Reaction Information'!$L$17+'Reaction Information'!$M$17*10000/(Calculations!$C$12+Calculations!$M64))/(Calculations!$O64-Calculations!$C$13)-calculateOmega(Calculations!M64,Calculations!N64,Calculations!Q64,'Reaction Information'!$C$17,'Reaction Information'!$P$17*10^5,'Reaction Information'!$Q$17)*Calculations!$U64*10^-6 + (1/$S64 - 1)*calculate_domegadP(Calculations!M64,Calculations!N64,Calculations!Q64,'Reaction Information'!$C$17,'Reaction Information'!$P$17*10^5,'Reaction Information'!$Q$17,$D$20,$D$19=3))*41.84)</f>
        <v>#N/A</v>
      </c>
      <c r="BO64" s="8" t="e">
        <f>IF(OR(ISBLANK(Input!$AD$4),$D$27=FALSE),NA(),('Reaction Information'!$J$21/10+'Reaction Information'!$K$21*100/(Calculations!$C$12+Calculations!$M64)+('Reaction Information'!$L$21+'Reaction Information'!$M$21*10000/(Calculations!$C$12+Calculations!$M64))/(Calculations!$O64-Calculations!$C$13)-calculateOmega(Calculations!M64,Calculations!N64,Calculations!Q64,'Reaction Information'!$C$21,'Reaction Information'!$P$21*10^5,'Reaction Information'!$Q$21)*Calculations!$U64*10^-6 + (1/$S64 - 1)*calculate_domegadP(Calculations!M64,Calculations!N64,Calculations!Q64,'Reaction Information'!$C$21,'Reaction Information'!$P$21*10^5,'Reaction Information'!$Q$21,$D$20,$D$19=3))*41.84)</f>
        <v>#N/A</v>
      </c>
      <c r="BP64" s="8" t="e">
        <f>IF(OR(ISBLANK(Input!$AG$4),$D$27=FALSE),NA(),('Reaction Information'!$J$25/10+'Reaction Information'!$K$25*100/(Calculations!$C$12+Calculations!$M64)+('Reaction Information'!$L$25+'Reaction Information'!$M$25*10000/(Calculations!$C$12+Calculations!$M64))/(Calculations!$O64-Calculations!$C$13)-calculateOmega(Calculations!M64,Calculations!N64,Calculations!Q64,'Reaction Information'!$C$25,'Reaction Information'!$P$25*10^5,'Reaction Information'!$Q$25)*Calculations!$U64*10^-6 + (1/$S64 - 1)*calculate_domegadP(Calculations!M64,Calculations!N64,Calculations!Q64,'Reaction Information'!$C$25,'Reaction Information'!$P$25*10^5,'Reaction Information'!$Q$25,$D$20,$D$19=3))*41.84)</f>
        <v>#N/A</v>
      </c>
      <c r="BQ64" s="8" t="e">
        <f>IF(OR(ISBLANK(Input!$AJ$4),$D$27=FALSE),NA(),('Reaction Information'!$J$29/10+'Reaction Information'!$K$29*100/(Calculations!$C$12+Calculations!$M64)+('Reaction Information'!$L$29+'Reaction Information'!$M$29*10000/(Calculations!$C$12+Calculations!$M64))/(Calculations!$O64-Calculations!$C$13)-calculateOmega(Calculations!M64,Calculations!N64,Calculations!Q64,'Reaction Information'!$C$29,'Reaction Information'!$P$29*10^5,'Reaction Information'!$Q$29)*Calculations!$U64*10^-6 + (1/$S64 - 1)*calculate_domegadP(Calculations!M64,Calculations!N64,Calculations!Q64,'Reaction Information'!$C$29,'Reaction Information'!$P$29*10^5,'Reaction Information'!$Q$29,$D$20,$D$19=3))*41.84)</f>
        <v>#N/A</v>
      </c>
      <c r="BR64" s="8" t="e">
        <f>IF(OR(ISBLANK(Input!$AM$4),$D$27=FALSE),NA(),('Reaction Information'!$J$33/10+'Reaction Information'!$K$33*100/(Calculations!$C$12+Calculations!$M64)+('Reaction Information'!$L$33+'Reaction Information'!$M$33*10000/(Calculations!$C$12+Calculations!$M64))/(Calculations!$O64-Calculations!$C$13)-calculateOmega(Calculations!M64,Calculations!N64,Calculations!Q64,'Reaction Information'!$C$33,'Reaction Information'!$P$33*10^5,'Reaction Information'!$Q$33)*Calculations!$U64*10^-6 + (1/$S64 - 1)*calculate_domegadP(Calculations!M64,Calculations!N64,Calculations!Q64,'Reaction Information'!$C$33,'Reaction Information'!$P$33*10^5,'Reaction Information'!$Q$33,$D$20,$D$19=3))*41.84)</f>
        <v>#N/A</v>
      </c>
      <c r="BS64" s="1">
        <f>Results!AW66</f>
        <v>0</v>
      </c>
      <c r="BT64" s="1">
        <f>Results!AX66</f>
        <v>0</v>
      </c>
      <c r="BU64" s="1">
        <f>Results!AY66</f>
        <v>0</v>
      </c>
      <c r="BV64" s="1">
        <f>Results!AZ66</f>
        <v>0</v>
      </c>
      <c r="BW64" s="1" t="e">
        <f>IF(OR(ISNA('Reaction Information'!$D$38), $N64 = "", $D$27 = FALSE, 'Reaction Information'!$D$38 = ""), NA(), 24.465)</f>
        <v>#N/A</v>
      </c>
      <c r="BX64" s="1" t="e">
        <f>IF(OR(ISNA('Reaction Information'!$D$42), $N64 = "", $D$27 = FALSE, 'Reaction Information'!$D$42 = ""), NA(), 24.465)</f>
        <v>#N/A</v>
      </c>
      <c r="BY64" s="8" t="e">
        <f t="shared" si="18"/>
        <v>#N/A</v>
      </c>
      <c r="BZ64" s="8">
        <f>IF(OR(ISBLANK(Input!$BK$4),$D$27=FALSE),NA(),('Reaction Information'!$J$46/10+'Reaction Information'!$K$46*100/(Calculations!$C$12+Calculations!$M64)+('Reaction Information'!$L$46+'Reaction Information'!$M$46*10000/(Calculations!$C$12+Calculations!$M64))/(Calculations!$O64-Calculations!$C$13)-calculateOmega(Calculations!M64,Calculations!N64,Calculations!Q64,'Reaction Information'!$C$46,'Reaction Information'!$P$46*10^5,'Reaction Information'!$Q$46)*Calculations!$U64*10^-6 + (1/$S64 - 1)*calculate_domegadP(Calculations!M64,Calculations!N64,Calculations!Q64,'Reaction Information'!$C$46,'Reaction Information'!$P$46*10^5,'Reaction Information'!$Q$46,$D$20,$D$19=3))*41.84)</f>
        <v>0</v>
      </c>
      <c r="CA64" s="8">
        <f>IF(OR(ISBLANK(Input!$BN$4),$D$27=FALSE),NA(),('Reaction Information'!$J$50/10+'Reaction Information'!$K$50*100/(Calculations!$C$12+Calculations!$M64)+('Reaction Information'!$L$50+'Reaction Information'!$M$50*10000/(Calculations!$C$12+Calculations!$M64))/(Calculations!$O64-Calculations!$C$13)-calculateOmega(Calculations!M64,Calculations!N64,Calculations!Q64,'Reaction Information'!$C$50,'Reaction Information'!$P$50*10^5,'Reaction Information'!$Q$50)*Calculations!$U64*10^-6 + (1/$S64 - 1)*calculate_domegadP(Calculations!M64,Calculations!N64,Calculations!Q64,'Reaction Information'!$C$50,'Reaction Information'!$P$50*10^5,'Reaction Information'!$Q$50,$D$20,$D$19=3))*41.84)</f>
        <v>27.797597400111645</v>
      </c>
      <c r="CB64" s="8" t="e">
        <f>IF(OR(ISBLANK(Input!$BQ$4),$D$27=FALSE),NA(),('Reaction Information'!$J$54/10+'Reaction Information'!$K$54*100/(Calculations!$C$12+Calculations!$M64)+('Reaction Information'!$L$54+'Reaction Information'!$M$54*10000/(Calculations!$C$12+Calculations!$M64))/(Calculations!$O64-Calculations!$C$13)-calculateOmega(Calculations!M64,Calculations!N64,Calculations!Q64,'Reaction Information'!$C$54,'Reaction Information'!$P$54*10^5,'Reaction Information'!$Q$54)*Calculations!$U64*10^-6 + (1/$S64 - 1)*calculate_domegadP(Calculations!M64,Calculations!N64,Calculations!Q64,'Reaction Information'!$C$54,'Reaction Information'!$P$54*10^5,'Reaction Information'!$Q$54,$D$20,$D$19=3))*41.84)</f>
        <v>#N/A</v>
      </c>
      <c r="CC64" s="8" t="e">
        <f>IF(OR(ISBLANK(Input!$BT$4),$D$27=FALSE),NA(),('Reaction Information'!$J$58/10+'Reaction Information'!$K$58*100/(Calculations!$C$12+Calculations!$M64)+('Reaction Information'!$L$58+'Reaction Information'!$M$58*10000/(Calculations!$C$12+Calculations!$M64))/(Calculations!$O64-Calculations!$C$13)-calculateOmega(Calculations!M64,Calculations!N64,Calculations!Q64,'Reaction Information'!$C$58,'Reaction Information'!$P$58*10^5,'Reaction Information'!$Q$58)*Calculations!$U64*10^-6 + (1/$S64 - 1)*calculate_domegadP(Calculations!M64,Calculations!N64,Calculations!Q64,'Reaction Information'!$C$58,'Reaction Information'!$P$58*10^5,'Reaction Information'!$Q$58,$D$20,$D$19=3))*41.84)</f>
        <v>#N/A</v>
      </c>
      <c r="CD64" s="8" t="e">
        <f>IF(OR(ISBLANK(Input!$BW$4),$D$27=FALSE),NA(),('Reaction Information'!$J$62/10+'Reaction Information'!$K$62*100/(Calculations!$C$12+Calculations!$M64)+('Reaction Information'!$L$62+'Reaction Information'!$M$62*10000/(Calculations!$C$12+Calculations!$M64))/(Calculations!$O64-Calculations!$C$13)-calculateOmega(Calculations!M64,Calculations!N64,Calculations!Q64,'Reaction Information'!$C$62,'Reaction Information'!$P$62*10^5,'Reaction Information'!$Q$62)*Calculations!$U64*10^-6 + (1/$S64 - 1)*calculate_domegadP(Calculations!M64,Calculations!N64,Calculations!Q64,'Reaction Information'!$C$62,'Reaction Information'!$P$62*10^5,'Reaction Information'!$Q$62,$D$20,$D$19=3))*41.84)</f>
        <v>#N/A</v>
      </c>
      <c r="CE64" s="8" t="e">
        <f>IF(OR(ISBLANK(Input!$BZ$4),$D$27=FALSE),NA(),('Reaction Information'!$J$66/10+'Reaction Information'!$K$66*100/(Calculations!$C$12+Calculations!$M64)+('Reaction Information'!$L$66+'Reaction Information'!$M$66*10000/(Calculations!$C$12+Calculations!$M64))/(Calculations!$O64-Calculations!$C$13)-calculateOmega(Calculations!M64,Calculations!N64,Calculations!Q64,'Reaction Information'!$C$66,'Reaction Information'!$P$66*10^5,'Reaction Information'!$Q$66)*Calculations!$U64*10^-6 + (1/$S64 - 1)*calculate_domegadP(Calculations!M64,Calculations!N64,Calculations!Q64,'Reaction Information'!$C$66,'Reaction Information'!$P$66*10^5,'Reaction Information'!$Q$66,$D$20,$D$19=3))*41.84)</f>
        <v>#N/A</v>
      </c>
      <c r="CF64" s="31">
        <f>(BS64*Input!$AO$4+BT64*Input!$AR$4+BU64*Input!$AU$4+BV64*Input!$AX$4+IF(ISNA(BW64),0,BW64*Input!$BA$4)+IF(ISNA(BX64),0,BX64*Input!$BD$4)+IF(ISNA(BY64),0,BY64*Input!$BG$4)+IF(ISNA(BZ64),0,BZ64*Input!$BJ$4)+IF(ISNA(CA64),0,CA64*Input!$BM$4)+IF(ISNA(CB64),0,CB64*Input!$BP$4)+IF(ISNA(CC64),0,CC64*Input!$BS$4)+IF(ISNA(CD64),0,CD64*Input!$BV$4)+IF(ISNA(CE64),0,CE64*Input!$BY$4))-(BF64*Input!$B$4+BG64*Input!$E$4+BH64*Input!$H$4+BI64*Input!$K$4+IF(ISNA(BJ64),0,BJ64*Input!$N$4)+IF(ISNA(BK64),0,BK64*Input!$Q$4)+IF(ISNA(BL64),0,BL64*Input!$T$4)+IF(ISNA(BM64),0,BM64*Input!$W$4)+IF(ISNA(BN64),0,BN64*Input!$Z$4)+IF(ISNA(BO64),0,BO64*Input!$AC$4)+IF(ISNA(BP64),0,BP64*Input!$AF$4)+IF(ISNA(BQ64),0,BQ64*Input!$AI$4)+IF(ISNA(BR64),0,BR64*Input!$AL$4))</f>
        <v>-22.312856579717288</v>
      </c>
      <c r="CG64" s="1">
        <f t="shared" si="12"/>
        <v>950</v>
      </c>
      <c r="CH64" s="46">
        <f t="shared" si="13"/>
        <v>20000</v>
      </c>
      <c r="CI64" s="1"/>
    </row>
    <row r="65" spans="1:87" x14ac:dyDescent="0.2">
      <c r="A65" s="1"/>
      <c r="E65" s="1"/>
      <c r="F65" s="2">
        <v>60</v>
      </c>
      <c r="G65" s="1" t="str">
        <f>IF(ISBLANK(Input!CB65), "", Input!CB65*1000)</f>
        <v/>
      </c>
      <c r="H65" s="1" t="str">
        <f>IF(ISBLANK(Input!CC65), "", Input!CC65)</f>
        <v/>
      </c>
      <c r="I65" s="1">
        <f>IF(Input!$CF$5 + Input!$CF$6*(FLOOR((Calculations!$F65-1)/(FLOOR((Input!$CF$12-Input!$CF$10)/Input!$CF$11,1)+1),1)) &gt; Input!$CF$7, "", (Input!$CF$5 + Input!$CF$6*(FLOOR((Calculations!$F65-1)/(FLOOR((Input!$CF$12-Input!$CF$10)/Input!$CF$11,1)+1),1)))*1000)</f>
        <v>20000</v>
      </c>
      <c r="J65" s="1">
        <f>IF(Calculations!I65 = "", "", Input!$CF$10 + Input!$CF$11*(Calculations!$F65-1) - (FLOOR((Input!$CF$12-Input!$CF$10)/Input!$CF$11,1)+1)*Input!$CF$11*FLOOR((Calculations!$F65-1)/(FLOOR((Input!$CF$12-Input!$CF$10)/Input!$CF$11,1)+1),1))</f>
        <v>1000</v>
      </c>
      <c r="K65" s="8" t="str">
        <f t="shared" si="14"/>
        <v/>
      </c>
      <c r="L65" s="117" t="str">
        <f>IF(OR(Input!$CJ$5 + Input!$CJ$6*(Calculations!F65-1) &gt; Input!$CJ$7, Input!$CJ$5 + Input!$CJ$6*(Calculations!F65-1) &gt; 350), "", Input!$CJ$5 + Input!$CJ$6*(Calculations!F65-1))</f>
        <v/>
      </c>
      <c r="M65" s="1">
        <f t="shared" si="2"/>
        <v>20000</v>
      </c>
      <c r="N65" s="1">
        <f t="shared" si="3"/>
        <v>1000</v>
      </c>
      <c r="O65" s="1">
        <f t="shared" si="15"/>
        <v>1273.1500000000001</v>
      </c>
      <c r="P65" s="1" t="e">
        <f>IF(OR($D$20=3,AND($D$21=TRUE,M65&lt;1000)),INDEX('Water Density'!$C$6:$CX$120,MATCH(Calculations!N65,'Water Density'!$B$6:$B$120),MATCH(Calculations!M65/1000,'Water Density'!$C$5:$CX$5)),NA())</f>
        <v>#N/A</v>
      </c>
      <c r="Q65" s="182">
        <f>IF(OR($D$20=3,AND($D$21=TRUE,M65&lt;1000)), IF(P65&lt;&gt;0,P65,NA()), calculateDensity(M65,N65,$D$20,0.01,$D$19 = 3))</f>
        <v>1.000735498329401</v>
      </c>
      <c r="R65" s="1" t="e">
        <f>IF($D$22=5,INDEX('Dielectric Constant'!$C$6:$CX$120,MATCH(Calculations!N65,'Dielectric Constant'!$B$6:$B$120),MATCH(Calculations!M65/1000,'Dielectric Constant'!$C$5:$CX$5)),NA())</f>
        <v>#N/A</v>
      </c>
      <c r="S65" s="58">
        <f>IF($D$22=5, IF(R65&lt;&gt;0,R65,NA()), IF(AND($D$23,M65&lt;=5000,$D$19 &lt;&gt; 3),calculateEpsilon(Q65,N65,1,FALSE),calculateEpsilon(Q65,N65,$D$22,$D$19 = 3)))</f>
        <v>12.131305227552081</v>
      </c>
      <c r="T65" s="1" t="e">
        <f>IF($D$24=3,INDEX('Water Free Energy'!$C$6:$CX$120,MATCH(Calculations!N65,'Water Free Energy'!$B$6:$B$120),MATCH(Calculations!M65/1000,'Water Free Energy'!$C$5:$CX$5)),NA())</f>
        <v>#N/A</v>
      </c>
      <c r="U65" s="179">
        <f>IF($D$27,calculateQ(M65,N65,Q65,$D$20,$D$22,$D$19=3)*10^6,NA())</f>
        <v>0.87729256961386104</v>
      </c>
      <c r="V65"/>
      <c r="W65" s="2">
        <f t="shared" si="5"/>
        <v>20000</v>
      </c>
      <c r="X65" s="1">
        <f t="shared" si="6"/>
        <v>1000</v>
      </c>
      <c r="Y65" s="1">
        <f>Results!F67</f>
        <v>0</v>
      </c>
      <c r="Z65" s="1">
        <f>Results!G67</f>
        <v>0</v>
      </c>
      <c r="AA65" s="1">
        <f>Results!H67</f>
        <v>0</v>
      </c>
      <c r="AB65" s="1">
        <f>Results!I67</f>
        <v>0</v>
      </c>
      <c r="AC65" s="1" t="e">
        <f>IF(ISBLANK(Input!$O$4),NA(),'Reaction Information'!$E$5-'Reaction Information'!$G$5*(Calculations!$O65-Calculations!$C$8)+'Reaction Information'!$I$5*(Calculations!$O65-Calculations!$C$8-Calculations!$O65*LN(Calculations!$O65/Calculations!$C$8))+'Reaction Information'!$J$5*0.001/2*(2*Calculations!$O65*Calculations!$C$8-Calculations!$O65^2-Calculations!$C$8^2) + 'Reaction Information'!$K$5*100000*(Calculations!$O65^2 + Calculations!$C$8^2 - 2*Calculations!$O65*Calculations!$C$8)/(2*Calculations!$O65*Calculations!$C$8^2))</f>
        <v>#N/A</v>
      </c>
      <c r="AD65" s="8" t="e">
        <f>IF(ISBLANK(Input!$R$4),NA(),'Reaction Information'!$E$9-'Reaction Information'!$G$9*(Calculations!$O65-Calculations!$C$8)+'Reaction Information'!$I$9*(Calculations!$O65-Calculations!$C$8-Calculations!$O65*LN(Calculations!$O65/Calculations!$C$8))+'Reaction Information'!$J$9*0.001/2*(2*Calculations!$O65*Calculations!$C$8-Calculations!$O65^2-Calculations!$C$8^2) + 'Reaction Information'!$K$9*100000*(Calculations!$O65^2 + Calculations!$C$8^2 - 2*Calculations!$O65*Calculations!$C$8)/(2*Calculations!$O65*Calculations!$C$8^2))</f>
        <v>#N/A</v>
      </c>
      <c r="AE65" s="8">
        <f>IF(AE$5="H2O",IF($D$24=3,IF(T65=0,NA(),T65),calculateGibbsOfWater(M65,N65,$D$24,$D$20,$D$19=3)),NA())</f>
        <v>-76433.076022054243</v>
      </c>
      <c r="AF65" s="8">
        <f>IF(ISBLANK(Input!$X$4),NA(),'Reaction Information'!$E$13-'Reaction Information'!$G$13*(Calculations!O65-Calculations!$C$8)-'Reaction Information'!$N$13*(Calculations!O65*LN(Calculations!O65/Calculations!$C$8)-Calculations!O65+Calculations!$C$8)-'Reaction Information'!$O$13*10^4*(((1/(Calculations!O65-Calculations!$C$13))-(1/(Calculations!$C$8-Calculations!$C$13)))*((Calculations!$C$13-Calculations!O65)/(Calculations!$C$13))-(Calculations!O65/(Calculations!$C$13*Calculations!$C$13))*LN((Calculations!$C$8*(Calculations!O65-Calculations!$C$13))/(Calculations!O65*(Calculations!$C$8-Calculations!$C$13))))+'Reaction Information'!$J$13*10^-1*(Calculations!M65-Calculations!$C$9)+'Reaction Information'!$K$13*10^2*LN((Calculations!$C$12+Calculations!M65)/(Calculations!$C$12+Calculations!$C$9))+(1/(Calculations!O65-Calculations!$C$13))*('Reaction Information'!$L$13*(Calculations!M65-Calculations!$C$9)+'Reaction Information'!$M$13*10^4*LN((Calculations!$C$12+Calculations!M65)/(Calculations!$C$12+Calculations!$C$9)))+calculateOmega(Calculations!M65,Calculations!N65,Calculations!Q65,'Reaction Information'!$C$13,'Reaction Information'!$P$13*10^5,'Reaction Information'!$Q$13)*((1/Calculations!S65)-1)-'Reaction Information'!$P$13*10^5*((1/Calculations!$C$10)-1)+'Reaction Information'!$P$13*10^5*Calculations!$C$14*(Calculations!O65-Calculations!$C$8))</f>
        <v>-121450.18508561983</v>
      </c>
      <c r="AG65" s="8" t="e">
        <f>IF(ISBLANK(Input!$AA$4),NA(),'Reaction Information'!$E$17-'Reaction Information'!$G$17*(Calculations!$O65-Calculations!$C$8)-'Reaction Information'!$N$17*(Calculations!$O65*LN(Calculations!$O65/Calculations!$C$8)-Calculations!$O65+Calculations!$C$8)-'Reaction Information'!$O$17*10^4*(((1/(Calculations!$O65-Calculations!$C$13))-(1/(Calculations!$C$8-Calculations!$C$13)))*((Calculations!$C$13-Calculations!$O65)/(Calculations!$C$13))-(Calculations!$O65/(Calculations!$C$13*Calculations!$C$13))*LN((Calculations!$C$8*(Calculations!$O65-Calculations!$C$13))/(Calculations!$O65*(Calculations!$C$8-Calculations!$C$13))))+'Reaction Information'!$J$17*10^-1*(Calculations!$M65-Calculations!$C$9)+'Reaction Information'!$K$17*10^2*LN((Calculations!$C$12+Calculations!$M65)/(Calculations!$C$12+Calculations!$C$9))+(1/(Calculations!$O65-Calculations!$C$13))*('Reaction Information'!$L$17*(Calculations!$M65-Calculations!$C$9)+'Reaction Information'!$M$17*10^4*LN((Calculations!$C$12+Calculations!$M65)/(Calculations!$C$12+Calculations!$C$9)))+calculateOmega(Calculations!M65,Calculations!N65,Calculations!Q65,'Reaction Information'!$C$17,'Reaction Information'!$P$17*10^5,'Reaction Information'!$Q$17)*((1/Calculations!$S65)-1)-'Reaction Information'!$P$17*10^5*((1/Calculations!$C$10)-1)+'Reaction Information'!$P$17*10^5*Calculations!$C$14*(Calculations!$O65-Calculations!$C$8))</f>
        <v>#N/A</v>
      </c>
      <c r="AH65" s="8" t="e">
        <f>IF(ISBLANK(Input!$AD$4),NA(),'Reaction Information'!$E$21-'Reaction Information'!$G$21*(Calculations!$O65-Calculations!$C$8)-'Reaction Information'!$N$21*(Calculations!$O65*LN(Calculations!$O65/Calculations!$C$8)-Calculations!$O65+Calculations!$C$8)-'Reaction Information'!$O$21*10^4*(((1/(Calculations!$O65-Calculations!$C$13))-(1/(Calculations!$C$8-Calculations!$C$13)))*((Calculations!$C$13-Calculations!$O65)/(Calculations!$C$13))-(Calculations!$O65/(Calculations!$C$13*Calculations!$C$13))*LN((Calculations!$C$8*(Calculations!$O65-Calculations!$C$13))/(Calculations!$O65*(Calculations!$C$8-Calculations!$C$13))))+'Reaction Information'!$J$21*10^-1*(Calculations!$M65-Calculations!$C$9)+'Reaction Information'!$K$21*10^2*LN((Calculations!$C$12+Calculations!$M65)/(Calculations!$C$12+Calculations!$C$9))+(1/(Calculations!$O65-Calculations!$C$13))*('Reaction Information'!$L$21*(Calculations!$M65-Calculations!$C$9)+'Reaction Information'!$M$21*10^4*LN((Calculations!$C$12+Calculations!$M65)/(Calculations!$C$12+Calculations!$C$9)))+calculateOmega(Calculations!M65,Calculations!N65,Calculations!Q65,'Reaction Information'!$C$21,'Reaction Information'!$P$21*10^5,'Reaction Information'!$Q$21)*((1/Calculations!$S65)-1)-'Reaction Information'!$P$21*10^5*((1/Calculations!$C$10)-1)+'Reaction Information'!$P$21*10^5*Calculations!$C$14*(Calculations!$O65-Calculations!$C$8))</f>
        <v>#N/A</v>
      </c>
      <c r="AI65" s="8" t="e">
        <f>IF(ISBLANK(Input!$AG$4),NA(),'Reaction Information'!$E$25-'Reaction Information'!$G$25*(Calculations!$O65-Calculations!$C$8)-'Reaction Information'!$N$25*(Calculations!$O65*LN(Calculations!$O65/Calculations!$C$8)-Calculations!$O65+Calculations!$C$8)-'Reaction Information'!$O$25*10^4*(((1/(Calculations!$O65-Calculations!$C$13))-(1/(Calculations!$C$8-Calculations!$C$13)))*((Calculations!$C$13-Calculations!$O65)/(Calculations!$C$13))-(Calculations!$O65/(Calculations!$C$13*Calculations!$C$13))*LN((Calculations!$C$8*(Calculations!$O65-Calculations!$C$13))/(Calculations!$O65*(Calculations!$C$8-Calculations!$C$13))))+'Reaction Information'!$J$25*10^-1*(Calculations!$M65-Calculations!$C$9)+'Reaction Information'!$K$25*10^2*LN((Calculations!$C$12+Calculations!$M65)/(Calculations!$C$12+Calculations!$C$9))+(1/(Calculations!$O65-Calculations!$C$13))*('Reaction Information'!$L$25*(Calculations!$M65-Calculations!$C$9)+'Reaction Information'!$M$25*10^4*LN((Calculations!$C$12+Calculations!$M65)/(Calculations!$C$12+Calculations!$C$9)))+calculateOmega(Calculations!M65,Calculations!N65,Calculations!Q65,'Reaction Information'!$C$25,'Reaction Information'!$P$25*10^5,'Reaction Information'!$Q$25)*((1/Calculations!$S65)-1)-'Reaction Information'!$P$25*10^5*((1/Calculations!$C$10)-1)+'Reaction Information'!$P$25*10^5*Calculations!$C$14*(Calculations!$O65-Calculations!$C$8))</f>
        <v>#N/A</v>
      </c>
      <c r="AJ65" s="8" t="e">
        <f>IF(ISBLANK(Input!$AJ$4),NA(),'Reaction Information'!$E$29-'Reaction Information'!$G$29*(Calculations!$O65-Calculations!$C$8)-'Reaction Information'!$N$29*(Calculations!$O65*LN(Calculations!$O65/Calculations!$C$8)-Calculations!$O65+Calculations!$C$8)-'Reaction Information'!$O$29*10^4*(((1/(Calculations!$O65-Calculations!$C$13))-(1/(Calculations!$C$8-Calculations!$C$13)))*((Calculations!$C$13-Calculations!$O65)/(Calculations!$C$13))-(Calculations!$O65/(Calculations!$C$13*Calculations!$C$13))*LN((Calculations!$C$8*(Calculations!$O65-Calculations!$C$13))/(Calculations!$O65*(Calculations!$C$8-Calculations!$C$13))))+'Reaction Information'!$J$29*10^-1*(Calculations!$M65-Calculations!$C$9)+'Reaction Information'!$K$29*10^2*LN((Calculations!$C$12+Calculations!$M65)/(Calculations!$C$12+Calculations!$C$9))+(1/(Calculations!$O65-Calculations!$C$13))*('Reaction Information'!$L$29*(Calculations!$M65-Calculations!$C$9)+'Reaction Information'!$M$29*10^4*LN((Calculations!$C$12+Calculations!$M65)/(Calculations!$C$12+Calculations!$C$9)))+calculateOmega(Calculations!M65,Calculations!N65,Calculations!Q65,'Reaction Information'!$C$29,'Reaction Information'!$P$29*10^5,'Reaction Information'!$Q$29)*((1/Calculations!$S65)-1)-'Reaction Information'!$P$29*10^5*((1/Calculations!$C$10)-1)+'Reaction Information'!$P$29*10^5*Calculations!$C$14*(Calculations!$O65-Calculations!$C$8))</f>
        <v>#N/A</v>
      </c>
      <c r="AK65" s="8" t="e">
        <f>IF(ISBLANK(Input!$AM$4),NA(),'Reaction Information'!$E$33-'Reaction Information'!$G$33*(Calculations!$O65-Calculations!$C$8)-'Reaction Information'!$N$33*(Calculations!$O65*LN(Calculations!$O65/Calculations!$C$8)-Calculations!$O65+Calculations!$C$8)-'Reaction Information'!$O$33*10^4*(((1/(Calculations!$O65-Calculations!$C$13))-(1/(Calculations!$C$8-Calculations!$C$13)))*((Calculations!$C$13-Calculations!$O65)/(Calculations!$C$13))-(Calculations!$O65/(Calculations!$C$13*Calculations!$C$13))*LN((Calculations!$C$8*(Calculations!$O65-Calculations!$C$13))/(Calculations!$O65*(Calculations!$C$8-Calculations!$C$13))))+'Reaction Information'!$J$33*10^-1*(Calculations!$M65-Calculations!$C$9)+'Reaction Information'!$K$33*10^2*LN((Calculations!$C$12+Calculations!$M65)/(Calculations!$C$12+Calculations!$C$9))+(1/(Calculations!$O65-Calculations!$C$13))*('Reaction Information'!$L$33*(Calculations!$M65-Calculations!$C$9)+'Reaction Information'!$M$33*10^4*LN((Calculations!$C$12+Calculations!$M65)/(Calculations!$C$12+Calculations!$C$9)))+calculateOmega(Calculations!M65,Calculations!N65,Calculations!Q65,'Reaction Information'!$C$33,'Reaction Information'!$P$33*10^5,'Reaction Information'!$Q$33)*((1/Calculations!$S65)-1)-'Reaction Information'!$P$33*10^5*((1/Calculations!$C$10)-1)+'Reaction Information'!$P$33*10^5*Calculations!$C$14*(Calculations!$O65-Calculations!$C$8))</f>
        <v>#N/A</v>
      </c>
      <c r="AL65" s="1">
        <f>Results!S67</f>
        <v>0</v>
      </c>
      <c r="AM65" s="1">
        <f>Results!T67</f>
        <v>0</v>
      </c>
      <c r="AN65" s="1">
        <f>Results!U67</f>
        <v>0</v>
      </c>
      <c r="AO65" s="1">
        <f>Results!V67</f>
        <v>0</v>
      </c>
      <c r="AP65" s="8" t="e">
        <f>IF(ISBLANK(Input!$BB$4),NA(),'Reaction Information'!$E$38-'Reaction Information'!$G$38*(Calculations!$O65-Calculations!$C$8)+'Reaction Information'!$I$38*(Calculations!$O65-Calculations!$C$8-Calculations!$O65*LN(Calculations!$O65/Calculations!$C$8))+'Reaction Information'!$J$38*0.001/2*(2*Calculations!$O65*Calculations!$C$8-Calculations!$O65^2-Calculations!$C$8^2) + 'Reaction Information'!$K$38*100000*(Calculations!$O65^2 + Calculations!$C$8^2 - 2*Calculations!$O65*Calculations!$C$8)/(2*Calculations!$O65*Calculations!$C$8^2))</f>
        <v>#N/A</v>
      </c>
      <c r="AQ65" s="8" t="e">
        <f>IF(ISBLANK(Input!$BE$4),NA(),'Reaction Information'!$E$42-'Reaction Information'!$G$42*(Calculations!$O65-Calculations!$C$8)+'Reaction Information'!$I$42*(Calculations!$O65-Calculations!$C$8-Calculations!$O65*LN(Calculations!$O65/Calculations!$C$8))+'Reaction Information'!$J$42*0.001/2*(2*Calculations!$O65*Calculations!$C$8-Calculations!$O65^2-Calculations!$C$8^2) + 'Reaction Information'!$K$42*100000*(Calculations!$O65^2 + Calculations!$C$8^2 - 2*Calculations!$O65*Calculations!$C$8)/(2*Calculations!$O65*Calculations!$C$8^2))</f>
        <v>#N/A</v>
      </c>
      <c r="AR65" s="8" t="e">
        <f>IF(AR$5="H2O", IF($D$24=3,IF(T65=0,NA(),T65),calculateGibbsOfWater(M65,N65,$D$24,$D$20,$D$19=3)),NA())</f>
        <v>#N/A</v>
      </c>
      <c r="AS65" s="8">
        <f>IF(ISBLANK(Input!$BK$4),NA(),'Reaction Information'!$E$46-'Reaction Information'!$G$46*(Calculations!O65-Calculations!$C$8)-'Reaction Information'!$N$46*(Calculations!O65*LN(Calculations!O65/Calculations!$C$8)-Calculations!O65+Calculations!$C$8)-'Reaction Information'!$O$46*10^4*(((1/(Calculations!O65-Calculations!$C$13))-(1/(Calculations!$C$8-Calculations!$C$13)))*((Calculations!$C$13-Calculations!O65)/(Calculations!$C$13))-(Calculations!O65/(Calculations!$C$13*Calculations!$C$13))*LN((Calculations!$C$8*(Calculations!O65-Calculations!$C$13))/(Calculations!O65*(Calculations!$C$8-Calculations!$C$13))))+'Reaction Information'!$J$46*10^-1*(Calculations!$M65-Calculations!$C$9)+'Reaction Information'!$K$46*10^2*LN((Calculations!$C$12+Calculations!$M65)/(Calculations!$C$12+Calculations!$C$9))+(1/(Calculations!O65-Calculations!$C$13))*('Reaction Information'!$L$46*(Calculations!$M65-Calculations!$C$9)+'Reaction Information'!$M$46*10^4*LN((Calculations!$C$12+Calculations!$M65)/(Calculations!$C$12+Calculations!$C$9)))+calculateOmega(Calculations!M65,Calculations!N65,Calculations!Q65,'Reaction Information'!$C$46,'Reaction Information'!$P$46*10^5,'Reaction Information'!$Q$46)*((1/Calculations!S65)-1)-'Reaction Information'!$P$46*10^5*((1/Calculations!$C$10)-1)+'Reaction Information'!$P$46*10^5*Calculations!$C$14*(Calculations!O65-Calculations!$C$8))</f>
        <v>0</v>
      </c>
      <c r="AT65" s="8">
        <f>IF(ISBLANK(Input!$BN$4),NA(),'Reaction Information'!$E$50-'Reaction Information'!$G$50*(Calculations!O65-Calculations!$C$8)-'Reaction Information'!$N$50*(Calculations!O65*LN(Calculations!O65/Calculations!$C$8)-Calculations!O65+Calculations!$C$8)-'Reaction Information'!$O$50*10^4*(((1/(Calculations!O65-Calculations!$C$13))-(1/(Calculations!$C$8-Calculations!$C$13)))*((Calculations!$C$13-Calculations!O65)/(Calculations!$C$13))-(Calculations!O65/(Calculations!$C$13*Calculations!$C$13))*LN((Calculations!$C$8*(Calculations!O65-Calculations!$C$13))/(Calculations!O65*(Calculations!$C$8-Calculations!$C$13))))+'Reaction Information'!$J$50*10^-1*(Calculations!$M65-Calculations!$C$9)+'Reaction Information'!$K$50*10^2*LN((Calculations!$C$12+Calculations!$M65)/(Calculations!$C$12+Calculations!$C$9))+(1/(Calculations!O65-Calculations!$C$13))*('Reaction Information'!$L$50*(Calculations!$M65-Calculations!$C$9)+'Reaction Information'!$M$50*10^4*LN((Calculations!$C$12+Calculations!$M65)/(Calculations!$C$12+Calculations!$C$9)))+calculateOmega(Calculations!M65,Calculations!N65,Calculations!Q65,'Reaction Information'!$C$50,'Reaction Information'!$P$50*10^5,'Reaction Information'!$Q$50)*((1/Calculations!S65)-1)-'Reaction Information'!$P$50*10^5*((1/Calculations!$C$10)-1)+'Reaction Information'!$P$50*10^5*Calculations!$C$14*(Calculations!O65-Calculations!$C$8))</f>
        <v>-154549.3776391664</v>
      </c>
      <c r="AU65" s="8" t="e">
        <f>IF(ISBLANK(Input!$BQ$4),NA(),'Reaction Information'!$E$54-'Reaction Information'!$G$54*(Calculations!$O65-Calculations!$C$8)-'Reaction Information'!$N$54*(Calculations!$O65*LN(Calculations!$O65/Calculations!$C$8)-Calculations!$O65+Calculations!$C$8)-'Reaction Information'!$O$54*10^4*(((1/(Calculations!$O65-Calculations!$C$13))-(1/(Calculations!$C$8-Calculations!$C$13)))*((Calculations!$C$13-Calculations!$O65)/(Calculations!$C$13))-(Calculations!$O65/(Calculations!$C$13*Calculations!$C$13))*LN((Calculations!$C$8*(Calculations!$O65-Calculations!$C$13))/(Calculations!$O65*(Calculations!$C$8-Calculations!$C$13))))+'Reaction Information'!$J$54*10^-1*(Calculations!$M65-Calculations!$C$9)+'Reaction Information'!$K$54*10^2*LN((Calculations!$C$12+Calculations!$M65)/(Calculations!$C$12+Calculations!$C$9))+(1/(Calculations!$O65-Calculations!$C$13))*('Reaction Information'!$L$54*(Calculations!$M65-Calculations!$C$9)+'Reaction Information'!$M$54*10^4*LN((Calculations!$C$12+Calculations!$M65)/(Calculations!$C$12+Calculations!$C$9)))+calculateOmega(Calculations!M65,Calculations!N65,Calculations!Q65,'Reaction Information'!$C$54,'Reaction Information'!$P$54*10^5,'Reaction Information'!$Q$54)*((1/Calculations!$S65)-1)-'Reaction Information'!$P$54*10^5*((1/Calculations!$C$10)-1)+'Reaction Information'!$P$54*10^5*Calculations!$C$14*(Calculations!$O65-Calculations!$C$8))</f>
        <v>#N/A</v>
      </c>
      <c r="AV65" s="8" t="e">
        <f>IF(ISBLANK(Input!$BT$4),NA(),'Reaction Information'!$E$58-'Reaction Information'!$G$58*(Calculations!$O65-Calculations!$C$8)-'Reaction Information'!$N$58*(Calculations!$O65*LN(Calculations!$O65/Calculations!$C$8)-Calculations!$O65+Calculations!$C$8)-'Reaction Information'!$O$58*10^4*(((1/(Calculations!$O65-Calculations!$C$13))-(1/(Calculations!$C$8-Calculations!$C$13)))*((Calculations!$C$13-Calculations!$O65)/(Calculations!$C$13))-(Calculations!$O65/(Calculations!$C$13*Calculations!$C$13))*LN((Calculations!$C$8*(Calculations!$O65-Calculations!$C$13))/(Calculations!$O65*(Calculations!$C$8-Calculations!$C$13))))+'Reaction Information'!$J$58*10^-1*(Calculations!$M65-Calculations!$C$9)+'Reaction Information'!$K$58*10^2*LN((Calculations!$C$12+Calculations!$M65)/(Calculations!$C$12+Calculations!$C$9))+(1/(Calculations!$O65-Calculations!$C$13))*('Reaction Information'!$L$58*(Calculations!$M65-Calculations!$C$9)+'Reaction Information'!$M$58*10^4*LN((Calculations!$C$12+Calculations!$M65)/(Calculations!$C$12+Calculations!$C$9)))+calculateOmega(Calculations!M65,Calculations!N65,Calculations!Q65,'Reaction Information'!$C$58,'Reaction Information'!$P$58*10^5,'Reaction Information'!$Q$58)*((1/Calculations!$S65)-1)-'Reaction Information'!$P$58*10^5*((1/Calculations!$C$10)-1)+'Reaction Information'!$P$58*10^5*Calculations!$C$14*(Calculations!$O65-Calculations!$C$8))</f>
        <v>#N/A</v>
      </c>
      <c r="AW65" s="8" t="e">
        <f>IF(ISBLANK(Input!$BW$4),NA(),'Reaction Information'!$E$62-'Reaction Information'!$G$62*(Calculations!$O65-Calculations!$C$8)-'Reaction Information'!$N$62*(Calculations!$O65*LN(Calculations!$O65/Calculations!$C$8)-Calculations!$O65+Calculations!$C$8)-'Reaction Information'!$O$62*10^4*(((1/(Calculations!$O65-Calculations!$C$13))-(1/(Calculations!$C$8-Calculations!$C$13)))*((Calculations!$C$13-Calculations!$O65)/(Calculations!$C$13))-(Calculations!$O65/(Calculations!$C$13*Calculations!$C$13))*LN((Calculations!$C$8*(Calculations!$O65-Calculations!$C$13))/(Calculations!$O65*(Calculations!$C$8-Calculations!$C$13))))+'Reaction Information'!$J$62*10^-1*(Calculations!$M65-Calculations!$C$9)+'Reaction Information'!$K$62*10^2*LN((Calculations!$C$12+Calculations!$M65)/(Calculations!$C$12+Calculations!$C$9))+(1/(Calculations!$O65-Calculations!$C$13))*('Reaction Information'!$L$62*(Calculations!$M65-Calculations!$C$9)+'Reaction Information'!$M$62*10^4*LN((Calculations!$C$12+Calculations!$M65)/(Calculations!$C$12+Calculations!$C$9)))+calculateOmega(Calculations!M65,Calculations!N65,Calculations!Q65,'Reaction Information'!$C$62,'Reaction Information'!$P$62*10^5,'Reaction Information'!$Q$62)*((1/Calculations!$S65)-1)-'Reaction Information'!$P$62*10^5*((1/Calculations!$C$10)-1)+'Reaction Information'!$P$62*10^5*Calculations!$C$14*(Calculations!$O65-Calculations!$C$8))</f>
        <v>#N/A</v>
      </c>
      <c r="AX65" s="8" t="e">
        <f>IF(ISBLANK(Input!$BZ$4),NA(),'Reaction Information'!$E$66-'Reaction Information'!$G$66*(Calculations!$O65-Calculations!$C$8)-'Reaction Information'!$N$66*(Calculations!$O65*LN(Calculations!$O65/Calculations!$C$8)-Calculations!$O65+Calculations!$C$8)-'Reaction Information'!$O$66*10^4*(((1/(Calculations!$O65-Calculations!$C$13))-(1/(Calculations!$C$8-Calculations!$C$13)))*((Calculations!$C$13-Calculations!$O65)/(Calculations!$C$13))-(Calculations!$O65/(Calculations!$C$13*Calculations!$C$13))*LN((Calculations!$C$8*(Calculations!$O65-Calculations!$C$13))/(Calculations!$O65*(Calculations!$C$8-Calculations!$C$13))))+'Reaction Information'!$J$66*10^-1*(Calculations!$M65-Calculations!$C$9)+'Reaction Information'!$K$66*10^2*LN((Calculations!$C$12+Calculations!$M65)/(Calculations!$C$12+Calculations!$C$9))+(1/(Calculations!$O65-Calculations!$C$13))*('Reaction Information'!$L$66*(Calculations!$M65-Calculations!$C$9)+'Reaction Information'!$M$66*10^4*LN((Calculations!$C$12+Calculations!$M65)/(Calculations!$C$12+Calculations!$C$9)))+calculateOmega(Calculations!M65,Calculations!N65,Calculations!Q65,'Reaction Information'!$C$66,'Reaction Information'!$P$66*10^5,'Reaction Information'!$Q$66)*((1/Calculations!$S65)-1)-'Reaction Information'!$P$66*10^5*((1/Calculations!$C$10)-1)+'Reaction Information'!$P$66*10^5*Calculations!$C$14*(Calculations!$O65-Calculations!$C$8))</f>
        <v>#N/A</v>
      </c>
      <c r="AY65" s="31">
        <f>(AL65*Input!$AO$4+AM65*Input!$AR$4+AN65*Input!$AU$4+AO65*Input!$AX$4+IF(ISNA(AP65),0,AP65*Input!$BA$4)+IF(ISNA(AQ65),0,AQ65*Input!$BD$4)+IF(ISNA(AR65),0,AR65*Input!$BG$4)+IF(ISNA(AS65),0,AS65*Input!$BJ$4)+IF(ISNA(AT65),0,AT65*Input!$BM$4)+IF(ISNA(AU65),0,AU65*Input!$BP$4)+IF(ISNA(AV65),0,AV65*Input!$BS$4)+IF(ISNA(AW65),0,AW65*Input!$BV$4)+IF(ISNA(AX65),0,AX65*Input!$BY$4))-(Y65*Input!$B$4+Z65*Input!$E$4+AA65*Input!$H$4+AB65*Input!$K$4+IF(ISNA(AC65),0,AC65*Input!$N$4)+IF(ISNA(AD65),0,AD65*Input!$Q$4)+IF(ISNA(AE65),0,AE65*Input!$T$4)+IF(ISNA(AF65),0,AF65*Input!$W$4)+IF(ISNA(AG65),0,AG65*Input!$Z$4)+IF(ISNA(AH65),0,AH65*Input!$AC$4)+IF(ISNA(AI65),0,AI65*Input!$AF$4)+IF(ISNA(AJ65),0,AJ65*Input!$AI$4)+IF(ISNA(AK65),0,AK65*Input!$AL$4))</f>
        <v>43333.883468507673</v>
      </c>
      <c r="AZ65" s="42">
        <f t="shared" si="16"/>
        <v>-7.44354657757067</v>
      </c>
      <c r="BA65" s="1">
        <f t="shared" si="8"/>
        <v>1000</v>
      </c>
      <c r="BB65" s="46">
        <f t="shared" si="9"/>
        <v>20000</v>
      </c>
      <c r="BC65" s="1"/>
      <c r="BD65" s="2">
        <f t="shared" si="10"/>
        <v>20000</v>
      </c>
      <c r="BE65" s="46">
        <f t="shared" si="11"/>
        <v>1000</v>
      </c>
      <c r="BF65" s="1">
        <f>Results!AJ67</f>
        <v>0</v>
      </c>
      <c r="BG65" s="1">
        <f>Results!AK67</f>
        <v>0</v>
      </c>
      <c r="BH65" s="1">
        <f>Results!AL67</f>
        <v>0</v>
      </c>
      <c r="BI65" s="1">
        <f>Results!AM67</f>
        <v>0</v>
      </c>
      <c r="BJ65" s="1" t="e">
        <f>IF(OR(ISNA('Reaction Information'!$D$5), $N65 = "", $D$27 = FALSE, 'Reaction Information'!$D$5 = ""), NA(), 24.465)</f>
        <v>#N/A</v>
      </c>
      <c r="BK65" s="1" t="e">
        <f>IF(OR(ISNA('Reaction Information'!$D$9), $N65 = "", $D$27 = FALSE, 'Reaction Information'!$D$9 = ""), NA(), 24.465)</f>
        <v>#N/A</v>
      </c>
      <c r="BL65" s="8">
        <f t="shared" si="17"/>
        <v>18.002039529999873</v>
      </c>
      <c r="BM65" s="8">
        <f>IF(OR(ISBLANK(Input!$X$4),$D$27=FALSE),NA(),('Reaction Information'!$J$13/10+'Reaction Information'!$K$13*100/(Calculations!$C$12+Calculations!$M65)+('Reaction Information'!$L$13+'Reaction Information'!$M$13*10^4/(Calculations!$C$12+Calculations!$M65))/(Calculations!$O65-Calculations!$C$13) -calculateOmega(Calculations!$M65,Calculations!$N65,Calculations!$Q65,'Reaction Information'!$C$13,'Reaction Information'!$P$13*10^5,'Reaction Information'!$Q$13)*Calculations!$U65*10^-6 + (1/$S65 - 1)*calculate_domegadP(Calculations!$M65,Calculations!$N65,Calculations!$Q65,'Reaction Information'!$C$13,'Reaction Information'!$P$13*10^5,'Reaction Information'!$Q$13,$D$20,$D$19=3))*41.84)</f>
        <v>32.567923547658701</v>
      </c>
      <c r="BN65" s="8" t="e">
        <f>IF(OR(ISBLANK(Input!$AA$4),$D$27=FALSE),NA(),('Reaction Information'!$J$17/10+'Reaction Information'!$K$17*100/(Calculations!$C$12+Calculations!$M65)+('Reaction Information'!$L$17+'Reaction Information'!$M$17*10000/(Calculations!$C$12+Calculations!$M65))/(Calculations!$O65-Calculations!$C$13)-calculateOmega(Calculations!M65,Calculations!N65,Calculations!Q65,'Reaction Information'!$C$17,'Reaction Information'!$P$17*10^5,'Reaction Information'!$Q$17)*Calculations!$U65*10^-6 + (1/$S65 - 1)*calculate_domegadP(Calculations!M65,Calculations!N65,Calculations!Q65,'Reaction Information'!$C$17,'Reaction Information'!$P$17*10^5,'Reaction Information'!$Q$17,$D$20,$D$19=3))*41.84)</f>
        <v>#N/A</v>
      </c>
      <c r="BO65" s="8" t="e">
        <f>IF(OR(ISBLANK(Input!$AD$4),$D$27=FALSE),NA(),('Reaction Information'!$J$21/10+'Reaction Information'!$K$21*100/(Calculations!$C$12+Calculations!$M65)+('Reaction Information'!$L$21+'Reaction Information'!$M$21*10000/(Calculations!$C$12+Calculations!$M65))/(Calculations!$O65-Calculations!$C$13)-calculateOmega(Calculations!M65,Calculations!N65,Calculations!Q65,'Reaction Information'!$C$21,'Reaction Information'!$P$21*10^5,'Reaction Information'!$Q$21)*Calculations!$U65*10^-6 + (1/$S65 - 1)*calculate_domegadP(Calculations!M65,Calculations!N65,Calculations!Q65,'Reaction Information'!$C$21,'Reaction Information'!$P$21*10^5,'Reaction Information'!$Q$21,$D$20,$D$19=3))*41.84)</f>
        <v>#N/A</v>
      </c>
      <c r="BP65" s="8" t="e">
        <f>IF(OR(ISBLANK(Input!$AG$4),$D$27=FALSE),NA(),('Reaction Information'!$J$25/10+'Reaction Information'!$K$25*100/(Calculations!$C$12+Calculations!$M65)+('Reaction Information'!$L$25+'Reaction Information'!$M$25*10000/(Calculations!$C$12+Calculations!$M65))/(Calculations!$O65-Calculations!$C$13)-calculateOmega(Calculations!M65,Calculations!N65,Calculations!Q65,'Reaction Information'!$C$25,'Reaction Information'!$P$25*10^5,'Reaction Information'!$Q$25)*Calculations!$U65*10^-6 + (1/$S65 - 1)*calculate_domegadP(Calculations!M65,Calculations!N65,Calculations!Q65,'Reaction Information'!$C$25,'Reaction Information'!$P$25*10^5,'Reaction Information'!$Q$25,$D$20,$D$19=3))*41.84)</f>
        <v>#N/A</v>
      </c>
      <c r="BQ65" s="8" t="e">
        <f>IF(OR(ISBLANK(Input!$AJ$4),$D$27=FALSE),NA(),('Reaction Information'!$J$29/10+'Reaction Information'!$K$29*100/(Calculations!$C$12+Calculations!$M65)+('Reaction Information'!$L$29+'Reaction Information'!$M$29*10000/(Calculations!$C$12+Calculations!$M65))/(Calculations!$O65-Calculations!$C$13)-calculateOmega(Calculations!M65,Calculations!N65,Calculations!Q65,'Reaction Information'!$C$29,'Reaction Information'!$P$29*10^5,'Reaction Information'!$Q$29)*Calculations!$U65*10^-6 + (1/$S65 - 1)*calculate_domegadP(Calculations!M65,Calculations!N65,Calculations!Q65,'Reaction Information'!$C$29,'Reaction Information'!$P$29*10^5,'Reaction Information'!$Q$29,$D$20,$D$19=3))*41.84)</f>
        <v>#N/A</v>
      </c>
      <c r="BR65" s="8" t="e">
        <f>IF(OR(ISBLANK(Input!$AM$4),$D$27=FALSE),NA(),('Reaction Information'!$J$33/10+'Reaction Information'!$K$33*100/(Calculations!$C$12+Calculations!$M65)+('Reaction Information'!$L$33+'Reaction Information'!$M$33*10000/(Calculations!$C$12+Calculations!$M65))/(Calculations!$O65-Calculations!$C$13)-calculateOmega(Calculations!M65,Calculations!N65,Calculations!Q65,'Reaction Information'!$C$33,'Reaction Information'!$P$33*10^5,'Reaction Information'!$Q$33)*Calculations!$U65*10^-6 + (1/$S65 - 1)*calculate_domegadP(Calculations!M65,Calculations!N65,Calculations!Q65,'Reaction Information'!$C$33,'Reaction Information'!$P$33*10^5,'Reaction Information'!$Q$33,$D$20,$D$19=3))*41.84)</f>
        <v>#N/A</v>
      </c>
      <c r="BS65" s="1">
        <f>Results!AW67</f>
        <v>0</v>
      </c>
      <c r="BT65" s="1">
        <f>Results!AX67</f>
        <v>0</v>
      </c>
      <c r="BU65" s="1">
        <f>Results!AY67</f>
        <v>0</v>
      </c>
      <c r="BV65" s="1">
        <f>Results!AZ67</f>
        <v>0</v>
      </c>
      <c r="BW65" s="1" t="e">
        <f>IF(OR(ISNA('Reaction Information'!$D$38), $N65 = "", $D$27 = FALSE, 'Reaction Information'!$D$38 = ""), NA(), 24.465)</f>
        <v>#N/A</v>
      </c>
      <c r="BX65" s="1" t="e">
        <f>IF(OR(ISNA('Reaction Information'!$D$42), $N65 = "", $D$27 = FALSE, 'Reaction Information'!$D$42 = ""), NA(), 24.465)</f>
        <v>#N/A</v>
      </c>
      <c r="BY65" s="8" t="e">
        <f t="shared" si="18"/>
        <v>#N/A</v>
      </c>
      <c r="BZ65" s="8">
        <f>IF(OR(ISBLANK(Input!$BK$4),$D$27=FALSE),NA(),('Reaction Information'!$J$46/10+'Reaction Information'!$K$46*100/(Calculations!$C$12+Calculations!$M65)+('Reaction Information'!$L$46+'Reaction Information'!$M$46*10000/(Calculations!$C$12+Calculations!$M65))/(Calculations!$O65-Calculations!$C$13)-calculateOmega(Calculations!M65,Calculations!N65,Calculations!Q65,'Reaction Information'!$C$46,'Reaction Information'!$P$46*10^5,'Reaction Information'!$Q$46)*Calculations!$U65*10^-6 + (1/$S65 - 1)*calculate_domegadP(Calculations!M65,Calculations!N65,Calculations!Q65,'Reaction Information'!$C$46,'Reaction Information'!$P$46*10^5,'Reaction Information'!$Q$46,$D$20,$D$19=3))*41.84)</f>
        <v>0</v>
      </c>
      <c r="CA65" s="8">
        <f>IF(OR(ISBLANK(Input!$BN$4),$D$27=FALSE),NA(),('Reaction Information'!$J$50/10+'Reaction Information'!$K$50*100/(Calculations!$C$12+Calculations!$M65)+('Reaction Information'!$L$50+'Reaction Information'!$M$50*10000/(Calculations!$C$12+Calculations!$M65))/(Calculations!$O65-Calculations!$C$13)-calculateOmega(Calculations!M65,Calculations!N65,Calculations!Q65,'Reaction Information'!$C$50,'Reaction Information'!$P$50*10^5,'Reaction Information'!$Q$50)*Calculations!$U65*10^-6 + (1/$S65 - 1)*calculate_domegadP(Calculations!M65,Calculations!N65,Calculations!Q65,'Reaction Information'!$C$50,'Reaction Information'!$P$50*10^5,'Reaction Information'!$Q$50,$D$20,$D$19=3))*41.84)</f>
        <v>27.478224610877643</v>
      </c>
      <c r="CB65" s="8" t="e">
        <f>IF(OR(ISBLANK(Input!$BQ$4),$D$27=FALSE),NA(),('Reaction Information'!$J$54/10+'Reaction Information'!$K$54*100/(Calculations!$C$12+Calculations!$M65)+('Reaction Information'!$L$54+'Reaction Information'!$M$54*10000/(Calculations!$C$12+Calculations!$M65))/(Calculations!$O65-Calculations!$C$13)-calculateOmega(Calculations!M65,Calculations!N65,Calculations!Q65,'Reaction Information'!$C$54,'Reaction Information'!$P$54*10^5,'Reaction Information'!$Q$54)*Calculations!$U65*10^-6 + (1/$S65 - 1)*calculate_domegadP(Calculations!M65,Calculations!N65,Calculations!Q65,'Reaction Information'!$C$54,'Reaction Information'!$P$54*10^5,'Reaction Information'!$Q$54,$D$20,$D$19=3))*41.84)</f>
        <v>#N/A</v>
      </c>
      <c r="CC65" s="8" t="e">
        <f>IF(OR(ISBLANK(Input!$BT$4),$D$27=FALSE),NA(),('Reaction Information'!$J$58/10+'Reaction Information'!$K$58*100/(Calculations!$C$12+Calculations!$M65)+('Reaction Information'!$L$58+'Reaction Information'!$M$58*10000/(Calculations!$C$12+Calculations!$M65))/(Calculations!$O65-Calculations!$C$13)-calculateOmega(Calculations!M65,Calculations!N65,Calculations!Q65,'Reaction Information'!$C$58,'Reaction Information'!$P$58*10^5,'Reaction Information'!$Q$58)*Calculations!$U65*10^-6 + (1/$S65 - 1)*calculate_domegadP(Calculations!M65,Calculations!N65,Calculations!Q65,'Reaction Information'!$C$58,'Reaction Information'!$P$58*10^5,'Reaction Information'!$Q$58,$D$20,$D$19=3))*41.84)</f>
        <v>#N/A</v>
      </c>
      <c r="CD65" s="8" t="e">
        <f>IF(OR(ISBLANK(Input!$BW$4),$D$27=FALSE),NA(),('Reaction Information'!$J$62/10+'Reaction Information'!$K$62*100/(Calculations!$C$12+Calculations!$M65)+('Reaction Information'!$L$62+'Reaction Information'!$M$62*10000/(Calculations!$C$12+Calculations!$M65))/(Calculations!$O65-Calculations!$C$13)-calculateOmega(Calculations!M65,Calculations!N65,Calculations!Q65,'Reaction Information'!$C$62,'Reaction Information'!$P$62*10^5,'Reaction Information'!$Q$62)*Calculations!$U65*10^-6 + (1/$S65 - 1)*calculate_domegadP(Calculations!M65,Calculations!N65,Calculations!Q65,'Reaction Information'!$C$62,'Reaction Information'!$P$62*10^5,'Reaction Information'!$Q$62,$D$20,$D$19=3))*41.84)</f>
        <v>#N/A</v>
      </c>
      <c r="CE65" s="8" t="e">
        <f>IF(OR(ISBLANK(Input!$BZ$4),$D$27=FALSE),NA(),('Reaction Information'!$J$66/10+'Reaction Information'!$K$66*100/(Calculations!$C$12+Calculations!$M65)+('Reaction Information'!$L$66+'Reaction Information'!$M$66*10000/(Calculations!$C$12+Calculations!$M65))/(Calculations!$O65-Calculations!$C$13)-calculateOmega(Calculations!M65,Calculations!N65,Calculations!Q65,'Reaction Information'!$C$66,'Reaction Information'!$P$66*10^5,'Reaction Information'!$Q$66)*Calculations!$U65*10^-6 + (1/$S65 - 1)*calculate_domegadP(Calculations!M65,Calculations!N65,Calculations!Q65,'Reaction Information'!$C$66,'Reaction Information'!$P$66*10^5,'Reaction Information'!$Q$66,$D$20,$D$19=3))*41.84)</f>
        <v>#N/A</v>
      </c>
      <c r="CF65" s="31">
        <f>(BS65*Input!$AO$4+BT65*Input!$AR$4+BU65*Input!$AU$4+BV65*Input!$AX$4+IF(ISNA(BW65),0,BW65*Input!$BA$4)+IF(ISNA(BX65),0,BX65*Input!$BD$4)+IF(ISNA(BY65),0,BY65*Input!$BG$4)+IF(ISNA(BZ65),0,BZ65*Input!$BJ$4)+IF(ISNA(CA65),0,CA65*Input!$BM$4)+IF(ISNA(CB65),0,CB65*Input!$BP$4)+IF(ISNA(CC65),0,CC65*Input!$BS$4)+IF(ISNA(CD65),0,CD65*Input!$BV$4)+IF(ISNA(CE65),0,CE65*Input!$BY$4))-(BF65*Input!$B$4+BG65*Input!$E$4+BH65*Input!$H$4+BI65*Input!$K$4+IF(ISNA(BJ65),0,BJ65*Input!$N$4)+IF(ISNA(BK65),0,BK65*Input!$Q$4)+IF(ISNA(BL65),0,BL65*Input!$T$4)+IF(ISNA(BM65),0,BM65*Input!$W$4)+IF(ISNA(BN65),0,BN65*Input!$Z$4)+IF(ISNA(BO65),0,BO65*Input!$AC$4)+IF(ISNA(BP65),0,BP65*Input!$AF$4)+IF(ISNA(BQ65),0,BQ65*Input!$AI$4)+IF(ISNA(BR65),0,BR65*Input!$AL$4))</f>
        <v>-23.091738466780928</v>
      </c>
      <c r="CG65" s="1">
        <f t="shared" si="12"/>
        <v>1000</v>
      </c>
      <c r="CH65" s="46">
        <f t="shared" si="13"/>
        <v>20000</v>
      </c>
      <c r="CI65" s="1"/>
    </row>
    <row r="66" spans="1:87" x14ac:dyDescent="0.2">
      <c r="A66" s="1"/>
      <c r="E66" s="1"/>
      <c r="F66" s="2">
        <v>61</v>
      </c>
      <c r="G66" s="1" t="str">
        <f>IF(ISBLANK(Input!CB66), "", Input!CB66*1000)</f>
        <v/>
      </c>
      <c r="H66" s="1" t="str">
        <f>IF(ISBLANK(Input!CC66), "", Input!CC66)</f>
        <v/>
      </c>
      <c r="I66" s="1">
        <f>IF(Input!$CF$5 + Input!$CF$6*(FLOOR((Calculations!$F66-1)/(FLOOR((Input!$CF$12-Input!$CF$10)/Input!$CF$11,1)+1),1)) &gt; Input!$CF$7, "", (Input!$CF$5 + Input!$CF$6*(FLOOR((Calculations!$F66-1)/(FLOOR((Input!$CF$12-Input!$CF$10)/Input!$CF$11,1)+1),1)))*1000)</f>
        <v>25000</v>
      </c>
      <c r="J66" s="1">
        <f>IF(Calculations!I66 = "", "", Input!$CF$10 + Input!$CF$11*(Calculations!$F66-1) - (FLOOR((Input!$CF$12-Input!$CF$10)/Input!$CF$11,1)+1)*Input!$CF$11*FLOOR((Calculations!$F66-1)/(FLOOR((Input!$CF$12-Input!$CF$10)/Input!$CF$11,1)+1),1))</f>
        <v>300</v>
      </c>
      <c r="K66" s="8" t="str">
        <f t="shared" si="14"/>
        <v/>
      </c>
      <c r="L66" s="117" t="str">
        <f>IF(OR(Input!$CJ$5 + Input!$CJ$6*(Calculations!F66-1) &gt; Input!$CJ$7, Input!$CJ$5 + Input!$CJ$6*(Calculations!F66-1) &gt; 350), "", Input!$CJ$5 + Input!$CJ$6*(Calculations!F66-1))</f>
        <v/>
      </c>
      <c r="M66" s="1">
        <f t="shared" si="2"/>
        <v>25000</v>
      </c>
      <c r="N66" s="1">
        <f t="shared" si="3"/>
        <v>300</v>
      </c>
      <c r="O66" s="1">
        <f t="shared" si="15"/>
        <v>573.15</v>
      </c>
      <c r="P66" s="1" t="e">
        <f>IF(OR($D$20=3,AND($D$21=TRUE,M66&lt;1000)),INDEX('Water Density'!$C$6:$CX$120,MATCH(Calculations!N66,'Water Density'!$B$6:$B$120),MATCH(Calculations!M66/1000,'Water Density'!$C$5:$CX$5)),NA())</f>
        <v>#N/A</v>
      </c>
      <c r="Q66" s="182">
        <f>IF(OR($D$20=3,AND($D$21=TRUE,M66&lt;1000)), IF(P66&lt;&gt;0,P66,NA()), calculateDensity(M66,N66,$D$20,0.01,$D$19 = 3))</f>
        <v>1.2901458854830268</v>
      </c>
      <c r="R66" s="1" t="e">
        <f>IF($D$22=5,INDEX('Dielectric Constant'!$C$6:$CX$120,MATCH(Calculations!N66,'Dielectric Constant'!$B$6:$B$120),MATCH(Calculations!M66/1000,'Dielectric Constant'!$C$5:$CX$5)),NA())</f>
        <v>#N/A</v>
      </c>
      <c r="S66" s="58">
        <f>IF($D$22=5, IF(R66&lt;&gt;0,R66,NA()), IF(AND($D$23,M66&lt;=5000,$D$19 &lt;&gt; 3),calculateEpsilon(Q66,N66,1,FALSE),calculateEpsilon(Q66,N66,$D$22,$D$19 = 3)))</f>
        <v>49.702659862363149</v>
      </c>
      <c r="T66" s="1" t="e">
        <f>IF($D$24=3,INDEX('Water Free Energy'!$C$6:$CX$120,MATCH(Calculations!N66,'Water Free Energy'!$B$6:$B$120),MATCH(Calculations!M66/1000,'Water Free Energy'!$C$5:$CX$5)),NA())</f>
        <v>#N/A</v>
      </c>
      <c r="U66" s="179">
        <f>IF($D$27,calculateQ(M66,N66,Q66,$D$20,$D$22,$D$19=3)*10^6,NA())</f>
        <v>0.16819922381114569</v>
      </c>
      <c r="V66"/>
      <c r="W66" s="2">
        <f t="shared" si="5"/>
        <v>25000</v>
      </c>
      <c r="X66" s="1">
        <f t="shared" si="6"/>
        <v>300</v>
      </c>
      <c r="Y66" s="1">
        <f>Results!F68</f>
        <v>0</v>
      </c>
      <c r="Z66" s="1">
        <f>Results!G68</f>
        <v>0</v>
      </c>
      <c r="AA66" s="1">
        <f>Results!H68</f>
        <v>0</v>
      </c>
      <c r="AB66" s="1">
        <f>Results!I68</f>
        <v>0</v>
      </c>
      <c r="AC66" s="1" t="e">
        <f>IF(ISBLANK(Input!$O$4),NA(),'Reaction Information'!$E$5-'Reaction Information'!$G$5*(Calculations!$O66-Calculations!$C$8)+'Reaction Information'!$I$5*(Calculations!$O66-Calculations!$C$8-Calculations!$O66*LN(Calculations!$O66/Calculations!$C$8))+'Reaction Information'!$J$5*0.001/2*(2*Calculations!$O66*Calculations!$C$8-Calculations!$O66^2-Calculations!$C$8^2) + 'Reaction Information'!$K$5*100000*(Calculations!$O66^2 + Calculations!$C$8^2 - 2*Calculations!$O66*Calculations!$C$8)/(2*Calculations!$O66*Calculations!$C$8^2))</f>
        <v>#N/A</v>
      </c>
      <c r="AD66" s="8" t="e">
        <f>IF(ISBLANK(Input!$R$4),NA(),'Reaction Information'!$E$9-'Reaction Information'!$G$9*(Calculations!$O66-Calculations!$C$8)+'Reaction Information'!$I$9*(Calculations!$O66-Calculations!$C$8-Calculations!$O66*LN(Calculations!$O66/Calculations!$C$8))+'Reaction Information'!$J$9*0.001/2*(2*Calculations!$O66*Calculations!$C$8-Calculations!$O66^2-Calculations!$C$8^2) + 'Reaction Information'!$K$9*100000*(Calculations!$O66^2 + Calculations!$C$8^2 - 2*Calculations!$O66*Calculations!$C$8)/(2*Calculations!$O66*Calculations!$C$8^2))</f>
        <v>#N/A</v>
      </c>
      <c r="AE66" s="8">
        <f>IF(AE$5="H2O",IF($D$24=3,IF(T66=0,NA(),T66),calculateGibbsOfWater(M66,N66,$D$24,$D$20,$D$19=3)),NA())</f>
        <v>-53249.048279229624</v>
      </c>
      <c r="AF66" s="8">
        <f>IF(ISBLANK(Input!$X$4),NA(),'Reaction Information'!$E$13-'Reaction Information'!$G$13*(Calculations!O66-Calculations!$C$8)-'Reaction Information'!$N$13*(Calculations!O66*LN(Calculations!O66/Calculations!$C$8)-Calculations!O66+Calculations!$C$8)-'Reaction Information'!$O$13*10^4*(((1/(Calculations!O66-Calculations!$C$13))-(1/(Calculations!$C$8-Calculations!$C$13)))*((Calculations!$C$13-Calculations!O66)/(Calculations!$C$13))-(Calculations!O66/(Calculations!$C$13*Calculations!$C$13))*LN((Calculations!$C$8*(Calculations!O66-Calculations!$C$13))/(Calculations!O66*(Calculations!$C$8-Calculations!$C$13))))+'Reaction Information'!$J$13*10^-1*(Calculations!M66-Calculations!$C$9)+'Reaction Information'!$K$13*10^2*LN((Calculations!$C$12+Calculations!M66)/(Calculations!$C$12+Calculations!$C$9))+(1/(Calculations!O66-Calculations!$C$13))*('Reaction Information'!$L$13*(Calculations!M66-Calculations!$C$9)+'Reaction Information'!$M$13*10^4*LN((Calculations!$C$12+Calculations!M66)/(Calculations!$C$12+Calculations!$C$9)))+calculateOmega(Calculations!M66,Calculations!N66,Calculations!Q66,'Reaction Information'!$C$13,'Reaction Information'!$P$13*10^5,'Reaction Information'!$Q$13)*((1/Calculations!S66)-1)-'Reaction Information'!$P$13*10^5*((1/Calculations!$C$10)-1)+'Reaction Information'!$P$13*10^5*Calculations!$C$14*(Calculations!O66-Calculations!$C$8))</f>
        <v>-84281.646956484576</v>
      </c>
      <c r="AG66" s="8" t="e">
        <f>IF(ISBLANK(Input!$AA$4),NA(),'Reaction Information'!$E$17-'Reaction Information'!$G$17*(Calculations!$O66-Calculations!$C$8)-'Reaction Information'!$N$17*(Calculations!$O66*LN(Calculations!$O66/Calculations!$C$8)-Calculations!$O66+Calculations!$C$8)-'Reaction Information'!$O$17*10^4*(((1/(Calculations!$O66-Calculations!$C$13))-(1/(Calculations!$C$8-Calculations!$C$13)))*((Calculations!$C$13-Calculations!$O66)/(Calculations!$C$13))-(Calculations!$O66/(Calculations!$C$13*Calculations!$C$13))*LN((Calculations!$C$8*(Calculations!$O66-Calculations!$C$13))/(Calculations!$O66*(Calculations!$C$8-Calculations!$C$13))))+'Reaction Information'!$J$17*10^-1*(Calculations!$M66-Calculations!$C$9)+'Reaction Information'!$K$17*10^2*LN((Calculations!$C$12+Calculations!$M66)/(Calculations!$C$12+Calculations!$C$9))+(1/(Calculations!$O66-Calculations!$C$13))*('Reaction Information'!$L$17*(Calculations!$M66-Calculations!$C$9)+'Reaction Information'!$M$17*10^4*LN((Calculations!$C$12+Calculations!$M66)/(Calculations!$C$12+Calculations!$C$9)))+calculateOmega(Calculations!M66,Calculations!N66,Calculations!Q66,'Reaction Information'!$C$17,'Reaction Information'!$P$17*10^5,'Reaction Information'!$Q$17)*((1/Calculations!$S66)-1)-'Reaction Information'!$P$17*10^5*((1/Calculations!$C$10)-1)+'Reaction Information'!$P$17*10^5*Calculations!$C$14*(Calculations!$O66-Calculations!$C$8))</f>
        <v>#N/A</v>
      </c>
      <c r="AH66" s="8" t="e">
        <f>IF(ISBLANK(Input!$AD$4),NA(),'Reaction Information'!$E$21-'Reaction Information'!$G$21*(Calculations!$O66-Calculations!$C$8)-'Reaction Information'!$N$21*(Calculations!$O66*LN(Calculations!$O66/Calculations!$C$8)-Calculations!$O66+Calculations!$C$8)-'Reaction Information'!$O$21*10^4*(((1/(Calculations!$O66-Calculations!$C$13))-(1/(Calculations!$C$8-Calculations!$C$13)))*((Calculations!$C$13-Calculations!$O66)/(Calculations!$C$13))-(Calculations!$O66/(Calculations!$C$13*Calculations!$C$13))*LN((Calculations!$C$8*(Calculations!$O66-Calculations!$C$13))/(Calculations!$O66*(Calculations!$C$8-Calculations!$C$13))))+'Reaction Information'!$J$21*10^-1*(Calculations!$M66-Calculations!$C$9)+'Reaction Information'!$K$21*10^2*LN((Calculations!$C$12+Calculations!$M66)/(Calculations!$C$12+Calculations!$C$9))+(1/(Calculations!$O66-Calculations!$C$13))*('Reaction Information'!$L$21*(Calculations!$M66-Calculations!$C$9)+'Reaction Information'!$M$21*10^4*LN((Calculations!$C$12+Calculations!$M66)/(Calculations!$C$12+Calculations!$C$9)))+calculateOmega(Calculations!M66,Calculations!N66,Calculations!Q66,'Reaction Information'!$C$21,'Reaction Information'!$P$21*10^5,'Reaction Information'!$Q$21)*((1/Calculations!$S66)-1)-'Reaction Information'!$P$21*10^5*((1/Calculations!$C$10)-1)+'Reaction Information'!$P$21*10^5*Calculations!$C$14*(Calculations!$O66-Calculations!$C$8))</f>
        <v>#N/A</v>
      </c>
      <c r="AI66" s="8" t="e">
        <f>IF(ISBLANK(Input!$AG$4),NA(),'Reaction Information'!$E$25-'Reaction Information'!$G$25*(Calculations!$O66-Calculations!$C$8)-'Reaction Information'!$N$25*(Calculations!$O66*LN(Calculations!$O66/Calculations!$C$8)-Calculations!$O66+Calculations!$C$8)-'Reaction Information'!$O$25*10^4*(((1/(Calculations!$O66-Calculations!$C$13))-(1/(Calculations!$C$8-Calculations!$C$13)))*((Calculations!$C$13-Calculations!$O66)/(Calculations!$C$13))-(Calculations!$O66/(Calculations!$C$13*Calculations!$C$13))*LN((Calculations!$C$8*(Calculations!$O66-Calculations!$C$13))/(Calculations!$O66*(Calculations!$C$8-Calculations!$C$13))))+'Reaction Information'!$J$25*10^-1*(Calculations!$M66-Calculations!$C$9)+'Reaction Information'!$K$25*10^2*LN((Calculations!$C$12+Calculations!$M66)/(Calculations!$C$12+Calculations!$C$9))+(1/(Calculations!$O66-Calculations!$C$13))*('Reaction Information'!$L$25*(Calculations!$M66-Calculations!$C$9)+'Reaction Information'!$M$25*10^4*LN((Calculations!$C$12+Calculations!$M66)/(Calculations!$C$12+Calculations!$C$9)))+calculateOmega(Calculations!M66,Calculations!N66,Calculations!Q66,'Reaction Information'!$C$25,'Reaction Information'!$P$25*10^5,'Reaction Information'!$Q$25)*((1/Calculations!$S66)-1)-'Reaction Information'!$P$25*10^5*((1/Calculations!$C$10)-1)+'Reaction Information'!$P$25*10^5*Calculations!$C$14*(Calculations!$O66-Calculations!$C$8))</f>
        <v>#N/A</v>
      </c>
      <c r="AJ66" s="8" t="e">
        <f>IF(ISBLANK(Input!$AJ$4),NA(),'Reaction Information'!$E$29-'Reaction Information'!$G$29*(Calculations!$O66-Calculations!$C$8)-'Reaction Information'!$N$29*(Calculations!$O66*LN(Calculations!$O66/Calculations!$C$8)-Calculations!$O66+Calculations!$C$8)-'Reaction Information'!$O$29*10^4*(((1/(Calculations!$O66-Calculations!$C$13))-(1/(Calculations!$C$8-Calculations!$C$13)))*((Calculations!$C$13-Calculations!$O66)/(Calculations!$C$13))-(Calculations!$O66/(Calculations!$C$13*Calculations!$C$13))*LN((Calculations!$C$8*(Calculations!$O66-Calculations!$C$13))/(Calculations!$O66*(Calculations!$C$8-Calculations!$C$13))))+'Reaction Information'!$J$29*10^-1*(Calculations!$M66-Calculations!$C$9)+'Reaction Information'!$K$29*10^2*LN((Calculations!$C$12+Calculations!$M66)/(Calculations!$C$12+Calculations!$C$9))+(1/(Calculations!$O66-Calculations!$C$13))*('Reaction Information'!$L$29*(Calculations!$M66-Calculations!$C$9)+'Reaction Information'!$M$29*10^4*LN((Calculations!$C$12+Calculations!$M66)/(Calculations!$C$12+Calculations!$C$9)))+calculateOmega(Calculations!M66,Calculations!N66,Calculations!Q66,'Reaction Information'!$C$29,'Reaction Information'!$P$29*10^5,'Reaction Information'!$Q$29)*((1/Calculations!$S66)-1)-'Reaction Information'!$P$29*10^5*((1/Calculations!$C$10)-1)+'Reaction Information'!$P$29*10^5*Calculations!$C$14*(Calculations!$O66-Calculations!$C$8))</f>
        <v>#N/A</v>
      </c>
      <c r="AK66" s="8" t="e">
        <f>IF(ISBLANK(Input!$AM$4),NA(),'Reaction Information'!$E$33-'Reaction Information'!$G$33*(Calculations!$O66-Calculations!$C$8)-'Reaction Information'!$N$33*(Calculations!$O66*LN(Calculations!$O66/Calculations!$C$8)-Calculations!$O66+Calculations!$C$8)-'Reaction Information'!$O$33*10^4*(((1/(Calculations!$O66-Calculations!$C$13))-(1/(Calculations!$C$8-Calculations!$C$13)))*((Calculations!$C$13-Calculations!$O66)/(Calculations!$C$13))-(Calculations!$O66/(Calculations!$C$13*Calculations!$C$13))*LN((Calculations!$C$8*(Calculations!$O66-Calculations!$C$13))/(Calculations!$O66*(Calculations!$C$8-Calculations!$C$13))))+'Reaction Information'!$J$33*10^-1*(Calculations!$M66-Calculations!$C$9)+'Reaction Information'!$K$33*10^2*LN((Calculations!$C$12+Calculations!$M66)/(Calculations!$C$12+Calculations!$C$9))+(1/(Calculations!$O66-Calculations!$C$13))*('Reaction Information'!$L$33*(Calculations!$M66-Calculations!$C$9)+'Reaction Information'!$M$33*10^4*LN((Calculations!$C$12+Calculations!$M66)/(Calculations!$C$12+Calculations!$C$9)))+calculateOmega(Calculations!M66,Calculations!N66,Calculations!Q66,'Reaction Information'!$C$33,'Reaction Information'!$P$33*10^5,'Reaction Information'!$Q$33)*((1/Calculations!$S66)-1)-'Reaction Information'!$P$33*10^5*((1/Calculations!$C$10)-1)+'Reaction Information'!$P$33*10^5*Calculations!$C$14*(Calculations!$O66-Calculations!$C$8))</f>
        <v>#N/A</v>
      </c>
      <c r="AL66" s="1">
        <f>Results!S68</f>
        <v>0</v>
      </c>
      <c r="AM66" s="1">
        <f>Results!T68</f>
        <v>0</v>
      </c>
      <c r="AN66" s="1">
        <f>Results!U68</f>
        <v>0</v>
      </c>
      <c r="AO66" s="1">
        <f>Results!V68</f>
        <v>0</v>
      </c>
      <c r="AP66" s="8" t="e">
        <f>IF(ISBLANK(Input!$BB$4),NA(),'Reaction Information'!$E$38-'Reaction Information'!$G$38*(Calculations!$O66-Calculations!$C$8)+'Reaction Information'!$I$38*(Calculations!$O66-Calculations!$C$8-Calculations!$O66*LN(Calculations!$O66/Calculations!$C$8))+'Reaction Information'!$J$38*0.001/2*(2*Calculations!$O66*Calculations!$C$8-Calculations!$O66^2-Calculations!$C$8^2) + 'Reaction Information'!$K$38*100000*(Calculations!$O66^2 + Calculations!$C$8^2 - 2*Calculations!$O66*Calculations!$C$8)/(2*Calculations!$O66*Calculations!$C$8^2))</f>
        <v>#N/A</v>
      </c>
      <c r="AQ66" s="8" t="e">
        <f>IF(ISBLANK(Input!$BE$4),NA(),'Reaction Information'!$E$42-'Reaction Information'!$G$42*(Calculations!$O66-Calculations!$C$8)+'Reaction Information'!$I$42*(Calculations!$O66-Calculations!$C$8-Calculations!$O66*LN(Calculations!$O66/Calculations!$C$8))+'Reaction Information'!$J$42*0.001/2*(2*Calculations!$O66*Calculations!$C$8-Calculations!$O66^2-Calculations!$C$8^2) + 'Reaction Information'!$K$42*100000*(Calculations!$O66^2 + Calculations!$C$8^2 - 2*Calculations!$O66*Calculations!$C$8)/(2*Calculations!$O66*Calculations!$C$8^2))</f>
        <v>#N/A</v>
      </c>
      <c r="AR66" s="8" t="e">
        <f>IF(AR$5="H2O", IF($D$24=3,IF(T66=0,NA(),T66),calculateGibbsOfWater(M66,N66,$D$24,$D$20,$D$19=3)),NA())</f>
        <v>#N/A</v>
      </c>
      <c r="AS66" s="8">
        <f>IF(ISBLANK(Input!$BK$4),NA(),'Reaction Information'!$E$46-'Reaction Information'!$G$46*(Calculations!O66-Calculations!$C$8)-'Reaction Information'!$N$46*(Calculations!O66*LN(Calculations!O66/Calculations!$C$8)-Calculations!O66+Calculations!$C$8)-'Reaction Information'!$O$46*10^4*(((1/(Calculations!O66-Calculations!$C$13))-(1/(Calculations!$C$8-Calculations!$C$13)))*((Calculations!$C$13-Calculations!O66)/(Calculations!$C$13))-(Calculations!O66/(Calculations!$C$13*Calculations!$C$13))*LN((Calculations!$C$8*(Calculations!O66-Calculations!$C$13))/(Calculations!O66*(Calculations!$C$8-Calculations!$C$13))))+'Reaction Information'!$J$46*10^-1*(Calculations!$M66-Calculations!$C$9)+'Reaction Information'!$K$46*10^2*LN((Calculations!$C$12+Calculations!$M66)/(Calculations!$C$12+Calculations!$C$9))+(1/(Calculations!O66-Calculations!$C$13))*('Reaction Information'!$L$46*(Calculations!$M66-Calculations!$C$9)+'Reaction Information'!$M$46*10^4*LN((Calculations!$C$12+Calculations!$M66)/(Calculations!$C$12+Calculations!$C$9)))+calculateOmega(Calculations!M66,Calculations!N66,Calculations!Q66,'Reaction Information'!$C$46,'Reaction Information'!$P$46*10^5,'Reaction Information'!$Q$46)*((1/Calculations!S66)-1)-'Reaction Information'!$P$46*10^5*((1/Calculations!$C$10)-1)+'Reaction Information'!$P$46*10^5*Calculations!$C$14*(Calculations!O66-Calculations!$C$8))</f>
        <v>0</v>
      </c>
      <c r="AT66" s="8">
        <f>IF(ISBLANK(Input!$BN$4),NA(),'Reaction Information'!$E$50-'Reaction Information'!$G$50*(Calculations!O66-Calculations!$C$8)-'Reaction Information'!$N$50*(Calculations!O66*LN(Calculations!O66/Calculations!$C$8)-Calculations!O66+Calculations!$C$8)-'Reaction Information'!$O$50*10^4*(((1/(Calculations!O66-Calculations!$C$13))-(1/(Calculations!$C$8-Calculations!$C$13)))*((Calculations!$C$13-Calculations!O66)/(Calculations!$C$13))-(Calculations!O66/(Calculations!$C$13*Calculations!$C$13))*LN((Calculations!$C$8*(Calculations!O66-Calculations!$C$13))/(Calculations!O66*(Calculations!$C$8-Calculations!$C$13))))+'Reaction Information'!$J$50*10^-1*(Calculations!$M66-Calculations!$C$9)+'Reaction Information'!$K$50*10^2*LN((Calculations!$C$12+Calculations!$M66)/(Calculations!$C$12+Calculations!$C$9))+(1/(Calculations!O66-Calculations!$C$13))*('Reaction Information'!$L$50*(Calculations!$M66-Calculations!$C$9)+'Reaction Information'!$M$50*10^4*LN((Calculations!$C$12+Calculations!$M66)/(Calculations!$C$12+Calculations!$C$9)))+calculateOmega(Calculations!M66,Calculations!N66,Calculations!Q66,'Reaction Information'!$C$50,'Reaction Information'!$P$50*10^5,'Reaction Information'!$Q$50)*((1/Calculations!S66)-1)-'Reaction Information'!$P$50*10^5*((1/Calculations!$C$10)-1)+'Reaction Information'!$P$50*10^5*Calculations!$C$14*(Calculations!O66-Calculations!$C$8))</f>
        <v>-129487.79362036938</v>
      </c>
      <c r="AU66" s="8" t="e">
        <f>IF(ISBLANK(Input!$BQ$4),NA(),'Reaction Information'!$E$54-'Reaction Information'!$G$54*(Calculations!$O66-Calculations!$C$8)-'Reaction Information'!$N$54*(Calculations!$O66*LN(Calculations!$O66/Calculations!$C$8)-Calculations!$O66+Calculations!$C$8)-'Reaction Information'!$O$54*10^4*(((1/(Calculations!$O66-Calculations!$C$13))-(1/(Calculations!$C$8-Calculations!$C$13)))*((Calculations!$C$13-Calculations!$O66)/(Calculations!$C$13))-(Calculations!$O66/(Calculations!$C$13*Calculations!$C$13))*LN((Calculations!$C$8*(Calculations!$O66-Calculations!$C$13))/(Calculations!$O66*(Calculations!$C$8-Calculations!$C$13))))+'Reaction Information'!$J$54*10^-1*(Calculations!$M66-Calculations!$C$9)+'Reaction Information'!$K$54*10^2*LN((Calculations!$C$12+Calculations!$M66)/(Calculations!$C$12+Calculations!$C$9))+(1/(Calculations!$O66-Calculations!$C$13))*('Reaction Information'!$L$54*(Calculations!$M66-Calculations!$C$9)+'Reaction Information'!$M$54*10^4*LN((Calculations!$C$12+Calculations!$M66)/(Calculations!$C$12+Calculations!$C$9)))+calculateOmega(Calculations!M66,Calculations!N66,Calculations!Q66,'Reaction Information'!$C$54,'Reaction Information'!$P$54*10^5,'Reaction Information'!$Q$54)*((1/Calculations!$S66)-1)-'Reaction Information'!$P$54*10^5*((1/Calculations!$C$10)-1)+'Reaction Information'!$P$54*10^5*Calculations!$C$14*(Calculations!$O66-Calculations!$C$8))</f>
        <v>#N/A</v>
      </c>
      <c r="AV66" s="8" t="e">
        <f>IF(ISBLANK(Input!$BT$4),NA(),'Reaction Information'!$E$58-'Reaction Information'!$G$58*(Calculations!$O66-Calculations!$C$8)-'Reaction Information'!$N$58*(Calculations!$O66*LN(Calculations!$O66/Calculations!$C$8)-Calculations!$O66+Calculations!$C$8)-'Reaction Information'!$O$58*10^4*(((1/(Calculations!$O66-Calculations!$C$13))-(1/(Calculations!$C$8-Calculations!$C$13)))*((Calculations!$C$13-Calculations!$O66)/(Calculations!$C$13))-(Calculations!$O66/(Calculations!$C$13*Calculations!$C$13))*LN((Calculations!$C$8*(Calculations!$O66-Calculations!$C$13))/(Calculations!$O66*(Calculations!$C$8-Calculations!$C$13))))+'Reaction Information'!$J$58*10^-1*(Calculations!$M66-Calculations!$C$9)+'Reaction Information'!$K$58*10^2*LN((Calculations!$C$12+Calculations!$M66)/(Calculations!$C$12+Calculations!$C$9))+(1/(Calculations!$O66-Calculations!$C$13))*('Reaction Information'!$L$58*(Calculations!$M66-Calculations!$C$9)+'Reaction Information'!$M$58*10^4*LN((Calculations!$C$12+Calculations!$M66)/(Calculations!$C$12+Calculations!$C$9)))+calculateOmega(Calculations!M66,Calculations!N66,Calculations!Q66,'Reaction Information'!$C$58,'Reaction Information'!$P$58*10^5,'Reaction Information'!$Q$58)*((1/Calculations!$S66)-1)-'Reaction Information'!$P$58*10^5*((1/Calculations!$C$10)-1)+'Reaction Information'!$P$58*10^5*Calculations!$C$14*(Calculations!$O66-Calculations!$C$8))</f>
        <v>#N/A</v>
      </c>
      <c r="AW66" s="8" t="e">
        <f>IF(ISBLANK(Input!$BW$4),NA(),'Reaction Information'!$E$62-'Reaction Information'!$G$62*(Calculations!$O66-Calculations!$C$8)-'Reaction Information'!$N$62*(Calculations!$O66*LN(Calculations!$O66/Calculations!$C$8)-Calculations!$O66+Calculations!$C$8)-'Reaction Information'!$O$62*10^4*(((1/(Calculations!$O66-Calculations!$C$13))-(1/(Calculations!$C$8-Calculations!$C$13)))*((Calculations!$C$13-Calculations!$O66)/(Calculations!$C$13))-(Calculations!$O66/(Calculations!$C$13*Calculations!$C$13))*LN((Calculations!$C$8*(Calculations!$O66-Calculations!$C$13))/(Calculations!$O66*(Calculations!$C$8-Calculations!$C$13))))+'Reaction Information'!$J$62*10^-1*(Calculations!$M66-Calculations!$C$9)+'Reaction Information'!$K$62*10^2*LN((Calculations!$C$12+Calculations!$M66)/(Calculations!$C$12+Calculations!$C$9))+(1/(Calculations!$O66-Calculations!$C$13))*('Reaction Information'!$L$62*(Calculations!$M66-Calculations!$C$9)+'Reaction Information'!$M$62*10^4*LN((Calculations!$C$12+Calculations!$M66)/(Calculations!$C$12+Calculations!$C$9)))+calculateOmega(Calculations!M66,Calculations!N66,Calculations!Q66,'Reaction Information'!$C$62,'Reaction Information'!$P$62*10^5,'Reaction Information'!$Q$62)*((1/Calculations!$S66)-1)-'Reaction Information'!$P$62*10^5*((1/Calculations!$C$10)-1)+'Reaction Information'!$P$62*10^5*Calculations!$C$14*(Calculations!$O66-Calculations!$C$8))</f>
        <v>#N/A</v>
      </c>
      <c r="AX66" s="8" t="e">
        <f>IF(ISBLANK(Input!$BZ$4),NA(),'Reaction Information'!$E$66-'Reaction Information'!$G$66*(Calculations!$O66-Calculations!$C$8)-'Reaction Information'!$N$66*(Calculations!$O66*LN(Calculations!$O66/Calculations!$C$8)-Calculations!$O66+Calculations!$C$8)-'Reaction Information'!$O$66*10^4*(((1/(Calculations!$O66-Calculations!$C$13))-(1/(Calculations!$C$8-Calculations!$C$13)))*((Calculations!$C$13-Calculations!$O66)/(Calculations!$C$13))-(Calculations!$O66/(Calculations!$C$13*Calculations!$C$13))*LN((Calculations!$C$8*(Calculations!$O66-Calculations!$C$13))/(Calculations!$O66*(Calculations!$C$8-Calculations!$C$13))))+'Reaction Information'!$J$66*10^-1*(Calculations!$M66-Calculations!$C$9)+'Reaction Information'!$K$66*10^2*LN((Calculations!$C$12+Calculations!$M66)/(Calculations!$C$12+Calculations!$C$9))+(1/(Calculations!$O66-Calculations!$C$13))*('Reaction Information'!$L$66*(Calculations!$M66-Calculations!$C$9)+'Reaction Information'!$M$66*10^4*LN((Calculations!$C$12+Calculations!$M66)/(Calculations!$C$12+Calculations!$C$9)))+calculateOmega(Calculations!M66,Calculations!N66,Calculations!Q66,'Reaction Information'!$C$66,'Reaction Information'!$P$66*10^5,'Reaction Information'!$Q$66)*((1/Calculations!$S66)-1)-'Reaction Information'!$P$66*10^5*((1/Calculations!$C$10)-1)+'Reaction Information'!$P$66*10^5*Calculations!$C$14*(Calculations!$O66-Calculations!$C$8))</f>
        <v>#N/A</v>
      </c>
      <c r="AY66" s="31">
        <f>(AL66*Input!$AO$4+AM66*Input!$AR$4+AN66*Input!$AU$4+AO66*Input!$AX$4+IF(ISNA(AP66),0,AP66*Input!$BA$4)+IF(ISNA(AQ66),0,AQ66*Input!$BD$4)+IF(ISNA(AR66),0,AR66*Input!$BG$4)+IF(ISNA(AS66),0,AS66*Input!$BJ$4)+IF(ISNA(AT66),0,AT66*Input!$BM$4)+IF(ISNA(AU66),0,AU66*Input!$BP$4)+IF(ISNA(AV66),0,AV66*Input!$BS$4)+IF(ISNA(AW66),0,AW66*Input!$BV$4)+IF(ISNA(AX66),0,AX66*Input!$BY$4))-(Y66*Input!$B$4+Z66*Input!$E$4+AA66*Input!$H$4+AB66*Input!$K$4+IF(ISNA(AC66),0,AC66*Input!$N$4)+IF(ISNA(AD66),0,AD66*Input!$Q$4)+IF(ISNA(AE66),0,AE66*Input!$T$4)+IF(ISNA(AF66),0,AF66*Input!$W$4)+IF(ISNA(AG66),0,AG66*Input!$Z$4)+IF(ISNA(AH66),0,AH66*Input!$AC$4)+IF(ISNA(AI66),0,AI66*Input!$AF$4)+IF(ISNA(AJ66),0,AJ66*Input!$AI$4)+IF(ISNA(AK66),0,AK66*Input!$AL$4))</f>
        <v>8042.9016153448174</v>
      </c>
      <c r="AZ66" s="42">
        <f t="shared" si="16"/>
        <v>-3.0688547460967808</v>
      </c>
      <c r="BA66" s="1">
        <f t="shared" si="8"/>
        <v>300</v>
      </c>
      <c r="BB66" s="46">
        <f t="shared" si="9"/>
        <v>25000</v>
      </c>
      <c r="BC66" s="1"/>
      <c r="BD66" s="2">
        <f t="shared" si="10"/>
        <v>25000</v>
      </c>
      <c r="BE66" s="46">
        <f t="shared" si="11"/>
        <v>300</v>
      </c>
      <c r="BF66" s="1">
        <f>Results!AJ68</f>
        <v>0</v>
      </c>
      <c r="BG66" s="1">
        <f>Results!AK68</f>
        <v>0</v>
      </c>
      <c r="BH66" s="1">
        <f>Results!AL68</f>
        <v>0</v>
      </c>
      <c r="BI66" s="1">
        <f>Results!AM68</f>
        <v>0</v>
      </c>
      <c r="BJ66" s="1" t="e">
        <f>IF(OR(ISNA('Reaction Information'!$D$5), $N66 = "", $D$27 = FALSE, 'Reaction Information'!$D$5 = ""), NA(), 24.465)</f>
        <v>#N/A</v>
      </c>
      <c r="BK66" s="1" t="e">
        <f>IF(OR(ISNA('Reaction Information'!$D$9), $N66 = "", $D$27 = FALSE, 'Reaction Information'!$D$9 = ""), NA(), 24.465)</f>
        <v>#N/A</v>
      </c>
      <c r="BL66" s="8">
        <f t="shared" si="17"/>
        <v>13.963754179051723</v>
      </c>
      <c r="BM66" s="8">
        <f>IF(OR(ISBLANK(Input!$X$4),$D$27=FALSE),NA(),('Reaction Information'!$J$13/10+'Reaction Information'!$K$13*100/(Calculations!$C$12+Calculations!$M66)+('Reaction Information'!$L$13+'Reaction Information'!$M$13*10^4/(Calculations!$C$12+Calculations!$M66))/(Calculations!$O66-Calculations!$C$13) -calculateOmega(Calculations!$M66,Calculations!$N66,Calculations!$Q66,'Reaction Information'!$C$13,'Reaction Information'!$P$13*10^5,'Reaction Information'!$Q$13)*Calculations!$U66*10^-6 + (1/$S66 - 1)*calculate_domegadP(Calculations!$M66,Calculations!$N66,Calculations!$Q66,'Reaction Information'!$C$13,'Reaction Information'!$P$13*10^5,'Reaction Information'!$Q$13,$D$20,$D$19=3))*41.84)</f>
        <v>30.273457245437925</v>
      </c>
      <c r="BN66" s="8" t="e">
        <f>IF(OR(ISBLANK(Input!$AA$4),$D$27=FALSE),NA(),('Reaction Information'!$J$17/10+'Reaction Information'!$K$17*100/(Calculations!$C$12+Calculations!$M66)+('Reaction Information'!$L$17+'Reaction Information'!$M$17*10000/(Calculations!$C$12+Calculations!$M66))/(Calculations!$O66-Calculations!$C$13)-calculateOmega(Calculations!M66,Calculations!N66,Calculations!Q66,'Reaction Information'!$C$17,'Reaction Information'!$P$17*10^5,'Reaction Information'!$Q$17)*Calculations!$U66*10^-6 + (1/$S66 - 1)*calculate_domegadP(Calculations!M66,Calculations!N66,Calculations!Q66,'Reaction Information'!$C$17,'Reaction Information'!$P$17*10^5,'Reaction Information'!$Q$17,$D$20,$D$19=3))*41.84)</f>
        <v>#N/A</v>
      </c>
      <c r="BO66" s="8" t="e">
        <f>IF(OR(ISBLANK(Input!$AD$4),$D$27=FALSE),NA(),('Reaction Information'!$J$21/10+'Reaction Information'!$K$21*100/(Calculations!$C$12+Calculations!$M66)+('Reaction Information'!$L$21+'Reaction Information'!$M$21*10000/(Calculations!$C$12+Calculations!$M66))/(Calculations!$O66-Calculations!$C$13)-calculateOmega(Calculations!M66,Calculations!N66,Calculations!Q66,'Reaction Information'!$C$21,'Reaction Information'!$P$21*10^5,'Reaction Information'!$Q$21)*Calculations!$U66*10^-6 + (1/$S66 - 1)*calculate_domegadP(Calculations!M66,Calculations!N66,Calculations!Q66,'Reaction Information'!$C$21,'Reaction Information'!$P$21*10^5,'Reaction Information'!$Q$21,$D$20,$D$19=3))*41.84)</f>
        <v>#N/A</v>
      </c>
      <c r="BP66" s="8" t="e">
        <f>IF(OR(ISBLANK(Input!$AG$4),$D$27=FALSE),NA(),('Reaction Information'!$J$25/10+'Reaction Information'!$K$25*100/(Calculations!$C$12+Calculations!$M66)+('Reaction Information'!$L$25+'Reaction Information'!$M$25*10000/(Calculations!$C$12+Calculations!$M66))/(Calculations!$O66-Calculations!$C$13)-calculateOmega(Calculations!M66,Calculations!N66,Calculations!Q66,'Reaction Information'!$C$25,'Reaction Information'!$P$25*10^5,'Reaction Information'!$Q$25)*Calculations!$U66*10^-6 + (1/$S66 - 1)*calculate_domegadP(Calculations!M66,Calculations!N66,Calculations!Q66,'Reaction Information'!$C$25,'Reaction Information'!$P$25*10^5,'Reaction Information'!$Q$25,$D$20,$D$19=3))*41.84)</f>
        <v>#N/A</v>
      </c>
      <c r="BQ66" s="8" t="e">
        <f>IF(OR(ISBLANK(Input!$AJ$4),$D$27=FALSE),NA(),('Reaction Information'!$J$29/10+'Reaction Information'!$K$29*100/(Calculations!$C$12+Calculations!$M66)+('Reaction Information'!$L$29+'Reaction Information'!$M$29*10000/(Calculations!$C$12+Calculations!$M66))/(Calculations!$O66-Calculations!$C$13)-calculateOmega(Calculations!M66,Calculations!N66,Calculations!Q66,'Reaction Information'!$C$29,'Reaction Information'!$P$29*10^5,'Reaction Information'!$Q$29)*Calculations!$U66*10^-6 + (1/$S66 - 1)*calculate_domegadP(Calculations!M66,Calculations!N66,Calculations!Q66,'Reaction Information'!$C$29,'Reaction Information'!$P$29*10^5,'Reaction Information'!$Q$29,$D$20,$D$19=3))*41.84)</f>
        <v>#N/A</v>
      </c>
      <c r="BR66" s="8" t="e">
        <f>IF(OR(ISBLANK(Input!$AM$4),$D$27=FALSE),NA(),('Reaction Information'!$J$33/10+'Reaction Information'!$K$33*100/(Calculations!$C$12+Calculations!$M66)+('Reaction Information'!$L$33+'Reaction Information'!$M$33*10000/(Calculations!$C$12+Calculations!$M66))/(Calculations!$O66-Calculations!$C$13)-calculateOmega(Calculations!M66,Calculations!N66,Calculations!Q66,'Reaction Information'!$C$33,'Reaction Information'!$P$33*10^5,'Reaction Information'!$Q$33)*Calculations!$U66*10^-6 + (1/$S66 - 1)*calculate_domegadP(Calculations!M66,Calculations!N66,Calculations!Q66,'Reaction Information'!$C$33,'Reaction Information'!$P$33*10^5,'Reaction Information'!$Q$33,$D$20,$D$19=3))*41.84)</f>
        <v>#N/A</v>
      </c>
      <c r="BS66" s="1">
        <f>Results!AW68</f>
        <v>0</v>
      </c>
      <c r="BT66" s="1">
        <f>Results!AX68</f>
        <v>0</v>
      </c>
      <c r="BU66" s="1">
        <f>Results!AY68</f>
        <v>0</v>
      </c>
      <c r="BV66" s="1">
        <f>Results!AZ68</f>
        <v>0</v>
      </c>
      <c r="BW66" s="1" t="e">
        <f>IF(OR(ISNA('Reaction Information'!$D$38), $N66 = "", $D$27 = FALSE, 'Reaction Information'!$D$38 = ""), NA(), 24.465)</f>
        <v>#N/A</v>
      </c>
      <c r="BX66" s="1" t="e">
        <f>IF(OR(ISNA('Reaction Information'!$D$42), $N66 = "", $D$27 = FALSE, 'Reaction Information'!$D$42 = ""), NA(), 24.465)</f>
        <v>#N/A</v>
      </c>
      <c r="BY66" s="8" t="e">
        <f t="shared" si="18"/>
        <v>#N/A</v>
      </c>
      <c r="BZ66" s="8">
        <f>IF(OR(ISBLANK(Input!$BK$4),$D$27=FALSE),NA(),('Reaction Information'!$J$46/10+'Reaction Information'!$K$46*100/(Calculations!$C$12+Calculations!$M66)+('Reaction Information'!$L$46+'Reaction Information'!$M$46*10000/(Calculations!$C$12+Calculations!$M66))/(Calculations!$O66-Calculations!$C$13)-calculateOmega(Calculations!M66,Calculations!N66,Calculations!Q66,'Reaction Information'!$C$46,'Reaction Information'!$P$46*10^5,'Reaction Information'!$Q$46)*Calculations!$U66*10^-6 + (1/$S66 - 1)*calculate_domegadP(Calculations!M66,Calculations!N66,Calculations!Q66,'Reaction Information'!$C$46,'Reaction Information'!$P$46*10^5,'Reaction Information'!$Q$46,$D$20,$D$19=3))*41.84)</f>
        <v>0</v>
      </c>
      <c r="CA66" s="8">
        <f>IF(OR(ISBLANK(Input!$BN$4),$D$27=FALSE),NA(),('Reaction Information'!$J$50/10+'Reaction Information'!$K$50*100/(Calculations!$C$12+Calculations!$M66)+('Reaction Information'!$L$50+'Reaction Information'!$M$50*10000/(Calculations!$C$12+Calculations!$M66))/(Calculations!$O66-Calculations!$C$13)-calculateOmega(Calculations!M66,Calculations!N66,Calculations!Q66,'Reaction Information'!$C$50,'Reaction Information'!$P$50*10^5,'Reaction Information'!$Q$50)*Calculations!$U66*10^-6 + (1/$S66 - 1)*calculate_domegadP(Calculations!M66,Calculations!N66,Calculations!Q66,'Reaction Information'!$C$50,'Reaction Information'!$P$50*10^5,'Reaction Information'!$Q$50,$D$20,$D$19=3))*41.84)</f>
        <v>31.199863116888331</v>
      </c>
      <c r="CB66" s="8" t="e">
        <f>IF(OR(ISBLANK(Input!$BQ$4),$D$27=FALSE),NA(),('Reaction Information'!$J$54/10+'Reaction Information'!$K$54*100/(Calculations!$C$12+Calculations!$M66)+('Reaction Information'!$L$54+'Reaction Information'!$M$54*10000/(Calculations!$C$12+Calculations!$M66))/(Calculations!$O66-Calculations!$C$13)-calculateOmega(Calculations!M66,Calculations!N66,Calculations!Q66,'Reaction Information'!$C$54,'Reaction Information'!$P$54*10^5,'Reaction Information'!$Q$54)*Calculations!$U66*10^-6 + (1/$S66 - 1)*calculate_domegadP(Calculations!M66,Calculations!N66,Calculations!Q66,'Reaction Information'!$C$54,'Reaction Information'!$P$54*10^5,'Reaction Information'!$Q$54,$D$20,$D$19=3))*41.84)</f>
        <v>#N/A</v>
      </c>
      <c r="CC66" s="8" t="e">
        <f>IF(OR(ISBLANK(Input!$BT$4),$D$27=FALSE),NA(),('Reaction Information'!$J$58/10+'Reaction Information'!$K$58*100/(Calculations!$C$12+Calculations!$M66)+('Reaction Information'!$L$58+'Reaction Information'!$M$58*10000/(Calculations!$C$12+Calculations!$M66))/(Calculations!$O66-Calculations!$C$13)-calculateOmega(Calculations!M66,Calculations!N66,Calculations!Q66,'Reaction Information'!$C$58,'Reaction Information'!$P$58*10^5,'Reaction Information'!$Q$58)*Calculations!$U66*10^-6 + (1/$S66 - 1)*calculate_domegadP(Calculations!M66,Calculations!N66,Calculations!Q66,'Reaction Information'!$C$58,'Reaction Information'!$P$58*10^5,'Reaction Information'!$Q$58,$D$20,$D$19=3))*41.84)</f>
        <v>#N/A</v>
      </c>
      <c r="CD66" s="8" t="e">
        <f>IF(OR(ISBLANK(Input!$BW$4),$D$27=FALSE),NA(),('Reaction Information'!$J$62/10+'Reaction Information'!$K$62*100/(Calculations!$C$12+Calculations!$M66)+('Reaction Information'!$L$62+'Reaction Information'!$M$62*10000/(Calculations!$C$12+Calculations!$M66))/(Calculations!$O66-Calculations!$C$13)-calculateOmega(Calculations!M66,Calculations!N66,Calculations!Q66,'Reaction Information'!$C$62,'Reaction Information'!$P$62*10^5,'Reaction Information'!$Q$62)*Calculations!$U66*10^-6 + (1/$S66 - 1)*calculate_domegadP(Calculations!M66,Calculations!N66,Calculations!Q66,'Reaction Information'!$C$62,'Reaction Information'!$P$62*10^5,'Reaction Information'!$Q$62,$D$20,$D$19=3))*41.84)</f>
        <v>#N/A</v>
      </c>
      <c r="CE66" s="8" t="e">
        <f>IF(OR(ISBLANK(Input!$BZ$4),$D$27=FALSE),NA(),('Reaction Information'!$J$66/10+'Reaction Information'!$K$66*100/(Calculations!$C$12+Calculations!$M66)+('Reaction Information'!$L$66+'Reaction Information'!$M$66*10000/(Calculations!$C$12+Calculations!$M66))/(Calculations!$O66-Calculations!$C$13)-calculateOmega(Calculations!M66,Calculations!N66,Calculations!Q66,'Reaction Information'!$C$66,'Reaction Information'!$P$66*10^5,'Reaction Information'!$Q$66)*Calculations!$U66*10^-6 + (1/$S66 - 1)*calculate_domegadP(Calculations!M66,Calculations!N66,Calculations!Q66,'Reaction Information'!$C$66,'Reaction Information'!$P$66*10^5,'Reaction Information'!$Q$66,$D$20,$D$19=3))*41.84)</f>
        <v>#N/A</v>
      </c>
      <c r="CF66" s="31">
        <f>(BS66*Input!$AO$4+BT66*Input!$AR$4+BU66*Input!$AU$4+BV66*Input!$AX$4+IF(ISNA(BW66),0,BW66*Input!$BA$4)+IF(ISNA(BX66),0,BX66*Input!$BD$4)+IF(ISNA(BY66),0,BY66*Input!$BG$4)+IF(ISNA(BZ66),0,BZ66*Input!$BJ$4)+IF(ISNA(CA66),0,CA66*Input!$BM$4)+IF(ISNA(CB66),0,CB66*Input!$BP$4)+IF(ISNA(CC66),0,CC66*Input!$BS$4)+IF(ISNA(CD66),0,CD66*Input!$BV$4)+IF(ISNA(CE66),0,CE66*Input!$BY$4))-(BF66*Input!$B$4+BG66*Input!$E$4+BH66*Input!$H$4+BI66*Input!$K$4+IF(ISNA(BJ66),0,BJ66*Input!$N$4)+IF(ISNA(BK66),0,BK66*Input!$Q$4)+IF(ISNA(BL66),0,BL66*Input!$T$4)+IF(ISNA(BM66),0,BM66*Input!$W$4)+IF(ISNA(BN66),0,BN66*Input!$Z$4)+IF(ISNA(BO66),0,BO66*Input!$AC$4)+IF(ISNA(BP66),0,BP66*Input!$AF$4)+IF(ISNA(BQ66),0,BQ66*Input!$AI$4)+IF(ISNA(BR66),0,BR66*Input!$AL$4))</f>
        <v>-13.037348307601313</v>
      </c>
      <c r="CG66" s="1">
        <f t="shared" si="12"/>
        <v>300</v>
      </c>
      <c r="CH66" s="46">
        <f t="shared" si="13"/>
        <v>25000</v>
      </c>
      <c r="CI66" s="1"/>
    </row>
    <row r="67" spans="1:87" x14ac:dyDescent="0.2">
      <c r="A67" s="1"/>
      <c r="E67" s="1"/>
      <c r="F67" s="2">
        <v>62</v>
      </c>
      <c r="G67" s="1" t="str">
        <f>IF(ISBLANK(Input!CB67), "", Input!CB67*1000)</f>
        <v/>
      </c>
      <c r="H67" s="1" t="str">
        <f>IF(ISBLANK(Input!CC67), "", Input!CC67)</f>
        <v/>
      </c>
      <c r="I67" s="1">
        <f>IF(Input!$CF$5 + Input!$CF$6*(FLOOR((Calculations!$F67-1)/(FLOOR((Input!$CF$12-Input!$CF$10)/Input!$CF$11,1)+1),1)) &gt; Input!$CF$7, "", (Input!$CF$5 + Input!$CF$6*(FLOOR((Calculations!$F67-1)/(FLOOR((Input!$CF$12-Input!$CF$10)/Input!$CF$11,1)+1),1)))*1000)</f>
        <v>25000</v>
      </c>
      <c r="J67" s="1">
        <f>IF(Calculations!I67 = "", "", Input!$CF$10 + Input!$CF$11*(Calculations!$F67-1) - (FLOOR((Input!$CF$12-Input!$CF$10)/Input!$CF$11,1)+1)*Input!$CF$11*FLOOR((Calculations!$F67-1)/(FLOOR((Input!$CF$12-Input!$CF$10)/Input!$CF$11,1)+1),1))</f>
        <v>350</v>
      </c>
      <c r="K67" s="8" t="str">
        <f t="shared" si="14"/>
        <v/>
      </c>
      <c r="L67" s="117" t="str">
        <f>IF(OR(Input!$CJ$5 + Input!$CJ$6*(Calculations!F67-1) &gt; Input!$CJ$7, Input!$CJ$5 + Input!$CJ$6*(Calculations!F67-1) &gt; 350), "", Input!$CJ$5 + Input!$CJ$6*(Calculations!F67-1))</f>
        <v/>
      </c>
      <c r="M67" s="1">
        <f t="shared" si="2"/>
        <v>25000</v>
      </c>
      <c r="N67" s="1">
        <f t="shared" si="3"/>
        <v>350</v>
      </c>
      <c r="O67" s="1">
        <f t="shared" si="15"/>
        <v>623.15</v>
      </c>
      <c r="P67" s="1" t="e">
        <f>IF(OR($D$20=3,AND($D$21=TRUE,M67&lt;1000)),INDEX('Water Density'!$C$6:$CX$120,MATCH(Calculations!N67,'Water Density'!$B$6:$B$120),MATCH(Calculations!M67/1000,'Water Density'!$C$5:$CX$5)),NA())</f>
        <v>#N/A</v>
      </c>
      <c r="Q67" s="182">
        <f>IF(OR($D$20=3,AND($D$21=TRUE,M67&lt;1000)), IF(P67&lt;&gt;0,P67,NA()), calculateDensity(M67,N67,$D$20,0.01,$D$19 = 3))</f>
        <v>1.272690735081434</v>
      </c>
      <c r="R67" s="1" t="e">
        <f>IF($D$22=5,INDEX('Dielectric Constant'!$C$6:$CX$120,MATCH(Calculations!N67,'Dielectric Constant'!$B$6:$B$120),MATCH(Calculations!M67/1000,'Dielectric Constant'!$C$5:$CX$5)),NA())</f>
        <v>#N/A</v>
      </c>
      <c r="S67" s="58">
        <f>IF($D$22=5, IF(R67&lt;&gt;0,R67,NA()), IF(AND($D$23,M67&lt;=5000,$D$19 &lt;&gt; 3),calculateEpsilon(Q67,N67,1,FALSE),calculateEpsilon(Q67,N67,$D$22,$D$19 = 3)))</f>
        <v>44.281294068280744</v>
      </c>
      <c r="T67" s="1" t="e">
        <f>IF($D$24=3,INDEX('Water Free Energy'!$C$6:$CX$120,MATCH(Calculations!N67,'Water Free Energy'!$B$6:$B$120),MATCH(Calculations!M67/1000,'Water Free Energy'!$C$5:$CX$5)),NA())</f>
        <v>#N/A</v>
      </c>
      <c r="U67" s="179">
        <f>IF($D$27,calculateQ(M67,N67,Q67,$D$20,$D$22,$D$19=3)*10^6,NA())</f>
        <v>0.19121167734252936</v>
      </c>
      <c r="V67"/>
      <c r="W67" s="2">
        <f t="shared" si="5"/>
        <v>25000</v>
      </c>
      <c r="X67" s="1">
        <f t="shared" si="6"/>
        <v>350</v>
      </c>
      <c r="Y67" s="1">
        <f>Results!F69</f>
        <v>0</v>
      </c>
      <c r="Z67" s="1">
        <f>Results!G69</f>
        <v>0</v>
      </c>
      <c r="AA67" s="1">
        <f>Results!H69</f>
        <v>0</v>
      </c>
      <c r="AB67" s="1">
        <f>Results!I69</f>
        <v>0</v>
      </c>
      <c r="AC67" s="1" t="e">
        <f>IF(ISBLANK(Input!$O$4),NA(),'Reaction Information'!$E$5-'Reaction Information'!$G$5*(Calculations!$O67-Calculations!$C$8)+'Reaction Information'!$I$5*(Calculations!$O67-Calculations!$C$8-Calculations!$O67*LN(Calculations!$O67/Calculations!$C$8))+'Reaction Information'!$J$5*0.001/2*(2*Calculations!$O67*Calculations!$C$8-Calculations!$O67^2-Calculations!$C$8^2) + 'Reaction Information'!$K$5*100000*(Calculations!$O67^2 + Calculations!$C$8^2 - 2*Calculations!$O67*Calculations!$C$8)/(2*Calculations!$O67*Calculations!$C$8^2))</f>
        <v>#N/A</v>
      </c>
      <c r="AD67" s="8" t="e">
        <f>IF(ISBLANK(Input!$R$4),NA(),'Reaction Information'!$E$9-'Reaction Information'!$G$9*(Calculations!$O67-Calculations!$C$8)+'Reaction Information'!$I$9*(Calculations!$O67-Calculations!$C$8-Calculations!$O67*LN(Calculations!$O67/Calculations!$C$8))+'Reaction Information'!$J$9*0.001/2*(2*Calculations!$O67*Calculations!$C$8-Calculations!$O67^2-Calculations!$C$8^2) + 'Reaction Information'!$K$9*100000*(Calculations!$O67^2 + Calculations!$C$8^2 - 2*Calculations!$O67*Calculations!$C$8)/(2*Calculations!$O67*Calculations!$C$8^2))</f>
        <v>#N/A</v>
      </c>
      <c r="AE67" s="8">
        <f>IF(AE$5="H2O",IF($D$24=3,IF(T67=0,NA(),T67),calculateGibbsOfWater(M67,N67,$D$24,$D$20,$D$19=3)),NA())</f>
        <v>-54462.82066259416</v>
      </c>
      <c r="AF67" s="8">
        <f>IF(ISBLANK(Input!$X$4),NA(),'Reaction Information'!$E$13-'Reaction Information'!$G$13*(Calculations!O67-Calculations!$C$8)-'Reaction Information'!$N$13*(Calculations!O67*LN(Calculations!O67/Calculations!$C$8)-Calculations!O67+Calculations!$C$8)-'Reaction Information'!$O$13*10^4*(((1/(Calculations!O67-Calculations!$C$13))-(1/(Calculations!$C$8-Calculations!$C$13)))*((Calculations!$C$13-Calculations!O67)/(Calculations!$C$13))-(Calculations!O67/(Calculations!$C$13*Calculations!$C$13))*LN((Calculations!$C$8*(Calculations!O67-Calculations!$C$13))/(Calculations!O67*(Calculations!$C$8-Calculations!$C$13))))+'Reaction Information'!$J$13*10^-1*(Calculations!M67-Calculations!$C$9)+'Reaction Information'!$K$13*10^2*LN((Calculations!$C$12+Calculations!M67)/(Calculations!$C$12+Calculations!$C$9))+(1/(Calculations!O67-Calculations!$C$13))*('Reaction Information'!$L$13*(Calculations!M67-Calculations!$C$9)+'Reaction Information'!$M$13*10^4*LN((Calculations!$C$12+Calculations!M67)/(Calculations!$C$12+Calculations!$C$9)))+calculateOmega(Calculations!M67,Calculations!N67,Calculations!Q67,'Reaction Information'!$C$13,'Reaction Information'!$P$13*10^5,'Reaction Information'!$Q$13)*((1/Calculations!S67)-1)-'Reaction Information'!$P$13*10^5*((1/Calculations!$C$10)-1)+'Reaction Information'!$P$13*10^5*Calculations!$C$14*(Calculations!O67-Calculations!$C$8))</f>
        <v>-86347.474169672132</v>
      </c>
      <c r="AG67" s="8" t="e">
        <f>IF(ISBLANK(Input!$AA$4),NA(),'Reaction Information'!$E$17-'Reaction Information'!$G$17*(Calculations!$O67-Calculations!$C$8)-'Reaction Information'!$N$17*(Calculations!$O67*LN(Calculations!$O67/Calculations!$C$8)-Calculations!$O67+Calculations!$C$8)-'Reaction Information'!$O$17*10^4*(((1/(Calculations!$O67-Calculations!$C$13))-(1/(Calculations!$C$8-Calculations!$C$13)))*((Calculations!$C$13-Calculations!$O67)/(Calculations!$C$13))-(Calculations!$O67/(Calculations!$C$13*Calculations!$C$13))*LN((Calculations!$C$8*(Calculations!$O67-Calculations!$C$13))/(Calculations!$O67*(Calculations!$C$8-Calculations!$C$13))))+'Reaction Information'!$J$17*10^-1*(Calculations!$M67-Calculations!$C$9)+'Reaction Information'!$K$17*10^2*LN((Calculations!$C$12+Calculations!$M67)/(Calculations!$C$12+Calculations!$C$9))+(1/(Calculations!$O67-Calculations!$C$13))*('Reaction Information'!$L$17*(Calculations!$M67-Calculations!$C$9)+'Reaction Information'!$M$17*10^4*LN((Calculations!$C$12+Calculations!$M67)/(Calculations!$C$12+Calculations!$C$9)))+calculateOmega(Calculations!M67,Calculations!N67,Calculations!Q67,'Reaction Information'!$C$17,'Reaction Information'!$P$17*10^5,'Reaction Information'!$Q$17)*((1/Calculations!$S67)-1)-'Reaction Information'!$P$17*10^5*((1/Calculations!$C$10)-1)+'Reaction Information'!$P$17*10^5*Calculations!$C$14*(Calculations!$O67-Calculations!$C$8))</f>
        <v>#N/A</v>
      </c>
      <c r="AH67" s="8" t="e">
        <f>IF(ISBLANK(Input!$AD$4),NA(),'Reaction Information'!$E$21-'Reaction Information'!$G$21*(Calculations!$O67-Calculations!$C$8)-'Reaction Information'!$N$21*(Calculations!$O67*LN(Calculations!$O67/Calculations!$C$8)-Calculations!$O67+Calculations!$C$8)-'Reaction Information'!$O$21*10^4*(((1/(Calculations!$O67-Calculations!$C$13))-(1/(Calculations!$C$8-Calculations!$C$13)))*((Calculations!$C$13-Calculations!$O67)/(Calculations!$C$13))-(Calculations!$O67/(Calculations!$C$13*Calculations!$C$13))*LN((Calculations!$C$8*(Calculations!$O67-Calculations!$C$13))/(Calculations!$O67*(Calculations!$C$8-Calculations!$C$13))))+'Reaction Information'!$J$21*10^-1*(Calculations!$M67-Calculations!$C$9)+'Reaction Information'!$K$21*10^2*LN((Calculations!$C$12+Calculations!$M67)/(Calculations!$C$12+Calculations!$C$9))+(1/(Calculations!$O67-Calculations!$C$13))*('Reaction Information'!$L$21*(Calculations!$M67-Calculations!$C$9)+'Reaction Information'!$M$21*10^4*LN((Calculations!$C$12+Calculations!$M67)/(Calculations!$C$12+Calculations!$C$9)))+calculateOmega(Calculations!M67,Calculations!N67,Calculations!Q67,'Reaction Information'!$C$21,'Reaction Information'!$P$21*10^5,'Reaction Information'!$Q$21)*((1/Calculations!$S67)-1)-'Reaction Information'!$P$21*10^5*((1/Calculations!$C$10)-1)+'Reaction Information'!$P$21*10^5*Calculations!$C$14*(Calculations!$O67-Calculations!$C$8))</f>
        <v>#N/A</v>
      </c>
      <c r="AI67" s="8" t="e">
        <f>IF(ISBLANK(Input!$AG$4),NA(),'Reaction Information'!$E$25-'Reaction Information'!$G$25*(Calculations!$O67-Calculations!$C$8)-'Reaction Information'!$N$25*(Calculations!$O67*LN(Calculations!$O67/Calculations!$C$8)-Calculations!$O67+Calculations!$C$8)-'Reaction Information'!$O$25*10^4*(((1/(Calculations!$O67-Calculations!$C$13))-(1/(Calculations!$C$8-Calculations!$C$13)))*((Calculations!$C$13-Calculations!$O67)/(Calculations!$C$13))-(Calculations!$O67/(Calculations!$C$13*Calculations!$C$13))*LN((Calculations!$C$8*(Calculations!$O67-Calculations!$C$13))/(Calculations!$O67*(Calculations!$C$8-Calculations!$C$13))))+'Reaction Information'!$J$25*10^-1*(Calculations!$M67-Calculations!$C$9)+'Reaction Information'!$K$25*10^2*LN((Calculations!$C$12+Calculations!$M67)/(Calculations!$C$12+Calculations!$C$9))+(1/(Calculations!$O67-Calculations!$C$13))*('Reaction Information'!$L$25*(Calculations!$M67-Calculations!$C$9)+'Reaction Information'!$M$25*10^4*LN((Calculations!$C$12+Calculations!$M67)/(Calculations!$C$12+Calculations!$C$9)))+calculateOmega(Calculations!M67,Calculations!N67,Calculations!Q67,'Reaction Information'!$C$25,'Reaction Information'!$P$25*10^5,'Reaction Information'!$Q$25)*((1/Calculations!$S67)-1)-'Reaction Information'!$P$25*10^5*((1/Calculations!$C$10)-1)+'Reaction Information'!$P$25*10^5*Calculations!$C$14*(Calculations!$O67-Calculations!$C$8))</f>
        <v>#N/A</v>
      </c>
      <c r="AJ67" s="8" t="e">
        <f>IF(ISBLANK(Input!$AJ$4),NA(),'Reaction Information'!$E$29-'Reaction Information'!$G$29*(Calculations!$O67-Calculations!$C$8)-'Reaction Information'!$N$29*(Calculations!$O67*LN(Calculations!$O67/Calculations!$C$8)-Calculations!$O67+Calculations!$C$8)-'Reaction Information'!$O$29*10^4*(((1/(Calculations!$O67-Calculations!$C$13))-(1/(Calculations!$C$8-Calculations!$C$13)))*((Calculations!$C$13-Calculations!$O67)/(Calculations!$C$13))-(Calculations!$O67/(Calculations!$C$13*Calculations!$C$13))*LN((Calculations!$C$8*(Calculations!$O67-Calculations!$C$13))/(Calculations!$O67*(Calculations!$C$8-Calculations!$C$13))))+'Reaction Information'!$J$29*10^-1*(Calculations!$M67-Calculations!$C$9)+'Reaction Information'!$K$29*10^2*LN((Calculations!$C$12+Calculations!$M67)/(Calculations!$C$12+Calculations!$C$9))+(1/(Calculations!$O67-Calculations!$C$13))*('Reaction Information'!$L$29*(Calculations!$M67-Calculations!$C$9)+'Reaction Information'!$M$29*10^4*LN((Calculations!$C$12+Calculations!$M67)/(Calculations!$C$12+Calculations!$C$9)))+calculateOmega(Calculations!M67,Calculations!N67,Calculations!Q67,'Reaction Information'!$C$29,'Reaction Information'!$P$29*10^5,'Reaction Information'!$Q$29)*((1/Calculations!$S67)-1)-'Reaction Information'!$P$29*10^5*((1/Calculations!$C$10)-1)+'Reaction Information'!$P$29*10^5*Calculations!$C$14*(Calculations!$O67-Calculations!$C$8))</f>
        <v>#N/A</v>
      </c>
      <c r="AK67" s="8" t="e">
        <f>IF(ISBLANK(Input!$AM$4),NA(),'Reaction Information'!$E$33-'Reaction Information'!$G$33*(Calculations!$O67-Calculations!$C$8)-'Reaction Information'!$N$33*(Calculations!$O67*LN(Calculations!$O67/Calculations!$C$8)-Calculations!$O67+Calculations!$C$8)-'Reaction Information'!$O$33*10^4*(((1/(Calculations!$O67-Calculations!$C$13))-(1/(Calculations!$C$8-Calculations!$C$13)))*((Calculations!$C$13-Calculations!$O67)/(Calculations!$C$13))-(Calculations!$O67/(Calculations!$C$13*Calculations!$C$13))*LN((Calculations!$C$8*(Calculations!$O67-Calculations!$C$13))/(Calculations!$O67*(Calculations!$C$8-Calculations!$C$13))))+'Reaction Information'!$J$33*10^-1*(Calculations!$M67-Calculations!$C$9)+'Reaction Information'!$K$33*10^2*LN((Calculations!$C$12+Calculations!$M67)/(Calculations!$C$12+Calculations!$C$9))+(1/(Calculations!$O67-Calculations!$C$13))*('Reaction Information'!$L$33*(Calculations!$M67-Calculations!$C$9)+'Reaction Information'!$M$33*10^4*LN((Calculations!$C$12+Calculations!$M67)/(Calculations!$C$12+Calculations!$C$9)))+calculateOmega(Calculations!M67,Calculations!N67,Calculations!Q67,'Reaction Information'!$C$33,'Reaction Information'!$P$33*10^5,'Reaction Information'!$Q$33)*((1/Calculations!$S67)-1)-'Reaction Information'!$P$33*10^5*((1/Calculations!$C$10)-1)+'Reaction Information'!$P$33*10^5*Calculations!$C$14*(Calculations!$O67-Calculations!$C$8))</f>
        <v>#N/A</v>
      </c>
      <c r="AL67" s="1">
        <f>Results!S69</f>
        <v>0</v>
      </c>
      <c r="AM67" s="1">
        <f>Results!T69</f>
        <v>0</v>
      </c>
      <c r="AN67" s="1">
        <f>Results!U69</f>
        <v>0</v>
      </c>
      <c r="AO67" s="1">
        <f>Results!V69</f>
        <v>0</v>
      </c>
      <c r="AP67" s="8" t="e">
        <f>IF(ISBLANK(Input!$BB$4),NA(),'Reaction Information'!$E$38-'Reaction Information'!$G$38*(Calculations!$O67-Calculations!$C$8)+'Reaction Information'!$I$38*(Calculations!$O67-Calculations!$C$8-Calculations!$O67*LN(Calculations!$O67/Calculations!$C$8))+'Reaction Information'!$J$38*0.001/2*(2*Calculations!$O67*Calculations!$C$8-Calculations!$O67^2-Calculations!$C$8^2) + 'Reaction Information'!$K$38*100000*(Calculations!$O67^2 + Calculations!$C$8^2 - 2*Calculations!$O67*Calculations!$C$8)/(2*Calculations!$O67*Calculations!$C$8^2))</f>
        <v>#N/A</v>
      </c>
      <c r="AQ67" s="8" t="e">
        <f>IF(ISBLANK(Input!$BE$4),NA(),'Reaction Information'!$E$42-'Reaction Information'!$G$42*(Calculations!$O67-Calculations!$C$8)+'Reaction Information'!$I$42*(Calculations!$O67-Calculations!$C$8-Calculations!$O67*LN(Calculations!$O67/Calculations!$C$8))+'Reaction Information'!$J$42*0.001/2*(2*Calculations!$O67*Calculations!$C$8-Calculations!$O67^2-Calculations!$C$8^2) + 'Reaction Information'!$K$42*100000*(Calculations!$O67^2 + Calculations!$C$8^2 - 2*Calculations!$O67*Calculations!$C$8)/(2*Calculations!$O67*Calculations!$C$8^2))</f>
        <v>#N/A</v>
      </c>
      <c r="AR67" s="8" t="e">
        <f>IF(AR$5="H2O", IF($D$24=3,IF(T67=0,NA(),T67),calculateGibbsOfWater(M67,N67,$D$24,$D$20,$D$19=3)),NA())</f>
        <v>#N/A</v>
      </c>
      <c r="AS67" s="8">
        <f>IF(ISBLANK(Input!$BK$4),NA(),'Reaction Information'!$E$46-'Reaction Information'!$G$46*(Calculations!O67-Calculations!$C$8)-'Reaction Information'!$N$46*(Calculations!O67*LN(Calculations!O67/Calculations!$C$8)-Calculations!O67+Calculations!$C$8)-'Reaction Information'!$O$46*10^4*(((1/(Calculations!O67-Calculations!$C$13))-(1/(Calculations!$C$8-Calculations!$C$13)))*((Calculations!$C$13-Calculations!O67)/(Calculations!$C$13))-(Calculations!O67/(Calculations!$C$13*Calculations!$C$13))*LN((Calculations!$C$8*(Calculations!O67-Calculations!$C$13))/(Calculations!O67*(Calculations!$C$8-Calculations!$C$13))))+'Reaction Information'!$J$46*10^-1*(Calculations!$M67-Calculations!$C$9)+'Reaction Information'!$K$46*10^2*LN((Calculations!$C$12+Calculations!$M67)/(Calculations!$C$12+Calculations!$C$9))+(1/(Calculations!O67-Calculations!$C$13))*('Reaction Information'!$L$46*(Calculations!$M67-Calculations!$C$9)+'Reaction Information'!$M$46*10^4*LN((Calculations!$C$12+Calculations!$M67)/(Calculations!$C$12+Calculations!$C$9)))+calculateOmega(Calculations!M67,Calculations!N67,Calculations!Q67,'Reaction Information'!$C$46,'Reaction Information'!$P$46*10^5,'Reaction Information'!$Q$46)*((1/Calculations!S67)-1)-'Reaction Information'!$P$46*10^5*((1/Calculations!$C$10)-1)+'Reaction Information'!$P$46*10^5*Calculations!$C$14*(Calculations!O67-Calculations!$C$8))</f>
        <v>0</v>
      </c>
      <c r="AT67" s="8">
        <f>IF(ISBLANK(Input!$BN$4),NA(),'Reaction Information'!$E$50-'Reaction Information'!$G$50*(Calculations!O67-Calculations!$C$8)-'Reaction Information'!$N$50*(Calculations!O67*LN(Calculations!O67/Calculations!$C$8)-Calculations!O67+Calculations!$C$8)-'Reaction Information'!$O$50*10^4*(((1/(Calculations!O67-Calculations!$C$13))-(1/(Calculations!$C$8-Calculations!$C$13)))*((Calculations!$C$13-Calculations!O67)/(Calculations!$C$13))-(Calculations!O67/(Calculations!$C$13*Calculations!$C$13))*LN((Calculations!$C$8*(Calculations!O67-Calculations!$C$13))/(Calculations!O67*(Calculations!$C$8-Calculations!$C$13))))+'Reaction Information'!$J$50*10^-1*(Calculations!$M67-Calculations!$C$9)+'Reaction Information'!$K$50*10^2*LN((Calculations!$C$12+Calculations!$M67)/(Calculations!$C$12+Calculations!$C$9))+(1/(Calculations!O67-Calculations!$C$13))*('Reaction Information'!$L$50*(Calculations!$M67-Calculations!$C$9)+'Reaction Information'!$M$50*10^4*LN((Calculations!$C$12+Calculations!$M67)/(Calculations!$C$12+Calculations!$C$9)))+calculateOmega(Calculations!M67,Calculations!N67,Calculations!Q67,'Reaction Information'!$C$50,'Reaction Information'!$P$50*10^5,'Reaction Information'!$Q$50)*((1/Calculations!S67)-1)-'Reaction Information'!$P$50*10^5*((1/Calculations!$C$10)-1)+'Reaction Information'!$P$50*10^5*Calculations!$C$14*(Calculations!O67-Calculations!$C$8))</f>
        <v>-131022.75598951544</v>
      </c>
      <c r="AU67" s="8" t="e">
        <f>IF(ISBLANK(Input!$BQ$4),NA(),'Reaction Information'!$E$54-'Reaction Information'!$G$54*(Calculations!$O67-Calculations!$C$8)-'Reaction Information'!$N$54*(Calculations!$O67*LN(Calculations!$O67/Calculations!$C$8)-Calculations!$O67+Calculations!$C$8)-'Reaction Information'!$O$54*10^4*(((1/(Calculations!$O67-Calculations!$C$13))-(1/(Calculations!$C$8-Calculations!$C$13)))*((Calculations!$C$13-Calculations!$O67)/(Calculations!$C$13))-(Calculations!$O67/(Calculations!$C$13*Calculations!$C$13))*LN((Calculations!$C$8*(Calculations!$O67-Calculations!$C$13))/(Calculations!$O67*(Calculations!$C$8-Calculations!$C$13))))+'Reaction Information'!$J$54*10^-1*(Calculations!$M67-Calculations!$C$9)+'Reaction Information'!$K$54*10^2*LN((Calculations!$C$12+Calculations!$M67)/(Calculations!$C$12+Calculations!$C$9))+(1/(Calculations!$O67-Calculations!$C$13))*('Reaction Information'!$L$54*(Calculations!$M67-Calculations!$C$9)+'Reaction Information'!$M$54*10^4*LN((Calculations!$C$12+Calculations!$M67)/(Calculations!$C$12+Calculations!$C$9)))+calculateOmega(Calculations!M67,Calculations!N67,Calculations!Q67,'Reaction Information'!$C$54,'Reaction Information'!$P$54*10^5,'Reaction Information'!$Q$54)*((1/Calculations!$S67)-1)-'Reaction Information'!$P$54*10^5*((1/Calculations!$C$10)-1)+'Reaction Information'!$P$54*10^5*Calculations!$C$14*(Calculations!$O67-Calculations!$C$8))</f>
        <v>#N/A</v>
      </c>
      <c r="AV67" s="8" t="e">
        <f>IF(ISBLANK(Input!$BT$4),NA(),'Reaction Information'!$E$58-'Reaction Information'!$G$58*(Calculations!$O67-Calculations!$C$8)-'Reaction Information'!$N$58*(Calculations!$O67*LN(Calculations!$O67/Calculations!$C$8)-Calculations!$O67+Calculations!$C$8)-'Reaction Information'!$O$58*10^4*(((1/(Calculations!$O67-Calculations!$C$13))-(1/(Calculations!$C$8-Calculations!$C$13)))*((Calculations!$C$13-Calculations!$O67)/(Calculations!$C$13))-(Calculations!$O67/(Calculations!$C$13*Calculations!$C$13))*LN((Calculations!$C$8*(Calculations!$O67-Calculations!$C$13))/(Calculations!$O67*(Calculations!$C$8-Calculations!$C$13))))+'Reaction Information'!$J$58*10^-1*(Calculations!$M67-Calculations!$C$9)+'Reaction Information'!$K$58*10^2*LN((Calculations!$C$12+Calculations!$M67)/(Calculations!$C$12+Calculations!$C$9))+(1/(Calculations!$O67-Calculations!$C$13))*('Reaction Information'!$L$58*(Calculations!$M67-Calculations!$C$9)+'Reaction Information'!$M$58*10^4*LN((Calculations!$C$12+Calculations!$M67)/(Calculations!$C$12+Calculations!$C$9)))+calculateOmega(Calculations!M67,Calculations!N67,Calculations!Q67,'Reaction Information'!$C$58,'Reaction Information'!$P$58*10^5,'Reaction Information'!$Q$58)*((1/Calculations!$S67)-1)-'Reaction Information'!$P$58*10^5*((1/Calculations!$C$10)-1)+'Reaction Information'!$P$58*10^5*Calculations!$C$14*(Calculations!$O67-Calculations!$C$8))</f>
        <v>#N/A</v>
      </c>
      <c r="AW67" s="8" t="e">
        <f>IF(ISBLANK(Input!$BW$4),NA(),'Reaction Information'!$E$62-'Reaction Information'!$G$62*(Calculations!$O67-Calculations!$C$8)-'Reaction Information'!$N$62*(Calculations!$O67*LN(Calculations!$O67/Calculations!$C$8)-Calculations!$O67+Calculations!$C$8)-'Reaction Information'!$O$62*10^4*(((1/(Calculations!$O67-Calculations!$C$13))-(1/(Calculations!$C$8-Calculations!$C$13)))*((Calculations!$C$13-Calculations!$O67)/(Calculations!$C$13))-(Calculations!$O67/(Calculations!$C$13*Calculations!$C$13))*LN((Calculations!$C$8*(Calculations!$O67-Calculations!$C$13))/(Calculations!$O67*(Calculations!$C$8-Calculations!$C$13))))+'Reaction Information'!$J$62*10^-1*(Calculations!$M67-Calculations!$C$9)+'Reaction Information'!$K$62*10^2*LN((Calculations!$C$12+Calculations!$M67)/(Calculations!$C$12+Calculations!$C$9))+(1/(Calculations!$O67-Calculations!$C$13))*('Reaction Information'!$L$62*(Calculations!$M67-Calculations!$C$9)+'Reaction Information'!$M$62*10^4*LN((Calculations!$C$12+Calculations!$M67)/(Calculations!$C$12+Calculations!$C$9)))+calculateOmega(Calculations!M67,Calculations!N67,Calculations!Q67,'Reaction Information'!$C$62,'Reaction Information'!$P$62*10^5,'Reaction Information'!$Q$62)*((1/Calculations!$S67)-1)-'Reaction Information'!$P$62*10^5*((1/Calculations!$C$10)-1)+'Reaction Information'!$P$62*10^5*Calculations!$C$14*(Calculations!$O67-Calculations!$C$8))</f>
        <v>#N/A</v>
      </c>
      <c r="AX67" s="8" t="e">
        <f>IF(ISBLANK(Input!$BZ$4),NA(),'Reaction Information'!$E$66-'Reaction Information'!$G$66*(Calculations!$O67-Calculations!$C$8)-'Reaction Information'!$N$66*(Calculations!$O67*LN(Calculations!$O67/Calculations!$C$8)-Calculations!$O67+Calculations!$C$8)-'Reaction Information'!$O$66*10^4*(((1/(Calculations!$O67-Calculations!$C$13))-(1/(Calculations!$C$8-Calculations!$C$13)))*((Calculations!$C$13-Calculations!$O67)/(Calculations!$C$13))-(Calculations!$O67/(Calculations!$C$13*Calculations!$C$13))*LN((Calculations!$C$8*(Calculations!$O67-Calculations!$C$13))/(Calculations!$O67*(Calculations!$C$8-Calculations!$C$13))))+'Reaction Information'!$J$66*10^-1*(Calculations!$M67-Calculations!$C$9)+'Reaction Information'!$K$66*10^2*LN((Calculations!$C$12+Calculations!$M67)/(Calculations!$C$12+Calculations!$C$9))+(1/(Calculations!$O67-Calculations!$C$13))*('Reaction Information'!$L$66*(Calculations!$M67-Calculations!$C$9)+'Reaction Information'!$M$66*10^4*LN((Calculations!$C$12+Calculations!$M67)/(Calculations!$C$12+Calculations!$C$9)))+calculateOmega(Calculations!M67,Calculations!N67,Calculations!Q67,'Reaction Information'!$C$66,'Reaction Information'!$P$66*10^5,'Reaction Information'!$Q$66)*((1/Calculations!$S67)-1)-'Reaction Information'!$P$66*10^5*((1/Calculations!$C$10)-1)+'Reaction Information'!$P$66*10^5*Calculations!$C$14*(Calculations!$O67-Calculations!$C$8))</f>
        <v>#N/A</v>
      </c>
      <c r="AY67" s="31">
        <f>(AL67*Input!$AO$4+AM67*Input!$AR$4+AN67*Input!$AU$4+AO67*Input!$AX$4+IF(ISNA(AP67),0,AP67*Input!$BA$4)+IF(ISNA(AQ67),0,AQ67*Input!$BD$4)+IF(ISNA(AR67),0,AR67*Input!$BG$4)+IF(ISNA(AS67),0,AS67*Input!$BJ$4)+IF(ISNA(AT67),0,AT67*Input!$BM$4)+IF(ISNA(AU67),0,AU67*Input!$BP$4)+IF(ISNA(AV67),0,AV67*Input!$BS$4)+IF(ISNA(AW67),0,AW67*Input!$BV$4)+IF(ISNA(AX67),0,AX67*Input!$BY$4))-(Y67*Input!$B$4+Z67*Input!$E$4+AA67*Input!$H$4+AB67*Input!$K$4+IF(ISNA(AC67),0,AC67*Input!$N$4)+IF(ISNA(AD67),0,AD67*Input!$Q$4)+IF(ISNA(AE67),0,AE67*Input!$T$4)+IF(ISNA(AF67),0,AF67*Input!$W$4)+IF(ISNA(AG67),0,AG67*Input!$Z$4)+IF(ISNA(AH67),0,AH67*Input!$AC$4)+IF(ISNA(AI67),0,AI67*Input!$AF$4)+IF(ISNA(AJ67),0,AJ67*Input!$AI$4)+IF(ISNA(AK67),0,AK67*Input!$AL$4))</f>
        <v>9787.5388427508442</v>
      </c>
      <c r="AZ67" s="42">
        <f t="shared" si="16"/>
        <v>-3.434889518928514</v>
      </c>
      <c r="BA67" s="1">
        <f t="shared" si="8"/>
        <v>350</v>
      </c>
      <c r="BB67" s="46">
        <f t="shared" si="9"/>
        <v>25000</v>
      </c>
      <c r="BC67" s="1"/>
      <c r="BD67" s="2">
        <f t="shared" si="10"/>
        <v>25000</v>
      </c>
      <c r="BE67" s="46">
        <f t="shared" si="11"/>
        <v>350</v>
      </c>
      <c r="BF67" s="1">
        <f>Results!AJ69</f>
        <v>0</v>
      </c>
      <c r="BG67" s="1">
        <f>Results!AK69</f>
        <v>0</v>
      </c>
      <c r="BH67" s="1">
        <f>Results!AL69</f>
        <v>0</v>
      </c>
      <c r="BI67" s="1">
        <f>Results!AM69</f>
        <v>0</v>
      </c>
      <c r="BJ67" s="1" t="e">
        <f>IF(OR(ISNA('Reaction Information'!$D$5), $N67 = "", $D$27 = FALSE, 'Reaction Information'!$D$5 = ""), NA(), 24.465)</f>
        <v>#N/A</v>
      </c>
      <c r="BK67" s="1" t="e">
        <f>IF(OR(ISNA('Reaction Information'!$D$9), $N67 = "", $D$27 = FALSE, 'Reaction Information'!$D$9 = ""), NA(), 24.465)</f>
        <v>#N/A</v>
      </c>
      <c r="BL67" s="8">
        <f t="shared" si="17"/>
        <v>14.155269228739439</v>
      </c>
      <c r="BM67" s="8">
        <f>IF(OR(ISBLANK(Input!$X$4),$D$27=FALSE),NA(),('Reaction Information'!$J$13/10+'Reaction Information'!$K$13*100/(Calculations!$C$12+Calculations!$M67)+('Reaction Information'!$L$13+'Reaction Information'!$M$13*10^4/(Calculations!$C$12+Calculations!$M67))/(Calculations!$O67-Calculations!$C$13) -calculateOmega(Calculations!$M67,Calculations!$N67,Calculations!$Q67,'Reaction Information'!$C$13,'Reaction Information'!$P$13*10^5,'Reaction Information'!$Q$13)*Calculations!$U67*10^-6 + (1/$S67 - 1)*calculate_domegadP(Calculations!$M67,Calculations!$N67,Calculations!$Q67,'Reaction Information'!$C$13,'Reaction Information'!$P$13*10^5,'Reaction Information'!$Q$13,$D$20,$D$19=3))*41.84)</f>
        <v>30.322434189532807</v>
      </c>
      <c r="BN67" s="8" t="e">
        <f>IF(OR(ISBLANK(Input!$AA$4),$D$27=FALSE),NA(),('Reaction Information'!$J$17/10+'Reaction Information'!$K$17*100/(Calculations!$C$12+Calculations!$M67)+('Reaction Information'!$L$17+'Reaction Information'!$M$17*10000/(Calculations!$C$12+Calculations!$M67))/(Calculations!$O67-Calculations!$C$13)-calculateOmega(Calculations!M67,Calculations!N67,Calculations!Q67,'Reaction Information'!$C$17,'Reaction Information'!$P$17*10^5,'Reaction Information'!$Q$17)*Calculations!$U67*10^-6 + (1/$S67 - 1)*calculate_domegadP(Calculations!M67,Calculations!N67,Calculations!Q67,'Reaction Information'!$C$17,'Reaction Information'!$P$17*10^5,'Reaction Information'!$Q$17,$D$20,$D$19=3))*41.84)</f>
        <v>#N/A</v>
      </c>
      <c r="BO67" s="8" t="e">
        <f>IF(OR(ISBLANK(Input!$AD$4),$D$27=FALSE),NA(),('Reaction Information'!$J$21/10+'Reaction Information'!$K$21*100/(Calculations!$C$12+Calculations!$M67)+('Reaction Information'!$L$21+'Reaction Information'!$M$21*10000/(Calculations!$C$12+Calculations!$M67))/(Calculations!$O67-Calculations!$C$13)-calculateOmega(Calculations!M67,Calculations!N67,Calculations!Q67,'Reaction Information'!$C$21,'Reaction Information'!$P$21*10^5,'Reaction Information'!$Q$21)*Calculations!$U67*10^-6 + (1/$S67 - 1)*calculate_domegadP(Calculations!M67,Calculations!N67,Calculations!Q67,'Reaction Information'!$C$21,'Reaction Information'!$P$21*10^5,'Reaction Information'!$Q$21,$D$20,$D$19=3))*41.84)</f>
        <v>#N/A</v>
      </c>
      <c r="BP67" s="8" t="e">
        <f>IF(OR(ISBLANK(Input!$AG$4),$D$27=FALSE),NA(),('Reaction Information'!$J$25/10+'Reaction Information'!$K$25*100/(Calculations!$C$12+Calculations!$M67)+('Reaction Information'!$L$25+'Reaction Information'!$M$25*10000/(Calculations!$C$12+Calculations!$M67))/(Calculations!$O67-Calculations!$C$13)-calculateOmega(Calculations!M67,Calculations!N67,Calculations!Q67,'Reaction Information'!$C$25,'Reaction Information'!$P$25*10^5,'Reaction Information'!$Q$25)*Calculations!$U67*10^-6 + (1/$S67 - 1)*calculate_domegadP(Calculations!M67,Calculations!N67,Calculations!Q67,'Reaction Information'!$C$25,'Reaction Information'!$P$25*10^5,'Reaction Information'!$Q$25,$D$20,$D$19=3))*41.84)</f>
        <v>#N/A</v>
      </c>
      <c r="BQ67" s="8" t="e">
        <f>IF(OR(ISBLANK(Input!$AJ$4),$D$27=FALSE),NA(),('Reaction Information'!$J$29/10+'Reaction Information'!$K$29*100/(Calculations!$C$12+Calculations!$M67)+('Reaction Information'!$L$29+'Reaction Information'!$M$29*10000/(Calculations!$C$12+Calculations!$M67))/(Calculations!$O67-Calculations!$C$13)-calculateOmega(Calculations!M67,Calculations!N67,Calculations!Q67,'Reaction Information'!$C$29,'Reaction Information'!$P$29*10^5,'Reaction Information'!$Q$29)*Calculations!$U67*10^-6 + (1/$S67 - 1)*calculate_domegadP(Calculations!M67,Calculations!N67,Calculations!Q67,'Reaction Information'!$C$29,'Reaction Information'!$P$29*10^5,'Reaction Information'!$Q$29,$D$20,$D$19=3))*41.84)</f>
        <v>#N/A</v>
      </c>
      <c r="BR67" s="8" t="e">
        <f>IF(OR(ISBLANK(Input!$AM$4),$D$27=FALSE),NA(),('Reaction Information'!$J$33/10+'Reaction Information'!$K$33*100/(Calculations!$C$12+Calculations!$M67)+('Reaction Information'!$L$33+'Reaction Information'!$M$33*10000/(Calculations!$C$12+Calculations!$M67))/(Calculations!$O67-Calculations!$C$13)-calculateOmega(Calculations!M67,Calculations!N67,Calculations!Q67,'Reaction Information'!$C$33,'Reaction Information'!$P$33*10^5,'Reaction Information'!$Q$33)*Calculations!$U67*10^-6 + (1/$S67 - 1)*calculate_domegadP(Calculations!M67,Calculations!N67,Calculations!Q67,'Reaction Information'!$C$33,'Reaction Information'!$P$33*10^5,'Reaction Information'!$Q$33,$D$20,$D$19=3))*41.84)</f>
        <v>#N/A</v>
      </c>
      <c r="BS67" s="1">
        <f>Results!AW69</f>
        <v>0</v>
      </c>
      <c r="BT67" s="1">
        <f>Results!AX69</f>
        <v>0</v>
      </c>
      <c r="BU67" s="1">
        <f>Results!AY69</f>
        <v>0</v>
      </c>
      <c r="BV67" s="1">
        <f>Results!AZ69</f>
        <v>0</v>
      </c>
      <c r="BW67" s="1" t="e">
        <f>IF(OR(ISNA('Reaction Information'!$D$38), $N67 = "", $D$27 = FALSE, 'Reaction Information'!$D$38 = ""), NA(), 24.465)</f>
        <v>#N/A</v>
      </c>
      <c r="BX67" s="1" t="e">
        <f>IF(OR(ISNA('Reaction Information'!$D$42), $N67 = "", $D$27 = FALSE, 'Reaction Information'!$D$42 = ""), NA(), 24.465)</f>
        <v>#N/A</v>
      </c>
      <c r="BY67" s="8" t="e">
        <f t="shared" si="18"/>
        <v>#N/A</v>
      </c>
      <c r="BZ67" s="8">
        <f>IF(OR(ISBLANK(Input!$BK$4),$D$27=FALSE),NA(),('Reaction Information'!$J$46/10+'Reaction Information'!$K$46*100/(Calculations!$C$12+Calculations!$M67)+('Reaction Information'!$L$46+'Reaction Information'!$M$46*10000/(Calculations!$C$12+Calculations!$M67))/(Calculations!$O67-Calculations!$C$13)-calculateOmega(Calculations!M67,Calculations!N67,Calculations!Q67,'Reaction Information'!$C$46,'Reaction Information'!$P$46*10^5,'Reaction Information'!$Q$46)*Calculations!$U67*10^-6 + (1/$S67 - 1)*calculate_domegadP(Calculations!M67,Calculations!N67,Calculations!Q67,'Reaction Information'!$C$46,'Reaction Information'!$P$46*10^5,'Reaction Information'!$Q$46,$D$20,$D$19=3))*41.84)</f>
        <v>0</v>
      </c>
      <c r="CA67" s="8">
        <f>IF(OR(ISBLANK(Input!$BN$4),$D$27=FALSE),NA(),('Reaction Information'!$J$50/10+'Reaction Information'!$K$50*100/(Calculations!$C$12+Calculations!$M67)+('Reaction Information'!$L$50+'Reaction Information'!$M$50*10000/(Calculations!$C$12+Calculations!$M67))/(Calculations!$O67-Calculations!$C$13)-calculateOmega(Calculations!M67,Calculations!N67,Calculations!Q67,'Reaction Information'!$C$50,'Reaction Information'!$P$50*10^5,'Reaction Information'!$Q$50)*Calculations!$U67*10^-6 + (1/$S67 - 1)*calculate_domegadP(Calculations!M67,Calculations!N67,Calculations!Q67,'Reaction Information'!$C$50,'Reaction Information'!$P$50*10^5,'Reaction Information'!$Q$50,$D$20,$D$19=3))*41.84)</f>
        <v>31.083733543859132</v>
      </c>
      <c r="CB67" s="8" t="e">
        <f>IF(OR(ISBLANK(Input!$BQ$4),$D$27=FALSE),NA(),('Reaction Information'!$J$54/10+'Reaction Information'!$K$54*100/(Calculations!$C$12+Calculations!$M67)+('Reaction Information'!$L$54+'Reaction Information'!$M$54*10000/(Calculations!$C$12+Calculations!$M67))/(Calculations!$O67-Calculations!$C$13)-calculateOmega(Calculations!M67,Calculations!N67,Calculations!Q67,'Reaction Information'!$C$54,'Reaction Information'!$P$54*10^5,'Reaction Information'!$Q$54)*Calculations!$U67*10^-6 + (1/$S67 - 1)*calculate_domegadP(Calculations!M67,Calculations!N67,Calculations!Q67,'Reaction Information'!$C$54,'Reaction Information'!$P$54*10^5,'Reaction Information'!$Q$54,$D$20,$D$19=3))*41.84)</f>
        <v>#N/A</v>
      </c>
      <c r="CC67" s="8" t="e">
        <f>IF(OR(ISBLANK(Input!$BT$4),$D$27=FALSE),NA(),('Reaction Information'!$J$58/10+'Reaction Information'!$K$58*100/(Calculations!$C$12+Calculations!$M67)+('Reaction Information'!$L$58+'Reaction Information'!$M$58*10000/(Calculations!$C$12+Calculations!$M67))/(Calculations!$O67-Calculations!$C$13)-calculateOmega(Calculations!M67,Calculations!N67,Calculations!Q67,'Reaction Information'!$C$58,'Reaction Information'!$P$58*10^5,'Reaction Information'!$Q$58)*Calculations!$U67*10^-6 + (1/$S67 - 1)*calculate_domegadP(Calculations!M67,Calculations!N67,Calculations!Q67,'Reaction Information'!$C$58,'Reaction Information'!$P$58*10^5,'Reaction Information'!$Q$58,$D$20,$D$19=3))*41.84)</f>
        <v>#N/A</v>
      </c>
      <c r="CD67" s="8" t="e">
        <f>IF(OR(ISBLANK(Input!$BW$4),$D$27=FALSE),NA(),('Reaction Information'!$J$62/10+'Reaction Information'!$K$62*100/(Calculations!$C$12+Calculations!$M67)+('Reaction Information'!$L$62+'Reaction Information'!$M$62*10000/(Calculations!$C$12+Calculations!$M67))/(Calculations!$O67-Calculations!$C$13)-calculateOmega(Calculations!M67,Calculations!N67,Calculations!Q67,'Reaction Information'!$C$62,'Reaction Information'!$P$62*10^5,'Reaction Information'!$Q$62)*Calculations!$U67*10^-6 + (1/$S67 - 1)*calculate_domegadP(Calculations!M67,Calculations!N67,Calculations!Q67,'Reaction Information'!$C$62,'Reaction Information'!$P$62*10^5,'Reaction Information'!$Q$62,$D$20,$D$19=3))*41.84)</f>
        <v>#N/A</v>
      </c>
      <c r="CE67" s="8" t="e">
        <f>IF(OR(ISBLANK(Input!$BZ$4),$D$27=FALSE),NA(),('Reaction Information'!$J$66/10+'Reaction Information'!$K$66*100/(Calculations!$C$12+Calculations!$M67)+('Reaction Information'!$L$66+'Reaction Information'!$M$66*10000/(Calculations!$C$12+Calculations!$M67))/(Calculations!$O67-Calculations!$C$13)-calculateOmega(Calculations!M67,Calculations!N67,Calculations!Q67,'Reaction Information'!$C$66,'Reaction Information'!$P$66*10^5,'Reaction Information'!$Q$66)*Calculations!$U67*10^-6 + (1/$S67 - 1)*calculate_domegadP(Calculations!M67,Calculations!N67,Calculations!Q67,'Reaction Information'!$C$66,'Reaction Information'!$P$66*10^5,'Reaction Information'!$Q$66,$D$20,$D$19=3))*41.84)</f>
        <v>#N/A</v>
      </c>
      <c r="CF67" s="31">
        <f>(BS67*Input!$AO$4+BT67*Input!$AR$4+BU67*Input!$AU$4+BV67*Input!$AX$4+IF(ISNA(BW67),0,BW67*Input!$BA$4)+IF(ISNA(BX67),0,BX67*Input!$BD$4)+IF(ISNA(BY67),0,BY67*Input!$BG$4)+IF(ISNA(BZ67),0,BZ67*Input!$BJ$4)+IF(ISNA(CA67),0,CA67*Input!$BM$4)+IF(ISNA(CB67),0,CB67*Input!$BP$4)+IF(ISNA(CC67),0,CC67*Input!$BS$4)+IF(ISNA(CD67),0,CD67*Input!$BV$4)+IF(ISNA(CE67),0,CE67*Input!$BY$4))-(BF67*Input!$B$4+BG67*Input!$E$4+BH67*Input!$H$4+BI67*Input!$K$4+IF(ISNA(BJ67),0,BJ67*Input!$N$4)+IF(ISNA(BK67),0,BK67*Input!$Q$4)+IF(ISNA(BL67),0,BL67*Input!$T$4)+IF(ISNA(BM67),0,BM67*Input!$W$4)+IF(ISNA(BN67),0,BN67*Input!$Z$4)+IF(ISNA(BO67),0,BO67*Input!$AC$4)+IF(ISNA(BP67),0,BP67*Input!$AF$4)+IF(ISNA(BQ67),0,BQ67*Input!$AI$4)+IF(ISNA(BR67),0,BR67*Input!$AL$4))</f>
        <v>-13.393969874413109</v>
      </c>
      <c r="CG67" s="1">
        <f t="shared" si="12"/>
        <v>350</v>
      </c>
      <c r="CH67" s="46">
        <f t="shared" si="13"/>
        <v>25000</v>
      </c>
      <c r="CI67" s="1"/>
    </row>
    <row r="68" spans="1:87" x14ac:dyDescent="0.2">
      <c r="A68" s="1"/>
      <c r="E68" s="1"/>
      <c r="F68" s="2">
        <v>63</v>
      </c>
      <c r="G68" s="1" t="str">
        <f>IF(ISBLANK(Input!CB68), "", Input!CB68*1000)</f>
        <v/>
      </c>
      <c r="H68" s="1" t="str">
        <f>IF(ISBLANK(Input!CC68), "", Input!CC68)</f>
        <v/>
      </c>
      <c r="I68" s="1">
        <f>IF(Input!$CF$5 + Input!$CF$6*(FLOOR((Calculations!$F68-1)/(FLOOR((Input!$CF$12-Input!$CF$10)/Input!$CF$11,1)+1),1)) &gt; Input!$CF$7, "", (Input!$CF$5 + Input!$CF$6*(FLOOR((Calculations!$F68-1)/(FLOOR((Input!$CF$12-Input!$CF$10)/Input!$CF$11,1)+1),1)))*1000)</f>
        <v>25000</v>
      </c>
      <c r="J68" s="1">
        <f>IF(Calculations!I68 = "", "", Input!$CF$10 + Input!$CF$11*(Calculations!$F68-1) - (FLOOR((Input!$CF$12-Input!$CF$10)/Input!$CF$11,1)+1)*Input!$CF$11*FLOOR((Calculations!$F68-1)/(FLOOR((Input!$CF$12-Input!$CF$10)/Input!$CF$11,1)+1),1))</f>
        <v>400</v>
      </c>
      <c r="K68" s="8" t="str">
        <f t="shared" si="14"/>
        <v/>
      </c>
      <c r="L68" s="117" t="str">
        <f>IF(OR(Input!$CJ$5 + Input!$CJ$6*(Calculations!F68-1) &gt; Input!$CJ$7, Input!$CJ$5 + Input!$CJ$6*(Calculations!F68-1) &gt; 350), "", Input!$CJ$5 + Input!$CJ$6*(Calculations!F68-1))</f>
        <v/>
      </c>
      <c r="M68" s="1">
        <f t="shared" si="2"/>
        <v>25000</v>
      </c>
      <c r="N68" s="1">
        <f t="shared" si="3"/>
        <v>400</v>
      </c>
      <c r="O68" s="1">
        <f t="shared" si="15"/>
        <v>673.15</v>
      </c>
      <c r="P68" s="1" t="e">
        <f>IF(OR($D$20=3,AND($D$21=TRUE,M68&lt;1000)),INDEX('Water Density'!$C$6:$CX$120,MATCH(Calculations!N68,'Water Density'!$B$6:$B$120),MATCH(Calculations!M68/1000,'Water Density'!$C$5:$CX$5)),NA())</f>
        <v>#N/A</v>
      </c>
      <c r="Q68" s="182">
        <f>IF(OR($D$20=3,AND($D$21=TRUE,M68&lt;1000)), IF(P68&lt;&gt;0,P68,NA()), calculateDensity(M68,N68,$D$20,0.01,$D$19 = 3))</f>
        <v>1.2554558229613302</v>
      </c>
      <c r="R68" s="1" t="e">
        <f>IF($D$22=5,INDEX('Dielectric Constant'!$C$6:$CX$120,MATCH(Calculations!N68,'Dielectric Constant'!$B$6:$B$120),MATCH(Calculations!M68/1000,'Dielectric Constant'!$C$5:$CX$5)),NA())</f>
        <v>#N/A</v>
      </c>
      <c r="S68" s="58">
        <f>IF($D$22=5, IF(R68&lt;&gt;0,R68,NA()), IF(AND($D$23,M68&lt;=5000,$D$19 &lt;&gt; 3),calculateEpsilon(Q68,N68,1,FALSE),calculateEpsilon(Q68,N68,$D$22,$D$19 = 3)))</f>
        <v>39.635795640469645</v>
      </c>
      <c r="T68" s="1" t="e">
        <f>IF($D$24=3,INDEX('Water Free Energy'!$C$6:$CX$120,MATCH(Calculations!N68,'Water Free Energy'!$B$6:$B$120),MATCH(Calculations!M68/1000,'Water Free Energy'!$C$5:$CX$5)),NA())</f>
        <v>#N/A</v>
      </c>
      <c r="U68" s="179">
        <f>IF($D$27,calculateQ(M68,N68,Q68,$D$20,$D$22,$D$19=3)*10^6,NA())</f>
        <v>0.21559781522387536</v>
      </c>
      <c r="V68"/>
      <c r="W68" s="2">
        <f t="shared" si="5"/>
        <v>25000</v>
      </c>
      <c r="X68" s="1">
        <f t="shared" si="6"/>
        <v>400</v>
      </c>
      <c r="Y68" s="1">
        <f>Results!F70</f>
        <v>0</v>
      </c>
      <c r="Z68" s="1">
        <f>Results!G70</f>
        <v>0</v>
      </c>
      <c r="AA68" s="1">
        <f>Results!H70</f>
        <v>0</v>
      </c>
      <c r="AB68" s="1">
        <f>Results!I70</f>
        <v>0</v>
      </c>
      <c r="AC68" s="1" t="e">
        <f>IF(ISBLANK(Input!$O$4),NA(),'Reaction Information'!$E$5-'Reaction Information'!$G$5*(Calculations!$O68-Calculations!$C$8)+'Reaction Information'!$I$5*(Calculations!$O68-Calculations!$C$8-Calculations!$O68*LN(Calculations!$O68/Calculations!$C$8))+'Reaction Information'!$J$5*0.001/2*(2*Calculations!$O68*Calculations!$C$8-Calculations!$O68^2-Calculations!$C$8^2) + 'Reaction Information'!$K$5*100000*(Calculations!$O68^2 + Calculations!$C$8^2 - 2*Calculations!$O68*Calculations!$C$8)/(2*Calculations!$O68*Calculations!$C$8^2))</f>
        <v>#N/A</v>
      </c>
      <c r="AD68" s="8" t="e">
        <f>IF(ISBLANK(Input!$R$4),NA(),'Reaction Information'!$E$9-'Reaction Information'!$G$9*(Calculations!$O68-Calculations!$C$8)+'Reaction Information'!$I$9*(Calculations!$O68-Calculations!$C$8-Calculations!$O68*LN(Calculations!$O68/Calculations!$C$8))+'Reaction Information'!$J$9*0.001/2*(2*Calculations!$O68*Calculations!$C$8-Calculations!$O68^2-Calculations!$C$8^2) + 'Reaction Information'!$K$9*100000*(Calculations!$O68^2 + Calculations!$C$8^2 - 2*Calculations!$O68*Calculations!$C$8)/(2*Calculations!$O68*Calculations!$C$8^2))</f>
        <v>#N/A</v>
      </c>
      <c r="AE68" s="8">
        <f>IF(AE$5="H2O",IF($D$24=3,IF(T68=0,NA(),T68),calculateGibbsOfWater(M68,N68,$D$24,$D$20,$D$19=3)),NA())</f>
        <v>-55738.3218760823</v>
      </c>
      <c r="AF68" s="8">
        <f>IF(ISBLANK(Input!$X$4),NA(),'Reaction Information'!$E$13-'Reaction Information'!$G$13*(Calculations!O68-Calculations!$C$8)-'Reaction Information'!$N$13*(Calculations!O68*LN(Calculations!O68/Calculations!$C$8)-Calculations!O68+Calculations!$C$8)-'Reaction Information'!$O$13*10^4*(((1/(Calculations!O68-Calculations!$C$13))-(1/(Calculations!$C$8-Calculations!$C$13)))*((Calculations!$C$13-Calculations!O68)/(Calculations!$C$13))-(Calculations!O68/(Calculations!$C$13*Calculations!$C$13))*LN((Calculations!$C$8*(Calculations!O68-Calculations!$C$13))/(Calculations!O68*(Calculations!$C$8-Calculations!$C$13))))+'Reaction Information'!$J$13*10^-1*(Calculations!M68-Calculations!$C$9)+'Reaction Information'!$K$13*10^2*LN((Calculations!$C$12+Calculations!M68)/(Calculations!$C$12+Calculations!$C$9))+(1/(Calculations!O68-Calculations!$C$13))*('Reaction Information'!$L$13*(Calculations!M68-Calculations!$C$9)+'Reaction Information'!$M$13*10^4*LN((Calculations!$C$12+Calculations!M68)/(Calculations!$C$12+Calculations!$C$9)))+calculateOmega(Calculations!M68,Calculations!N68,Calculations!Q68,'Reaction Information'!$C$13,'Reaction Information'!$P$13*10^5,'Reaction Information'!$Q$13)*((1/Calculations!S68)-1)-'Reaction Information'!$P$13*10^5*((1/Calculations!$C$10)-1)+'Reaction Information'!$P$13*10^5*Calculations!$C$14*(Calculations!O68-Calculations!$C$8))</f>
        <v>-88462.720989695052</v>
      </c>
      <c r="AG68" s="8" t="e">
        <f>IF(ISBLANK(Input!$AA$4),NA(),'Reaction Information'!$E$17-'Reaction Information'!$G$17*(Calculations!$O68-Calculations!$C$8)-'Reaction Information'!$N$17*(Calculations!$O68*LN(Calculations!$O68/Calculations!$C$8)-Calculations!$O68+Calculations!$C$8)-'Reaction Information'!$O$17*10^4*(((1/(Calculations!$O68-Calculations!$C$13))-(1/(Calculations!$C$8-Calculations!$C$13)))*((Calculations!$C$13-Calculations!$O68)/(Calculations!$C$13))-(Calculations!$O68/(Calculations!$C$13*Calculations!$C$13))*LN((Calculations!$C$8*(Calculations!$O68-Calculations!$C$13))/(Calculations!$O68*(Calculations!$C$8-Calculations!$C$13))))+'Reaction Information'!$J$17*10^-1*(Calculations!$M68-Calculations!$C$9)+'Reaction Information'!$K$17*10^2*LN((Calculations!$C$12+Calculations!$M68)/(Calculations!$C$12+Calculations!$C$9))+(1/(Calculations!$O68-Calculations!$C$13))*('Reaction Information'!$L$17*(Calculations!$M68-Calculations!$C$9)+'Reaction Information'!$M$17*10^4*LN((Calculations!$C$12+Calculations!$M68)/(Calculations!$C$12+Calculations!$C$9)))+calculateOmega(Calculations!M68,Calculations!N68,Calculations!Q68,'Reaction Information'!$C$17,'Reaction Information'!$P$17*10^5,'Reaction Information'!$Q$17)*((1/Calculations!$S68)-1)-'Reaction Information'!$P$17*10^5*((1/Calculations!$C$10)-1)+'Reaction Information'!$P$17*10^5*Calculations!$C$14*(Calculations!$O68-Calculations!$C$8))</f>
        <v>#N/A</v>
      </c>
      <c r="AH68" s="8" t="e">
        <f>IF(ISBLANK(Input!$AD$4),NA(),'Reaction Information'!$E$21-'Reaction Information'!$G$21*(Calculations!$O68-Calculations!$C$8)-'Reaction Information'!$N$21*(Calculations!$O68*LN(Calculations!$O68/Calculations!$C$8)-Calculations!$O68+Calculations!$C$8)-'Reaction Information'!$O$21*10^4*(((1/(Calculations!$O68-Calculations!$C$13))-(1/(Calculations!$C$8-Calculations!$C$13)))*((Calculations!$C$13-Calculations!$O68)/(Calculations!$C$13))-(Calculations!$O68/(Calculations!$C$13*Calculations!$C$13))*LN((Calculations!$C$8*(Calculations!$O68-Calculations!$C$13))/(Calculations!$O68*(Calculations!$C$8-Calculations!$C$13))))+'Reaction Information'!$J$21*10^-1*(Calculations!$M68-Calculations!$C$9)+'Reaction Information'!$K$21*10^2*LN((Calculations!$C$12+Calculations!$M68)/(Calculations!$C$12+Calculations!$C$9))+(1/(Calculations!$O68-Calculations!$C$13))*('Reaction Information'!$L$21*(Calculations!$M68-Calculations!$C$9)+'Reaction Information'!$M$21*10^4*LN((Calculations!$C$12+Calculations!$M68)/(Calculations!$C$12+Calculations!$C$9)))+calculateOmega(Calculations!M68,Calculations!N68,Calculations!Q68,'Reaction Information'!$C$21,'Reaction Information'!$P$21*10^5,'Reaction Information'!$Q$21)*((1/Calculations!$S68)-1)-'Reaction Information'!$P$21*10^5*((1/Calculations!$C$10)-1)+'Reaction Information'!$P$21*10^5*Calculations!$C$14*(Calculations!$O68-Calculations!$C$8))</f>
        <v>#N/A</v>
      </c>
      <c r="AI68" s="8" t="e">
        <f>IF(ISBLANK(Input!$AG$4),NA(),'Reaction Information'!$E$25-'Reaction Information'!$G$25*(Calculations!$O68-Calculations!$C$8)-'Reaction Information'!$N$25*(Calculations!$O68*LN(Calculations!$O68/Calculations!$C$8)-Calculations!$O68+Calculations!$C$8)-'Reaction Information'!$O$25*10^4*(((1/(Calculations!$O68-Calculations!$C$13))-(1/(Calculations!$C$8-Calculations!$C$13)))*((Calculations!$C$13-Calculations!$O68)/(Calculations!$C$13))-(Calculations!$O68/(Calculations!$C$13*Calculations!$C$13))*LN((Calculations!$C$8*(Calculations!$O68-Calculations!$C$13))/(Calculations!$O68*(Calculations!$C$8-Calculations!$C$13))))+'Reaction Information'!$J$25*10^-1*(Calculations!$M68-Calculations!$C$9)+'Reaction Information'!$K$25*10^2*LN((Calculations!$C$12+Calculations!$M68)/(Calculations!$C$12+Calculations!$C$9))+(1/(Calculations!$O68-Calculations!$C$13))*('Reaction Information'!$L$25*(Calculations!$M68-Calculations!$C$9)+'Reaction Information'!$M$25*10^4*LN((Calculations!$C$12+Calculations!$M68)/(Calculations!$C$12+Calculations!$C$9)))+calculateOmega(Calculations!M68,Calculations!N68,Calculations!Q68,'Reaction Information'!$C$25,'Reaction Information'!$P$25*10^5,'Reaction Information'!$Q$25)*((1/Calculations!$S68)-1)-'Reaction Information'!$P$25*10^5*((1/Calculations!$C$10)-1)+'Reaction Information'!$P$25*10^5*Calculations!$C$14*(Calculations!$O68-Calculations!$C$8))</f>
        <v>#N/A</v>
      </c>
      <c r="AJ68" s="8" t="e">
        <f>IF(ISBLANK(Input!$AJ$4),NA(),'Reaction Information'!$E$29-'Reaction Information'!$G$29*(Calculations!$O68-Calculations!$C$8)-'Reaction Information'!$N$29*(Calculations!$O68*LN(Calculations!$O68/Calculations!$C$8)-Calculations!$O68+Calculations!$C$8)-'Reaction Information'!$O$29*10^4*(((1/(Calculations!$O68-Calculations!$C$13))-(1/(Calculations!$C$8-Calculations!$C$13)))*((Calculations!$C$13-Calculations!$O68)/(Calculations!$C$13))-(Calculations!$O68/(Calculations!$C$13*Calculations!$C$13))*LN((Calculations!$C$8*(Calculations!$O68-Calculations!$C$13))/(Calculations!$O68*(Calculations!$C$8-Calculations!$C$13))))+'Reaction Information'!$J$29*10^-1*(Calculations!$M68-Calculations!$C$9)+'Reaction Information'!$K$29*10^2*LN((Calculations!$C$12+Calculations!$M68)/(Calculations!$C$12+Calculations!$C$9))+(1/(Calculations!$O68-Calculations!$C$13))*('Reaction Information'!$L$29*(Calculations!$M68-Calculations!$C$9)+'Reaction Information'!$M$29*10^4*LN((Calculations!$C$12+Calculations!$M68)/(Calculations!$C$12+Calculations!$C$9)))+calculateOmega(Calculations!M68,Calculations!N68,Calculations!Q68,'Reaction Information'!$C$29,'Reaction Information'!$P$29*10^5,'Reaction Information'!$Q$29)*((1/Calculations!$S68)-1)-'Reaction Information'!$P$29*10^5*((1/Calculations!$C$10)-1)+'Reaction Information'!$P$29*10^5*Calculations!$C$14*(Calculations!$O68-Calculations!$C$8))</f>
        <v>#N/A</v>
      </c>
      <c r="AK68" s="8" t="e">
        <f>IF(ISBLANK(Input!$AM$4),NA(),'Reaction Information'!$E$33-'Reaction Information'!$G$33*(Calculations!$O68-Calculations!$C$8)-'Reaction Information'!$N$33*(Calculations!$O68*LN(Calculations!$O68/Calculations!$C$8)-Calculations!$O68+Calculations!$C$8)-'Reaction Information'!$O$33*10^4*(((1/(Calculations!$O68-Calculations!$C$13))-(1/(Calculations!$C$8-Calculations!$C$13)))*((Calculations!$C$13-Calculations!$O68)/(Calculations!$C$13))-(Calculations!$O68/(Calculations!$C$13*Calculations!$C$13))*LN((Calculations!$C$8*(Calculations!$O68-Calculations!$C$13))/(Calculations!$O68*(Calculations!$C$8-Calculations!$C$13))))+'Reaction Information'!$J$33*10^-1*(Calculations!$M68-Calculations!$C$9)+'Reaction Information'!$K$33*10^2*LN((Calculations!$C$12+Calculations!$M68)/(Calculations!$C$12+Calculations!$C$9))+(1/(Calculations!$O68-Calculations!$C$13))*('Reaction Information'!$L$33*(Calculations!$M68-Calculations!$C$9)+'Reaction Information'!$M$33*10^4*LN((Calculations!$C$12+Calculations!$M68)/(Calculations!$C$12+Calculations!$C$9)))+calculateOmega(Calculations!M68,Calculations!N68,Calculations!Q68,'Reaction Information'!$C$33,'Reaction Information'!$P$33*10^5,'Reaction Information'!$Q$33)*((1/Calculations!$S68)-1)-'Reaction Information'!$P$33*10^5*((1/Calculations!$C$10)-1)+'Reaction Information'!$P$33*10^5*Calculations!$C$14*(Calculations!$O68-Calculations!$C$8))</f>
        <v>#N/A</v>
      </c>
      <c r="AL68" s="1">
        <f>Results!S70</f>
        <v>0</v>
      </c>
      <c r="AM68" s="1">
        <f>Results!T70</f>
        <v>0</v>
      </c>
      <c r="AN68" s="1">
        <f>Results!U70</f>
        <v>0</v>
      </c>
      <c r="AO68" s="1">
        <f>Results!V70</f>
        <v>0</v>
      </c>
      <c r="AP68" s="8" t="e">
        <f>IF(ISBLANK(Input!$BB$4),NA(),'Reaction Information'!$E$38-'Reaction Information'!$G$38*(Calculations!$O68-Calculations!$C$8)+'Reaction Information'!$I$38*(Calculations!$O68-Calculations!$C$8-Calculations!$O68*LN(Calculations!$O68/Calculations!$C$8))+'Reaction Information'!$J$38*0.001/2*(2*Calculations!$O68*Calculations!$C$8-Calculations!$O68^2-Calculations!$C$8^2) + 'Reaction Information'!$K$38*100000*(Calculations!$O68^2 + Calculations!$C$8^2 - 2*Calculations!$O68*Calculations!$C$8)/(2*Calculations!$O68*Calculations!$C$8^2))</f>
        <v>#N/A</v>
      </c>
      <c r="AQ68" s="8" t="e">
        <f>IF(ISBLANK(Input!$BE$4),NA(),'Reaction Information'!$E$42-'Reaction Information'!$G$42*(Calculations!$O68-Calculations!$C$8)+'Reaction Information'!$I$42*(Calculations!$O68-Calculations!$C$8-Calculations!$O68*LN(Calculations!$O68/Calculations!$C$8))+'Reaction Information'!$J$42*0.001/2*(2*Calculations!$O68*Calculations!$C$8-Calculations!$O68^2-Calculations!$C$8^2) + 'Reaction Information'!$K$42*100000*(Calculations!$O68^2 + Calculations!$C$8^2 - 2*Calculations!$O68*Calculations!$C$8)/(2*Calculations!$O68*Calculations!$C$8^2))</f>
        <v>#N/A</v>
      </c>
      <c r="AR68" s="8" t="e">
        <f>IF(AR$5="H2O", IF($D$24=3,IF(T68=0,NA(),T68),calculateGibbsOfWater(M68,N68,$D$24,$D$20,$D$19=3)),NA())</f>
        <v>#N/A</v>
      </c>
      <c r="AS68" s="8">
        <f>IF(ISBLANK(Input!$BK$4),NA(),'Reaction Information'!$E$46-'Reaction Information'!$G$46*(Calculations!O68-Calculations!$C$8)-'Reaction Information'!$N$46*(Calculations!O68*LN(Calculations!O68/Calculations!$C$8)-Calculations!O68+Calculations!$C$8)-'Reaction Information'!$O$46*10^4*(((1/(Calculations!O68-Calculations!$C$13))-(1/(Calculations!$C$8-Calculations!$C$13)))*((Calculations!$C$13-Calculations!O68)/(Calculations!$C$13))-(Calculations!O68/(Calculations!$C$13*Calculations!$C$13))*LN((Calculations!$C$8*(Calculations!O68-Calculations!$C$13))/(Calculations!O68*(Calculations!$C$8-Calculations!$C$13))))+'Reaction Information'!$J$46*10^-1*(Calculations!$M68-Calculations!$C$9)+'Reaction Information'!$K$46*10^2*LN((Calculations!$C$12+Calculations!$M68)/(Calculations!$C$12+Calculations!$C$9))+(1/(Calculations!O68-Calculations!$C$13))*('Reaction Information'!$L$46*(Calculations!$M68-Calculations!$C$9)+'Reaction Information'!$M$46*10^4*LN((Calculations!$C$12+Calculations!$M68)/(Calculations!$C$12+Calculations!$C$9)))+calculateOmega(Calculations!M68,Calculations!N68,Calculations!Q68,'Reaction Information'!$C$46,'Reaction Information'!$P$46*10^5,'Reaction Information'!$Q$46)*((1/Calculations!S68)-1)-'Reaction Information'!$P$46*10^5*((1/Calculations!$C$10)-1)+'Reaction Information'!$P$46*10^5*Calculations!$C$14*(Calculations!O68-Calculations!$C$8))</f>
        <v>0</v>
      </c>
      <c r="AT68" s="8">
        <f>IF(ISBLANK(Input!$BN$4),NA(),'Reaction Information'!$E$50-'Reaction Information'!$G$50*(Calculations!O68-Calculations!$C$8)-'Reaction Information'!$N$50*(Calculations!O68*LN(Calculations!O68/Calculations!$C$8)-Calculations!O68+Calculations!$C$8)-'Reaction Information'!$O$50*10^4*(((1/(Calculations!O68-Calculations!$C$13))-(1/(Calculations!$C$8-Calculations!$C$13)))*((Calculations!$C$13-Calculations!O68)/(Calculations!$C$13))-(Calculations!O68/(Calculations!$C$13*Calculations!$C$13))*LN((Calculations!$C$8*(Calculations!O68-Calculations!$C$13))/(Calculations!O68*(Calculations!$C$8-Calculations!$C$13))))+'Reaction Information'!$J$50*10^-1*(Calculations!$M68-Calculations!$C$9)+'Reaction Information'!$K$50*10^2*LN((Calculations!$C$12+Calculations!$M68)/(Calculations!$C$12+Calculations!$C$9))+(1/(Calculations!O68-Calculations!$C$13))*('Reaction Information'!$L$50*(Calculations!$M68-Calculations!$C$9)+'Reaction Information'!$M$50*10^4*LN((Calculations!$C$12+Calculations!$M68)/(Calculations!$C$12+Calculations!$C$9)))+calculateOmega(Calculations!M68,Calculations!N68,Calculations!Q68,'Reaction Information'!$C$50,'Reaction Information'!$P$50*10^5,'Reaction Information'!$Q$50)*((1/Calculations!S68)-1)-'Reaction Information'!$P$50*10^5*((1/Calculations!$C$10)-1)+'Reaction Information'!$P$50*10^5*Calculations!$C$14*(Calculations!O68-Calculations!$C$8))</f>
        <v>-132581.7841077724</v>
      </c>
      <c r="AU68" s="8" t="e">
        <f>IF(ISBLANK(Input!$BQ$4),NA(),'Reaction Information'!$E$54-'Reaction Information'!$G$54*(Calculations!$O68-Calculations!$C$8)-'Reaction Information'!$N$54*(Calculations!$O68*LN(Calculations!$O68/Calculations!$C$8)-Calculations!$O68+Calculations!$C$8)-'Reaction Information'!$O$54*10^4*(((1/(Calculations!$O68-Calculations!$C$13))-(1/(Calculations!$C$8-Calculations!$C$13)))*((Calculations!$C$13-Calculations!$O68)/(Calculations!$C$13))-(Calculations!$O68/(Calculations!$C$13*Calculations!$C$13))*LN((Calculations!$C$8*(Calculations!$O68-Calculations!$C$13))/(Calculations!$O68*(Calculations!$C$8-Calculations!$C$13))))+'Reaction Information'!$J$54*10^-1*(Calculations!$M68-Calculations!$C$9)+'Reaction Information'!$K$54*10^2*LN((Calculations!$C$12+Calculations!$M68)/(Calculations!$C$12+Calculations!$C$9))+(1/(Calculations!$O68-Calculations!$C$13))*('Reaction Information'!$L$54*(Calculations!$M68-Calculations!$C$9)+'Reaction Information'!$M$54*10^4*LN((Calculations!$C$12+Calculations!$M68)/(Calculations!$C$12+Calculations!$C$9)))+calculateOmega(Calculations!M68,Calculations!N68,Calculations!Q68,'Reaction Information'!$C$54,'Reaction Information'!$P$54*10^5,'Reaction Information'!$Q$54)*((1/Calculations!$S68)-1)-'Reaction Information'!$P$54*10^5*((1/Calculations!$C$10)-1)+'Reaction Information'!$P$54*10^5*Calculations!$C$14*(Calculations!$O68-Calculations!$C$8))</f>
        <v>#N/A</v>
      </c>
      <c r="AV68" s="8" t="e">
        <f>IF(ISBLANK(Input!$BT$4),NA(),'Reaction Information'!$E$58-'Reaction Information'!$G$58*(Calculations!$O68-Calculations!$C$8)-'Reaction Information'!$N$58*(Calculations!$O68*LN(Calculations!$O68/Calculations!$C$8)-Calculations!$O68+Calculations!$C$8)-'Reaction Information'!$O$58*10^4*(((1/(Calculations!$O68-Calculations!$C$13))-(1/(Calculations!$C$8-Calculations!$C$13)))*((Calculations!$C$13-Calculations!$O68)/(Calculations!$C$13))-(Calculations!$O68/(Calculations!$C$13*Calculations!$C$13))*LN((Calculations!$C$8*(Calculations!$O68-Calculations!$C$13))/(Calculations!$O68*(Calculations!$C$8-Calculations!$C$13))))+'Reaction Information'!$J$58*10^-1*(Calculations!$M68-Calculations!$C$9)+'Reaction Information'!$K$58*10^2*LN((Calculations!$C$12+Calculations!$M68)/(Calculations!$C$12+Calculations!$C$9))+(1/(Calculations!$O68-Calculations!$C$13))*('Reaction Information'!$L$58*(Calculations!$M68-Calculations!$C$9)+'Reaction Information'!$M$58*10^4*LN((Calculations!$C$12+Calculations!$M68)/(Calculations!$C$12+Calculations!$C$9)))+calculateOmega(Calculations!M68,Calculations!N68,Calculations!Q68,'Reaction Information'!$C$58,'Reaction Information'!$P$58*10^5,'Reaction Information'!$Q$58)*((1/Calculations!$S68)-1)-'Reaction Information'!$P$58*10^5*((1/Calculations!$C$10)-1)+'Reaction Information'!$P$58*10^5*Calculations!$C$14*(Calculations!$O68-Calculations!$C$8))</f>
        <v>#N/A</v>
      </c>
      <c r="AW68" s="8" t="e">
        <f>IF(ISBLANK(Input!$BW$4),NA(),'Reaction Information'!$E$62-'Reaction Information'!$G$62*(Calculations!$O68-Calculations!$C$8)-'Reaction Information'!$N$62*(Calculations!$O68*LN(Calculations!$O68/Calculations!$C$8)-Calculations!$O68+Calculations!$C$8)-'Reaction Information'!$O$62*10^4*(((1/(Calculations!$O68-Calculations!$C$13))-(1/(Calculations!$C$8-Calculations!$C$13)))*((Calculations!$C$13-Calculations!$O68)/(Calculations!$C$13))-(Calculations!$O68/(Calculations!$C$13*Calculations!$C$13))*LN((Calculations!$C$8*(Calculations!$O68-Calculations!$C$13))/(Calculations!$O68*(Calculations!$C$8-Calculations!$C$13))))+'Reaction Information'!$J$62*10^-1*(Calculations!$M68-Calculations!$C$9)+'Reaction Information'!$K$62*10^2*LN((Calculations!$C$12+Calculations!$M68)/(Calculations!$C$12+Calculations!$C$9))+(1/(Calculations!$O68-Calculations!$C$13))*('Reaction Information'!$L$62*(Calculations!$M68-Calculations!$C$9)+'Reaction Information'!$M$62*10^4*LN((Calculations!$C$12+Calculations!$M68)/(Calculations!$C$12+Calculations!$C$9)))+calculateOmega(Calculations!M68,Calculations!N68,Calculations!Q68,'Reaction Information'!$C$62,'Reaction Information'!$P$62*10^5,'Reaction Information'!$Q$62)*((1/Calculations!$S68)-1)-'Reaction Information'!$P$62*10^5*((1/Calculations!$C$10)-1)+'Reaction Information'!$P$62*10^5*Calculations!$C$14*(Calculations!$O68-Calculations!$C$8))</f>
        <v>#N/A</v>
      </c>
      <c r="AX68" s="8" t="e">
        <f>IF(ISBLANK(Input!$BZ$4),NA(),'Reaction Information'!$E$66-'Reaction Information'!$G$66*(Calculations!$O68-Calculations!$C$8)-'Reaction Information'!$N$66*(Calculations!$O68*LN(Calculations!$O68/Calculations!$C$8)-Calculations!$O68+Calculations!$C$8)-'Reaction Information'!$O$66*10^4*(((1/(Calculations!$O68-Calculations!$C$13))-(1/(Calculations!$C$8-Calculations!$C$13)))*((Calculations!$C$13-Calculations!$O68)/(Calculations!$C$13))-(Calculations!$O68/(Calculations!$C$13*Calculations!$C$13))*LN((Calculations!$C$8*(Calculations!$O68-Calculations!$C$13))/(Calculations!$O68*(Calculations!$C$8-Calculations!$C$13))))+'Reaction Information'!$J$66*10^-1*(Calculations!$M68-Calculations!$C$9)+'Reaction Information'!$K$66*10^2*LN((Calculations!$C$12+Calculations!$M68)/(Calculations!$C$12+Calculations!$C$9))+(1/(Calculations!$O68-Calculations!$C$13))*('Reaction Information'!$L$66*(Calculations!$M68-Calculations!$C$9)+'Reaction Information'!$M$66*10^4*LN((Calculations!$C$12+Calculations!$M68)/(Calculations!$C$12+Calculations!$C$9)))+calculateOmega(Calculations!M68,Calculations!N68,Calculations!Q68,'Reaction Information'!$C$66,'Reaction Information'!$P$66*10^5,'Reaction Information'!$Q$66)*((1/Calculations!$S68)-1)-'Reaction Information'!$P$66*10^5*((1/Calculations!$C$10)-1)+'Reaction Information'!$P$66*10^5*Calculations!$C$14*(Calculations!$O68-Calculations!$C$8))</f>
        <v>#N/A</v>
      </c>
      <c r="AY68" s="31">
        <f>(AL68*Input!$AO$4+AM68*Input!$AR$4+AN68*Input!$AU$4+AO68*Input!$AX$4+IF(ISNA(AP68),0,AP68*Input!$BA$4)+IF(ISNA(AQ68),0,AQ68*Input!$BD$4)+IF(ISNA(AR68),0,AR68*Input!$BG$4)+IF(ISNA(AS68),0,AS68*Input!$BJ$4)+IF(ISNA(AT68),0,AT68*Input!$BM$4)+IF(ISNA(AU68),0,AU68*Input!$BP$4)+IF(ISNA(AV68),0,AV68*Input!$BS$4)+IF(ISNA(AW68),0,AW68*Input!$BV$4)+IF(ISNA(AX68),0,AX68*Input!$BY$4))-(Y68*Input!$B$4+Z68*Input!$E$4+AA68*Input!$H$4+AB68*Input!$K$4+IF(ISNA(AC68),0,AC68*Input!$N$4)+IF(ISNA(AD68),0,AD68*Input!$Q$4)+IF(ISNA(AE68),0,AE68*Input!$T$4)+IF(ISNA(AF68),0,AF68*Input!$W$4)+IF(ISNA(AG68),0,AG68*Input!$Z$4)+IF(ISNA(AH68),0,AH68*Input!$AC$4)+IF(ISNA(AI68),0,AI68*Input!$AF$4)+IF(ISNA(AJ68),0,AJ68*Input!$AI$4)+IF(ISNA(AK68),0,AK68*Input!$AL$4))</f>
        <v>11619.258758004959</v>
      </c>
      <c r="AZ68" s="42">
        <f t="shared" si="16"/>
        <v>-3.7748391176348401</v>
      </c>
      <c r="BA68" s="1">
        <f t="shared" si="8"/>
        <v>400</v>
      </c>
      <c r="BB68" s="46">
        <f t="shared" si="9"/>
        <v>25000</v>
      </c>
      <c r="BC68" s="1"/>
      <c r="BD68" s="2">
        <f t="shared" si="10"/>
        <v>25000</v>
      </c>
      <c r="BE68" s="46">
        <f t="shared" si="11"/>
        <v>400</v>
      </c>
      <c r="BF68" s="1">
        <f>Results!AJ70</f>
        <v>0</v>
      </c>
      <c r="BG68" s="1">
        <f>Results!AK70</f>
        <v>0</v>
      </c>
      <c r="BH68" s="1">
        <f>Results!AL70</f>
        <v>0</v>
      </c>
      <c r="BI68" s="1">
        <f>Results!AM70</f>
        <v>0</v>
      </c>
      <c r="BJ68" s="1" t="e">
        <f>IF(OR(ISNA('Reaction Information'!$D$5), $N68 = "", $D$27 = FALSE, 'Reaction Information'!$D$5 = ""), NA(), 24.465)</f>
        <v>#N/A</v>
      </c>
      <c r="BK68" s="1" t="e">
        <f>IF(OR(ISNA('Reaction Information'!$D$9), $N68 = "", $D$27 = FALSE, 'Reaction Information'!$D$9 = ""), NA(), 24.465)</f>
        <v>#N/A</v>
      </c>
      <c r="BL68" s="8">
        <f t="shared" si="17"/>
        <v>14.349592929129212</v>
      </c>
      <c r="BM68" s="8">
        <f>IF(OR(ISBLANK(Input!$X$4),$D$27=FALSE),NA(),('Reaction Information'!$J$13/10+'Reaction Information'!$K$13*100/(Calculations!$C$12+Calculations!$M68)+('Reaction Information'!$L$13+'Reaction Information'!$M$13*10^4/(Calculations!$C$12+Calculations!$M68))/(Calculations!$O68-Calculations!$C$13) -calculateOmega(Calculations!$M68,Calculations!$N68,Calculations!$Q68,'Reaction Information'!$C$13,'Reaction Information'!$P$13*10^5,'Reaction Information'!$Q$13)*Calculations!$U68*10^-6 + (1/$S68 - 1)*calculate_domegadP(Calculations!$M68,Calculations!$N68,Calculations!$Q68,'Reaction Information'!$C$13,'Reaction Information'!$P$13*10^5,'Reaction Information'!$Q$13,$D$20,$D$19=3))*41.84)</f>
        <v>30.382310453115462</v>
      </c>
      <c r="BN68" s="8" t="e">
        <f>IF(OR(ISBLANK(Input!$AA$4),$D$27=FALSE),NA(),('Reaction Information'!$J$17/10+'Reaction Information'!$K$17*100/(Calculations!$C$12+Calculations!$M68)+('Reaction Information'!$L$17+'Reaction Information'!$M$17*10000/(Calculations!$C$12+Calculations!$M68))/(Calculations!$O68-Calculations!$C$13)-calculateOmega(Calculations!M68,Calculations!N68,Calculations!Q68,'Reaction Information'!$C$17,'Reaction Information'!$P$17*10^5,'Reaction Information'!$Q$17)*Calculations!$U68*10^-6 + (1/$S68 - 1)*calculate_domegadP(Calculations!M68,Calculations!N68,Calculations!Q68,'Reaction Information'!$C$17,'Reaction Information'!$P$17*10^5,'Reaction Information'!$Q$17,$D$20,$D$19=3))*41.84)</f>
        <v>#N/A</v>
      </c>
      <c r="BO68" s="8" t="e">
        <f>IF(OR(ISBLANK(Input!$AD$4),$D$27=FALSE),NA(),('Reaction Information'!$J$21/10+'Reaction Information'!$K$21*100/(Calculations!$C$12+Calculations!$M68)+('Reaction Information'!$L$21+'Reaction Information'!$M$21*10000/(Calculations!$C$12+Calculations!$M68))/(Calculations!$O68-Calculations!$C$13)-calculateOmega(Calculations!M68,Calculations!N68,Calculations!Q68,'Reaction Information'!$C$21,'Reaction Information'!$P$21*10^5,'Reaction Information'!$Q$21)*Calculations!$U68*10^-6 + (1/$S68 - 1)*calculate_domegadP(Calculations!M68,Calculations!N68,Calculations!Q68,'Reaction Information'!$C$21,'Reaction Information'!$P$21*10^5,'Reaction Information'!$Q$21,$D$20,$D$19=3))*41.84)</f>
        <v>#N/A</v>
      </c>
      <c r="BP68" s="8" t="e">
        <f>IF(OR(ISBLANK(Input!$AG$4),$D$27=FALSE),NA(),('Reaction Information'!$J$25/10+'Reaction Information'!$K$25*100/(Calculations!$C$12+Calculations!$M68)+('Reaction Information'!$L$25+'Reaction Information'!$M$25*10000/(Calculations!$C$12+Calculations!$M68))/(Calculations!$O68-Calculations!$C$13)-calculateOmega(Calculations!M68,Calculations!N68,Calculations!Q68,'Reaction Information'!$C$25,'Reaction Information'!$P$25*10^5,'Reaction Information'!$Q$25)*Calculations!$U68*10^-6 + (1/$S68 - 1)*calculate_domegadP(Calculations!M68,Calculations!N68,Calculations!Q68,'Reaction Information'!$C$25,'Reaction Information'!$P$25*10^5,'Reaction Information'!$Q$25,$D$20,$D$19=3))*41.84)</f>
        <v>#N/A</v>
      </c>
      <c r="BQ68" s="8" t="e">
        <f>IF(OR(ISBLANK(Input!$AJ$4),$D$27=FALSE),NA(),('Reaction Information'!$J$29/10+'Reaction Information'!$K$29*100/(Calculations!$C$12+Calculations!$M68)+('Reaction Information'!$L$29+'Reaction Information'!$M$29*10000/(Calculations!$C$12+Calculations!$M68))/(Calculations!$O68-Calculations!$C$13)-calculateOmega(Calculations!M68,Calculations!N68,Calculations!Q68,'Reaction Information'!$C$29,'Reaction Information'!$P$29*10^5,'Reaction Information'!$Q$29)*Calculations!$U68*10^-6 + (1/$S68 - 1)*calculate_domegadP(Calculations!M68,Calculations!N68,Calculations!Q68,'Reaction Information'!$C$29,'Reaction Information'!$P$29*10^5,'Reaction Information'!$Q$29,$D$20,$D$19=3))*41.84)</f>
        <v>#N/A</v>
      </c>
      <c r="BR68" s="8" t="e">
        <f>IF(OR(ISBLANK(Input!$AM$4),$D$27=FALSE),NA(),('Reaction Information'!$J$33/10+'Reaction Information'!$K$33*100/(Calculations!$C$12+Calculations!$M68)+('Reaction Information'!$L$33+'Reaction Information'!$M$33*10000/(Calculations!$C$12+Calculations!$M68))/(Calculations!$O68-Calculations!$C$13)-calculateOmega(Calculations!M68,Calculations!N68,Calculations!Q68,'Reaction Information'!$C$33,'Reaction Information'!$P$33*10^5,'Reaction Information'!$Q$33)*Calculations!$U68*10^-6 + (1/$S68 - 1)*calculate_domegadP(Calculations!M68,Calculations!N68,Calculations!Q68,'Reaction Information'!$C$33,'Reaction Information'!$P$33*10^5,'Reaction Information'!$Q$33,$D$20,$D$19=3))*41.84)</f>
        <v>#N/A</v>
      </c>
      <c r="BS68" s="1">
        <f>Results!AW70</f>
        <v>0</v>
      </c>
      <c r="BT68" s="1">
        <f>Results!AX70</f>
        <v>0</v>
      </c>
      <c r="BU68" s="1">
        <f>Results!AY70</f>
        <v>0</v>
      </c>
      <c r="BV68" s="1">
        <f>Results!AZ70</f>
        <v>0</v>
      </c>
      <c r="BW68" s="1" t="e">
        <f>IF(OR(ISNA('Reaction Information'!$D$38), $N68 = "", $D$27 = FALSE, 'Reaction Information'!$D$38 = ""), NA(), 24.465)</f>
        <v>#N/A</v>
      </c>
      <c r="BX68" s="1" t="e">
        <f>IF(OR(ISNA('Reaction Information'!$D$42), $N68 = "", $D$27 = FALSE, 'Reaction Information'!$D$42 = ""), NA(), 24.465)</f>
        <v>#N/A</v>
      </c>
      <c r="BY68" s="8" t="e">
        <f t="shared" si="18"/>
        <v>#N/A</v>
      </c>
      <c r="BZ68" s="8">
        <f>IF(OR(ISBLANK(Input!$BK$4),$D$27=FALSE),NA(),('Reaction Information'!$J$46/10+'Reaction Information'!$K$46*100/(Calculations!$C$12+Calculations!$M68)+('Reaction Information'!$L$46+'Reaction Information'!$M$46*10000/(Calculations!$C$12+Calculations!$M68))/(Calculations!$O68-Calculations!$C$13)-calculateOmega(Calculations!M68,Calculations!N68,Calculations!Q68,'Reaction Information'!$C$46,'Reaction Information'!$P$46*10^5,'Reaction Information'!$Q$46)*Calculations!$U68*10^-6 + (1/$S68 - 1)*calculate_domegadP(Calculations!M68,Calculations!N68,Calculations!Q68,'Reaction Information'!$C$46,'Reaction Information'!$P$46*10^5,'Reaction Information'!$Q$46,$D$20,$D$19=3))*41.84)</f>
        <v>0</v>
      </c>
      <c r="CA68" s="8">
        <f>IF(OR(ISBLANK(Input!$BN$4),$D$27=FALSE),NA(),('Reaction Information'!$J$50/10+'Reaction Information'!$K$50*100/(Calculations!$C$12+Calculations!$M68)+('Reaction Information'!$L$50+'Reaction Information'!$M$50*10000/(Calculations!$C$12+Calculations!$M68))/(Calculations!$O68-Calculations!$C$13)-calculateOmega(Calculations!M68,Calculations!N68,Calculations!Q68,'Reaction Information'!$C$50,'Reaction Information'!$P$50*10^5,'Reaction Information'!$Q$50)*Calculations!$U68*10^-6 + (1/$S68 - 1)*calculate_domegadP(Calculations!M68,Calculations!N68,Calculations!Q68,'Reaction Information'!$C$50,'Reaction Information'!$P$50*10^5,'Reaction Information'!$Q$50,$D$20,$D$19=3))*41.84)</f>
        <v>30.95883247182967</v>
      </c>
      <c r="CB68" s="8" t="e">
        <f>IF(OR(ISBLANK(Input!$BQ$4),$D$27=FALSE),NA(),('Reaction Information'!$J$54/10+'Reaction Information'!$K$54*100/(Calculations!$C$12+Calculations!$M68)+('Reaction Information'!$L$54+'Reaction Information'!$M$54*10000/(Calculations!$C$12+Calculations!$M68))/(Calculations!$O68-Calculations!$C$13)-calculateOmega(Calculations!M68,Calculations!N68,Calculations!Q68,'Reaction Information'!$C$54,'Reaction Information'!$P$54*10^5,'Reaction Information'!$Q$54)*Calculations!$U68*10^-6 + (1/$S68 - 1)*calculate_domegadP(Calculations!M68,Calculations!N68,Calculations!Q68,'Reaction Information'!$C$54,'Reaction Information'!$P$54*10^5,'Reaction Information'!$Q$54,$D$20,$D$19=3))*41.84)</f>
        <v>#N/A</v>
      </c>
      <c r="CC68" s="8" t="e">
        <f>IF(OR(ISBLANK(Input!$BT$4),$D$27=FALSE),NA(),('Reaction Information'!$J$58/10+'Reaction Information'!$K$58*100/(Calculations!$C$12+Calculations!$M68)+('Reaction Information'!$L$58+'Reaction Information'!$M$58*10000/(Calculations!$C$12+Calculations!$M68))/(Calculations!$O68-Calculations!$C$13)-calculateOmega(Calculations!M68,Calculations!N68,Calculations!Q68,'Reaction Information'!$C$58,'Reaction Information'!$P$58*10^5,'Reaction Information'!$Q$58)*Calculations!$U68*10^-6 + (1/$S68 - 1)*calculate_domegadP(Calculations!M68,Calculations!N68,Calculations!Q68,'Reaction Information'!$C$58,'Reaction Information'!$P$58*10^5,'Reaction Information'!$Q$58,$D$20,$D$19=3))*41.84)</f>
        <v>#N/A</v>
      </c>
      <c r="CD68" s="8" t="e">
        <f>IF(OR(ISBLANK(Input!$BW$4),$D$27=FALSE),NA(),('Reaction Information'!$J$62/10+'Reaction Information'!$K$62*100/(Calculations!$C$12+Calculations!$M68)+('Reaction Information'!$L$62+'Reaction Information'!$M$62*10000/(Calculations!$C$12+Calculations!$M68))/(Calculations!$O68-Calculations!$C$13)-calculateOmega(Calculations!M68,Calculations!N68,Calculations!Q68,'Reaction Information'!$C$62,'Reaction Information'!$P$62*10^5,'Reaction Information'!$Q$62)*Calculations!$U68*10^-6 + (1/$S68 - 1)*calculate_domegadP(Calculations!M68,Calculations!N68,Calculations!Q68,'Reaction Information'!$C$62,'Reaction Information'!$P$62*10^5,'Reaction Information'!$Q$62,$D$20,$D$19=3))*41.84)</f>
        <v>#N/A</v>
      </c>
      <c r="CE68" s="8" t="e">
        <f>IF(OR(ISBLANK(Input!$BZ$4),$D$27=FALSE),NA(),('Reaction Information'!$J$66/10+'Reaction Information'!$K$66*100/(Calculations!$C$12+Calculations!$M68)+('Reaction Information'!$L$66+'Reaction Information'!$M$66*10000/(Calculations!$C$12+Calculations!$M68))/(Calculations!$O68-Calculations!$C$13)-calculateOmega(Calculations!M68,Calculations!N68,Calculations!Q68,'Reaction Information'!$C$66,'Reaction Information'!$P$66*10^5,'Reaction Information'!$Q$66)*Calculations!$U68*10^-6 + (1/$S68 - 1)*calculate_domegadP(Calculations!M68,Calculations!N68,Calculations!Q68,'Reaction Information'!$C$66,'Reaction Information'!$P$66*10^5,'Reaction Information'!$Q$66,$D$20,$D$19=3))*41.84)</f>
        <v>#N/A</v>
      </c>
      <c r="CF68" s="31">
        <f>(BS68*Input!$AO$4+BT68*Input!$AR$4+BU68*Input!$AU$4+BV68*Input!$AX$4+IF(ISNA(BW68),0,BW68*Input!$BA$4)+IF(ISNA(BX68),0,BX68*Input!$BD$4)+IF(ISNA(BY68),0,BY68*Input!$BG$4)+IF(ISNA(BZ68),0,BZ68*Input!$BJ$4)+IF(ISNA(CA68),0,CA68*Input!$BM$4)+IF(ISNA(CB68),0,CB68*Input!$BP$4)+IF(ISNA(CC68),0,CC68*Input!$BS$4)+IF(ISNA(CD68),0,CD68*Input!$BV$4)+IF(ISNA(CE68),0,CE68*Input!$BY$4))-(BF68*Input!$B$4+BG68*Input!$E$4+BH68*Input!$H$4+BI68*Input!$K$4+IF(ISNA(BJ68),0,BJ68*Input!$N$4)+IF(ISNA(BK68),0,BK68*Input!$Q$4)+IF(ISNA(BL68),0,BL68*Input!$T$4)+IF(ISNA(BM68),0,BM68*Input!$W$4)+IF(ISNA(BN68),0,BN68*Input!$Z$4)+IF(ISNA(BO68),0,BO68*Input!$AC$4)+IF(ISNA(BP68),0,BP68*Input!$AF$4)+IF(ISNA(BQ68),0,BQ68*Input!$AI$4)+IF(ISNA(BR68),0,BR68*Input!$AL$4))</f>
        <v>-13.773070910415004</v>
      </c>
      <c r="CG68" s="1">
        <f t="shared" si="12"/>
        <v>400</v>
      </c>
      <c r="CH68" s="46">
        <f t="shared" si="13"/>
        <v>25000</v>
      </c>
      <c r="CI68" s="1"/>
    </row>
    <row r="69" spans="1:87" x14ac:dyDescent="0.2">
      <c r="A69" s="1"/>
      <c r="E69" s="1"/>
      <c r="F69" s="2">
        <v>64</v>
      </c>
      <c r="G69" s="1" t="str">
        <f>IF(ISBLANK(Input!CB69), "", Input!CB69*1000)</f>
        <v/>
      </c>
      <c r="H69" s="1" t="str">
        <f>IF(ISBLANK(Input!CC69), "", Input!CC69)</f>
        <v/>
      </c>
      <c r="I69" s="1">
        <f>IF(Input!$CF$5 + Input!$CF$6*(FLOOR((Calculations!$F69-1)/(FLOOR((Input!$CF$12-Input!$CF$10)/Input!$CF$11,1)+1),1)) &gt; Input!$CF$7, "", (Input!$CF$5 + Input!$CF$6*(FLOOR((Calculations!$F69-1)/(FLOOR((Input!$CF$12-Input!$CF$10)/Input!$CF$11,1)+1),1)))*1000)</f>
        <v>25000</v>
      </c>
      <c r="J69" s="1">
        <f>IF(Calculations!I69 = "", "", Input!$CF$10 + Input!$CF$11*(Calculations!$F69-1) - (FLOOR((Input!$CF$12-Input!$CF$10)/Input!$CF$11,1)+1)*Input!$CF$11*FLOOR((Calculations!$F69-1)/(FLOOR((Input!$CF$12-Input!$CF$10)/Input!$CF$11,1)+1),1))</f>
        <v>450</v>
      </c>
      <c r="K69" s="8" t="str">
        <f t="shared" si="14"/>
        <v/>
      </c>
      <c r="L69" s="117" t="str">
        <f>IF(OR(Input!$CJ$5 + Input!$CJ$6*(Calculations!F69-1) &gt; Input!$CJ$7, Input!$CJ$5 + Input!$CJ$6*(Calculations!F69-1) &gt; 350), "", Input!$CJ$5 + Input!$CJ$6*(Calculations!F69-1))</f>
        <v/>
      </c>
      <c r="M69" s="1">
        <f t="shared" si="2"/>
        <v>25000</v>
      </c>
      <c r="N69" s="1">
        <f t="shared" si="3"/>
        <v>450</v>
      </c>
      <c r="O69" s="1">
        <f t="shared" si="15"/>
        <v>723.15</v>
      </c>
      <c r="P69" s="1" t="e">
        <f>IF(OR($D$20=3,AND($D$21=TRUE,M69&lt;1000)),INDEX('Water Density'!$C$6:$CX$120,MATCH(Calculations!N69,'Water Density'!$B$6:$B$120),MATCH(Calculations!M69/1000,'Water Density'!$C$5:$CX$5)),NA())</f>
        <v>#N/A</v>
      </c>
      <c r="Q69" s="182">
        <f>IF(OR($D$20=3,AND($D$21=TRUE,M69&lt;1000)), IF(P69&lt;&gt;0,P69,NA()), calculateDensity(M69,N69,$D$20,0.01,$D$19 = 3))</f>
        <v>1.2383957007628679</v>
      </c>
      <c r="R69" s="1" t="e">
        <f>IF($D$22=5,INDEX('Dielectric Constant'!$C$6:$CX$120,MATCH(Calculations!N69,'Dielectric Constant'!$B$6:$B$120),MATCH(Calculations!M69/1000,'Dielectric Constant'!$C$5:$CX$5)),NA())</f>
        <v>#N/A</v>
      </c>
      <c r="S69" s="58">
        <f>IF($D$22=5, IF(R69&lt;&gt;0,R69,NA()), IF(AND($D$23,M69&lt;=5000,$D$19 &lt;&gt; 3),calculateEpsilon(Q69,N69,1,FALSE),calculateEpsilon(Q69,N69,$D$22,$D$19 = 3)))</f>
        <v>35.617400858802277</v>
      </c>
      <c r="T69" s="1" t="e">
        <f>IF($D$24=3,INDEX('Water Free Energy'!$C$6:$CX$120,MATCH(Calculations!N69,'Water Free Energy'!$B$6:$B$120),MATCH(Calculations!M69/1000,'Water Free Energy'!$C$5:$CX$5)),NA())</f>
        <v>#N/A</v>
      </c>
      <c r="U69" s="179">
        <f>IF($D$27,calculateQ(M69,N69,Q69,$D$20,$D$22,$D$19=3)*10^6,NA())</f>
        <v>0.24136019044634235</v>
      </c>
      <c r="V69"/>
      <c r="W69" s="2">
        <f t="shared" si="5"/>
        <v>25000</v>
      </c>
      <c r="X69" s="1">
        <f t="shared" si="6"/>
        <v>450</v>
      </c>
      <c r="Y69" s="1">
        <f>Results!F71</f>
        <v>0</v>
      </c>
      <c r="Z69" s="1">
        <f>Results!G71</f>
        <v>0</v>
      </c>
      <c r="AA69" s="1">
        <f>Results!H71</f>
        <v>0</v>
      </c>
      <c r="AB69" s="1">
        <f>Results!I71</f>
        <v>0</v>
      </c>
      <c r="AC69" s="1" t="e">
        <f>IF(ISBLANK(Input!$O$4),NA(),'Reaction Information'!$E$5-'Reaction Information'!$G$5*(Calculations!$O69-Calculations!$C$8)+'Reaction Information'!$I$5*(Calculations!$O69-Calculations!$C$8-Calculations!$O69*LN(Calculations!$O69/Calculations!$C$8))+'Reaction Information'!$J$5*0.001/2*(2*Calculations!$O69*Calculations!$C$8-Calculations!$O69^2-Calculations!$C$8^2) + 'Reaction Information'!$K$5*100000*(Calculations!$O69^2 + Calculations!$C$8^2 - 2*Calculations!$O69*Calculations!$C$8)/(2*Calculations!$O69*Calculations!$C$8^2))</f>
        <v>#N/A</v>
      </c>
      <c r="AD69" s="8" t="e">
        <f>IF(ISBLANK(Input!$R$4),NA(),'Reaction Information'!$E$9-'Reaction Information'!$G$9*(Calculations!$O69-Calculations!$C$8)+'Reaction Information'!$I$9*(Calculations!$O69-Calculations!$C$8-Calculations!$O69*LN(Calculations!$O69/Calculations!$C$8))+'Reaction Information'!$J$9*0.001/2*(2*Calculations!$O69*Calculations!$C$8-Calculations!$O69^2-Calculations!$C$8^2) + 'Reaction Information'!$K$9*100000*(Calculations!$O69^2 + Calculations!$C$8^2 - 2*Calculations!$O69*Calculations!$C$8)/(2*Calculations!$O69*Calculations!$C$8^2))</f>
        <v>#N/A</v>
      </c>
      <c r="AE69" s="8">
        <f>IF(AE$5="H2O",IF($D$24=3,IF(T69=0,NA(),T69),calculateGibbsOfWater(M69,N69,$D$24,$D$20,$D$19=3)),NA())</f>
        <v>-57070.1645664877</v>
      </c>
      <c r="AF69" s="8">
        <f>IF(ISBLANK(Input!$X$4),NA(),'Reaction Information'!$E$13-'Reaction Information'!$G$13*(Calculations!O69-Calculations!$C$8)-'Reaction Information'!$N$13*(Calculations!O69*LN(Calculations!O69/Calculations!$C$8)-Calculations!O69+Calculations!$C$8)-'Reaction Information'!$O$13*10^4*(((1/(Calculations!O69-Calculations!$C$13))-(1/(Calculations!$C$8-Calculations!$C$13)))*((Calculations!$C$13-Calculations!O69)/(Calculations!$C$13))-(Calculations!O69/(Calculations!$C$13*Calculations!$C$13))*LN((Calculations!$C$8*(Calculations!O69-Calculations!$C$13))/(Calculations!O69*(Calculations!$C$8-Calculations!$C$13))))+'Reaction Information'!$J$13*10^-1*(Calculations!M69-Calculations!$C$9)+'Reaction Information'!$K$13*10^2*LN((Calculations!$C$12+Calculations!M69)/(Calculations!$C$12+Calculations!$C$9))+(1/(Calculations!O69-Calculations!$C$13))*('Reaction Information'!$L$13*(Calculations!M69-Calculations!$C$9)+'Reaction Information'!$M$13*10^4*LN((Calculations!$C$12+Calculations!M69)/(Calculations!$C$12+Calculations!$C$9)))+calculateOmega(Calculations!M69,Calculations!N69,Calculations!Q69,'Reaction Information'!$C$13,'Reaction Information'!$P$13*10^5,'Reaction Information'!$Q$13)*((1/Calculations!S69)-1)-'Reaction Information'!$P$13*10^5*((1/Calculations!$C$10)-1)+'Reaction Information'!$P$13*10^5*Calculations!$C$14*(Calculations!O69-Calculations!$C$8))</f>
        <v>-90626.138201237249</v>
      </c>
      <c r="AG69" s="8" t="e">
        <f>IF(ISBLANK(Input!$AA$4),NA(),'Reaction Information'!$E$17-'Reaction Information'!$G$17*(Calculations!$O69-Calculations!$C$8)-'Reaction Information'!$N$17*(Calculations!$O69*LN(Calculations!$O69/Calculations!$C$8)-Calculations!$O69+Calculations!$C$8)-'Reaction Information'!$O$17*10^4*(((1/(Calculations!$O69-Calculations!$C$13))-(1/(Calculations!$C$8-Calculations!$C$13)))*((Calculations!$C$13-Calculations!$O69)/(Calculations!$C$13))-(Calculations!$O69/(Calculations!$C$13*Calculations!$C$13))*LN((Calculations!$C$8*(Calculations!$O69-Calculations!$C$13))/(Calculations!$O69*(Calculations!$C$8-Calculations!$C$13))))+'Reaction Information'!$J$17*10^-1*(Calculations!$M69-Calculations!$C$9)+'Reaction Information'!$K$17*10^2*LN((Calculations!$C$12+Calculations!$M69)/(Calculations!$C$12+Calculations!$C$9))+(1/(Calculations!$O69-Calculations!$C$13))*('Reaction Information'!$L$17*(Calculations!$M69-Calculations!$C$9)+'Reaction Information'!$M$17*10^4*LN((Calculations!$C$12+Calculations!$M69)/(Calculations!$C$12+Calculations!$C$9)))+calculateOmega(Calculations!M69,Calculations!N69,Calculations!Q69,'Reaction Information'!$C$17,'Reaction Information'!$P$17*10^5,'Reaction Information'!$Q$17)*((1/Calculations!$S69)-1)-'Reaction Information'!$P$17*10^5*((1/Calculations!$C$10)-1)+'Reaction Information'!$P$17*10^5*Calculations!$C$14*(Calculations!$O69-Calculations!$C$8))</f>
        <v>#N/A</v>
      </c>
      <c r="AH69" s="8" t="e">
        <f>IF(ISBLANK(Input!$AD$4),NA(),'Reaction Information'!$E$21-'Reaction Information'!$G$21*(Calculations!$O69-Calculations!$C$8)-'Reaction Information'!$N$21*(Calculations!$O69*LN(Calculations!$O69/Calculations!$C$8)-Calculations!$O69+Calculations!$C$8)-'Reaction Information'!$O$21*10^4*(((1/(Calculations!$O69-Calculations!$C$13))-(1/(Calculations!$C$8-Calculations!$C$13)))*((Calculations!$C$13-Calculations!$O69)/(Calculations!$C$13))-(Calculations!$O69/(Calculations!$C$13*Calculations!$C$13))*LN((Calculations!$C$8*(Calculations!$O69-Calculations!$C$13))/(Calculations!$O69*(Calculations!$C$8-Calculations!$C$13))))+'Reaction Information'!$J$21*10^-1*(Calculations!$M69-Calculations!$C$9)+'Reaction Information'!$K$21*10^2*LN((Calculations!$C$12+Calculations!$M69)/(Calculations!$C$12+Calculations!$C$9))+(1/(Calculations!$O69-Calculations!$C$13))*('Reaction Information'!$L$21*(Calculations!$M69-Calculations!$C$9)+'Reaction Information'!$M$21*10^4*LN((Calculations!$C$12+Calculations!$M69)/(Calculations!$C$12+Calculations!$C$9)))+calculateOmega(Calculations!M69,Calculations!N69,Calculations!Q69,'Reaction Information'!$C$21,'Reaction Information'!$P$21*10^5,'Reaction Information'!$Q$21)*((1/Calculations!$S69)-1)-'Reaction Information'!$P$21*10^5*((1/Calculations!$C$10)-1)+'Reaction Information'!$P$21*10^5*Calculations!$C$14*(Calculations!$O69-Calculations!$C$8))</f>
        <v>#N/A</v>
      </c>
      <c r="AI69" s="8" t="e">
        <f>IF(ISBLANK(Input!$AG$4),NA(),'Reaction Information'!$E$25-'Reaction Information'!$G$25*(Calculations!$O69-Calculations!$C$8)-'Reaction Information'!$N$25*(Calculations!$O69*LN(Calculations!$O69/Calculations!$C$8)-Calculations!$O69+Calculations!$C$8)-'Reaction Information'!$O$25*10^4*(((1/(Calculations!$O69-Calculations!$C$13))-(1/(Calculations!$C$8-Calculations!$C$13)))*((Calculations!$C$13-Calculations!$O69)/(Calculations!$C$13))-(Calculations!$O69/(Calculations!$C$13*Calculations!$C$13))*LN((Calculations!$C$8*(Calculations!$O69-Calculations!$C$13))/(Calculations!$O69*(Calculations!$C$8-Calculations!$C$13))))+'Reaction Information'!$J$25*10^-1*(Calculations!$M69-Calculations!$C$9)+'Reaction Information'!$K$25*10^2*LN((Calculations!$C$12+Calculations!$M69)/(Calculations!$C$12+Calculations!$C$9))+(1/(Calculations!$O69-Calculations!$C$13))*('Reaction Information'!$L$25*(Calculations!$M69-Calculations!$C$9)+'Reaction Information'!$M$25*10^4*LN((Calculations!$C$12+Calculations!$M69)/(Calculations!$C$12+Calculations!$C$9)))+calculateOmega(Calculations!M69,Calculations!N69,Calculations!Q69,'Reaction Information'!$C$25,'Reaction Information'!$P$25*10^5,'Reaction Information'!$Q$25)*((1/Calculations!$S69)-1)-'Reaction Information'!$P$25*10^5*((1/Calculations!$C$10)-1)+'Reaction Information'!$P$25*10^5*Calculations!$C$14*(Calculations!$O69-Calculations!$C$8))</f>
        <v>#N/A</v>
      </c>
      <c r="AJ69" s="8" t="e">
        <f>IF(ISBLANK(Input!$AJ$4),NA(),'Reaction Information'!$E$29-'Reaction Information'!$G$29*(Calculations!$O69-Calculations!$C$8)-'Reaction Information'!$N$29*(Calculations!$O69*LN(Calculations!$O69/Calculations!$C$8)-Calculations!$O69+Calculations!$C$8)-'Reaction Information'!$O$29*10^4*(((1/(Calculations!$O69-Calculations!$C$13))-(1/(Calculations!$C$8-Calculations!$C$13)))*((Calculations!$C$13-Calculations!$O69)/(Calculations!$C$13))-(Calculations!$O69/(Calculations!$C$13*Calculations!$C$13))*LN((Calculations!$C$8*(Calculations!$O69-Calculations!$C$13))/(Calculations!$O69*(Calculations!$C$8-Calculations!$C$13))))+'Reaction Information'!$J$29*10^-1*(Calculations!$M69-Calculations!$C$9)+'Reaction Information'!$K$29*10^2*LN((Calculations!$C$12+Calculations!$M69)/(Calculations!$C$12+Calculations!$C$9))+(1/(Calculations!$O69-Calculations!$C$13))*('Reaction Information'!$L$29*(Calculations!$M69-Calculations!$C$9)+'Reaction Information'!$M$29*10^4*LN((Calculations!$C$12+Calculations!$M69)/(Calculations!$C$12+Calculations!$C$9)))+calculateOmega(Calculations!M69,Calculations!N69,Calculations!Q69,'Reaction Information'!$C$29,'Reaction Information'!$P$29*10^5,'Reaction Information'!$Q$29)*((1/Calculations!$S69)-1)-'Reaction Information'!$P$29*10^5*((1/Calculations!$C$10)-1)+'Reaction Information'!$P$29*10^5*Calculations!$C$14*(Calculations!$O69-Calculations!$C$8))</f>
        <v>#N/A</v>
      </c>
      <c r="AK69" s="8" t="e">
        <f>IF(ISBLANK(Input!$AM$4),NA(),'Reaction Information'!$E$33-'Reaction Information'!$G$33*(Calculations!$O69-Calculations!$C$8)-'Reaction Information'!$N$33*(Calculations!$O69*LN(Calculations!$O69/Calculations!$C$8)-Calculations!$O69+Calculations!$C$8)-'Reaction Information'!$O$33*10^4*(((1/(Calculations!$O69-Calculations!$C$13))-(1/(Calculations!$C$8-Calculations!$C$13)))*((Calculations!$C$13-Calculations!$O69)/(Calculations!$C$13))-(Calculations!$O69/(Calculations!$C$13*Calculations!$C$13))*LN((Calculations!$C$8*(Calculations!$O69-Calculations!$C$13))/(Calculations!$O69*(Calculations!$C$8-Calculations!$C$13))))+'Reaction Information'!$J$33*10^-1*(Calculations!$M69-Calculations!$C$9)+'Reaction Information'!$K$33*10^2*LN((Calculations!$C$12+Calculations!$M69)/(Calculations!$C$12+Calculations!$C$9))+(1/(Calculations!$O69-Calculations!$C$13))*('Reaction Information'!$L$33*(Calculations!$M69-Calculations!$C$9)+'Reaction Information'!$M$33*10^4*LN((Calculations!$C$12+Calculations!$M69)/(Calculations!$C$12+Calculations!$C$9)))+calculateOmega(Calculations!M69,Calculations!N69,Calculations!Q69,'Reaction Information'!$C$33,'Reaction Information'!$P$33*10^5,'Reaction Information'!$Q$33)*((1/Calculations!$S69)-1)-'Reaction Information'!$P$33*10^5*((1/Calculations!$C$10)-1)+'Reaction Information'!$P$33*10^5*Calculations!$C$14*(Calculations!$O69-Calculations!$C$8))</f>
        <v>#N/A</v>
      </c>
      <c r="AL69" s="1">
        <f>Results!S71</f>
        <v>0</v>
      </c>
      <c r="AM69" s="1">
        <f>Results!T71</f>
        <v>0</v>
      </c>
      <c r="AN69" s="1">
        <f>Results!U71</f>
        <v>0</v>
      </c>
      <c r="AO69" s="1">
        <f>Results!V71</f>
        <v>0</v>
      </c>
      <c r="AP69" s="8" t="e">
        <f>IF(ISBLANK(Input!$BB$4),NA(),'Reaction Information'!$E$38-'Reaction Information'!$G$38*(Calculations!$O69-Calculations!$C$8)+'Reaction Information'!$I$38*(Calculations!$O69-Calculations!$C$8-Calculations!$O69*LN(Calculations!$O69/Calculations!$C$8))+'Reaction Information'!$J$38*0.001/2*(2*Calculations!$O69*Calculations!$C$8-Calculations!$O69^2-Calculations!$C$8^2) + 'Reaction Information'!$K$38*100000*(Calculations!$O69^2 + Calculations!$C$8^2 - 2*Calculations!$O69*Calculations!$C$8)/(2*Calculations!$O69*Calculations!$C$8^2))</f>
        <v>#N/A</v>
      </c>
      <c r="AQ69" s="8" t="e">
        <f>IF(ISBLANK(Input!$BE$4),NA(),'Reaction Information'!$E$42-'Reaction Information'!$G$42*(Calculations!$O69-Calculations!$C$8)+'Reaction Information'!$I$42*(Calculations!$O69-Calculations!$C$8-Calculations!$O69*LN(Calculations!$O69/Calculations!$C$8))+'Reaction Information'!$J$42*0.001/2*(2*Calculations!$O69*Calculations!$C$8-Calculations!$O69^2-Calculations!$C$8^2) + 'Reaction Information'!$K$42*100000*(Calculations!$O69^2 + Calculations!$C$8^2 - 2*Calculations!$O69*Calculations!$C$8)/(2*Calculations!$O69*Calculations!$C$8^2))</f>
        <v>#N/A</v>
      </c>
      <c r="AR69" s="8" t="e">
        <f>IF(AR$5="H2O", IF($D$24=3,IF(T69=0,NA(),T69),calculateGibbsOfWater(M69,N69,$D$24,$D$20,$D$19=3)),NA())</f>
        <v>#N/A</v>
      </c>
      <c r="AS69" s="8">
        <f>IF(ISBLANK(Input!$BK$4),NA(),'Reaction Information'!$E$46-'Reaction Information'!$G$46*(Calculations!O69-Calculations!$C$8)-'Reaction Information'!$N$46*(Calculations!O69*LN(Calculations!O69/Calculations!$C$8)-Calculations!O69+Calculations!$C$8)-'Reaction Information'!$O$46*10^4*(((1/(Calculations!O69-Calculations!$C$13))-(1/(Calculations!$C$8-Calculations!$C$13)))*((Calculations!$C$13-Calculations!O69)/(Calculations!$C$13))-(Calculations!O69/(Calculations!$C$13*Calculations!$C$13))*LN((Calculations!$C$8*(Calculations!O69-Calculations!$C$13))/(Calculations!O69*(Calculations!$C$8-Calculations!$C$13))))+'Reaction Information'!$J$46*10^-1*(Calculations!$M69-Calculations!$C$9)+'Reaction Information'!$K$46*10^2*LN((Calculations!$C$12+Calculations!$M69)/(Calculations!$C$12+Calculations!$C$9))+(1/(Calculations!O69-Calculations!$C$13))*('Reaction Information'!$L$46*(Calculations!$M69-Calculations!$C$9)+'Reaction Information'!$M$46*10^4*LN((Calculations!$C$12+Calculations!$M69)/(Calculations!$C$12+Calculations!$C$9)))+calculateOmega(Calculations!M69,Calculations!N69,Calculations!Q69,'Reaction Information'!$C$46,'Reaction Information'!$P$46*10^5,'Reaction Information'!$Q$46)*((1/Calculations!S69)-1)-'Reaction Information'!$P$46*10^5*((1/Calculations!$C$10)-1)+'Reaction Information'!$P$46*10^5*Calculations!$C$14*(Calculations!O69-Calculations!$C$8))</f>
        <v>0</v>
      </c>
      <c r="AT69" s="8">
        <f>IF(ISBLANK(Input!$BN$4),NA(),'Reaction Information'!$E$50-'Reaction Information'!$G$50*(Calculations!O69-Calculations!$C$8)-'Reaction Information'!$N$50*(Calculations!O69*LN(Calculations!O69/Calculations!$C$8)-Calculations!O69+Calculations!$C$8)-'Reaction Information'!$O$50*10^4*(((1/(Calculations!O69-Calculations!$C$13))-(1/(Calculations!$C$8-Calculations!$C$13)))*((Calculations!$C$13-Calculations!O69)/(Calculations!$C$13))-(Calculations!O69/(Calculations!$C$13*Calculations!$C$13))*LN((Calculations!$C$8*(Calculations!O69-Calculations!$C$13))/(Calculations!O69*(Calculations!$C$8-Calculations!$C$13))))+'Reaction Information'!$J$50*10^-1*(Calculations!$M69-Calculations!$C$9)+'Reaction Information'!$K$50*10^2*LN((Calculations!$C$12+Calculations!$M69)/(Calculations!$C$12+Calculations!$C$9))+(1/(Calculations!O69-Calculations!$C$13))*('Reaction Information'!$L$50*(Calculations!$M69-Calculations!$C$9)+'Reaction Information'!$M$50*10^4*LN((Calculations!$C$12+Calculations!$M69)/(Calculations!$C$12+Calculations!$C$9)))+calculateOmega(Calculations!M69,Calculations!N69,Calculations!Q69,'Reaction Information'!$C$50,'Reaction Information'!$P$50*10^5,'Reaction Information'!$Q$50)*((1/Calculations!S69)-1)-'Reaction Information'!$P$50*10^5*((1/Calculations!$C$10)-1)+'Reaction Information'!$P$50*10^5*Calculations!$C$14*(Calculations!O69-Calculations!$C$8))</f>
        <v>-134158.52754071614</v>
      </c>
      <c r="AU69" s="8" t="e">
        <f>IF(ISBLANK(Input!$BQ$4),NA(),'Reaction Information'!$E$54-'Reaction Information'!$G$54*(Calculations!$O69-Calculations!$C$8)-'Reaction Information'!$N$54*(Calculations!$O69*LN(Calculations!$O69/Calculations!$C$8)-Calculations!$O69+Calculations!$C$8)-'Reaction Information'!$O$54*10^4*(((1/(Calculations!$O69-Calculations!$C$13))-(1/(Calculations!$C$8-Calculations!$C$13)))*((Calculations!$C$13-Calculations!$O69)/(Calculations!$C$13))-(Calculations!$O69/(Calculations!$C$13*Calculations!$C$13))*LN((Calculations!$C$8*(Calculations!$O69-Calculations!$C$13))/(Calculations!$O69*(Calculations!$C$8-Calculations!$C$13))))+'Reaction Information'!$J$54*10^-1*(Calculations!$M69-Calculations!$C$9)+'Reaction Information'!$K$54*10^2*LN((Calculations!$C$12+Calculations!$M69)/(Calculations!$C$12+Calculations!$C$9))+(1/(Calculations!$O69-Calculations!$C$13))*('Reaction Information'!$L$54*(Calculations!$M69-Calculations!$C$9)+'Reaction Information'!$M$54*10^4*LN((Calculations!$C$12+Calculations!$M69)/(Calculations!$C$12+Calculations!$C$9)))+calculateOmega(Calculations!M69,Calculations!N69,Calculations!Q69,'Reaction Information'!$C$54,'Reaction Information'!$P$54*10^5,'Reaction Information'!$Q$54)*((1/Calculations!$S69)-1)-'Reaction Information'!$P$54*10^5*((1/Calculations!$C$10)-1)+'Reaction Information'!$P$54*10^5*Calculations!$C$14*(Calculations!$O69-Calculations!$C$8))</f>
        <v>#N/A</v>
      </c>
      <c r="AV69" s="8" t="e">
        <f>IF(ISBLANK(Input!$BT$4),NA(),'Reaction Information'!$E$58-'Reaction Information'!$G$58*(Calculations!$O69-Calculations!$C$8)-'Reaction Information'!$N$58*(Calculations!$O69*LN(Calculations!$O69/Calculations!$C$8)-Calculations!$O69+Calculations!$C$8)-'Reaction Information'!$O$58*10^4*(((1/(Calculations!$O69-Calculations!$C$13))-(1/(Calculations!$C$8-Calculations!$C$13)))*((Calculations!$C$13-Calculations!$O69)/(Calculations!$C$13))-(Calculations!$O69/(Calculations!$C$13*Calculations!$C$13))*LN((Calculations!$C$8*(Calculations!$O69-Calculations!$C$13))/(Calculations!$O69*(Calculations!$C$8-Calculations!$C$13))))+'Reaction Information'!$J$58*10^-1*(Calculations!$M69-Calculations!$C$9)+'Reaction Information'!$K$58*10^2*LN((Calculations!$C$12+Calculations!$M69)/(Calculations!$C$12+Calculations!$C$9))+(1/(Calculations!$O69-Calculations!$C$13))*('Reaction Information'!$L$58*(Calculations!$M69-Calculations!$C$9)+'Reaction Information'!$M$58*10^4*LN((Calculations!$C$12+Calculations!$M69)/(Calculations!$C$12+Calculations!$C$9)))+calculateOmega(Calculations!M69,Calculations!N69,Calculations!Q69,'Reaction Information'!$C$58,'Reaction Information'!$P$58*10^5,'Reaction Information'!$Q$58)*((1/Calculations!$S69)-1)-'Reaction Information'!$P$58*10^5*((1/Calculations!$C$10)-1)+'Reaction Information'!$P$58*10^5*Calculations!$C$14*(Calculations!$O69-Calculations!$C$8))</f>
        <v>#N/A</v>
      </c>
      <c r="AW69" s="8" t="e">
        <f>IF(ISBLANK(Input!$BW$4),NA(),'Reaction Information'!$E$62-'Reaction Information'!$G$62*(Calculations!$O69-Calculations!$C$8)-'Reaction Information'!$N$62*(Calculations!$O69*LN(Calculations!$O69/Calculations!$C$8)-Calculations!$O69+Calculations!$C$8)-'Reaction Information'!$O$62*10^4*(((1/(Calculations!$O69-Calculations!$C$13))-(1/(Calculations!$C$8-Calculations!$C$13)))*((Calculations!$C$13-Calculations!$O69)/(Calculations!$C$13))-(Calculations!$O69/(Calculations!$C$13*Calculations!$C$13))*LN((Calculations!$C$8*(Calculations!$O69-Calculations!$C$13))/(Calculations!$O69*(Calculations!$C$8-Calculations!$C$13))))+'Reaction Information'!$J$62*10^-1*(Calculations!$M69-Calculations!$C$9)+'Reaction Information'!$K$62*10^2*LN((Calculations!$C$12+Calculations!$M69)/(Calculations!$C$12+Calculations!$C$9))+(1/(Calculations!$O69-Calculations!$C$13))*('Reaction Information'!$L$62*(Calculations!$M69-Calculations!$C$9)+'Reaction Information'!$M$62*10^4*LN((Calculations!$C$12+Calculations!$M69)/(Calculations!$C$12+Calculations!$C$9)))+calculateOmega(Calculations!M69,Calculations!N69,Calculations!Q69,'Reaction Information'!$C$62,'Reaction Information'!$P$62*10^5,'Reaction Information'!$Q$62)*((1/Calculations!$S69)-1)-'Reaction Information'!$P$62*10^5*((1/Calculations!$C$10)-1)+'Reaction Information'!$P$62*10^5*Calculations!$C$14*(Calculations!$O69-Calculations!$C$8))</f>
        <v>#N/A</v>
      </c>
      <c r="AX69" s="8" t="e">
        <f>IF(ISBLANK(Input!$BZ$4),NA(),'Reaction Information'!$E$66-'Reaction Information'!$G$66*(Calculations!$O69-Calculations!$C$8)-'Reaction Information'!$N$66*(Calculations!$O69*LN(Calculations!$O69/Calculations!$C$8)-Calculations!$O69+Calculations!$C$8)-'Reaction Information'!$O$66*10^4*(((1/(Calculations!$O69-Calculations!$C$13))-(1/(Calculations!$C$8-Calculations!$C$13)))*((Calculations!$C$13-Calculations!$O69)/(Calculations!$C$13))-(Calculations!$O69/(Calculations!$C$13*Calculations!$C$13))*LN((Calculations!$C$8*(Calculations!$O69-Calculations!$C$13))/(Calculations!$O69*(Calculations!$C$8-Calculations!$C$13))))+'Reaction Information'!$J$66*10^-1*(Calculations!$M69-Calculations!$C$9)+'Reaction Information'!$K$66*10^2*LN((Calculations!$C$12+Calculations!$M69)/(Calculations!$C$12+Calculations!$C$9))+(1/(Calculations!$O69-Calculations!$C$13))*('Reaction Information'!$L$66*(Calculations!$M69-Calculations!$C$9)+'Reaction Information'!$M$66*10^4*LN((Calculations!$C$12+Calculations!$M69)/(Calculations!$C$12+Calculations!$C$9)))+calculateOmega(Calculations!M69,Calculations!N69,Calculations!Q69,'Reaction Information'!$C$66,'Reaction Information'!$P$66*10^5,'Reaction Information'!$Q$66)*((1/Calculations!$S69)-1)-'Reaction Information'!$P$66*10^5*((1/Calculations!$C$10)-1)+'Reaction Information'!$P$66*10^5*Calculations!$C$14*(Calculations!$O69-Calculations!$C$8))</f>
        <v>#N/A</v>
      </c>
      <c r="AY69" s="31">
        <f>(AL69*Input!$AO$4+AM69*Input!$AR$4+AN69*Input!$AU$4+AO69*Input!$AX$4+IF(ISNA(AP69),0,AP69*Input!$BA$4)+IF(ISNA(AQ69),0,AQ69*Input!$BD$4)+IF(ISNA(AR69),0,AR69*Input!$BG$4)+IF(ISNA(AS69),0,AS69*Input!$BJ$4)+IF(ISNA(AT69),0,AT69*Input!$BM$4)+IF(ISNA(AU69),0,AU69*Input!$BP$4)+IF(ISNA(AV69),0,AV69*Input!$BS$4)+IF(ISNA(AW69),0,AW69*Input!$BV$4)+IF(ISNA(AX69),0,AX69*Input!$BY$4))-(Y69*Input!$B$4+Z69*Input!$E$4+AA69*Input!$H$4+AB69*Input!$K$4+IF(ISNA(AC69),0,AC69*Input!$N$4)+IF(ISNA(AD69),0,AD69*Input!$Q$4)+IF(ISNA(AE69),0,AE69*Input!$T$4)+IF(ISNA(AF69),0,AF69*Input!$W$4)+IF(ISNA(AG69),0,AG69*Input!$Z$4)+IF(ISNA(AH69),0,AH69*Input!$AC$4)+IF(ISNA(AI69),0,AI69*Input!$AF$4)+IF(ISNA(AJ69),0,AJ69*Input!$AI$4)+IF(ISNA(AK69),0,AK69*Input!$AL$4))</f>
        <v>13537.775227008824</v>
      </c>
      <c r="AZ69" s="42">
        <f t="shared" si="16"/>
        <v>-4.0940277502333844</v>
      </c>
      <c r="BA69" s="1">
        <f t="shared" si="8"/>
        <v>450</v>
      </c>
      <c r="BB69" s="46">
        <f t="shared" si="9"/>
        <v>25000</v>
      </c>
      <c r="BC69" s="1"/>
      <c r="BD69" s="2">
        <f t="shared" si="10"/>
        <v>25000</v>
      </c>
      <c r="BE69" s="46">
        <f t="shared" si="11"/>
        <v>450</v>
      </c>
      <c r="BF69" s="1">
        <f>Results!AJ71</f>
        <v>0</v>
      </c>
      <c r="BG69" s="1">
        <f>Results!AK71</f>
        <v>0</v>
      </c>
      <c r="BH69" s="1">
        <f>Results!AL71</f>
        <v>0</v>
      </c>
      <c r="BI69" s="1">
        <f>Results!AM71</f>
        <v>0</v>
      </c>
      <c r="BJ69" s="1" t="e">
        <f>IF(OR(ISNA('Reaction Information'!$D$5), $N69 = "", $D$27 = FALSE, 'Reaction Information'!$D$5 = ""), NA(), 24.465)</f>
        <v>#N/A</v>
      </c>
      <c r="BK69" s="1" t="e">
        <f>IF(OR(ISNA('Reaction Information'!$D$9), $N69 = "", $D$27 = FALSE, 'Reaction Information'!$D$9 = ""), NA(), 24.465)</f>
        <v>#N/A</v>
      </c>
      <c r="BL69" s="8">
        <f t="shared" si="17"/>
        <v>14.547272724624571</v>
      </c>
      <c r="BM69" s="8">
        <f>IF(OR(ISBLANK(Input!$X$4),$D$27=FALSE),NA(),('Reaction Information'!$J$13/10+'Reaction Information'!$K$13*100/(Calculations!$C$12+Calculations!$M69)+('Reaction Information'!$L$13+'Reaction Information'!$M$13*10^4/(Calculations!$C$12+Calculations!$M69))/(Calculations!$O69-Calculations!$C$13) -calculateOmega(Calculations!$M69,Calculations!$N69,Calculations!$Q69,'Reaction Information'!$C$13,'Reaction Information'!$P$13*10^5,'Reaction Information'!$Q$13)*Calculations!$U69*10^-6 + (1/$S69 - 1)*calculate_domegadP(Calculations!$M69,Calculations!$N69,Calculations!$Q69,'Reaction Information'!$C$13,'Reaction Information'!$P$13*10^5,'Reaction Information'!$Q$13,$D$20,$D$19=3))*41.84)</f>
        <v>30.451185668128151</v>
      </c>
      <c r="BN69" s="8" t="e">
        <f>IF(OR(ISBLANK(Input!$AA$4),$D$27=FALSE),NA(),('Reaction Information'!$J$17/10+'Reaction Information'!$K$17*100/(Calculations!$C$12+Calculations!$M69)+('Reaction Information'!$L$17+'Reaction Information'!$M$17*10000/(Calculations!$C$12+Calculations!$M69))/(Calculations!$O69-Calculations!$C$13)-calculateOmega(Calculations!M69,Calculations!N69,Calculations!Q69,'Reaction Information'!$C$17,'Reaction Information'!$P$17*10^5,'Reaction Information'!$Q$17)*Calculations!$U69*10^-6 + (1/$S69 - 1)*calculate_domegadP(Calculations!M69,Calculations!N69,Calculations!Q69,'Reaction Information'!$C$17,'Reaction Information'!$P$17*10^5,'Reaction Information'!$Q$17,$D$20,$D$19=3))*41.84)</f>
        <v>#N/A</v>
      </c>
      <c r="BO69" s="8" t="e">
        <f>IF(OR(ISBLANK(Input!$AD$4),$D$27=FALSE),NA(),('Reaction Information'!$J$21/10+'Reaction Information'!$K$21*100/(Calculations!$C$12+Calculations!$M69)+('Reaction Information'!$L$21+'Reaction Information'!$M$21*10000/(Calculations!$C$12+Calculations!$M69))/(Calculations!$O69-Calculations!$C$13)-calculateOmega(Calculations!M69,Calculations!N69,Calculations!Q69,'Reaction Information'!$C$21,'Reaction Information'!$P$21*10^5,'Reaction Information'!$Q$21)*Calculations!$U69*10^-6 + (1/$S69 - 1)*calculate_domegadP(Calculations!M69,Calculations!N69,Calculations!Q69,'Reaction Information'!$C$21,'Reaction Information'!$P$21*10^5,'Reaction Information'!$Q$21,$D$20,$D$19=3))*41.84)</f>
        <v>#N/A</v>
      </c>
      <c r="BP69" s="8" t="e">
        <f>IF(OR(ISBLANK(Input!$AG$4),$D$27=FALSE),NA(),('Reaction Information'!$J$25/10+'Reaction Information'!$K$25*100/(Calculations!$C$12+Calculations!$M69)+('Reaction Information'!$L$25+'Reaction Information'!$M$25*10000/(Calculations!$C$12+Calculations!$M69))/(Calculations!$O69-Calculations!$C$13)-calculateOmega(Calculations!M69,Calculations!N69,Calculations!Q69,'Reaction Information'!$C$25,'Reaction Information'!$P$25*10^5,'Reaction Information'!$Q$25)*Calculations!$U69*10^-6 + (1/$S69 - 1)*calculate_domegadP(Calculations!M69,Calculations!N69,Calculations!Q69,'Reaction Information'!$C$25,'Reaction Information'!$P$25*10^5,'Reaction Information'!$Q$25,$D$20,$D$19=3))*41.84)</f>
        <v>#N/A</v>
      </c>
      <c r="BQ69" s="8" t="e">
        <f>IF(OR(ISBLANK(Input!$AJ$4),$D$27=FALSE),NA(),('Reaction Information'!$J$29/10+'Reaction Information'!$K$29*100/(Calculations!$C$12+Calculations!$M69)+('Reaction Information'!$L$29+'Reaction Information'!$M$29*10000/(Calculations!$C$12+Calculations!$M69))/(Calculations!$O69-Calculations!$C$13)-calculateOmega(Calculations!M69,Calculations!N69,Calculations!Q69,'Reaction Information'!$C$29,'Reaction Information'!$P$29*10^5,'Reaction Information'!$Q$29)*Calculations!$U69*10^-6 + (1/$S69 - 1)*calculate_domegadP(Calculations!M69,Calculations!N69,Calculations!Q69,'Reaction Information'!$C$29,'Reaction Information'!$P$29*10^5,'Reaction Information'!$Q$29,$D$20,$D$19=3))*41.84)</f>
        <v>#N/A</v>
      </c>
      <c r="BR69" s="8" t="e">
        <f>IF(OR(ISBLANK(Input!$AM$4),$D$27=FALSE),NA(),('Reaction Information'!$J$33/10+'Reaction Information'!$K$33*100/(Calculations!$C$12+Calculations!$M69)+('Reaction Information'!$L$33+'Reaction Information'!$M$33*10000/(Calculations!$C$12+Calculations!$M69))/(Calculations!$O69-Calculations!$C$13)-calculateOmega(Calculations!M69,Calculations!N69,Calculations!Q69,'Reaction Information'!$C$33,'Reaction Information'!$P$33*10^5,'Reaction Information'!$Q$33)*Calculations!$U69*10^-6 + (1/$S69 - 1)*calculate_domegadP(Calculations!M69,Calculations!N69,Calculations!Q69,'Reaction Information'!$C$33,'Reaction Information'!$P$33*10^5,'Reaction Information'!$Q$33,$D$20,$D$19=3))*41.84)</f>
        <v>#N/A</v>
      </c>
      <c r="BS69" s="1">
        <f>Results!AW71</f>
        <v>0</v>
      </c>
      <c r="BT69" s="1">
        <f>Results!AX71</f>
        <v>0</v>
      </c>
      <c r="BU69" s="1">
        <f>Results!AY71</f>
        <v>0</v>
      </c>
      <c r="BV69" s="1">
        <f>Results!AZ71</f>
        <v>0</v>
      </c>
      <c r="BW69" s="1" t="e">
        <f>IF(OR(ISNA('Reaction Information'!$D$38), $N69 = "", $D$27 = FALSE, 'Reaction Information'!$D$38 = ""), NA(), 24.465)</f>
        <v>#N/A</v>
      </c>
      <c r="BX69" s="1" t="e">
        <f>IF(OR(ISNA('Reaction Information'!$D$42), $N69 = "", $D$27 = FALSE, 'Reaction Information'!$D$42 = ""), NA(), 24.465)</f>
        <v>#N/A</v>
      </c>
      <c r="BY69" s="8" t="e">
        <f t="shared" si="18"/>
        <v>#N/A</v>
      </c>
      <c r="BZ69" s="8">
        <f>IF(OR(ISBLANK(Input!$BK$4),$D$27=FALSE),NA(),('Reaction Information'!$J$46/10+'Reaction Information'!$K$46*100/(Calculations!$C$12+Calculations!$M69)+('Reaction Information'!$L$46+'Reaction Information'!$M$46*10000/(Calculations!$C$12+Calculations!$M69))/(Calculations!$O69-Calculations!$C$13)-calculateOmega(Calculations!M69,Calculations!N69,Calculations!Q69,'Reaction Information'!$C$46,'Reaction Information'!$P$46*10^5,'Reaction Information'!$Q$46)*Calculations!$U69*10^-6 + (1/$S69 - 1)*calculate_domegadP(Calculations!M69,Calculations!N69,Calculations!Q69,'Reaction Information'!$C$46,'Reaction Information'!$P$46*10^5,'Reaction Information'!$Q$46,$D$20,$D$19=3))*41.84)</f>
        <v>0</v>
      </c>
      <c r="CA69" s="8">
        <f>IF(OR(ISBLANK(Input!$BN$4),$D$27=FALSE),NA(),('Reaction Information'!$J$50/10+'Reaction Information'!$K$50*100/(Calculations!$C$12+Calculations!$M69)+('Reaction Information'!$L$50+'Reaction Information'!$M$50*10000/(Calculations!$C$12+Calculations!$M69))/(Calculations!$O69-Calculations!$C$13)-calculateOmega(Calculations!M69,Calculations!N69,Calculations!Q69,'Reaction Information'!$C$50,'Reaction Information'!$P$50*10^5,'Reaction Information'!$Q$50)*Calculations!$U69*10^-6 + (1/$S69 - 1)*calculate_domegadP(Calculations!M69,Calculations!N69,Calculations!Q69,'Reaction Information'!$C$50,'Reaction Information'!$P$50*10^5,'Reaction Information'!$Q$50,$D$20,$D$19=3))*41.84)</f>
        <v>30.825586534007002</v>
      </c>
      <c r="CB69" s="8" t="e">
        <f>IF(OR(ISBLANK(Input!$BQ$4),$D$27=FALSE),NA(),('Reaction Information'!$J$54/10+'Reaction Information'!$K$54*100/(Calculations!$C$12+Calculations!$M69)+('Reaction Information'!$L$54+'Reaction Information'!$M$54*10000/(Calculations!$C$12+Calculations!$M69))/(Calculations!$O69-Calculations!$C$13)-calculateOmega(Calculations!M69,Calculations!N69,Calculations!Q69,'Reaction Information'!$C$54,'Reaction Information'!$P$54*10^5,'Reaction Information'!$Q$54)*Calculations!$U69*10^-6 + (1/$S69 - 1)*calculate_domegadP(Calculations!M69,Calculations!N69,Calculations!Q69,'Reaction Information'!$C$54,'Reaction Information'!$P$54*10^5,'Reaction Information'!$Q$54,$D$20,$D$19=3))*41.84)</f>
        <v>#N/A</v>
      </c>
      <c r="CC69" s="8" t="e">
        <f>IF(OR(ISBLANK(Input!$BT$4),$D$27=FALSE),NA(),('Reaction Information'!$J$58/10+'Reaction Information'!$K$58*100/(Calculations!$C$12+Calculations!$M69)+('Reaction Information'!$L$58+'Reaction Information'!$M$58*10000/(Calculations!$C$12+Calculations!$M69))/(Calculations!$O69-Calculations!$C$13)-calculateOmega(Calculations!M69,Calculations!N69,Calculations!Q69,'Reaction Information'!$C$58,'Reaction Information'!$P$58*10^5,'Reaction Information'!$Q$58)*Calculations!$U69*10^-6 + (1/$S69 - 1)*calculate_domegadP(Calculations!M69,Calculations!N69,Calculations!Q69,'Reaction Information'!$C$58,'Reaction Information'!$P$58*10^5,'Reaction Information'!$Q$58,$D$20,$D$19=3))*41.84)</f>
        <v>#N/A</v>
      </c>
      <c r="CD69" s="8" t="e">
        <f>IF(OR(ISBLANK(Input!$BW$4),$D$27=FALSE),NA(),('Reaction Information'!$J$62/10+'Reaction Information'!$K$62*100/(Calculations!$C$12+Calculations!$M69)+('Reaction Information'!$L$62+'Reaction Information'!$M$62*10000/(Calculations!$C$12+Calculations!$M69))/(Calculations!$O69-Calculations!$C$13)-calculateOmega(Calculations!M69,Calculations!N69,Calculations!Q69,'Reaction Information'!$C$62,'Reaction Information'!$P$62*10^5,'Reaction Information'!$Q$62)*Calculations!$U69*10^-6 + (1/$S69 - 1)*calculate_domegadP(Calculations!M69,Calculations!N69,Calculations!Q69,'Reaction Information'!$C$62,'Reaction Information'!$P$62*10^5,'Reaction Information'!$Q$62,$D$20,$D$19=3))*41.84)</f>
        <v>#N/A</v>
      </c>
      <c r="CE69" s="8" t="e">
        <f>IF(OR(ISBLANK(Input!$BZ$4),$D$27=FALSE),NA(),('Reaction Information'!$J$66/10+'Reaction Information'!$K$66*100/(Calculations!$C$12+Calculations!$M69)+('Reaction Information'!$L$66+'Reaction Information'!$M$66*10000/(Calculations!$C$12+Calculations!$M69))/(Calculations!$O69-Calculations!$C$13)-calculateOmega(Calculations!M69,Calculations!N69,Calculations!Q69,'Reaction Information'!$C$66,'Reaction Information'!$P$66*10^5,'Reaction Information'!$Q$66)*Calculations!$U69*10^-6 + (1/$S69 - 1)*calculate_domegadP(Calculations!M69,Calculations!N69,Calculations!Q69,'Reaction Information'!$C$66,'Reaction Information'!$P$66*10^5,'Reaction Information'!$Q$66,$D$20,$D$19=3))*41.84)</f>
        <v>#N/A</v>
      </c>
      <c r="CF69" s="31">
        <f>(BS69*Input!$AO$4+BT69*Input!$AR$4+BU69*Input!$AU$4+BV69*Input!$AX$4+IF(ISNA(BW69),0,BW69*Input!$BA$4)+IF(ISNA(BX69),0,BX69*Input!$BD$4)+IF(ISNA(BY69),0,BY69*Input!$BG$4)+IF(ISNA(BZ69),0,BZ69*Input!$BJ$4)+IF(ISNA(CA69),0,CA69*Input!$BM$4)+IF(ISNA(CB69),0,CB69*Input!$BP$4)+IF(ISNA(CC69),0,CC69*Input!$BS$4)+IF(ISNA(CD69),0,CD69*Input!$BV$4)+IF(ISNA(CE69),0,CE69*Input!$BY$4))-(BF69*Input!$B$4+BG69*Input!$E$4+BH69*Input!$H$4+BI69*Input!$K$4+IF(ISNA(BJ69),0,BJ69*Input!$N$4)+IF(ISNA(BK69),0,BK69*Input!$Q$4)+IF(ISNA(BL69),0,BL69*Input!$T$4)+IF(ISNA(BM69),0,BM69*Input!$W$4)+IF(ISNA(BN69),0,BN69*Input!$Z$4)+IF(ISNA(BO69),0,BO69*Input!$AC$4)+IF(ISNA(BP69),0,BP69*Input!$AF$4)+IF(ISNA(BQ69),0,BQ69*Input!$AI$4)+IF(ISNA(BR69),0,BR69*Input!$AL$4))</f>
        <v>-14.172871858745722</v>
      </c>
      <c r="CG69" s="1">
        <f t="shared" si="12"/>
        <v>450</v>
      </c>
      <c r="CH69" s="46">
        <f t="shared" si="13"/>
        <v>25000</v>
      </c>
      <c r="CI69" s="1"/>
    </row>
    <row r="70" spans="1:87" x14ac:dyDescent="0.2">
      <c r="A70" s="1"/>
      <c r="E70" s="1"/>
      <c r="F70" s="2">
        <v>65</v>
      </c>
      <c r="G70" s="1" t="str">
        <f>IF(ISBLANK(Input!CB70), "", Input!CB70*1000)</f>
        <v/>
      </c>
      <c r="H70" s="1" t="str">
        <f>IF(ISBLANK(Input!CC70), "", Input!CC70)</f>
        <v/>
      </c>
      <c r="I70" s="1">
        <f>IF(Input!$CF$5 + Input!$CF$6*(FLOOR((Calculations!$F70-1)/(FLOOR((Input!$CF$12-Input!$CF$10)/Input!$CF$11,1)+1),1)) &gt; Input!$CF$7, "", (Input!$CF$5 + Input!$CF$6*(FLOOR((Calculations!$F70-1)/(FLOOR((Input!$CF$12-Input!$CF$10)/Input!$CF$11,1)+1),1)))*1000)</f>
        <v>25000</v>
      </c>
      <c r="J70" s="1">
        <f>IF(Calculations!I70 = "", "", Input!$CF$10 + Input!$CF$11*(Calculations!$F70-1) - (FLOOR((Input!$CF$12-Input!$CF$10)/Input!$CF$11,1)+1)*Input!$CF$11*FLOOR((Calculations!$F70-1)/(FLOOR((Input!$CF$12-Input!$CF$10)/Input!$CF$11,1)+1),1))</f>
        <v>500</v>
      </c>
      <c r="K70" s="8" t="str">
        <f t="shared" si="14"/>
        <v/>
      </c>
      <c r="L70" s="117" t="str">
        <f>IF(OR(Input!$CJ$5 + Input!$CJ$6*(Calculations!F70-1) &gt; Input!$CJ$7, Input!$CJ$5 + Input!$CJ$6*(Calculations!F70-1) &gt; 350), "", Input!$CJ$5 + Input!$CJ$6*(Calculations!F70-1))</f>
        <v/>
      </c>
      <c r="M70" s="1">
        <f t="shared" si="2"/>
        <v>25000</v>
      </c>
      <c r="N70" s="1">
        <f t="shared" si="3"/>
        <v>500</v>
      </c>
      <c r="O70" s="1">
        <f t="shared" ref="O70:O101" si="19">N70+273.15</f>
        <v>773.15</v>
      </c>
      <c r="P70" s="1" t="e">
        <f>IF(OR($D$20=3,AND($D$21=TRUE,M70&lt;1000)),INDEX('Water Density'!$C$6:$CX$120,MATCH(Calculations!N70,'Water Density'!$B$6:$B$120),MATCH(Calculations!M70/1000,'Water Density'!$C$5:$CX$5)),NA())</f>
        <v>#N/A</v>
      </c>
      <c r="Q70" s="182">
        <f>IF(OR($D$20=3,AND($D$21=TRUE,M70&lt;1000)), IF(P70&lt;&gt;0,P70,NA()), calculateDensity(M70,N70,$D$20,0.01,$D$19 = 3))</f>
        <v>1.2215137957394124</v>
      </c>
      <c r="R70" s="1" t="e">
        <f>IF($D$22=5,INDEX('Dielectric Constant'!$C$6:$CX$120,MATCH(Calculations!N70,'Dielectric Constant'!$B$6:$B$120),MATCH(Calculations!M70/1000,'Dielectric Constant'!$C$5:$CX$5)),NA())</f>
        <v>#N/A</v>
      </c>
      <c r="S70" s="58">
        <f>IF($D$22=5, IF(R70&lt;&gt;0,R70,NA()), IF(AND($D$23,M70&lt;=5000,$D$19 &lt;&gt; 3),calculateEpsilon(Q70,N70,1,FALSE),calculateEpsilon(Q70,N70,$D$22,$D$19 = 3)))</f>
        <v>32.117054665935285</v>
      </c>
      <c r="T70" s="1" t="e">
        <f>IF($D$24=3,INDEX('Water Free Energy'!$C$6:$CX$120,MATCH(Calculations!N70,'Water Free Energy'!$B$6:$B$120),MATCH(Calculations!M70/1000,'Water Free Energy'!$C$5:$CX$5)),NA())</f>
        <v>#N/A</v>
      </c>
      <c r="U70" s="179">
        <f>IF($D$27,calculateQ(M70,N70,Q70,$D$20,$D$22,$D$19=3)*10^6,NA())</f>
        <v>0.26849367611307579</v>
      </c>
      <c r="V70"/>
      <c r="W70" s="2">
        <f t="shared" si="5"/>
        <v>25000</v>
      </c>
      <c r="X70" s="1">
        <f t="shared" si="6"/>
        <v>500</v>
      </c>
      <c r="Y70" s="1">
        <f>Results!F72</f>
        <v>0</v>
      </c>
      <c r="Z70" s="1">
        <f>Results!G72</f>
        <v>0</v>
      </c>
      <c r="AA70" s="1">
        <f>Results!H72</f>
        <v>0</v>
      </c>
      <c r="AB70" s="1">
        <f>Results!I72</f>
        <v>0</v>
      </c>
      <c r="AC70" s="1" t="e">
        <f>IF(ISBLANK(Input!$O$4),NA(),'Reaction Information'!$E$5-'Reaction Information'!$G$5*(Calculations!$O70-Calculations!$C$8)+'Reaction Information'!$I$5*(Calculations!$O70-Calculations!$C$8-Calculations!$O70*LN(Calculations!$O70/Calculations!$C$8))+'Reaction Information'!$J$5*0.001/2*(2*Calculations!$O70*Calculations!$C$8-Calculations!$O70^2-Calculations!$C$8^2) + 'Reaction Information'!$K$5*100000*(Calculations!$O70^2 + Calculations!$C$8^2 - 2*Calculations!$O70*Calculations!$C$8)/(2*Calculations!$O70*Calculations!$C$8^2))</f>
        <v>#N/A</v>
      </c>
      <c r="AD70" s="8" t="e">
        <f>IF(ISBLANK(Input!$R$4),NA(),'Reaction Information'!$E$9-'Reaction Information'!$G$9*(Calculations!$O70-Calculations!$C$8)+'Reaction Information'!$I$9*(Calculations!$O70-Calculations!$C$8-Calculations!$O70*LN(Calculations!$O70/Calculations!$C$8))+'Reaction Information'!$J$9*0.001/2*(2*Calculations!$O70*Calculations!$C$8-Calculations!$O70^2-Calculations!$C$8^2) + 'Reaction Information'!$K$9*100000*(Calculations!$O70^2 + Calculations!$C$8^2 - 2*Calculations!$O70*Calculations!$C$8)/(2*Calculations!$O70*Calculations!$C$8^2))</f>
        <v>#N/A</v>
      </c>
      <c r="AE70" s="8">
        <f>IF(AE$5="H2O",IF($D$24=3,IF(T70=0,NA(),T70),calculateGibbsOfWater(M70,N70,$D$24,$D$20,$D$19=3)),NA())</f>
        <v>-58446.748724566045</v>
      </c>
      <c r="AF70" s="8">
        <f>IF(ISBLANK(Input!$X$4),NA(),'Reaction Information'!$E$13-'Reaction Information'!$G$13*(Calculations!O70-Calculations!$C$8)-'Reaction Information'!$N$13*(Calculations!O70*LN(Calculations!O70/Calculations!$C$8)-Calculations!O70+Calculations!$C$8)-'Reaction Information'!$O$13*10^4*(((1/(Calculations!O70-Calculations!$C$13))-(1/(Calculations!$C$8-Calculations!$C$13)))*((Calculations!$C$13-Calculations!O70)/(Calculations!$C$13))-(Calculations!O70/(Calculations!$C$13*Calculations!$C$13))*LN((Calculations!$C$8*(Calculations!O70-Calculations!$C$13))/(Calculations!O70*(Calculations!$C$8-Calculations!$C$13))))+'Reaction Information'!$J$13*10^-1*(Calculations!M70-Calculations!$C$9)+'Reaction Information'!$K$13*10^2*LN((Calculations!$C$12+Calculations!M70)/(Calculations!$C$12+Calculations!$C$9))+(1/(Calculations!O70-Calculations!$C$13))*('Reaction Information'!$L$13*(Calculations!M70-Calculations!$C$9)+'Reaction Information'!$M$13*10^4*LN((Calculations!$C$12+Calculations!M70)/(Calculations!$C$12+Calculations!$C$9)))+calculateOmega(Calculations!M70,Calculations!N70,Calculations!Q70,'Reaction Information'!$C$13,'Reaction Information'!$P$13*10^5,'Reaction Information'!$Q$13)*((1/Calculations!S70)-1)-'Reaction Information'!$P$13*10^5*((1/Calculations!$C$10)-1)+'Reaction Information'!$P$13*10^5*Calculations!$C$14*(Calculations!O70-Calculations!$C$8))</f>
        <v>-92836.636884952561</v>
      </c>
      <c r="AG70" s="8" t="e">
        <f>IF(ISBLANK(Input!$AA$4),NA(),'Reaction Information'!$E$17-'Reaction Information'!$G$17*(Calculations!$O70-Calculations!$C$8)-'Reaction Information'!$N$17*(Calculations!$O70*LN(Calculations!$O70/Calculations!$C$8)-Calculations!$O70+Calculations!$C$8)-'Reaction Information'!$O$17*10^4*(((1/(Calculations!$O70-Calculations!$C$13))-(1/(Calculations!$C$8-Calculations!$C$13)))*((Calculations!$C$13-Calculations!$O70)/(Calculations!$C$13))-(Calculations!$O70/(Calculations!$C$13*Calculations!$C$13))*LN((Calculations!$C$8*(Calculations!$O70-Calculations!$C$13))/(Calculations!$O70*(Calculations!$C$8-Calculations!$C$13))))+'Reaction Information'!$J$17*10^-1*(Calculations!$M70-Calculations!$C$9)+'Reaction Information'!$K$17*10^2*LN((Calculations!$C$12+Calculations!$M70)/(Calculations!$C$12+Calculations!$C$9))+(1/(Calculations!$O70-Calculations!$C$13))*('Reaction Information'!$L$17*(Calculations!$M70-Calculations!$C$9)+'Reaction Information'!$M$17*10^4*LN((Calculations!$C$12+Calculations!$M70)/(Calculations!$C$12+Calculations!$C$9)))+calculateOmega(Calculations!M70,Calculations!N70,Calculations!Q70,'Reaction Information'!$C$17,'Reaction Information'!$P$17*10^5,'Reaction Information'!$Q$17)*((1/Calculations!$S70)-1)-'Reaction Information'!$P$17*10^5*((1/Calculations!$C$10)-1)+'Reaction Information'!$P$17*10^5*Calculations!$C$14*(Calculations!$O70-Calculations!$C$8))</f>
        <v>#N/A</v>
      </c>
      <c r="AH70" s="8" t="e">
        <f>IF(ISBLANK(Input!$AD$4),NA(),'Reaction Information'!$E$21-'Reaction Information'!$G$21*(Calculations!$O70-Calculations!$C$8)-'Reaction Information'!$N$21*(Calculations!$O70*LN(Calculations!$O70/Calculations!$C$8)-Calculations!$O70+Calculations!$C$8)-'Reaction Information'!$O$21*10^4*(((1/(Calculations!$O70-Calculations!$C$13))-(1/(Calculations!$C$8-Calculations!$C$13)))*((Calculations!$C$13-Calculations!$O70)/(Calculations!$C$13))-(Calculations!$O70/(Calculations!$C$13*Calculations!$C$13))*LN((Calculations!$C$8*(Calculations!$O70-Calculations!$C$13))/(Calculations!$O70*(Calculations!$C$8-Calculations!$C$13))))+'Reaction Information'!$J$21*10^-1*(Calculations!$M70-Calculations!$C$9)+'Reaction Information'!$K$21*10^2*LN((Calculations!$C$12+Calculations!$M70)/(Calculations!$C$12+Calculations!$C$9))+(1/(Calculations!$O70-Calculations!$C$13))*('Reaction Information'!$L$21*(Calculations!$M70-Calculations!$C$9)+'Reaction Information'!$M$21*10^4*LN((Calculations!$C$12+Calculations!$M70)/(Calculations!$C$12+Calculations!$C$9)))+calculateOmega(Calculations!M70,Calculations!N70,Calculations!Q70,'Reaction Information'!$C$21,'Reaction Information'!$P$21*10^5,'Reaction Information'!$Q$21)*((1/Calculations!$S70)-1)-'Reaction Information'!$P$21*10^5*((1/Calculations!$C$10)-1)+'Reaction Information'!$P$21*10^5*Calculations!$C$14*(Calculations!$O70-Calculations!$C$8))</f>
        <v>#N/A</v>
      </c>
      <c r="AI70" s="8" t="e">
        <f>IF(ISBLANK(Input!$AG$4),NA(),'Reaction Information'!$E$25-'Reaction Information'!$G$25*(Calculations!$O70-Calculations!$C$8)-'Reaction Information'!$N$25*(Calculations!$O70*LN(Calculations!$O70/Calculations!$C$8)-Calculations!$O70+Calculations!$C$8)-'Reaction Information'!$O$25*10^4*(((1/(Calculations!$O70-Calculations!$C$13))-(1/(Calculations!$C$8-Calculations!$C$13)))*((Calculations!$C$13-Calculations!$O70)/(Calculations!$C$13))-(Calculations!$O70/(Calculations!$C$13*Calculations!$C$13))*LN((Calculations!$C$8*(Calculations!$O70-Calculations!$C$13))/(Calculations!$O70*(Calculations!$C$8-Calculations!$C$13))))+'Reaction Information'!$J$25*10^-1*(Calculations!$M70-Calculations!$C$9)+'Reaction Information'!$K$25*10^2*LN((Calculations!$C$12+Calculations!$M70)/(Calculations!$C$12+Calculations!$C$9))+(1/(Calculations!$O70-Calculations!$C$13))*('Reaction Information'!$L$25*(Calculations!$M70-Calculations!$C$9)+'Reaction Information'!$M$25*10^4*LN((Calculations!$C$12+Calculations!$M70)/(Calculations!$C$12+Calculations!$C$9)))+calculateOmega(Calculations!M70,Calculations!N70,Calculations!Q70,'Reaction Information'!$C$25,'Reaction Information'!$P$25*10^5,'Reaction Information'!$Q$25)*((1/Calculations!$S70)-1)-'Reaction Information'!$P$25*10^5*((1/Calculations!$C$10)-1)+'Reaction Information'!$P$25*10^5*Calculations!$C$14*(Calculations!$O70-Calculations!$C$8))</f>
        <v>#N/A</v>
      </c>
      <c r="AJ70" s="8" t="e">
        <f>IF(ISBLANK(Input!$AJ$4),NA(),'Reaction Information'!$E$29-'Reaction Information'!$G$29*(Calculations!$O70-Calculations!$C$8)-'Reaction Information'!$N$29*(Calculations!$O70*LN(Calculations!$O70/Calculations!$C$8)-Calculations!$O70+Calculations!$C$8)-'Reaction Information'!$O$29*10^4*(((1/(Calculations!$O70-Calculations!$C$13))-(1/(Calculations!$C$8-Calculations!$C$13)))*((Calculations!$C$13-Calculations!$O70)/(Calculations!$C$13))-(Calculations!$O70/(Calculations!$C$13*Calculations!$C$13))*LN((Calculations!$C$8*(Calculations!$O70-Calculations!$C$13))/(Calculations!$O70*(Calculations!$C$8-Calculations!$C$13))))+'Reaction Information'!$J$29*10^-1*(Calculations!$M70-Calculations!$C$9)+'Reaction Information'!$K$29*10^2*LN((Calculations!$C$12+Calculations!$M70)/(Calculations!$C$12+Calculations!$C$9))+(1/(Calculations!$O70-Calculations!$C$13))*('Reaction Information'!$L$29*(Calculations!$M70-Calculations!$C$9)+'Reaction Information'!$M$29*10^4*LN((Calculations!$C$12+Calculations!$M70)/(Calculations!$C$12+Calculations!$C$9)))+calculateOmega(Calculations!M70,Calculations!N70,Calculations!Q70,'Reaction Information'!$C$29,'Reaction Information'!$P$29*10^5,'Reaction Information'!$Q$29)*((1/Calculations!$S70)-1)-'Reaction Information'!$P$29*10^5*((1/Calculations!$C$10)-1)+'Reaction Information'!$P$29*10^5*Calculations!$C$14*(Calculations!$O70-Calculations!$C$8))</f>
        <v>#N/A</v>
      </c>
      <c r="AK70" s="8" t="e">
        <f>IF(ISBLANK(Input!$AM$4),NA(),'Reaction Information'!$E$33-'Reaction Information'!$G$33*(Calculations!$O70-Calculations!$C$8)-'Reaction Information'!$N$33*(Calculations!$O70*LN(Calculations!$O70/Calculations!$C$8)-Calculations!$O70+Calculations!$C$8)-'Reaction Information'!$O$33*10^4*(((1/(Calculations!$O70-Calculations!$C$13))-(1/(Calculations!$C$8-Calculations!$C$13)))*((Calculations!$C$13-Calculations!$O70)/(Calculations!$C$13))-(Calculations!$O70/(Calculations!$C$13*Calculations!$C$13))*LN((Calculations!$C$8*(Calculations!$O70-Calculations!$C$13))/(Calculations!$O70*(Calculations!$C$8-Calculations!$C$13))))+'Reaction Information'!$J$33*10^-1*(Calculations!$M70-Calculations!$C$9)+'Reaction Information'!$K$33*10^2*LN((Calculations!$C$12+Calculations!$M70)/(Calculations!$C$12+Calculations!$C$9))+(1/(Calculations!$O70-Calculations!$C$13))*('Reaction Information'!$L$33*(Calculations!$M70-Calculations!$C$9)+'Reaction Information'!$M$33*10^4*LN((Calculations!$C$12+Calculations!$M70)/(Calculations!$C$12+Calculations!$C$9)))+calculateOmega(Calculations!M70,Calculations!N70,Calculations!Q70,'Reaction Information'!$C$33,'Reaction Information'!$P$33*10^5,'Reaction Information'!$Q$33)*((1/Calculations!$S70)-1)-'Reaction Information'!$P$33*10^5*((1/Calculations!$C$10)-1)+'Reaction Information'!$P$33*10^5*Calculations!$C$14*(Calculations!$O70-Calculations!$C$8))</f>
        <v>#N/A</v>
      </c>
      <c r="AL70" s="1">
        <f>Results!S72</f>
        <v>0</v>
      </c>
      <c r="AM70" s="1">
        <f>Results!T72</f>
        <v>0</v>
      </c>
      <c r="AN70" s="1">
        <f>Results!U72</f>
        <v>0</v>
      </c>
      <c r="AO70" s="1">
        <f>Results!V72</f>
        <v>0</v>
      </c>
      <c r="AP70" s="8" t="e">
        <f>IF(ISBLANK(Input!$BB$4),NA(),'Reaction Information'!$E$38-'Reaction Information'!$G$38*(Calculations!$O70-Calculations!$C$8)+'Reaction Information'!$I$38*(Calculations!$O70-Calculations!$C$8-Calculations!$O70*LN(Calculations!$O70/Calculations!$C$8))+'Reaction Information'!$J$38*0.001/2*(2*Calculations!$O70*Calculations!$C$8-Calculations!$O70^2-Calculations!$C$8^2) + 'Reaction Information'!$K$38*100000*(Calculations!$O70^2 + Calculations!$C$8^2 - 2*Calculations!$O70*Calculations!$C$8)/(2*Calculations!$O70*Calculations!$C$8^2))</f>
        <v>#N/A</v>
      </c>
      <c r="AQ70" s="8" t="e">
        <f>IF(ISBLANK(Input!$BE$4),NA(),'Reaction Information'!$E$42-'Reaction Information'!$G$42*(Calculations!$O70-Calculations!$C$8)+'Reaction Information'!$I$42*(Calculations!$O70-Calculations!$C$8-Calculations!$O70*LN(Calculations!$O70/Calculations!$C$8))+'Reaction Information'!$J$42*0.001/2*(2*Calculations!$O70*Calculations!$C$8-Calculations!$O70^2-Calculations!$C$8^2) + 'Reaction Information'!$K$42*100000*(Calculations!$O70^2 + Calculations!$C$8^2 - 2*Calculations!$O70*Calculations!$C$8)/(2*Calculations!$O70*Calculations!$C$8^2))</f>
        <v>#N/A</v>
      </c>
      <c r="AR70" s="8" t="e">
        <f>IF(AR$5="H2O", IF($D$24=3,IF(T70=0,NA(),T70),calculateGibbsOfWater(M70,N70,$D$24,$D$20,$D$19=3)),NA())</f>
        <v>#N/A</v>
      </c>
      <c r="AS70" s="8">
        <f>IF(ISBLANK(Input!$BK$4),NA(),'Reaction Information'!$E$46-'Reaction Information'!$G$46*(Calculations!O70-Calculations!$C$8)-'Reaction Information'!$N$46*(Calculations!O70*LN(Calculations!O70/Calculations!$C$8)-Calculations!O70+Calculations!$C$8)-'Reaction Information'!$O$46*10^4*(((1/(Calculations!O70-Calculations!$C$13))-(1/(Calculations!$C$8-Calculations!$C$13)))*((Calculations!$C$13-Calculations!O70)/(Calculations!$C$13))-(Calculations!O70/(Calculations!$C$13*Calculations!$C$13))*LN((Calculations!$C$8*(Calculations!O70-Calculations!$C$13))/(Calculations!O70*(Calculations!$C$8-Calculations!$C$13))))+'Reaction Information'!$J$46*10^-1*(Calculations!$M70-Calculations!$C$9)+'Reaction Information'!$K$46*10^2*LN((Calculations!$C$12+Calculations!$M70)/(Calculations!$C$12+Calculations!$C$9))+(1/(Calculations!O70-Calculations!$C$13))*('Reaction Information'!$L$46*(Calculations!$M70-Calculations!$C$9)+'Reaction Information'!$M$46*10^4*LN((Calculations!$C$12+Calculations!$M70)/(Calculations!$C$12+Calculations!$C$9)))+calculateOmega(Calculations!M70,Calculations!N70,Calculations!Q70,'Reaction Information'!$C$46,'Reaction Information'!$P$46*10^5,'Reaction Information'!$Q$46)*((1/Calculations!S70)-1)-'Reaction Information'!$P$46*10^5*((1/Calculations!$C$10)-1)+'Reaction Information'!$P$46*10^5*Calculations!$C$14*(Calculations!O70-Calculations!$C$8))</f>
        <v>0</v>
      </c>
      <c r="AT70" s="8">
        <f>IF(ISBLANK(Input!$BN$4),NA(),'Reaction Information'!$E$50-'Reaction Information'!$G$50*(Calculations!O70-Calculations!$C$8)-'Reaction Information'!$N$50*(Calculations!O70*LN(Calculations!O70/Calculations!$C$8)-Calculations!O70+Calculations!$C$8)-'Reaction Information'!$O$50*10^4*(((1/(Calculations!O70-Calculations!$C$13))-(1/(Calculations!$C$8-Calculations!$C$13)))*((Calculations!$C$13-Calculations!O70)/(Calculations!$C$13))-(Calculations!O70/(Calculations!$C$13*Calculations!$C$13))*LN((Calculations!$C$8*(Calculations!O70-Calculations!$C$13))/(Calculations!O70*(Calculations!$C$8-Calculations!$C$13))))+'Reaction Information'!$J$50*10^-1*(Calculations!$M70-Calculations!$C$9)+'Reaction Information'!$K$50*10^2*LN((Calculations!$C$12+Calculations!$M70)/(Calculations!$C$12+Calculations!$C$9))+(1/(Calculations!O70-Calculations!$C$13))*('Reaction Information'!$L$50*(Calculations!$M70-Calculations!$C$9)+'Reaction Information'!$M$50*10^4*LN((Calculations!$C$12+Calculations!$M70)/(Calculations!$C$12+Calculations!$C$9)))+calculateOmega(Calculations!M70,Calculations!N70,Calculations!Q70,'Reaction Information'!$C$50,'Reaction Information'!$P$50*10^5,'Reaction Information'!$Q$50)*((1/Calculations!S70)-1)-'Reaction Information'!$P$50*10^5*((1/Calculations!$C$10)-1)+'Reaction Information'!$P$50*10^5*Calculations!$C$14*(Calculations!O70-Calculations!$C$8))</f>
        <v>-135747.75210137101</v>
      </c>
      <c r="AU70" s="8" t="e">
        <f>IF(ISBLANK(Input!$BQ$4),NA(),'Reaction Information'!$E$54-'Reaction Information'!$G$54*(Calculations!$O70-Calculations!$C$8)-'Reaction Information'!$N$54*(Calculations!$O70*LN(Calculations!$O70/Calculations!$C$8)-Calculations!$O70+Calculations!$C$8)-'Reaction Information'!$O$54*10^4*(((1/(Calculations!$O70-Calculations!$C$13))-(1/(Calculations!$C$8-Calculations!$C$13)))*((Calculations!$C$13-Calculations!$O70)/(Calculations!$C$13))-(Calculations!$O70/(Calculations!$C$13*Calculations!$C$13))*LN((Calculations!$C$8*(Calculations!$O70-Calculations!$C$13))/(Calculations!$O70*(Calculations!$C$8-Calculations!$C$13))))+'Reaction Information'!$J$54*10^-1*(Calculations!$M70-Calculations!$C$9)+'Reaction Information'!$K$54*10^2*LN((Calculations!$C$12+Calculations!$M70)/(Calculations!$C$12+Calculations!$C$9))+(1/(Calculations!$O70-Calculations!$C$13))*('Reaction Information'!$L$54*(Calculations!$M70-Calculations!$C$9)+'Reaction Information'!$M$54*10^4*LN((Calculations!$C$12+Calculations!$M70)/(Calculations!$C$12+Calculations!$C$9)))+calculateOmega(Calculations!M70,Calculations!N70,Calculations!Q70,'Reaction Information'!$C$54,'Reaction Information'!$P$54*10^5,'Reaction Information'!$Q$54)*((1/Calculations!$S70)-1)-'Reaction Information'!$P$54*10^5*((1/Calculations!$C$10)-1)+'Reaction Information'!$P$54*10^5*Calculations!$C$14*(Calculations!$O70-Calculations!$C$8))</f>
        <v>#N/A</v>
      </c>
      <c r="AV70" s="8" t="e">
        <f>IF(ISBLANK(Input!$BT$4),NA(),'Reaction Information'!$E$58-'Reaction Information'!$G$58*(Calculations!$O70-Calculations!$C$8)-'Reaction Information'!$N$58*(Calculations!$O70*LN(Calculations!$O70/Calculations!$C$8)-Calculations!$O70+Calculations!$C$8)-'Reaction Information'!$O$58*10^4*(((1/(Calculations!$O70-Calculations!$C$13))-(1/(Calculations!$C$8-Calculations!$C$13)))*((Calculations!$C$13-Calculations!$O70)/(Calculations!$C$13))-(Calculations!$O70/(Calculations!$C$13*Calculations!$C$13))*LN((Calculations!$C$8*(Calculations!$O70-Calculations!$C$13))/(Calculations!$O70*(Calculations!$C$8-Calculations!$C$13))))+'Reaction Information'!$J$58*10^-1*(Calculations!$M70-Calculations!$C$9)+'Reaction Information'!$K$58*10^2*LN((Calculations!$C$12+Calculations!$M70)/(Calculations!$C$12+Calculations!$C$9))+(1/(Calculations!$O70-Calculations!$C$13))*('Reaction Information'!$L$58*(Calculations!$M70-Calculations!$C$9)+'Reaction Information'!$M$58*10^4*LN((Calculations!$C$12+Calculations!$M70)/(Calculations!$C$12+Calculations!$C$9)))+calculateOmega(Calculations!M70,Calculations!N70,Calculations!Q70,'Reaction Information'!$C$58,'Reaction Information'!$P$58*10^5,'Reaction Information'!$Q$58)*((1/Calculations!$S70)-1)-'Reaction Information'!$P$58*10^5*((1/Calculations!$C$10)-1)+'Reaction Information'!$P$58*10^5*Calculations!$C$14*(Calculations!$O70-Calculations!$C$8))</f>
        <v>#N/A</v>
      </c>
      <c r="AW70" s="8" t="e">
        <f>IF(ISBLANK(Input!$BW$4),NA(),'Reaction Information'!$E$62-'Reaction Information'!$G$62*(Calculations!$O70-Calculations!$C$8)-'Reaction Information'!$N$62*(Calculations!$O70*LN(Calculations!$O70/Calculations!$C$8)-Calculations!$O70+Calculations!$C$8)-'Reaction Information'!$O$62*10^4*(((1/(Calculations!$O70-Calculations!$C$13))-(1/(Calculations!$C$8-Calculations!$C$13)))*((Calculations!$C$13-Calculations!$O70)/(Calculations!$C$13))-(Calculations!$O70/(Calculations!$C$13*Calculations!$C$13))*LN((Calculations!$C$8*(Calculations!$O70-Calculations!$C$13))/(Calculations!$O70*(Calculations!$C$8-Calculations!$C$13))))+'Reaction Information'!$J$62*10^-1*(Calculations!$M70-Calculations!$C$9)+'Reaction Information'!$K$62*10^2*LN((Calculations!$C$12+Calculations!$M70)/(Calculations!$C$12+Calculations!$C$9))+(1/(Calculations!$O70-Calculations!$C$13))*('Reaction Information'!$L$62*(Calculations!$M70-Calculations!$C$9)+'Reaction Information'!$M$62*10^4*LN((Calculations!$C$12+Calculations!$M70)/(Calculations!$C$12+Calculations!$C$9)))+calculateOmega(Calculations!M70,Calculations!N70,Calculations!Q70,'Reaction Information'!$C$62,'Reaction Information'!$P$62*10^5,'Reaction Information'!$Q$62)*((1/Calculations!$S70)-1)-'Reaction Information'!$P$62*10^5*((1/Calculations!$C$10)-1)+'Reaction Information'!$P$62*10^5*Calculations!$C$14*(Calculations!$O70-Calculations!$C$8))</f>
        <v>#N/A</v>
      </c>
      <c r="AX70" s="8" t="e">
        <f>IF(ISBLANK(Input!$BZ$4),NA(),'Reaction Information'!$E$66-'Reaction Information'!$G$66*(Calculations!$O70-Calculations!$C$8)-'Reaction Information'!$N$66*(Calculations!$O70*LN(Calculations!$O70/Calculations!$C$8)-Calculations!$O70+Calculations!$C$8)-'Reaction Information'!$O$66*10^4*(((1/(Calculations!$O70-Calculations!$C$13))-(1/(Calculations!$C$8-Calculations!$C$13)))*((Calculations!$C$13-Calculations!$O70)/(Calculations!$C$13))-(Calculations!$O70/(Calculations!$C$13*Calculations!$C$13))*LN((Calculations!$C$8*(Calculations!$O70-Calculations!$C$13))/(Calculations!$O70*(Calculations!$C$8-Calculations!$C$13))))+'Reaction Information'!$J$66*10^-1*(Calculations!$M70-Calculations!$C$9)+'Reaction Information'!$K$66*10^2*LN((Calculations!$C$12+Calculations!$M70)/(Calculations!$C$12+Calculations!$C$9))+(1/(Calculations!$O70-Calculations!$C$13))*('Reaction Information'!$L$66*(Calculations!$M70-Calculations!$C$9)+'Reaction Information'!$M$66*10^4*LN((Calculations!$C$12+Calculations!$M70)/(Calculations!$C$12+Calculations!$C$9)))+calculateOmega(Calculations!M70,Calculations!N70,Calculations!Q70,'Reaction Information'!$C$66,'Reaction Information'!$P$66*10^5,'Reaction Information'!$Q$66)*((1/Calculations!$S70)-1)-'Reaction Information'!$P$66*10^5*((1/Calculations!$C$10)-1)+'Reaction Information'!$P$66*10^5*Calculations!$C$14*(Calculations!$O70-Calculations!$C$8))</f>
        <v>#N/A</v>
      </c>
      <c r="AY70" s="31">
        <f>(AL70*Input!$AO$4+AM70*Input!$AR$4+AN70*Input!$AU$4+AO70*Input!$AX$4+IF(ISNA(AP70),0,AP70*Input!$BA$4)+IF(ISNA(AQ70),0,AQ70*Input!$BD$4)+IF(ISNA(AR70),0,AR70*Input!$BG$4)+IF(ISNA(AS70),0,AS70*Input!$BJ$4)+IF(ISNA(AT70),0,AT70*Input!$BM$4)+IF(ISNA(AU70),0,AU70*Input!$BP$4)+IF(ISNA(AV70),0,AV70*Input!$BS$4)+IF(ISNA(AW70),0,AW70*Input!$BV$4)+IF(ISNA(AX70),0,AX70*Input!$BY$4))-(Y70*Input!$B$4+Z70*Input!$E$4+AA70*Input!$H$4+AB70*Input!$K$4+IF(ISNA(AC70),0,AC70*Input!$N$4)+IF(ISNA(AD70),0,AD70*Input!$Q$4)+IF(ISNA(AE70),0,AE70*Input!$T$4)+IF(ISNA(AF70),0,AF70*Input!$W$4)+IF(ISNA(AG70),0,AG70*Input!$Z$4)+IF(ISNA(AH70),0,AH70*Input!$AC$4)+IF(ISNA(AI70),0,AI70*Input!$AF$4)+IF(ISNA(AJ70),0,AJ70*Input!$AI$4)+IF(ISNA(AK70),0,AK70*Input!$AL$4))</f>
        <v>15535.633508147614</v>
      </c>
      <c r="AZ70" s="42">
        <f t="shared" ref="AZ70:AZ101" si="20">-AY70/(2.302585*O70*$C$11)</f>
        <v>-4.3943746515457915</v>
      </c>
      <c r="BA70" s="1">
        <f t="shared" si="8"/>
        <v>500</v>
      </c>
      <c r="BB70" s="46">
        <f t="shared" si="9"/>
        <v>25000</v>
      </c>
      <c r="BC70" s="1"/>
      <c r="BD70" s="2">
        <f t="shared" si="10"/>
        <v>25000</v>
      </c>
      <c r="BE70" s="46">
        <f t="shared" si="11"/>
        <v>500</v>
      </c>
      <c r="BF70" s="1">
        <f>Results!AJ72</f>
        <v>0</v>
      </c>
      <c r="BG70" s="1">
        <f>Results!AK72</f>
        <v>0</v>
      </c>
      <c r="BH70" s="1">
        <f>Results!AL72</f>
        <v>0</v>
      </c>
      <c r="BI70" s="1">
        <f>Results!AM72</f>
        <v>0</v>
      </c>
      <c r="BJ70" s="1" t="e">
        <f>IF(OR(ISNA('Reaction Information'!$D$5), $N70 = "", $D$27 = FALSE, 'Reaction Information'!$D$5 = ""), NA(), 24.465)</f>
        <v>#N/A</v>
      </c>
      <c r="BK70" s="1" t="e">
        <f>IF(OR(ISNA('Reaction Information'!$D$9), $N70 = "", $D$27 = FALSE, 'Reaction Information'!$D$9 = ""), NA(), 24.465)</f>
        <v>#N/A</v>
      </c>
      <c r="BL70" s="8">
        <f t="shared" ref="BL70:BL101" si="21">IF(AND(BL$5="H2O",$D$27),18.01528/$Q70,NA())</f>
        <v>14.748322993024329</v>
      </c>
      <c r="BM70" s="8">
        <f>IF(OR(ISBLANK(Input!$X$4),$D$27=FALSE),NA(),('Reaction Information'!$J$13/10+'Reaction Information'!$K$13*100/(Calculations!$C$12+Calculations!$M70)+('Reaction Information'!$L$13+'Reaction Information'!$M$13*10^4/(Calculations!$C$12+Calculations!$M70))/(Calculations!$O70-Calculations!$C$13) -calculateOmega(Calculations!$M70,Calculations!$N70,Calculations!$Q70,'Reaction Information'!$C$13,'Reaction Information'!$P$13*10^5,'Reaction Information'!$Q$13)*Calculations!$U70*10^-6 + (1/$S70 - 1)*calculate_domegadP(Calculations!$M70,Calculations!$N70,Calculations!$Q70,'Reaction Information'!$C$13,'Reaction Information'!$P$13*10^5,'Reaction Information'!$Q$13,$D$20,$D$19=3))*41.84)</f>
        <v>30.527834086331534</v>
      </c>
      <c r="BN70" s="8" t="e">
        <f>IF(OR(ISBLANK(Input!$AA$4),$D$27=FALSE),NA(),('Reaction Information'!$J$17/10+'Reaction Information'!$K$17*100/(Calculations!$C$12+Calculations!$M70)+('Reaction Information'!$L$17+'Reaction Information'!$M$17*10000/(Calculations!$C$12+Calculations!$M70))/(Calculations!$O70-Calculations!$C$13)-calculateOmega(Calculations!M70,Calculations!N70,Calculations!Q70,'Reaction Information'!$C$17,'Reaction Information'!$P$17*10^5,'Reaction Information'!$Q$17)*Calculations!$U70*10^-6 + (1/$S70 - 1)*calculate_domegadP(Calculations!M70,Calculations!N70,Calculations!Q70,'Reaction Information'!$C$17,'Reaction Information'!$P$17*10^5,'Reaction Information'!$Q$17,$D$20,$D$19=3))*41.84)</f>
        <v>#N/A</v>
      </c>
      <c r="BO70" s="8" t="e">
        <f>IF(OR(ISBLANK(Input!$AD$4),$D$27=FALSE),NA(),('Reaction Information'!$J$21/10+'Reaction Information'!$K$21*100/(Calculations!$C$12+Calculations!$M70)+('Reaction Information'!$L$21+'Reaction Information'!$M$21*10000/(Calculations!$C$12+Calculations!$M70))/(Calculations!$O70-Calculations!$C$13)-calculateOmega(Calculations!M70,Calculations!N70,Calculations!Q70,'Reaction Information'!$C$21,'Reaction Information'!$P$21*10^5,'Reaction Information'!$Q$21)*Calculations!$U70*10^-6 + (1/$S70 - 1)*calculate_domegadP(Calculations!M70,Calculations!N70,Calculations!Q70,'Reaction Information'!$C$21,'Reaction Information'!$P$21*10^5,'Reaction Information'!$Q$21,$D$20,$D$19=3))*41.84)</f>
        <v>#N/A</v>
      </c>
      <c r="BP70" s="8" t="e">
        <f>IF(OR(ISBLANK(Input!$AG$4),$D$27=FALSE),NA(),('Reaction Information'!$J$25/10+'Reaction Information'!$K$25*100/(Calculations!$C$12+Calculations!$M70)+('Reaction Information'!$L$25+'Reaction Information'!$M$25*10000/(Calculations!$C$12+Calculations!$M70))/(Calculations!$O70-Calculations!$C$13)-calculateOmega(Calculations!M70,Calculations!N70,Calculations!Q70,'Reaction Information'!$C$25,'Reaction Information'!$P$25*10^5,'Reaction Information'!$Q$25)*Calculations!$U70*10^-6 + (1/$S70 - 1)*calculate_domegadP(Calculations!M70,Calculations!N70,Calculations!Q70,'Reaction Information'!$C$25,'Reaction Information'!$P$25*10^5,'Reaction Information'!$Q$25,$D$20,$D$19=3))*41.84)</f>
        <v>#N/A</v>
      </c>
      <c r="BQ70" s="8" t="e">
        <f>IF(OR(ISBLANK(Input!$AJ$4),$D$27=FALSE),NA(),('Reaction Information'!$J$29/10+'Reaction Information'!$K$29*100/(Calculations!$C$12+Calculations!$M70)+('Reaction Information'!$L$29+'Reaction Information'!$M$29*10000/(Calculations!$C$12+Calculations!$M70))/(Calculations!$O70-Calculations!$C$13)-calculateOmega(Calculations!M70,Calculations!N70,Calculations!Q70,'Reaction Information'!$C$29,'Reaction Information'!$P$29*10^5,'Reaction Information'!$Q$29)*Calculations!$U70*10^-6 + (1/$S70 - 1)*calculate_domegadP(Calculations!M70,Calculations!N70,Calculations!Q70,'Reaction Information'!$C$29,'Reaction Information'!$P$29*10^5,'Reaction Information'!$Q$29,$D$20,$D$19=3))*41.84)</f>
        <v>#N/A</v>
      </c>
      <c r="BR70" s="8" t="e">
        <f>IF(OR(ISBLANK(Input!$AM$4),$D$27=FALSE),NA(),('Reaction Information'!$J$33/10+'Reaction Information'!$K$33*100/(Calculations!$C$12+Calculations!$M70)+('Reaction Information'!$L$33+'Reaction Information'!$M$33*10000/(Calculations!$C$12+Calculations!$M70))/(Calculations!$O70-Calculations!$C$13)-calculateOmega(Calculations!M70,Calculations!N70,Calculations!Q70,'Reaction Information'!$C$33,'Reaction Information'!$P$33*10^5,'Reaction Information'!$Q$33)*Calculations!$U70*10^-6 + (1/$S70 - 1)*calculate_domegadP(Calculations!M70,Calculations!N70,Calculations!Q70,'Reaction Information'!$C$33,'Reaction Information'!$P$33*10^5,'Reaction Information'!$Q$33,$D$20,$D$19=3))*41.84)</f>
        <v>#N/A</v>
      </c>
      <c r="BS70" s="1">
        <f>Results!AW72</f>
        <v>0</v>
      </c>
      <c r="BT70" s="1">
        <f>Results!AX72</f>
        <v>0</v>
      </c>
      <c r="BU70" s="1">
        <f>Results!AY72</f>
        <v>0</v>
      </c>
      <c r="BV70" s="1">
        <f>Results!AZ72</f>
        <v>0</v>
      </c>
      <c r="BW70" s="1" t="e">
        <f>IF(OR(ISNA('Reaction Information'!$D$38), $N70 = "", $D$27 = FALSE, 'Reaction Information'!$D$38 = ""), NA(), 24.465)</f>
        <v>#N/A</v>
      </c>
      <c r="BX70" s="1" t="e">
        <f>IF(OR(ISNA('Reaction Information'!$D$42), $N70 = "", $D$27 = FALSE, 'Reaction Information'!$D$42 = ""), NA(), 24.465)</f>
        <v>#N/A</v>
      </c>
      <c r="BY70" s="8" t="e">
        <f t="shared" ref="BY70:BY101" si="22">IF(AND(BY$5="H2O",$D$27),18.01528/$Q70,NA())</f>
        <v>#N/A</v>
      </c>
      <c r="BZ70" s="8">
        <f>IF(OR(ISBLANK(Input!$BK$4),$D$27=FALSE),NA(),('Reaction Information'!$J$46/10+'Reaction Information'!$K$46*100/(Calculations!$C$12+Calculations!$M70)+('Reaction Information'!$L$46+'Reaction Information'!$M$46*10000/(Calculations!$C$12+Calculations!$M70))/(Calculations!$O70-Calculations!$C$13)-calculateOmega(Calculations!M70,Calculations!N70,Calculations!Q70,'Reaction Information'!$C$46,'Reaction Information'!$P$46*10^5,'Reaction Information'!$Q$46)*Calculations!$U70*10^-6 + (1/$S70 - 1)*calculate_domegadP(Calculations!M70,Calculations!N70,Calculations!Q70,'Reaction Information'!$C$46,'Reaction Information'!$P$46*10^5,'Reaction Information'!$Q$46,$D$20,$D$19=3))*41.84)</f>
        <v>0</v>
      </c>
      <c r="CA70" s="8">
        <f>IF(OR(ISBLANK(Input!$BN$4),$D$27=FALSE),NA(),('Reaction Information'!$J$50/10+'Reaction Information'!$K$50*100/(Calculations!$C$12+Calculations!$M70)+('Reaction Information'!$L$50+'Reaction Information'!$M$50*10000/(Calculations!$C$12+Calculations!$M70))/(Calculations!$O70-Calculations!$C$13)-calculateOmega(Calculations!M70,Calculations!N70,Calculations!Q70,'Reaction Information'!$C$50,'Reaction Information'!$P$50*10^5,'Reaction Information'!$Q$50)*Calculations!$U70*10^-6 + (1/$S70 - 1)*calculate_domegadP(Calculations!M70,Calculations!N70,Calculations!Q70,'Reaction Information'!$C$50,'Reaction Information'!$P$50*10^5,'Reaction Information'!$Q$50,$D$20,$D$19=3))*41.84)</f>
        <v>30.68430176870778</v>
      </c>
      <c r="CB70" s="8" t="e">
        <f>IF(OR(ISBLANK(Input!$BQ$4),$D$27=FALSE),NA(),('Reaction Information'!$J$54/10+'Reaction Information'!$K$54*100/(Calculations!$C$12+Calculations!$M70)+('Reaction Information'!$L$54+'Reaction Information'!$M$54*10000/(Calculations!$C$12+Calculations!$M70))/(Calculations!$O70-Calculations!$C$13)-calculateOmega(Calculations!M70,Calculations!N70,Calculations!Q70,'Reaction Information'!$C$54,'Reaction Information'!$P$54*10^5,'Reaction Information'!$Q$54)*Calculations!$U70*10^-6 + (1/$S70 - 1)*calculate_domegadP(Calculations!M70,Calculations!N70,Calculations!Q70,'Reaction Information'!$C$54,'Reaction Information'!$P$54*10^5,'Reaction Information'!$Q$54,$D$20,$D$19=3))*41.84)</f>
        <v>#N/A</v>
      </c>
      <c r="CC70" s="8" t="e">
        <f>IF(OR(ISBLANK(Input!$BT$4),$D$27=FALSE),NA(),('Reaction Information'!$J$58/10+'Reaction Information'!$K$58*100/(Calculations!$C$12+Calculations!$M70)+('Reaction Information'!$L$58+'Reaction Information'!$M$58*10000/(Calculations!$C$12+Calculations!$M70))/(Calculations!$O70-Calculations!$C$13)-calculateOmega(Calculations!M70,Calculations!N70,Calculations!Q70,'Reaction Information'!$C$58,'Reaction Information'!$P$58*10^5,'Reaction Information'!$Q$58)*Calculations!$U70*10^-6 + (1/$S70 - 1)*calculate_domegadP(Calculations!M70,Calculations!N70,Calculations!Q70,'Reaction Information'!$C$58,'Reaction Information'!$P$58*10^5,'Reaction Information'!$Q$58,$D$20,$D$19=3))*41.84)</f>
        <v>#N/A</v>
      </c>
      <c r="CD70" s="8" t="e">
        <f>IF(OR(ISBLANK(Input!$BW$4),$D$27=FALSE),NA(),('Reaction Information'!$J$62/10+'Reaction Information'!$K$62*100/(Calculations!$C$12+Calculations!$M70)+('Reaction Information'!$L$62+'Reaction Information'!$M$62*10000/(Calculations!$C$12+Calculations!$M70))/(Calculations!$O70-Calculations!$C$13)-calculateOmega(Calculations!M70,Calculations!N70,Calculations!Q70,'Reaction Information'!$C$62,'Reaction Information'!$P$62*10^5,'Reaction Information'!$Q$62)*Calculations!$U70*10^-6 + (1/$S70 - 1)*calculate_domegadP(Calculations!M70,Calculations!N70,Calculations!Q70,'Reaction Information'!$C$62,'Reaction Information'!$P$62*10^5,'Reaction Information'!$Q$62,$D$20,$D$19=3))*41.84)</f>
        <v>#N/A</v>
      </c>
      <c r="CE70" s="8" t="e">
        <f>IF(OR(ISBLANK(Input!$BZ$4),$D$27=FALSE),NA(),('Reaction Information'!$J$66/10+'Reaction Information'!$K$66*100/(Calculations!$C$12+Calculations!$M70)+('Reaction Information'!$L$66+'Reaction Information'!$M$66*10000/(Calculations!$C$12+Calculations!$M70))/(Calculations!$O70-Calculations!$C$13)-calculateOmega(Calculations!M70,Calculations!N70,Calculations!Q70,'Reaction Information'!$C$66,'Reaction Information'!$P$66*10^5,'Reaction Information'!$Q$66)*Calculations!$U70*10^-6 + (1/$S70 - 1)*calculate_domegadP(Calculations!M70,Calculations!N70,Calculations!Q70,'Reaction Information'!$C$66,'Reaction Information'!$P$66*10^5,'Reaction Information'!$Q$66,$D$20,$D$19=3))*41.84)</f>
        <v>#N/A</v>
      </c>
      <c r="CF70" s="31">
        <f>(BS70*Input!$AO$4+BT70*Input!$AR$4+BU70*Input!$AU$4+BV70*Input!$AX$4+IF(ISNA(BW70),0,BW70*Input!$BA$4)+IF(ISNA(BX70),0,BX70*Input!$BD$4)+IF(ISNA(BY70),0,BY70*Input!$BG$4)+IF(ISNA(BZ70),0,BZ70*Input!$BJ$4)+IF(ISNA(CA70),0,CA70*Input!$BM$4)+IF(ISNA(CB70),0,CB70*Input!$BP$4)+IF(ISNA(CC70),0,CC70*Input!$BS$4)+IF(ISNA(CD70),0,CD70*Input!$BV$4)+IF(ISNA(CE70),0,CE70*Input!$BY$4))-(BF70*Input!$B$4+BG70*Input!$E$4+BH70*Input!$H$4+BI70*Input!$K$4+IF(ISNA(BJ70),0,BJ70*Input!$N$4)+IF(ISNA(BK70),0,BK70*Input!$Q$4)+IF(ISNA(BL70),0,BL70*Input!$T$4)+IF(ISNA(BM70),0,BM70*Input!$W$4)+IF(ISNA(BN70),0,BN70*Input!$Z$4)+IF(ISNA(BO70),0,BO70*Input!$AC$4)+IF(ISNA(BP70),0,BP70*Input!$AF$4)+IF(ISNA(BQ70),0,BQ70*Input!$AI$4)+IF(ISNA(BR70),0,BR70*Input!$AL$4))</f>
        <v>-14.591855310648082</v>
      </c>
      <c r="CG70" s="1">
        <f t="shared" si="12"/>
        <v>500</v>
      </c>
      <c r="CH70" s="46">
        <f t="shared" si="13"/>
        <v>25000</v>
      </c>
      <c r="CI70" s="1"/>
    </row>
    <row r="71" spans="1:87" x14ac:dyDescent="0.2">
      <c r="A71" s="1"/>
      <c r="E71" s="1"/>
      <c r="F71" s="2">
        <v>66</v>
      </c>
      <c r="G71" s="1" t="str">
        <f>IF(ISBLANK(Input!CB71), "", Input!CB71*1000)</f>
        <v/>
      </c>
      <c r="H71" s="1" t="str">
        <f>IF(ISBLANK(Input!CC71), "", Input!CC71)</f>
        <v/>
      </c>
      <c r="I71" s="1">
        <f>IF(Input!$CF$5 + Input!$CF$6*(FLOOR((Calculations!$F71-1)/(FLOOR((Input!$CF$12-Input!$CF$10)/Input!$CF$11,1)+1),1)) &gt; Input!$CF$7, "", (Input!$CF$5 + Input!$CF$6*(FLOOR((Calculations!$F71-1)/(FLOOR((Input!$CF$12-Input!$CF$10)/Input!$CF$11,1)+1),1)))*1000)</f>
        <v>25000</v>
      </c>
      <c r="J71" s="1">
        <f>IF(Calculations!I71 = "", "", Input!$CF$10 + Input!$CF$11*(Calculations!$F71-1) - (FLOOR((Input!$CF$12-Input!$CF$10)/Input!$CF$11,1)+1)*Input!$CF$11*FLOOR((Calculations!$F71-1)/(FLOOR((Input!$CF$12-Input!$CF$10)/Input!$CF$11,1)+1),1))</f>
        <v>550</v>
      </c>
      <c r="K71" s="8" t="str">
        <f t="shared" si="14"/>
        <v/>
      </c>
      <c r="L71" s="117" t="str">
        <f>IF(OR(Input!$CJ$5 + Input!$CJ$6*(Calculations!F71-1) &gt; Input!$CJ$7, Input!$CJ$5 + Input!$CJ$6*(Calculations!F71-1) &gt; 350), "", Input!$CJ$5 + Input!$CJ$6*(Calculations!F71-1))</f>
        <v/>
      </c>
      <c r="M71" s="1">
        <f t="shared" ref="M71:M134" si="23">CHOOSE($D$19,$G71,$I71,K71)</f>
        <v>25000</v>
      </c>
      <c r="N71" s="1">
        <f t="shared" ref="N71:N134" si="24">CHOOSE($D$19,$H71,$J71,L71)</f>
        <v>550</v>
      </c>
      <c r="O71" s="1">
        <f t="shared" si="19"/>
        <v>823.15</v>
      </c>
      <c r="P71" s="1" t="e">
        <f>IF(OR($D$20=3,AND($D$21=TRUE,M71&lt;1000)),INDEX('Water Density'!$C$6:$CX$120,MATCH(Calculations!N71,'Water Density'!$B$6:$B$120),MATCH(Calculations!M71/1000,'Water Density'!$C$5:$CX$5)),NA())</f>
        <v>#N/A</v>
      </c>
      <c r="Q71" s="182">
        <f>IF(OR($D$20=3,AND($D$21=TRUE,M71&lt;1000)), IF(P71&lt;&gt;0,P71,NA()), calculateDensity(M71,N71,$D$20,0.01,$D$19 = 3))</f>
        <v>1.2048336516314744</v>
      </c>
      <c r="R71" s="1" t="e">
        <f>IF($D$22=5,INDEX('Dielectric Constant'!$C$6:$CX$120,MATCH(Calculations!N71,'Dielectric Constant'!$B$6:$B$120),MATCH(Calculations!M71/1000,'Dielectric Constant'!$C$5:$CX$5)),NA())</f>
        <v>#N/A</v>
      </c>
      <c r="S71" s="58">
        <f>IF($D$22=5, IF(R71&lt;&gt;0,R71,NA()), IF(AND($D$23,M71&lt;=5000,$D$19 &lt;&gt; 3),calculateEpsilon(Q71,N71,1,FALSE),calculateEpsilon(Q71,N71,$D$22,$D$19 = 3)))</f>
        <v>29.051358288537426</v>
      </c>
      <c r="T71" s="1" t="e">
        <f>IF($D$24=3,INDEX('Water Free Energy'!$C$6:$CX$120,MATCH(Calculations!N71,'Water Free Energy'!$B$6:$B$120),MATCH(Calculations!M71/1000,'Water Free Energy'!$C$5:$CX$5)),NA())</f>
        <v>#N/A</v>
      </c>
      <c r="U71" s="179">
        <f>IF($D$27,calculateQ(M71,N71,Q71,$D$20,$D$22,$D$19=3)*10^6,NA())</f>
        <v>0.29698419754183142</v>
      </c>
      <c r="V71"/>
      <c r="W71" s="2">
        <f t="shared" ref="W71:W134" si="25">$M71</f>
        <v>25000</v>
      </c>
      <c r="X71" s="1">
        <f t="shared" ref="X71:X134" si="26">$N71</f>
        <v>550</v>
      </c>
      <c r="Y71" s="1">
        <f>Results!F73</f>
        <v>0</v>
      </c>
      <c r="Z71" s="1">
        <f>Results!G73</f>
        <v>0</v>
      </c>
      <c r="AA71" s="1">
        <f>Results!H73</f>
        <v>0</v>
      </c>
      <c r="AB71" s="1">
        <f>Results!I73</f>
        <v>0</v>
      </c>
      <c r="AC71" s="1" t="e">
        <f>IF(ISBLANK(Input!$O$4),NA(),'Reaction Information'!$E$5-'Reaction Information'!$G$5*(Calculations!$O71-Calculations!$C$8)+'Reaction Information'!$I$5*(Calculations!$O71-Calculations!$C$8-Calculations!$O71*LN(Calculations!$O71/Calculations!$C$8))+'Reaction Information'!$J$5*0.001/2*(2*Calculations!$O71*Calculations!$C$8-Calculations!$O71^2-Calculations!$C$8^2) + 'Reaction Information'!$K$5*100000*(Calculations!$O71^2 + Calculations!$C$8^2 - 2*Calculations!$O71*Calculations!$C$8)/(2*Calculations!$O71*Calculations!$C$8^2))</f>
        <v>#N/A</v>
      </c>
      <c r="AD71" s="8" t="e">
        <f>IF(ISBLANK(Input!$R$4),NA(),'Reaction Information'!$E$9-'Reaction Information'!$G$9*(Calculations!$O71-Calculations!$C$8)+'Reaction Information'!$I$9*(Calculations!$O71-Calculations!$C$8-Calculations!$O71*LN(Calculations!$O71/Calculations!$C$8))+'Reaction Information'!$J$9*0.001/2*(2*Calculations!$O71*Calculations!$C$8-Calculations!$O71^2-Calculations!$C$8^2) + 'Reaction Information'!$K$9*100000*(Calculations!$O71^2 + Calculations!$C$8^2 - 2*Calculations!$O71*Calculations!$C$8)/(2*Calculations!$O71*Calculations!$C$8^2))</f>
        <v>#N/A</v>
      </c>
      <c r="AE71" s="8">
        <f>IF(AE$5="H2O",IF($D$24=3,IF(T71=0,NA(),T71),calculateGibbsOfWater(M71,N71,$D$24,$D$20,$D$19=3)),NA())</f>
        <v>-59867.739610669167</v>
      </c>
      <c r="AF71" s="8">
        <f>IF(ISBLANK(Input!$X$4),NA(),'Reaction Information'!$E$13-'Reaction Information'!$G$13*(Calculations!O71-Calculations!$C$8)-'Reaction Information'!$N$13*(Calculations!O71*LN(Calculations!O71/Calculations!$C$8)-Calculations!O71+Calculations!$C$8)-'Reaction Information'!$O$13*10^4*(((1/(Calculations!O71-Calculations!$C$13))-(1/(Calculations!$C$8-Calculations!$C$13)))*((Calculations!$C$13-Calculations!O71)/(Calculations!$C$13))-(Calculations!O71/(Calculations!$C$13*Calculations!$C$13))*LN((Calculations!$C$8*(Calculations!O71-Calculations!$C$13))/(Calculations!O71*(Calculations!$C$8-Calculations!$C$13))))+'Reaction Information'!$J$13*10^-1*(Calculations!M71-Calculations!$C$9)+'Reaction Information'!$K$13*10^2*LN((Calculations!$C$12+Calculations!M71)/(Calculations!$C$12+Calculations!$C$9))+(1/(Calculations!O71-Calculations!$C$13))*('Reaction Information'!$L$13*(Calculations!M71-Calculations!$C$9)+'Reaction Information'!$M$13*10^4*LN((Calculations!$C$12+Calculations!M71)/(Calculations!$C$12+Calculations!$C$9)))+calculateOmega(Calculations!M71,Calculations!N71,Calculations!Q71,'Reaction Information'!$C$13,'Reaction Information'!$P$13*10^5,'Reaction Information'!$Q$13)*((1/Calculations!S71)-1)-'Reaction Information'!$P$13*10^5*((1/Calculations!$C$10)-1)+'Reaction Information'!$P$13*10^5*Calculations!$C$14*(Calculations!O71-Calculations!$C$8))</f>
        <v>-95093.274824809443</v>
      </c>
      <c r="AG71" s="8" t="e">
        <f>IF(ISBLANK(Input!$AA$4),NA(),'Reaction Information'!$E$17-'Reaction Information'!$G$17*(Calculations!$O71-Calculations!$C$8)-'Reaction Information'!$N$17*(Calculations!$O71*LN(Calculations!$O71/Calculations!$C$8)-Calculations!$O71+Calculations!$C$8)-'Reaction Information'!$O$17*10^4*(((1/(Calculations!$O71-Calculations!$C$13))-(1/(Calculations!$C$8-Calculations!$C$13)))*((Calculations!$C$13-Calculations!$O71)/(Calculations!$C$13))-(Calculations!$O71/(Calculations!$C$13*Calculations!$C$13))*LN((Calculations!$C$8*(Calculations!$O71-Calculations!$C$13))/(Calculations!$O71*(Calculations!$C$8-Calculations!$C$13))))+'Reaction Information'!$J$17*10^-1*(Calculations!$M71-Calculations!$C$9)+'Reaction Information'!$K$17*10^2*LN((Calculations!$C$12+Calculations!$M71)/(Calculations!$C$12+Calculations!$C$9))+(1/(Calculations!$O71-Calculations!$C$13))*('Reaction Information'!$L$17*(Calculations!$M71-Calculations!$C$9)+'Reaction Information'!$M$17*10^4*LN((Calculations!$C$12+Calculations!$M71)/(Calculations!$C$12+Calculations!$C$9)))+calculateOmega(Calculations!M71,Calculations!N71,Calculations!Q71,'Reaction Information'!$C$17,'Reaction Information'!$P$17*10^5,'Reaction Information'!$Q$17)*((1/Calculations!$S71)-1)-'Reaction Information'!$P$17*10^5*((1/Calculations!$C$10)-1)+'Reaction Information'!$P$17*10^5*Calculations!$C$14*(Calculations!$O71-Calculations!$C$8))</f>
        <v>#N/A</v>
      </c>
      <c r="AH71" s="8" t="e">
        <f>IF(ISBLANK(Input!$AD$4),NA(),'Reaction Information'!$E$21-'Reaction Information'!$G$21*(Calculations!$O71-Calculations!$C$8)-'Reaction Information'!$N$21*(Calculations!$O71*LN(Calculations!$O71/Calculations!$C$8)-Calculations!$O71+Calculations!$C$8)-'Reaction Information'!$O$21*10^4*(((1/(Calculations!$O71-Calculations!$C$13))-(1/(Calculations!$C$8-Calculations!$C$13)))*((Calculations!$C$13-Calculations!$O71)/(Calculations!$C$13))-(Calculations!$O71/(Calculations!$C$13*Calculations!$C$13))*LN((Calculations!$C$8*(Calculations!$O71-Calculations!$C$13))/(Calculations!$O71*(Calculations!$C$8-Calculations!$C$13))))+'Reaction Information'!$J$21*10^-1*(Calculations!$M71-Calculations!$C$9)+'Reaction Information'!$K$21*10^2*LN((Calculations!$C$12+Calculations!$M71)/(Calculations!$C$12+Calculations!$C$9))+(1/(Calculations!$O71-Calculations!$C$13))*('Reaction Information'!$L$21*(Calculations!$M71-Calculations!$C$9)+'Reaction Information'!$M$21*10^4*LN((Calculations!$C$12+Calculations!$M71)/(Calculations!$C$12+Calculations!$C$9)))+calculateOmega(Calculations!M71,Calculations!N71,Calculations!Q71,'Reaction Information'!$C$21,'Reaction Information'!$P$21*10^5,'Reaction Information'!$Q$21)*((1/Calculations!$S71)-1)-'Reaction Information'!$P$21*10^5*((1/Calculations!$C$10)-1)+'Reaction Information'!$P$21*10^5*Calculations!$C$14*(Calculations!$O71-Calculations!$C$8))</f>
        <v>#N/A</v>
      </c>
      <c r="AI71" s="8" t="e">
        <f>IF(ISBLANK(Input!$AG$4),NA(),'Reaction Information'!$E$25-'Reaction Information'!$G$25*(Calculations!$O71-Calculations!$C$8)-'Reaction Information'!$N$25*(Calculations!$O71*LN(Calculations!$O71/Calculations!$C$8)-Calculations!$O71+Calculations!$C$8)-'Reaction Information'!$O$25*10^4*(((1/(Calculations!$O71-Calculations!$C$13))-(1/(Calculations!$C$8-Calculations!$C$13)))*((Calculations!$C$13-Calculations!$O71)/(Calculations!$C$13))-(Calculations!$O71/(Calculations!$C$13*Calculations!$C$13))*LN((Calculations!$C$8*(Calculations!$O71-Calculations!$C$13))/(Calculations!$O71*(Calculations!$C$8-Calculations!$C$13))))+'Reaction Information'!$J$25*10^-1*(Calculations!$M71-Calculations!$C$9)+'Reaction Information'!$K$25*10^2*LN((Calculations!$C$12+Calculations!$M71)/(Calculations!$C$12+Calculations!$C$9))+(1/(Calculations!$O71-Calculations!$C$13))*('Reaction Information'!$L$25*(Calculations!$M71-Calculations!$C$9)+'Reaction Information'!$M$25*10^4*LN((Calculations!$C$12+Calculations!$M71)/(Calculations!$C$12+Calculations!$C$9)))+calculateOmega(Calculations!M71,Calculations!N71,Calculations!Q71,'Reaction Information'!$C$25,'Reaction Information'!$P$25*10^5,'Reaction Information'!$Q$25)*((1/Calculations!$S71)-1)-'Reaction Information'!$P$25*10^5*((1/Calculations!$C$10)-1)+'Reaction Information'!$P$25*10^5*Calculations!$C$14*(Calculations!$O71-Calculations!$C$8))</f>
        <v>#N/A</v>
      </c>
      <c r="AJ71" s="8" t="e">
        <f>IF(ISBLANK(Input!$AJ$4),NA(),'Reaction Information'!$E$29-'Reaction Information'!$G$29*(Calculations!$O71-Calculations!$C$8)-'Reaction Information'!$N$29*(Calculations!$O71*LN(Calculations!$O71/Calculations!$C$8)-Calculations!$O71+Calculations!$C$8)-'Reaction Information'!$O$29*10^4*(((1/(Calculations!$O71-Calculations!$C$13))-(1/(Calculations!$C$8-Calculations!$C$13)))*((Calculations!$C$13-Calculations!$O71)/(Calculations!$C$13))-(Calculations!$O71/(Calculations!$C$13*Calculations!$C$13))*LN((Calculations!$C$8*(Calculations!$O71-Calculations!$C$13))/(Calculations!$O71*(Calculations!$C$8-Calculations!$C$13))))+'Reaction Information'!$J$29*10^-1*(Calculations!$M71-Calculations!$C$9)+'Reaction Information'!$K$29*10^2*LN((Calculations!$C$12+Calculations!$M71)/(Calculations!$C$12+Calculations!$C$9))+(1/(Calculations!$O71-Calculations!$C$13))*('Reaction Information'!$L$29*(Calculations!$M71-Calculations!$C$9)+'Reaction Information'!$M$29*10^4*LN((Calculations!$C$12+Calculations!$M71)/(Calculations!$C$12+Calculations!$C$9)))+calculateOmega(Calculations!M71,Calculations!N71,Calculations!Q71,'Reaction Information'!$C$29,'Reaction Information'!$P$29*10^5,'Reaction Information'!$Q$29)*((1/Calculations!$S71)-1)-'Reaction Information'!$P$29*10^5*((1/Calculations!$C$10)-1)+'Reaction Information'!$P$29*10^5*Calculations!$C$14*(Calculations!$O71-Calculations!$C$8))</f>
        <v>#N/A</v>
      </c>
      <c r="AK71" s="8" t="e">
        <f>IF(ISBLANK(Input!$AM$4),NA(),'Reaction Information'!$E$33-'Reaction Information'!$G$33*(Calculations!$O71-Calculations!$C$8)-'Reaction Information'!$N$33*(Calculations!$O71*LN(Calculations!$O71/Calculations!$C$8)-Calculations!$O71+Calculations!$C$8)-'Reaction Information'!$O$33*10^4*(((1/(Calculations!$O71-Calculations!$C$13))-(1/(Calculations!$C$8-Calculations!$C$13)))*((Calculations!$C$13-Calculations!$O71)/(Calculations!$C$13))-(Calculations!$O71/(Calculations!$C$13*Calculations!$C$13))*LN((Calculations!$C$8*(Calculations!$O71-Calculations!$C$13))/(Calculations!$O71*(Calculations!$C$8-Calculations!$C$13))))+'Reaction Information'!$J$33*10^-1*(Calculations!$M71-Calculations!$C$9)+'Reaction Information'!$K$33*10^2*LN((Calculations!$C$12+Calculations!$M71)/(Calculations!$C$12+Calculations!$C$9))+(1/(Calculations!$O71-Calculations!$C$13))*('Reaction Information'!$L$33*(Calculations!$M71-Calculations!$C$9)+'Reaction Information'!$M$33*10^4*LN((Calculations!$C$12+Calculations!$M71)/(Calculations!$C$12+Calculations!$C$9)))+calculateOmega(Calculations!M71,Calculations!N71,Calculations!Q71,'Reaction Information'!$C$33,'Reaction Information'!$P$33*10^5,'Reaction Information'!$Q$33)*((1/Calculations!$S71)-1)-'Reaction Information'!$P$33*10^5*((1/Calculations!$C$10)-1)+'Reaction Information'!$P$33*10^5*Calculations!$C$14*(Calculations!$O71-Calculations!$C$8))</f>
        <v>#N/A</v>
      </c>
      <c r="AL71" s="1">
        <f>Results!S73</f>
        <v>0</v>
      </c>
      <c r="AM71" s="1">
        <f>Results!T73</f>
        <v>0</v>
      </c>
      <c r="AN71" s="1">
        <f>Results!U73</f>
        <v>0</v>
      </c>
      <c r="AO71" s="1">
        <f>Results!V73</f>
        <v>0</v>
      </c>
      <c r="AP71" s="8" t="e">
        <f>IF(ISBLANK(Input!$BB$4),NA(),'Reaction Information'!$E$38-'Reaction Information'!$G$38*(Calculations!$O71-Calculations!$C$8)+'Reaction Information'!$I$38*(Calculations!$O71-Calculations!$C$8-Calculations!$O71*LN(Calculations!$O71/Calculations!$C$8))+'Reaction Information'!$J$38*0.001/2*(2*Calculations!$O71*Calculations!$C$8-Calculations!$O71^2-Calculations!$C$8^2) + 'Reaction Information'!$K$38*100000*(Calculations!$O71^2 + Calculations!$C$8^2 - 2*Calculations!$O71*Calculations!$C$8)/(2*Calculations!$O71*Calculations!$C$8^2))</f>
        <v>#N/A</v>
      </c>
      <c r="AQ71" s="8" t="e">
        <f>IF(ISBLANK(Input!$BE$4),NA(),'Reaction Information'!$E$42-'Reaction Information'!$G$42*(Calculations!$O71-Calculations!$C$8)+'Reaction Information'!$I$42*(Calculations!$O71-Calculations!$C$8-Calculations!$O71*LN(Calculations!$O71/Calculations!$C$8))+'Reaction Information'!$J$42*0.001/2*(2*Calculations!$O71*Calculations!$C$8-Calculations!$O71^2-Calculations!$C$8^2) + 'Reaction Information'!$K$42*100000*(Calculations!$O71^2 + Calculations!$C$8^2 - 2*Calculations!$O71*Calculations!$C$8)/(2*Calculations!$O71*Calculations!$C$8^2))</f>
        <v>#N/A</v>
      </c>
      <c r="AR71" s="8" t="e">
        <f>IF(AR$5="H2O", IF($D$24=3,IF(T71=0,NA(),T71),calculateGibbsOfWater(M71,N71,$D$24,$D$20,$D$19=3)),NA())</f>
        <v>#N/A</v>
      </c>
      <c r="AS71" s="8">
        <f>IF(ISBLANK(Input!$BK$4),NA(),'Reaction Information'!$E$46-'Reaction Information'!$G$46*(Calculations!O71-Calculations!$C$8)-'Reaction Information'!$N$46*(Calculations!O71*LN(Calculations!O71/Calculations!$C$8)-Calculations!O71+Calculations!$C$8)-'Reaction Information'!$O$46*10^4*(((1/(Calculations!O71-Calculations!$C$13))-(1/(Calculations!$C$8-Calculations!$C$13)))*((Calculations!$C$13-Calculations!O71)/(Calculations!$C$13))-(Calculations!O71/(Calculations!$C$13*Calculations!$C$13))*LN((Calculations!$C$8*(Calculations!O71-Calculations!$C$13))/(Calculations!O71*(Calculations!$C$8-Calculations!$C$13))))+'Reaction Information'!$J$46*10^-1*(Calculations!$M71-Calculations!$C$9)+'Reaction Information'!$K$46*10^2*LN((Calculations!$C$12+Calculations!$M71)/(Calculations!$C$12+Calculations!$C$9))+(1/(Calculations!O71-Calculations!$C$13))*('Reaction Information'!$L$46*(Calculations!$M71-Calculations!$C$9)+'Reaction Information'!$M$46*10^4*LN((Calculations!$C$12+Calculations!$M71)/(Calculations!$C$12+Calculations!$C$9)))+calculateOmega(Calculations!M71,Calculations!N71,Calculations!Q71,'Reaction Information'!$C$46,'Reaction Information'!$P$46*10^5,'Reaction Information'!$Q$46)*((1/Calculations!S71)-1)-'Reaction Information'!$P$46*10^5*((1/Calculations!$C$10)-1)+'Reaction Information'!$P$46*10^5*Calculations!$C$14*(Calculations!O71-Calculations!$C$8))</f>
        <v>0</v>
      </c>
      <c r="AT71" s="8">
        <f>IF(ISBLANK(Input!$BN$4),NA(),'Reaction Information'!$E$50-'Reaction Information'!$G$50*(Calculations!O71-Calculations!$C$8)-'Reaction Information'!$N$50*(Calculations!O71*LN(Calculations!O71/Calculations!$C$8)-Calculations!O71+Calculations!$C$8)-'Reaction Information'!$O$50*10^4*(((1/(Calculations!O71-Calculations!$C$13))-(1/(Calculations!$C$8-Calculations!$C$13)))*((Calculations!$C$13-Calculations!O71)/(Calculations!$C$13))-(Calculations!O71/(Calculations!$C$13*Calculations!$C$13))*LN((Calculations!$C$8*(Calculations!O71-Calculations!$C$13))/(Calculations!O71*(Calculations!$C$8-Calculations!$C$13))))+'Reaction Information'!$J$50*10^-1*(Calculations!$M71-Calculations!$C$9)+'Reaction Information'!$K$50*10^2*LN((Calculations!$C$12+Calculations!$M71)/(Calculations!$C$12+Calculations!$C$9))+(1/(Calculations!O71-Calculations!$C$13))*('Reaction Information'!$L$50*(Calculations!$M71-Calculations!$C$9)+'Reaction Information'!$M$50*10^4*LN((Calculations!$C$12+Calculations!$M71)/(Calculations!$C$12+Calculations!$C$9)))+calculateOmega(Calculations!M71,Calculations!N71,Calculations!Q71,'Reaction Information'!$C$50,'Reaction Information'!$P$50*10^5,'Reaction Information'!$Q$50)*((1/Calculations!S71)-1)-'Reaction Information'!$P$50*10^5*((1/Calculations!$C$10)-1)+'Reaction Information'!$P$50*10^5*Calculations!$C$14*(Calculations!O71-Calculations!$C$8))</f>
        <v>-137345.01514886427</v>
      </c>
      <c r="AU71" s="8" t="e">
        <f>IF(ISBLANK(Input!$BQ$4),NA(),'Reaction Information'!$E$54-'Reaction Information'!$G$54*(Calculations!$O71-Calculations!$C$8)-'Reaction Information'!$N$54*(Calculations!$O71*LN(Calculations!$O71/Calculations!$C$8)-Calculations!$O71+Calculations!$C$8)-'Reaction Information'!$O$54*10^4*(((1/(Calculations!$O71-Calculations!$C$13))-(1/(Calculations!$C$8-Calculations!$C$13)))*((Calculations!$C$13-Calculations!$O71)/(Calculations!$C$13))-(Calculations!$O71/(Calculations!$C$13*Calculations!$C$13))*LN((Calculations!$C$8*(Calculations!$O71-Calculations!$C$13))/(Calculations!$O71*(Calculations!$C$8-Calculations!$C$13))))+'Reaction Information'!$J$54*10^-1*(Calculations!$M71-Calculations!$C$9)+'Reaction Information'!$K$54*10^2*LN((Calculations!$C$12+Calculations!$M71)/(Calculations!$C$12+Calculations!$C$9))+(1/(Calculations!$O71-Calculations!$C$13))*('Reaction Information'!$L$54*(Calculations!$M71-Calculations!$C$9)+'Reaction Information'!$M$54*10^4*LN((Calculations!$C$12+Calculations!$M71)/(Calculations!$C$12+Calculations!$C$9)))+calculateOmega(Calculations!M71,Calculations!N71,Calculations!Q71,'Reaction Information'!$C$54,'Reaction Information'!$P$54*10^5,'Reaction Information'!$Q$54)*((1/Calculations!$S71)-1)-'Reaction Information'!$P$54*10^5*((1/Calculations!$C$10)-1)+'Reaction Information'!$P$54*10^5*Calculations!$C$14*(Calculations!$O71-Calculations!$C$8))</f>
        <v>#N/A</v>
      </c>
      <c r="AV71" s="8" t="e">
        <f>IF(ISBLANK(Input!$BT$4),NA(),'Reaction Information'!$E$58-'Reaction Information'!$G$58*(Calculations!$O71-Calculations!$C$8)-'Reaction Information'!$N$58*(Calculations!$O71*LN(Calculations!$O71/Calculations!$C$8)-Calculations!$O71+Calculations!$C$8)-'Reaction Information'!$O$58*10^4*(((1/(Calculations!$O71-Calculations!$C$13))-(1/(Calculations!$C$8-Calculations!$C$13)))*((Calculations!$C$13-Calculations!$O71)/(Calculations!$C$13))-(Calculations!$O71/(Calculations!$C$13*Calculations!$C$13))*LN((Calculations!$C$8*(Calculations!$O71-Calculations!$C$13))/(Calculations!$O71*(Calculations!$C$8-Calculations!$C$13))))+'Reaction Information'!$J$58*10^-1*(Calculations!$M71-Calculations!$C$9)+'Reaction Information'!$K$58*10^2*LN((Calculations!$C$12+Calculations!$M71)/(Calculations!$C$12+Calculations!$C$9))+(1/(Calculations!$O71-Calculations!$C$13))*('Reaction Information'!$L$58*(Calculations!$M71-Calculations!$C$9)+'Reaction Information'!$M$58*10^4*LN((Calculations!$C$12+Calculations!$M71)/(Calculations!$C$12+Calculations!$C$9)))+calculateOmega(Calculations!M71,Calculations!N71,Calculations!Q71,'Reaction Information'!$C$58,'Reaction Information'!$P$58*10^5,'Reaction Information'!$Q$58)*((1/Calculations!$S71)-1)-'Reaction Information'!$P$58*10^5*((1/Calculations!$C$10)-1)+'Reaction Information'!$P$58*10^5*Calculations!$C$14*(Calculations!$O71-Calculations!$C$8))</f>
        <v>#N/A</v>
      </c>
      <c r="AW71" s="8" t="e">
        <f>IF(ISBLANK(Input!$BW$4),NA(),'Reaction Information'!$E$62-'Reaction Information'!$G$62*(Calculations!$O71-Calculations!$C$8)-'Reaction Information'!$N$62*(Calculations!$O71*LN(Calculations!$O71/Calculations!$C$8)-Calculations!$O71+Calculations!$C$8)-'Reaction Information'!$O$62*10^4*(((1/(Calculations!$O71-Calculations!$C$13))-(1/(Calculations!$C$8-Calculations!$C$13)))*((Calculations!$C$13-Calculations!$O71)/(Calculations!$C$13))-(Calculations!$O71/(Calculations!$C$13*Calculations!$C$13))*LN((Calculations!$C$8*(Calculations!$O71-Calculations!$C$13))/(Calculations!$O71*(Calculations!$C$8-Calculations!$C$13))))+'Reaction Information'!$J$62*10^-1*(Calculations!$M71-Calculations!$C$9)+'Reaction Information'!$K$62*10^2*LN((Calculations!$C$12+Calculations!$M71)/(Calculations!$C$12+Calculations!$C$9))+(1/(Calculations!$O71-Calculations!$C$13))*('Reaction Information'!$L$62*(Calculations!$M71-Calculations!$C$9)+'Reaction Information'!$M$62*10^4*LN((Calculations!$C$12+Calculations!$M71)/(Calculations!$C$12+Calculations!$C$9)))+calculateOmega(Calculations!M71,Calculations!N71,Calculations!Q71,'Reaction Information'!$C$62,'Reaction Information'!$P$62*10^5,'Reaction Information'!$Q$62)*((1/Calculations!$S71)-1)-'Reaction Information'!$P$62*10^5*((1/Calculations!$C$10)-1)+'Reaction Information'!$P$62*10^5*Calculations!$C$14*(Calculations!$O71-Calculations!$C$8))</f>
        <v>#N/A</v>
      </c>
      <c r="AX71" s="8" t="e">
        <f>IF(ISBLANK(Input!$BZ$4),NA(),'Reaction Information'!$E$66-'Reaction Information'!$G$66*(Calculations!$O71-Calculations!$C$8)-'Reaction Information'!$N$66*(Calculations!$O71*LN(Calculations!$O71/Calculations!$C$8)-Calculations!$O71+Calculations!$C$8)-'Reaction Information'!$O$66*10^4*(((1/(Calculations!$O71-Calculations!$C$13))-(1/(Calculations!$C$8-Calculations!$C$13)))*((Calculations!$C$13-Calculations!$O71)/(Calculations!$C$13))-(Calculations!$O71/(Calculations!$C$13*Calculations!$C$13))*LN((Calculations!$C$8*(Calculations!$O71-Calculations!$C$13))/(Calculations!$O71*(Calculations!$C$8-Calculations!$C$13))))+'Reaction Information'!$J$66*10^-1*(Calculations!$M71-Calculations!$C$9)+'Reaction Information'!$K$66*10^2*LN((Calculations!$C$12+Calculations!$M71)/(Calculations!$C$12+Calculations!$C$9))+(1/(Calculations!$O71-Calculations!$C$13))*('Reaction Information'!$L$66*(Calculations!$M71-Calculations!$C$9)+'Reaction Information'!$M$66*10^4*LN((Calculations!$C$12+Calculations!$M71)/(Calculations!$C$12+Calculations!$C$9)))+calculateOmega(Calculations!M71,Calculations!N71,Calculations!Q71,'Reaction Information'!$C$66,'Reaction Information'!$P$66*10^5,'Reaction Information'!$Q$66)*((1/Calculations!$S71)-1)-'Reaction Information'!$P$66*10^5*((1/Calculations!$C$10)-1)+'Reaction Information'!$P$66*10^5*Calculations!$C$14*(Calculations!$O71-Calculations!$C$8))</f>
        <v>#N/A</v>
      </c>
      <c r="AY71" s="31">
        <f>(AL71*Input!$AO$4+AM71*Input!$AR$4+AN71*Input!$AU$4+AO71*Input!$AX$4+IF(ISNA(AP71),0,AP71*Input!$BA$4)+IF(ISNA(AQ71),0,AQ71*Input!$BD$4)+IF(ISNA(AR71),0,AR71*Input!$BG$4)+IF(ISNA(AS71),0,AS71*Input!$BJ$4)+IF(ISNA(AT71),0,AT71*Input!$BM$4)+IF(ISNA(AU71),0,AU71*Input!$BP$4)+IF(ISNA(AV71),0,AV71*Input!$BS$4)+IF(ISNA(AW71),0,AW71*Input!$BV$4)+IF(ISNA(AX71),0,AX71*Input!$BY$4))-(Y71*Input!$B$4+Z71*Input!$E$4+AA71*Input!$H$4+AB71*Input!$K$4+IF(ISNA(AC71),0,AC71*Input!$N$4)+IF(ISNA(AD71),0,AD71*Input!$Q$4)+IF(ISNA(AE71),0,AE71*Input!$T$4)+IF(ISNA(AF71),0,AF71*Input!$W$4)+IF(ISNA(AG71),0,AG71*Input!$Z$4)+IF(ISNA(AH71),0,AH71*Input!$AC$4)+IF(ISNA(AI71),0,AI71*Input!$AF$4)+IF(ISNA(AJ71),0,AJ71*Input!$AI$4)+IF(ISNA(AK71),0,AK71*Input!$AL$4))</f>
        <v>17615.999286614329</v>
      </c>
      <c r="AZ71" s="42">
        <f t="shared" si="20"/>
        <v>-4.6801543378676635</v>
      </c>
      <c r="BA71" s="1">
        <f t="shared" ref="BA71:BA134" si="27">$N71</f>
        <v>550</v>
      </c>
      <c r="BB71" s="46">
        <f t="shared" ref="BB71:BB134" si="28">$M71</f>
        <v>25000</v>
      </c>
      <c r="BC71" s="1"/>
      <c r="BD71" s="2">
        <f t="shared" ref="BD71:BD134" si="29">$M71</f>
        <v>25000</v>
      </c>
      <c r="BE71" s="46">
        <f t="shared" ref="BE71:BE134" si="30">$N71</f>
        <v>550</v>
      </c>
      <c r="BF71" s="1">
        <f>Results!AJ73</f>
        <v>0</v>
      </c>
      <c r="BG71" s="1">
        <f>Results!AK73</f>
        <v>0</v>
      </c>
      <c r="BH71" s="1">
        <f>Results!AL73</f>
        <v>0</v>
      </c>
      <c r="BI71" s="1">
        <f>Results!AM73</f>
        <v>0</v>
      </c>
      <c r="BJ71" s="1" t="e">
        <f>IF(OR(ISNA('Reaction Information'!$D$5), $N71 = "", $D$27 = FALSE, 'Reaction Information'!$D$5 = ""), NA(), 24.465)</f>
        <v>#N/A</v>
      </c>
      <c r="BK71" s="1" t="e">
        <f>IF(OR(ISNA('Reaction Information'!$D$9), $N71 = "", $D$27 = FALSE, 'Reaction Information'!$D$9 = ""), NA(), 24.465)</f>
        <v>#N/A</v>
      </c>
      <c r="BL71" s="8">
        <f t="shared" si="21"/>
        <v>14.952504003855946</v>
      </c>
      <c r="BM71" s="8">
        <f>IF(OR(ISBLANK(Input!$X$4),$D$27=FALSE),NA(),('Reaction Information'!$J$13/10+'Reaction Information'!$K$13*100/(Calculations!$C$12+Calculations!$M71)+('Reaction Information'!$L$13+'Reaction Information'!$M$13*10^4/(Calculations!$C$12+Calculations!$M71))/(Calculations!$O71-Calculations!$C$13) -calculateOmega(Calculations!$M71,Calculations!$N71,Calculations!$Q71,'Reaction Information'!$C$13,'Reaction Information'!$P$13*10^5,'Reaction Information'!$Q$13)*Calculations!$U71*10^-6 + (1/$S71 - 1)*calculate_domegadP(Calculations!$M71,Calculations!$N71,Calculations!$Q71,'Reaction Information'!$C$13,'Reaction Information'!$P$13*10^5,'Reaction Information'!$Q$13,$D$20,$D$19=3))*41.84)</f>
        <v>30.611406154965259</v>
      </c>
      <c r="BN71" s="8" t="e">
        <f>IF(OR(ISBLANK(Input!$AA$4),$D$27=FALSE),NA(),('Reaction Information'!$J$17/10+'Reaction Information'!$K$17*100/(Calculations!$C$12+Calculations!$M71)+('Reaction Information'!$L$17+'Reaction Information'!$M$17*10000/(Calculations!$C$12+Calculations!$M71))/(Calculations!$O71-Calculations!$C$13)-calculateOmega(Calculations!M71,Calculations!N71,Calculations!Q71,'Reaction Information'!$C$17,'Reaction Information'!$P$17*10^5,'Reaction Information'!$Q$17)*Calculations!$U71*10^-6 + (1/$S71 - 1)*calculate_domegadP(Calculations!M71,Calculations!N71,Calculations!Q71,'Reaction Information'!$C$17,'Reaction Information'!$P$17*10^5,'Reaction Information'!$Q$17,$D$20,$D$19=3))*41.84)</f>
        <v>#N/A</v>
      </c>
      <c r="BO71" s="8" t="e">
        <f>IF(OR(ISBLANK(Input!$AD$4),$D$27=FALSE),NA(),('Reaction Information'!$J$21/10+'Reaction Information'!$K$21*100/(Calculations!$C$12+Calculations!$M71)+('Reaction Information'!$L$21+'Reaction Information'!$M$21*10000/(Calculations!$C$12+Calculations!$M71))/(Calculations!$O71-Calculations!$C$13)-calculateOmega(Calculations!M71,Calculations!N71,Calculations!Q71,'Reaction Information'!$C$21,'Reaction Information'!$P$21*10^5,'Reaction Information'!$Q$21)*Calculations!$U71*10^-6 + (1/$S71 - 1)*calculate_domegadP(Calculations!M71,Calculations!N71,Calculations!Q71,'Reaction Information'!$C$21,'Reaction Information'!$P$21*10^5,'Reaction Information'!$Q$21,$D$20,$D$19=3))*41.84)</f>
        <v>#N/A</v>
      </c>
      <c r="BP71" s="8" t="e">
        <f>IF(OR(ISBLANK(Input!$AG$4),$D$27=FALSE),NA(),('Reaction Information'!$J$25/10+'Reaction Information'!$K$25*100/(Calculations!$C$12+Calculations!$M71)+('Reaction Information'!$L$25+'Reaction Information'!$M$25*10000/(Calculations!$C$12+Calculations!$M71))/(Calculations!$O71-Calculations!$C$13)-calculateOmega(Calculations!M71,Calculations!N71,Calculations!Q71,'Reaction Information'!$C$25,'Reaction Information'!$P$25*10^5,'Reaction Information'!$Q$25)*Calculations!$U71*10^-6 + (1/$S71 - 1)*calculate_domegadP(Calculations!M71,Calculations!N71,Calculations!Q71,'Reaction Information'!$C$25,'Reaction Information'!$P$25*10^5,'Reaction Information'!$Q$25,$D$20,$D$19=3))*41.84)</f>
        <v>#N/A</v>
      </c>
      <c r="BQ71" s="8" t="e">
        <f>IF(OR(ISBLANK(Input!$AJ$4),$D$27=FALSE),NA(),('Reaction Information'!$J$29/10+'Reaction Information'!$K$29*100/(Calculations!$C$12+Calculations!$M71)+('Reaction Information'!$L$29+'Reaction Information'!$M$29*10000/(Calculations!$C$12+Calculations!$M71))/(Calculations!$O71-Calculations!$C$13)-calculateOmega(Calculations!M71,Calculations!N71,Calculations!Q71,'Reaction Information'!$C$29,'Reaction Information'!$P$29*10^5,'Reaction Information'!$Q$29)*Calculations!$U71*10^-6 + (1/$S71 - 1)*calculate_domegadP(Calculations!M71,Calculations!N71,Calculations!Q71,'Reaction Information'!$C$29,'Reaction Information'!$P$29*10^5,'Reaction Information'!$Q$29,$D$20,$D$19=3))*41.84)</f>
        <v>#N/A</v>
      </c>
      <c r="BR71" s="8" t="e">
        <f>IF(OR(ISBLANK(Input!$AM$4),$D$27=FALSE),NA(),('Reaction Information'!$J$33/10+'Reaction Information'!$K$33*100/(Calculations!$C$12+Calculations!$M71)+('Reaction Information'!$L$33+'Reaction Information'!$M$33*10000/(Calculations!$C$12+Calculations!$M71))/(Calculations!$O71-Calculations!$C$13)-calculateOmega(Calculations!M71,Calculations!N71,Calculations!Q71,'Reaction Information'!$C$33,'Reaction Information'!$P$33*10^5,'Reaction Information'!$Q$33)*Calculations!$U71*10^-6 + (1/$S71 - 1)*calculate_domegadP(Calculations!M71,Calculations!N71,Calculations!Q71,'Reaction Information'!$C$33,'Reaction Information'!$P$33*10^5,'Reaction Information'!$Q$33,$D$20,$D$19=3))*41.84)</f>
        <v>#N/A</v>
      </c>
      <c r="BS71" s="1">
        <f>Results!AW73</f>
        <v>0</v>
      </c>
      <c r="BT71" s="1">
        <f>Results!AX73</f>
        <v>0</v>
      </c>
      <c r="BU71" s="1">
        <f>Results!AY73</f>
        <v>0</v>
      </c>
      <c r="BV71" s="1">
        <f>Results!AZ73</f>
        <v>0</v>
      </c>
      <c r="BW71" s="1" t="e">
        <f>IF(OR(ISNA('Reaction Information'!$D$38), $N71 = "", $D$27 = FALSE, 'Reaction Information'!$D$38 = ""), NA(), 24.465)</f>
        <v>#N/A</v>
      </c>
      <c r="BX71" s="1" t="e">
        <f>IF(OR(ISNA('Reaction Information'!$D$42), $N71 = "", $D$27 = FALSE, 'Reaction Information'!$D$42 = ""), NA(), 24.465)</f>
        <v>#N/A</v>
      </c>
      <c r="BY71" s="8" t="e">
        <f t="shared" si="22"/>
        <v>#N/A</v>
      </c>
      <c r="BZ71" s="8">
        <f>IF(OR(ISBLANK(Input!$BK$4),$D$27=FALSE),NA(),('Reaction Information'!$J$46/10+'Reaction Information'!$K$46*100/(Calculations!$C$12+Calculations!$M71)+('Reaction Information'!$L$46+'Reaction Information'!$M$46*10000/(Calculations!$C$12+Calculations!$M71))/(Calculations!$O71-Calculations!$C$13)-calculateOmega(Calculations!M71,Calculations!N71,Calculations!Q71,'Reaction Information'!$C$46,'Reaction Information'!$P$46*10^5,'Reaction Information'!$Q$46)*Calculations!$U71*10^-6 + (1/$S71 - 1)*calculate_domegadP(Calculations!M71,Calculations!N71,Calculations!Q71,'Reaction Information'!$C$46,'Reaction Information'!$P$46*10^5,'Reaction Information'!$Q$46,$D$20,$D$19=3))*41.84)</f>
        <v>0</v>
      </c>
      <c r="CA71" s="8">
        <f>IF(OR(ISBLANK(Input!$BN$4),$D$27=FALSE),NA(),('Reaction Information'!$J$50/10+'Reaction Information'!$K$50*100/(Calculations!$C$12+Calculations!$M71)+('Reaction Information'!$L$50+'Reaction Information'!$M$50*10000/(Calculations!$C$12+Calculations!$M71))/(Calculations!$O71-Calculations!$C$13)-calculateOmega(Calculations!M71,Calculations!N71,Calculations!Q71,'Reaction Information'!$C$50,'Reaction Information'!$P$50*10^5,'Reaction Information'!$Q$50)*Calculations!$U71*10^-6 + (1/$S71 - 1)*calculate_domegadP(Calculations!M71,Calculations!N71,Calculations!Q71,'Reaction Information'!$C$50,'Reaction Information'!$P$50*10^5,'Reaction Information'!$Q$50,$D$20,$D$19=3))*41.84)</f>
        <v>30.53523821805231</v>
      </c>
      <c r="CB71" s="8" t="e">
        <f>IF(OR(ISBLANK(Input!$BQ$4),$D$27=FALSE),NA(),('Reaction Information'!$J$54/10+'Reaction Information'!$K$54*100/(Calculations!$C$12+Calculations!$M71)+('Reaction Information'!$L$54+'Reaction Information'!$M$54*10000/(Calculations!$C$12+Calculations!$M71))/(Calculations!$O71-Calculations!$C$13)-calculateOmega(Calculations!M71,Calculations!N71,Calculations!Q71,'Reaction Information'!$C$54,'Reaction Information'!$P$54*10^5,'Reaction Information'!$Q$54)*Calculations!$U71*10^-6 + (1/$S71 - 1)*calculate_domegadP(Calculations!M71,Calculations!N71,Calculations!Q71,'Reaction Information'!$C$54,'Reaction Information'!$P$54*10^5,'Reaction Information'!$Q$54,$D$20,$D$19=3))*41.84)</f>
        <v>#N/A</v>
      </c>
      <c r="CC71" s="8" t="e">
        <f>IF(OR(ISBLANK(Input!$BT$4),$D$27=FALSE),NA(),('Reaction Information'!$J$58/10+'Reaction Information'!$K$58*100/(Calculations!$C$12+Calculations!$M71)+('Reaction Information'!$L$58+'Reaction Information'!$M$58*10000/(Calculations!$C$12+Calculations!$M71))/(Calculations!$O71-Calculations!$C$13)-calculateOmega(Calculations!M71,Calculations!N71,Calculations!Q71,'Reaction Information'!$C$58,'Reaction Information'!$P$58*10^5,'Reaction Information'!$Q$58)*Calculations!$U71*10^-6 + (1/$S71 - 1)*calculate_domegadP(Calculations!M71,Calculations!N71,Calculations!Q71,'Reaction Information'!$C$58,'Reaction Information'!$P$58*10^5,'Reaction Information'!$Q$58,$D$20,$D$19=3))*41.84)</f>
        <v>#N/A</v>
      </c>
      <c r="CD71" s="8" t="e">
        <f>IF(OR(ISBLANK(Input!$BW$4),$D$27=FALSE),NA(),('Reaction Information'!$J$62/10+'Reaction Information'!$K$62*100/(Calculations!$C$12+Calculations!$M71)+('Reaction Information'!$L$62+'Reaction Information'!$M$62*10000/(Calculations!$C$12+Calculations!$M71))/(Calculations!$O71-Calculations!$C$13)-calculateOmega(Calculations!M71,Calculations!N71,Calculations!Q71,'Reaction Information'!$C$62,'Reaction Information'!$P$62*10^5,'Reaction Information'!$Q$62)*Calculations!$U71*10^-6 + (1/$S71 - 1)*calculate_domegadP(Calculations!M71,Calculations!N71,Calculations!Q71,'Reaction Information'!$C$62,'Reaction Information'!$P$62*10^5,'Reaction Information'!$Q$62,$D$20,$D$19=3))*41.84)</f>
        <v>#N/A</v>
      </c>
      <c r="CE71" s="8" t="e">
        <f>IF(OR(ISBLANK(Input!$BZ$4),$D$27=FALSE),NA(),('Reaction Information'!$J$66/10+'Reaction Information'!$K$66*100/(Calculations!$C$12+Calculations!$M71)+('Reaction Information'!$L$66+'Reaction Information'!$M$66*10000/(Calculations!$C$12+Calculations!$M71))/(Calculations!$O71-Calculations!$C$13)-calculateOmega(Calculations!M71,Calculations!N71,Calculations!Q71,'Reaction Information'!$C$66,'Reaction Information'!$P$66*10^5,'Reaction Information'!$Q$66)*Calculations!$U71*10^-6 + (1/$S71 - 1)*calculate_domegadP(Calculations!M71,Calculations!N71,Calculations!Q71,'Reaction Information'!$C$66,'Reaction Information'!$P$66*10^5,'Reaction Information'!$Q$66,$D$20,$D$19=3))*41.84)</f>
        <v>#N/A</v>
      </c>
      <c r="CF71" s="31">
        <f>(BS71*Input!$AO$4+BT71*Input!$AR$4+BU71*Input!$AU$4+BV71*Input!$AX$4+IF(ISNA(BW71),0,BW71*Input!$BA$4)+IF(ISNA(BX71),0,BX71*Input!$BD$4)+IF(ISNA(BY71),0,BY71*Input!$BG$4)+IF(ISNA(BZ71),0,BZ71*Input!$BJ$4)+IF(ISNA(CA71),0,CA71*Input!$BM$4)+IF(ISNA(CB71),0,CB71*Input!$BP$4)+IF(ISNA(CC71),0,CC71*Input!$BS$4)+IF(ISNA(CD71),0,CD71*Input!$BV$4)+IF(ISNA(CE71),0,CE71*Input!$BY$4))-(BF71*Input!$B$4+BG71*Input!$E$4+BH71*Input!$H$4+BI71*Input!$K$4+IF(ISNA(BJ71),0,BJ71*Input!$N$4)+IF(ISNA(BK71),0,BK71*Input!$Q$4)+IF(ISNA(BL71),0,BL71*Input!$T$4)+IF(ISNA(BM71),0,BM71*Input!$W$4)+IF(ISNA(BN71),0,BN71*Input!$Z$4)+IF(ISNA(BO71),0,BO71*Input!$AC$4)+IF(ISNA(BP71),0,BP71*Input!$AF$4)+IF(ISNA(BQ71),0,BQ71*Input!$AI$4)+IF(ISNA(BR71),0,BR71*Input!$AL$4))</f>
        <v>-15.028671940768891</v>
      </c>
      <c r="CG71" s="1">
        <f t="shared" ref="CG71:CG134" si="31">$N71</f>
        <v>550</v>
      </c>
      <c r="CH71" s="46">
        <f t="shared" ref="CH71:CH134" si="32">$M71</f>
        <v>25000</v>
      </c>
      <c r="CI71" s="1"/>
    </row>
    <row r="72" spans="1:87" x14ac:dyDescent="0.2">
      <c r="A72" s="1"/>
      <c r="E72" s="1"/>
      <c r="F72" s="2">
        <v>67</v>
      </c>
      <c r="G72" s="1" t="str">
        <f>IF(ISBLANK(Input!CB72), "", Input!CB72*1000)</f>
        <v/>
      </c>
      <c r="H72" s="1" t="str">
        <f>IF(ISBLANK(Input!CC72), "", Input!CC72)</f>
        <v/>
      </c>
      <c r="I72" s="1">
        <f>IF(Input!$CF$5 + Input!$CF$6*(FLOOR((Calculations!$F72-1)/(FLOOR((Input!$CF$12-Input!$CF$10)/Input!$CF$11,1)+1),1)) &gt; Input!$CF$7, "", (Input!$CF$5 + Input!$CF$6*(FLOOR((Calculations!$F72-1)/(FLOOR((Input!$CF$12-Input!$CF$10)/Input!$CF$11,1)+1),1)))*1000)</f>
        <v>25000</v>
      </c>
      <c r="J72" s="1">
        <f>IF(Calculations!I72 = "", "", Input!$CF$10 + Input!$CF$11*(Calculations!$F72-1) - (FLOOR((Input!$CF$12-Input!$CF$10)/Input!$CF$11,1)+1)*Input!$CF$11*FLOOR((Calculations!$F72-1)/(FLOOR((Input!$CF$12-Input!$CF$10)/Input!$CF$11,1)+1),1))</f>
        <v>600</v>
      </c>
      <c r="K72" s="8" t="str">
        <f t="shared" ref="K72:K135" si="33">IF(L72 = "", "", IF(L72&lt;100, 1, 2.1650906415E-11*L72^5 + 0.0008467019353*L72^2 - 0.17973651666*L72 + 10.7768850763807))</f>
        <v/>
      </c>
      <c r="L72" s="117" t="str">
        <f>IF(OR(Input!$CJ$5 + Input!$CJ$6*(Calculations!F72-1) &gt; Input!$CJ$7, Input!$CJ$5 + Input!$CJ$6*(Calculations!F72-1) &gt; 350), "", Input!$CJ$5 + Input!$CJ$6*(Calculations!F72-1))</f>
        <v/>
      </c>
      <c r="M72" s="1">
        <f t="shared" si="23"/>
        <v>25000</v>
      </c>
      <c r="N72" s="1">
        <f t="shared" si="24"/>
        <v>600</v>
      </c>
      <c r="O72" s="1">
        <f t="shared" si="19"/>
        <v>873.15</v>
      </c>
      <c r="P72" s="1" t="e">
        <f>IF(OR($D$20=3,AND($D$21=TRUE,M72&lt;1000)),INDEX('Water Density'!$C$6:$CX$120,MATCH(Calculations!N72,'Water Density'!$B$6:$B$120),MATCH(Calculations!M72/1000,'Water Density'!$C$5:$CX$5)),NA())</f>
        <v>#N/A</v>
      </c>
      <c r="Q72" s="182">
        <f>IF(OR($D$20=3,AND($D$21=TRUE,M72&lt;1000)), IF(P72&lt;&gt;0,P72,NA()), calculateDensity(M72,N72,$D$20,0.01,$D$19 = 3))</f>
        <v>1.1883861137193441</v>
      </c>
      <c r="R72" s="1" t="e">
        <f>IF($D$22=5,INDEX('Dielectric Constant'!$C$6:$CX$120,MATCH(Calculations!N72,'Dielectric Constant'!$B$6:$B$120),MATCH(Calculations!M72/1000,'Dielectric Constant'!$C$5:$CX$5)),NA())</f>
        <v>#N/A</v>
      </c>
      <c r="S72" s="58">
        <f>IF($D$22=5, IF(R72&lt;&gt;0,R72,NA()), IF(AND($D$23,M72&lt;=5000,$D$19 &lt;&gt; 3),calculateEpsilon(Q72,N72,1,FALSE),calculateEpsilon(Q72,N72,$D$22,$D$19 = 3)))</f>
        <v>26.354526737338201</v>
      </c>
      <c r="T72" s="1" t="e">
        <f>IF($D$24=3,INDEX('Water Free Energy'!$C$6:$CX$120,MATCH(Calculations!N72,'Water Free Energy'!$B$6:$B$120),MATCH(Calculations!M72/1000,'Water Free Energy'!$C$5:$CX$5)),NA())</f>
        <v>#N/A</v>
      </c>
      <c r="U72" s="179">
        <f>IF($D$27,calculateQ(M72,N72,Q72,$D$20,$D$22,$D$19=3)*10^6,NA())</f>
        <v>0.3268052468980564</v>
      </c>
      <c r="V72"/>
      <c r="W72" s="2">
        <f t="shared" si="25"/>
        <v>25000</v>
      </c>
      <c r="X72" s="1">
        <f t="shared" si="26"/>
        <v>600</v>
      </c>
      <c r="Y72" s="1">
        <f>Results!F74</f>
        <v>0</v>
      </c>
      <c r="Z72" s="1">
        <f>Results!G74</f>
        <v>0</v>
      </c>
      <c r="AA72" s="1">
        <f>Results!H74</f>
        <v>0</v>
      </c>
      <c r="AB72" s="1">
        <f>Results!I74</f>
        <v>0</v>
      </c>
      <c r="AC72" s="1" t="e">
        <f>IF(ISBLANK(Input!$O$4),NA(),'Reaction Information'!$E$5-'Reaction Information'!$G$5*(Calculations!$O72-Calculations!$C$8)+'Reaction Information'!$I$5*(Calculations!$O72-Calculations!$C$8-Calculations!$O72*LN(Calculations!$O72/Calculations!$C$8))+'Reaction Information'!$J$5*0.001/2*(2*Calculations!$O72*Calculations!$C$8-Calculations!$O72^2-Calculations!$C$8^2) + 'Reaction Information'!$K$5*100000*(Calculations!$O72^2 + Calculations!$C$8^2 - 2*Calculations!$O72*Calculations!$C$8)/(2*Calculations!$O72*Calculations!$C$8^2))</f>
        <v>#N/A</v>
      </c>
      <c r="AD72" s="8" t="e">
        <f>IF(ISBLANK(Input!$R$4),NA(),'Reaction Information'!$E$9-'Reaction Information'!$G$9*(Calculations!$O72-Calculations!$C$8)+'Reaction Information'!$I$9*(Calculations!$O72-Calculations!$C$8-Calculations!$O72*LN(Calculations!$O72/Calculations!$C$8))+'Reaction Information'!$J$9*0.001/2*(2*Calculations!$O72*Calculations!$C$8-Calculations!$O72^2-Calculations!$C$8^2) + 'Reaction Information'!$K$9*100000*(Calculations!$O72^2 + Calculations!$C$8^2 - 2*Calculations!$O72*Calculations!$C$8)/(2*Calculations!$O72*Calculations!$C$8^2))</f>
        <v>#N/A</v>
      </c>
      <c r="AE72" s="8">
        <f>IF(AE$5="H2O",IF($D$24=3,IF(T72=0,NA(),T72),calculateGibbsOfWater(M72,N72,$D$24,$D$20,$D$19=3)),NA())</f>
        <v>-61320.371767089404</v>
      </c>
      <c r="AF72" s="8">
        <f>IF(ISBLANK(Input!$X$4),NA(),'Reaction Information'!$E$13-'Reaction Information'!$G$13*(Calculations!O72-Calculations!$C$8)-'Reaction Information'!$N$13*(Calculations!O72*LN(Calculations!O72/Calculations!$C$8)-Calculations!O72+Calculations!$C$8)-'Reaction Information'!$O$13*10^4*(((1/(Calculations!O72-Calculations!$C$13))-(1/(Calculations!$C$8-Calculations!$C$13)))*((Calculations!$C$13-Calculations!O72)/(Calculations!$C$13))-(Calculations!O72/(Calculations!$C$13*Calculations!$C$13))*LN((Calculations!$C$8*(Calculations!O72-Calculations!$C$13))/(Calculations!O72*(Calculations!$C$8-Calculations!$C$13))))+'Reaction Information'!$J$13*10^-1*(Calculations!M72-Calculations!$C$9)+'Reaction Information'!$K$13*10^2*LN((Calculations!$C$12+Calculations!M72)/(Calculations!$C$12+Calculations!$C$9))+(1/(Calculations!O72-Calculations!$C$13))*('Reaction Information'!$L$13*(Calculations!M72-Calculations!$C$9)+'Reaction Information'!$M$13*10^4*LN((Calculations!$C$12+Calculations!M72)/(Calculations!$C$12+Calculations!$C$9)))+calculateOmega(Calculations!M72,Calculations!N72,Calculations!Q72,'Reaction Information'!$C$13,'Reaction Information'!$P$13*10^5,'Reaction Information'!$Q$13)*((1/Calculations!S72)-1)-'Reaction Information'!$P$13*10^5*((1/Calculations!$C$10)-1)+'Reaction Information'!$P$13*10^5*Calculations!$C$14*(Calculations!O72-Calculations!$C$8))</f>
        <v>-97395.230147111768</v>
      </c>
      <c r="AG72" s="8" t="e">
        <f>IF(ISBLANK(Input!$AA$4),NA(),'Reaction Information'!$E$17-'Reaction Information'!$G$17*(Calculations!$O72-Calculations!$C$8)-'Reaction Information'!$N$17*(Calculations!$O72*LN(Calculations!$O72/Calculations!$C$8)-Calculations!$O72+Calculations!$C$8)-'Reaction Information'!$O$17*10^4*(((1/(Calculations!$O72-Calculations!$C$13))-(1/(Calculations!$C$8-Calculations!$C$13)))*((Calculations!$C$13-Calculations!$O72)/(Calculations!$C$13))-(Calculations!$O72/(Calculations!$C$13*Calculations!$C$13))*LN((Calculations!$C$8*(Calculations!$O72-Calculations!$C$13))/(Calculations!$O72*(Calculations!$C$8-Calculations!$C$13))))+'Reaction Information'!$J$17*10^-1*(Calculations!$M72-Calculations!$C$9)+'Reaction Information'!$K$17*10^2*LN((Calculations!$C$12+Calculations!$M72)/(Calculations!$C$12+Calculations!$C$9))+(1/(Calculations!$O72-Calculations!$C$13))*('Reaction Information'!$L$17*(Calculations!$M72-Calculations!$C$9)+'Reaction Information'!$M$17*10^4*LN((Calculations!$C$12+Calculations!$M72)/(Calculations!$C$12+Calculations!$C$9)))+calculateOmega(Calculations!M72,Calculations!N72,Calculations!Q72,'Reaction Information'!$C$17,'Reaction Information'!$P$17*10^5,'Reaction Information'!$Q$17)*((1/Calculations!$S72)-1)-'Reaction Information'!$P$17*10^5*((1/Calculations!$C$10)-1)+'Reaction Information'!$P$17*10^5*Calculations!$C$14*(Calculations!$O72-Calculations!$C$8))</f>
        <v>#N/A</v>
      </c>
      <c r="AH72" s="8" t="e">
        <f>IF(ISBLANK(Input!$AD$4),NA(),'Reaction Information'!$E$21-'Reaction Information'!$G$21*(Calculations!$O72-Calculations!$C$8)-'Reaction Information'!$N$21*(Calculations!$O72*LN(Calculations!$O72/Calculations!$C$8)-Calculations!$O72+Calculations!$C$8)-'Reaction Information'!$O$21*10^4*(((1/(Calculations!$O72-Calculations!$C$13))-(1/(Calculations!$C$8-Calculations!$C$13)))*((Calculations!$C$13-Calculations!$O72)/(Calculations!$C$13))-(Calculations!$O72/(Calculations!$C$13*Calculations!$C$13))*LN((Calculations!$C$8*(Calculations!$O72-Calculations!$C$13))/(Calculations!$O72*(Calculations!$C$8-Calculations!$C$13))))+'Reaction Information'!$J$21*10^-1*(Calculations!$M72-Calculations!$C$9)+'Reaction Information'!$K$21*10^2*LN((Calculations!$C$12+Calculations!$M72)/(Calculations!$C$12+Calculations!$C$9))+(1/(Calculations!$O72-Calculations!$C$13))*('Reaction Information'!$L$21*(Calculations!$M72-Calculations!$C$9)+'Reaction Information'!$M$21*10^4*LN((Calculations!$C$12+Calculations!$M72)/(Calculations!$C$12+Calculations!$C$9)))+calculateOmega(Calculations!M72,Calculations!N72,Calculations!Q72,'Reaction Information'!$C$21,'Reaction Information'!$P$21*10^5,'Reaction Information'!$Q$21)*((1/Calculations!$S72)-1)-'Reaction Information'!$P$21*10^5*((1/Calculations!$C$10)-1)+'Reaction Information'!$P$21*10^5*Calculations!$C$14*(Calculations!$O72-Calculations!$C$8))</f>
        <v>#N/A</v>
      </c>
      <c r="AI72" s="8" t="e">
        <f>IF(ISBLANK(Input!$AG$4),NA(),'Reaction Information'!$E$25-'Reaction Information'!$G$25*(Calculations!$O72-Calculations!$C$8)-'Reaction Information'!$N$25*(Calculations!$O72*LN(Calculations!$O72/Calculations!$C$8)-Calculations!$O72+Calculations!$C$8)-'Reaction Information'!$O$25*10^4*(((1/(Calculations!$O72-Calculations!$C$13))-(1/(Calculations!$C$8-Calculations!$C$13)))*((Calculations!$C$13-Calculations!$O72)/(Calculations!$C$13))-(Calculations!$O72/(Calculations!$C$13*Calculations!$C$13))*LN((Calculations!$C$8*(Calculations!$O72-Calculations!$C$13))/(Calculations!$O72*(Calculations!$C$8-Calculations!$C$13))))+'Reaction Information'!$J$25*10^-1*(Calculations!$M72-Calculations!$C$9)+'Reaction Information'!$K$25*10^2*LN((Calculations!$C$12+Calculations!$M72)/(Calculations!$C$12+Calculations!$C$9))+(1/(Calculations!$O72-Calculations!$C$13))*('Reaction Information'!$L$25*(Calculations!$M72-Calculations!$C$9)+'Reaction Information'!$M$25*10^4*LN((Calculations!$C$12+Calculations!$M72)/(Calculations!$C$12+Calculations!$C$9)))+calculateOmega(Calculations!M72,Calculations!N72,Calculations!Q72,'Reaction Information'!$C$25,'Reaction Information'!$P$25*10^5,'Reaction Information'!$Q$25)*((1/Calculations!$S72)-1)-'Reaction Information'!$P$25*10^5*((1/Calculations!$C$10)-1)+'Reaction Information'!$P$25*10^5*Calculations!$C$14*(Calculations!$O72-Calculations!$C$8))</f>
        <v>#N/A</v>
      </c>
      <c r="AJ72" s="8" t="e">
        <f>IF(ISBLANK(Input!$AJ$4),NA(),'Reaction Information'!$E$29-'Reaction Information'!$G$29*(Calculations!$O72-Calculations!$C$8)-'Reaction Information'!$N$29*(Calculations!$O72*LN(Calculations!$O72/Calculations!$C$8)-Calculations!$O72+Calculations!$C$8)-'Reaction Information'!$O$29*10^4*(((1/(Calculations!$O72-Calculations!$C$13))-(1/(Calculations!$C$8-Calculations!$C$13)))*((Calculations!$C$13-Calculations!$O72)/(Calculations!$C$13))-(Calculations!$O72/(Calculations!$C$13*Calculations!$C$13))*LN((Calculations!$C$8*(Calculations!$O72-Calculations!$C$13))/(Calculations!$O72*(Calculations!$C$8-Calculations!$C$13))))+'Reaction Information'!$J$29*10^-1*(Calculations!$M72-Calculations!$C$9)+'Reaction Information'!$K$29*10^2*LN((Calculations!$C$12+Calculations!$M72)/(Calculations!$C$12+Calculations!$C$9))+(1/(Calculations!$O72-Calculations!$C$13))*('Reaction Information'!$L$29*(Calculations!$M72-Calculations!$C$9)+'Reaction Information'!$M$29*10^4*LN((Calculations!$C$12+Calculations!$M72)/(Calculations!$C$12+Calculations!$C$9)))+calculateOmega(Calculations!M72,Calculations!N72,Calculations!Q72,'Reaction Information'!$C$29,'Reaction Information'!$P$29*10^5,'Reaction Information'!$Q$29)*((1/Calculations!$S72)-1)-'Reaction Information'!$P$29*10^5*((1/Calculations!$C$10)-1)+'Reaction Information'!$P$29*10^5*Calculations!$C$14*(Calculations!$O72-Calculations!$C$8))</f>
        <v>#N/A</v>
      </c>
      <c r="AK72" s="8" t="e">
        <f>IF(ISBLANK(Input!$AM$4),NA(),'Reaction Information'!$E$33-'Reaction Information'!$G$33*(Calculations!$O72-Calculations!$C$8)-'Reaction Information'!$N$33*(Calculations!$O72*LN(Calculations!$O72/Calculations!$C$8)-Calculations!$O72+Calculations!$C$8)-'Reaction Information'!$O$33*10^4*(((1/(Calculations!$O72-Calculations!$C$13))-(1/(Calculations!$C$8-Calculations!$C$13)))*((Calculations!$C$13-Calculations!$O72)/(Calculations!$C$13))-(Calculations!$O72/(Calculations!$C$13*Calculations!$C$13))*LN((Calculations!$C$8*(Calculations!$O72-Calculations!$C$13))/(Calculations!$O72*(Calculations!$C$8-Calculations!$C$13))))+'Reaction Information'!$J$33*10^-1*(Calculations!$M72-Calculations!$C$9)+'Reaction Information'!$K$33*10^2*LN((Calculations!$C$12+Calculations!$M72)/(Calculations!$C$12+Calculations!$C$9))+(1/(Calculations!$O72-Calculations!$C$13))*('Reaction Information'!$L$33*(Calculations!$M72-Calculations!$C$9)+'Reaction Information'!$M$33*10^4*LN((Calculations!$C$12+Calculations!$M72)/(Calculations!$C$12+Calculations!$C$9)))+calculateOmega(Calculations!M72,Calculations!N72,Calculations!Q72,'Reaction Information'!$C$33,'Reaction Information'!$P$33*10^5,'Reaction Information'!$Q$33)*((1/Calculations!$S72)-1)-'Reaction Information'!$P$33*10^5*((1/Calculations!$C$10)-1)+'Reaction Information'!$P$33*10^5*Calculations!$C$14*(Calculations!$O72-Calculations!$C$8))</f>
        <v>#N/A</v>
      </c>
      <c r="AL72" s="1">
        <f>Results!S74</f>
        <v>0</v>
      </c>
      <c r="AM72" s="1">
        <f>Results!T74</f>
        <v>0</v>
      </c>
      <c r="AN72" s="1">
        <f>Results!U74</f>
        <v>0</v>
      </c>
      <c r="AO72" s="1">
        <f>Results!V74</f>
        <v>0</v>
      </c>
      <c r="AP72" s="8" t="e">
        <f>IF(ISBLANK(Input!$BB$4),NA(),'Reaction Information'!$E$38-'Reaction Information'!$G$38*(Calculations!$O72-Calculations!$C$8)+'Reaction Information'!$I$38*(Calculations!$O72-Calculations!$C$8-Calculations!$O72*LN(Calculations!$O72/Calculations!$C$8))+'Reaction Information'!$J$38*0.001/2*(2*Calculations!$O72*Calculations!$C$8-Calculations!$O72^2-Calculations!$C$8^2) + 'Reaction Information'!$K$38*100000*(Calculations!$O72^2 + Calculations!$C$8^2 - 2*Calculations!$O72*Calculations!$C$8)/(2*Calculations!$O72*Calculations!$C$8^2))</f>
        <v>#N/A</v>
      </c>
      <c r="AQ72" s="8" t="e">
        <f>IF(ISBLANK(Input!$BE$4),NA(),'Reaction Information'!$E$42-'Reaction Information'!$G$42*(Calculations!$O72-Calculations!$C$8)+'Reaction Information'!$I$42*(Calculations!$O72-Calculations!$C$8-Calculations!$O72*LN(Calculations!$O72/Calculations!$C$8))+'Reaction Information'!$J$42*0.001/2*(2*Calculations!$O72*Calculations!$C$8-Calculations!$O72^2-Calculations!$C$8^2) + 'Reaction Information'!$K$42*100000*(Calculations!$O72^2 + Calculations!$C$8^2 - 2*Calculations!$O72*Calculations!$C$8)/(2*Calculations!$O72*Calculations!$C$8^2))</f>
        <v>#N/A</v>
      </c>
      <c r="AR72" s="8" t="e">
        <f>IF(AR$5="H2O", IF($D$24=3,IF(T72=0,NA(),T72),calculateGibbsOfWater(M72,N72,$D$24,$D$20,$D$19=3)),NA())</f>
        <v>#N/A</v>
      </c>
      <c r="AS72" s="8">
        <f>IF(ISBLANK(Input!$BK$4),NA(),'Reaction Information'!$E$46-'Reaction Information'!$G$46*(Calculations!O72-Calculations!$C$8)-'Reaction Information'!$N$46*(Calculations!O72*LN(Calculations!O72/Calculations!$C$8)-Calculations!O72+Calculations!$C$8)-'Reaction Information'!$O$46*10^4*(((1/(Calculations!O72-Calculations!$C$13))-(1/(Calculations!$C$8-Calculations!$C$13)))*((Calculations!$C$13-Calculations!O72)/(Calculations!$C$13))-(Calculations!O72/(Calculations!$C$13*Calculations!$C$13))*LN((Calculations!$C$8*(Calculations!O72-Calculations!$C$13))/(Calculations!O72*(Calculations!$C$8-Calculations!$C$13))))+'Reaction Information'!$J$46*10^-1*(Calculations!$M72-Calculations!$C$9)+'Reaction Information'!$K$46*10^2*LN((Calculations!$C$12+Calculations!$M72)/(Calculations!$C$12+Calculations!$C$9))+(1/(Calculations!O72-Calculations!$C$13))*('Reaction Information'!$L$46*(Calculations!$M72-Calculations!$C$9)+'Reaction Information'!$M$46*10^4*LN((Calculations!$C$12+Calculations!$M72)/(Calculations!$C$12+Calculations!$C$9)))+calculateOmega(Calculations!M72,Calculations!N72,Calculations!Q72,'Reaction Information'!$C$46,'Reaction Information'!$P$46*10^5,'Reaction Information'!$Q$46)*((1/Calculations!S72)-1)-'Reaction Information'!$P$46*10^5*((1/Calculations!$C$10)-1)+'Reaction Information'!$P$46*10^5*Calculations!$C$14*(Calculations!O72-Calculations!$C$8))</f>
        <v>0</v>
      </c>
      <c r="AT72" s="8">
        <f>IF(ISBLANK(Input!$BN$4),NA(),'Reaction Information'!$E$50-'Reaction Information'!$G$50*(Calculations!O72-Calculations!$C$8)-'Reaction Information'!$N$50*(Calculations!O72*LN(Calculations!O72/Calculations!$C$8)-Calculations!O72+Calculations!$C$8)-'Reaction Information'!$O$50*10^4*(((1/(Calculations!O72-Calculations!$C$13))-(1/(Calculations!$C$8-Calculations!$C$13)))*((Calculations!$C$13-Calculations!O72)/(Calculations!$C$13))-(Calculations!O72/(Calculations!$C$13*Calculations!$C$13))*LN((Calculations!$C$8*(Calculations!O72-Calculations!$C$13))/(Calculations!O72*(Calculations!$C$8-Calculations!$C$13))))+'Reaction Information'!$J$50*10^-1*(Calculations!$M72-Calculations!$C$9)+'Reaction Information'!$K$50*10^2*LN((Calculations!$C$12+Calculations!$M72)/(Calculations!$C$12+Calculations!$C$9))+(1/(Calculations!O72-Calculations!$C$13))*('Reaction Information'!$L$50*(Calculations!$M72-Calculations!$C$9)+'Reaction Information'!$M$50*10^4*LN((Calculations!$C$12+Calculations!$M72)/(Calculations!$C$12+Calculations!$C$9)))+calculateOmega(Calculations!M72,Calculations!N72,Calculations!Q72,'Reaction Information'!$C$50,'Reaction Information'!$P$50*10^5,'Reaction Information'!$Q$50)*((1/Calculations!S72)-1)-'Reaction Information'!$P$50*10^5*((1/Calculations!$C$10)-1)+'Reaction Information'!$P$50*10^5*Calculations!$C$14*(Calculations!O72-Calculations!$C$8))</f>
        <v>-138946.47884977679</v>
      </c>
      <c r="AU72" s="8" t="e">
        <f>IF(ISBLANK(Input!$BQ$4),NA(),'Reaction Information'!$E$54-'Reaction Information'!$G$54*(Calculations!$O72-Calculations!$C$8)-'Reaction Information'!$N$54*(Calculations!$O72*LN(Calculations!$O72/Calculations!$C$8)-Calculations!$O72+Calculations!$C$8)-'Reaction Information'!$O$54*10^4*(((1/(Calculations!$O72-Calculations!$C$13))-(1/(Calculations!$C$8-Calculations!$C$13)))*((Calculations!$C$13-Calculations!$O72)/(Calculations!$C$13))-(Calculations!$O72/(Calculations!$C$13*Calculations!$C$13))*LN((Calculations!$C$8*(Calculations!$O72-Calculations!$C$13))/(Calculations!$O72*(Calculations!$C$8-Calculations!$C$13))))+'Reaction Information'!$J$54*10^-1*(Calculations!$M72-Calculations!$C$9)+'Reaction Information'!$K$54*10^2*LN((Calculations!$C$12+Calculations!$M72)/(Calculations!$C$12+Calculations!$C$9))+(1/(Calculations!$O72-Calculations!$C$13))*('Reaction Information'!$L$54*(Calculations!$M72-Calculations!$C$9)+'Reaction Information'!$M$54*10^4*LN((Calculations!$C$12+Calculations!$M72)/(Calculations!$C$12+Calculations!$C$9)))+calculateOmega(Calculations!M72,Calculations!N72,Calculations!Q72,'Reaction Information'!$C$54,'Reaction Information'!$P$54*10^5,'Reaction Information'!$Q$54)*((1/Calculations!$S72)-1)-'Reaction Information'!$P$54*10^5*((1/Calculations!$C$10)-1)+'Reaction Information'!$P$54*10^5*Calculations!$C$14*(Calculations!$O72-Calculations!$C$8))</f>
        <v>#N/A</v>
      </c>
      <c r="AV72" s="8" t="e">
        <f>IF(ISBLANK(Input!$BT$4),NA(),'Reaction Information'!$E$58-'Reaction Information'!$G$58*(Calculations!$O72-Calculations!$C$8)-'Reaction Information'!$N$58*(Calculations!$O72*LN(Calculations!$O72/Calculations!$C$8)-Calculations!$O72+Calculations!$C$8)-'Reaction Information'!$O$58*10^4*(((1/(Calculations!$O72-Calculations!$C$13))-(1/(Calculations!$C$8-Calculations!$C$13)))*((Calculations!$C$13-Calculations!$O72)/(Calculations!$C$13))-(Calculations!$O72/(Calculations!$C$13*Calculations!$C$13))*LN((Calculations!$C$8*(Calculations!$O72-Calculations!$C$13))/(Calculations!$O72*(Calculations!$C$8-Calculations!$C$13))))+'Reaction Information'!$J$58*10^-1*(Calculations!$M72-Calculations!$C$9)+'Reaction Information'!$K$58*10^2*LN((Calculations!$C$12+Calculations!$M72)/(Calculations!$C$12+Calculations!$C$9))+(1/(Calculations!$O72-Calculations!$C$13))*('Reaction Information'!$L$58*(Calculations!$M72-Calculations!$C$9)+'Reaction Information'!$M$58*10^4*LN((Calculations!$C$12+Calculations!$M72)/(Calculations!$C$12+Calculations!$C$9)))+calculateOmega(Calculations!M72,Calculations!N72,Calculations!Q72,'Reaction Information'!$C$58,'Reaction Information'!$P$58*10^5,'Reaction Information'!$Q$58)*((1/Calculations!$S72)-1)-'Reaction Information'!$P$58*10^5*((1/Calculations!$C$10)-1)+'Reaction Information'!$P$58*10^5*Calculations!$C$14*(Calculations!$O72-Calculations!$C$8))</f>
        <v>#N/A</v>
      </c>
      <c r="AW72" s="8" t="e">
        <f>IF(ISBLANK(Input!$BW$4),NA(),'Reaction Information'!$E$62-'Reaction Information'!$G$62*(Calculations!$O72-Calculations!$C$8)-'Reaction Information'!$N$62*(Calculations!$O72*LN(Calculations!$O72/Calculations!$C$8)-Calculations!$O72+Calculations!$C$8)-'Reaction Information'!$O$62*10^4*(((1/(Calculations!$O72-Calculations!$C$13))-(1/(Calculations!$C$8-Calculations!$C$13)))*((Calculations!$C$13-Calculations!$O72)/(Calculations!$C$13))-(Calculations!$O72/(Calculations!$C$13*Calculations!$C$13))*LN((Calculations!$C$8*(Calculations!$O72-Calculations!$C$13))/(Calculations!$O72*(Calculations!$C$8-Calculations!$C$13))))+'Reaction Information'!$J$62*10^-1*(Calculations!$M72-Calculations!$C$9)+'Reaction Information'!$K$62*10^2*LN((Calculations!$C$12+Calculations!$M72)/(Calculations!$C$12+Calculations!$C$9))+(1/(Calculations!$O72-Calculations!$C$13))*('Reaction Information'!$L$62*(Calculations!$M72-Calculations!$C$9)+'Reaction Information'!$M$62*10^4*LN((Calculations!$C$12+Calculations!$M72)/(Calculations!$C$12+Calculations!$C$9)))+calculateOmega(Calculations!M72,Calculations!N72,Calculations!Q72,'Reaction Information'!$C$62,'Reaction Information'!$P$62*10^5,'Reaction Information'!$Q$62)*((1/Calculations!$S72)-1)-'Reaction Information'!$P$62*10^5*((1/Calculations!$C$10)-1)+'Reaction Information'!$P$62*10^5*Calculations!$C$14*(Calculations!$O72-Calculations!$C$8))</f>
        <v>#N/A</v>
      </c>
      <c r="AX72" s="8" t="e">
        <f>IF(ISBLANK(Input!$BZ$4),NA(),'Reaction Information'!$E$66-'Reaction Information'!$G$66*(Calculations!$O72-Calculations!$C$8)-'Reaction Information'!$N$66*(Calculations!$O72*LN(Calculations!$O72/Calculations!$C$8)-Calculations!$O72+Calculations!$C$8)-'Reaction Information'!$O$66*10^4*(((1/(Calculations!$O72-Calculations!$C$13))-(1/(Calculations!$C$8-Calculations!$C$13)))*((Calculations!$C$13-Calculations!$O72)/(Calculations!$C$13))-(Calculations!$O72/(Calculations!$C$13*Calculations!$C$13))*LN((Calculations!$C$8*(Calculations!$O72-Calculations!$C$13))/(Calculations!$O72*(Calculations!$C$8-Calculations!$C$13))))+'Reaction Information'!$J$66*10^-1*(Calculations!$M72-Calculations!$C$9)+'Reaction Information'!$K$66*10^2*LN((Calculations!$C$12+Calculations!$M72)/(Calculations!$C$12+Calculations!$C$9))+(1/(Calculations!$O72-Calculations!$C$13))*('Reaction Information'!$L$66*(Calculations!$M72-Calculations!$C$9)+'Reaction Information'!$M$66*10^4*LN((Calculations!$C$12+Calculations!$M72)/(Calculations!$C$12+Calculations!$C$9)))+calculateOmega(Calculations!M72,Calculations!N72,Calculations!Q72,'Reaction Information'!$C$66,'Reaction Information'!$P$66*10^5,'Reaction Information'!$Q$66)*((1/Calculations!$S72)-1)-'Reaction Information'!$P$66*10^5*((1/Calculations!$C$10)-1)+'Reaction Information'!$P$66*10^5*Calculations!$C$14*(Calculations!$O72-Calculations!$C$8))</f>
        <v>#N/A</v>
      </c>
      <c r="AY72" s="31">
        <f>(AL72*Input!$AO$4+AM72*Input!$AR$4+AN72*Input!$AU$4+AO72*Input!$AX$4+IF(ISNA(AP72),0,AP72*Input!$BA$4)+IF(ISNA(AQ72),0,AQ72*Input!$BD$4)+IF(ISNA(AR72),0,AR72*Input!$BG$4)+IF(ISNA(AS72),0,AS72*Input!$BJ$4)+IF(ISNA(AT72),0,AT72*Input!$BM$4)+IF(ISNA(AU72),0,AU72*Input!$BP$4)+IF(ISNA(AV72),0,AV72*Input!$BS$4)+IF(ISNA(AW72),0,AW72*Input!$BV$4)+IF(ISNA(AX72),0,AX72*Input!$BY$4))-(Y72*Input!$B$4+Z72*Input!$E$4+AA72*Input!$H$4+AB72*Input!$K$4+IF(ISNA(AC72),0,AC72*Input!$N$4)+IF(ISNA(AD72),0,AD72*Input!$Q$4)+IF(ISNA(AE72),0,AE72*Input!$T$4)+IF(ISNA(AF72),0,AF72*Input!$W$4)+IF(ISNA(AG72),0,AG72*Input!$Z$4)+IF(ISNA(AH72),0,AH72*Input!$AC$4)+IF(ISNA(AI72),0,AI72*Input!$AF$4)+IF(ISNA(AJ72),0,AJ72*Input!$AI$4)+IF(ISNA(AK72),0,AK72*Input!$AL$4))</f>
        <v>19769.123064424377</v>
      </c>
      <c r="AZ72" s="42">
        <f t="shared" si="20"/>
        <v>-4.9514274517651353</v>
      </c>
      <c r="BA72" s="1">
        <f t="shared" si="27"/>
        <v>600</v>
      </c>
      <c r="BB72" s="46">
        <f t="shared" si="28"/>
        <v>25000</v>
      </c>
      <c r="BC72" s="1"/>
      <c r="BD72" s="2">
        <f t="shared" si="29"/>
        <v>25000</v>
      </c>
      <c r="BE72" s="46">
        <f t="shared" si="30"/>
        <v>600</v>
      </c>
      <c r="BF72" s="1">
        <f>Results!AJ74</f>
        <v>0</v>
      </c>
      <c r="BG72" s="1">
        <f>Results!AK74</f>
        <v>0</v>
      </c>
      <c r="BH72" s="1">
        <f>Results!AL74</f>
        <v>0</v>
      </c>
      <c r="BI72" s="1">
        <f>Results!AM74</f>
        <v>0</v>
      </c>
      <c r="BJ72" s="1" t="e">
        <f>IF(OR(ISNA('Reaction Information'!$D$5), $N72 = "", $D$27 = FALSE, 'Reaction Information'!$D$5 = ""), NA(), 24.465)</f>
        <v>#N/A</v>
      </c>
      <c r="BK72" s="1" t="e">
        <f>IF(OR(ISNA('Reaction Information'!$D$9), $N72 = "", $D$27 = FALSE, 'Reaction Information'!$D$9 = ""), NA(), 24.465)</f>
        <v>#N/A</v>
      </c>
      <c r="BL72" s="8">
        <f t="shared" si="21"/>
        <v>15.159450108026581</v>
      </c>
      <c r="BM72" s="8">
        <f>IF(OR(ISBLANK(Input!$X$4),$D$27=FALSE),NA(),('Reaction Information'!$J$13/10+'Reaction Information'!$K$13*100/(Calculations!$C$12+Calculations!$M72)+('Reaction Information'!$L$13+'Reaction Information'!$M$13*10^4/(Calculations!$C$12+Calculations!$M72))/(Calculations!$O72-Calculations!$C$13) -calculateOmega(Calculations!$M72,Calculations!$N72,Calculations!$Q72,'Reaction Information'!$C$13,'Reaction Information'!$P$13*10^5,'Reaction Information'!$Q$13)*Calculations!$U72*10^-6 + (1/$S72 - 1)*calculate_domegadP(Calculations!$M72,Calculations!$N72,Calculations!$Q72,'Reaction Information'!$C$13,'Reaction Information'!$P$13*10^5,'Reaction Information'!$Q$13,$D$20,$D$19=3))*41.84)</f>
        <v>30.701259466389914</v>
      </c>
      <c r="BN72" s="8" t="e">
        <f>IF(OR(ISBLANK(Input!$AA$4),$D$27=FALSE),NA(),('Reaction Information'!$J$17/10+'Reaction Information'!$K$17*100/(Calculations!$C$12+Calculations!$M72)+('Reaction Information'!$L$17+'Reaction Information'!$M$17*10000/(Calculations!$C$12+Calculations!$M72))/(Calculations!$O72-Calculations!$C$13)-calculateOmega(Calculations!M72,Calculations!N72,Calculations!Q72,'Reaction Information'!$C$17,'Reaction Information'!$P$17*10^5,'Reaction Information'!$Q$17)*Calculations!$U72*10^-6 + (1/$S72 - 1)*calculate_domegadP(Calculations!M72,Calculations!N72,Calculations!Q72,'Reaction Information'!$C$17,'Reaction Information'!$P$17*10^5,'Reaction Information'!$Q$17,$D$20,$D$19=3))*41.84)</f>
        <v>#N/A</v>
      </c>
      <c r="BO72" s="8" t="e">
        <f>IF(OR(ISBLANK(Input!$AD$4),$D$27=FALSE),NA(),('Reaction Information'!$J$21/10+'Reaction Information'!$K$21*100/(Calculations!$C$12+Calculations!$M72)+('Reaction Information'!$L$21+'Reaction Information'!$M$21*10000/(Calculations!$C$12+Calculations!$M72))/(Calculations!$O72-Calculations!$C$13)-calculateOmega(Calculations!M72,Calculations!N72,Calculations!Q72,'Reaction Information'!$C$21,'Reaction Information'!$P$21*10^5,'Reaction Information'!$Q$21)*Calculations!$U72*10^-6 + (1/$S72 - 1)*calculate_domegadP(Calculations!M72,Calculations!N72,Calculations!Q72,'Reaction Information'!$C$21,'Reaction Information'!$P$21*10^5,'Reaction Information'!$Q$21,$D$20,$D$19=3))*41.84)</f>
        <v>#N/A</v>
      </c>
      <c r="BP72" s="8" t="e">
        <f>IF(OR(ISBLANK(Input!$AG$4),$D$27=FALSE),NA(),('Reaction Information'!$J$25/10+'Reaction Information'!$K$25*100/(Calculations!$C$12+Calculations!$M72)+('Reaction Information'!$L$25+'Reaction Information'!$M$25*10000/(Calculations!$C$12+Calculations!$M72))/(Calculations!$O72-Calculations!$C$13)-calculateOmega(Calculations!M72,Calculations!N72,Calculations!Q72,'Reaction Information'!$C$25,'Reaction Information'!$P$25*10^5,'Reaction Information'!$Q$25)*Calculations!$U72*10^-6 + (1/$S72 - 1)*calculate_domegadP(Calculations!M72,Calculations!N72,Calculations!Q72,'Reaction Information'!$C$25,'Reaction Information'!$P$25*10^5,'Reaction Information'!$Q$25,$D$20,$D$19=3))*41.84)</f>
        <v>#N/A</v>
      </c>
      <c r="BQ72" s="8" t="e">
        <f>IF(OR(ISBLANK(Input!$AJ$4),$D$27=FALSE),NA(),('Reaction Information'!$J$29/10+'Reaction Information'!$K$29*100/(Calculations!$C$12+Calculations!$M72)+('Reaction Information'!$L$29+'Reaction Information'!$M$29*10000/(Calculations!$C$12+Calculations!$M72))/(Calculations!$O72-Calculations!$C$13)-calculateOmega(Calculations!M72,Calculations!N72,Calculations!Q72,'Reaction Information'!$C$29,'Reaction Information'!$P$29*10^5,'Reaction Information'!$Q$29)*Calculations!$U72*10^-6 + (1/$S72 - 1)*calculate_domegadP(Calculations!M72,Calculations!N72,Calculations!Q72,'Reaction Information'!$C$29,'Reaction Information'!$P$29*10^5,'Reaction Information'!$Q$29,$D$20,$D$19=3))*41.84)</f>
        <v>#N/A</v>
      </c>
      <c r="BR72" s="8" t="e">
        <f>IF(OR(ISBLANK(Input!$AM$4),$D$27=FALSE),NA(),('Reaction Information'!$J$33/10+'Reaction Information'!$K$33*100/(Calculations!$C$12+Calculations!$M72)+('Reaction Information'!$L$33+'Reaction Information'!$M$33*10000/(Calculations!$C$12+Calculations!$M72))/(Calculations!$O72-Calculations!$C$13)-calculateOmega(Calculations!M72,Calculations!N72,Calculations!Q72,'Reaction Information'!$C$33,'Reaction Information'!$P$33*10^5,'Reaction Information'!$Q$33)*Calculations!$U72*10^-6 + (1/$S72 - 1)*calculate_domegadP(Calculations!M72,Calculations!N72,Calculations!Q72,'Reaction Information'!$C$33,'Reaction Information'!$P$33*10^5,'Reaction Information'!$Q$33,$D$20,$D$19=3))*41.84)</f>
        <v>#N/A</v>
      </c>
      <c r="BS72" s="1">
        <f>Results!AW74</f>
        <v>0</v>
      </c>
      <c r="BT72" s="1">
        <f>Results!AX74</f>
        <v>0</v>
      </c>
      <c r="BU72" s="1">
        <f>Results!AY74</f>
        <v>0</v>
      </c>
      <c r="BV72" s="1">
        <f>Results!AZ74</f>
        <v>0</v>
      </c>
      <c r="BW72" s="1" t="e">
        <f>IF(OR(ISNA('Reaction Information'!$D$38), $N72 = "", $D$27 = FALSE, 'Reaction Information'!$D$38 = ""), NA(), 24.465)</f>
        <v>#N/A</v>
      </c>
      <c r="BX72" s="1" t="e">
        <f>IF(OR(ISNA('Reaction Information'!$D$42), $N72 = "", $D$27 = FALSE, 'Reaction Information'!$D$42 = ""), NA(), 24.465)</f>
        <v>#N/A</v>
      </c>
      <c r="BY72" s="8" t="e">
        <f t="shared" si="22"/>
        <v>#N/A</v>
      </c>
      <c r="BZ72" s="8">
        <f>IF(OR(ISBLANK(Input!$BK$4),$D$27=FALSE),NA(),('Reaction Information'!$J$46/10+'Reaction Information'!$K$46*100/(Calculations!$C$12+Calculations!$M72)+('Reaction Information'!$L$46+'Reaction Information'!$M$46*10000/(Calculations!$C$12+Calculations!$M72))/(Calculations!$O72-Calculations!$C$13)-calculateOmega(Calculations!M72,Calculations!N72,Calculations!Q72,'Reaction Information'!$C$46,'Reaction Information'!$P$46*10^5,'Reaction Information'!$Q$46)*Calculations!$U72*10^-6 + (1/$S72 - 1)*calculate_domegadP(Calculations!M72,Calculations!N72,Calculations!Q72,'Reaction Information'!$C$46,'Reaction Information'!$P$46*10^5,'Reaction Information'!$Q$46,$D$20,$D$19=3))*41.84)</f>
        <v>0</v>
      </c>
      <c r="CA72" s="8">
        <f>IF(OR(ISBLANK(Input!$BN$4),$D$27=FALSE),NA(),('Reaction Information'!$J$50/10+'Reaction Information'!$K$50*100/(Calculations!$C$12+Calculations!$M72)+('Reaction Information'!$L$50+'Reaction Information'!$M$50*10000/(Calculations!$C$12+Calculations!$M72))/(Calculations!$O72-Calculations!$C$13)-calculateOmega(Calculations!M72,Calculations!N72,Calculations!Q72,'Reaction Information'!$C$50,'Reaction Information'!$P$50*10^5,'Reaction Information'!$Q$50)*Calculations!$U72*10^-6 + (1/$S72 - 1)*calculate_domegadP(Calculations!M72,Calculations!N72,Calculations!Q72,'Reaction Information'!$C$50,'Reaction Information'!$P$50*10^5,'Reaction Information'!$Q$50,$D$20,$D$19=3))*41.84)</f>
        <v>30.378664792193142</v>
      </c>
      <c r="CB72" s="8" t="e">
        <f>IF(OR(ISBLANK(Input!$BQ$4),$D$27=FALSE),NA(),('Reaction Information'!$J$54/10+'Reaction Information'!$K$54*100/(Calculations!$C$12+Calculations!$M72)+('Reaction Information'!$L$54+'Reaction Information'!$M$54*10000/(Calculations!$C$12+Calculations!$M72))/(Calculations!$O72-Calculations!$C$13)-calculateOmega(Calculations!M72,Calculations!N72,Calculations!Q72,'Reaction Information'!$C$54,'Reaction Information'!$P$54*10^5,'Reaction Information'!$Q$54)*Calculations!$U72*10^-6 + (1/$S72 - 1)*calculate_domegadP(Calculations!M72,Calculations!N72,Calculations!Q72,'Reaction Information'!$C$54,'Reaction Information'!$P$54*10^5,'Reaction Information'!$Q$54,$D$20,$D$19=3))*41.84)</f>
        <v>#N/A</v>
      </c>
      <c r="CC72" s="8" t="e">
        <f>IF(OR(ISBLANK(Input!$BT$4),$D$27=FALSE),NA(),('Reaction Information'!$J$58/10+'Reaction Information'!$K$58*100/(Calculations!$C$12+Calculations!$M72)+('Reaction Information'!$L$58+'Reaction Information'!$M$58*10000/(Calculations!$C$12+Calculations!$M72))/(Calculations!$O72-Calculations!$C$13)-calculateOmega(Calculations!M72,Calculations!N72,Calculations!Q72,'Reaction Information'!$C$58,'Reaction Information'!$P$58*10^5,'Reaction Information'!$Q$58)*Calculations!$U72*10^-6 + (1/$S72 - 1)*calculate_domegadP(Calculations!M72,Calculations!N72,Calculations!Q72,'Reaction Information'!$C$58,'Reaction Information'!$P$58*10^5,'Reaction Information'!$Q$58,$D$20,$D$19=3))*41.84)</f>
        <v>#N/A</v>
      </c>
      <c r="CD72" s="8" t="e">
        <f>IF(OR(ISBLANK(Input!$BW$4),$D$27=FALSE),NA(),('Reaction Information'!$J$62/10+'Reaction Information'!$K$62*100/(Calculations!$C$12+Calculations!$M72)+('Reaction Information'!$L$62+'Reaction Information'!$M$62*10000/(Calculations!$C$12+Calculations!$M72))/(Calculations!$O72-Calculations!$C$13)-calculateOmega(Calculations!M72,Calculations!N72,Calculations!Q72,'Reaction Information'!$C$62,'Reaction Information'!$P$62*10^5,'Reaction Information'!$Q$62)*Calculations!$U72*10^-6 + (1/$S72 - 1)*calculate_domegadP(Calculations!M72,Calculations!N72,Calculations!Q72,'Reaction Information'!$C$62,'Reaction Information'!$P$62*10^5,'Reaction Information'!$Q$62,$D$20,$D$19=3))*41.84)</f>
        <v>#N/A</v>
      </c>
      <c r="CE72" s="8" t="e">
        <f>IF(OR(ISBLANK(Input!$BZ$4),$D$27=FALSE),NA(),('Reaction Information'!$J$66/10+'Reaction Information'!$K$66*100/(Calculations!$C$12+Calculations!$M72)+('Reaction Information'!$L$66+'Reaction Information'!$M$66*10000/(Calculations!$C$12+Calculations!$M72))/(Calculations!$O72-Calculations!$C$13)-calculateOmega(Calculations!M72,Calculations!N72,Calculations!Q72,'Reaction Information'!$C$66,'Reaction Information'!$P$66*10^5,'Reaction Information'!$Q$66)*Calculations!$U72*10^-6 + (1/$S72 - 1)*calculate_domegadP(Calculations!M72,Calculations!N72,Calculations!Q72,'Reaction Information'!$C$66,'Reaction Information'!$P$66*10^5,'Reaction Information'!$Q$66,$D$20,$D$19=3))*41.84)</f>
        <v>#N/A</v>
      </c>
      <c r="CF72" s="31">
        <f>(BS72*Input!$AO$4+BT72*Input!$AR$4+BU72*Input!$AU$4+BV72*Input!$AX$4+IF(ISNA(BW72),0,BW72*Input!$BA$4)+IF(ISNA(BX72),0,BX72*Input!$BD$4)+IF(ISNA(BY72),0,BY72*Input!$BG$4)+IF(ISNA(BZ72),0,BZ72*Input!$BJ$4)+IF(ISNA(CA72),0,CA72*Input!$BM$4)+IF(ISNA(CB72),0,CB72*Input!$BP$4)+IF(ISNA(CC72),0,CC72*Input!$BS$4)+IF(ISNA(CD72),0,CD72*Input!$BV$4)+IF(ISNA(CE72),0,CE72*Input!$BY$4))-(BF72*Input!$B$4+BG72*Input!$E$4+BH72*Input!$H$4+BI72*Input!$K$4+IF(ISNA(BJ72),0,BJ72*Input!$N$4)+IF(ISNA(BK72),0,BK72*Input!$Q$4)+IF(ISNA(BL72),0,BL72*Input!$T$4)+IF(ISNA(BM72),0,BM72*Input!$W$4)+IF(ISNA(BN72),0,BN72*Input!$Z$4)+IF(ISNA(BO72),0,BO72*Input!$AC$4)+IF(ISNA(BP72),0,BP72*Input!$AF$4)+IF(ISNA(BQ72),0,BQ72*Input!$AI$4)+IF(ISNA(BR72),0,BR72*Input!$AL$4))</f>
        <v>-15.482044782223355</v>
      </c>
      <c r="CG72" s="1">
        <f t="shared" si="31"/>
        <v>600</v>
      </c>
      <c r="CH72" s="46">
        <f t="shared" si="32"/>
        <v>25000</v>
      </c>
      <c r="CI72" s="1"/>
    </row>
    <row r="73" spans="1:87" x14ac:dyDescent="0.2">
      <c r="A73" s="1"/>
      <c r="E73" s="1"/>
      <c r="F73" s="2">
        <v>68</v>
      </c>
      <c r="G73" s="1" t="str">
        <f>IF(ISBLANK(Input!CB73), "", Input!CB73*1000)</f>
        <v/>
      </c>
      <c r="H73" s="1" t="str">
        <f>IF(ISBLANK(Input!CC73), "", Input!CC73)</f>
        <v/>
      </c>
      <c r="I73" s="1">
        <f>IF(Input!$CF$5 + Input!$CF$6*(FLOOR((Calculations!$F73-1)/(FLOOR((Input!$CF$12-Input!$CF$10)/Input!$CF$11,1)+1),1)) &gt; Input!$CF$7, "", (Input!$CF$5 + Input!$CF$6*(FLOOR((Calculations!$F73-1)/(FLOOR((Input!$CF$12-Input!$CF$10)/Input!$CF$11,1)+1),1)))*1000)</f>
        <v>25000</v>
      </c>
      <c r="J73" s="1">
        <f>IF(Calculations!I73 = "", "", Input!$CF$10 + Input!$CF$11*(Calculations!$F73-1) - (FLOOR((Input!$CF$12-Input!$CF$10)/Input!$CF$11,1)+1)*Input!$CF$11*FLOOR((Calculations!$F73-1)/(FLOOR((Input!$CF$12-Input!$CF$10)/Input!$CF$11,1)+1),1))</f>
        <v>650</v>
      </c>
      <c r="K73" s="8" t="str">
        <f t="shared" si="33"/>
        <v/>
      </c>
      <c r="L73" s="117" t="str">
        <f>IF(OR(Input!$CJ$5 + Input!$CJ$6*(Calculations!F73-1) &gt; Input!$CJ$7, Input!$CJ$5 + Input!$CJ$6*(Calculations!F73-1) &gt; 350), "", Input!$CJ$5 + Input!$CJ$6*(Calculations!F73-1))</f>
        <v/>
      </c>
      <c r="M73" s="1">
        <f t="shared" si="23"/>
        <v>25000</v>
      </c>
      <c r="N73" s="1">
        <f t="shared" si="24"/>
        <v>650</v>
      </c>
      <c r="O73" s="1">
        <f t="shared" si="19"/>
        <v>923.15</v>
      </c>
      <c r="P73" s="1" t="e">
        <f>IF(OR($D$20=3,AND($D$21=TRUE,M73&lt;1000)),INDEX('Water Density'!$C$6:$CX$120,MATCH(Calculations!N73,'Water Density'!$B$6:$B$120),MATCH(Calculations!M73/1000,'Water Density'!$C$5:$CX$5)),NA())</f>
        <v>#N/A</v>
      </c>
      <c r="Q73" s="182">
        <f>IF(OR($D$20=3,AND($D$21=TRUE,M73&lt;1000)), IF(P73&lt;&gt;0,P73,NA()), calculateDensity(M73,N73,$D$20,0.01,$D$19 = 3))</f>
        <v>1.1722017292612792</v>
      </c>
      <c r="R73" s="1" t="e">
        <f>IF($D$22=5,INDEX('Dielectric Constant'!$C$6:$CX$120,MATCH(Calculations!N73,'Dielectric Constant'!$B$6:$B$120),MATCH(Calculations!M73/1000,'Dielectric Constant'!$C$5:$CX$5)),NA())</f>
        <v>#N/A</v>
      </c>
      <c r="S73" s="58">
        <f>IF($D$22=5, IF(R73&lt;&gt;0,R73,NA()), IF(AND($D$23,M73&lt;=5000,$D$19 &lt;&gt; 3),calculateEpsilon(Q73,N73,1,FALSE),calculateEpsilon(Q73,N73,$D$22,$D$19 = 3)))</f>
        <v>23.97340610499057</v>
      </c>
      <c r="T73" s="1" t="e">
        <f>IF($D$24=3,INDEX('Water Free Energy'!$C$6:$CX$120,MATCH(Calculations!N73,'Water Free Energy'!$B$6:$B$120),MATCH(Calculations!M73/1000,'Water Free Energy'!$C$5:$CX$5)),NA())</f>
        <v>#N/A</v>
      </c>
      <c r="U73" s="179">
        <f>IF($D$27,calculateQ(M73,N73,Q73,$D$20,$D$22,$D$19=3)*10^6,NA())</f>
        <v>0.35791680090547007</v>
      </c>
      <c r="V73"/>
      <c r="W73" s="2">
        <f t="shared" si="25"/>
        <v>25000</v>
      </c>
      <c r="X73" s="1">
        <f t="shared" si="26"/>
        <v>650</v>
      </c>
      <c r="Y73" s="1">
        <f>Results!F75</f>
        <v>0</v>
      </c>
      <c r="Z73" s="1">
        <f>Results!G75</f>
        <v>0</v>
      </c>
      <c r="AA73" s="1">
        <f>Results!H75</f>
        <v>0</v>
      </c>
      <c r="AB73" s="1">
        <f>Results!I75</f>
        <v>0</v>
      </c>
      <c r="AC73" s="1" t="e">
        <f>IF(ISBLANK(Input!$O$4),NA(),'Reaction Information'!$E$5-'Reaction Information'!$G$5*(Calculations!$O73-Calculations!$C$8)+'Reaction Information'!$I$5*(Calculations!$O73-Calculations!$C$8-Calculations!$O73*LN(Calculations!$O73/Calculations!$C$8))+'Reaction Information'!$J$5*0.001/2*(2*Calculations!$O73*Calculations!$C$8-Calculations!$O73^2-Calculations!$C$8^2) + 'Reaction Information'!$K$5*100000*(Calculations!$O73^2 + Calculations!$C$8^2 - 2*Calculations!$O73*Calculations!$C$8)/(2*Calculations!$O73*Calculations!$C$8^2))</f>
        <v>#N/A</v>
      </c>
      <c r="AD73" s="8" t="e">
        <f>IF(ISBLANK(Input!$R$4),NA(),'Reaction Information'!$E$9-'Reaction Information'!$G$9*(Calculations!$O73-Calculations!$C$8)+'Reaction Information'!$I$9*(Calculations!$O73-Calculations!$C$8-Calculations!$O73*LN(Calculations!$O73/Calculations!$C$8))+'Reaction Information'!$J$9*0.001/2*(2*Calculations!$O73*Calculations!$C$8-Calculations!$O73^2-Calculations!$C$8^2) + 'Reaction Information'!$K$9*100000*(Calculations!$O73^2 + Calculations!$C$8^2 - 2*Calculations!$O73*Calculations!$C$8)/(2*Calculations!$O73*Calculations!$C$8^2))</f>
        <v>#N/A</v>
      </c>
      <c r="AE73" s="8">
        <f>IF(AE$5="H2O",IF($D$24=3,IF(T73=0,NA(),T73),calculateGibbsOfWater(M73,N73,$D$24,$D$20,$D$19=3)),NA())</f>
        <v>-62806.709907300072</v>
      </c>
      <c r="AF73" s="8">
        <f>IF(ISBLANK(Input!$X$4),NA(),'Reaction Information'!$E$13-'Reaction Information'!$G$13*(Calculations!O73-Calculations!$C$8)-'Reaction Information'!$N$13*(Calculations!O73*LN(Calculations!O73/Calculations!$C$8)-Calculations!O73+Calculations!$C$8)-'Reaction Information'!$O$13*10^4*(((1/(Calculations!O73-Calculations!$C$13))-(1/(Calculations!$C$8-Calculations!$C$13)))*((Calculations!$C$13-Calculations!O73)/(Calculations!$C$13))-(Calculations!O73/(Calculations!$C$13*Calculations!$C$13))*LN((Calculations!$C$8*(Calculations!O73-Calculations!$C$13))/(Calculations!O73*(Calculations!$C$8-Calculations!$C$13))))+'Reaction Information'!$J$13*10^-1*(Calculations!M73-Calculations!$C$9)+'Reaction Information'!$K$13*10^2*LN((Calculations!$C$12+Calculations!M73)/(Calculations!$C$12+Calculations!$C$9))+(1/(Calculations!O73-Calculations!$C$13))*('Reaction Information'!$L$13*(Calculations!M73-Calculations!$C$9)+'Reaction Information'!$M$13*10^4*LN((Calculations!$C$12+Calculations!M73)/(Calculations!$C$12+Calculations!$C$9)))+calculateOmega(Calculations!M73,Calculations!N73,Calculations!Q73,'Reaction Information'!$C$13,'Reaction Information'!$P$13*10^5,'Reaction Information'!$Q$13)*((1/Calculations!S73)-1)-'Reaction Information'!$P$13*10^5*((1/Calculations!$C$10)-1)+'Reaction Information'!$P$13*10^5*Calculations!$C$14*(Calculations!O73-Calculations!$C$8))</f>
        <v>-99741.779072071557</v>
      </c>
      <c r="AG73" s="8" t="e">
        <f>IF(ISBLANK(Input!$AA$4),NA(),'Reaction Information'!$E$17-'Reaction Information'!$G$17*(Calculations!$O73-Calculations!$C$8)-'Reaction Information'!$N$17*(Calculations!$O73*LN(Calculations!$O73/Calculations!$C$8)-Calculations!$O73+Calculations!$C$8)-'Reaction Information'!$O$17*10^4*(((1/(Calculations!$O73-Calculations!$C$13))-(1/(Calculations!$C$8-Calculations!$C$13)))*((Calculations!$C$13-Calculations!$O73)/(Calculations!$C$13))-(Calculations!$O73/(Calculations!$C$13*Calculations!$C$13))*LN((Calculations!$C$8*(Calculations!$O73-Calculations!$C$13))/(Calculations!$O73*(Calculations!$C$8-Calculations!$C$13))))+'Reaction Information'!$J$17*10^-1*(Calculations!$M73-Calculations!$C$9)+'Reaction Information'!$K$17*10^2*LN((Calculations!$C$12+Calculations!$M73)/(Calculations!$C$12+Calculations!$C$9))+(1/(Calculations!$O73-Calculations!$C$13))*('Reaction Information'!$L$17*(Calculations!$M73-Calculations!$C$9)+'Reaction Information'!$M$17*10^4*LN((Calculations!$C$12+Calculations!$M73)/(Calculations!$C$12+Calculations!$C$9)))+calculateOmega(Calculations!M73,Calculations!N73,Calculations!Q73,'Reaction Information'!$C$17,'Reaction Information'!$P$17*10^5,'Reaction Information'!$Q$17)*((1/Calculations!$S73)-1)-'Reaction Information'!$P$17*10^5*((1/Calculations!$C$10)-1)+'Reaction Information'!$P$17*10^5*Calculations!$C$14*(Calculations!$O73-Calculations!$C$8))</f>
        <v>#N/A</v>
      </c>
      <c r="AH73" s="8" t="e">
        <f>IF(ISBLANK(Input!$AD$4),NA(),'Reaction Information'!$E$21-'Reaction Information'!$G$21*(Calculations!$O73-Calculations!$C$8)-'Reaction Information'!$N$21*(Calculations!$O73*LN(Calculations!$O73/Calculations!$C$8)-Calculations!$O73+Calculations!$C$8)-'Reaction Information'!$O$21*10^4*(((1/(Calculations!$O73-Calculations!$C$13))-(1/(Calculations!$C$8-Calculations!$C$13)))*((Calculations!$C$13-Calculations!$O73)/(Calculations!$C$13))-(Calculations!$O73/(Calculations!$C$13*Calculations!$C$13))*LN((Calculations!$C$8*(Calculations!$O73-Calculations!$C$13))/(Calculations!$O73*(Calculations!$C$8-Calculations!$C$13))))+'Reaction Information'!$J$21*10^-1*(Calculations!$M73-Calculations!$C$9)+'Reaction Information'!$K$21*10^2*LN((Calculations!$C$12+Calculations!$M73)/(Calculations!$C$12+Calculations!$C$9))+(1/(Calculations!$O73-Calculations!$C$13))*('Reaction Information'!$L$21*(Calculations!$M73-Calculations!$C$9)+'Reaction Information'!$M$21*10^4*LN((Calculations!$C$12+Calculations!$M73)/(Calculations!$C$12+Calculations!$C$9)))+calculateOmega(Calculations!M73,Calculations!N73,Calculations!Q73,'Reaction Information'!$C$21,'Reaction Information'!$P$21*10^5,'Reaction Information'!$Q$21)*((1/Calculations!$S73)-1)-'Reaction Information'!$P$21*10^5*((1/Calculations!$C$10)-1)+'Reaction Information'!$P$21*10^5*Calculations!$C$14*(Calculations!$O73-Calculations!$C$8))</f>
        <v>#N/A</v>
      </c>
      <c r="AI73" s="8" t="e">
        <f>IF(ISBLANK(Input!$AG$4),NA(),'Reaction Information'!$E$25-'Reaction Information'!$G$25*(Calculations!$O73-Calculations!$C$8)-'Reaction Information'!$N$25*(Calculations!$O73*LN(Calculations!$O73/Calculations!$C$8)-Calculations!$O73+Calculations!$C$8)-'Reaction Information'!$O$25*10^4*(((1/(Calculations!$O73-Calculations!$C$13))-(1/(Calculations!$C$8-Calculations!$C$13)))*((Calculations!$C$13-Calculations!$O73)/(Calculations!$C$13))-(Calculations!$O73/(Calculations!$C$13*Calculations!$C$13))*LN((Calculations!$C$8*(Calculations!$O73-Calculations!$C$13))/(Calculations!$O73*(Calculations!$C$8-Calculations!$C$13))))+'Reaction Information'!$J$25*10^-1*(Calculations!$M73-Calculations!$C$9)+'Reaction Information'!$K$25*10^2*LN((Calculations!$C$12+Calculations!$M73)/(Calculations!$C$12+Calculations!$C$9))+(1/(Calculations!$O73-Calculations!$C$13))*('Reaction Information'!$L$25*(Calculations!$M73-Calculations!$C$9)+'Reaction Information'!$M$25*10^4*LN((Calculations!$C$12+Calculations!$M73)/(Calculations!$C$12+Calculations!$C$9)))+calculateOmega(Calculations!M73,Calculations!N73,Calculations!Q73,'Reaction Information'!$C$25,'Reaction Information'!$P$25*10^5,'Reaction Information'!$Q$25)*((1/Calculations!$S73)-1)-'Reaction Information'!$P$25*10^5*((1/Calculations!$C$10)-1)+'Reaction Information'!$P$25*10^5*Calculations!$C$14*(Calculations!$O73-Calculations!$C$8))</f>
        <v>#N/A</v>
      </c>
      <c r="AJ73" s="8" t="e">
        <f>IF(ISBLANK(Input!$AJ$4),NA(),'Reaction Information'!$E$29-'Reaction Information'!$G$29*(Calculations!$O73-Calculations!$C$8)-'Reaction Information'!$N$29*(Calculations!$O73*LN(Calculations!$O73/Calculations!$C$8)-Calculations!$O73+Calculations!$C$8)-'Reaction Information'!$O$29*10^4*(((1/(Calculations!$O73-Calculations!$C$13))-(1/(Calculations!$C$8-Calculations!$C$13)))*((Calculations!$C$13-Calculations!$O73)/(Calculations!$C$13))-(Calculations!$O73/(Calculations!$C$13*Calculations!$C$13))*LN((Calculations!$C$8*(Calculations!$O73-Calculations!$C$13))/(Calculations!$O73*(Calculations!$C$8-Calculations!$C$13))))+'Reaction Information'!$J$29*10^-1*(Calculations!$M73-Calculations!$C$9)+'Reaction Information'!$K$29*10^2*LN((Calculations!$C$12+Calculations!$M73)/(Calculations!$C$12+Calculations!$C$9))+(1/(Calculations!$O73-Calculations!$C$13))*('Reaction Information'!$L$29*(Calculations!$M73-Calculations!$C$9)+'Reaction Information'!$M$29*10^4*LN((Calculations!$C$12+Calculations!$M73)/(Calculations!$C$12+Calculations!$C$9)))+calculateOmega(Calculations!M73,Calculations!N73,Calculations!Q73,'Reaction Information'!$C$29,'Reaction Information'!$P$29*10^5,'Reaction Information'!$Q$29)*((1/Calculations!$S73)-1)-'Reaction Information'!$P$29*10^5*((1/Calculations!$C$10)-1)+'Reaction Information'!$P$29*10^5*Calculations!$C$14*(Calculations!$O73-Calculations!$C$8))</f>
        <v>#N/A</v>
      </c>
      <c r="AK73" s="8" t="e">
        <f>IF(ISBLANK(Input!$AM$4),NA(),'Reaction Information'!$E$33-'Reaction Information'!$G$33*(Calculations!$O73-Calculations!$C$8)-'Reaction Information'!$N$33*(Calculations!$O73*LN(Calculations!$O73/Calculations!$C$8)-Calculations!$O73+Calculations!$C$8)-'Reaction Information'!$O$33*10^4*(((1/(Calculations!$O73-Calculations!$C$13))-(1/(Calculations!$C$8-Calculations!$C$13)))*((Calculations!$C$13-Calculations!$O73)/(Calculations!$C$13))-(Calculations!$O73/(Calculations!$C$13*Calculations!$C$13))*LN((Calculations!$C$8*(Calculations!$O73-Calculations!$C$13))/(Calculations!$O73*(Calculations!$C$8-Calculations!$C$13))))+'Reaction Information'!$J$33*10^-1*(Calculations!$M73-Calculations!$C$9)+'Reaction Information'!$K$33*10^2*LN((Calculations!$C$12+Calculations!$M73)/(Calculations!$C$12+Calculations!$C$9))+(1/(Calculations!$O73-Calculations!$C$13))*('Reaction Information'!$L$33*(Calculations!$M73-Calculations!$C$9)+'Reaction Information'!$M$33*10^4*LN((Calculations!$C$12+Calculations!$M73)/(Calculations!$C$12+Calculations!$C$9)))+calculateOmega(Calculations!M73,Calculations!N73,Calculations!Q73,'Reaction Information'!$C$33,'Reaction Information'!$P$33*10^5,'Reaction Information'!$Q$33)*((1/Calculations!$S73)-1)-'Reaction Information'!$P$33*10^5*((1/Calculations!$C$10)-1)+'Reaction Information'!$P$33*10^5*Calculations!$C$14*(Calculations!$O73-Calculations!$C$8))</f>
        <v>#N/A</v>
      </c>
      <c r="AL73" s="1">
        <f>Results!S75</f>
        <v>0</v>
      </c>
      <c r="AM73" s="1">
        <f>Results!T75</f>
        <v>0</v>
      </c>
      <c r="AN73" s="1">
        <f>Results!U75</f>
        <v>0</v>
      </c>
      <c r="AO73" s="1">
        <f>Results!V75</f>
        <v>0</v>
      </c>
      <c r="AP73" s="8" t="e">
        <f>IF(ISBLANK(Input!$BB$4),NA(),'Reaction Information'!$E$38-'Reaction Information'!$G$38*(Calculations!$O73-Calculations!$C$8)+'Reaction Information'!$I$38*(Calculations!$O73-Calculations!$C$8-Calculations!$O73*LN(Calculations!$O73/Calculations!$C$8))+'Reaction Information'!$J$38*0.001/2*(2*Calculations!$O73*Calculations!$C$8-Calculations!$O73^2-Calculations!$C$8^2) + 'Reaction Information'!$K$38*100000*(Calculations!$O73^2 + Calculations!$C$8^2 - 2*Calculations!$O73*Calculations!$C$8)/(2*Calculations!$O73*Calculations!$C$8^2))</f>
        <v>#N/A</v>
      </c>
      <c r="AQ73" s="8" t="e">
        <f>IF(ISBLANK(Input!$BE$4),NA(),'Reaction Information'!$E$42-'Reaction Information'!$G$42*(Calculations!$O73-Calculations!$C$8)+'Reaction Information'!$I$42*(Calculations!$O73-Calculations!$C$8-Calculations!$O73*LN(Calculations!$O73/Calculations!$C$8))+'Reaction Information'!$J$42*0.001/2*(2*Calculations!$O73*Calculations!$C$8-Calculations!$O73^2-Calculations!$C$8^2) + 'Reaction Information'!$K$42*100000*(Calculations!$O73^2 + Calculations!$C$8^2 - 2*Calculations!$O73*Calculations!$C$8)/(2*Calculations!$O73*Calculations!$C$8^2))</f>
        <v>#N/A</v>
      </c>
      <c r="AR73" s="8" t="e">
        <f>IF(AR$5="H2O", IF($D$24=3,IF(T73=0,NA(),T73),calculateGibbsOfWater(M73,N73,$D$24,$D$20,$D$19=3)),NA())</f>
        <v>#N/A</v>
      </c>
      <c r="AS73" s="8">
        <f>IF(ISBLANK(Input!$BK$4),NA(),'Reaction Information'!$E$46-'Reaction Information'!$G$46*(Calculations!O73-Calculations!$C$8)-'Reaction Information'!$N$46*(Calculations!O73*LN(Calculations!O73/Calculations!$C$8)-Calculations!O73+Calculations!$C$8)-'Reaction Information'!$O$46*10^4*(((1/(Calculations!O73-Calculations!$C$13))-(1/(Calculations!$C$8-Calculations!$C$13)))*((Calculations!$C$13-Calculations!O73)/(Calculations!$C$13))-(Calculations!O73/(Calculations!$C$13*Calculations!$C$13))*LN((Calculations!$C$8*(Calculations!O73-Calculations!$C$13))/(Calculations!O73*(Calculations!$C$8-Calculations!$C$13))))+'Reaction Information'!$J$46*10^-1*(Calculations!$M73-Calculations!$C$9)+'Reaction Information'!$K$46*10^2*LN((Calculations!$C$12+Calculations!$M73)/(Calculations!$C$12+Calculations!$C$9))+(1/(Calculations!O73-Calculations!$C$13))*('Reaction Information'!$L$46*(Calculations!$M73-Calculations!$C$9)+'Reaction Information'!$M$46*10^4*LN((Calculations!$C$12+Calculations!$M73)/(Calculations!$C$12+Calculations!$C$9)))+calculateOmega(Calculations!M73,Calculations!N73,Calculations!Q73,'Reaction Information'!$C$46,'Reaction Information'!$P$46*10^5,'Reaction Information'!$Q$46)*((1/Calculations!S73)-1)-'Reaction Information'!$P$46*10^5*((1/Calculations!$C$10)-1)+'Reaction Information'!$P$46*10^5*Calculations!$C$14*(Calculations!O73-Calculations!$C$8))</f>
        <v>0</v>
      </c>
      <c r="AT73" s="8">
        <f>IF(ISBLANK(Input!$BN$4),NA(),'Reaction Information'!$E$50-'Reaction Information'!$G$50*(Calculations!O73-Calculations!$C$8)-'Reaction Information'!$N$50*(Calculations!O73*LN(Calculations!O73/Calculations!$C$8)-Calculations!O73+Calculations!$C$8)-'Reaction Information'!$O$50*10^4*(((1/(Calculations!O73-Calculations!$C$13))-(1/(Calculations!$C$8-Calculations!$C$13)))*((Calculations!$C$13-Calculations!O73)/(Calculations!$C$13))-(Calculations!O73/(Calculations!$C$13*Calculations!$C$13))*LN((Calculations!$C$8*(Calculations!O73-Calculations!$C$13))/(Calculations!O73*(Calculations!$C$8-Calculations!$C$13))))+'Reaction Information'!$J$50*10^-1*(Calculations!$M73-Calculations!$C$9)+'Reaction Information'!$K$50*10^2*LN((Calculations!$C$12+Calculations!$M73)/(Calculations!$C$12+Calculations!$C$9))+(1/(Calculations!O73-Calculations!$C$13))*('Reaction Information'!$L$50*(Calculations!$M73-Calculations!$C$9)+'Reaction Information'!$M$50*10^4*LN((Calculations!$C$12+Calculations!$M73)/(Calculations!$C$12+Calculations!$C$9)))+calculateOmega(Calculations!M73,Calculations!N73,Calculations!Q73,'Reaction Information'!$C$50,'Reaction Information'!$P$50*10^5,'Reaction Information'!$Q$50)*((1/Calculations!S73)-1)-'Reaction Information'!$P$50*10^5*((1/Calculations!$C$10)-1)+'Reaction Information'!$P$50*10^5*Calculations!$C$14*(Calculations!O73-Calculations!$C$8))</f>
        <v>-140548.78547814186</v>
      </c>
      <c r="AU73" s="8" t="e">
        <f>IF(ISBLANK(Input!$BQ$4),NA(),'Reaction Information'!$E$54-'Reaction Information'!$G$54*(Calculations!$O73-Calculations!$C$8)-'Reaction Information'!$N$54*(Calculations!$O73*LN(Calculations!$O73/Calculations!$C$8)-Calculations!$O73+Calculations!$C$8)-'Reaction Information'!$O$54*10^4*(((1/(Calculations!$O73-Calculations!$C$13))-(1/(Calculations!$C$8-Calculations!$C$13)))*((Calculations!$C$13-Calculations!$O73)/(Calculations!$C$13))-(Calculations!$O73/(Calculations!$C$13*Calculations!$C$13))*LN((Calculations!$C$8*(Calculations!$O73-Calculations!$C$13))/(Calculations!$O73*(Calculations!$C$8-Calculations!$C$13))))+'Reaction Information'!$J$54*10^-1*(Calculations!$M73-Calculations!$C$9)+'Reaction Information'!$K$54*10^2*LN((Calculations!$C$12+Calculations!$M73)/(Calculations!$C$12+Calculations!$C$9))+(1/(Calculations!$O73-Calculations!$C$13))*('Reaction Information'!$L$54*(Calculations!$M73-Calculations!$C$9)+'Reaction Information'!$M$54*10^4*LN((Calculations!$C$12+Calculations!$M73)/(Calculations!$C$12+Calculations!$C$9)))+calculateOmega(Calculations!M73,Calculations!N73,Calculations!Q73,'Reaction Information'!$C$54,'Reaction Information'!$P$54*10^5,'Reaction Information'!$Q$54)*((1/Calculations!$S73)-1)-'Reaction Information'!$P$54*10^5*((1/Calculations!$C$10)-1)+'Reaction Information'!$P$54*10^5*Calculations!$C$14*(Calculations!$O73-Calculations!$C$8))</f>
        <v>#N/A</v>
      </c>
      <c r="AV73" s="8" t="e">
        <f>IF(ISBLANK(Input!$BT$4),NA(),'Reaction Information'!$E$58-'Reaction Information'!$G$58*(Calculations!$O73-Calculations!$C$8)-'Reaction Information'!$N$58*(Calculations!$O73*LN(Calculations!$O73/Calculations!$C$8)-Calculations!$O73+Calculations!$C$8)-'Reaction Information'!$O$58*10^4*(((1/(Calculations!$O73-Calculations!$C$13))-(1/(Calculations!$C$8-Calculations!$C$13)))*((Calculations!$C$13-Calculations!$O73)/(Calculations!$C$13))-(Calculations!$O73/(Calculations!$C$13*Calculations!$C$13))*LN((Calculations!$C$8*(Calculations!$O73-Calculations!$C$13))/(Calculations!$O73*(Calculations!$C$8-Calculations!$C$13))))+'Reaction Information'!$J$58*10^-1*(Calculations!$M73-Calculations!$C$9)+'Reaction Information'!$K$58*10^2*LN((Calculations!$C$12+Calculations!$M73)/(Calculations!$C$12+Calculations!$C$9))+(1/(Calculations!$O73-Calculations!$C$13))*('Reaction Information'!$L$58*(Calculations!$M73-Calculations!$C$9)+'Reaction Information'!$M$58*10^4*LN((Calculations!$C$12+Calculations!$M73)/(Calculations!$C$12+Calculations!$C$9)))+calculateOmega(Calculations!M73,Calculations!N73,Calculations!Q73,'Reaction Information'!$C$58,'Reaction Information'!$P$58*10^5,'Reaction Information'!$Q$58)*((1/Calculations!$S73)-1)-'Reaction Information'!$P$58*10^5*((1/Calculations!$C$10)-1)+'Reaction Information'!$P$58*10^5*Calculations!$C$14*(Calculations!$O73-Calculations!$C$8))</f>
        <v>#N/A</v>
      </c>
      <c r="AW73" s="8" t="e">
        <f>IF(ISBLANK(Input!$BW$4),NA(),'Reaction Information'!$E$62-'Reaction Information'!$G$62*(Calculations!$O73-Calculations!$C$8)-'Reaction Information'!$N$62*(Calculations!$O73*LN(Calculations!$O73/Calculations!$C$8)-Calculations!$O73+Calculations!$C$8)-'Reaction Information'!$O$62*10^4*(((1/(Calculations!$O73-Calculations!$C$13))-(1/(Calculations!$C$8-Calculations!$C$13)))*((Calculations!$C$13-Calculations!$O73)/(Calculations!$C$13))-(Calculations!$O73/(Calculations!$C$13*Calculations!$C$13))*LN((Calculations!$C$8*(Calculations!$O73-Calculations!$C$13))/(Calculations!$O73*(Calculations!$C$8-Calculations!$C$13))))+'Reaction Information'!$J$62*10^-1*(Calculations!$M73-Calculations!$C$9)+'Reaction Information'!$K$62*10^2*LN((Calculations!$C$12+Calculations!$M73)/(Calculations!$C$12+Calculations!$C$9))+(1/(Calculations!$O73-Calculations!$C$13))*('Reaction Information'!$L$62*(Calculations!$M73-Calculations!$C$9)+'Reaction Information'!$M$62*10^4*LN((Calculations!$C$12+Calculations!$M73)/(Calculations!$C$12+Calculations!$C$9)))+calculateOmega(Calculations!M73,Calculations!N73,Calculations!Q73,'Reaction Information'!$C$62,'Reaction Information'!$P$62*10^5,'Reaction Information'!$Q$62)*((1/Calculations!$S73)-1)-'Reaction Information'!$P$62*10^5*((1/Calculations!$C$10)-1)+'Reaction Information'!$P$62*10^5*Calculations!$C$14*(Calculations!$O73-Calculations!$C$8))</f>
        <v>#N/A</v>
      </c>
      <c r="AX73" s="8" t="e">
        <f>IF(ISBLANK(Input!$BZ$4),NA(),'Reaction Information'!$E$66-'Reaction Information'!$G$66*(Calculations!$O73-Calculations!$C$8)-'Reaction Information'!$N$66*(Calculations!$O73*LN(Calculations!$O73/Calculations!$C$8)-Calculations!$O73+Calculations!$C$8)-'Reaction Information'!$O$66*10^4*(((1/(Calculations!$O73-Calculations!$C$13))-(1/(Calculations!$C$8-Calculations!$C$13)))*((Calculations!$C$13-Calculations!$O73)/(Calculations!$C$13))-(Calculations!$O73/(Calculations!$C$13*Calculations!$C$13))*LN((Calculations!$C$8*(Calculations!$O73-Calculations!$C$13))/(Calculations!$O73*(Calculations!$C$8-Calculations!$C$13))))+'Reaction Information'!$J$66*10^-1*(Calculations!$M73-Calculations!$C$9)+'Reaction Information'!$K$66*10^2*LN((Calculations!$C$12+Calculations!$M73)/(Calculations!$C$12+Calculations!$C$9))+(1/(Calculations!$O73-Calculations!$C$13))*('Reaction Information'!$L$66*(Calculations!$M73-Calculations!$C$9)+'Reaction Information'!$M$66*10^4*LN((Calculations!$C$12+Calculations!$M73)/(Calculations!$C$12+Calculations!$C$9)))+calculateOmega(Calculations!M73,Calculations!N73,Calculations!Q73,'Reaction Information'!$C$66,'Reaction Information'!$P$66*10^5,'Reaction Information'!$Q$66)*((1/Calculations!$S73)-1)-'Reaction Information'!$P$66*10^5*((1/Calculations!$C$10)-1)+'Reaction Information'!$P$66*10^5*Calculations!$C$14*(Calculations!$O73-Calculations!$C$8))</f>
        <v>#N/A</v>
      </c>
      <c r="AY73" s="31">
        <f>(AL73*Input!$AO$4+AM73*Input!$AR$4+AN73*Input!$AU$4+AO73*Input!$AX$4+IF(ISNA(AP73),0,AP73*Input!$BA$4)+IF(ISNA(AQ73),0,AQ73*Input!$BD$4)+IF(ISNA(AR73),0,AR73*Input!$BG$4)+IF(ISNA(AS73),0,AS73*Input!$BJ$4)+IF(ISNA(AT73),0,AT73*Input!$BM$4)+IF(ISNA(AU73),0,AU73*Input!$BP$4)+IF(ISNA(AV73),0,AV73*Input!$BS$4)+IF(ISNA(AW73),0,AW73*Input!$BV$4)+IF(ISNA(AX73),0,AX73*Input!$BY$4))-(Y73*Input!$B$4+Z73*Input!$E$4+AA73*Input!$H$4+AB73*Input!$K$4+IF(ISNA(AC73),0,AC73*Input!$N$4)+IF(ISNA(AD73),0,AD73*Input!$Q$4)+IF(ISNA(AE73),0,AE73*Input!$T$4)+IF(ISNA(AF73),0,AF73*Input!$W$4)+IF(ISNA(AG73),0,AG73*Input!$Z$4)+IF(ISNA(AH73),0,AH73*Input!$AC$4)+IF(ISNA(AI73),0,AI73*Input!$AF$4)+IF(ISNA(AJ73),0,AJ73*Input!$AI$4)+IF(ISNA(AK73),0,AK73*Input!$AL$4))</f>
        <v>21999.703501229757</v>
      </c>
      <c r="AZ73" s="42">
        <f t="shared" si="20"/>
        <v>-5.2116642231253563</v>
      </c>
      <c r="BA73" s="1">
        <f t="shared" si="27"/>
        <v>650</v>
      </c>
      <c r="BB73" s="46">
        <f t="shared" si="28"/>
        <v>25000</v>
      </c>
      <c r="BC73" s="1"/>
      <c r="BD73" s="2">
        <f t="shared" si="29"/>
        <v>25000</v>
      </c>
      <c r="BE73" s="46">
        <f t="shared" si="30"/>
        <v>650</v>
      </c>
      <c r="BF73" s="1">
        <f>Results!AJ75</f>
        <v>0</v>
      </c>
      <c r="BG73" s="1">
        <f>Results!AK75</f>
        <v>0</v>
      </c>
      <c r="BH73" s="1">
        <f>Results!AL75</f>
        <v>0</v>
      </c>
      <c r="BI73" s="1">
        <f>Results!AM75</f>
        <v>0</v>
      </c>
      <c r="BJ73" s="1" t="e">
        <f>IF(OR(ISNA('Reaction Information'!$D$5), $N73 = "", $D$27 = FALSE, 'Reaction Information'!$D$5 = ""), NA(), 24.465)</f>
        <v>#N/A</v>
      </c>
      <c r="BK73" s="1" t="e">
        <f>IF(OR(ISNA('Reaction Information'!$D$9), $N73 = "", $D$27 = FALSE, 'Reaction Information'!$D$9 = ""), NA(), 24.465)</f>
        <v>#N/A</v>
      </c>
      <c r="BL73" s="8">
        <f t="shared" si="21"/>
        <v>15.368753986869836</v>
      </c>
      <c r="BM73" s="8">
        <f>IF(OR(ISBLANK(Input!$X$4),$D$27=FALSE),NA(),('Reaction Information'!$J$13/10+'Reaction Information'!$K$13*100/(Calculations!$C$12+Calculations!$M73)+('Reaction Information'!$L$13+'Reaction Information'!$M$13*10^4/(Calculations!$C$12+Calculations!$M73))/(Calculations!$O73-Calculations!$C$13) -calculateOmega(Calculations!$M73,Calculations!$N73,Calculations!$Q73,'Reaction Information'!$C$13,'Reaction Information'!$P$13*10^5,'Reaction Information'!$Q$13)*Calculations!$U73*10^-6 + (1/$S73 - 1)*calculate_domegadP(Calculations!$M73,Calculations!$N73,Calculations!$Q73,'Reaction Information'!$C$13,'Reaction Information'!$P$13*10^5,'Reaction Information'!$Q$13,$D$20,$D$19=3))*41.84)</f>
        <v>30.796865672249869</v>
      </c>
      <c r="BN73" s="8" t="e">
        <f>IF(OR(ISBLANK(Input!$AA$4),$D$27=FALSE),NA(),('Reaction Information'!$J$17/10+'Reaction Information'!$K$17*100/(Calculations!$C$12+Calculations!$M73)+('Reaction Information'!$L$17+'Reaction Information'!$M$17*10000/(Calculations!$C$12+Calculations!$M73))/(Calculations!$O73-Calculations!$C$13)-calculateOmega(Calculations!M73,Calculations!N73,Calculations!Q73,'Reaction Information'!$C$17,'Reaction Information'!$P$17*10^5,'Reaction Information'!$Q$17)*Calculations!$U73*10^-6 + (1/$S73 - 1)*calculate_domegadP(Calculations!M73,Calculations!N73,Calculations!Q73,'Reaction Information'!$C$17,'Reaction Information'!$P$17*10^5,'Reaction Information'!$Q$17,$D$20,$D$19=3))*41.84)</f>
        <v>#N/A</v>
      </c>
      <c r="BO73" s="8" t="e">
        <f>IF(OR(ISBLANK(Input!$AD$4),$D$27=FALSE),NA(),('Reaction Information'!$J$21/10+'Reaction Information'!$K$21*100/(Calculations!$C$12+Calculations!$M73)+('Reaction Information'!$L$21+'Reaction Information'!$M$21*10000/(Calculations!$C$12+Calculations!$M73))/(Calculations!$O73-Calculations!$C$13)-calculateOmega(Calculations!M73,Calculations!N73,Calculations!Q73,'Reaction Information'!$C$21,'Reaction Information'!$P$21*10^5,'Reaction Information'!$Q$21)*Calculations!$U73*10^-6 + (1/$S73 - 1)*calculate_domegadP(Calculations!M73,Calculations!N73,Calculations!Q73,'Reaction Information'!$C$21,'Reaction Information'!$P$21*10^5,'Reaction Information'!$Q$21,$D$20,$D$19=3))*41.84)</f>
        <v>#N/A</v>
      </c>
      <c r="BP73" s="8" t="e">
        <f>IF(OR(ISBLANK(Input!$AG$4),$D$27=FALSE),NA(),('Reaction Information'!$J$25/10+'Reaction Information'!$K$25*100/(Calculations!$C$12+Calculations!$M73)+('Reaction Information'!$L$25+'Reaction Information'!$M$25*10000/(Calculations!$C$12+Calculations!$M73))/(Calculations!$O73-Calculations!$C$13)-calculateOmega(Calculations!M73,Calculations!N73,Calculations!Q73,'Reaction Information'!$C$25,'Reaction Information'!$P$25*10^5,'Reaction Information'!$Q$25)*Calculations!$U73*10^-6 + (1/$S73 - 1)*calculate_domegadP(Calculations!M73,Calculations!N73,Calculations!Q73,'Reaction Information'!$C$25,'Reaction Information'!$P$25*10^5,'Reaction Information'!$Q$25,$D$20,$D$19=3))*41.84)</f>
        <v>#N/A</v>
      </c>
      <c r="BQ73" s="8" t="e">
        <f>IF(OR(ISBLANK(Input!$AJ$4),$D$27=FALSE),NA(),('Reaction Information'!$J$29/10+'Reaction Information'!$K$29*100/(Calculations!$C$12+Calculations!$M73)+('Reaction Information'!$L$29+'Reaction Information'!$M$29*10000/(Calculations!$C$12+Calculations!$M73))/(Calculations!$O73-Calculations!$C$13)-calculateOmega(Calculations!M73,Calculations!N73,Calculations!Q73,'Reaction Information'!$C$29,'Reaction Information'!$P$29*10^5,'Reaction Information'!$Q$29)*Calculations!$U73*10^-6 + (1/$S73 - 1)*calculate_domegadP(Calculations!M73,Calculations!N73,Calculations!Q73,'Reaction Information'!$C$29,'Reaction Information'!$P$29*10^5,'Reaction Information'!$Q$29,$D$20,$D$19=3))*41.84)</f>
        <v>#N/A</v>
      </c>
      <c r="BR73" s="8" t="e">
        <f>IF(OR(ISBLANK(Input!$AM$4),$D$27=FALSE),NA(),('Reaction Information'!$J$33/10+'Reaction Information'!$K$33*100/(Calculations!$C$12+Calculations!$M73)+('Reaction Information'!$L$33+'Reaction Information'!$M$33*10000/(Calculations!$C$12+Calculations!$M73))/(Calculations!$O73-Calculations!$C$13)-calculateOmega(Calculations!M73,Calculations!N73,Calculations!Q73,'Reaction Information'!$C$33,'Reaction Information'!$P$33*10^5,'Reaction Information'!$Q$33)*Calculations!$U73*10^-6 + (1/$S73 - 1)*calculate_domegadP(Calculations!M73,Calculations!N73,Calculations!Q73,'Reaction Information'!$C$33,'Reaction Information'!$P$33*10^5,'Reaction Information'!$Q$33,$D$20,$D$19=3))*41.84)</f>
        <v>#N/A</v>
      </c>
      <c r="BS73" s="1">
        <f>Results!AW75</f>
        <v>0</v>
      </c>
      <c r="BT73" s="1">
        <f>Results!AX75</f>
        <v>0</v>
      </c>
      <c r="BU73" s="1">
        <f>Results!AY75</f>
        <v>0</v>
      </c>
      <c r="BV73" s="1">
        <f>Results!AZ75</f>
        <v>0</v>
      </c>
      <c r="BW73" s="1" t="e">
        <f>IF(OR(ISNA('Reaction Information'!$D$38), $N73 = "", $D$27 = FALSE, 'Reaction Information'!$D$38 = ""), NA(), 24.465)</f>
        <v>#N/A</v>
      </c>
      <c r="BX73" s="1" t="e">
        <f>IF(OR(ISNA('Reaction Information'!$D$42), $N73 = "", $D$27 = FALSE, 'Reaction Information'!$D$42 = ""), NA(), 24.465)</f>
        <v>#N/A</v>
      </c>
      <c r="BY73" s="8" t="e">
        <f t="shared" si="22"/>
        <v>#N/A</v>
      </c>
      <c r="BZ73" s="8">
        <f>IF(OR(ISBLANK(Input!$BK$4),$D$27=FALSE),NA(),('Reaction Information'!$J$46/10+'Reaction Information'!$K$46*100/(Calculations!$C$12+Calculations!$M73)+('Reaction Information'!$L$46+'Reaction Information'!$M$46*10000/(Calculations!$C$12+Calculations!$M73))/(Calculations!$O73-Calculations!$C$13)-calculateOmega(Calculations!M73,Calculations!N73,Calculations!Q73,'Reaction Information'!$C$46,'Reaction Information'!$P$46*10^5,'Reaction Information'!$Q$46)*Calculations!$U73*10^-6 + (1/$S73 - 1)*calculate_domegadP(Calculations!M73,Calculations!N73,Calculations!Q73,'Reaction Information'!$C$46,'Reaction Information'!$P$46*10^5,'Reaction Information'!$Q$46,$D$20,$D$19=3))*41.84)</f>
        <v>0</v>
      </c>
      <c r="CA73" s="8">
        <f>IF(OR(ISBLANK(Input!$BN$4),$D$27=FALSE),NA(),('Reaction Information'!$J$50/10+'Reaction Information'!$K$50*100/(Calculations!$C$12+Calculations!$M73)+('Reaction Information'!$L$50+'Reaction Information'!$M$50*10000/(Calculations!$C$12+Calculations!$M73))/(Calculations!$O73-Calculations!$C$13)-calculateOmega(Calculations!M73,Calculations!N73,Calculations!Q73,'Reaction Information'!$C$50,'Reaction Information'!$P$50*10^5,'Reaction Information'!$Q$50)*Calculations!$U73*10^-6 + (1/$S73 - 1)*calculate_domegadP(Calculations!M73,Calculations!N73,Calculations!Q73,'Reaction Information'!$C$50,'Reaction Information'!$P$50*10^5,'Reaction Information'!$Q$50,$D$20,$D$19=3))*41.84)</f>
        <v>30.214885667229911</v>
      </c>
      <c r="CB73" s="8" t="e">
        <f>IF(OR(ISBLANK(Input!$BQ$4),$D$27=FALSE),NA(),('Reaction Information'!$J$54/10+'Reaction Information'!$K$54*100/(Calculations!$C$12+Calculations!$M73)+('Reaction Information'!$L$54+'Reaction Information'!$M$54*10000/(Calculations!$C$12+Calculations!$M73))/(Calculations!$O73-Calculations!$C$13)-calculateOmega(Calculations!M73,Calculations!N73,Calculations!Q73,'Reaction Information'!$C$54,'Reaction Information'!$P$54*10^5,'Reaction Information'!$Q$54)*Calculations!$U73*10^-6 + (1/$S73 - 1)*calculate_domegadP(Calculations!M73,Calculations!N73,Calculations!Q73,'Reaction Information'!$C$54,'Reaction Information'!$P$54*10^5,'Reaction Information'!$Q$54,$D$20,$D$19=3))*41.84)</f>
        <v>#N/A</v>
      </c>
      <c r="CC73" s="8" t="e">
        <f>IF(OR(ISBLANK(Input!$BT$4),$D$27=FALSE),NA(),('Reaction Information'!$J$58/10+'Reaction Information'!$K$58*100/(Calculations!$C$12+Calculations!$M73)+('Reaction Information'!$L$58+'Reaction Information'!$M$58*10000/(Calculations!$C$12+Calculations!$M73))/(Calculations!$O73-Calculations!$C$13)-calculateOmega(Calculations!M73,Calculations!N73,Calculations!Q73,'Reaction Information'!$C$58,'Reaction Information'!$P$58*10^5,'Reaction Information'!$Q$58)*Calculations!$U73*10^-6 + (1/$S73 - 1)*calculate_domegadP(Calculations!M73,Calculations!N73,Calculations!Q73,'Reaction Information'!$C$58,'Reaction Information'!$P$58*10^5,'Reaction Information'!$Q$58,$D$20,$D$19=3))*41.84)</f>
        <v>#N/A</v>
      </c>
      <c r="CD73" s="8" t="e">
        <f>IF(OR(ISBLANK(Input!$BW$4),$D$27=FALSE),NA(),('Reaction Information'!$J$62/10+'Reaction Information'!$K$62*100/(Calculations!$C$12+Calculations!$M73)+('Reaction Information'!$L$62+'Reaction Information'!$M$62*10000/(Calculations!$C$12+Calculations!$M73))/(Calculations!$O73-Calculations!$C$13)-calculateOmega(Calculations!M73,Calculations!N73,Calculations!Q73,'Reaction Information'!$C$62,'Reaction Information'!$P$62*10^5,'Reaction Information'!$Q$62)*Calculations!$U73*10^-6 + (1/$S73 - 1)*calculate_domegadP(Calculations!M73,Calculations!N73,Calculations!Q73,'Reaction Information'!$C$62,'Reaction Information'!$P$62*10^5,'Reaction Information'!$Q$62,$D$20,$D$19=3))*41.84)</f>
        <v>#N/A</v>
      </c>
      <c r="CE73" s="8" t="e">
        <f>IF(OR(ISBLANK(Input!$BZ$4),$D$27=FALSE),NA(),('Reaction Information'!$J$66/10+'Reaction Information'!$K$66*100/(Calculations!$C$12+Calculations!$M73)+('Reaction Information'!$L$66+'Reaction Information'!$M$66*10000/(Calculations!$C$12+Calculations!$M73))/(Calculations!$O73-Calculations!$C$13)-calculateOmega(Calculations!M73,Calculations!N73,Calculations!Q73,'Reaction Information'!$C$66,'Reaction Information'!$P$66*10^5,'Reaction Information'!$Q$66)*Calculations!$U73*10^-6 + (1/$S73 - 1)*calculate_domegadP(Calculations!M73,Calculations!N73,Calculations!Q73,'Reaction Information'!$C$66,'Reaction Information'!$P$66*10^5,'Reaction Information'!$Q$66,$D$20,$D$19=3))*41.84)</f>
        <v>#N/A</v>
      </c>
      <c r="CF73" s="31">
        <f>(BS73*Input!$AO$4+BT73*Input!$AR$4+BU73*Input!$AU$4+BV73*Input!$AX$4+IF(ISNA(BW73),0,BW73*Input!$BA$4)+IF(ISNA(BX73),0,BX73*Input!$BD$4)+IF(ISNA(BY73),0,BY73*Input!$BG$4)+IF(ISNA(BZ73),0,BZ73*Input!$BJ$4)+IF(ISNA(CA73),0,CA73*Input!$BM$4)+IF(ISNA(CB73),0,CB73*Input!$BP$4)+IF(ISNA(CC73),0,CC73*Input!$BS$4)+IF(ISNA(CD73),0,CD73*Input!$BV$4)+IF(ISNA(CE73),0,CE73*Input!$BY$4))-(BF73*Input!$B$4+BG73*Input!$E$4+BH73*Input!$H$4+BI73*Input!$K$4+IF(ISNA(BJ73),0,BJ73*Input!$N$4)+IF(ISNA(BK73),0,BK73*Input!$Q$4)+IF(ISNA(BL73),0,BL73*Input!$T$4)+IF(ISNA(BM73),0,BM73*Input!$W$4)+IF(ISNA(BN73),0,BN73*Input!$Z$4)+IF(ISNA(BO73),0,BO73*Input!$AC$4)+IF(ISNA(BP73),0,BP73*Input!$AF$4)+IF(ISNA(BQ73),0,BQ73*Input!$AI$4)+IF(ISNA(BR73),0,BR73*Input!$AL$4))</f>
        <v>-15.950733991889795</v>
      </c>
      <c r="CG73" s="1">
        <f t="shared" si="31"/>
        <v>650</v>
      </c>
      <c r="CH73" s="46">
        <f t="shared" si="32"/>
        <v>25000</v>
      </c>
      <c r="CI73" s="1"/>
    </row>
    <row r="74" spans="1:87" x14ac:dyDescent="0.2">
      <c r="A74" s="1"/>
      <c r="E74" s="1"/>
      <c r="F74" s="2">
        <v>69</v>
      </c>
      <c r="G74" s="1" t="str">
        <f>IF(ISBLANK(Input!CB74), "", Input!CB74*1000)</f>
        <v/>
      </c>
      <c r="H74" s="1" t="str">
        <f>IF(ISBLANK(Input!CC74), "", Input!CC74)</f>
        <v/>
      </c>
      <c r="I74" s="1">
        <f>IF(Input!$CF$5 + Input!$CF$6*(FLOOR((Calculations!$F74-1)/(FLOOR((Input!$CF$12-Input!$CF$10)/Input!$CF$11,1)+1),1)) &gt; Input!$CF$7, "", (Input!$CF$5 + Input!$CF$6*(FLOOR((Calculations!$F74-1)/(FLOOR((Input!$CF$12-Input!$CF$10)/Input!$CF$11,1)+1),1)))*1000)</f>
        <v>25000</v>
      </c>
      <c r="J74" s="1">
        <f>IF(Calculations!I74 = "", "", Input!$CF$10 + Input!$CF$11*(Calculations!$F74-1) - (FLOOR((Input!$CF$12-Input!$CF$10)/Input!$CF$11,1)+1)*Input!$CF$11*FLOOR((Calculations!$F74-1)/(FLOOR((Input!$CF$12-Input!$CF$10)/Input!$CF$11,1)+1),1))</f>
        <v>700</v>
      </c>
      <c r="K74" s="8" t="str">
        <f t="shared" si="33"/>
        <v/>
      </c>
      <c r="L74" s="117" t="str">
        <f>IF(OR(Input!$CJ$5 + Input!$CJ$6*(Calculations!F74-1) &gt; Input!$CJ$7, Input!$CJ$5 + Input!$CJ$6*(Calculations!F74-1) &gt; 350), "", Input!$CJ$5 + Input!$CJ$6*(Calculations!F74-1))</f>
        <v/>
      </c>
      <c r="M74" s="1">
        <f t="shared" si="23"/>
        <v>25000</v>
      </c>
      <c r="N74" s="1">
        <f t="shared" si="24"/>
        <v>700</v>
      </c>
      <c r="O74" s="1">
        <f t="shared" si="19"/>
        <v>973.15</v>
      </c>
      <c r="P74" s="1" t="e">
        <f>IF(OR($D$20=3,AND($D$21=TRUE,M74&lt;1000)),INDEX('Water Density'!$C$6:$CX$120,MATCH(Calculations!N74,'Water Density'!$B$6:$B$120),MATCH(Calculations!M74/1000,'Water Density'!$C$5:$CX$5)),NA())</f>
        <v>#N/A</v>
      </c>
      <c r="Q74" s="182">
        <f>IF(OR($D$20=3,AND($D$21=TRUE,M74&lt;1000)), IF(P74&lt;&gt;0,P74,NA()), calculateDensity(M74,N74,$D$20,0.01,$D$19 = 3))</f>
        <v>1.1563074692511557</v>
      </c>
      <c r="R74" s="1" t="e">
        <f>IF($D$22=5,INDEX('Dielectric Constant'!$C$6:$CX$120,MATCH(Calculations!N74,'Dielectric Constant'!$B$6:$B$120),MATCH(Calculations!M74/1000,'Dielectric Constant'!$C$5:$CX$5)),NA())</f>
        <v>#N/A</v>
      </c>
      <c r="S74" s="58">
        <f>IF($D$22=5, IF(R74&lt;&gt;0,R74,NA()), IF(AND($D$23,M74&lt;=5000,$D$19 &lt;&gt; 3),calculateEpsilon(Q74,N74,1,FALSE),calculateEpsilon(Q74,N74,$D$22,$D$19 = 3)))</f>
        <v>21.864278792917894</v>
      </c>
      <c r="T74" s="1" t="e">
        <f>IF($D$24=3,INDEX('Water Free Energy'!$C$6:$CX$120,MATCH(Calculations!N74,'Water Free Energy'!$B$6:$B$120),MATCH(Calculations!M74/1000,'Water Free Energy'!$C$5:$CX$5)),NA())</f>
        <v>#N/A</v>
      </c>
      <c r="U74" s="179">
        <f>IF($D$27,calculateQ(M74,N74,Q74,$D$20,$D$22,$D$19=3)*10^6,NA())</f>
        <v>0.39026376303783011</v>
      </c>
      <c r="V74"/>
      <c r="W74" s="2">
        <f t="shared" si="25"/>
        <v>25000</v>
      </c>
      <c r="X74" s="1">
        <f t="shared" si="26"/>
        <v>700</v>
      </c>
      <c r="Y74" s="1">
        <f>Results!F76</f>
        <v>0</v>
      </c>
      <c r="Z74" s="1">
        <f>Results!G76</f>
        <v>0</v>
      </c>
      <c r="AA74" s="1">
        <f>Results!H76</f>
        <v>0</v>
      </c>
      <c r="AB74" s="1">
        <f>Results!I76</f>
        <v>0</v>
      </c>
      <c r="AC74" s="1" t="e">
        <f>IF(ISBLANK(Input!$O$4),NA(),'Reaction Information'!$E$5-'Reaction Information'!$G$5*(Calculations!$O74-Calculations!$C$8)+'Reaction Information'!$I$5*(Calculations!$O74-Calculations!$C$8-Calculations!$O74*LN(Calculations!$O74/Calculations!$C$8))+'Reaction Information'!$J$5*0.001/2*(2*Calculations!$O74*Calculations!$C$8-Calculations!$O74^2-Calculations!$C$8^2) + 'Reaction Information'!$K$5*100000*(Calculations!$O74^2 + Calculations!$C$8^2 - 2*Calculations!$O74*Calculations!$C$8)/(2*Calculations!$O74*Calculations!$C$8^2))</f>
        <v>#N/A</v>
      </c>
      <c r="AD74" s="8" t="e">
        <f>IF(ISBLANK(Input!$R$4),NA(),'Reaction Information'!$E$9-'Reaction Information'!$G$9*(Calculations!$O74-Calculations!$C$8)+'Reaction Information'!$I$9*(Calculations!$O74-Calculations!$C$8-Calculations!$O74*LN(Calculations!$O74/Calculations!$C$8))+'Reaction Information'!$J$9*0.001/2*(2*Calculations!$O74*Calculations!$C$8-Calculations!$O74^2-Calculations!$C$8^2) + 'Reaction Information'!$K$9*100000*(Calculations!$O74^2 + Calculations!$C$8^2 - 2*Calculations!$O74*Calculations!$C$8)/(2*Calculations!$O74*Calculations!$C$8^2))</f>
        <v>#N/A</v>
      </c>
      <c r="AE74" s="8">
        <f>IF(AE$5="H2O",IF($D$24=3,IF(T74=0,NA(),T74),calculateGibbsOfWater(M74,N74,$D$24,$D$20,$D$19=3)),NA())</f>
        <v>-64355.731264028102</v>
      </c>
      <c r="AF74" s="8">
        <f>IF(ISBLANK(Input!$X$4),NA(),'Reaction Information'!$E$13-'Reaction Information'!$G$13*(Calculations!O74-Calculations!$C$8)-'Reaction Information'!$N$13*(Calculations!O74*LN(Calculations!O74/Calculations!$C$8)-Calculations!O74+Calculations!$C$8)-'Reaction Information'!$O$13*10^4*(((1/(Calculations!O74-Calculations!$C$13))-(1/(Calculations!$C$8-Calculations!$C$13)))*((Calculations!$C$13-Calculations!O74)/(Calculations!$C$13))-(Calculations!O74/(Calculations!$C$13*Calculations!$C$13))*LN((Calculations!$C$8*(Calculations!O74-Calculations!$C$13))/(Calculations!O74*(Calculations!$C$8-Calculations!$C$13))))+'Reaction Information'!$J$13*10^-1*(Calculations!M74-Calculations!$C$9)+'Reaction Information'!$K$13*10^2*LN((Calculations!$C$12+Calculations!M74)/(Calculations!$C$12+Calculations!$C$9))+(1/(Calculations!O74-Calculations!$C$13))*('Reaction Information'!$L$13*(Calculations!M74-Calculations!$C$9)+'Reaction Information'!$M$13*10^4*LN((Calculations!$C$12+Calculations!M74)/(Calculations!$C$12+Calculations!$C$9)))+calculateOmega(Calculations!M74,Calculations!N74,Calculations!Q74,'Reaction Information'!$C$13,'Reaction Information'!$P$13*10^5,'Reaction Information'!$Q$13)*((1/Calculations!S74)-1)-'Reaction Information'!$P$13*10^5*((1/Calculations!$C$10)-1)+'Reaction Information'!$P$13*10^5*Calculations!$C$14*(Calculations!O74-Calculations!$C$8))</f>
        <v>-102132.27356733153</v>
      </c>
      <c r="AG74" s="8" t="e">
        <f>IF(ISBLANK(Input!$AA$4),NA(),'Reaction Information'!$E$17-'Reaction Information'!$G$17*(Calculations!$O74-Calculations!$C$8)-'Reaction Information'!$N$17*(Calculations!$O74*LN(Calculations!$O74/Calculations!$C$8)-Calculations!$O74+Calculations!$C$8)-'Reaction Information'!$O$17*10^4*(((1/(Calculations!$O74-Calculations!$C$13))-(1/(Calculations!$C$8-Calculations!$C$13)))*((Calculations!$C$13-Calculations!$O74)/(Calculations!$C$13))-(Calculations!$O74/(Calculations!$C$13*Calculations!$C$13))*LN((Calculations!$C$8*(Calculations!$O74-Calculations!$C$13))/(Calculations!$O74*(Calculations!$C$8-Calculations!$C$13))))+'Reaction Information'!$J$17*10^-1*(Calculations!$M74-Calculations!$C$9)+'Reaction Information'!$K$17*10^2*LN((Calculations!$C$12+Calculations!$M74)/(Calculations!$C$12+Calculations!$C$9))+(1/(Calculations!$O74-Calculations!$C$13))*('Reaction Information'!$L$17*(Calculations!$M74-Calculations!$C$9)+'Reaction Information'!$M$17*10^4*LN((Calculations!$C$12+Calculations!$M74)/(Calculations!$C$12+Calculations!$C$9)))+calculateOmega(Calculations!M74,Calculations!N74,Calculations!Q74,'Reaction Information'!$C$17,'Reaction Information'!$P$17*10^5,'Reaction Information'!$Q$17)*((1/Calculations!$S74)-1)-'Reaction Information'!$P$17*10^5*((1/Calculations!$C$10)-1)+'Reaction Information'!$P$17*10^5*Calculations!$C$14*(Calculations!$O74-Calculations!$C$8))</f>
        <v>#N/A</v>
      </c>
      <c r="AH74" s="8" t="e">
        <f>IF(ISBLANK(Input!$AD$4),NA(),'Reaction Information'!$E$21-'Reaction Information'!$G$21*(Calculations!$O74-Calculations!$C$8)-'Reaction Information'!$N$21*(Calculations!$O74*LN(Calculations!$O74/Calculations!$C$8)-Calculations!$O74+Calculations!$C$8)-'Reaction Information'!$O$21*10^4*(((1/(Calculations!$O74-Calculations!$C$13))-(1/(Calculations!$C$8-Calculations!$C$13)))*((Calculations!$C$13-Calculations!$O74)/(Calculations!$C$13))-(Calculations!$O74/(Calculations!$C$13*Calculations!$C$13))*LN((Calculations!$C$8*(Calculations!$O74-Calculations!$C$13))/(Calculations!$O74*(Calculations!$C$8-Calculations!$C$13))))+'Reaction Information'!$J$21*10^-1*(Calculations!$M74-Calculations!$C$9)+'Reaction Information'!$K$21*10^2*LN((Calculations!$C$12+Calculations!$M74)/(Calculations!$C$12+Calculations!$C$9))+(1/(Calculations!$O74-Calculations!$C$13))*('Reaction Information'!$L$21*(Calculations!$M74-Calculations!$C$9)+'Reaction Information'!$M$21*10^4*LN((Calculations!$C$12+Calculations!$M74)/(Calculations!$C$12+Calculations!$C$9)))+calculateOmega(Calculations!M74,Calculations!N74,Calculations!Q74,'Reaction Information'!$C$21,'Reaction Information'!$P$21*10^5,'Reaction Information'!$Q$21)*((1/Calculations!$S74)-1)-'Reaction Information'!$P$21*10^5*((1/Calculations!$C$10)-1)+'Reaction Information'!$P$21*10^5*Calculations!$C$14*(Calculations!$O74-Calculations!$C$8))</f>
        <v>#N/A</v>
      </c>
      <c r="AI74" s="8" t="e">
        <f>IF(ISBLANK(Input!$AG$4),NA(),'Reaction Information'!$E$25-'Reaction Information'!$G$25*(Calculations!$O74-Calculations!$C$8)-'Reaction Information'!$N$25*(Calculations!$O74*LN(Calculations!$O74/Calculations!$C$8)-Calculations!$O74+Calculations!$C$8)-'Reaction Information'!$O$25*10^4*(((1/(Calculations!$O74-Calculations!$C$13))-(1/(Calculations!$C$8-Calculations!$C$13)))*((Calculations!$C$13-Calculations!$O74)/(Calculations!$C$13))-(Calculations!$O74/(Calculations!$C$13*Calculations!$C$13))*LN((Calculations!$C$8*(Calculations!$O74-Calculations!$C$13))/(Calculations!$O74*(Calculations!$C$8-Calculations!$C$13))))+'Reaction Information'!$J$25*10^-1*(Calculations!$M74-Calculations!$C$9)+'Reaction Information'!$K$25*10^2*LN((Calculations!$C$12+Calculations!$M74)/(Calculations!$C$12+Calculations!$C$9))+(1/(Calculations!$O74-Calculations!$C$13))*('Reaction Information'!$L$25*(Calculations!$M74-Calculations!$C$9)+'Reaction Information'!$M$25*10^4*LN((Calculations!$C$12+Calculations!$M74)/(Calculations!$C$12+Calculations!$C$9)))+calculateOmega(Calculations!M74,Calculations!N74,Calculations!Q74,'Reaction Information'!$C$25,'Reaction Information'!$P$25*10^5,'Reaction Information'!$Q$25)*((1/Calculations!$S74)-1)-'Reaction Information'!$P$25*10^5*((1/Calculations!$C$10)-1)+'Reaction Information'!$P$25*10^5*Calculations!$C$14*(Calculations!$O74-Calculations!$C$8))</f>
        <v>#N/A</v>
      </c>
      <c r="AJ74" s="8" t="e">
        <f>IF(ISBLANK(Input!$AJ$4),NA(),'Reaction Information'!$E$29-'Reaction Information'!$G$29*(Calculations!$O74-Calculations!$C$8)-'Reaction Information'!$N$29*(Calculations!$O74*LN(Calculations!$O74/Calculations!$C$8)-Calculations!$O74+Calculations!$C$8)-'Reaction Information'!$O$29*10^4*(((1/(Calculations!$O74-Calculations!$C$13))-(1/(Calculations!$C$8-Calculations!$C$13)))*((Calculations!$C$13-Calculations!$O74)/(Calculations!$C$13))-(Calculations!$O74/(Calculations!$C$13*Calculations!$C$13))*LN((Calculations!$C$8*(Calculations!$O74-Calculations!$C$13))/(Calculations!$O74*(Calculations!$C$8-Calculations!$C$13))))+'Reaction Information'!$J$29*10^-1*(Calculations!$M74-Calculations!$C$9)+'Reaction Information'!$K$29*10^2*LN((Calculations!$C$12+Calculations!$M74)/(Calculations!$C$12+Calculations!$C$9))+(1/(Calculations!$O74-Calculations!$C$13))*('Reaction Information'!$L$29*(Calculations!$M74-Calculations!$C$9)+'Reaction Information'!$M$29*10^4*LN((Calculations!$C$12+Calculations!$M74)/(Calculations!$C$12+Calculations!$C$9)))+calculateOmega(Calculations!M74,Calculations!N74,Calculations!Q74,'Reaction Information'!$C$29,'Reaction Information'!$P$29*10^5,'Reaction Information'!$Q$29)*((1/Calculations!$S74)-1)-'Reaction Information'!$P$29*10^5*((1/Calculations!$C$10)-1)+'Reaction Information'!$P$29*10^5*Calculations!$C$14*(Calculations!$O74-Calculations!$C$8))</f>
        <v>#N/A</v>
      </c>
      <c r="AK74" s="8" t="e">
        <f>IF(ISBLANK(Input!$AM$4),NA(),'Reaction Information'!$E$33-'Reaction Information'!$G$33*(Calculations!$O74-Calculations!$C$8)-'Reaction Information'!$N$33*(Calculations!$O74*LN(Calculations!$O74/Calculations!$C$8)-Calculations!$O74+Calculations!$C$8)-'Reaction Information'!$O$33*10^4*(((1/(Calculations!$O74-Calculations!$C$13))-(1/(Calculations!$C$8-Calculations!$C$13)))*((Calculations!$C$13-Calculations!$O74)/(Calculations!$C$13))-(Calculations!$O74/(Calculations!$C$13*Calculations!$C$13))*LN((Calculations!$C$8*(Calculations!$O74-Calculations!$C$13))/(Calculations!$O74*(Calculations!$C$8-Calculations!$C$13))))+'Reaction Information'!$J$33*10^-1*(Calculations!$M74-Calculations!$C$9)+'Reaction Information'!$K$33*10^2*LN((Calculations!$C$12+Calculations!$M74)/(Calculations!$C$12+Calculations!$C$9))+(1/(Calculations!$O74-Calculations!$C$13))*('Reaction Information'!$L$33*(Calculations!$M74-Calculations!$C$9)+'Reaction Information'!$M$33*10^4*LN((Calculations!$C$12+Calculations!$M74)/(Calculations!$C$12+Calculations!$C$9)))+calculateOmega(Calculations!M74,Calculations!N74,Calculations!Q74,'Reaction Information'!$C$33,'Reaction Information'!$P$33*10^5,'Reaction Information'!$Q$33)*((1/Calculations!$S74)-1)-'Reaction Information'!$P$33*10^5*((1/Calculations!$C$10)-1)+'Reaction Information'!$P$33*10^5*Calculations!$C$14*(Calculations!$O74-Calculations!$C$8))</f>
        <v>#N/A</v>
      </c>
      <c r="AL74" s="1">
        <f>Results!S76</f>
        <v>0</v>
      </c>
      <c r="AM74" s="1">
        <f>Results!T76</f>
        <v>0</v>
      </c>
      <c r="AN74" s="1">
        <f>Results!U76</f>
        <v>0</v>
      </c>
      <c r="AO74" s="1">
        <f>Results!V76</f>
        <v>0</v>
      </c>
      <c r="AP74" s="8" t="e">
        <f>IF(ISBLANK(Input!$BB$4),NA(),'Reaction Information'!$E$38-'Reaction Information'!$G$38*(Calculations!$O74-Calculations!$C$8)+'Reaction Information'!$I$38*(Calculations!$O74-Calculations!$C$8-Calculations!$O74*LN(Calculations!$O74/Calculations!$C$8))+'Reaction Information'!$J$38*0.001/2*(2*Calculations!$O74*Calculations!$C$8-Calculations!$O74^2-Calculations!$C$8^2) + 'Reaction Information'!$K$38*100000*(Calculations!$O74^2 + Calculations!$C$8^2 - 2*Calculations!$O74*Calculations!$C$8)/(2*Calculations!$O74*Calculations!$C$8^2))</f>
        <v>#N/A</v>
      </c>
      <c r="AQ74" s="8" t="e">
        <f>IF(ISBLANK(Input!$BE$4),NA(),'Reaction Information'!$E$42-'Reaction Information'!$G$42*(Calculations!$O74-Calculations!$C$8)+'Reaction Information'!$I$42*(Calculations!$O74-Calculations!$C$8-Calculations!$O74*LN(Calculations!$O74/Calculations!$C$8))+'Reaction Information'!$J$42*0.001/2*(2*Calculations!$O74*Calculations!$C$8-Calculations!$O74^2-Calculations!$C$8^2) + 'Reaction Information'!$K$42*100000*(Calculations!$O74^2 + Calculations!$C$8^2 - 2*Calculations!$O74*Calculations!$C$8)/(2*Calculations!$O74*Calculations!$C$8^2))</f>
        <v>#N/A</v>
      </c>
      <c r="AR74" s="8" t="e">
        <f>IF(AR$5="H2O", IF($D$24=3,IF(T74=0,NA(),T74),calculateGibbsOfWater(M74,N74,$D$24,$D$20,$D$19=3)),NA())</f>
        <v>#N/A</v>
      </c>
      <c r="AS74" s="8">
        <f>IF(ISBLANK(Input!$BK$4),NA(),'Reaction Information'!$E$46-'Reaction Information'!$G$46*(Calculations!O74-Calculations!$C$8)-'Reaction Information'!$N$46*(Calculations!O74*LN(Calculations!O74/Calculations!$C$8)-Calculations!O74+Calculations!$C$8)-'Reaction Information'!$O$46*10^4*(((1/(Calculations!O74-Calculations!$C$13))-(1/(Calculations!$C$8-Calculations!$C$13)))*((Calculations!$C$13-Calculations!O74)/(Calculations!$C$13))-(Calculations!O74/(Calculations!$C$13*Calculations!$C$13))*LN((Calculations!$C$8*(Calculations!O74-Calculations!$C$13))/(Calculations!O74*(Calculations!$C$8-Calculations!$C$13))))+'Reaction Information'!$J$46*10^-1*(Calculations!$M74-Calculations!$C$9)+'Reaction Information'!$K$46*10^2*LN((Calculations!$C$12+Calculations!$M74)/(Calculations!$C$12+Calculations!$C$9))+(1/(Calculations!O74-Calculations!$C$13))*('Reaction Information'!$L$46*(Calculations!$M74-Calculations!$C$9)+'Reaction Information'!$M$46*10^4*LN((Calculations!$C$12+Calculations!$M74)/(Calculations!$C$12+Calculations!$C$9)))+calculateOmega(Calculations!M74,Calculations!N74,Calculations!Q74,'Reaction Information'!$C$46,'Reaction Information'!$P$46*10^5,'Reaction Information'!$Q$46)*((1/Calculations!S74)-1)-'Reaction Information'!$P$46*10^5*((1/Calculations!$C$10)-1)+'Reaction Information'!$P$46*10^5*Calculations!$C$14*(Calculations!O74-Calculations!$C$8))</f>
        <v>0</v>
      </c>
      <c r="AT74" s="8">
        <f>IF(ISBLANK(Input!$BN$4),NA(),'Reaction Information'!$E$50-'Reaction Information'!$G$50*(Calculations!O74-Calculations!$C$8)-'Reaction Information'!$N$50*(Calculations!O74*LN(Calculations!O74/Calculations!$C$8)-Calculations!O74+Calculations!$C$8)-'Reaction Information'!$O$50*10^4*(((1/(Calculations!O74-Calculations!$C$13))-(1/(Calculations!$C$8-Calculations!$C$13)))*((Calculations!$C$13-Calculations!O74)/(Calculations!$C$13))-(Calculations!O74/(Calculations!$C$13*Calculations!$C$13))*LN((Calculations!$C$8*(Calculations!O74-Calculations!$C$13))/(Calculations!O74*(Calculations!$C$8-Calculations!$C$13))))+'Reaction Information'!$J$50*10^-1*(Calculations!$M74-Calculations!$C$9)+'Reaction Information'!$K$50*10^2*LN((Calculations!$C$12+Calculations!$M74)/(Calculations!$C$12+Calculations!$C$9))+(1/(Calculations!O74-Calculations!$C$13))*('Reaction Information'!$L$50*(Calculations!$M74-Calculations!$C$9)+'Reaction Information'!$M$50*10^4*LN((Calculations!$C$12+Calculations!$M74)/(Calculations!$C$12+Calculations!$C$9)))+calculateOmega(Calculations!M74,Calculations!N74,Calculations!Q74,'Reaction Information'!$C$50,'Reaction Information'!$P$50*10^5,'Reaction Information'!$Q$50)*((1/Calculations!S74)-1)-'Reaction Information'!$P$50*10^5*((1/Calculations!$C$10)-1)+'Reaction Information'!$P$50*10^5*Calculations!$C$14*(Calculations!O74-Calculations!$C$8))</f>
        <v>-142148.97595047278</v>
      </c>
      <c r="AU74" s="8" t="e">
        <f>IF(ISBLANK(Input!$BQ$4),NA(),'Reaction Information'!$E$54-'Reaction Information'!$G$54*(Calculations!$O74-Calculations!$C$8)-'Reaction Information'!$N$54*(Calculations!$O74*LN(Calculations!$O74/Calculations!$C$8)-Calculations!$O74+Calculations!$C$8)-'Reaction Information'!$O$54*10^4*(((1/(Calculations!$O74-Calculations!$C$13))-(1/(Calculations!$C$8-Calculations!$C$13)))*((Calculations!$C$13-Calculations!$O74)/(Calculations!$C$13))-(Calculations!$O74/(Calculations!$C$13*Calculations!$C$13))*LN((Calculations!$C$8*(Calculations!$O74-Calculations!$C$13))/(Calculations!$O74*(Calculations!$C$8-Calculations!$C$13))))+'Reaction Information'!$J$54*10^-1*(Calculations!$M74-Calculations!$C$9)+'Reaction Information'!$K$54*10^2*LN((Calculations!$C$12+Calculations!$M74)/(Calculations!$C$12+Calculations!$C$9))+(1/(Calculations!$O74-Calculations!$C$13))*('Reaction Information'!$L$54*(Calculations!$M74-Calculations!$C$9)+'Reaction Information'!$M$54*10^4*LN((Calculations!$C$12+Calculations!$M74)/(Calculations!$C$12+Calculations!$C$9)))+calculateOmega(Calculations!M74,Calculations!N74,Calculations!Q74,'Reaction Information'!$C$54,'Reaction Information'!$P$54*10^5,'Reaction Information'!$Q$54)*((1/Calculations!$S74)-1)-'Reaction Information'!$P$54*10^5*((1/Calculations!$C$10)-1)+'Reaction Information'!$P$54*10^5*Calculations!$C$14*(Calculations!$O74-Calculations!$C$8))</f>
        <v>#N/A</v>
      </c>
      <c r="AV74" s="8" t="e">
        <f>IF(ISBLANK(Input!$BT$4),NA(),'Reaction Information'!$E$58-'Reaction Information'!$G$58*(Calculations!$O74-Calculations!$C$8)-'Reaction Information'!$N$58*(Calculations!$O74*LN(Calculations!$O74/Calculations!$C$8)-Calculations!$O74+Calculations!$C$8)-'Reaction Information'!$O$58*10^4*(((1/(Calculations!$O74-Calculations!$C$13))-(1/(Calculations!$C$8-Calculations!$C$13)))*((Calculations!$C$13-Calculations!$O74)/(Calculations!$C$13))-(Calculations!$O74/(Calculations!$C$13*Calculations!$C$13))*LN((Calculations!$C$8*(Calculations!$O74-Calculations!$C$13))/(Calculations!$O74*(Calculations!$C$8-Calculations!$C$13))))+'Reaction Information'!$J$58*10^-1*(Calculations!$M74-Calculations!$C$9)+'Reaction Information'!$K$58*10^2*LN((Calculations!$C$12+Calculations!$M74)/(Calculations!$C$12+Calculations!$C$9))+(1/(Calculations!$O74-Calculations!$C$13))*('Reaction Information'!$L$58*(Calculations!$M74-Calculations!$C$9)+'Reaction Information'!$M$58*10^4*LN((Calculations!$C$12+Calculations!$M74)/(Calculations!$C$12+Calculations!$C$9)))+calculateOmega(Calculations!M74,Calculations!N74,Calculations!Q74,'Reaction Information'!$C$58,'Reaction Information'!$P$58*10^5,'Reaction Information'!$Q$58)*((1/Calculations!$S74)-1)-'Reaction Information'!$P$58*10^5*((1/Calculations!$C$10)-1)+'Reaction Information'!$P$58*10^5*Calculations!$C$14*(Calculations!$O74-Calculations!$C$8))</f>
        <v>#N/A</v>
      </c>
      <c r="AW74" s="8" t="e">
        <f>IF(ISBLANK(Input!$BW$4),NA(),'Reaction Information'!$E$62-'Reaction Information'!$G$62*(Calculations!$O74-Calculations!$C$8)-'Reaction Information'!$N$62*(Calculations!$O74*LN(Calculations!$O74/Calculations!$C$8)-Calculations!$O74+Calculations!$C$8)-'Reaction Information'!$O$62*10^4*(((1/(Calculations!$O74-Calculations!$C$13))-(1/(Calculations!$C$8-Calculations!$C$13)))*((Calculations!$C$13-Calculations!$O74)/(Calculations!$C$13))-(Calculations!$O74/(Calculations!$C$13*Calculations!$C$13))*LN((Calculations!$C$8*(Calculations!$O74-Calculations!$C$13))/(Calculations!$O74*(Calculations!$C$8-Calculations!$C$13))))+'Reaction Information'!$J$62*10^-1*(Calculations!$M74-Calculations!$C$9)+'Reaction Information'!$K$62*10^2*LN((Calculations!$C$12+Calculations!$M74)/(Calculations!$C$12+Calculations!$C$9))+(1/(Calculations!$O74-Calculations!$C$13))*('Reaction Information'!$L$62*(Calculations!$M74-Calculations!$C$9)+'Reaction Information'!$M$62*10^4*LN((Calculations!$C$12+Calculations!$M74)/(Calculations!$C$12+Calculations!$C$9)))+calculateOmega(Calculations!M74,Calculations!N74,Calculations!Q74,'Reaction Information'!$C$62,'Reaction Information'!$P$62*10^5,'Reaction Information'!$Q$62)*((1/Calculations!$S74)-1)-'Reaction Information'!$P$62*10^5*((1/Calculations!$C$10)-1)+'Reaction Information'!$P$62*10^5*Calculations!$C$14*(Calculations!$O74-Calculations!$C$8))</f>
        <v>#N/A</v>
      </c>
      <c r="AX74" s="8" t="e">
        <f>IF(ISBLANK(Input!$BZ$4),NA(),'Reaction Information'!$E$66-'Reaction Information'!$G$66*(Calculations!$O74-Calculations!$C$8)-'Reaction Information'!$N$66*(Calculations!$O74*LN(Calculations!$O74/Calculations!$C$8)-Calculations!$O74+Calculations!$C$8)-'Reaction Information'!$O$66*10^4*(((1/(Calculations!$O74-Calculations!$C$13))-(1/(Calculations!$C$8-Calculations!$C$13)))*((Calculations!$C$13-Calculations!$O74)/(Calculations!$C$13))-(Calculations!$O74/(Calculations!$C$13*Calculations!$C$13))*LN((Calculations!$C$8*(Calculations!$O74-Calculations!$C$13))/(Calculations!$O74*(Calculations!$C$8-Calculations!$C$13))))+'Reaction Information'!$J$66*10^-1*(Calculations!$M74-Calculations!$C$9)+'Reaction Information'!$K$66*10^2*LN((Calculations!$C$12+Calculations!$M74)/(Calculations!$C$12+Calculations!$C$9))+(1/(Calculations!$O74-Calculations!$C$13))*('Reaction Information'!$L$66*(Calculations!$M74-Calculations!$C$9)+'Reaction Information'!$M$66*10^4*LN((Calculations!$C$12+Calculations!$M74)/(Calculations!$C$12+Calculations!$C$9)))+calculateOmega(Calculations!M74,Calculations!N74,Calculations!Q74,'Reaction Information'!$C$66,'Reaction Information'!$P$66*10^5,'Reaction Information'!$Q$66)*((1/Calculations!$S74)-1)-'Reaction Information'!$P$66*10^5*((1/Calculations!$C$10)-1)+'Reaction Information'!$P$66*10^5*Calculations!$C$14*(Calculations!$O74-Calculations!$C$8))</f>
        <v>#N/A</v>
      </c>
      <c r="AY74" s="31">
        <f>(AL74*Input!$AO$4+AM74*Input!$AR$4+AN74*Input!$AU$4+AO74*Input!$AX$4+IF(ISNA(AP74),0,AP74*Input!$BA$4)+IF(ISNA(AQ74),0,AQ74*Input!$BD$4)+IF(ISNA(AR74),0,AR74*Input!$BG$4)+IF(ISNA(AS74),0,AS74*Input!$BJ$4)+IF(ISNA(AT74),0,AT74*Input!$BM$4)+IF(ISNA(AU74),0,AU74*Input!$BP$4)+IF(ISNA(AV74),0,AV74*Input!$BS$4)+IF(ISNA(AW74),0,AW74*Input!$BV$4)+IF(ISNA(AX74),0,AX74*Input!$BY$4))-(Y74*Input!$B$4+Z74*Input!$E$4+AA74*Input!$H$4+AB74*Input!$K$4+IF(ISNA(AC74),0,AC74*Input!$N$4)+IF(ISNA(AD74),0,AD74*Input!$Q$4)+IF(ISNA(AE74),0,AE74*Input!$T$4)+IF(ISNA(AF74),0,AF74*Input!$W$4)+IF(ISNA(AG74),0,AG74*Input!$Z$4)+IF(ISNA(AH74),0,AH74*Input!$AC$4)+IF(ISNA(AI74),0,AI74*Input!$AF$4)+IF(ISNA(AJ74),0,AJ74*Input!$AI$4)+IF(ISNA(AK74),0,AK74*Input!$AL$4))</f>
        <v>24339.02888088685</v>
      </c>
      <c r="AZ74" s="42">
        <f t="shared" si="20"/>
        <v>-5.469597049460833</v>
      </c>
      <c r="BA74" s="1">
        <f t="shared" si="27"/>
        <v>700</v>
      </c>
      <c r="BB74" s="46">
        <f t="shared" si="28"/>
        <v>25000</v>
      </c>
      <c r="BC74" s="1"/>
      <c r="BD74" s="2">
        <f t="shared" si="29"/>
        <v>25000</v>
      </c>
      <c r="BE74" s="46">
        <f t="shared" si="30"/>
        <v>700</v>
      </c>
      <c r="BF74" s="1">
        <f>Results!AJ76</f>
        <v>0</v>
      </c>
      <c r="BG74" s="1">
        <f>Results!AK76</f>
        <v>0</v>
      </c>
      <c r="BH74" s="1">
        <f>Results!AL76</f>
        <v>0</v>
      </c>
      <c r="BI74" s="1">
        <f>Results!AM76</f>
        <v>0</v>
      </c>
      <c r="BJ74" s="1" t="e">
        <f>IF(OR(ISNA('Reaction Information'!$D$5), $N74 = "", $D$27 = FALSE, 'Reaction Information'!$D$5 = ""), NA(), 24.465)</f>
        <v>#N/A</v>
      </c>
      <c r="BK74" s="1" t="e">
        <f>IF(OR(ISNA('Reaction Information'!$D$9), $N74 = "", $D$27 = FALSE, 'Reaction Information'!$D$9 = ""), NA(), 24.465)</f>
        <v>#N/A</v>
      </c>
      <c r="BL74" s="8">
        <f t="shared" si="21"/>
        <v>15.580008327427826</v>
      </c>
      <c r="BM74" s="8">
        <f>IF(OR(ISBLANK(Input!$X$4),$D$27=FALSE),NA(),('Reaction Information'!$J$13/10+'Reaction Information'!$K$13*100/(Calculations!$C$12+Calculations!$M74)+('Reaction Information'!$L$13+'Reaction Information'!$M$13*10^4/(Calculations!$C$12+Calculations!$M74))/(Calculations!$O74-Calculations!$C$13) -calculateOmega(Calculations!$M74,Calculations!$N74,Calculations!$Q74,'Reaction Information'!$C$13,'Reaction Information'!$P$13*10^5,'Reaction Information'!$Q$13)*Calculations!$U74*10^-6 + (1/$S74 - 1)*calculate_domegadP(Calculations!$M74,Calculations!$N74,Calculations!$Q74,'Reaction Information'!$C$13,'Reaction Information'!$P$13*10^5,'Reaction Information'!$Q$13,$D$20,$D$19=3))*41.84)</f>
        <v>30.897751824176474</v>
      </c>
      <c r="BN74" s="8" t="e">
        <f>IF(OR(ISBLANK(Input!$AA$4),$D$27=FALSE),NA(),('Reaction Information'!$J$17/10+'Reaction Information'!$K$17*100/(Calculations!$C$12+Calculations!$M74)+('Reaction Information'!$L$17+'Reaction Information'!$M$17*10000/(Calculations!$C$12+Calculations!$M74))/(Calculations!$O74-Calculations!$C$13)-calculateOmega(Calculations!M74,Calculations!N74,Calculations!Q74,'Reaction Information'!$C$17,'Reaction Information'!$P$17*10^5,'Reaction Information'!$Q$17)*Calculations!$U74*10^-6 + (1/$S74 - 1)*calculate_domegadP(Calculations!M74,Calculations!N74,Calculations!Q74,'Reaction Information'!$C$17,'Reaction Information'!$P$17*10^5,'Reaction Information'!$Q$17,$D$20,$D$19=3))*41.84)</f>
        <v>#N/A</v>
      </c>
      <c r="BO74" s="8" t="e">
        <f>IF(OR(ISBLANK(Input!$AD$4),$D$27=FALSE),NA(),('Reaction Information'!$J$21/10+'Reaction Information'!$K$21*100/(Calculations!$C$12+Calculations!$M74)+('Reaction Information'!$L$21+'Reaction Information'!$M$21*10000/(Calculations!$C$12+Calculations!$M74))/(Calculations!$O74-Calculations!$C$13)-calculateOmega(Calculations!M74,Calculations!N74,Calculations!Q74,'Reaction Information'!$C$21,'Reaction Information'!$P$21*10^5,'Reaction Information'!$Q$21)*Calculations!$U74*10^-6 + (1/$S74 - 1)*calculate_domegadP(Calculations!M74,Calculations!N74,Calculations!Q74,'Reaction Information'!$C$21,'Reaction Information'!$P$21*10^5,'Reaction Information'!$Q$21,$D$20,$D$19=3))*41.84)</f>
        <v>#N/A</v>
      </c>
      <c r="BP74" s="8" t="e">
        <f>IF(OR(ISBLANK(Input!$AG$4),$D$27=FALSE),NA(),('Reaction Information'!$J$25/10+'Reaction Information'!$K$25*100/(Calculations!$C$12+Calculations!$M74)+('Reaction Information'!$L$25+'Reaction Information'!$M$25*10000/(Calculations!$C$12+Calculations!$M74))/(Calculations!$O74-Calculations!$C$13)-calculateOmega(Calculations!M74,Calculations!N74,Calculations!Q74,'Reaction Information'!$C$25,'Reaction Information'!$P$25*10^5,'Reaction Information'!$Q$25)*Calculations!$U74*10^-6 + (1/$S74 - 1)*calculate_domegadP(Calculations!M74,Calculations!N74,Calculations!Q74,'Reaction Information'!$C$25,'Reaction Information'!$P$25*10^5,'Reaction Information'!$Q$25,$D$20,$D$19=3))*41.84)</f>
        <v>#N/A</v>
      </c>
      <c r="BQ74" s="8" t="e">
        <f>IF(OR(ISBLANK(Input!$AJ$4),$D$27=FALSE),NA(),('Reaction Information'!$J$29/10+'Reaction Information'!$K$29*100/(Calculations!$C$12+Calculations!$M74)+('Reaction Information'!$L$29+'Reaction Information'!$M$29*10000/(Calculations!$C$12+Calculations!$M74))/(Calculations!$O74-Calculations!$C$13)-calculateOmega(Calculations!M74,Calculations!N74,Calculations!Q74,'Reaction Information'!$C$29,'Reaction Information'!$P$29*10^5,'Reaction Information'!$Q$29)*Calculations!$U74*10^-6 + (1/$S74 - 1)*calculate_domegadP(Calculations!M74,Calculations!N74,Calculations!Q74,'Reaction Information'!$C$29,'Reaction Information'!$P$29*10^5,'Reaction Information'!$Q$29,$D$20,$D$19=3))*41.84)</f>
        <v>#N/A</v>
      </c>
      <c r="BR74" s="8" t="e">
        <f>IF(OR(ISBLANK(Input!$AM$4),$D$27=FALSE),NA(),('Reaction Information'!$J$33/10+'Reaction Information'!$K$33*100/(Calculations!$C$12+Calculations!$M74)+('Reaction Information'!$L$33+'Reaction Information'!$M$33*10000/(Calculations!$C$12+Calculations!$M74))/(Calculations!$O74-Calculations!$C$13)-calculateOmega(Calculations!M74,Calculations!N74,Calculations!Q74,'Reaction Information'!$C$33,'Reaction Information'!$P$33*10^5,'Reaction Information'!$Q$33)*Calculations!$U74*10^-6 + (1/$S74 - 1)*calculate_domegadP(Calculations!M74,Calculations!N74,Calculations!Q74,'Reaction Information'!$C$33,'Reaction Information'!$P$33*10^5,'Reaction Information'!$Q$33,$D$20,$D$19=3))*41.84)</f>
        <v>#N/A</v>
      </c>
      <c r="BS74" s="1">
        <f>Results!AW76</f>
        <v>0</v>
      </c>
      <c r="BT74" s="1">
        <f>Results!AX76</f>
        <v>0</v>
      </c>
      <c r="BU74" s="1">
        <f>Results!AY76</f>
        <v>0</v>
      </c>
      <c r="BV74" s="1">
        <f>Results!AZ76</f>
        <v>0</v>
      </c>
      <c r="BW74" s="1" t="e">
        <f>IF(OR(ISNA('Reaction Information'!$D$38), $N74 = "", $D$27 = FALSE, 'Reaction Information'!$D$38 = ""), NA(), 24.465)</f>
        <v>#N/A</v>
      </c>
      <c r="BX74" s="1" t="e">
        <f>IF(OR(ISNA('Reaction Information'!$D$42), $N74 = "", $D$27 = FALSE, 'Reaction Information'!$D$42 = ""), NA(), 24.465)</f>
        <v>#N/A</v>
      </c>
      <c r="BY74" s="8" t="e">
        <f t="shared" si="22"/>
        <v>#N/A</v>
      </c>
      <c r="BZ74" s="8">
        <f>IF(OR(ISBLANK(Input!$BK$4),$D$27=FALSE),NA(),('Reaction Information'!$J$46/10+'Reaction Information'!$K$46*100/(Calculations!$C$12+Calculations!$M74)+('Reaction Information'!$L$46+'Reaction Information'!$M$46*10000/(Calculations!$C$12+Calculations!$M74))/(Calculations!$O74-Calculations!$C$13)-calculateOmega(Calculations!M74,Calculations!N74,Calculations!Q74,'Reaction Information'!$C$46,'Reaction Information'!$P$46*10^5,'Reaction Information'!$Q$46)*Calculations!$U74*10^-6 + (1/$S74 - 1)*calculate_domegadP(Calculations!M74,Calculations!N74,Calculations!Q74,'Reaction Information'!$C$46,'Reaction Information'!$P$46*10^5,'Reaction Information'!$Q$46,$D$20,$D$19=3))*41.84)</f>
        <v>0</v>
      </c>
      <c r="CA74" s="8">
        <f>IF(OR(ISBLANK(Input!$BN$4),$D$27=FALSE),NA(),('Reaction Information'!$J$50/10+'Reaction Information'!$K$50*100/(Calculations!$C$12+Calculations!$M74)+('Reaction Information'!$L$50+'Reaction Information'!$M$50*10000/(Calculations!$C$12+Calculations!$M74))/(Calculations!$O74-Calculations!$C$13)-calculateOmega(Calculations!M74,Calculations!N74,Calculations!Q74,'Reaction Information'!$C$50,'Reaction Information'!$P$50*10^5,'Reaction Information'!$Q$50)*Calculations!$U74*10^-6 + (1/$S74 - 1)*calculate_domegadP(Calculations!M74,Calculations!N74,Calculations!Q74,'Reaction Information'!$C$50,'Reaction Information'!$P$50*10^5,'Reaction Information'!$Q$50,$D$20,$D$19=3))*41.84)</f>
        <v>30.044260909916233</v>
      </c>
      <c r="CB74" s="8" t="e">
        <f>IF(OR(ISBLANK(Input!$BQ$4),$D$27=FALSE),NA(),('Reaction Information'!$J$54/10+'Reaction Information'!$K$54*100/(Calculations!$C$12+Calculations!$M74)+('Reaction Information'!$L$54+'Reaction Information'!$M$54*10000/(Calculations!$C$12+Calculations!$M74))/(Calculations!$O74-Calculations!$C$13)-calculateOmega(Calculations!M74,Calculations!N74,Calculations!Q74,'Reaction Information'!$C$54,'Reaction Information'!$P$54*10^5,'Reaction Information'!$Q$54)*Calculations!$U74*10^-6 + (1/$S74 - 1)*calculate_domegadP(Calculations!M74,Calculations!N74,Calculations!Q74,'Reaction Information'!$C$54,'Reaction Information'!$P$54*10^5,'Reaction Information'!$Q$54,$D$20,$D$19=3))*41.84)</f>
        <v>#N/A</v>
      </c>
      <c r="CC74" s="8" t="e">
        <f>IF(OR(ISBLANK(Input!$BT$4),$D$27=FALSE),NA(),('Reaction Information'!$J$58/10+'Reaction Information'!$K$58*100/(Calculations!$C$12+Calculations!$M74)+('Reaction Information'!$L$58+'Reaction Information'!$M$58*10000/(Calculations!$C$12+Calculations!$M74))/(Calculations!$O74-Calculations!$C$13)-calculateOmega(Calculations!M74,Calculations!N74,Calculations!Q74,'Reaction Information'!$C$58,'Reaction Information'!$P$58*10^5,'Reaction Information'!$Q$58)*Calculations!$U74*10^-6 + (1/$S74 - 1)*calculate_domegadP(Calculations!M74,Calculations!N74,Calculations!Q74,'Reaction Information'!$C$58,'Reaction Information'!$P$58*10^5,'Reaction Information'!$Q$58,$D$20,$D$19=3))*41.84)</f>
        <v>#N/A</v>
      </c>
      <c r="CD74" s="8" t="e">
        <f>IF(OR(ISBLANK(Input!$BW$4),$D$27=FALSE),NA(),('Reaction Information'!$J$62/10+'Reaction Information'!$K$62*100/(Calculations!$C$12+Calculations!$M74)+('Reaction Information'!$L$62+'Reaction Information'!$M$62*10000/(Calculations!$C$12+Calculations!$M74))/(Calculations!$O74-Calculations!$C$13)-calculateOmega(Calculations!M74,Calculations!N74,Calculations!Q74,'Reaction Information'!$C$62,'Reaction Information'!$P$62*10^5,'Reaction Information'!$Q$62)*Calculations!$U74*10^-6 + (1/$S74 - 1)*calculate_domegadP(Calculations!M74,Calculations!N74,Calculations!Q74,'Reaction Information'!$C$62,'Reaction Information'!$P$62*10^5,'Reaction Information'!$Q$62,$D$20,$D$19=3))*41.84)</f>
        <v>#N/A</v>
      </c>
      <c r="CE74" s="8" t="e">
        <f>IF(OR(ISBLANK(Input!$BZ$4),$D$27=FALSE),NA(),('Reaction Information'!$J$66/10+'Reaction Information'!$K$66*100/(Calculations!$C$12+Calculations!$M74)+('Reaction Information'!$L$66+'Reaction Information'!$M$66*10000/(Calculations!$C$12+Calculations!$M74))/(Calculations!$O74-Calculations!$C$13)-calculateOmega(Calculations!M74,Calculations!N74,Calculations!Q74,'Reaction Information'!$C$66,'Reaction Information'!$P$66*10^5,'Reaction Information'!$Q$66)*Calculations!$U74*10^-6 + (1/$S74 - 1)*calculate_domegadP(Calculations!M74,Calculations!N74,Calculations!Q74,'Reaction Information'!$C$66,'Reaction Information'!$P$66*10^5,'Reaction Information'!$Q$66,$D$20,$D$19=3))*41.84)</f>
        <v>#N/A</v>
      </c>
      <c r="CF74" s="31">
        <f>(BS74*Input!$AO$4+BT74*Input!$AR$4+BU74*Input!$AU$4+BV74*Input!$AX$4+IF(ISNA(BW74),0,BW74*Input!$BA$4)+IF(ISNA(BX74),0,BX74*Input!$BD$4)+IF(ISNA(BY74),0,BY74*Input!$BG$4)+IF(ISNA(BZ74),0,BZ74*Input!$BJ$4)+IF(ISNA(CA74),0,CA74*Input!$BM$4)+IF(ISNA(CB74),0,CB74*Input!$BP$4)+IF(ISNA(CC74),0,CC74*Input!$BS$4)+IF(ISNA(CD74),0,CD74*Input!$BV$4)+IF(ISNA(CE74),0,CE74*Input!$BY$4))-(BF74*Input!$B$4+BG74*Input!$E$4+BH74*Input!$H$4+BI74*Input!$K$4+IF(ISNA(BJ74),0,BJ74*Input!$N$4)+IF(ISNA(BK74),0,BK74*Input!$Q$4)+IF(ISNA(BL74),0,BL74*Input!$T$4)+IF(ISNA(BM74),0,BM74*Input!$W$4)+IF(ISNA(BN74),0,BN74*Input!$Z$4)+IF(ISNA(BO74),0,BO74*Input!$AC$4)+IF(ISNA(BP74),0,BP74*Input!$AF$4)+IF(ISNA(BQ74),0,BQ74*Input!$AI$4)+IF(ISNA(BR74),0,BR74*Input!$AL$4))</f>
        <v>-16.433499241688068</v>
      </c>
      <c r="CG74" s="1">
        <f t="shared" si="31"/>
        <v>700</v>
      </c>
      <c r="CH74" s="46">
        <f t="shared" si="32"/>
        <v>25000</v>
      </c>
      <c r="CI74" s="1"/>
    </row>
    <row r="75" spans="1:87" x14ac:dyDescent="0.2">
      <c r="A75" s="1"/>
      <c r="E75" s="1"/>
      <c r="F75" s="2">
        <v>70</v>
      </c>
      <c r="G75" s="1" t="str">
        <f>IF(ISBLANK(Input!CB75), "", Input!CB75*1000)</f>
        <v/>
      </c>
      <c r="H75" s="1" t="str">
        <f>IF(ISBLANK(Input!CC75), "", Input!CC75)</f>
        <v/>
      </c>
      <c r="I75" s="1">
        <f>IF(Input!$CF$5 + Input!$CF$6*(FLOOR((Calculations!$F75-1)/(FLOOR((Input!$CF$12-Input!$CF$10)/Input!$CF$11,1)+1),1)) &gt; Input!$CF$7, "", (Input!$CF$5 + Input!$CF$6*(FLOOR((Calculations!$F75-1)/(FLOOR((Input!$CF$12-Input!$CF$10)/Input!$CF$11,1)+1),1)))*1000)</f>
        <v>25000</v>
      </c>
      <c r="J75" s="1">
        <f>IF(Calculations!I75 = "", "", Input!$CF$10 + Input!$CF$11*(Calculations!$F75-1) - (FLOOR((Input!$CF$12-Input!$CF$10)/Input!$CF$11,1)+1)*Input!$CF$11*FLOOR((Calculations!$F75-1)/(FLOOR((Input!$CF$12-Input!$CF$10)/Input!$CF$11,1)+1),1))</f>
        <v>750</v>
      </c>
      <c r="K75" s="8" t="str">
        <f t="shared" si="33"/>
        <v/>
      </c>
      <c r="L75" s="117" t="str">
        <f>IF(OR(Input!$CJ$5 + Input!$CJ$6*(Calculations!F75-1) &gt; Input!$CJ$7, Input!$CJ$5 + Input!$CJ$6*(Calculations!F75-1) &gt; 350), "", Input!$CJ$5 + Input!$CJ$6*(Calculations!F75-1))</f>
        <v/>
      </c>
      <c r="M75" s="1">
        <f t="shared" si="23"/>
        <v>25000</v>
      </c>
      <c r="N75" s="1">
        <f t="shared" si="24"/>
        <v>750</v>
      </c>
      <c r="O75" s="1">
        <f t="shared" si="19"/>
        <v>1023.15</v>
      </c>
      <c r="P75" s="1" t="e">
        <f>IF(OR($D$20=3,AND($D$21=TRUE,M75&lt;1000)),INDEX('Water Density'!$C$6:$CX$120,MATCH(Calculations!N75,'Water Density'!$B$6:$B$120),MATCH(Calculations!M75/1000,'Water Density'!$C$5:$CX$5)),NA())</f>
        <v>#N/A</v>
      </c>
      <c r="Q75" s="182">
        <f>IF(OR($D$20=3,AND($D$21=TRUE,M75&lt;1000)), IF(P75&lt;&gt;0,P75,NA()), calculateDensity(M75,N75,$D$20,0.01,$D$19 = 3))</f>
        <v>1.1407256853413581</v>
      </c>
      <c r="R75" s="1" t="e">
        <f>IF($D$22=5,INDEX('Dielectric Constant'!$C$6:$CX$120,MATCH(Calculations!N75,'Dielectric Constant'!$B$6:$B$120),MATCH(Calculations!M75/1000,'Dielectric Constant'!$C$5:$CX$5)),NA())</f>
        <v>#N/A</v>
      </c>
      <c r="S75" s="58">
        <f>IF($D$22=5, IF(R75&lt;&gt;0,R75,NA()), IF(AND($D$23,M75&lt;=5000,$D$19 &lt;&gt; 3),calculateEpsilon(Q75,N75,1,FALSE),calculateEpsilon(Q75,N75,$D$22,$D$19 = 3)))</f>
        <v>19.990711089408528</v>
      </c>
      <c r="T75" s="1" t="e">
        <f>IF($D$24=3,INDEX('Water Free Energy'!$C$6:$CX$120,MATCH(Calculations!N75,'Water Free Energy'!$B$6:$B$120),MATCH(Calculations!M75/1000,'Water Free Energy'!$C$5:$CX$5)),NA())</f>
        <v>#N/A</v>
      </c>
      <c r="U75" s="179">
        <f>IF($D$27,calculateQ(M75,N75,Q75,$D$20,$D$22,$D$19=3)*10^6,NA())</f>
        <v>0.423774024190754</v>
      </c>
      <c r="V75"/>
      <c r="W75" s="2">
        <f t="shared" si="25"/>
        <v>25000</v>
      </c>
      <c r="X75" s="1">
        <f t="shared" si="26"/>
        <v>750</v>
      </c>
      <c r="Y75" s="1">
        <f>Results!F77</f>
        <v>0</v>
      </c>
      <c r="Z75" s="1">
        <f>Results!G77</f>
        <v>0</v>
      </c>
      <c r="AA75" s="1">
        <f>Results!H77</f>
        <v>0</v>
      </c>
      <c r="AB75" s="1">
        <f>Results!I77</f>
        <v>0</v>
      </c>
      <c r="AC75" s="1" t="e">
        <f>IF(ISBLANK(Input!$O$4),NA(),'Reaction Information'!$E$5-'Reaction Information'!$G$5*(Calculations!$O75-Calculations!$C$8)+'Reaction Information'!$I$5*(Calculations!$O75-Calculations!$C$8-Calculations!$O75*LN(Calculations!$O75/Calculations!$C$8))+'Reaction Information'!$J$5*0.001/2*(2*Calculations!$O75*Calculations!$C$8-Calculations!$O75^2-Calculations!$C$8^2) + 'Reaction Information'!$K$5*100000*(Calculations!$O75^2 + Calculations!$C$8^2 - 2*Calculations!$O75*Calculations!$C$8)/(2*Calculations!$O75*Calculations!$C$8^2))</f>
        <v>#N/A</v>
      </c>
      <c r="AD75" s="8" t="e">
        <f>IF(ISBLANK(Input!$R$4),NA(),'Reaction Information'!$E$9-'Reaction Information'!$G$9*(Calculations!$O75-Calculations!$C$8)+'Reaction Information'!$I$9*(Calculations!$O75-Calculations!$C$8-Calculations!$O75*LN(Calculations!$O75/Calculations!$C$8))+'Reaction Information'!$J$9*0.001/2*(2*Calculations!$O75*Calculations!$C$8-Calculations!$O75^2-Calculations!$C$8^2) + 'Reaction Information'!$K$9*100000*(Calculations!$O75^2 + Calculations!$C$8^2 - 2*Calculations!$O75*Calculations!$C$8)/(2*Calculations!$O75*Calculations!$C$8^2))</f>
        <v>#N/A</v>
      </c>
      <c r="AE75" s="8">
        <f>IF(AE$5="H2O",IF($D$24=3,IF(T75=0,NA(),T75),calculateGibbsOfWater(M75,N75,$D$24,$D$20,$D$19=3)),NA())</f>
        <v>-65926.118731269424</v>
      </c>
      <c r="AF75" s="8">
        <f>IF(ISBLANK(Input!$X$4),NA(),'Reaction Information'!$E$13-'Reaction Information'!$G$13*(Calculations!O75-Calculations!$C$8)-'Reaction Information'!$N$13*(Calculations!O75*LN(Calculations!O75/Calculations!$C$8)-Calculations!O75+Calculations!$C$8)-'Reaction Information'!$O$13*10^4*(((1/(Calculations!O75-Calculations!$C$13))-(1/(Calculations!$C$8-Calculations!$C$13)))*((Calculations!$C$13-Calculations!O75)/(Calculations!$C$13))-(Calculations!O75/(Calculations!$C$13*Calculations!$C$13))*LN((Calculations!$C$8*(Calculations!O75-Calculations!$C$13))/(Calculations!O75*(Calculations!$C$8-Calculations!$C$13))))+'Reaction Information'!$J$13*10^-1*(Calculations!M75-Calculations!$C$9)+'Reaction Information'!$K$13*10^2*LN((Calculations!$C$12+Calculations!M75)/(Calculations!$C$12+Calculations!$C$9))+(1/(Calculations!O75-Calculations!$C$13))*('Reaction Information'!$L$13*(Calculations!M75-Calculations!$C$9)+'Reaction Information'!$M$13*10^4*LN((Calculations!$C$12+Calculations!M75)/(Calculations!$C$12+Calculations!$C$9)))+calculateOmega(Calculations!M75,Calculations!N75,Calculations!Q75,'Reaction Information'!$C$13,'Reaction Information'!$P$13*10^5,'Reaction Information'!$Q$13)*((1/Calculations!S75)-1)-'Reaction Information'!$P$13*10^5*((1/Calculations!$C$10)-1)+'Reaction Information'!$P$13*10^5*Calculations!$C$14*(Calculations!O75-Calculations!$C$8))</f>
        <v>-104566.11975328068</v>
      </c>
      <c r="AG75" s="8" t="e">
        <f>IF(ISBLANK(Input!$AA$4),NA(),'Reaction Information'!$E$17-'Reaction Information'!$G$17*(Calculations!$O75-Calculations!$C$8)-'Reaction Information'!$N$17*(Calculations!$O75*LN(Calculations!$O75/Calculations!$C$8)-Calculations!$O75+Calculations!$C$8)-'Reaction Information'!$O$17*10^4*(((1/(Calculations!$O75-Calculations!$C$13))-(1/(Calculations!$C$8-Calculations!$C$13)))*((Calculations!$C$13-Calculations!$O75)/(Calculations!$C$13))-(Calculations!$O75/(Calculations!$C$13*Calculations!$C$13))*LN((Calculations!$C$8*(Calculations!$O75-Calculations!$C$13))/(Calculations!$O75*(Calculations!$C$8-Calculations!$C$13))))+'Reaction Information'!$J$17*10^-1*(Calculations!$M75-Calculations!$C$9)+'Reaction Information'!$K$17*10^2*LN((Calculations!$C$12+Calculations!$M75)/(Calculations!$C$12+Calculations!$C$9))+(1/(Calculations!$O75-Calculations!$C$13))*('Reaction Information'!$L$17*(Calculations!$M75-Calculations!$C$9)+'Reaction Information'!$M$17*10^4*LN((Calculations!$C$12+Calculations!$M75)/(Calculations!$C$12+Calculations!$C$9)))+calculateOmega(Calculations!M75,Calculations!N75,Calculations!Q75,'Reaction Information'!$C$17,'Reaction Information'!$P$17*10^5,'Reaction Information'!$Q$17)*((1/Calculations!$S75)-1)-'Reaction Information'!$P$17*10^5*((1/Calculations!$C$10)-1)+'Reaction Information'!$P$17*10^5*Calculations!$C$14*(Calculations!$O75-Calculations!$C$8))</f>
        <v>#N/A</v>
      </c>
      <c r="AH75" s="8" t="e">
        <f>IF(ISBLANK(Input!$AD$4),NA(),'Reaction Information'!$E$21-'Reaction Information'!$G$21*(Calculations!$O75-Calculations!$C$8)-'Reaction Information'!$N$21*(Calculations!$O75*LN(Calculations!$O75/Calculations!$C$8)-Calculations!$O75+Calculations!$C$8)-'Reaction Information'!$O$21*10^4*(((1/(Calculations!$O75-Calculations!$C$13))-(1/(Calculations!$C$8-Calculations!$C$13)))*((Calculations!$C$13-Calculations!$O75)/(Calculations!$C$13))-(Calculations!$O75/(Calculations!$C$13*Calculations!$C$13))*LN((Calculations!$C$8*(Calculations!$O75-Calculations!$C$13))/(Calculations!$O75*(Calculations!$C$8-Calculations!$C$13))))+'Reaction Information'!$J$21*10^-1*(Calculations!$M75-Calculations!$C$9)+'Reaction Information'!$K$21*10^2*LN((Calculations!$C$12+Calculations!$M75)/(Calculations!$C$12+Calculations!$C$9))+(1/(Calculations!$O75-Calculations!$C$13))*('Reaction Information'!$L$21*(Calculations!$M75-Calculations!$C$9)+'Reaction Information'!$M$21*10^4*LN((Calculations!$C$12+Calculations!$M75)/(Calculations!$C$12+Calculations!$C$9)))+calculateOmega(Calculations!M75,Calculations!N75,Calculations!Q75,'Reaction Information'!$C$21,'Reaction Information'!$P$21*10^5,'Reaction Information'!$Q$21)*((1/Calculations!$S75)-1)-'Reaction Information'!$P$21*10^5*((1/Calculations!$C$10)-1)+'Reaction Information'!$P$21*10^5*Calculations!$C$14*(Calculations!$O75-Calculations!$C$8))</f>
        <v>#N/A</v>
      </c>
      <c r="AI75" s="8" t="e">
        <f>IF(ISBLANK(Input!$AG$4),NA(),'Reaction Information'!$E$25-'Reaction Information'!$G$25*(Calculations!$O75-Calculations!$C$8)-'Reaction Information'!$N$25*(Calculations!$O75*LN(Calculations!$O75/Calculations!$C$8)-Calculations!$O75+Calculations!$C$8)-'Reaction Information'!$O$25*10^4*(((1/(Calculations!$O75-Calculations!$C$13))-(1/(Calculations!$C$8-Calculations!$C$13)))*((Calculations!$C$13-Calculations!$O75)/(Calculations!$C$13))-(Calculations!$O75/(Calculations!$C$13*Calculations!$C$13))*LN((Calculations!$C$8*(Calculations!$O75-Calculations!$C$13))/(Calculations!$O75*(Calculations!$C$8-Calculations!$C$13))))+'Reaction Information'!$J$25*10^-1*(Calculations!$M75-Calculations!$C$9)+'Reaction Information'!$K$25*10^2*LN((Calculations!$C$12+Calculations!$M75)/(Calculations!$C$12+Calculations!$C$9))+(1/(Calculations!$O75-Calculations!$C$13))*('Reaction Information'!$L$25*(Calculations!$M75-Calculations!$C$9)+'Reaction Information'!$M$25*10^4*LN((Calculations!$C$12+Calculations!$M75)/(Calculations!$C$12+Calculations!$C$9)))+calculateOmega(Calculations!M75,Calculations!N75,Calculations!Q75,'Reaction Information'!$C$25,'Reaction Information'!$P$25*10^5,'Reaction Information'!$Q$25)*((1/Calculations!$S75)-1)-'Reaction Information'!$P$25*10^5*((1/Calculations!$C$10)-1)+'Reaction Information'!$P$25*10^5*Calculations!$C$14*(Calculations!$O75-Calculations!$C$8))</f>
        <v>#N/A</v>
      </c>
      <c r="AJ75" s="8" t="e">
        <f>IF(ISBLANK(Input!$AJ$4),NA(),'Reaction Information'!$E$29-'Reaction Information'!$G$29*(Calculations!$O75-Calculations!$C$8)-'Reaction Information'!$N$29*(Calculations!$O75*LN(Calculations!$O75/Calculations!$C$8)-Calculations!$O75+Calculations!$C$8)-'Reaction Information'!$O$29*10^4*(((1/(Calculations!$O75-Calculations!$C$13))-(1/(Calculations!$C$8-Calculations!$C$13)))*((Calculations!$C$13-Calculations!$O75)/(Calculations!$C$13))-(Calculations!$O75/(Calculations!$C$13*Calculations!$C$13))*LN((Calculations!$C$8*(Calculations!$O75-Calculations!$C$13))/(Calculations!$O75*(Calculations!$C$8-Calculations!$C$13))))+'Reaction Information'!$J$29*10^-1*(Calculations!$M75-Calculations!$C$9)+'Reaction Information'!$K$29*10^2*LN((Calculations!$C$12+Calculations!$M75)/(Calculations!$C$12+Calculations!$C$9))+(1/(Calculations!$O75-Calculations!$C$13))*('Reaction Information'!$L$29*(Calculations!$M75-Calculations!$C$9)+'Reaction Information'!$M$29*10^4*LN((Calculations!$C$12+Calculations!$M75)/(Calculations!$C$12+Calculations!$C$9)))+calculateOmega(Calculations!M75,Calculations!N75,Calculations!Q75,'Reaction Information'!$C$29,'Reaction Information'!$P$29*10^5,'Reaction Information'!$Q$29)*((1/Calculations!$S75)-1)-'Reaction Information'!$P$29*10^5*((1/Calculations!$C$10)-1)+'Reaction Information'!$P$29*10^5*Calculations!$C$14*(Calculations!$O75-Calculations!$C$8))</f>
        <v>#N/A</v>
      </c>
      <c r="AK75" s="8" t="e">
        <f>IF(ISBLANK(Input!$AM$4),NA(),'Reaction Information'!$E$33-'Reaction Information'!$G$33*(Calculations!$O75-Calculations!$C$8)-'Reaction Information'!$N$33*(Calculations!$O75*LN(Calculations!$O75/Calculations!$C$8)-Calculations!$O75+Calculations!$C$8)-'Reaction Information'!$O$33*10^4*(((1/(Calculations!$O75-Calculations!$C$13))-(1/(Calculations!$C$8-Calculations!$C$13)))*((Calculations!$C$13-Calculations!$O75)/(Calculations!$C$13))-(Calculations!$O75/(Calculations!$C$13*Calculations!$C$13))*LN((Calculations!$C$8*(Calculations!$O75-Calculations!$C$13))/(Calculations!$O75*(Calculations!$C$8-Calculations!$C$13))))+'Reaction Information'!$J$33*10^-1*(Calculations!$M75-Calculations!$C$9)+'Reaction Information'!$K$33*10^2*LN((Calculations!$C$12+Calculations!$M75)/(Calculations!$C$12+Calculations!$C$9))+(1/(Calculations!$O75-Calculations!$C$13))*('Reaction Information'!$L$33*(Calculations!$M75-Calculations!$C$9)+'Reaction Information'!$M$33*10^4*LN((Calculations!$C$12+Calculations!$M75)/(Calculations!$C$12+Calculations!$C$9)))+calculateOmega(Calculations!M75,Calculations!N75,Calculations!Q75,'Reaction Information'!$C$33,'Reaction Information'!$P$33*10^5,'Reaction Information'!$Q$33)*((1/Calculations!$S75)-1)-'Reaction Information'!$P$33*10^5*((1/Calculations!$C$10)-1)+'Reaction Information'!$P$33*10^5*Calculations!$C$14*(Calculations!$O75-Calculations!$C$8))</f>
        <v>#N/A</v>
      </c>
      <c r="AL75" s="1">
        <f>Results!S77</f>
        <v>0</v>
      </c>
      <c r="AM75" s="1">
        <f>Results!T77</f>
        <v>0</v>
      </c>
      <c r="AN75" s="1">
        <f>Results!U77</f>
        <v>0</v>
      </c>
      <c r="AO75" s="1">
        <f>Results!V77</f>
        <v>0</v>
      </c>
      <c r="AP75" s="8" t="e">
        <f>IF(ISBLANK(Input!$BB$4),NA(),'Reaction Information'!$E$38-'Reaction Information'!$G$38*(Calculations!$O75-Calculations!$C$8)+'Reaction Information'!$I$38*(Calculations!$O75-Calculations!$C$8-Calculations!$O75*LN(Calculations!$O75/Calculations!$C$8))+'Reaction Information'!$J$38*0.001/2*(2*Calculations!$O75*Calculations!$C$8-Calculations!$O75^2-Calculations!$C$8^2) + 'Reaction Information'!$K$38*100000*(Calculations!$O75^2 + Calculations!$C$8^2 - 2*Calculations!$O75*Calculations!$C$8)/(2*Calculations!$O75*Calculations!$C$8^2))</f>
        <v>#N/A</v>
      </c>
      <c r="AQ75" s="8" t="e">
        <f>IF(ISBLANK(Input!$BE$4),NA(),'Reaction Information'!$E$42-'Reaction Information'!$G$42*(Calculations!$O75-Calculations!$C$8)+'Reaction Information'!$I$42*(Calculations!$O75-Calculations!$C$8-Calculations!$O75*LN(Calculations!$O75/Calculations!$C$8))+'Reaction Information'!$J$42*0.001/2*(2*Calculations!$O75*Calculations!$C$8-Calculations!$O75^2-Calculations!$C$8^2) + 'Reaction Information'!$K$42*100000*(Calculations!$O75^2 + Calculations!$C$8^2 - 2*Calculations!$O75*Calculations!$C$8)/(2*Calculations!$O75*Calculations!$C$8^2))</f>
        <v>#N/A</v>
      </c>
      <c r="AR75" s="8" t="e">
        <f>IF(AR$5="H2O", IF($D$24=3,IF(T75=0,NA(),T75),calculateGibbsOfWater(M75,N75,$D$24,$D$20,$D$19=3)),NA())</f>
        <v>#N/A</v>
      </c>
      <c r="AS75" s="8">
        <f>IF(ISBLANK(Input!$BK$4),NA(),'Reaction Information'!$E$46-'Reaction Information'!$G$46*(Calculations!O75-Calculations!$C$8)-'Reaction Information'!$N$46*(Calculations!O75*LN(Calculations!O75/Calculations!$C$8)-Calculations!O75+Calculations!$C$8)-'Reaction Information'!$O$46*10^4*(((1/(Calculations!O75-Calculations!$C$13))-(1/(Calculations!$C$8-Calculations!$C$13)))*((Calculations!$C$13-Calculations!O75)/(Calculations!$C$13))-(Calculations!O75/(Calculations!$C$13*Calculations!$C$13))*LN((Calculations!$C$8*(Calculations!O75-Calculations!$C$13))/(Calculations!O75*(Calculations!$C$8-Calculations!$C$13))))+'Reaction Information'!$J$46*10^-1*(Calculations!$M75-Calculations!$C$9)+'Reaction Information'!$K$46*10^2*LN((Calculations!$C$12+Calculations!$M75)/(Calculations!$C$12+Calculations!$C$9))+(1/(Calculations!O75-Calculations!$C$13))*('Reaction Information'!$L$46*(Calculations!$M75-Calculations!$C$9)+'Reaction Information'!$M$46*10^4*LN((Calculations!$C$12+Calculations!$M75)/(Calculations!$C$12+Calculations!$C$9)))+calculateOmega(Calculations!M75,Calculations!N75,Calculations!Q75,'Reaction Information'!$C$46,'Reaction Information'!$P$46*10^5,'Reaction Information'!$Q$46)*((1/Calculations!S75)-1)-'Reaction Information'!$P$46*10^5*((1/Calculations!$C$10)-1)+'Reaction Information'!$P$46*10^5*Calculations!$C$14*(Calculations!O75-Calculations!$C$8))</f>
        <v>0</v>
      </c>
      <c r="AT75" s="8">
        <f>IF(ISBLANK(Input!$BN$4),NA(),'Reaction Information'!$E$50-'Reaction Information'!$G$50*(Calculations!O75-Calculations!$C$8)-'Reaction Information'!$N$50*(Calculations!O75*LN(Calculations!O75/Calculations!$C$8)-Calculations!O75+Calculations!$C$8)-'Reaction Information'!$O$50*10^4*(((1/(Calculations!O75-Calculations!$C$13))-(1/(Calculations!$C$8-Calculations!$C$13)))*((Calculations!$C$13-Calculations!O75)/(Calculations!$C$13))-(Calculations!O75/(Calculations!$C$13*Calculations!$C$13))*LN((Calculations!$C$8*(Calculations!O75-Calculations!$C$13))/(Calculations!O75*(Calculations!$C$8-Calculations!$C$13))))+'Reaction Information'!$J$50*10^-1*(Calculations!$M75-Calculations!$C$9)+'Reaction Information'!$K$50*10^2*LN((Calculations!$C$12+Calculations!$M75)/(Calculations!$C$12+Calculations!$C$9))+(1/(Calculations!O75-Calculations!$C$13))*('Reaction Information'!$L$50*(Calculations!$M75-Calculations!$C$9)+'Reaction Information'!$M$50*10^4*LN((Calculations!$C$12+Calculations!$M75)/(Calculations!$C$12+Calculations!$C$9)))+calculateOmega(Calculations!M75,Calculations!N75,Calculations!Q75,'Reaction Information'!$C$50,'Reaction Information'!$P$50*10^5,'Reaction Information'!$Q$50)*((1/Calculations!S75)-1)-'Reaction Information'!$P$50*10^5*((1/Calculations!$C$10)-1)+'Reaction Information'!$P$50*10^5*Calculations!$C$14*(Calculations!O75-Calculations!$C$8))</f>
        <v>-143744.43581478036</v>
      </c>
      <c r="AU75" s="8" t="e">
        <f>IF(ISBLANK(Input!$BQ$4),NA(),'Reaction Information'!$E$54-'Reaction Information'!$G$54*(Calculations!$O75-Calculations!$C$8)-'Reaction Information'!$N$54*(Calculations!$O75*LN(Calculations!$O75/Calculations!$C$8)-Calculations!$O75+Calculations!$C$8)-'Reaction Information'!$O$54*10^4*(((1/(Calculations!$O75-Calculations!$C$13))-(1/(Calculations!$C$8-Calculations!$C$13)))*((Calculations!$C$13-Calculations!$O75)/(Calculations!$C$13))-(Calculations!$O75/(Calculations!$C$13*Calculations!$C$13))*LN((Calculations!$C$8*(Calculations!$O75-Calculations!$C$13))/(Calculations!$O75*(Calculations!$C$8-Calculations!$C$13))))+'Reaction Information'!$J$54*10^-1*(Calculations!$M75-Calculations!$C$9)+'Reaction Information'!$K$54*10^2*LN((Calculations!$C$12+Calculations!$M75)/(Calculations!$C$12+Calculations!$C$9))+(1/(Calculations!$O75-Calculations!$C$13))*('Reaction Information'!$L$54*(Calculations!$M75-Calculations!$C$9)+'Reaction Information'!$M$54*10^4*LN((Calculations!$C$12+Calculations!$M75)/(Calculations!$C$12+Calculations!$C$9)))+calculateOmega(Calculations!M75,Calculations!N75,Calculations!Q75,'Reaction Information'!$C$54,'Reaction Information'!$P$54*10^5,'Reaction Information'!$Q$54)*((1/Calculations!$S75)-1)-'Reaction Information'!$P$54*10^5*((1/Calculations!$C$10)-1)+'Reaction Information'!$P$54*10^5*Calculations!$C$14*(Calculations!$O75-Calculations!$C$8))</f>
        <v>#N/A</v>
      </c>
      <c r="AV75" s="8" t="e">
        <f>IF(ISBLANK(Input!$BT$4),NA(),'Reaction Information'!$E$58-'Reaction Information'!$G$58*(Calculations!$O75-Calculations!$C$8)-'Reaction Information'!$N$58*(Calculations!$O75*LN(Calculations!$O75/Calculations!$C$8)-Calculations!$O75+Calculations!$C$8)-'Reaction Information'!$O$58*10^4*(((1/(Calculations!$O75-Calculations!$C$13))-(1/(Calculations!$C$8-Calculations!$C$13)))*((Calculations!$C$13-Calculations!$O75)/(Calculations!$C$13))-(Calculations!$O75/(Calculations!$C$13*Calculations!$C$13))*LN((Calculations!$C$8*(Calculations!$O75-Calculations!$C$13))/(Calculations!$O75*(Calculations!$C$8-Calculations!$C$13))))+'Reaction Information'!$J$58*10^-1*(Calculations!$M75-Calculations!$C$9)+'Reaction Information'!$K$58*10^2*LN((Calculations!$C$12+Calculations!$M75)/(Calculations!$C$12+Calculations!$C$9))+(1/(Calculations!$O75-Calculations!$C$13))*('Reaction Information'!$L$58*(Calculations!$M75-Calculations!$C$9)+'Reaction Information'!$M$58*10^4*LN((Calculations!$C$12+Calculations!$M75)/(Calculations!$C$12+Calculations!$C$9)))+calculateOmega(Calculations!M75,Calculations!N75,Calculations!Q75,'Reaction Information'!$C$58,'Reaction Information'!$P$58*10^5,'Reaction Information'!$Q$58)*((1/Calculations!$S75)-1)-'Reaction Information'!$P$58*10^5*((1/Calculations!$C$10)-1)+'Reaction Information'!$P$58*10^5*Calculations!$C$14*(Calculations!$O75-Calculations!$C$8))</f>
        <v>#N/A</v>
      </c>
      <c r="AW75" s="8" t="e">
        <f>IF(ISBLANK(Input!$BW$4),NA(),'Reaction Information'!$E$62-'Reaction Information'!$G$62*(Calculations!$O75-Calculations!$C$8)-'Reaction Information'!$N$62*(Calculations!$O75*LN(Calculations!$O75/Calculations!$C$8)-Calculations!$O75+Calculations!$C$8)-'Reaction Information'!$O$62*10^4*(((1/(Calculations!$O75-Calculations!$C$13))-(1/(Calculations!$C$8-Calculations!$C$13)))*((Calculations!$C$13-Calculations!$O75)/(Calculations!$C$13))-(Calculations!$O75/(Calculations!$C$13*Calculations!$C$13))*LN((Calculations!$C$8*(Calculations!$O75-Calculations!$C$13))/(Calculations!$O75*(Calculations!$C$8-Calculations!$C$13))))+'Reaction Information'!$J$62*10^-1*(Calculations!$M75-Calculations!$C$9)+'Reaction Information'!$K$62*10^2*LN((Calculations!$C$12+Calculations!$M75)/(Calculations!$C$12+Calculations!$C$9))+(1/(Calculations!$O75-Calculations!$C$13))*('Reaction Information'!$L$62*(Calculations!$M75-Calculations!$C$9)+'Reaction Information'!$M$62*10^4*LN((Calculations!$C$12+Calculations!$M75)/(Calculations!$C$12+Calculations!$C$9)))+calculateOmega(Calculations!M75,Calculations!N75,Calculations!Q75,'Reaction Information'!$C$62,'Reaction Information'!$P$62*10^5,'Reaction Information'!$Q$62)*((1/Calculations!$S75)-1)-'Reaction Information'!$P$62*10^5*((1/Calculations!$C$10)-1)+'Reaction Information'!$P$62*10^5*Calculations!$C$14*(Calculations!$O75-Calculations!$C$8))</f>
        <v>#N/A</v>
      </c>
      <c r="AX75" s="8" t="e">
        <f>IF(ISBLANK(Input!$BZ$4),NA(),'Reaction Information'!$E$66-'Reaction Information'!$G$66*(Calculations!$O75-Calculations!$C$8)-'Reaction Information'!$N$66*(Calculations!$O75*LN(Calculations!$O75/Calculations!$C$8)-Calculations!$O75+Calculations!$C$8)-'Reaction Information'!$O$66*10^4*(((1/(Calculations!$O75-Calculations!$C$13))-(1/(Calculations!$C$8-Calculations!$C$13)))*((Calculations!$C$13-Calculations!$O75)/(Calculations!$C$13))-(Calculations!$O75/(Calculations!$C$13*Calculations!$C$13))*LN((Calculations!$C$8*(Calculations!$O75-Calculations!$C$13))/(Calculations!$O75*(Calculations!$C$8-Calculations!$C$13))))+'Reaction Information'!$J$66*10^-1*(Calculations!$M75-Calculations!$C$9)+'Reaction Information'!$K$66*10^2*LN((Calculations!$C$12+Calculations!$M75)/(Calculations!$C$12+Calculations!$C$9))+(1/(Calculations!$O75-Calculations!$C$13))*('Reaction Information'!$L$66*(Calculations!$M75-Calculations!$C$9)+'Reaction Information'!$M$66*10^4*LN((Calculations!$C$12+Calculations!$M75)/(Calculations!$C$12+Calculations!$C$9)))+calculateOmega(Calculations!M75,Calculations!N75,Calculations!Q75,'Reaction Information'!$C$66,'Reaction Information'!$P$66*10^5,'Reaction Information'!$Q$66)*((1/Calculations!$S75)-1)-'Reaction Information'!$P$66*10^5*((1/Calculations!$C$10)-1)+'Reaction Information'!$P$66*10^5*Calculations!$C$14*(Calculations!$O75-Calculations!$C$8))</f>
        <v>#N/A</v>
      </c>
      <c r="AY75" s="31">
        <f>(AL75*Input!$AO$4+AM75*Input!$AR$4+AN75*Input!$AU$4+AO75*Input!$AX$4+IF(ISNA(AP75),0,AP75*Input!$BA$4)+IF(ISNA(AQ75),0,AQ75*Input!$BD$4)+IF(ISNA(AR75),0,AR75*Input!$BG$4)+IF(ISNA(AS75),0,AS75*Input!$BJ$4)+IF(ISNA(AT75),0,AT75*Input!$BM$4)+IF(ISNA(AU75),0,AU75*Input!$BP$4)+IF(ISNA(AV75),0,AV75*Input!$BS$4)+IF(ISNA(AW75),0,AW75*Input!$BV$4)+IF(ISNA(AX75),0,AX75*Input!$BY$4))-(Y75*Input!$B$4+Z75*Input!$E$4+AA75*Input!$H$4+AB75*Input!$K$4+IF(ISNA(AC75),0,AC75*Input!$N$4)+IF(ISNA(AD75),0,AD75*Input!$Q$4)+IF(ISNA(AE75),0,AE75*Input!$T$4)+IF(ISNA(AF75),0,AF75*Input!$W$4)+IF(ISNA(AG75),0,AG75*Input!$Z$4)+IF(ISNA(AH75),0,AH75*Input!$AC$4)+IF(ISNA(AI75),0,AI75*Input!$AF$4)+IF(ISNA(AJ75),0,AJ75*Input!$AI$4)+IF(ISNA(AK75),0,AK75*Input!$AL$4))</f>
        <v>26747.802669769735</v>
      </c>
      <c r="AZ75" s="42">
        <f t="shared" si="20"/>
        <v>-5.7171643312611273</v>
      </c>
      <c r="BA75" s="1">
        <f t="shared" si="27"/>
        <v>750</v>
      </c>
      <c r="BB75" s="46">
        <f t="shared" si="28"/>
        <v>25000</v>
      </c>
      <c r="BC75" s="1"/>
      <c r="BD75" s="2">
        <f t="shared" si="29"/>
        <v>25000</v>
      </c>
      <c r="BE75" s="46">
        <f t="shared" si="30"/>
        <v>750</v>
      </c>
      <c r="BF75" s="1">
        <f>Results!AJ77</f>
        <v>0</v>
      </c>
      <c r="BG75" s="1">
        <f>Results!AK77</f>
        <v>0</v>
      </c>
      <c r="BH75" s="1">
        <f>Results!AL77</f>
        <v>0</v>
      </c>
      <c r="BI75" s="1">
        <f>Results!AM77</f>
        <v>0</v>
      </c>
      <c r="BJ75" s="1" t="e">
        <f>IF(OR(ISNA('Reaction Information'!$D$5), $N75 = "", $D$27 = FALSE, 'Reaction Information'!$D$5 = ""), NA(), 24.465)</f>
        <v>#N/A</v>
      </c>
      <c r="BK75" s="1" t="e">
        <f>IF(OR(ISNA('Reaction Information'!$D$9), $N75 = "", $D$27 = FALSE, 'Reaction Information'!$D$9 = ""), NA(), 24.465)</f>
        <v>#N/A</v>
      </c>
      <c r="BL75" s="8">
        <f t="shared" si="21"/>
        <v>15.79282401676525</v>
      </c>
      <c r="BM75" s="8">
        <f>IF(OR(ISBLANK(Input!$X$4),$D$27=FALSE),NA(),('Reaction Information'!$J$13/10+'Reaction Information'!$K$13*100/(Calculations!$C$12+Calculations!$M75)+('Reaction Information'!$L$13+'Reaction Information'!$M$13*10^4/(Calculations!$C$12+Calculations!$M75))/(Calculations!$O75-Calculations!$C$13) -calculateOmega(Calculations!$M75,Calculations!$N75,Calculations!$Q75,'Reaction Information'!$C$13,'Reaction Information'!$P$13*10^5,'Reaction Information'!$Q$13)*Calculations!$U75*10^-6 + (1/$S75 - 1)*calculate_domegadP(Calculations!$M75,Calculations!$N75,Calculations!$Q75,'Reaction Information'!$C$13,'Reaction Information'!$P$13*10^5,'Reaction Information'!$Q$13,$D$20,$D$19=3))*41.84)</f>
        <v>31.003460601588024</v>
      </c>
      <c r="BN75" s="8" t="e">
        <f>IF(OR(ISBLANK(Input!$AA$4),$D$27=FALSE),NA(),('Reaction Information'!$J$17/10+'Reaction Information'!$K$17*100/(Calculations!$C$12+Calculations!$M75)+('Reaction Information'!$L$17+'Reaction Information'!$M$17*10000/(Calculations!$C$12+Calculations!$M75))/(Calculations!$O75-Calculations!$C$13)-calculateOmega(Calculations!M75,Calculations!N75,Calculations!Q75,'Reaction Information'!$C$17,'Reaction Information'!$P$17*10^5,'Reaction Information'!$Q$17)*Calculations!$U75*10^-6 + (1/$S75 - 1)*calculate_domegadP(Calculations!M75,Calculations!N75,Calculations!Q75,'Reaction Information'!$C$17,'Reaction Information'!$P$17*10^5,'Reaction Information'!$Q$17,$D$20,$D$19=3))*41.84)</f>
        <v>#N/A</v>
      </c>
      <c r="BO75" s="8" t="e">
        <f>IF(OR(ISBLANK(Input!$AD$4),$D$27=FALSE),NA(),('Reaction Information'!$J$21/10+'Reaction Information'!$K$21*100/(Calculations!$C$12+Calculations!$M75)+('Reaction Information'!$L$21+'Reaction Information'!$M$21*10000/(Calculations!$C$12+Calculations!$M75))/(Calculations!$O75-Calculations!$C$13)-calculateOmega(Calculations!M75,Calculations!N75,Calculations!Q75,'Reaction Information'!$C$21,'Reaction Information'!$P$21*10^5,'Reaction Information'!$Q$21)*Calculations!$U75*10^-6 + (1/$S75 - 1)*calculate_domegadP(Calculations!M75,Calculations!N75,Calculations!Q75,'Reaction Information'!$C$21,'Reaction Information'!$P$21*10^5,'Reaction Information'!$Q$21,$D$20,$D$19=3))*41.84)</f>
        <v>#N/A</v>
      </c>
      <c r="BP75" s="8" t="e">
        <f>IF(OR(ISBLANK(Input!$AG$4),$D$27=FALSE),NA(),('Reaction Information'!$J$25/10+'Reaction Information'!$K$25*100/(Calculations!$C$12+Calculations!$M75)+('Reaction Information'!$L$25+'Reaction Information'!$M$25*10000/(Calculations!$C$12+Calculations!$M75))/(Calculations!$O75-Calculations!$C$13)-calculateOmega(Calculations!M75,Calculations!N75,Calculations!Q75,'Reaction Information'!$C$25,'Reaction Information'!$P$25*10^5,'Reaction Information'!$Q$25)*Calculations!$U75*10^-6 + (1/$S75 - 1)*calculate_domegadP(Calculations!M75,Calculations!N75,Calculations!Q75,'Reaction Information'!$C$25,'Reaction Information'!$P$25*10^5,'Reaction Information'!$Q$25,$D$20,$D$19=3))*41.84)</f>
        <v>#N/A</v>
      </c>
      <c r="BQ75" s="8" t="e">
        <f>IF(OR(ISBLANK(Input!$AJ$4),$D$27=FALSE),NA(),('Reaction Information'!$J$29/10+'Reaction Information'!$K$29*100/(Calculations!$C$12+Calculations!$M75)+('Reaction Information'!$L$29+'Reaction Information'!$M$29*10000/(Calculations!$C$12+Calculations!$M75))/(Calculations!$O75-Calculations!$C$13)-calculateOmega(Calculations!M75,Calculations!N75,Calculations!Q75,'Reaction Information'!$C$29,'Reaction Information'!$P$29*10^5,'Reaction Information'!$Q$29)*Calculations!$U75*10^-6 + (1/$S75 - 1)*calculate_domegadP(Calculations!M75,Calculations!N75,Calculations!Q75,'Reaction Information'!$C$29,'Reaction Information'!$P$29*10^5,'Reaction Information'!$Q$29,$D$20,$D$19=3))*41.84)</f>
        <v>#N/A</v>
      </c>
      <c r="BR75" s="8" t="e">
        <f>IF(OR(ISBLANK(Input!$AM$4),$D$27=FALSE),NA(),('Reaction Information'!$J$33/10+'Reaction Information'!$K$33*100/(Calculations!$C$12+Calculations!$M75)+('Reaction Information'!$L$33+'Reaction Information'!$M$33*10000/(Calculations!$C$12+Calculations!$M75))/(Calculations!$O75-Calculations!$C$13)-calculateOmega(Calculations!M75,Calculations!N75,Calculations!Q75,'Reaction Information'!$C$33,'Reaction Information'!$P$33*10^5,'Reaction Information'!$Q$33)*Calculations!$U75*10^-6 + (1/$S75 - 1)*calculate_domegadP(Calculations!M75,Calculations!N75,Calculations!Q75,'Reaction Information'!$C$33,'Reaction Information'!$P$33*10^5,'Reaction Information'!$Q$33,$D$20,$D$19=3))*41.84)</f>
        <v>#N/A</v>
      </c>
      <c r="BS75" s="1">
        <f>Results!AW77</f>
        <v>0</v>
      </c>
      <c r="BT75" s="1">
        <f>Results!AX77</f>
        <v>0</v>
      </c>
      <c r="BU75" s="1">
        <f>Results!AY77</f>
        <v>0</v>
      </c>
      <c r="BV75" s="1">
        <f>Results!AZ77</f>
        <v>0</v>
      </c>
      <c r="BW75" s="1" t="e">
        <f>IF(OR(ISNA('Reaction Information'!$D$38), $N75 = "", $D$27 = FALSE, 'Reaction Information'!$D$38 = ""), NA(), 24.465)</f>
        <v>#N/A</v>
      </c>
      <c r="BX75" s="1" t="e">
        <f>IF(OR(ISNA('Reaction Information'!$D$42), $N75 = "", $D$27 = FALSE, 'Reaction Information'!$D$42 = ""), NA(), 24.465)</f>
        <v>#N/A</v>
      </c>
      <c r="BY75" s="8" t="e">
        <f t="shared" si="22"/>
        <v>#N/A</v>
      </c>
      <c r="BZ75" s="8">
        <f>IF(OR(ISBLANK(Input!$BK$4),$D$27=FALSE),NA(),('Reaction Information'!$J$46/10+'Reaction Information'!$K$46*100/(Calculations!$C$12+Calculations!$M75)+('Reaction Information'!$L$46+'Reaction Information'!$M$46*10000/(Calculations!$C$12+Calculations!$M75))/(Calculations!$O75-Calculations!$C$13)-calculateOmega(Calculations!M75,Calculations!N75,Calculations!Q75,'Reaction Information'!$C$46,'Reaction Information'!$P$46*10^5,'Reaction Information'!$Q$46)*Calculations!$U75*10^-6 + (1/$S75 - 1)*calculate_domegadP(Calculations!M75,Calculations!N75,Calculations!Q75,'Reaction Information'!$C$46,'Reaction Information'!$P$46*10^5,'Reaction Information'!$Q$46,$D$20,$D$19=3))*41.84)</f>
        <v>0</v>
      </c>
      <c r="CA75" s="8">
        <f>IF(OR(ISBLANK(Input!$BN$4),$D$27=FALSE),NA(),('Reaction Information'!$J$50/10+'Reaction Information'!$K$50*100/(Calculations!$C$12+Calculations!$M75)+('Reaction Information'!$L$50+'Reaction Information'!$M$50*10000/(Calculations!$C$12+Calculations!$M75))/(Calculations!$O75-Calculations!$C$13)-calculateOmega(Calculations!M75,Calculations!N75,Calculations!Q75,'Reaction Information'!$C$50,'Reaction Information'!$P$50*10^5,'Reaction Information'!$Q$50)*Calculations!$U75*10^-6 + (1/$S75 - 1)*calculate_domegadP(Calculations!M75,Calculations!N75,Calculations!Q75,'Reaction Information'!$C$50,'Reaction Information'!$P$50*10^5,'Reaction Information'!$Q$50,$D$20,$D$19=3))*41.84)</f>
        <v>29.867224484653249</v>
      </c>
      <c r="CB75" s="8" t="e">
        <f>IF(OR(ISBLANK(Input!$BQ$4),$D$27=FALSE),NA(),('Reaction Information'!$J$54/10+'Reaction Information'!$K$54*100/(Calculations!$C$12+Calculations!$M75)+('Reaction Information'!$L$54+'Reaction Information'!$M$54*10000/(Calculations!$C$12+Calculations!$M75))/(Calculations!$O75-Calculations!$C$13)-calculateOmega(Calculations!M75,Calculations!N75,Calculations!Q75,'Reaction Information'!$C$54,'Reaction Information'!$P$54*10^5,'Reaction Information'!$Q$54)*Calculations!$U75*10^-6 + (1/$S75 - 1)*calculate_domegadP(Calculations!M75,Calculations!N75,Calculations!Q75,'Reaction Information'!$C$54,'Reaction Information'!$P$54*10^5,'Reaction Information'!$Q$54,$D$20,$D$19=3))*41.84)</f>
        <v>#N/A</v>
      </c>
      <c r="CC75" s="8" t="e">
        <f>IF(OR(ISBLANK(Input!$BT$4),$D$27=FALSE),NA(),('Reaction Information'!$J$58/10+'Reaction Information'!$K$58*100/(Calculations!$C$12+Calculations!$M75)+('Reaction Information'!$L$58+'Reaction Information'!$M$58*10000/(Calculations!$C$12+Calculations!$M75))/(Calculations!$O75-Calculations!$C$13)-calculateOmega(Calculations!M75,Calculations!N75,Calculations!Q75,'Reaction Information'!$C$58,'Reaction Information'!$P$58*10^5,'Reaction Information'!$Q$58)*Calculations!$U75*10^-6 + (1/$S75 - 1)*calculate_domegadP(Calculations!M75,Calculations!N75,Calculations!Q75,'Reaction Information'!$C$58,'Reaction Information'!$P$58*10^5,'Reaction Information'!$Q$58,$D$20,$D$19=3))*41.84)</f>
        <v>#N/A</v>
      </c>
      <c r="CD75" s="8" t="e">
        <f>IF(OR(ISBLANK(Input!$BW$4),$D$27=FALSE),NA(),('Reaction Information'!$J$62/10+'Reaction Information'!$K$62*100/(Calculations!$C$12+Calculations!$M75)+('Reaction Information'!$L$62+'Reaction Information'!$M$62*10000/(Calculations!$C$12+Calculations!$M75))/(Calculations!$O75-Calculations!$C$13)-calculateOmega(Calculations!M75,Calculations!N75,Calculations!Q75,'Reaction Information'!$C$62,'Reaction Information'!$P$62*10^5,'Reaction Information'!$Q$62)*Calculations!$U75*10^-6 + (1/$S75 - 1)*calculate_domegadP(Calculations!M75,Calculations!N75,Calculations!Q75,'Reaction Information'!$C$62,'Reaction Information'!$P$62*10^5,'Reaction Information'!$Q$62,$D$20,$D$19=3))*41.84)</f>
        <v>#N/A</v>
      </c>
      <c r="CE75" s="8" t="e">
        <f>IF(OR(ISBLANK(Input!$BZ$4),$D$27=FALSE),NA(),('Reaction Information'!$J$66/10+'Reaction Information'!$K$66*100/(Calculations!$C$12+Calculations!$M75)+('Reaction Information'!$L$66+'Reaction Information'!$M$66*10000/(Calculations!$C$12+Calculations!$M75))/(Calculations!$O75-Calculations!$C$13)-calculateOmega(Calculations!M75,Calculations!N75,Calculations!Q75,'Reaction Information'!$C$66,'Reaction Information'!$P$66*10^5,'Reaction Information'!$Q$66)*Calculations!$U75*10^-6 + (1/$S75 - 1)*calculate_domegadP(Calculations!M75,Calculations!N75,Calculations!Q75,'Reaction Information'!$C$66,'Reaction Information'!$P$66*10^5,'Reaction Information'!$Q$66,$D$20,$D$19=3))*41.84)</f>
        <v>#N/A</v>
      </c>
      <c r="CF75" s="31">
        <f>(BS75*Input!$AO$4+BT75*Input!$AR$4+BU75*Input!$AU$4+BV75*Input!$AX$4+IF(ISNA(BW75),0,BW75*Input!$BA$4)+IF(ISNA(BX75),0,BX75*Input!$BD$4)+IF(ISNA(BY75),0,BY75*Input!$BG$4)+IF(ISNA(BZ75),0,BZ75*Input!$BJ$4)+IF(ISNA(CA75),0,CA75*Input!$BM$4)+IF(ISNA(CB75),0,CB75*Input!$BP$4)+IF(ISNA(CC75),0,CC75*Input!$BS$4)+IF(ISNA(CD75),0,CD75*Input!$BV$4)+IF(ISNA(CE75),0,CE75*Input!$BY$4))-(BF75*Input!$B$4+BG75*Input!$E$4+BH75*Input!$H$4+BI75*Input!$K$4+IF(ISNA(BJ75),0,BJ75*Input!$N$4)+IF(ISNA(BK75),0,BK75*Input!$Q$4)+IF(ISNA(BL75),0,BL75*Input!$T$4)+IF(ISNA(BM75),0,BM75*Input!$W$4)+IF(ISNA(BN75),0,BN75*Input!$Z$4)+IF(ISNA(BO75),0,BO75*Input!$AC$4)+IF(ISNA(BP75),0,BP75*Input!$AF$4)+IF(ISNA(BQ75),0,BQ75*Input!$AI$4)+IF(ISNA(BR75),0,BR75*Input!$AL$4))</f>
        <v>-16.929060133700027</v>
      </c>
      <c r="CG75" s="1">
        <f t="shared" si="31"/>
        <v>750</v>
      </c>
      <c r="CH75" s="46">
        <f t="shared" si="32"/>
        <v>25000</v>
      </c>
      <c r="CI75" s="1"/>
    </row>
    <row r="76" spans="1:87" x14ac:dyDescent="0.2">
      <c r="A76" s="1"/>
      <c r="E76" s="1"/>
      <c r="F76" s="2">
        <v>71</v>
      </c>
      <c r="G76" s="1" t="str">
        <f>IF(ISBLANK(Input!CB76), "", Input!CB76*1000)</f>
        <v/>
      </c>
      <c r="H76" s="1" t="str">
        <f>IF(ISBLANK(Input!CC76), "", Input!CC76)</f>
        <v/>
      </c>
      <c r="I76" s="1">
        <f>IF(Input!$CF$5 + Input!$CF$6*(FLOOR((Calculations!$F76-1)/(FLOOR((Input!$CF$12-Input!$CF$10)/Input!$CF$11,1)+1),1)) &gt; Input!$CF$7, "", (Input!$CF$5 + Input!$CF$6*(FLOOR((Calculations!$F76-1)/(FLOOR((Input!$CF$12-Input!$CF$10)/Input!$CF$11,1)+1),1)))*1000)</f>
        <v>25000</v>
      </c>
      <c r="J76" s="1">
        <f>IF(Calculations!I76 = "", "", Input!$CF$10 + Input!$CF$11*(Calculations!$F76-1) - (FLOOR((Input!$CF$12-Input!$CF$10)/Input!$CF$11,1)+1)*Input!$CF$11*FLOOR((Calculations!$F76-1)/(FLOOR((Input!$CF$12-Input!$CF$10)/Input!$CF$11,1)+1),1))</f>
        <v>800</v>
      </c>
      <c r="K76" s="8" t="str">
        <f t="shared" si="33"/>
        <v/>
      </c>
      <c r="L76" s="117" t="str">
        <f>IF(OR(Input!$CJ$5 + Input!$CJ$6*(Calculations!F76-1) &gt; Input!$CJ$7, Input!$CJ$5 + Input!$CJ$6*(Calculations!F76-1) &gt; 350), "", Input!$CJ$5 + Input!$CJ$6*(Calculations!F76-1))</f>
        <v/>
      </c>
      <c r="M76" s="1">
        <f t="shared" si="23"/>
        <v>25000</v>
      </c>
      <c r="N76" s="1">
        <f t="shared" si="24"/>
        <v>800</v>
      </c>
      <c r="O76" s="1">
        <f t="shared" si="19"/>
        <v>1073.1500000000001</v>
      </c>
      <c r="P76" s="1" t="e">
        <f>IF(OR($D$20=3,AND($D$21=TRUE,M76&lt;1000)),INDEX('Water Density'!$C$6:$CX$120,MATCH(Calculations!N76,'Water Density'!$B$6:$B$120),MATCH(Calculations!M76/1000,'Water Density'!$C$5:$CX$5)),NA())</f>
        <v>#N/A</v>
      </c>
      <c r="Q76" s="182">
        <f>IF(OR($D$20=3,AND($D$21=TRUE,M76&lt;1000)), IF(P76&lt;&gt;0,P76,NA()), calculateDensity(M76,N76,$D$20,0.01,$D$19 = 3))</f>
        <v>1.1254735137987135</v>
      </c>
      <c r="R76" s="1" t="e">
        <f>IF($D$22=5,INDEX('Dielectric Constant'!$C$6:$CX$120,MATCH(Calculations!N76,'Dielectric Constant'!$B$6:$B$120),MATCH(Calculations!M76/1000,'Dielectric Constant'!$C$5:$CX$5)),NA())</f>
        <v>#N/A</v>
      </c>
      <c r="S76" s="58">
        <f>IF($D$22=5, IF(R76&lt;&gt;0,R76,NA()), IF(AND($D$23,M76&lt;=5000,$D$19 &lt;&gt; 3),calculateEpsilon(Q76,N76,1,FALSE),calculateEpsilon(Q76,N76,$D$22,$D$19 = 3)))</f>
        <v>18.322021281430683</v>
      </c>
      <c r="T76" s="1" t="e">
        <f>IF($D$24=3,INDEX('Water Free Energy'!$C$6:$CX$120,MATCH(Calculations!N76,'Water Free Energy'!$B$6:$B$120),MATCH(Calculations!M76/1000,'Water Free Energy'!$C$5:$CX$5)),NA())</f>
        <v>#N/A</v>
      </c>
      <c r="U76" s="179">
        <f>IF($D$27,calculateQ(M76,N76,Q76,$D$20,$D$22,$D$19=3)*10^6,NA())</f>
        <v>0.45835786616228819</v>
      </c>
      <c r="V76"/>
      <c r="W76" s="2">
        <f t="shared" si="25"/>
        <v>25000</v>
      </c>
      <c r="X76" s="1">
        <f t="shared" si="26"/>
        <v>800</v>
      </c>
      <c r="Y76" s="1">
        <f>Results!F78</f>
        <v>0</v>
      </c>
      <c r="Z76" s="1">
        <f>Results!G78</f>
        <v>0</v>
      </c>
      <c r="AA76" s="1">
        <f>Results!H78</f>
        <v>0</v>
      </c>
      <c r="AB76" s="1">
        <f>Results!I78</f>
        <v>0</v>
      </c>
      <c r="AC76" s="1" t="e">
        <f>IF(ISBLANK(Input!$O$4),NA(),'Reaction Information'!$E$5-'Reaction Information'!$G$5*(Calculations!$O76-Calculations!$C$8)+'Reaction Information'!$I$5*(Calculations!$O76-Calculations!$C$8-Calculations!$O76*LN(Calculations!$O76/Calculations!$C$8))+'Reaction Information'!$J$5*0.001/2*(2*Calculations!$O76*Calculations!$C$8-Calculations!$O76^2-Calculations!$C$8^2) + 'Reaction Information'!$K$5*100000*(Calculations!$O76^2 + Calculations!$C$8^2 - 2*Calculations!$O76*Calculations!$C$8)/(2*Calculations!$O76*Calculations!$C$8^2))</f>
        <v>#N/A</v>
      </c>
      <c r="AD76" s="8" t="e">
        <f>IF(ISBLANK(Input!$R$4),NA(),'Reaction Information'!$E$9-'Reaction Information'!$G$9*(Calculations!$O76-Calculations!$C$8)+'Reaction Information'!$I$9*(Calculations!$O76-Calculations!$C$8-Calculations!$O76*LN(Calculations!$O76/Calculations!$C$8))+'Reaction Information'!$J$9*0.001/2*(2*Calculations!$O76*Calculations!$C$8-Calculations!$O76^2-Calculations!$C$8^2) + 'Reaction Information'!$K$9*100000*(Calculations!$O76^2 + Calculations!$C$8^2 - 2*Calculations!$O76*Calculations!$C$8)/(2*Calculations!$O76*Calculations!$C$8^2))</f>
        <v>#N/A</v>
      </c>
      <c r="AE76" s="8">
        <f>IF(AE$5="H2O",IF($D$24=3,IF(T76=0,NA(),T76),calculateGibbsOfWater(M76,N76,$D$24,$D$20,$D$19=3)),NA())</f>
        <v>-67554.275748090353</v>
      </c>
      <c r="AF76" s="8">
        <f>IF(ISBLANK(Input!$X$4),NA(),'Reaction Information'!$E$13-'Reaction Information'!$G$13*(Calculations!O76-Calculations!$C$8)-'Reaction Information'!$N$13*(Calculations!O76*LN(Calculations!O76/Calculations!$C$8)-Calculations!O76+Calculations!$C$8)-'Reaction Information'!$O$13*10^4*(((1/(Calculations!O76-Calculations!$C$13))-(1/(Calculations!$C$8-Calculations!$C$13)))*((Calculations!$C$13-Calculations!O76)/(Calculations!$C$13))-(Calculations!O76/(Calculations!$C$13*Calculations!$C$13))*LN((Calculations!$C$8*(Calculations!O76-Calculations!$C$13))/(Calculations!O76*(Calculations!$C$8-Calculations!$C$13))))+'Reaction Information'!$J$13*10^-1*(Calculations!M76-Calculations!$C$9)+'Reaction Information'!$K$13*10^2*LN((Calculations!$C$12+Calculations!M76)/(Calculations!$C$12+Calculations!$C$9))+(1/(Calculations!O76-Calculations!$C$13))*('Reaction Information'!$L$13*(Calculations!M76-Calculations!$C$9)+'Reaction Information'!$M$13*10^4*LN((Calculations!$C$12+Calculations!M76)/(Calculations!$C$12+Calculations!$C$9)))+calculateOmega(Calculations!M76,Calculations!N76,Calculations!Q76,'Reaction Information'!$C$13,'Reaction Information'!$P$13*10^5,'Reaction Information'!$Q$13)*((1/Calculations!S76)-1)-'Reaction Information'!$P$13*10^5*((1/Calculations!$C$10)-1)+'Reaction Information'!$P$13*10^5*Calculations!$C$14*(Calculations!O76-Calculations!$C$8))</f>
        <v>-107042.76103490214</v>
      </c>
      <c r="AG76" s="8" t="e">
        <f>IF(ISBLANK(Input!$AA$4),NA(),'Reaction Information'!$E$17-'Reaction Information'!$G$17*(Calculations!$O76-Calculations!$C$8)-'Reaction Information'!$N$17*(Calculations!$O76*LN(Calculations!$O76/Calculations!$C$8)-Calculations!$O76+Calculations!$C$8)-'Reaction Information'!$O$17*10^4*(((1/(Calculations!$O76-Calculations!$C$13))-(1/(Calculations!$C$8-Calculations!$C$13)))*((Calculations!$C$13-Calculations!$O76)/(Calculations!$C$13))-(Calculations!$O76/(Calculations!$C$13*Calculations!$C$13))*LN((Calculations!$C$8*(Calculations!$O76-Calculations!$C$13))/(Calculations!$O76*(Calculations!$C$8-Calculations!$C$13))))+'Reaction Information'!$J$17*10^-1*(Calculations!$M76-Calculations!$C$9)+'Reaction Information'!$K$17*10^2*LN((Calculations!$C$12+Calculations!$M76)/(Calculations!$C$12+Calculations!$C$9))+(1/(Calculations!$O76-Calculations!$C$13))*('Reaction Information'!$L$17*(Calculations!$M76-Calculations!$C$9)+'Reaction Information'!$M$17*10^4*LN((Calculations!$C$12+Calculations!$M76)/(Calculations!$C$12+Calculations!$C$9)))+calculateOmega(Calculations!M76,Calculations!N76,Calculations!Q76,'Reaction Information'!$C$17,'Reaction Information'!$P$17*10^5,'Reaction Information'!$Q$17)*((1/Calculations!$S76)-1)-'Reaction Information'!$P$17*10^5*((1/Calculations!$C$10)-1)+'Reaction Information'!$P$17*10^5*Calculations!$C$14*(Calculations!$O76-Calculations!$C$8))</f>
        <v>#N/A</v>
      </c>
      <c r="AH76" s="8" t="e">
        <f>IF(ISBLANK(Input!$AD$4),NA(),'Reaction Information'!$E$21-'Reaction Information'!$G$21*(Calculations!$O76-Calculations!$C$8)-'Reaction Information'!$N$21*(Calculations!$O76*LN(Calculations!$O76/Calculations!$C$8)-Calculations!$O76+Calculations!$C$8)-'Reaction Information'!$O$21*10^4*(((1/(Calculations!$O76-Calculations!$C$13))-(1/(Calculations!$C$8-Calculations!$C$13)))*((Calculations!$C$13-Calculations!$O76)/(Calculations!$C$13))-(Calculations!$O76/(Calculations!$C$13*Calculations!$C$13))*LN((Calculations!$C$8*(Calculations!$O76-Calculations!$C$13))/(Calculations!$O76*(Calculations!$C$8-Calculations!$C$13))))+'Reaction Information'!$J$21*10^-1*(Calculations!$M76-Calculations!$C$9)+'Reaction Information'!$K$21*10^2*LN((Calculations!$C$12+Calculations!$M76)/(Calculations!$C$12+Calculations!$C$9))+(1/(Calculations!$O76-Calculations!$C$13))*('Reaction Information'!$L$21*(Calculations!$M76-Calculations!$C$9)+'Reaction Information'!$M$21*10^4*LN((Calculations!$C$12+Calculations!$M76)/(Calculations!$C$12+Calculations!$C$9)))+calculateOmega(Calculations!M76,Calculations!N76,Calculations!Q76,'Reaction Information'!$C$21,'Reaction Information'!$P$21*10^5,'Reaction Information'!$Q$21)*((1/Calculations!$S76)-1)-'Reaction Information'!$P$21*10^5*((1/Calculations!$C$10)-1)+'Reaction Information'!$P$21*10^5*Calculations!$C$14*(Calculations!$O76-Calculations!$C$8))</f>
        <v>#N/A</v>
      </c>
      <c r="AI76" s="8" t="e">
        <f>IF(ISBLANK(Input!$AG$4),NA(),'Reaction Information'!$E$25-'Reaction Information'!$G$25*(Calculations!$O76-Calculations!$C$8)-'Reaction Information'!$N$25*(Calculations!$O76*LN(Calculations!$O76/Calculations!$C$8)-Calculations!$O76+Calculations!$C$8)-'Reaction Information'!$O$25*10^4*(((1/(Calculations!$O76-Calculations!$C$13))-(1/(Calculations!$C$8-Calculations!$C$13)))*((Calculations!$C$13-Calculations!$O76)/(Calculations!$C$13))-(Calculations!$O76/(Calculations!$C$13*Calculations!$C$13))*LN((Calculations!$C$8*(Calculations!$O76-Calculations!$C$13))/(Calculations!$O76*(Calculations!$C$8-Calculations!$C$13))))+'Reaction Information'!$J$25*10^-1*(Calculations!$M76-Calculations!$C$9)+'Reaction Information'!$K$25*10^2*LN((Calculations!$C$12+Calculations!$M76)/(Calculations!$C$12+Calculations!$C$9))+(1/(Calculations!$O76-Calculations!$C$13))*('Reaction Information'!$L$25*(Calculations!$M76-Calculations!$C$9)+'Reaction Information'!$M$25*10^4*LN((Calculations!$C$12+Calculations!$M76)/(Calculations!$C$12+Calculations!$C$9)))+calculateOmega(Calculations!M76,Calculations!N76,Calculations!Q76,'Reaction Information'!$C$25,'Reaction Information'!$P$25*10^5,'Reaction Information'!$Q$25)*((1/Calculations!$S76)-1)-'Reaction Information'!$P$25*10^5*((1/Calculations!$C$10)-1)+'Reaction Information'!$P$25*10^5*Calculations!$C$14*(Calculations!$O76-Calculations!$C$8))</f>
        <v>#N/A</v>
      </c>
      <c r="AJ76" s="8" t="e">
        <f>IF(ISBLANK(Input!$AJ$4),NA(),'Reaction Information'!$E$29-'Reaction Information'!$G$29*(Calculations!$O76-Calculations!$C$8)-'Reaction Information'!$N$29*(Calculations!$O76*LN(Calculations!$O76/Calculations!$C$8)-Calculations!$O76+Calculations!$C$8)-'Reaction Information'!$O$29*10^4*(((1/(Calculations!$O76-Calculations!$C$13))-(1/(Calculations!$C$8-Calculations!$C$13)))*((Calculations!$C$13-Calculations!$O76)/(Calculations!$C$13))-(Calculations!$O76/(Calculations!$C$13*Calculations!$C$13))*LN((Calculations!$C$8*(Calculations!$O76-Calculations!$C$13))/(Calculations!$O76*(Calculations!$C$8-Calculations!$C$13))))+'Reaction Information'!$J$29*10^-1*(Calculations!$M76-Calculations!$C$9)+'Reaction Information'!$K$29*10^2*LN((Calculations!$C$12+Calculations!$M76)/(Calculations!$C$12+Calculations!$C$9))+(1/(Calculations!$O76-Calculations!$C$13))*('Reaction Information'!$L$29*(Calculations!$M76-Calculations!$C$9)+'Reaction Information'!$M$29*10^4*LN((Calculations!$C$12+Calculations!$M76)/(Calculations!$C$12+Calculations!$C$9)))+calculateOmega(Calculations!M76,Calculations!N76,Calculations!Q76,'Reaction Information'!$C$29,'Reaction Information'!$P$29*10^5,'Reaction Information'!$Q$29)*((1/Calculations!$S76)-1)-'Reaction Information'!$P$29*10^5*((1/Calculations!$C$10)-1)+'Reaction Information'!$P$29*10^5*Calculations!$C$14*(Calculations!$O76-Calculations!$C$8))</f>
        <v>#N/A</v>
      </c>
      <c r="AK76" s="8" t="e">
        <f>IF(ISBLANK(Input!$AM$4),NA(),'Reaction Information'!$E$33-'Reaction Information'!$G$33*(Calculations!$O76-Calculations!$C$8)-'Reaction Information'!$N$33*(Calculations!$O76*LN(Calculations!$O76/Calculations!$C$8)-Calculations!$O76+Calculations!$C$8)-'Reaction Information'!$O$33*10^4*(((1/(Calculations!$O76-Calculations!$C$13))-(1/(Calculations!$C$8-Calculations!$C$13)))*((Calculations!$C$13-Calculations!$O76)/(Calculations!$C$13))-(Calculations!$O76/(Calculations!$C$13*Calculations!$C$13))*LN((Calculations!$C$8*(Calculations!$O76-Calculations!$C$13))/(Calculations!$O76*(Calculations!$C$8-Calculations!$C$13))))+'Reaction Information'!$J$33*10^-1*(Calculations!$M76-Calculations!$C$9)+'Reaction Information'!$K$33*10^2*LN((Calculations!$C$12+Calculations!$M76)/(Calculations!$C$12+Calculations!$C$9))+(1/(Calculations!$O76-Calculations!$C$13))*('Reaction Information'!$L$33*(Calculations!$M76-Calculations!$C$9)+'Reaction Information'!$M$33*10^4*LN((Calculations!$C$12+Calculations!$M76)/(Calculations!$C$12+Calculations!$C$9)))+calculateOmega(Calculations!M76,Calculations!N76,Calculations!Q76,'Reaction Information'!$C$33,'Reaction Information'!$P$33*10^5,'Reaction Information'!$Q$33)*((1/Calculations!$S76)-1)-'Reaction Information'!$P$33*10^5*((1/Calculations!$C$10)-1)+'Reaction Information'!$P$33*10^5*Calculations!$C$14*(Calculations!$O76-Calculations!$C$8))</f>
        <v>#N/A</v>
      </c>
      <c r="AL76" s="1">
        <f>Results!S78</f>
        <v>0</v>
      </c>
      <c r="AM76" s="1">
        <f>Results!T78</f>
        <v>0</v>
      </c>
      <c r="AN76" s="1">
        <f>Results!U78</f>
        <v>0</v>
      </c>
      <c r="AO76" s="1">
        <f>Results!V78</f>
        <v>0</v>
      </c>
      <c r="AP76" s="8" t="e">
        <f>IF(ISBLANK(Input!$BB$4),NA(),'Reaction Information'!$E$38-'Reaction Information'!$G$38*(Calculations!$O76-Calculations!$C$8)+'Reaction Information'!$I$38*(Calculations!$O76-Calculations!$C$8-Calculations!$O76*LN(Calculations!$O76/Calculations!$C$8))+'Reaction Information'!$J$38*0.001/2*(2*Calculations!$O76*Calculations!$C$8-Calculations!$O76^2-Calculations!$C$8^2) + 'Reaction Information'!$K$38*100000*(Calculations!$O76^2 + Calculations!$C$8^2 - 2*Calculations!$O76*Calculations!$C$8)/(2*Calculations!$O76*Calculations!$C$8^2))</f>
        <v>#N/A</v>
      </c>
      <c r="AQ76" s="8" t="e">
        <f>IF(ISBLANK(Input!$BE$4),NA(),'Reaction Information'!$E$42-'Reaction Information'!$G$42*(Calculations!$O76-Calculations!$C$8)+'Reaction Information'!$I$42*(Calculations!$O76-Calculations!$C$8-Calculations!$O76*LN(Calculations!$O76/Calculations!$C$8))+'Reaction Information'!$J$42*0.001/2*(2*Calculations!$O76*Calculations!$C$8-Calculations!$O76^2-Calculations!$C$8^2) + 'Reaction Information'!$K$42*100000*(Calculations!$O76^2 + Calculations!$C$8^2 - 2*Calculations!$O76*Calculations!$C$8)/(2*Calculations!$O76*Calculations!$C$8^2))</f>
        <v>#N/A</v>
      </c>
      <c r="AR76" s="8" t="e">
        <f>IF(AR$5="H2O", IF($D$24=3,IF(T76=0,NA(),T76),calculateGibbsOfWater(M76,N76,$D$24,$D$20,$D$19=3)),NA())</f>
        <v>#N/A</v>
      </c>
      <c r="AS76" s="8">
        <f>IF(ISBLANK(Input!$BK$4),NA(),'Reaction Information'!$E$46-'Reaction Information'!$G$46*(Calculations!O76-Calculations!$C$8)-'Reaction Information'!$N$46*(Calculations!O76*LN(Calculations!O76/Calculations!$C$8)-Calculations!O76+Calculations!$C$8)-'Reaction Information'!$O$46*10^4*(((1/(Calculations!O76-Calculations!$C$13))-(1/(Calculations!$C$8-Calculations!$C$13)))*((Calculations!$C$13-Calculations!O76)/(Calculations!$C$13))-(Calculations!O76/(Calculations!$C$13*Calculations!$C$13))*LN((Calculations!$C$8*(Calculations!O76-Calculations!$C$13))/(Calculations!O76*(Calculations!$C$8-Calculations!$C$13))))+'Reaction Information'!$J$46*10^-1*(Calculations!$M76-Calculations!$C$9)+'Reaction Information'!$K$46*10^2*LN((Calculations!$C$12+Calculations!$M76)/(Calculations!$C$12+Calculations!$C$9))+(1/(Calculations!O76-Calculations!$C$13))*('Reaction Information'!$L$46*(Calculations!$M76-Calculations!$C$9)+'Reaction Information'!$M$46*10^4*LN((Calculations!$C$12+Calculations!$M76)/(Calculations!$C$12+Calculations!$C$9)))+calculateOmega(Calculations!M76,Calculations!N76,Calculations!Q76,'Reaction Information'!$C$46,'Reaction Information'!$P$46*10^5,'Reaction Information'!$Q$46)*((1/Calculations!S76)-1)-'Reaction Information'!$P$46*10^5*((1/Calculations!$C$10)-1)+'Reaction Information'!$P$46*10^5*Calculations!$C$14*(Calculations!O76-Calculations!$C$8))</f>
        <v>0</v>
      </c>
      <c r="AT76" s="8">
        <f>IF(ISBLANK(Input!$BN$4),NA(),'Reaction Information'!$E$50-'Reaction Information'!$G$50*(Calculations!O76-Calculations!$C$8)-'Reaction Information'!$N$50*(Calculations!O76*LN(Calculations!O76/Calculations!$C$8)-Calculations!O76+Calculations!$C$8)-'Reaction Information'!$O$50*10^4*(((1/(Calculations!O76-Calculations!$C$13))-(1/(Calculations!$C$8-Calculations!$C$13)))*((Calculations!$C$13-Calculations!O76)/(Calculations!$C$13))-(Calculations!O76/(Calculations!$C$13*Calculations!$C$13))*LN((Calculations!$C$8*(Calculations!O76-Calculations!$C$13))/(Calculations!O76*(Calculations!$C$8-Calculations!$C$13))))+'Reaction Information'!$J$50*10^-1*(Calculations!$M76-Calculations!$C$9)+'Reaction Information'!$K$50*10^2*LN((Calculations!$C$12+Calculations!$M76)/(Calculations!$C$12+Calculations!$C$9))+(1/(Calculations!O76-Calculations!$C$13))*('Reaction Information'!$L$50*(Calculations!$M76-Calculations!$C$9)+'Reaction Information'!$M$50*10^4*LN((Calculations!$C$12+Calculations!$M76)/(Calculations!$C$12+Calculations!$C$9)))+calculateOmega(Calculations!M76,Calculations!N76,Calculations!Q76,'Reaction Information'!$C$50,'Reaction Information'!$P$50*10^5,'Reaction Information'!$Q$50)*((1/Calculations!S76)-1)-'Reaction Information'!$P$50*10^5*((1/Calculations!$C$10)-1)+'Reaction Information'!$P$50*10^5*Calculations!$C$14*(Calculations!O76-Calculations!$C$8))</f>
        <v>-145332.85363530379</v>
      </c>
      <c r="AU76" s="8" t="e">
        <f>IF(ISBLANK(Input!$BQ$4),NA(),'Reaction Information'!$E$54-'Reaction Information'!$G$54*(Calculations!$O76-Calculations!$C$8)-'Reaction Information'!$N$54*(Calculations!$O76*LN(Calculations!$O76/Calculations!$C$8)-Calculations!$O76+Calculations!$C$8)-'Reaction Information'!$O$54*10^4*(((1/(Calculations!$O76-Calculations!$C$13))-(1/(Calculations!$C$8-Calculations!$C$13)))*((Calculations!$C$13-Calculations!$O76)/(Calculations!$C$13))-(Calculations!$O76/(Calculations!$C$13*Calculations!$C$13))*LN((Calculations!$C$8*(Calculations!$O76-Calculations!$C$13))/(Calculations!$O76*(Calculations!$C$8-Calculations!$C$13))))+'Reaction Information'!$J$54*10^-1*(Calculations!$M76-Calculations!$C$9)+'Reaction Information'!$K$54*10^2*LN((Calculations!$C$12+Calculations!$M76)/(Calculations!$C$12+Calculations!$C$9))+(1/(Calculations!$O76-Calculations!$C$13))*('Reaction Information'!$L$54*(Calculations!$M76-Calculations!$C$9)+'Reaction Information'!$M$54*10^4*LN((Calculations!$C$12+Calculations!$M76)/(Calculations!$C$12+Calculations!$C$9)))+calculateOmega(Calculations!M76,Calculations!N76,Calculations!Q76,'Reaction Information'!$C$54,'Reaction Information'!$P$54*10^5,'Reaction Information'!$Q$54)*((1/Calculations!$S76)-1)-'Reaction Information'!$P$54*10^5*((1/Calculations!$C$10)-1)+'Reaction Information'!$P$54*10^5*Calculations!$C$14*(Calculations!$O76-Calculations!$C$8))</f>
        <v>#N/A</v>
      </c>
      <c r="AV76" s="8" t="e">
        <f>IF(ISBLANK(Input!$BT$4),NA(),'Reaction Information'!$E$58-'Reaction Information'!$G$58*(Calculations!$O76-Calculations!$C$8)-'Reaction Information'!$N$58*(Calculations!$O76*LN(Calculations!$O76/Calculations!$C$8)-Calculations!$O76+Calculations!$C$8)-'Reaction Information'!$O$58*10^4*(((1/(Calculations!$O76-Calculations!$C$13))-(1/(Calculations!$C$8-Calculations!$C$13)))*((Calculations!$C$13-Calculations!$O76)/(Calculations!$C$13))-(Calculations!$O76/(Calculations!$C$13*Calculations!$C$13))*LN((Calculations!$C$8*(Calculations!$O76-Calculations!$C$13))/(Calculations!$O76*(Calculations!$C$8-Calculations!$C$13))))+'Reaction Information'!$J$58*10^-1*(Calculations!$M76-Calculations!$C$9)+'Reaction Information'!$K$58*10^2*LN((Calculations!$C$12+Calculations!$M76)/(Calculations!$C$12+Calculations!$C$9))+(1/(Calculations!$O76-Calculations!$C$13))*('Reaction Information'!$L$58*(Calculations!$M76-Calculations!$C$9)+'Reaction Information'!$M$58*10^4*LN((Calculations!$C$12+Calculations!$M76)/(Calculations!$C$12+Calculations!$C$9)))+calculateOmega(Calculations!M76,Calculations!N76,Calculations!Q76,'Reaction Information'!$C$58,'Reaction Information'!$P$58*10^5,'Reaction Information'!$Q$58)*((1/Calculations!$S76)-1)-'Reaction Information'!$P$58*10^5*((1/Calculations!$C$10)-1)+'Reaction Information'!$P$58*10^5*Calculations!$C$14*(Calculations!$O76-Calculations!$C$8))</f>
        <v>#N/A</v>
      </c>
      <c r="AW76" s="8" t="e">
        <f>IF(ISBLANK(Input!$BW$4),NA(),'Reaction Information'!$E$62-'Reaction Information'!$G$62*(Calculations!$O76-Calculations!$C$8)-'Reaction Information'!$N$62*(Calculations!$O76*LN(Calculations!$O76/Calculations!$C$8)-Calculations!$O76+Calculations!$C$8)-'Reaction Information'!$O$62*10^4*(((1/(Calculations!$O76-Calculations!$C$13))-(1/(Calculations!$C$8-Calculations!$C$13)))*((Calculations!$C$13-Calculations!$O76)/(Calculations!$C$13))-(Calculations!$O76/(Calculations!$C$13*Calculations!$C$13))*LN((Calculations!$C$8*(Calculations!$O76-Calculations!$C$13))/(Calculations!$O76*(Calculations!$C$8-Calculations!$C$13))))+'Reaction Information'!$J$62*10^-1*(Calculations!$M76-Calculations!$C$9)+'Reaction Information'!$K$62*10^2*LN((Calculations!$C$12+Calculations!$M76)/(Calculations!$C$12+Calculations!$C$9))+(1/(Calculations!$O76-Calculations!$C$13))*('Reaction Information'!$L$62*(Calculations!$M76-Calculations!$C$9)+'Reaction Information'!$M$62*10^4*LN((Calculations!$C$12+Calculations!$M76)/(Calculations!$C$12+Calculations!$C$9)))+calculateOmega(Calculations!M76,Calculations!N76,Calculations!Q76,'Reaction Information'!$C$62,'Reaction Information'!$P$62*10^5,'Reaction Information'!$Q$62)*((1/Calculations!$S76)-1)-'Reaction Information'!$P$62*10^5*((1/Calculations!$C$10)-1)+'Reaction Information'!$P$62*10^5*Calculations!$C$14*(Calculations!$O76-Calculations!$C$8))</f>
        <v>#N/A</v>
      </c>
      <c r="AX76" s="8" t="e">
        <f>IF(ISBLANK(Input!$BZ$4),NA(),'Reaction Information'!$E$66-'Reaction Information'!$G$66*(Calculations!$O76-Calculations!$C$8)-'Reaction Information'!$N$66*(Calculations!$O76*LN(Calculations!$O76/Calculations!$C$8)-Calculations!$O76+Calculations!$C$8)-'Reaction Information'!$O$66*10^4*(((1/(Calculations!$O76-Calculations!$C$13))-(1/(Calculations!$C$8-Calculations!$C$13)))*((Calculations!$C$13-Calculations!$O76)/(Calculations!$C$13))-(Calculations!$O76/(Calculations!$C$13*Calculations!$C$13))*LN((Calculations!$C$8*(Calculations!$O76-Calculations!$C$13))/(Calculations!$O76*(Calculations!$C$8-Calculations!$C$13))))+'Reaction Information'!$J$66*10^-1*(Calculations!$M76-Calculations!$C$9)+'Reaction Information'!$K$66*10^2*LN((Calculations!$C$12+Calculations!$M76)/(Calculations!$C$12+Calculations!$C$9))+(1/(Calculations!$O76-Calculations!$C$13))*('Reaction Information'!$L$66*(Calculations!$M76-Calculations!$C$9)+'Reaction Information'!$M$66*10^4*LN((Calculations!$C$12+Calculations!$M76)/(Calculations!$C$12+Calculations!$C$9)))+calculateOmega(Calculations!M76,Calculations!N76,Calculations!Q76,'Reaction Information'!$C$66,'Reaction Information'!$P$66*10^5,'Reaction Information'!$Q$66)*((1/Calculations!$S76)-1)-'Reaction Information'!$P$66*10^5*((1/Calculations!$C$10)-1)+'Reaction Information'!$P$66*10^5*Calculations!$C$14*(Calculations!$O76-Calculations!$C$8))</f>
        <v>#N/A</v>
      </c>
      <c r="AY76" s="31">
        <f>(AL76*Input!$AO$4+AM76*Input!$AR$4+AN76*Input!$AU$4+AO76*Input!$AX$4+IF(ISNA(AP76),0,AP76*Input!$BA$4)+IF(ISNA(AQ76),0,AQ76*Input!$BD$4)+IF(ISNA(AR76),0,AR76*Input!$BG$4)+IF(ISNA(AS76),0,AS76*Input!$BJ$4)+IF(ISNA(AT76),0,AT76*Input!$BM$4)+IF(ISNA(AU76),0,AU76*Input!$BP$4)+IF(ISNA(AV76),0,AV76*Input!$BS$4)+IF(ISNA(AW76),0,AW76*Input!$BV$4)+IF(ISNA(AX76),0,AX76*Input!$BY$4))-(Y76*Input!$B$4+Z76*Input!$E$4+AA76*Input!$H$4+AB76*Input!$K$4+IF(ISNA(AC76),0,AC76*Input!$N$4)+IF(ISNA(AD76),0,AD76*Input!$Q$4)+IF(ISNA(AE76),0,AE76*Input!$T$4)+IF(ISNA(AF76),0,AF76*Input!$W$4)+IF(ISNA(AG76),0,AG76*Input!$Z$4)+IF(ISNA(AH76),0,AH76*Input!$AC$4)+IF(ISNA(AI76),0,AI76*Input!$AF$4)+IF(ISNA(AJ76),0,AJ76*Input!$AI$4)+IF(ISNA(AK76),0,AK76*Input!$AL$4))</f>
        <v>29264.183147688687</v>
      </c>
      <c r="AZ76" s="42">
        <f t="shared" si="20"/>
        <v>-5.9635909882074349</v>
      </c>
      <c r="BA76" s="1">
        <f t="shared" si="27"/>
        <v>800</v>
      </c>
      <c r="BB76" s="46">
        <f t="shared" si="28"/>
        <v>25000</v>
      </c>
      <c r="BC76" s="1"/>
      <c r="BD76" s="2">
        <f t="shared" si="29"/>
        <v>25000</v>
      </c>
      <c r="BE76" s="46">
        <f t="shared" si="30"/>
        <v>800</v>
      </c>
      <c r="BF76" s="1">
        <f>Results!AJ78</f>
        <v>0</v>
      </c>
      <c r="BG76" s="1">
        <f>Results!AK78</f>
        <v>0</v>
      </c>
      <c r="BH76" s="1">
        <f>Results!AL78</f>
        <v>0</v>
      </c>
      <c r="BI76" s="1">
        <f>Results!AM78</f>
        <v>0</v>
      </c>
      <c r="BJ76" s="1" t="e">
        <f>IF(OR(ISNA('Reaction Information'!$D$5), $N76 = "", $D$27 = FALSE, 'Reaction Information'!$D$5 = ""), NA(), 24.465)</f>
        <v>#N/A</v>
      </c>
      <c r="BK76" s="1" t="e">
        <f>IF(OR(ISNA('Reaction Information'!$D$9), $N76 = "", $D$27 = FALSE, 'Reaction Information'!$D$9 = ""), NA(), 24.465)</f>
        <v>#N/A</v>
      </c>
      <c r="BL76" s="8">
        <f t="shared" si="21"/>
        <v>16.006844922715757</v>
      </c>
      <c r="BM76" s="8">
        <f>IF(OR(ISBLANK(Input!$X$4),$D$27=FALSE),NA(),('Reaction Information'!$J$13/10+'Reaction Information'!$K$13*100/(Calculations!$C$12+Calculations!$M76)+('Reaction Information'!$L$13+'Reaction Information'!$M$13*10^4/(Calculations!$C$12+Calculations!$M76))/(Calculations!$O76-Calculations!$C$13) -calculateOmega(Calculations!$M76,Calculations!$N76,Calculations!$Q76,'Reaction Information'!$C$13,'Reaction Information'!$P$13*10^5,'Reaction Information'!$Q$13)*Calculations!$U76*10^-6 + (1/$S76 - 1)*calculate_domegadP(Calculations!$M76,Calculations!$N76,Calculations!$Q76,'Reaction Information'!$C$13,'Reaction Information'!$P$13*10^5,'Reaction Information'!$Q$13,$D$20,$D$19=3))*41.84)</f>
        <v>31.113526847739415</v>
      </c>
      <c r="BN76" s="8" t="e">
        <f>IF(OR(ISBLANK(Input!$AA$4),$D$27=FALSE),NA(),('Reaction Information'!$J$17/10+'Reaction Information'!$K$17*100/(Calculations!$C$12+Calculations!$M76)+('Reaction Information'!$L$17+'Reaction Information'!$M$17*10000/(Calculations!$C$12+Calculations!$M76))/(Calculations!$O76-Calculations!$C$13)-calculateOmega(Calculations!M76,Calculations!N76,Calculations!Q76,'Reaction Information'!$C$17,'Reaction Information'!$P$17*10^5,'Reaction Information'!$Q$17)*Calculations!$U76*10^-6 + (1/$S76 - 1)*calculate_domegadP(Calculations!M76,Calculations!N76,Calculations!Q76,'Reaction Information'!$C$17,'Reaction Information'!$P$17*10^5,'Reaction Information'!$Q$17,$D$20,$D$19=3))*41.84)</f>
        <v>#N/A</v>
      </c>
      <c r="BO76" s="8" t="e">
        <f>IF(OR(ISBLANK(Input!$AD$4),$D$27=FALSE),NA(),('Reaction Information'!$J$21/10+'Reaction Information'!$K$21*100/(Calculations!$C$12+Calculations!$M76)+('Reaction Information'!$L$21+'Reaction Information'!$M$21*10000/(Calculations!$C$12+Calculations!$M76))/(Calculations!$O76-Calculations!$C$13)-calculateOmega(Calculations!M76,Calculations!N76,Calculations!Q76,'Reaction Information'!$C$21,'Reaction Information'!$P$21*10^5,'Reaction Information'!$Q$21)*Calculations!$U76*10^-6 + (1/$S76 - 1)*calculate_domegadP(Calculations!M76,Calculations!N76,Calculations!Q76,'Reaction Information'!$C$21,'Reaction Information'!$P$21*10^5,'Reaction Information'!$Q$21,$D$20,$D$19=3))*41.84)</f>
        <v>#N/A</v>
      </c>
      <c r="BP76" s="8" t="e">
        <f>IF(OR(ISBLANK(Input!$AG$4),$D$27=FALSE),NA(),('Reaction Information'!$J$25/10+'Reaction Information'!$K$25*100/(Calculations!$C$12+Calculations!$M76)+('Reaction Information'!$L$25+'Reaction Information'!$M$25*10000/(Calculations!$C$12+Calculations!$M76))/(Calculations!$O76-Calculations!$C$13)-calculateOmega(Calculations!M76,Calculations!N76,Calculations!Q76,'Reaction Information'!$C$25,'Reaction Information'!$P$25*10^5,'Reaction Information'!$Q$25)*Calculations!$U76*10^-6 + (1/$S76 - 1)*calculate_domegadP(Calculations!M76,Calculations!N76,Calculations!Q76,'Reaction Information'!$C$25,'Reaction Information'!$P$25*10^5,'Reaction Information'!$Q$25,$D$20,$D$19=3))*41.84)</f>
        <v>#N/A</v>
      </c>
      <c r="BQ76" s="8" t="e">
        <f>IF(OR(ISBLANK(Input!$AJ$4),$D$27=FALSE),NA(),('Reaction Information'!$J$29/10+'Reaction Information'!$K$29*100/(Calculations!$C$12+Calculations!$M76)+('Reaction Information'!$L$29+'Reaction Information'!$M$29*10000/(Calculations!$C$12+Calculations!$M76))/(Calculations!$O76-Calculations!$C$13)-calculateOmega(Calculations!M76,Calculations!N76,Calculations!Q76,'Reaction Information'!$C$29,'Reaction Information'!$P$29*10^5,'Reaction Information'!$Q$29)*Calculations!$U76*10^-6 + (1/$S76 - 1)*calculate_domegadP(Calculations!M76,Calculations!N76,Calculations!Q76,'Reaction Information'!$C$29,'Reaction Information'!$P$29*10^5,'Reaction Information'!$Q$29,$D$20,$D$19=3))*41.84)</f>
        <v>#N/A</v>
      </c>
      <c r="BR76" s="8" t="e">
        <f>IF(OR(ISBLANK(Input!$AM$4),$D$27=FALSE),NA(),('Reaction Information'!$J$33/10+'Reaction Information'!$K$33*100/(Calculations!$C$12+Calculations!$M76)+('Reaction Information'!$L$33+'Reaction Information'!$M$33*10000/(Calculations!$C$12+Calculations!$M76))/(Calculations!$O76-Calculations!$C$13)-calculateOmega(Calculations!M76,Calculations!N76,Calculations!Q76,'Reaction Information'!$C$33,'Reaction Information'!$P$33*10^5,'Reaction Information'!$Q$33)*Calculations!$U76*10^-6 + (1/$S76 - 1)*calculate_domegadP(Calculations!M76,Calculations!N76,Calculations!Q76,'Reaction Information'!$C$33,'Reaction Information'!$P$33*10^5,'Reaction Information'!$Q$33,$D$20,$D$19=3))*41.84)</f>
        <v>#N/A</v>
      </c>
      <c r="BS76" s="1">
        <f>Results!AW78</f>
        <v>0</v>
      </c>
      <c r="BT76" s="1">
        <f>Results!AX78</f>
        <v>0</v>
      </c>
      <c r="BU76" s="1">
        <f>Results!AY78</f>
        <v>0</v>
      </c>
      <c r="BV76" s="1">
        <f>Results!AZ78</f>
        <v>0</v>
      </c>
      <c r="BW76" s="1" t="e">
        <f>IF(OR(ISNA('Reaction Information'!$D$38), $N76 = "", $D$27 = FALSE, 'Reaction Information'!$D$38 = ""), NA(), 24.465)</f>
        <v>#N/A</v>
      </c>
      <c r="BX76" s="1" t="e">
        <f>IF(OR(ISNA('Reaction Information'!$D$42), $N76 = "", $D$27 = FALSE, 'Reaction Information'!$D$42 = ""), NA(), 24.465)</f>
        <v>#N/A</v>
      </c>
      <c r="BY76" s="8" t="e">
        <f t="shared" si="22"/>
        <v>#N/A</v>
      </c>
      <c r="BZ76" s="8">
        <f>IF(OR(ISBLANK(Input!$BK$4),$D$27=FALSE),NA(),('Reaction Information'!$J$46/10+'Reaction Information'!$K$46*100/(Calculations!$C$12+Calculations!$M76)+('Reaction Information'!$L$46+'Reaction Information'!$M$46*10000/(Calculations!$C$12+Calculations!$M76))/(Calculations!$O76-Calculations!$C$13)-calculateOmega(Calculations!M76,Calculations!N76,Calculations!Q76,'Reaction Information'!$C$46,'Reaction Information'!$P$46*10^5,'Reaction Information'!$Q$46)*Calculations!$U76*10^-6 + (1/$S76 - 1)*calculate_domegadP(Calculations!M76,Calculations!N76,Calculations!Q76,'Reaction Information'!$C$46,'Reaction Information'!$P$46*10^5,'Reaction Information'!$Q$46,$D$20,$D$19=3))*41.84)</f>
        <v>0</v>
      </c>
      <c r="CA76" s="8">
        <f>IF(OR(ISBLANK(Input!$BN$4),$D$27=FALSE),NA(),('Reaction Information'!$J$50/10+'Reaction Information'!$K$50*100/(Calculations!$C$12+Calculations!$M76)+('Reaction Information'!$L$50+'Reaction Information'!$M$50*10000/(Calculations!$C$12+Calculations!$M76))/(Calculations!$O76-Calculations!$C$13)-calculateOmega(Calculations!M76,Calculations!N76,Calculations!Q76,'Reaction Information'!$C$50,'Reaction Information'!$P$50*10^5,'Reaction Information'!$Q$50)*Calculations!$U76*10^-6 + (1/$S76 - 1)*calculate_domegadP(Calculations!M76,Calculations!N76,Calculations!Q76,'Reaction Information'!$C$50,'Reaction Information'!$P$50*10^5,'Reaction Information'!$Q$50,$D$20,$D$19=3))*41.84)</f>
        <v>29.684292382230513</v>
      </c>
      <c r="CB76" s="8" t="e">
        <f>IF(OR(ISBLANK(Input!$BQ$4),$D$27=FALSE),NA(),('Reaction Information'!$J$54/10+'Reaction Information'!$K$54*100/(Calculations!$C$12+Calculations!$M76)+('Reaction Information'!$L$54+'Reaction Information'!$M$54*10000/(Calculations!$C$12+Calculations!$M76))/(Calculations!$O76-Calculations!$C$13)-calculateOmega(Calculations!M76,Calculations!N76,Calculations!Q76,'Reaction Information'!$C$54,'Reaction Information'!$P$54*10^5,'Reaction Information'!$Q$54)*Calculations!$U76*10^-6 + (1/$S76 - 1)*calculate_domegadP(Calculations!M76,Calculations!N76,Calculations!Q76,'Reaction Information'!$C$54,'Reaction Information'!$P$54*10^5,'Reaction Information'!$Q$54,$D$20,$D$19=3))*41.84)</f>
        <v>#N/A</v>
      </c>
      <c r="CC76" s="8" t="e">
        <f>IF(OR(ISBLANK(Input!$BT$4),$D$27=FALSE),NA(),('Reaction Information'!$J$58/10+'Reaction Information'!$K$58*100/(Calculations!$C$12+Calculations!$M76)+('Reaction Information'!$L$58+'Reaction Information'!$M$58*10000/(Calculations!$C$12+Calculations!$M76))/(Calculations!$O76-Calculations!$C$13)-calculateOmega(Calculations!M76,Calculations!N76,Calculations!Q76,'Reaction Information'!$C$58,'Reaction Information'!$P$58*10^5,'Reaction Information'!$Q$58)*Calculations!$U76*10^-6 + (1/$S76 - 1)*calculate_domegadP(Calculations!M76,Calculations!N76,Calculations!Q76,'Reaction Information'!$C$58,'Reaction Information'!$P$58*10^5,'Reaction Information'!$Q$58,$D$20,$D$19=3))*41.84)</f>
        <v>#N/A</v>
      </c>
      <c r="CD76" s="8" t="e">
        <f>IF(OR(ISBLANK(Input!$BW$4),$D$27=FALSE),NA(),('Reaction Information'!$J$62/10+'Reaction Information'!$K$62*100/(Calculations!$C$12+Calculations!$M76)+('Reaction Information'!$L$62+'Reaction Information'!$M$62*10000/(Calculations!$C$12+Calculations!$M76))/(Calculations!$O76-Calculations!$C$13)-calculateOmega(Calculations!M76,Calculations!N76,Calculations!Q76,'Reaction Information'!$C$62,'Reaction Information'!$P$62*10^5,'Reaction Information'!$Q$62)*Calculations!$U76*10^-6 + (1/$S76 - 1)*calculate_domegadP(Calculations!M76,Calculations!N76,Calculations!Q76,'Reaction Information'!$C$62,'Reaction Information'!$P$62*10^5,'Reaction Information'!$Q$62,$D$20,$D$19=3))*41.84)</f>
        <v>#N/A</v>
      </c>
      <c r="CE76" s="8" t="e">
        <f>IF(OR(ISBLANK(Input!$BZ$4),$D$27=FALSE),NA(),('Reaction Information'!$J$66/10+'Reaction Information'!$K$66*100/(Calculations!$C$12+Calculations!$M76)+('Reaction Information'!$L$66+'Reaction Information'!$M$66*10000/(Calculations!$C$12+Calculations!$M76))/(Calculations!$O76-Calculations!$C$13)-calculateOmega(Calculations!M76,Calculations!N76,Calculations!Q76,'Reaction Information'!$C$66,'Reaction Information'!$P$66*10^5,'Reaction Information'!$Q$66)*Calculations!$U76*10^-6 + (1/$S76 - 1)*calculate_domegadP(Calculations!M76,Calculations!N76,Calculations!Q76,'Reaction Information'!$C$66,'Reaction Information'!$P$66*10^5,'Reaction Information'!$Q$66,$D$20,$D$19=3))*41.84)</f>
        <v>#N/A</v>
      </c>
      <c r="CF76" s="31">
        <f>(BS76*Input!$AO$4+BT76*Input!$AR$4+BU76*Input!$AU$4+BV76*Input!$AX$4+IF(ISNA(BW76),0,BW76*Input!$BA$4)+IF(ISNA(BX76),0,BX76*Input!$BD$4)+IF(ISNA(BY76),0,BY76*Input!$BG$4)+IF(ISNA(BZ76),0,BZ76*Input!$BJ$4)+IF(ISNA(CA76),0,CA76*Input!$BM$4)+IF(ISNA(CB76),0,CB76*Input!$BP$4)+IF(ISNA(CC76),0,CC76*Input!$BS$4)+IF(ISNA(CD76),0,CD76*Input!$BV$4)+IF(ISNA(CE76),0,CE76*Input!$BY$4))-(BF76*Input!$B$4+BG76*Input!$E$4+BH76*Input!$H$4+BI76*Input!$K$4+IF(ISNA(BJ76),0,BJ76*Input!$N$4)+IF(ISNA(BK76),0,BK76*Input!$Q$4)+IF(ISNA(BL76),0,BL76*Input!$T$4)+IF(ISNA(BM76),0,BM76*Input!$W$4)+IF(ISNA(BN76),0,BN76*Input!$Z$4)+IF(ISNA(BO76),0,BO76*Input!$AC$4)+IF(ISNA(BP76),0,BP76*Input!$AF$4)+IF(ISNA(BQ76),0,BQ76*Input!$AI$4)+IF(ISNA(BR76),0,BR76*Input!$AL$4))</f>
        <v>-17.436079388224659</v>
      </c>
      <c r="CG76" s="1">
        <f t="shared" si="31"/>
        <v>800</v>
      </c>
      <c r="CH76" s="46">
        <f t="shared" si="32"/>
        <v>25000</v>
      </c>
      <c r="CI76" s="1"/>
    </row>
    <row r="77" spans="1:87" x14ac:dyDescent="0.2">
      <c r="A77" s="1"/>
      <c r="B77" s="1"/>
      <c r="C77" s="1"/>
      <c r="D77" s="1"/>
      <c r="E77" s="1"/>
      <c r="F77" s="2">
        <v>72</v>
      </c>
      <c r="G77" s="1" t="str">
        <f>IF(ISBLANK(Input!CB77), "", Input!CB77*1000)</f>
        <v/>
      </c>
      <c r="H77" s="1" t="str">
        <f>IF(ISBLANK(Input!CC77), "", Input!CC77)</f>
        <v/>
      </c>
      <c r="I77" s="1">
        <f>IF(Input!$CF$5 + Input!$CF$6*(FLOOR((Calculations!$F77-1)/(FLOOR((Input!$CF$12-Input!$CF$10)/Input!$CF$11,1)+1),1)) &gt; Input!$CF$7, "", (Input!$CF$5 + Input!$CF$6*(FLOOR((Calculations!$F77-1)/(FLOOR((Input!$CF$12-Input!$CF$10)/Input!$CF$11,1)+1),1)))*1000)</f>
        <v>25000</v>
      </c>
      <c r="J77" s="1">
        <f>IF(Calculations!I77 = "", "", Input!$CF$10 + Input!$CF$11*(Calculations!$F77-1) - (FLOOR((Input!$CF$12-Input!$CF$10)/Input!$CF$11,1)+1)*Input!$CF$11*FLOOR((Calculations!$F77-1)/(FLOOR((Input!$CF$12-Input!$CF$10)/Input!$CF$11,1)+1),1))</f>
        <v>850</v>
      </c>
      <c r="K77" s="8" t="str">
        <f t="shared" si="33"/>
        <v/>
      </c>
      <c r="L77" s="117" t="str">
        <f>IF(OR(Input!$CJ$5 + Input!$CJ$6*(Calculations!F77-1) &gt; Input!$CJ$7, Input!$CJ$5 + Input!$CJ$6*(Calculations!F77-1) &gt; 350), "", Input!$CJ$5 + Input!$CJ$6*(Calculations!F77-1))</f>
        <v/>
      </c>
      <c r="M77" s="1">
        <f t="shared" si="23"/>
        <v>25000</v>
      </c>
      <c r="N77" s="1">
        <f t="shared" si="24"/>
        <v>850</v>
      </c>
      <c r="O77" s="1">
        <f t="shared" si="19"/>
        <v>1123.1500000000001</v>
      </c>
      <c r="P77" s="1" t="e">
        <f>IF(OR($D$20=3,AND($D$21=TRUE,M77&lt;1000)),INDEX('Water Density'!$C$6:$CX$120,MATCH(Calculations!N77,'Water Density'!$B$6:$B$120),MATCH(Calculations!M77/1000,'Water Density'!$C$5:$CX$5)),NA())</f>
        <v>#N/A</v>
      </c>
      <c r="Q77" s="182">
        <f>IF(OR($D$20=3,AND($D$21=TRUE,M77&lt;1000)), IF(P77&lt;&gt;0,P77,NA()), calculateDensity(M77,N77,$D$20,0.01,$D$19 = 3))</f>
        <v>1.1105625774824617</v>
      </c>
      <c r="R77" s="1" t="e">
        <f>IF($D$22=5,INDEX('Dielectric Constant'!$C$6:$CX$120,MATCH(Calculations!N77,'Dielectric Constant'!$B$6:$B$120),MATCH(Calculations!M77/1000,'Dielectric Constant'!$C$5:$CX$5)),NA())</f>
        <v>#N/A</v>
      </c>
      <c r="S77" s="58">
        <f>IF($D$22=5, IF(R77&lt;&gt;0,R77,NA()), IF(AND($D$23,M77&lt;=5000,$D$19 &lt;&gt; 3),calculateEpsilon(Q77,N77,1,FALSE),calculateEpsilon(Q77,N77,$D$22,$D$19 = 3)))</f>
        <v>16.832156441289417</v>
      </c>
      <c r="T77" s="1" t="e">
        <f>IF($D$24=3,INDEX('Water Free Energy'!$C$6:$CX$120,MATCH(Calculations!N77,'Water Free Energy'!$B$6:$B$120),MATCH(Calculations!M77/1000,'Water Free Energy'!$C$5:$CX$5)),NA())</f>
        <v>#N/A</v>
      </c>
      <c r="U77" s="179">
        <f>IF($D$27,calculateQ(M77,N77,Q77,$D$20,$D$22,$D$19=3)*10^6,NA())</f>
        <v>0.49390857383848341</v>
      </c>
      <c r="V77"/>
      <c r="W77" s="2">
        <f t="shared" si="25"/>
        <v>25000</v>
      </c>
      <c r="X77" s="1">
        <f t="shared" si="26"/>
        <v>850</v>
      </c>
      <c r="Y77" s="1">
        <f>Results!F79</f>
        <v>0</v>
      </c>
      <c r="Z77" s="1">
        <f>Results!G79</f>
        <v>0</v>
      </c>
      <c r="AA77" s="1">
        <f>Results!H79</f>
        <v>0</v>
      </c>
      <c r="AB77" s="1">
        <f>Results!I79</f>
        <v>0</v>
      </c>
      <c r="AC77" s="1" t="e">
        <f>IF(ISBLANK(Input!$O$4),NA(),'Reaction Information'!$E$5-'Reaction Information'!$G$5*(Calculations!$O77-Calculations!$C$8)+'Reaction Information'!$I$5*(Calculations!$O77-Calculations!$C$8-Calculations!$O77*LN(Calculations!$O77/Calculations!$C$8))+'Reaction Information'!$J$5*0.001/2*(2*Calculations!$O77*Calculations!$C$8-Calculations!$O77^2-Calculations!$C$8^2) + 'Reaction Information'!$K$5*100000*(Calculations!$O77^2 + Calculations!$C$8^2 - 2*Calculations!$O77*Calculations!$C$8)/(2*Calculations!$O77*Calculations!$C$8^2))</f>
        <v>#N/A</v>
      </c>
      <c r="AD77" s="8" t="e">
        <f>IF(ISBLANK(Input!$R$4),NA(),'Reaction Information'!$E$9-'Reaction Information'!$G$9*(Calculations!$O77-Calculations!$C$8)+'Reaction Information'!$I$9*(Calculations!$O77-Calculations!$C$8-Calculations!$O77*LN(Calculations!$O77/Calculations!$C$8))+'Reaction Information'!$J$9*0.001/2*(2*Calculations!$O77*Calculations!$C$8-Calculations!$O77^2-Calculations!$C$8^2) + 'Reaction Information'!$K$9*100000*(Calculations!$O77^2 + Calculations!$C$8^2 - 2*Calculations!$O77*Calculations!$C$8)/(2*Calculations!$O77*Calculations!$C$8^2))</f>
        <v>#N/A</v>
      </c>
      <c r="AE77" s="8">
        <f>IF(AE$5="H2O",IF($D$24=3,IF(T77=0,NA(),T77),calculateGibbsOfWater(M77,N77,$D$24,$D$20,$D$19=3)),NA())</f>
        <v>-69198.006812571388</v>
      </c>
      <c r="AF77" s="8">
        <f>IF(ISBLANK(Input!$X$4),NA(),'Reaction Information'!$E$13-'Reaction Information'!$G$13*(Calculations!O77-Calculations!$C$8)-'Reaction Information'!$N$13*(Calculations!O77*LN(Calculations!O77/Calculations!$C$8)-Calculations!O77+Calculations!$C$8)-'Reaction Information'!$O$13*10^4*(((1/(Calculations!O77-Calculations!$C$13))-(1/(Calculations!$C$8-Calculations!$C$13)))*((Calculations!$C$13-Calculations!O77)/(Calculations!$C$13))-(Calculations!O77/(Calculations!$C$13*Calculations!$C$13))*LN((Calculations!$C$8*(Calculations!O77-Calculations!$C$13))/(Calculations!O77*(Calculations!$C$8-Calculations!$C$13))))+'Reaction Information'!$J$13*10^-1*(Calculations!M77-Calculations!$C$9)+'Reaction Information'!$K$13*10^2*LN((Calculations!$C$12+Calculations!M77)/(Calculations!$C$12+Calculations!$C$9))+(1/(Calculations!O77-Calculations!$C$13))*('Reaction Information'!$L$13*(Calculations!M77-Calculations!$C$9)+'Reaction Information'!$M$13*10^4*LN((Calculations!$C$12+Calculations!M77)/(Calculations!$C$12+Calculations!$C$9)))+calculateOmega(Calculations!M77,Calculations!N77,Calculations!Q77,'Reaction Information'!$C$13,'Reaction Information'!$P$13*10^5,'Reaction Information'!$Q$13)*((1/Calculations!S77)-1)-'Reaction Information'!$P$13*10^5*((1/Calculations!$C$10)-1)+'Reaction Information'!$P$13*10^5*Calculations!$C$14*(Calculations!O77-Calculations!$C$8))</f>
        <v>-109561.66557902069</v>
      </c>
      <c r="AG77" s="8" t="e">
        <f>IF(ISBLANK(Input!$AA$4),NA(),'Reaction Information'!$E$17-'Reaction Information'!$G$17*(Calculations!$O77-Calculations!$C$8)-'Reaction Information'!$N$17*(Calculations!$O77*LN(Calculations!$O77/Calculations!$C$8)-Calculations!$O77+Calculations!$C$8)-'Reaction Information'!$O$17*10^4*(((1/(Calculations!$O77-Calculations!$C$13))-(1/(Calculations!$C$8-Calculations!$C$13)))*((Calculations!$C$13-Calculations!$O77)/(Calculations!$C$13))-(Calculations!$O77/(Calculations!$C$13*Calculations!$C$13))*LN((Calculations!$C$8*(Calculations!$O77-Calculations!$C$13))/(Calculations!$O77*(Calculations!$C$8-Calculations!$C$13))))+'Reaction Information'!$J$17*10^-1*(Calculations!$M77-Calculations!$C$9)+'Reaction Information'!$K$17*10^2*LN((Calculations!$C$12+Calculations!$M77)/(Calculations!$C$12+Calculations!$C$9))+(1/(Calculations!$O77-Calculations!$C$13))*('Reaction Information'!$L$17*(Calculations!$M77-Calculations!$C$9)+'Reaction Information'!$M$17*10^4*LN((Calculations!$C$12+Calculations!$M77)/(Calculations!$C$12+Calculations!$C$9)))+calculateOmega(Calculations!M77,Calculations!N77,Calculations!Q77,'Reaction Information'!$C$17,'Reaction Information'!$P$17*10^5,'Reaction Information'!$Q$17)*((1/Calculations!$S77)-1)-'Reaction Information'!$P$17*10^5*((1/Calculations!$C$10)-1)+'Reaction Information'!$P$17*10^5*Calculations!$C$14*(Calculations!$O77-Calculations!$C$8))</f>
        <v>#N/A</v>
      </c>
      <c r="AH77" s="8" t="e">
        <f>IF(ISBLANK(Input!$AD$4),NA(),'Reaction Information'!$E$21-'Reaction Information'!$G$21*(Calculations!$O77-Calculations!$C$8)-'Reaction Information'!$N$21*(Calculations!$O77*LN(Calculations!$O77/Calculations!$C$8)-Calculations!$O77+Calculations!$C$8)-'Reaction Information'!$O$21*10^4*(((1/(Calculations!$O77-Calculations!$C$13))-(1/(Calculations!$C$8-Calculations!$C$13)))*((Calculations!$C$13-Calculations!$O77)/(Calculations!$C$13))-(Calculations!$O77/(Calculations!$C$13*Calculations!$C$13))*LN((Calculations!$C$8*(Calculations!$O77-Calculations!$C$13))/(Calculations!$O77*(Calculations!$C$8-Calculations!$C$13))))+'Reaction Information'!$J$21*10^-1*(Calculations!$M77-Calculations!$C$9)+'Reaction Information'!$K$21*10^2*LN((Calculations!$C$12+Calculations!$M77)/(Calculations!$C$12+Calculations!$C$9))+(1/(Calculations!$O77-Calculations!$C$13))*('Reaction Information'!$L$21*(Calculations!$M77-Calculations!$C$9)+'Reaction Information'!$M$21*10^4*LN((Calculations!$C$12+Calculations!$M77)/(Calculations!$C$12+Calculations!$C$9)))+calculateOmega(Calculations!M77,Calculations!N77,Calculations!Q77,'Reaction Information'!$C$21,'Reaction Information'!$P$21*10^5,'Reaction Information'!$Q$21)*((1/Calculations!$S77)-1)-'Reaction Information'!$P$21*10^5*((1/Calculations!$C$10)-1)+'Reaction Information'!$P$21*10^5*Calculations!$C$14*(Calculations!$O77-Calculations!$C$8))</f>
        <v>#N/A</v>
      </c>
      <c r="AI77" s="8" t="e">
        <f>IF(ISBLANK(Input!$AG$4),NA(),'Reaction Information'!$E$25-'Reaction Information'!$G$25*(Calculations!$O77-Calculations!$C$8)-'Reaction Information'!$N$25*(Calculations!$O77*LN(Calculations!$O77/Calculations!$C$8)-Calculations!$O77+Calculations!$C$8)-'Reaction Information'!$O$25*10^4*(((1/(Calculations!$O77-Calculations!$C$13))-(1/(Calculations!$C$8-Calculations!$C$13)))*((Calculations!$C$13-Calculations!$O77)/(Calculations!$C$13))-(Calculations!$O77/(Calculations!$C$13*Calculations!$C$13))*LN((Calculations!$C$8*(Calculations!$O77-Calculations!$C$13))/(Calculations!$O77*(Calculations!$C$8-Calculations!$C$13))))+'Reaction Information'!$J$25*10^-1*(Calculations!$M77-Calculations!$C$9)+'Reaction Information'!$K$25*10^2*LN((Calculations!$C$12+Calculations!$M77)/(Calculations!$C$12+Calculations!$C$9))+(1/(Calculations!$O77-Calculations!$C$13))*('Reaction Information'!$L$25*(Calculations!$M77-Calculations!$C$9)+'Reaction Information'!$M$25*10^4*LN((Calculations!$C$12+Calculations!$M77)/(Calculations!$C$12+Calculations!$C$9)))+calculateOmega(Calculations!M77,Calculations!N77,Calculations!Q77,'Reaction Information'!$C$25,'Reaction Information'!$P$25*10^5,'Reaction Information'!$Q$25)*((1/Calculations!$S77)-1)-'Reaction Information'!$P$25*10^5*((1/Calculations!$C$10)-1)+'Reaction Information'!$P$25*10^5*Calculations!$C$14*(Calculations!$O77-Calculations!$C$8))</f>
        <v>#N/A</v>
      </c>
      <c r="AJ77" s="8" t="e">
        <f>IF(ISBLANK(Input!$AJ$4),NA(),'Reaction Information'!$E$29-'Reaction Information'!$G$29*(Calculations!$O77-Calculations!$C$8)-'Reaction Information'!$N$29*(Calculations!$O77*LN(Calculations!$O77/Calculations!$C$8)-Calculations!$O77+Calculations!$C$8)-'Reaction Information'!$O$29*10^4*(((1/(Calculations!$O77-Calculations!$C$13))-(1/(Calculations!$C$8-Calculations!$C$13)))*((Calculations!$C$13-Calculations!$O77)/(Calculations!$C$13))-(Calculations!$O77/(Calculations!$C$13*Calculations!$C$13))*LN((Calculations!$C$8*(Calculations!$O77-Calculations!$C$13))/(Calculations!$O77*(Calculations!$C$8-Calculations!$C$13))))+'Reaction Information'!$J$29*10^-1*(Calculations!$M77-Calculations!$C$9)+'Reaction Information'!$K$29*10^2*LN((Calculations!$C$12+Calculations!$M77)/(Calculations!$C$12+Calculations!$C$9))+(1/(Calculations!$O77-Calculations!$C$13))*('Reaction Information'!$L$29*(Calculations!$M77-Calculations!$C$9)+'Reaction Information'!$M$29*10^4*LN((Calculations!$C$12+Calculations!$M77)/(Calculations!$C$12+Calculations!$C$9)))+calculateOmega(Calculations!M77,Calculations!N77,Calculations!Q77,'Reaction Information'!$C$29,'Reaction Information'!$P$29*10^5,'Reaction Information'!$Q$29)*((1/Calculations!$S77)-1)-'Reaction Information'!$P$29*10^5*((1/Calculations!$C$10)-1)+'Reaction Information'!$P$29*10^5*Calculations!$C$14*(Calculations!$O77-Calculations!$C$8))</f>
        <v>#N/A</v>
      </c>
      <c r="AK77" s="8" t="e">
        <f>IF(ISBLANK(Input!$AM$4),NA(),'Reaction Information'!$E$33-'Reaction Information'!$G$33*(Calculations!$O77-Calculations!$C$8)-'Reaction Information'!$N$33*(Calculations!$O77*LN(Calculations!$O77/Calculations!$C$8)-Calculations!$O77+Calculations!$C$8)-'Reaction Information'!$O$33*10^4*(((1/(Calculations!$O77-Calculations!$C$13))-(1/(Calculations!$C$8-Calculations!$C$13)))*((Calculations!$C$13-Calculations!$O77)/(Calculations!$C$13))-(Calculations!$O77/(Calculations!$C$13*Calculations!$C$13))*LN((Calculations!$C$8*(Calculations!$O77-Calculations!$C$13))/(Calculations!$O77*(Calculations!$C$8-Calculations!$C$13))))+'Reaction Information'!$J$33*10^-1*(Calculations!$M77-Calculations!$C$9)+'Reaction Information'!$K$33*10^2*LN((Calculations!$C$12+Calculations!$M77)/(Calculations!$C$12+Calculations!$C$9))+(1/(Calculations!$O77-Calculations!$C$13))*('Reaction Information'!$L$33*(Calculations!$M77-Calculations!$C$9)+'Reaction Information'!$M$33*10^4*LN((Calculations!$C$12+Calculations!$M77)/(Calculations!$C$12+Calculations!$C$9)))+calculateOmega(Calculations!M77,Calculations!N77,Calculations!Q77,'Reaction Information'!$C$33,'Reaction Information'!$P$33*10^5,'Reaction Information'!$Q$33)*((1/Calculations!$S77)-1)-'Reaction Information'!$P$33*10^5*((1/Calculations!$C$10)-1)+'Reaction Information'!$P$33*10^5*Calculations!$C$14*(Calculations!$O77-Calculations!$C$8))</f>
        <v>#N/A</v>
      </c>
      <c r="AL77" s="1">
        <f>Results!S79</f>
        <v>0</v>
      </c>
      <c r="AM77" s="1">
        <f>Results!T79</f>
        <v>0</v>
      </c>
      <c r="AN77" s="1">
        <f>Results!U79</f>
        <v>0</v>
      </c>
      <c r="AO77" s="1">
        <f>Results!V79</f>
        <v>0</v>
      </c>
      <c r="AP77" s="8" t="e">
        <f>IF(ISBLANK(Input!$BB$4),NA(),'Reaction Information'!$E$38-'Reaction Information'!$G$38*(Calculations!$O77-Calculations!$C$8)+'Reaction Information'!$I$38*(Calculations!$O77-Calculations!$C$8-Calculations!$O77*LN(Calculations!$O77/Calculations!$C$8))+'Reaction Information'!$J$38*0.001/2*(2*Calculations!$O77*Calculations!$C$8-Calculations!$O77^2-Calculations!$C$8^2) + 'Reaction Information'!$K$38*100000*(Calculations!$O77^2 + Calculations!$C$8^2 - 2*Calculations!$O77*Calculations!$C$8)/(2*Calculations!$O77*Calculations!$C$8^2))</f>
        <v>#N/A</v>
      </c>
      <c r="AQ77" s="8" t="e">
        <f>IF(ISBLANK(Input!$BE$4),NA(),'Reaction Information'!$E$42-'Reaction Information'!$G$42*(Calculations!$O77-Calculations!$C$8)+'Reaction Information'!$I$42*(Calculations!$O77-Calculations!$C$8-Calculations!$O77*LN(Calculations!$O77/Calculations!$C$8))+'Reaction Information'!$J$42*0.001/2*(2*Calculations!$O77*Calculations!$C$8-Calculations!$O77^2-Calculations!$C$8^2) + 'Reaction Information'!$K$42*100000*(Calculations!$O77^2 + Calculations!$C$8^2 - 2*Calculations!$O77*Calculations!$C$8)/(2*Calculations!$O77*Calculations!$C$8^2))</f>
        <v>#N/A</v>
      </c>
      <c r="AR77" s="8" t="e">
        <f>IF(AR$5="H2O", IF($D$24=3,IF(T77=0,NA(),T77),calculateGibbsOfWater(M77,N77,$D$24,$D$20,$D$19=3)),NA())</f>
        <v>#N/A</v>
      </c>
      <c r="AS77" s="8">
        <f>IF(ISBLANK(Input!$BK$4),NA(),'Reaction Information'!$E$46-'Reaction Information'!$G$46*(Calculations!O77-Calculations!$C$8)-'Reaction Information'!$N$46*(Calculations!O77*LN(Calculations!O77/Calculations!$C$8)-Calculations!O77+Calculations!$C$8)-'Reaction Information'!$O$46*10^4*(((1/(Calculations!O77-Calculations!$C$13))-(1/(Calculations!$C$8-Calculations!$C$13)))*((Calculations!$C$13-Calculations!O77)/(Calculations!$C$13))-(Calculations!O77/(Calculations!$C$13*Calculations!$C$13))*LN((Calculations!$C$8*(Calculations!O77-Calculations!$C$13))/(Calculations!O77*(Calculations!$C$8-Calculations!$C$13))))+'Reaction Information'!$J$46*10^-1*(Calculations!$M77-Calculations!$C$9)+'Reaction Information'!$K$46*10^2*LN((Calculations!$C$12+Calculations!$M77)/(Calculations!$C$12+Calculations!$C$9))+(1/(Calculations!O77-Calculations!$C$13))*('Reaction Information'!$L$46*(Calculations!$M77-Calculations!$C$9)+'Reaction Information'!$M$46*10^4*LN((Calculations!$C$12+Calculations!$M77)/(Calculations!$C$12+Calculations!$C$9)))+calculateOmega(Calculations!M77,Calculations!N77,Calculations!Q77,'Reaction Information'!$C$46,'Reaction Information'!$P$46*10^5,'Reaction Information'!$Q$46)*((1/Calculations!S77)-1)-'Reaction Information'!$P$46*10^5*((1/Calculations!$C$10)-1)+'Reaction Information'!$P$46*10^5*Calculations!$C$14*(Calculations!O77-Calculations!$C$8))</f>
        <v>0</v>
      </c>
      <c r="AT77" s="8">
        <f>IF(ISBLANK(Input!$BN$4),NA(),'Reaction Information'!$E$50-'Reaction Information'!$G$50*(Calculations!O77-Calculations!$C$8)-'Reaction Information'!$N$50*(Calculations!O77*LN(Calculations!O77/Calculations!$C$8)-Calculations!O77+Calculations!$C$8)-'Reaction Information'!$O$50*10^4*(((1/(Calculations!O77-Calculations!$C$13))-(1/(Calculations!$C$8-Calculations!$C$13)))*((Calculations!$C$13-Calculations!O77)/(Calculations!$C$13))-(Calculations!O77/(Calculations!$C$13*Calculations!$C$13))*LN((Calculations!$C$8*(Calculations!O77-Calculations!$C$13))/(Calculations!O77*(Calculations!$C$8-Calculations!$C$13))))+'Reaction Information'!$J$50*10^-1*(Calculations!$M77-Calculations!$C$9)+'Reaction Information'!$K$50*10^2*LN((Calculations!$C$12+Calculations!$M77)/(Calculations!$C$12+Calculations!$C$9))+(1/(Calculations!O77-Calculations!$C$13))*('Reaction Information'!$L$50*(Calculations!$M77-Calculations!$C$9)+'Reaction Information'!$M$50*10^4*LN((Calculations!$C$12+Calculations!$M77)/(Calculations!$C$12+Calculations!$C$9)))+calculateOmega(Calculations!M77,Calculations!N77,Calculations!Q77,'Reaction Information'!$C$50,'Reaction Information'!$P$50*10^5,'Reaction Information'!$Q$50)*((1/Calculations!S77)-1)-'Reaction Information'!$P$50*10^5*((1/Calculations!$C$10)-1)+'Reaction Information'!$P$50*10^5*Calculations!$C$14*(Calculations!O77-Calculations!$C$8))</f>
        <v>-146912.18680107544</v>
      </c>
      <c r="AU77" s="8" t="e">
        <f>IF(ISBLANK(Input!$BQ$4),NA(),'Reaction Information'!$E$54-'Reaction Information'!$G$54*(Calculations!$O77-Calculations!$C$8)-'Reaction Information'!$N$54*(Calculations!$O77*LN(Calculations!$O77/Calculations!$C$8)-Calculations!$O77+Calculations!$C$8)-'Reaction Information'!$O$54*10^4*(((1/(Calculations!$O77-Calculations!$C$13))-(1/(Calculations!$C$8-Calculations!$C$13)))*((Calculations!$C$13-Calculations!$O77)/(Calculations!$C$13))-(Calculations!$O77/(Calculations!$C$13*Calculations!$C$13))*LN((Calculations!$C$8*(Calculations!$O77-Calculations!$C$13))/(Calculations!$O77*(Calculations!$C$8-Calculations!$C$13))))+'Reaction Information'!$J$54*10^-1*(Calculations!$M77-Calculations!$C$9)+'Reaction Information'!$K$54*10^2*LN((Calculations!$C$12+Calculations!$M77)/(Calculations!$C$12+Calculations!$C$9))+(1/(Calculations!$O77-Calculations!$C$13))*('Reaction Information'!$L$54*(Calculations!$M77-Calculations!$C$9)+'Reaction Information'!$M$54*10^4*LN((Calculations!$C$12+Calculations!$M77)/(Calculations!$C$12+Calculations!$C$9)))+calculateOmega(Calculations!M77,Calculations!N77,Calculations!Q77,'Reaction Information'!$C$54,'Reaction Information'!$P$54*10^5,'Reaction Information'!$Q$54)*((1/Calculations!$S77)-1)-'Reaction Information'!$P$54*10^5*((1/Calculations!$C$10)-1)+'Reaction Information'!$P$54*10^5*Calculations!$C$14*(Calculations!$O77-Calculations!$C$8))</f>
        <v>#N/A</v>
      </c>
      <c r="AV77" s="8" t="e">
        <f>IF(ISBLANK(Input!$BT$4),NA(),'Reaction Information'!$E$58-'Reaction Information'!$G$58*(Calculations!$O77-Calculations!$C$8)-'Reaction Information'!$N$58*(Calculations!$O77*LN(Calculations!$O77/Calculations!$C$8)-Calculations!$O77+Calculations!$C$8)-'Reaction Information'!$O$58*10^4*(((1/(Calculations!$O77-Calculations!$C$13))-(1/(Calculations!$C$8-Calculations!$C$13)))*((Calculations!$C$13-Calculations!$O77)/(Calculations!$C$13))-(Calculations!$O77/(Calculations!$C$13*Calculations!$C$13))*LN((Calculations!$C$8*(Calculations!$O77-Calculations!$C$13))/(Calculations!$O77*(Calculations!$C$8-Calculations!$C$13))))+'Reaction Information'!$J$58*10^-1*(Calculations!$M77-Calculations!$C$9)+'Reaction Information'!$K$58*10^2*LN((Calculations!$C$12+Calculations!$M77)/(Calculations!$C$12+Calculations!$C$9))+(1/(Calculations!$O77-Calculations!$C$13))*('Reaction Information'!$L$58*(Calculations!$M77-Calculations!$C$9)+'Reaction Information'!$M$58*10^4*LN((Calculations!$C$12+Calculations!$M77)/(Calculations!$C$12+Calculations!$C$9)))+calculateOmega(Calculations!M77,Calculations!N77,Calculations!Q77,'Reaction Information'!$C$58,'Reaction Information'!$P$58*10^5,'Reaction Information'!$Q$58)*((1/Calculations!$S77)-1)-'Reaction Information'!$P$58*10^5*((1/Calculations!$C$10)-1)+'Reaction Information'!$P$58*10^5*Calculations!$C$14*(Calculations!$O77-Calculations!$C$8))</f>
        <v>#N/A</v>
      </c>
      <c r="AW77" s="8" t="e">
        <f>IF(ISBLANK(Input!$BW$4),NA(),'Reaction Information'!$E$62-'Reaction Information'!$G$62*(Calculations!$O77-Calculations!$C$8)-'Reaction Information'!$N$62*(Calculations!$O77*LN(Calculations!$O77/Calculations!$C$8)-Calculations!$O77+Calculations!$C$8)-'Reaction Information'!$O$62*10^4*(((1/(Calculations!$O77-Calculations!$C$13))-(1/(Calculations!$C$8-Calculations!$C$13)))*((Calculations!$C$13-Calculations!$O77)/(Calculations!$C$13))-(Calculations!$O77/(Calculations!$C$13*Calculations!$C$13))*LN((Calculations!$C$8*(Calculations!$O77-Calculations!$C$13))/(Calculations!$O77*(Calculations!$C$8-Calculations!$C$13))))+'Reaction Information'!$J$62*10^-1*(Calculations!$M77-Calculations!$C$9)+'Reaction Information'!$K$62*10^2*LN((Calculations!$C$12+Calculations!$M77)/(Calculations!$C$12+Calculations!$C$9))+(1/(Calculations!$O77-Calculations!$C$13))*('Reaction Information'!$L$62*(Calculations!$M77-Calculations!$C$9)+'Reaction Information'!$M$62*10^4*LN((Calculations!$C$12+Calculations!$M77)/(Calculations!$C$12+Calculations!$C$9)))+calculateOmega(Calculations!M77,Calculations!N77,Calculations!Q77,'Reaction Information'!$C$62,'Reaction Information'!$P$62*10^5,'Reaction Information'!$Q$62)*((1/Calculations!$S77)-1)-'Reaction Information'!$P$62*10^5*((1/Calculations!$C$10)-1)+'Reaction Information'!$P$62*10^5*Calculations!$C$14*(Calculations!$O77-Calculations!$C$8))</f>
        <v>#N/A</v>
      </c>
      <c r="AX77" s="8" t="e">
        <f>IF(ISBLANK(Input!$BZ$4),NA(),'Reaction Information'!$E$66-'Reaction Information'!$G$66*(Calculations!$O77-Calculations!$C$8)-'Reaction Information'!$N$66*(Calculations!$O77*LN(Calculations!$O77/Calculations!$C$8)-Calculations!$O77+Calculations!$C$8)-'Reaction Information'!$O$66*10^4*(((1/(Calculations!$O77-Calculations!$C$13))-(1/(Calculations!$C$8-Calculations!$C$13)))*((Calculations!$C$13-Calculations!$O77)/(Calculations!$C$13))-(Calculations!$O77/(Calculations!$C$13*Calculations!$C$13))*LN((Calculations!$C$8*(Calculations!$O77-Calculations!$C$13))/(Calculations!$O77*(Calculations!$C$8-Calculations!$C$13))))+'Reaction Information'!$J$66*10^-1*(Calculations!$M77-Calculations!$C$9)+'Reaction Information'!$K$66*10^2*LN((Calculations!$C$12+Calculations!$M77)/(Calculations!$C$12+Calculations!$C$9))+(1/(Calculations!$O77-Calculations!$C$13))*('Reaction Information'!$L$66*(Calculations!$M77-Calculations!$C$9)+'Reaction Information'!$M$66*10^4*LN((Calculations!$C$12+Calculations!$M77)/(Calculations!$C$12+Calculations!$C$9)))+calculateOmega(Calculations!M77,Calculations!N77,Calculations!Q77,'Reaction Information'!$C$66,'Reaction Information'!$P$66*10^5,'Reaction Information'!$Q$66)*((1/Calculations!$S77)-1)-'Reaction Information'!$P$66*10^5*((1/Calculations!$C$10)-1)+'Reaction Information'!$P$66*10^5*Calculations!$C$14*(Calculations!$O77-Calculations!$C$8))</f>
        <v>#N/A</v>
      </c>
      <c r="AY77" s="31">
        <f>(AL77*Input!$AO$4+AM77*Input!$AR$4+AN77*Input!$AU$4+AO77*Input!$AX$4+IF(ISNA(AP77),0,AP77*Input!$BA$4)+IF(ISNA(AQ77),0,AQ77*Input!$BD$4)+IF(ISNA(AR77),0,AR77*Input!$BG$4)+IF(ISNA(AS77),0,AS77*Input!$BJ$4)+IF(ISNA(AT77),0,AT77*Input!$BM$4)+IF(ISNA(AU77),0,AU77*Input!$BP$4)+IF(ISNA(AV77),0,AV77*Input!$BS$4)+IF(ISNA(AW77),0,AW77*Input!$BV$4)+IF(ISNA(AX77),0,AX77*Input!$BY$4))-(Y77*Input!$B$4+Z77*Input!$E$4+AA77*Input!$H$4+AB77*Input!$K$4+IF(ISNA(AC77),0,AC77*Input!$N$4)+IF(ISNA(AD77),0,AD77*Input!$Q$4)+IF(ISNA(AE77),0,AE77*Input!$T$4)+IF(ISNA(AF77),0,AF77*Input!$W$4)+IF(ISNA(AG77),0,AG77*Input!$Z$4)+IF(ISNA(AH77),0,AH77*Input!$AC$4)+IF(ISNA(AI77),0,AI77*Input!$AF$4)+IF(ISNA(AJ77),0,AJ77*Input!$AI$4)+IF(ISNA(AK77),0,AK77*Input!$AL$4))</f>
        <v>31847.485590516619</v>
      </c>
      <c r="AZ77" s="42">
        <f t="shared" si="20"/>
        <v>-6.20110752467866</v>
      </c>
      <c r="BA77" s="1">
        <f t="shared" si="27"/>
        <v>850</v>
      </c>
      <c r="BB77" s="46">
        <f t="shared" si="28"/>
        <v>25000</v>
      </c>
      <c r="BC77" s="1"/>
      <c r="BD77" s="2">
        <f t="shared" si="29"/>
        <v>25000</v>
      </c>
      <c r="BE77" s="46">
        <f t="shared" si="30"/>
        <v>850</v>
      </c>
      <c r="BF77" s="1">
        <f>Results!AJ79</f>
        <v>0</v>
      </c>
      <c r="BG77" s="1">
        <f>Results!AK79</f>
        <v>0</v>
      </c>
      <c r="BH77" s="1">
        <f>Results!AL79</f>
        <v>0</v>
      </c>
      <c r="BI77" s="1">
        <f>Results!AM79</f>
        <v>0</v>
      </c>
      <c r="BJ77" s="1" t="e">
        <f>IF(OR(ISNA('Reaction Information'!$D$5), $N77 = "", $D$27 = FALSE, 'Reaction Information'!$D$5 = ""), NA(), 24.465)</f>
        <v>#N/A</v>
      </c>
      <c r="BK77" s="1" t="e">
        <f>IF(OR(ISNA('Reaction Information'!$D$9), $N77 = "", $D$27 = FALSE, 'Reaction Information'!$D$9 = ""), NA(), 24.465)</f>
        <v>#N/A</v>
      </c>
      <c r="BL77" s="8">
        <f t="shared" si="21"/>
        <v>16.221760362967483</v>
      </c>
      <c r="BM77" s="8">
        <f>IF(OR(ISBLANK(Input!$X$4),$D$27=FALSE),NA(),('Reaction Information'!$J$13/10+'Reaction Information'!$K$13*100/(Calculations!$C$12+Calculations!$M77)+('Reaction Information'!$L$13+'Reaction Information'!$M$13*10^4/(Calculations!$C$12+Calculations!$M77))/(Calculations!$O77-Calculations!$C$13) -calculateOmega(Calculations!$M77,Calculations!$N77,Calculations!$Q77,'Reaction Information'!$C$13,'Reaction Information'!$P$13*10^5,'Reaction Information'!$Q$13)*Calculations!$U77*10^-6 + (1/$S77 - 1)*calculate_domegadP(Calculations!$M77,Calculations!$N77,Calculations!$Q77,'Reaction Information'!$C$13,'Reaction Information'!$P$13*10^5,'Reaction Information'!$Q$13,$D$20,$D$19=3))*41.84)</f>
        <v>31.227465346079871</v>
      </c>
      <c r="BN77" s="8" t="e">
        <f>IF(OR(ISBLANK(Input!$AA$4),$D$27=FALSE),NA(),('Reaction Information'!$J$17/10+'Reaction Information'!$K$17*100/(Calculations!$C$12+Calculations!$M77)+('Reaction Information'!$L$17+'Reaction Information'!$M$17*10000/(Calculations!$C$12+Calculations!$M77))/(Calculations!$O77-Calculations!$C$13)-calculateOmega(Calculations!M77,Calculations!N77,Calculations!Q77,'Reaction Information'!$C$17,'Reaction Information'!$P$17*10^5,'Reaction Information'!$Q$17)*Calculations!$U77*10^-6 + (1/$S77 - 1)*calculate_domegadP(Calculations!M77,Calculations!N77,Calculations!Q77,'Reaction Information'!$C$17,'Reaction Information'!$P$17*10^5,'Reaction Information'!$Q$17,$D$20,$D$19=3))*41.84)</f>
        <v>#N/A</v>
      </c>
      <c r="BO77" s="8" t="e">
        <f>IF(OR(ISBLANK(Input!$AD$4),$D$27=FALSE),NA(),('Reaction Information'!$J$21/10+'Reaction Information'!$K$21*100/(Calculations!$C$12+Calculations!$M77)+('Reaction Information'!$L$21+'Reaction Information'!$M$21*10000/(Calculations!$C$12+Calculations!$M77))/(Calculations!$O77-Calculations!$C$13)-calculateOmega(Calculations!M77,Calculations!N77,Calculations!Q77,'Reaction Information'!$C$21,'Reaction Information'!$P$21*10^5,'Reaction Information'!$Q$21)*Calculations!$U77*10^-6 + (1/$S77 - 1)*calculate_domegadP(Calculations!M77,Calculations!N77,Calculations!Q77,'Reaction Information'!$C$21,'Reaction Information'!$P$21*10^5,'Reaction Information'!$Q$21,$D$20,$D$19=3))*41.84)</f>
        <v>#N/A</v>
      </c>
      <c r="BP77" s="8" t="e">
        <f>IF(OR(ISBLANK(Input!$AG$4),$D$27=FALSE),NA(),('Reaction Information'!$J$25/10+'Reaction Information'!$K$25*100/(Calculations!$C$12+Calculations!$M77)+('Reaction Information'!$L$25+'Reaction Information'!$M$25*10000/(Calculations!$C$12+Calculations!$M77))/(Calculations!$O77-Calculations!$C$13)-calculateOmega(Calculations!M77,Calculations!N77,Calculations!Q77,'Reaction Information'!$C$25,'Reaction Information'!$P$25*10^5,'Reaction Information'!$Q$25)*Calculations!$U77*10^-6 + (1/$S77 - 1)*calculate_domegadP(Calculations!M77,Calculations!N77,Calculations!Q77,'Reaction Information'!$C$25,'Reaction Information'!$P$25*10^5,'Reaction Information'!$Q$25,$D$20,$D$19=3))*41.84)</f>
        <v>#N/A</v>
      </c>
      <c r="BQ77" s="8" t="e">
        <f>IF(OR(ISBLANK(Input!$AJ$4),$D$27=FALSE),NA(),('Reaction Information'!$J$29/10+'Reaction Information'!$K$29*100/(Calculations!$C$12+Calculations!$M77)+('Reaction Information'!$L$29+'Reaction Information'!$M$29*10000/(Calculations!$C$12+Calculations!$M77))/(Calculations!$O77-Calculations!$C$13)-calculateOmega(Calculations!M77,Calculations!N77,Calculations!Q77,'Reaction Information'!$C$29,'Reaction Information'!$P$29*10^5,'Reaction Information'!$Q$29)*Calculations!$U77*10^-6 + (1/$S77 - 1)*calculate_domegadP(Calculations!M77,Calculations!N77,Calculations!Q77,'Reaction Information'!$C$29,'Reaction Information'!$P$29*10^5,'Reaction Information'!$Q$29,$D$20,$D$19=3))*41.84)</f>
        <v>#N/A</v>
      </c>
      <c r="BR77" s="8" t="e">
        <f>IF(OR(ISBLANK(Input!$AM$4),$D$27=FALSE),NA(),('Reaction Information'!$J$33/10+'Reaction Information'!$K$33*100/(Calculations!$C$12+Calculations!$M77)+('Reaction Information'!$L$33+'Reaction Information'!$M$33*10000/(Calculations!$C$12+Calculations!$M77))/(Calculations!$O77-Calculations!$C$13)-calculateOmega(Calculations!M77,Calculations!N77,Calculations!Q77,'Reaction Information'!$C$33,'Reaction Information'!$P$33*10^5,'Reaction Information'!$Q$33)*Calculations!$U77*10^-6 + (1/$S77 - 1)*calculate_domegadP(Calculations!M77,Calculations!N77,Calculations!Q77,'Reaction Information'!$C$33,'Reaction Information'!$P$33*10^5,'Reaction Information'!$Q$33,$D$20,$D$19=3))*41.84)</f>
        <v>#N/A</v>
      </c>
      <c r="BS77" s="1">
        <f>Results!AW79</f>
        <v>0</v>
      </c>
      <c r="BT77" s="1">
        <f>Results!AX79</f>
        <v>0</v>
      </c>
      <c r="BU77" s="1">
        <f>Results!AY79</f>
        <v>0</v>
      </c>
      <c r="BV77" s="1">
        <f>Results!AZ79</f>
        <v>0</v>
      </c>
      <c r="BW77" s="1" t="e">
        <f>IF(OR(ISNA('Reaction Information'!$D$38), $N77 = "", $D$27 = FALSE, 'Reaction Information'!$D$38 = ""), NA(), 24.465)</f>
        <v>#N/A</v>
      </c>
      <c r="BX77" s="1" t="e">
        <f>IF(OR(ISNA('Reaction Information'!$D$42), $N77 = "", $D$27 = FALSE, 'Reaction Information'!$D$42 = ""), NA(), 24.465)</f>
        <v>#N/A</v>
      </c>
      <c r="BY77" s="8" t="e">
        <f t="shared" si="22"/>
        <v>#N/A</v>
      </c>
      <c r="BZ77" s="8">
        <f>IF(OR(ISBLANK(Input!$BK$4),$D$27=FALSE),NA(),('Reaction Information'!$J$46/10+'Reaction Information'!$K$46*100/(Calculations!$C$12+Calculations!$M77)+('Reaction Information'!$L$46+'Reaction Information'!$M$46*10000/(Calculations!$C$12+Calculations!$M77))/(Calculations!$O77-Calculations!$C$13)-calculateOmega(Calculations!M77,Calculations!N77,Calculations!Q77,'Reaction Information'!$C$46,'Reaction Information'!$P$46*10^5,'Reaction Information'!$Q$46)*Calculations!$U77*10^-6 + (1/$S77 - 1)*calculate_domegadP(Calculations!M77,Calculations!N77,Calculations!Q77,'Reaction Information'!$C$46,'Reaction Information'!$P$46*10^5,'Reaction Information'!$Q$46,$D$20,$D$19=3))*41.84)</f>
        <v>0</v>
      </c>
      <c r="CA77" s="8">
        <f>IF(OR(ISBLANK(Input!$BN$4),$D$27=FALSE),NA(),('Reaction Information'!$J$50/10+'Reaction Information'!$K$50*100/(Calculations!$C$12+Calculations!$M77)+('Reaction Information'!$L$50+'Reaction Information'!$M$50*10000/(Calculations!$C$12+Calculations!$M77))/(Calculations!$O77-Calculations!$C$13)-calculateOmega(Calculations!M77,Calculations!N77,Calculations!Q77,'Reaction Information'!$C$50,'Reaction Information'!$P$50*10^5,'Reaction Information'!$Q$50)*Calculations!$U77*10^-6 + (1/$S77 - 1)*calculate_domegadP(Calculations!M77,Calculations!N77,Calculations!Q77,'Reaction Information'!$C$50,'Reaction Information'!$P$50*10^5,'Reaction Information'!$Q$50,$D$20,$D$19=3))*41.84)</f>
        <v>29.496062650001331</v>
      </c>
      <c r="CB77" s="8" t="e">
        <f>IF(OR(ISBLANK(Input!$BQ$4),$D$27=FALSE),NA(),('Reaction Information'!$J$54/10+'Reaction Information'!$K$54*100/(Calculations!$C$12+Calculations!$M77)+('Reaction Information'!$L$54+'Reaction Information'!$M$54*10000/(Calculations!$C$12+Calculations!$M77))/(Calculations!$O77-Calculations!$C$13)-calculateOmega(Calculations!M77,Calculations!N77,Calculations!Q77,'Reaction Information'!$C$54,'Reaction Information'!$P$54*10^5,'Reaction Information'!$Q$54)*Calculations!$U77*10^-6 + (1/$S77 - 1)*calculate_domegadP(Calculations!M77,Calculations!N77,Calculations!Q77,'Reaction Information'!$C$54,'Reaction Information'!$P$54*10^5,'Reaction Information'!$Q$54,$D$20,$D$19=3))*41.84)</f>
        <v>#N/A</v>
      </c>
      <c r="CC77" s="8" t="e">
        <f>IF(OR(ISBLANK(Input!$BT$4),$D$27=FALSE),NA(),('Reaction Information'!$J$58/10+'Reaction Information'!$K$58*100/(Calculations!$C$12+Calculations!$M77)+('Reaction Information'!$L$58+'Reaction Information'!$M$58*10000/(Calculations!$C$12+Calculations!$M77))/(Calculations!$O77-Calculations!$C$13)-calculateOmega(Calculations!M77,Calculations!N77,Calculations!Q77,'Reaction Information'!$C$58,'Reaction Information'!$P$58*10^5,'Reaction Information'!$Q$58)*Calculations!$U77*10^-6 + (1/$S77 - 1)*calculate_domegadP(Calculations!M77,Calculations!N77,Calculations!Q77,'Reaction Information'!$C$58,'Reaction Information'!$P$58*10^5,'Reaction Information'!$Q$58,$D$20,$D$19=3))*41.84)</f>
        <v>#N/A</v>
      </c>
      <c r="CD77" s="8" t="e">
        <f>IF(OR(ISBLANK(Input!$BW$4),$D$27=FALSE),NA(),('Reaction Information'!$J$62/10+'Reaction Information'!$K$62*100/(Calculations!$C$12+Calculations!$M77)+('Reaction Information'!$L$62+'Reaction Information'!$M$62*10000/(Calculations!$C$12+Calculations!$M77))/(Calculations!$O77-Calculations!$C$13)-calculateOmega(Calculations!M77,Calculations!N77,Calculations!Q77,'Reaction Information'!$C$62,'Reaction Information'!$P$62*10^5,'Reaction Information'!$Q$62)*Calculations!$U77*10^-6 + (1/$S77 - 1)*calculate_domegadP(Calculations!M77,Calculations!N77,Calculations!Q77,'Reaction Information'!$C$62,'Reaction Information'!$P$62*10^5,'Reaction Information'!$Q$62,$D$20,$D$19=3))*41.84)</f>
        <v>#N/A</v>
      </c>
      <c r="CE77" s="8" t="e">
        <f>IF(OR(ISBLANK(Input!$BZ$4),$D$27=FALSE),NA(),('Reaction Information'!$J$66/10+'Reaction Information'!$K$66*100/(Calculations!$C$12+Calculations!$M77)+('Reaction Information'!$L$66+'Reaction Information'!$M$66*10000/(Calculations!$C$12+Calculations!$M77))/(Calculations!$O77-Calculations!$C$13)-calculateOmega(Calculations!M77,Calculations!N77,Calculations!Q77,'Reaction Information'!$C$66,'Reaction Information'!$P$66*10^5,'Reaction Information'!$Q$66)*Calculations!$U77*10^-6 + (1/$S77 - 1)*calculate_domegadP(Calculations!M77,Calculations!N77,Calculations!Q77,'Reaction Information'!$C$66,'Reaction Information'!$P$66*10^5,'Reaction Information'!$Q$66,$D$20,$D$19=3))*41.84)</f>
        <v>#N/A</v>
      </c>
      <c r="CF77" s="31">
        <f>(BS77*Input!$AO$4+BT77*Input!$AR$4+BU77*Input!$AU$4+BV77*Input!$AX$4+IF(ISNA(BW77),0,BW77*Input!$BA$4)+IF(ISNA(BX77),0,BX77*Input!$BD$4)+IF(ISNA(BY77),0,BY77*Input!$BG$4)+IF(ISNA(BZ77),0,BZ77*Input!$BJ$4)+IF(ISNA(CA77),0,CA77*Input!$BM$4)+IF(ISNA(CB77),0,CB77*Input!$BP$4)+IF(ISNA(CC77),0,CC77*Input!$BS$4)+IF(ISNA(CD77),0,CD77*Input!$BV$4)+IF(ISNA(CE77),0,CE77*Input!$BY$4))-(BF77*Input!$B$4+BG77*Input!$E$4+BH77*Input!$H$4+BI77*Input!$K$4+IF(ISNA(BJ77),0,BJ77*Input!$N$4)+IF(ISNA(BK77),0,BK77*Input!$Q$4)+IF(ISNA(BL77),0,BL77*Input!$T$4)+IF(ISNA(BM77),0,BM77*Input!$W$4)+IF(ISNA(BN77),0,BN77*Input!$Z$4)+IF(ISNA(BO77),0,BO77*Input!$AC$4)+IF(ISNA(BP77),0,BP77*Input!$AF$4)+IF(ISNA(BQ77),0,BQ77*Input!$AI$4)+IF(ISNA(BR77),0,BR77*Input!$AL$4))</f>
        <v>-17.953163059046023</v>
      </c>
      <c r="CG77" s="1">
        <f t="shared" si="31"/>
        <v>850</v>
      </c>
      <c r="CH77" s="46">
        <f t="shared" si="32"/>
        <v>25000</v>
      </c>
      <c r="CI77" s="1"/>
    </row>
    <row r="78" spans="1:87" x14ac:dyDescent="0.2">
      <c r="A78" s="1"/>
      <c r="B78" s="1"/>
      <c r="C78" s="1"/>
      <c r="D78" s="1"/>
      <c r="E78" s="1"/>
      <c r="F78" s="2">
        <v>73</v>
      </c>
      <c r="G78" s="1" t="str">
        <f>IF(ISBLANK(Input!CB78), "", Input!CB78*1000)</f>
        <v/>
      </c>
      <c r="H78" s="1" t="str">
        <f>IF(ISBLANK(Input!CC78), "", Input!CC78)</f>
        <v/>
      </c>
      <c r="I78" s="1">
        <f>IF(Input!$CF$5 + Input!$CF$6*(FLOOR((Calculations!$F78-1)/(FLOOR((Input!$CF$12-Input!$CF$10)/Input!$CF$11,1)+1),1)) &gt; Input!$CF$7, "", (Input!$CF$5 + Input!$CF$6*(FLOOR((Calculations!$F78-1)/(FLOOR((Input!$CF$12-Input!$CF$10)/Input!$CF$11,1)+1),1)))*1000)</f>
        <v>25000</v>
      </c>
      <c r="J78" s="1">
        <f>IF(Calculations!I78 = "", "", Input!$CF$10 + Input!$CF$11*(Calculations!$F78-1) - (FLOOR((Input!$CF$12-Input!$CF$10)/Input!$CF$11,1)+1)*Input!$CF$11*FLOOR((Calculations!$F78-1)/(FLOOR((Input!$CF$12-Input!$CF$10)/Input!$CF$11,1)+1),1))</f>
        <v>900</v>
      </c>
      <c r="K78" s="8" t="str">
        <f t="shared" si="33"/>
        <v/>
      </c>
      <c r="L78" s="117" t="str">
        <f>IF(OR(Input!$CJ$5 + Input!$CJ$6*(Calculations!F78-1) &gt; Input!$CJ$7, Input!$CJ$5 + Input!$CJ$6*(Calculations!F78-1) &gt; 350), "", Input!$CJ$5 + Input!$CJ$6*(Calculations!F78-1))</f>
        <v/>
      </c>
      <c r="M78" s="1">
        <f t="shared" si="23"/>
        <v>25000</v>
      </c>
      <c r="N78" s="1">
        <f t="shared" si="24"/>
        <v>900</v>
      </c>
      <c r="O78" s="1">
        <f t="shared" si="19"/>
        <v>1173.1500000000001</v>
      </c>
      <c r="P78" s="1" t="e">
        <f>IF(OR($D$20=3,AND($D$21=TRUE,M78&lt;1000)),INDEX('Water Density'!$C$6:$CX$120,MATCH(Calculations!N78,'Water Density'!$B$6:$B$120),MATCH(Calculations!M78/1000,'Water Density'!$C$5:$CX$5)),NA())</f>
        <v>#N/A</v>
      </c>
      <c r="Q78" s="182">
        <f>IF(OR($D$20=3,AND($D$21=TRUE,M78&lt;1000)), IF(P78&lt;&gt;0,P78,NA()), calculateDensity(M78,N78,$D$20,0.01,$D$19 = 3))</f>
        <v>1.0960009229874612</v>
      </c>
      <c r="R78" s="1" t="e">
        <f>IF($D$22=5,INDEX('Dielectric Constant'!$C$6:$CX$120,MATCH(Calculations!N78,'Dielectric Constant'!$B$6:$B$120),MATCH(Calculations!M78/1000,'Dielectric Constant'!$C$5:$CX$5)),NA())</f>
        <v>#N/A</v>
      </c>
      <c r="S78" s="58">
        <f>IF($D$22=5, IF(R78&lt;&gt;0,R78,NA()), IF(AND($D$23,M78&lt;=5000,$D$19 &lt;&gt; 3),calculateEpsilon(Q78,N78,1,FALSE),calculateEpsilon(Q78,N78,$D$22,$D$19 = 3)))</f>
        <v>15.498886604139424</v>
      </c>
      <c r="T78" s="1" t="e">
        <f>IF($D$24=3,INDEX('Water Free Energy'!$C$6:$CX$120,MATCH(Calculations!N78,'Water Free Energy'!$B$6:$B$120),MATCH(Calculations!M78/1000,'Water Free Energy'!$C$5:$CX$5)),NA())</f>
        <v>#N/A</v>
      </c>
      <c r="U78" s="179">
        <f>IF($D$27,calculateQ(M78,N78,Q78,$D$20,$D$22,$D$19=3)*10^6,NA())</f>
        <v>0.53029838672264129</v>
      </c>
      <c r="V78"/>
      <c r="W78" s="2">
        <f t="shared" si="25"/>
        <v>25000</v>
      </c>
      <c r="X78" s="1">
        <f t="shared" si="26"/>
        <v>900</v>
      </c>
      <c r="Y78" s="1">
        <f>Results!F80</f>
        <v>0</v>
      </c>
      <c r="Z78" s="1">
        <f>Results!G80</f>
        <v>0</v>
      </c>
      <c r="AA78" s="1">
        <f>Results!H80</f>
        <v>0</v>
      </c>
      <c r="AB78" s="1">
        <f>Results!I80</f>
        <v>0</v>
      </c>
      <c r="AC78" s="1" t="e">
        <f>IF(ISBLANK(Input!$O$4),NA(),'Reaction Information'!$E$5-'Reaction Information'!$G$5*(Calculations!$O78-Calculations!$C$8)+'Reaction Information'!$I$5*(Calculations!$O78-Calculations!$C$8-Calculations!$O78*LN(Calculations!$O78/Calculations!$C$8))+'Reaction Information'!$J$5*0.001/2*(2*Calculations!$O78*Calculations!$C$8-Calculations!$O78^2-Calculations!$C$8^2) + 'Reaction Information'!$K$5*100000*(Calculations!$O78^2 + Calculations!$C$8^2 - 2*Calculations!$O78*Calculations!$C$8)/(2*Calculations!$O78*Calculations!$C$8^2))</f>
        <v>#N/A</v>
      </c>
      <c r="AD78" s="8" t="e">
        <f>IF(ISBLANK(Input!$R$4),NA(),'Reaction Information'!$E$9-'Reaction Information'!$G$9*(Calculations!$O78-Calculations!$C$8)+'Reaction Information'!$I$9*(Calculations!$O78-Calculations!$C$8-Calculations!$O78*LN(Calculations!$O78/Calculations!$C$8))+'Reaction Information'!$J$9*0.001/2*(2*Calculations!$O78*Calculations!$C$8-Calculations!$O78^2-Calculations!$C$8^2) + 'Reaction Information'!$K$9*100000*(Calculations!$O78^2 + Calculations!$C$8^2 - 2*Calculations!$O78*Calculations!$C$8)/(2*Calculations!$O78*Calculations!$C$8^2))</f>
        <v>#N/A</v>
      </c>
      <c r="AE78" s="8">
        <f>IF(AE$5="H2O",IF($D$24=3,IF(T78=0,NA(),T78),calculateGibbsOfWater(M78,N78,$D$24,$D$20,$D$19=3)),NA())</f>
        <v>-70903.704079454459</v>
      </c>
      <c r="AF78" s="8">
        <f>IF(ISBLANK(Input!$X$4),NA(),'Reaction Information'!$E$13-'Reaction Information'!$G$13*(Calculations!O78-Calculations!$C$8)-'Reaction Information'!$N$13*(Calculations!O78*LN(Calculations!O78/Calculations!$C$8)-Calculations!O78+Calculations!$C$8)-'Reaction Information'!$O$13*10^4*(((1/(Calculations!O78-Calculations!$C$13))-(1/(Calculations!$C$8-Calculations!$C$13)))*((Calculations!$C$13-Calculations!O78)/(Calculations!$C$13))-(Calculations!O78/(Calculations!$C$13*Calculations!$C$13))*LN((Calculations!$C$8*(Calculations!O78-Calculations!$C$13))/(Calculations!O78*(Calculations!$C$8-Calculations!$C$13))))+'Reaction Information'!$J$13*10^-1*(Calculations!M78-Calculations!$C$9)+'Reaction Information'!$K$13*10^2*LN((Calculations!$C$12+Calculations!M78)/(Calculations!$C$12+Calculations!$C$9))+(1/(Calculations!O78-Calculations!$C$13))*('Reaction Information'!$L$13*(Calculations!M78-Calculations!$C$9)+'Reaction Information'!$M$13*10^4*LN((Calculations!$C$12+Calculations!M78)/(Calculations!$C$12+Calculations!$C$9)))+calculateOmega(Calculations!M78,Calculations!N78,Calculations!Q78,'Reaction Information'!$C$13,'Reaction Information'!$P$13*10^5,'Reaction Information'!$Q$13)*((1/Calculations!S78)-1)-'Reaction Information'!$P$13*10^5*((1/Calculations!$C$10)-1)+'Reaction Information'!$P$13*10^5*Calculations!$C$14*(Calculations!O78-Calculations!$C$8))</f>
        <v>-112122.30446979566</v>
      </c>
      <c r="AG78" s="8" t="e">
        <f>IF(ISBLANK(Input!$AA$4),NA(),'Reaction Information'!$E$17-'Reaction Information'!$G$17*(Calculations!$O78-Calculations!$C$8)-'Reaction Information'!$N$17*(Calculations!$O78*LN(Calculations!$O78/Calculations!$C$8)-Calculations!$O78+Calculations!$C$8)-'Reaction Information'!$O$17*10^4*(((1/(Calculations!$O78-Calculations!$C$13))-(1/(Calculations!$C$8-Calculations!$C$13)))*((Calculations!$C$13-Calculations!$O78)/(Calculations!$C$13))-(Calculations!$O78/(Calculations!$C$13*Calculations!$C$13))*LN((Calculations!$C$8*(Calculations!$O78-Calculations!$C$13))/(Calculations!$O78*(Calculations!$C$8-Calculations!$C$13))))+'Reaction Information'!$J$17*10^-1*(Calculations!$M78-Calculations!$C$9)+'Reaction Information'!$K$17*10^2*LN((Calculations!$C$12+Calculations!$M78)/(Calculations!$C$12+Calculations!$C$9))+(1/(Calculations!$O78-Calculations!$C$13))*('Reaction Information'!$L$17*(Calculations!$M78-Calculations!$C$9)+'Reaction Information'!$M$17*10^4*LN((Calculations!$C$12+Calculations!$M78)/(Calculations!$C$12+Calculations!$C$9)))+calculateOmega(Calculations!M78,Calculations!N78,Calculations!Q78,'Reaction Information'!$C$17,'Reaction Information'!$P$17*10^5,'Reaction Information'!$Q$17)*((1/Calculations!$S78)-1)-'Reaction Information'!$P$17*10^5*((1/Calculations!$C$10)-1)+'Reaction Information'!$P$17*10^5*Calculations!$C$14*(Calculations!$O78-Calculations!$C$8))</f>
        <v>#N/A</v>
      </c>
      <c r="AH78" s="8" t="e">
        <f>IF(ISBLANK(Input!$AD$4),NA(),'Reaction Information'!$E$21-'Reaction Information'!$G$21*(Calculations!$O78-Calculations!$C$8)-'Reaction Information'!$N$21*(Calculations!$O78*LN(Calculations!$O78/Calculations!$C$8)-Calculations!$O78+Calculations!$C$8)-'Reaction Information'!$O$21*10^4*(((1/(Calculations!$O78-Calculations!$C$13))-(1/(Calculations!$C$8-Calculations!$C$13)))*((Calculations!$C$13-Calculations!$O78)/(Calculations!$C$13))-(Calculations!$O78/(Calculations!$C$13*Calculations!$C$13))*LN((Calculations!$C$8*(Calculations!$O78-Calculations!$C$13))/(Calculations!$O78*(Calculations!$C$8-Calculations!$C$13))))+'Reaction Information'!$J$21*10^-1*(Calculations!$M78-Calculations!$C$9)+'Reaction Information'!$K$21*10^2*LN((Calculations!$C$12+Calculations!$M78)/(Calculations!$C$12+Calculations!$C$9))+(1/(Calculations!$O78-Calculations!$C$13))*('Reaction Information'!$L$21*(Calculations!$M78-Calculations!$C$9)+'Reaction Information'!$M$21*10^4*LN((Calculations!$C$12+Calculations!$M78)/(Calculations!$C$12+Calculations!$C$9)))+calculateOmega(Calculations!M78,Calculations!N78,Calculations!Q78,'Reaction Information'!$C$21,'Reaction Information'!$P$21*10^5,'Reaction Information'!$Q$21)*((1/Calculations!$S78)-1)-'Reaction Information'!$P$21*10^5*((1/Calculations!$C$10)-1)+'Reaction Information'!$P$21*10^5*Calculations!$C$14*(Calculations!$O78-Calculations!$C$8))</f>
        <v>#N/A</v>
      </c>
      <c r="AI78" s="8" t="e">
        <f>IF(ISBLANK(Input!$AG$4),NA(),'Reaction Information'!$E$25-'Reaction Information'!$G$25*(Calculations!$O78-Calculations!$C$8)-'Reaction Information'!$N$25*(Calculations!$O78*LN(Calculations!$O78/Calculations!$C$8)-Calculations!$O78+Calculations!$C$8)-'Reaction Information'!$O$25*10^4*(((1/(Calculations!$O78-Calculations!$C$13))-(1/(Calculations!$C$8-Calculations!$C$13)))*((Calculations!$C$13-Calculations!$O78)/(Calculations!$C$13))-(Calculations!$O78/(Calculations!$C$13*Calculations!$C$13))*LN((Calculations!$C$8*(Calculations!$O78-Calculations!$C$13))/(Calculations!$O78*(Calculations!$C$8-Calculations!$C$13))))+'Reaction Information'!$J$25*10^-1*(Calculations!$M78-Calculations!$C$9)+'Reaction Information'!$K$25*10^2*LN((Calculations!$C$12+Calculations!$M78)/(Calculations!$C$12+Calculations!$C$9))+(1/(Calculations!$O78-Calculations!$C$13))*('Reaction Information'!$L$25*(Calculations!$M78-Calculations!$C$9)+'Reaction Information'!$M$25*10^4*LN((Calculations!$C$12+Calculations!$M78)/(Calculations!$C$12+Calculations!$C$9)))+calculateOmega(Calculations!M78,Calculations!N78,Calculations!Q78,'Reaction Information'!$C$25,'Reaction Information'!$P$25*10^5,'Reaction Information'!$Q$25)*((1/Calculations!$S78)-1)-'Reaction Information'!$P$25*10^5*((1/Calculations!$C$10)-1)+'Reaction Information'!$P$25*10^5*Calculations!$C$14*(Calculations!$O78-Calculations!$C$8))</f>
        <v>#N/A</v>
      </c>
      <c r="AJ78" s="8" t="e">
        <f>IF(ISBLANK(Input!$AJ$4),NA(),'Reaction Information'!$E$29-'Reaction Information'!$G$29*(Calculations!$O78-Calculations!$C$8)-'Reaction Information'!$N$29*(Calculations!$O78*LN(Calculations!$O78/Calculations!$C$8)-Calculations!$O78+Calculations!$C$8)-'Reaction Information'!$O$29*10^4*(((1/(Calculations!$O78-Calculations!$C$13))-(1/(Calculations!$C$8-Calculations!$C$13)))*((Calculations!$C$13-Calculations!$O78)/(Calculations!$C$13))-(Calculations!$O78/(Calculations!$C$13*Calculations!$C$13))*LN((Calculations!$C$8*(Calculations!$O78-Calculations!$C$13))/(Calculations!$O78*(Calculations!$C$8-Calculations!$C$13))))+'Reaction Information'!$J$29*10^-1*(Calculations!$M78-Calculations!$C$9)+'Reaction Information'!$K$29*10^2*LN((Calculations!$C$12+Calculations!$M78)/(Calculations!$C$12+Calculations!$C$9))+(1/(Calculations!$O78-Calculations!$C$13))*('Reaction Information'!$L$29*(Calculations!$M78-Calculations!$C$9)+'Reaction Information'!$M$29*10^4*LN((Calculations!$C$12+Calculations!$M78)/(Calculations!$C$12+Calculations!$C$9)))+calculateOmega(Calculations!M78,Calculations!N78,Calculations!Q78,'Reaction Information'!$C$29,'Reaction Information'!$P$29*10^5,'Reaction Information'!$Q$29)*((1/Calculations!$S78)-1)-'Reaction Information'!$P$29*10^5*((1/Calculations!$C$10)-1)+'Reaction Information'!$P$29*10^5*Calculations!$C$14*(Calculations!$O78-Calculations!$C$8))</f>
        <v>#N/A</v>
      </c>
      <c r="AK78" s="8" t="e">
        <f>IF(ISBLANK(Input!$AM$4),NA(),'Reaction Information'!$E$33-'Reaction Information'!$G$33*(Calculations!$O78-Calculations!$C$8)-'Reaction Information'!$N$33*(Calculations!$O78*LN(Calculations!$O78/Calculations!$C$8)-Calculations!$O78+Calculations!$C$8)-'Reaction Information'!$O$33*10^4*(((1/(Calculations!$O78-Calculations!$C$13))-(1/(Calculations!$C$8-Calculations!$C$13)))*((Calculations!$C$13-Calculations!$O78)/(Calculations!$C$13))-(Calculations!$O78/(Calculations!$C$13*Calculations!$C$13))*LN((Calculations!$C$8*(Calculations!$O78-Calculations!$C$13))/(Calculations!$O78*(Calculations!$C$8-Calculations!$C$13))))+'Reaction Information'!$J$33*10^-1*(Calculations!$M78-Calculations!$C$9)+'Reaction Information'!$K$33*10^2*LN((Calculations!$C$12+Calculations!$M78)/(Calculations!$C$12+Calculations!$C$9))+(1/(Calculations!$O78-Calculations!$C$13))*('Reaction Information'!$L$33*(Calculations!$M78-Calculations!$C$9)+'Reaction Information'!$M$33*10^4*LN((Calculations!$C$12+Calculations!$M78)/(Calculations!$C$12+Calculations!$C$9)))+calculateOmega(Calculations!M78,Calculations!N78,Calculations!Q78,'Reaction Information'!$C$33,'Reaction Information'!$P$33*10^5,'Reaction Information'!$Q$33)*((1/Calculations!$S78)-1)-'Reaction Information'!$P$33*10^5*((1/Calculations!$C$10)-1)+'Reaction Information'!$P$33*10^5*Calculations!$C$14*(Calculations!$O78-Calculations!$C$8))</f>
        <v>#N/A</v>
      </c>
      <c r="AL78" s="1">
        <f>Results!S80</f>
        <v>0</v>
      </c>
      <c r="AM78" s="1">
        <f>Results!T80</f>
        <v>0</v>
      </c>
      <c r="AN78" s="1">
        <f>Results!U80</f>
        <v>0</v>
      </c>
      <c r="AO78" s="1">
        <f>Results!V80</f>
        <v>0</v>
      </c>
      <c r="AP78" s="8" t="e">
        <f>IF(ISBLANK(Input!$BB$4),NA(),'Reaction Information'!$E$38-'Reaction Information'!$G$38*(Calculations!$O78-Calculations!$C$8)+'Reaction Information'!$I$38*(Calculations!$O78-Calculations!$C$8-Calculations!$O78*LN(Calculations!$O78/Calculations!$C$8))+'Reaction Information'!$J$38*0.001/2*(2*Calculations!$O78*Calculations!$C$8-Calculations!$O78^2-Calculations!$C$8^2) + 'Reaction Information'!$K$38*100000*(Calculations!$O78^2 + Calculations!$C$8^2 - 2*Calculations!$O78*Calculations!$C$8)/(2*Calculations!$O78*Calculations!$C$8^2))</f>
        <v>#N/A</v>
      </c>
      <c r="AQ78" s="8" t="e">
        <f>IF(ISBLANK(Input!$BE$4),NA(),'Reaction Information'!$E$42-'Reaction Information'!$G$42*(Calculations!$O78-Calculations!$C$8)+'Reaction Information'!$I$42*(Calculations!$O78-Calculations!$C$8-Calculations!$O78*LN(Calculations!$O78/Calculations!$C$8))+'Reaction Information'!$J$42*0.001/2*(2*Calculations!$O78*Calculations!$C$8-Calculations!$O78^2-Calculations!$C$8^2) + 'Reaction Information'!$K$42*100000*(Calculations!$O78^2 + Calculations!$C$8^2 - 2*Calculations!$O78*Calculations!$C$8)/(2*Calculations!$O78*Calculations!$C$8^2))</f>
        <v>#N/A</v>
      </c>
      <c r="AR78" s="8" t="e">
        <f>IF(AR$5="H2O", IF($D$24=3,IF(T78=0,NA(),T78),calculateGibbsOfWater(M78,N78,$D$24,$D$20,$D$19=3)),NA())</f>
        <v>#N/A</v>
      </c>
      <c r="AS78" s="8">
        <f>IF(ISBLANK(Input!$BK$4),NA(),'Reaction Information'!$E$46-'Reaction Information'!$G$46*(Calculations!O78-Calculations!$C$8)-'Reaction Information'!$N$46*(Calculations!O78*LN(Calculations!O78/Calculations!$C$8)-Calculations!O78+Calculations!$C$8)-'Reaction Information'!$O$46*10^4*(((1/(Calculations!O78-Calculations!$C$13))-(1/(Calculations!$C$8-Calculations!$C$13)))*((Calculations!$C$13-Calculations!O78)/(Calculations!$C$13))-(Calculations!O78/(Calculations!$C$13*Calculations!$C$13))*LN((Calculations!$C$8*(Calculations!O78-Calculations!$C$13))/(Calculations!O78*(Calculations!$C$8-Calculations!$C$13))))+'Reaction Information'!$J$46*10^-1*(Calculations!$M78-Calculations!$C$9)+'Reaction Information'!$K$46*10^2*LN((Calculations!$C$12+Calculations!$M78)/(Calculations!$C$12+Calculations!$C$9))+(1/(Calculations!O78-Calculations!$C$13))*('Reaction Information'!$L$46*(Calculations!$M78-Calculations!$C$9)+'Reaction Information'!$M$46*10^4*LN((Calculations!$C$12+Calculations!$M78)/(Calculations!$C$12+Calculations!$C$9)))+calculateOmega(Calculations!M78,Calculations!N78,Calculations!Q78,'Reaction Information'!$C$46,'Reaction Information'!$P$46*10^5,'Reaction Information'!$Q$46)*((1/Calculations!S78)-1)-'Reaction Information'!$P$46*10^5*((1/Calculations!$C$10)-1)+'Reaction Information'!$P$46*10^5*Calculations!$C$14*(Calculations!O78-Calculations!$C$8))</f>
        <v>0</v>
      </c>
      <c r="AT78" s="8">
        <f>IF(ISBLANK(Input!$BN$4),NA(),'Reaction Information'!$E$50-'Reaction Information'!$G$50*(Calculations!O78-Calculations!$C$8)-'Reaction Information'!$N$50*(Calculations!O78*LN(Calculations!O78/Calculations!$C$8)-Calculations!O78+Calculations!$C$8)-'Reaction Information'!$O$50*10^4*(((1/(Calculations!O78-Calculations!$C$13))-(1/(Calculations!$C$8-Calculations!$C$13)))*((Calculations!$C$13-Calculations!O78)/(Calculations!$C$13))-(Calculations!O78/(Calculations!$C$13*Calculations!$C$13))*LN((Calculations!$C$8*(Calculations!O78-Calculations!$C$13))/(Calculations!O78*(Calculations!$C$8-Calculations!$C$13))))+'Reaction Information'!$J$50*10^-1*(Calculations!$M78-Calculations!$C$9)+'Reaction Information'!$K$50*10^2*LN((Calculations!$C$12+Calculations!$M78)/(Calculations!$C$12+Calculations!$C$9))+(1/(Calculations!O78-Calculations!$C$13))*('Reaction Information'!$L$50*(Calculations!$M78-Calculations!$C$9)+'Reaction Information'!$M$50*10^4*LN((Calculations!$C$12+Calculations!$M78)/(Calculations!$C$12+Calculations!$C$9)))+calculateOmega(Calculations!M78,Calculations!N78,Calculations!Q78,'Reaction Information'!$C$50,'Reaction Information'!$P$50*10^5,'Reaction Information'!$Q$50)*((1/Calculations!S78)-1)-'Reaction Information'!$P$50*10^5*((1/Calculations!$C$10)-1)+'Reaction Information'!$P$50*10^5*Calculations!$C$14*(Calculations!O78-Calculations!$C$8))</f>
        <v>-148480.65278828889</v>
      </c>
      <c r="AU78" s="8" t="e">
        <f>IF(ISBLANK(Input!$BQ$4),NA(),'Reaction Information'!$E$54-'Reaction Information'!$G$54*(Calculations!$O78-Calculations!$C$8)-'Reaction Information'!$N$54*(Calculations!$O78*LN(Calculations!$O78/Calculations!$C$8)-Calculations!$O78+Calculations!$C$8)-'Reaction Information'!$O$54*10^4*(((1/(Calculations!$O78-Calculations!$C$13))-(1/(Calculations!$C$8-Calculations!$C$13)))*((Calculations!$C$13-Calculations!$O78)/(Calculations!$C$13))-(Calculations!$O78/(Calculations!$C$13*Calculations!$C$13))*LN((Calculations!$C$8*(Calculations!$O78-Calculations!$C$13))/(Calculations!$O78*(Calculations!$C$8-Calculations!$C$13))))+'Reaction Information'!$J$54*10^-1*(Calculations!$M78-Calculations!$C$9)+'Reaction Information'!$K$54*10^2*LN((Calculations!$C$12+Calculations!$M78)/(Calculations!$C$12+Calculations!$C$9))+(1/(Calculations!$O78-Calculations!$C$13))*('Reaction Information'!$L$54*(Calculations!$M78-Calculations!$C$9)+'Reaction Information'!$M$54*10^4*LN((Calculations!$C$12+Calculations!$M78)/(Calculations!$C$12+Calculations!$C$9)))+calculateOmega(Calculations!M78,Calculations!N78,Calculations!Q78,'Reaction Information'!$C$54,'Reaction Information'!$P$54*10^5,'Reaction Information'!$Q$54)*((1/Calculations!$S78)-1)-'Reaction Information'!$P$54*10^5*((1/Calculations!$C$10)-1)+'Reaction Information'!$P$54*10^5*Calculations!$C$14*(Calculations!$O78-Calculations!$C$8))</f>
        <v>#N/A</v>
      </c>
      <c r="AV78" s="8" t="e">
        <f>IF(ISBLANK(Input!$BT$4),NA(),'Reaction Information'!$E$58-'Reaction Information'!$G$58*(Calculations!$O78-Calculations!$C$8)-'Reaction Information'!$N$58*(Calculations!$O78*LN(Calculations!$O78/Calculations!$C$8)-Calculations!$O78+Calculations!$C$8)-'Reaction Information'!$O$58*10^4*(((1/(Calculations!$O78-Calculations!$C$13))-(1/(Calculations!$C$8-Calculations!$C$13)))*((Calculations!$C$13-Calculations!$O78)/(Calculations!$C$13))-(Calculations!$O78/(Calculations!$C$13*Calculations!$C$13))*LN((Calculations!$C$8*(Calculations!$O78-Calculations!$C$13))/(Calculations!$O78*(Calculations!$C$8-Calculations!$C$13))))+'Reaction Information'!$J$58*10^-1*(Calculations!$M78-Calculations!$C$9)+'Reaction Information'!$K$58*10^2*LN((Calculations!$C$12+Calculations!$M78)/(Calculations!$C$12+Calculations!$C$9))+(1/(Calculations!$O78-Calculations!$C$13))*('Reaction Information'!$L$58*(Calculations!$M78-Calculations!$C$9)+'Reaction Information'!$M$58*10^4*LN((Calculations!$C$12+Calculations!$M78)/(Calculations!$C$12+Calculations!$C$9)))+calculateOmega(Calculations!M78,Calculations!N78,Calculations!Q78,'Reaction Information'!$C$58,'Reaction Information'!$P$58*10^5,'Reaction Information'!$Q$58)*((1/Calculations!$S78)-1)-'Reaction Information'!$P$58*10^5*((1/Calculations!$C$10)-1)+'Reaction Information'!$P$58*10^5*Calculations!$C$14*(Calculations!$O78-Calculations!$C$8))</f>
        <v>#N/A</v>
      </c>
      <c r="AW78" s="8" t="e">
        <f>IF(ISBLANK(Input!$BW$4),NA(),'Reaction Information'!$E$62-'Reaction Information'!$G$62*(Calculations!$O78-Calculations!$C$8)-'Reaction Information'!$N$62*(Calculations!$O78*LN(Calculations!$O78/Calculations!$C$8)-Calculations!$O78+Calculations!$C$8)-'Reaction Information'!$O$62*10^4*(((1/(Calculations!$O78-Calculations!$C$13))-(1/(Calculations!$C$8-Calculations!$C$13)))*((Calculations!$C$13-Calculations!$O78)/(Calculations!$C$13))-(Calculations!$O78/(Calculations!$C$13*Calculations!$C$13))*LN((Calculations!$C$8*(Calculations!$O78-Calculations!$C$13))/(Calculations!$O78*(Calculations!$C$8-Calculations!$C$13))))+'Reaction Information'!$J$62*10^-1*(Calculations!$M78-Calculations!$C$9)+'Reaction Information'!$K$62*10^2*LN((Calculations!$C$12+Calculations!$M78)/(Calculations!$C$12+Calculations!$C$9))+(1/(Calculations!$O78-Calculations!$C$13))*('Reaction Information'!$L$62*(Calculations!$M78-Calculations!$C$9)+'Reaction Information'!$M$62*10^4*LN((Calculations!$C$12+Calculations!$M78)/(Calculations!$C$12+Calculations!$C$9)))+calculateOmega(Calculations!M78,Calculations!N78,Calculations!Q78,'Reaction Information'!$C$62,'Reaction Information'!$P$62*10^5,'Reaction Information'!$Q$62)*((1/Calculations!$S78)-1)-'Reaction Information'!$P$62*10^5*((1/Calculations!$C$10)-1)+'Reaction Information'!$P$62*10^5*Calculations!$C$14*(Calculations!$O78-Calculations!$C$8))</f>
        <v>#N/A</v>
      </c>
      <c r="AX78" s="8" t="e">
        <f>IF(ISBLANK(Input!$BZ$4),NA(),'Reaction Information'!$E$66-'Reaction Information'!$G$66*(Calculations!$O78-Calculations!$C$8)-'Reaction Information'!$N$66*(Calculations!$O78*LN(Calculations!$O78/Calculations!$C$8)-Calculations!$O78+Calculations!$C$8)-'Reaction Information'!$O$66*10^4*(((1/(Calculations!$O78-Calculations!$C$13))-(1/(Calculations!$C$8-Calculations!$C$13)))*((Calculations!$C$13-Calculations!$O78)/(Calculations!$C$13))-(Calculations!$O78/(Calculations!$C$13*Calculations!$C$13))*LN((Calculations!$C$8*(Calculations!$O78-Calculations!$C$13))/(Calculations!$O78*(Calculations!$C$8-Calculations!$C$13))))+'Reaction Information'!$J$66*10^-1*(Calculations!$M78-Calculations!$C$9)+'Reaction Information'!$K$66*10^2*LN((Calculations!$C$12+Calculations!$M78)/(Calculations!$C$12+Calculations!$C$9))+(1/(Calculations!$O78-Calculations!$C$13))*('Reaction Information'!$L$66*(Calculations!$M78-Calculations!$C$9)+'Reaction Information'!$M$66*10^4*LN((Calculations!$C$12+Calculations!$M78)/(Calculations!$C$12+Calculations!$C$9)))+calculateOmega(Calculations!M78,Calculations!N78,Calculations!Q78,'Reaction Information'!$C$66,'Reaction Information'!$P$66*10^5,'Reaction Information'!$Q$66)*((1/Calculations!$S78)-1)-'Reaction Information'!$P$66*10^5*((1/Calculations!$C$10)-1)+'Reaction Information'!$P$66*10^5*Calculations!$C$14*(Calculations!$O78-Calculations!$C$8))</f>
        <v>#N/A</v>
      </c>
      <c r="AY78" s="31">
        <f>(AL78*Input!$AO$4+AM78*Input!$AR$4+AN78*Input!$AU$4+AO78*Input!$AX$4+IF(ISNA(AP78),0,AP78*Input!$BA$4)+IF(ISNA(AQ78),0,AQ78*Input!$BD$4)+IF(ISNA(AR78),0,AR78*Input!$BG$4)+IF(ISNA(AS78),0,AS78*Input!$BJ$4)+IF(ISNA(AT78),0,AT78*Input!$BM$4)+IF(ISNA(AU78),0,AU78*Input!$BP$4)+IF(ISNA(AV78),0,AV78*Input!$BS$4)+IF(ISNA(AW78),0,AW78*Input!$BV$4)+IF(ISNA(AX78),0,AX78*Input!$BY$4))-(Y78*Input!$B$4+Z78*Input!$E$4+AA78*Input!$H$4+AB78*Input!$K$4+IF(ISNA(AC78),0,AC78*Input!$N$4)+IF(ISNA(AD78),0,AD78*Input!$Q$4)+IF(ISNA(AE78),0,AE78*Input!$T$4)+IF(ISNA(AF78),0,AF78*Input!$W$4)+IF(ISNA(AG78),0,AG78*Input!$Z$4)+IF(ISNA(AH78),0,AH78*Input!$AC$4)+IF(ISNA(AI78),0,AI78*Input!$AF$4)+IF(ISNA(AJ78),0,AJ78*Input!$AI$4)+IF(ISNA(AK78),0,AK78*Input!$AL$4))</f>
        <v>34545.355760961247</v>
      </c>
      <c r="AZ78" s="42">
        <f t="shared" si="20"/>
        <v>-6.4397350297685447</v>
      </c>
      <c r="BA78" s="1">
        <f t="shared" si="27"/>
        <v>900</v>
      </c>
      <c r="BB78" s="46">
        <f t="shared" si="28"/>
        <v>25000</v>
      </c>
      <c r="BC78" s="1"/>
      <c r="BD78" s="2">
        <f t="shared" si="29"/>
        <v>25000</v>
      </c>
      <c r="BE78" s="46">
        <f t="shared" si="30"/>
        <v>900</v>
      </c>
      <c r="BF78" s="1">
        <f>Results!AJ80</f>
        <v>0</v>
      </c>
      <c r="BG78" s="1">
        <f>Results!AK80</f>
        <v>0</v>
      </c>
      <c r="BH78" s="1">
        <f>Results!AL80</f>
        <v>0</v>
      </c>
      <c r="BI78" s="1">
        <f>Results!AM80</f>
        <v>0</v>
      </c>
      <c r="BJ78" s="1" t="e">
        <f>IF(OR(ISNA('Reaction Information'!$D$5), $N78 = "", $D$27 = FALSE, 'Reaction Information'!$D$5 = ""), NA(), 24.465)</f>
        <v>#N/A</v>
      </c>
      <c r="BK78" s="1" t="e">
        <f>IF(OR(ISNA('Reaction Information'!$D$9), $N78 = "", $D$27 = FALSE, 'Reaction Information'!$D$9 = ""), NA(), 24.465)</f>
        <v>#N/A</v>
      </c>
      <c r="BL78" s="8">
        <f t="shared" si="21"/>
        <v>16.437285427547131</v>
      </c>
      <c r="BM78" s="8">
        <f>IF(OR(ISBLANK(Input!$X$4),$D$27=FALSE),NA(),('Reaction Information'!$J$13/10+'Reaction Information'!$K$13*100/(Calculations!$C$12+Calculations!$M78)+('Reaction Information'!$L$13+'Reaction Information'!$M$13*10^4/(Calculations!$C$12+Calculations!$M78))/(Calculations!$O78-Calculations!$C$13) -calculateOmega(Calculations!$M78,Calculations!$N78,Calculations!$Q78,'Reaction Information'!$C$13,'Reaction Information'!$P$13*10^5,'Reaction Information'!$Q$13)*Calculations!$U78*10^-6 + (1/$S78 - 1)*calculate_domegadP(Calculations!$M78,Calculations!$N78,Calculations!$Q78,'Reaction Information'!$C$13,'Reaction Information'!$P$13*10^5,'Reaction Information'!$Q$13,$D$20,$D$19=3))*41.84)</f>
        <v>31.344747526774459</v>
      </c>
      <c r="BN78" s="8" t="e">
        <f>IF(OR(ISBLANK(Input!$AA$4),$D$27=FALSE),NA(),('Reaction Information'!$J$17/10+'Reaction Information'!$K$17*100/(Calculations!$C$12+Calculations!$M78)+('Reaction Information'!$L$17+'Reaction Information'!$M$17*10000/(Calculations!$C$12+Calculations!$M78))/(Calculations!$O78-Calculations!$C$13)-calculateOmega(Calculations!M78,Calculations!N78,Calculations!Q78,'Reaction Information'!$C$17,'Reaction Information'!$P$17*10^5,'Reaction Information'!$Q$17)*Calculations!$U78*10^-6 + (1/$S78 - 1)*calculate_domegadP(Calculations!M78,Calculations!N78,Calculations!Q78,'Reaction Information'!$C$17,'Reaction Information'!$P$17*10^5,'Reaction Information'!$Q$17,$D$20,$D$19=3))*41.84)</f>
        <v>#N/A</v>
      </c>
      <c r="BO78" s="8" t="e">
        <f>IF(OR(ISBLANK(Input!$AD$4),$D$27=FALSE),NA(),('Reaction Information'!$J$21/10+'Reaction Information'!$K$21*100/(Calculations!$C$12+Calculations!$M78)+('Reaction Information'!$L$21+'Reaction Information'!$M$21*10000/(Calculations!$C$12+Calculations!$M78))/(Calculations!$O78-Calculations!$C$13)-calculateOmega(Calculations!M78,Calculations!N78,Calculations!Q78,'Reaction Information'!$C$21,'Reaction Information'!$P$21*10^5,'Reaction Information'!$Q$21)*Calculations!$U78*10^-6 + (1/$S78 - 1)*calculate_domegadP(Calculations!M78,Calculations!N78,Calculations!Q78,'Reaction Information'!$C$21,'Reaction Information'!$P$21*10^5,'Reaction Information'!$Q$21,$D$20,$D$19=3))*41.84)</f>
        <v>#N/A</v>
      </c>
      <c r="BP78" s="8" t="e">
        <f>IF(OR(ISBLANK(Input!$AG$4),$D$27=FALSE),NA(),('Reaction Information'!$J$25/10+'Reaction Information'!$K$25*100/(Calculations!$C$12+Calculations!$M78)+('Reaction Information'!$L$25+'Reaction Information'!$M$25*10000/(Calculations!$C$12+Calculations!$M78))/(Calculations!$O78-Calculations!$C$13)-calculateOmega(Calculations!M78,Calculations!N78,Calculations!Q78,'Reaction Information'!$C$25,'Reaction Information'!$P$25*10^5,'Reaction Information'!$Q$25)*Calculations!$U78*10^-6 + (1/$S78 - 1)*calculate_domegadP(Calculations!M78,Calculations!N78,Calculations!Q78,'Reaction Information'!$C$25,'Reaction Information'!$P$25*10^5,'Reaction Information'!$Q$25,$D$20,$D$19=3))*41.84)</f>
        <v>#N/A</v>
      </c>
      <c r="BQ78" s="8" t="e">
        <f>IF(OR(ISBLANK(Input!$AJ$4),$D$27=FALSE),NA(),('Reaction Information'!$J$29/10+'Reaction Information'!$K$29*100/(Calculations!$C$12+Calculations!$M78)+('Reaction Information'!$L$29+'Reaction Information'!$M$29*10000/(Calculations!$C$12+Calculations!$M78))/(Calculations!$O78-Calculations!$C$13)-calculateOmega(Calculations!M78,Calculations!N78,Calculations!Q78,'Reaction Information'!$C$29,'Reaction Information'!$P$29*10^5,'Reaction Information'!$Q$29)*Calculations!$U78*10^-6 + (1/$S78 - 1)*calculate_domegadP(Calculations!M78,Calculations!N78,Calculations!Q78,'Reaction Information'!$C$29,'Reaction Information'!$P$29*10^5,'Reaction Information'!$Q$29,$D$20,$D$19=3))*41.84)</f>
        <v>#N/A</v>
      </c>
      <c r="BR78" s="8" t="e">
        <f>IF(OR(ISBLANK(Input!$AM$4),$D$27=FALSE),NA(),('Reaction Information'!$J$33/10+'Reaction Information'!$K$33*100/(Calculations!$C$12+Calculations!$M78)+('Reaction Information'!$L$33+'Reaction Information'!$M$33*10000/(Calculations!$C$12+Calculations!$M78))/(Calculations!$O78-Calculations!$C$13)-calculateOmega(Calculations!M78,Calculations!N78,Calculations!Q78,'Reaction Information'!$C$33,'Reaction Information'!$P$33*10^5,'Reaction Information'!$Q$33)*Calculations!$U78*10^-6 + (1/$S78 - 1)*calculate_domegadP(Calculations!M78,Calculations!N78,Calculations!Q78,'Reaction Information'!$C$33,'Reaction Information'!$P$33*10^5,'Reaction Information'!$Q$33,$D$20,$D$19=3))*41.84)</f>
        <v>#N/A</v>
      </c>
      <c r="BS78" s="1">
        <f>Results!AW80</f>
        <v>0</v>
      </c>
      <c r="BT78" s="1">
        <f>Results!AX80</f>
        <v>0</v>
      </c>
      <c r="BU78" s="1">
        <f>Results!AY80</f>
        <v>0</v>
      </c>
      <c r="BV78" s="1">
        <f>Results!AZ80</f>
        <v>0</v>
      </c>
      <c r="BW78" s="1" t="e">
        <f>IF(OR(ISNA('Reaction Information'!$D$38), $N78 = "", $D$27 = FALSE, 'Reaction Information'!$D$38 = ""), NA(), 24.465)</f>
        <v>#N/A</v>
      </c>
      <c r="BX78" s="1" t="e">
        <f>IF(OR(ISNA('Reaction Information'!$D$42), $N78 = "", $D$27 = FALSE, 'Reaction Information'!$D$42 = ""), NA(), 24.465)</f>
        <v>#N/A</v>
      </c>
      <c r="BY78" s="8" t="e">
        <f t="shared" si="22"/>
        <v>#N/A</v>
      </c>
      <c r="BZ78" s="8">
        <f>IF(OR(ISBLANK(Input!$BK$4),$D$27=FALSE),NA(),('Reaction Information'!$J$46/10+'Reaction Information'!$K$46*100/(Calculations!$C$12+Calculations!$M78)+('Reaction Information'!$L$46+'Reaction Information'!$M$46*10000/(Calculations!$C$12+Calculations!$M78))/(Calculations!$O78-Calculations!$C$13)-calculateOmega(Calculations!M78,Calculations!N78,Calculations!Q78,'Reaction Information'!$C$46,'Reaction Information'!$P$46*10^5,'Reaction Information'!$Q$46)*Calculations!$U78*10^-6 + (1/$S78 - 1)*calculate_domegadP(Calculations!M78,Calculations!N78,Calculations!Q78,'Reaction Information'!$C$46,'Reaction Information'!$P$46*10^5,'Reaction Information'!$Q$46,$D$20,$D$19=3))*41.84)</f>
        <v>0</v>
      </c>
      <c r="CA78" s="8">
        <f>IF(OR(ISBLANK(Input!$BN$4),$D$27=FALSE),NA(),('Reaction Information'!$J$50/10+'Reaction Information'!$K$50*100/(Calculations!$C$12+Calculations!$M78)+('Reaction Information'!$L$50+'Reaction Information'!$M$50*10000/(Calculations!$C$12+Calculations!$M78))/(Calculations!$O78-Calculations!$C$13)-calculateOmega(Calculations!M78,Calculations!N78,Calculations!Q78,'Reaction Information'!$C$50,'Reaction Information'!$P$50*10^5,'Reaction Information'!$Q$50)*Calculations!$U78*10^-6 + (1/$S78 - 1)*calculate_domegadP(Calculations!M78,Calculations!N78,Calculations!Q78,'Reaction Information'!$C$50,'Reaction Information'!$P$50*10^5,'Reaction Information'!$Q$50,$D$20,$D$19=3))*41.84)</f>
        <v>29.303239206862905</v>
      </c>
      <c r="CB78" s="8" t="e">
        <f>IF(OR(ISBLANK(Input!$BQ$4),$D$27=FALSE),NA(),('Reaction Information'!$J$54/10+'Reaction Information'!$K$54*100/(Calculations!$C$12+Calculations!$M78)+('Reaction Information'!$L$54+'Reaction Information'!$M$54*10000/(Calculations!$C$12+Calculations!$M78))/(Calculations!$O78-Calculations!$C$13)-calculateOmega(Calculations!M78,Calculations!N78,Calculations!Q78,'Reaction Information'!$C$54,'Reaction Information'!$P$54*10^5,'Reaction Information'!$Q$54)*Calculations!$U78*10^-6 + (1/$S78 - 1)*calculate_domegadP(Calculations!M78,Calculations!N78,Calculations!Q78,'Reaction Information'!$C$54,'Reaction Information'!$P$54*10^5,'Reaction Information'!$Q$54,$D$20,$D$19=3))*41.84)</f>
        <v>#N/A</v>
      </c>
      <c r="CC78" s="8" t="e">
        <f>IF(OR(ISBLANK(Input!$BT$4),$D$27=FALSE),NA(),('Reaction Information'!$J$58/10+'Reaction Information'!$K$58*100/(Calculations!$C$12+Calculations!$M78)+('Reaction Information'!$L$58+'Reaction Information'!$M$58*10000/(Calculations!$C$12+Calculations!$M78))/(Calculations!$O78-Calculations!$C$13)-calculateOmega(Calculations!M78,Calculations!N78,Calculations!Q78,'Reaction Information'!$C$58,'Reaction Information'!$P$58*10^5,'Reaction Information'!$Q$58)*Calculations!$U78*10^-6 + (1/$S78 - 1)*calculate_domegadP(Calculations!M78,Calculations!N78,Calculations!Q78,'Reaction Information'!$C$58,'Reaction Information'!$P$58*10^5,'Reaction Information'!$Q$58,$D$20,$D$19=3))*41.84)</f>
        <v>#N/A</v>
      </c>
      <c r="CD78" s="8" t="e">
        <f>IF(OR(ISBLANK(Input!$BW$4),$D$27=FALSE),NA(),('Reaction Information'!$J$62/10+'Reaction Information'!$K$62*100/(Calculations!$C$12+Calculations!$M78)+('Reaction Information'!$L$62+'Reaction Information'!$M$62*10000/(Calculations!$C$12+Calculations!$M78))/(Calculations!$O78-Calculations!$C$13)-calculateOmega(Calculations!M78,Calculations!N78,Calculations!Q78,'Reaction Information'!$C$62,'Reaction Information'!$P$62*10^5,'Reaction Information'!$Q$62)*Calculations!$U78*10^-6 + (1/$S78 - 1)*calculate_domegadP(Calculations!M78,Calculations!N78,Calculations!Q78,'Reaction Information'!$C$62,'Reaction Information'!$P$62*10^5,'Reaction Information'!$Q$62,$D$20,$D$19=3))*41.84)</f>
        <v>#N/A</v>
      </c>
      <c r="CE78" s="8" t="e">
        <f>IF(OR(ISBLANK(Input!$BZ$4),$D$27=FALSE),NA(),('Reaction Information'!$J$66/10+'Reaction Information'!$K$66*100/(Calculations!$C$12+Calculations!$M78)+('Reaction Information'!$L$66+'Reaction Information'!$M$66*10000/(Calculations!$C$12+Calculations!$M78))/(Calculations!$O78-Calculations!$C$13)-calculateOmega(Calculations!M78,Calculations!N78,Calculations!Q78,'Reaction Information'!$C$66,'Reaction Information'!$P$66*10^5,'Reaction Information'!$Q$66)*Calculations!$U78*10^-6 + (1/$S78 - 1)*calculate_domegadP(Calculations!M78,Calculations!N78,Calculations!Q78,'Reaction Information'!$C$66,'Reaction Information'!$P$66*10^5,'Reaction Information'!$Q$66,$D$20,$D$19=3))*41.84)</f>
        <v>#N/A</v>
      </c>
      <c r="CF78" s="31">
        <f>(BS78*Input!$AO$4+BT78*Input!$AR$4+BU78*Input!$AU$4+BV78*Input!$AX$4+IF(ISNA(BW78),0,BW78*Input!$BA$4)+IF(ISNA(BX78),0,BX78*Input!$BD$4)+IF(ISNA(BY78),0,BY78*Input!$BG$4)+IF(ISNA(BZ78),0,BZ78*Input!$BJ$4)+IF(ISNA(CA78),0,CA78*Input!$BM$4)+IF(ISNA(CB78),0,CB78*Input!$BP$4)+IF(ISNA(CC78),0,CC78*Input!$BS$4)+IF(ISNA(CD78),0,CD78*Input!$BV$4)+IF(ISNA(CE78),0,CE78*Input!$BY$4))-(BF78*Input!$B$4+BG78*Input!$E$4+BH78*Input!$H$4+BI78*Input!$K$4+IF(ISNA(BJ78),0,BJ78*Input!$N$4)+IF(ISNA(BK78),0,BK78*Input!$Q$4)+IF(ISNA(BL78),0,BL78*Input!$T$4)+IF(ISNA(BM78),0,BM78*Input!$W$4)+IF(ISNA(BN78),0,BN78*Input!$Z$4)+IF(ISNA(BO78),0,BO78*Input!$AC$4)+IF(ISNA(BP78),0,BP78*Input!$AF$4)+IF(ISNA(BQ78),0,BQ78*Input!$AI$4)+IF(ISNA(BR78),0,BR78*Input!$AL$4))</f>
        <v>-18.478793747458688</v>
      </c>
      <c r="CG78" s="1">
        <f t="shared" si="31"/>
        <v>900</v>
      </c>
      <c r="CH78" s="46">
        <f t="shared" si="32"/>
        <v>25000</v>
      </c>
      <c r="CI78" s="1"/>
    </row>
    <row r="79" spans="1:87" x14ac:dyDescent="0.2">
      <c r="A79" s="1"/>
      <c r="B79" s="1"/>
      <c r="C79" s="1"/>
      <c r="D79" s="1"/>
      <c r="E79" s="1"/>
      <c r="F79" s="2">
        <v>74</v>
      </c>
      <c r="G79" s="1" t="str">
        <f>IF(ISBLANK(Input!CB79), "", Input!CB79*1000)</f>
        <v/>
      </c>
      <c r="H79" s="1" t="str">
        <f>IF(ISBLANK(Input!CC79), "", Input!CC79)</f>
        <v/>
      </c>
      <c r="I79" s="1">
        <f>IF(Input!$CF$5 + Input!$CF$6*(FLOOR((Calculations!$F79-1)/(FLOOR((Input!$CF$12-Input!$CF$10)/Input!$CF$11,1)+1),1)) &gt; Input!$CF$7, "", (Input!$CF$5 + Input!$CF$6*(FLOOR((Calculations!$F79-1)/(FLOOR((Input!$CF$12-Input!$CF$10)/Input!$CF$11,1)+1),1)))*1000)</f>
        <v>25000</v>
      </c>
      <c r="J79" s="1">
        <f>IF(Calculations!I79 = "", "", Input!$CF$10 + Input!$CF$11*(Calculations!$F79-1) - (FLOOR((Input!$CF$12-Input!$CF$10)/Input!$CF$11,1)+1)*Input!$CF$11*FLOOR((Calculations!$F79-1)/(FLOOR((Input!$CF$12-Input!$CF$10)/Input!$CF$11,1)+1),1))</f>
        <v>950</v>
      </c>
      <c r="K79" s="8" t="str">
        <f t="shared" si="33"/>
        <v/>
      </c>
      <c r="L79" s="117" t="str">
        <f>IF(OR(Input!$CJ$5 + Input!$CJ$6*(Calculations!F79-1) &gt; Input!$CJ$7, Input!$CJ$5 + Input!$CJ$6*(Calculations!F79-1) &gt; 350), "", Input!$CJ$5 + Input!$CJ$6*(Calculations!F79-1))</f>
        <v/>
      </c>
      <c r="M79" s="1">
        <f t="shared" si="23"/>
        <v>25000</v>
      </c>
      <c r="N79" s="1">
        <f t="shared" si="24"/>
        <v>950</v>
      </c>
      <c r="O79" s="1">
        <f t="shared" si="19"/>
        <v>1223.1500000000001</v>
      </c>
      <c r="P79" s="1" t="e">
        <f>IF(OR($D$20=3,AND($D$21=TRUE,M79&lt;1000)),INDEX('Water Density'!$C$6:$CX$120,MATCH(Calculations!N79,'Water Density'!$B$6:$B$120),MATCH(Calculations!M79/1000,'Water Density'!$C$5:$CX$5)),NA())</f>
        <v>#N/A</v>
      </c>
      <c r="Q79" s="182">
        <f>IF(OR($D$20=3,AND($D$21=TRUE,M79&lt;1000)), IF(P79&lt;&gt;0,P79,NA()), calculateDensity(M79,N79,$D$20,0.01,$D$19 = 3))</f>
        <v>1.0817921265780923</v>
      </c>
      <c r="R79" s="1" t="e">
        <f>IF($D$22=5,INDEX('Dielectric Constant'!$C$6:$CX$120,MATCH(Calculations!N79,'Dielectric Constant'!$B$6:$B$120),MATCH(Calculations!M79/1000,'Dielectric Constant'!$C$5:$CX$5)),NA())</f>
        <v>#N/A</v>
      </c>
      <c r="S79" s="58">
        <f>IF($D$22=5, IF(R79&lt;&gt;0,R79,NA()), IF(AND($D$23,M79&lt;=5000,$D$19 &lt;&gt; 3),calculateEpsilon(Q79,N79,1,FALSE),calculateEpsilon(Q79,N79,$D$22,$D$19 = 3)))</f>
        <v>14.303120755054504</v>
      </c>
      <c r="T79" s="1" t="e">
        <f>IF($D$24=3,INDEX('Water Free Energy'!$C$6:$CX$120,MATCH(Calculations!N79,'Water Free Energy'!$B$6:$B$120),MATCH(Calculations!M79/1000,'Water Free Energy'!$C$5:$CX$5)),NA())</f>
        <v>#N/A</v>
      </c>
      <c r="U79" s="179">
        <f>IF($D$27,calculateQ(M79,N79,Q79,$D$20,$D$22,$D$19=3)*10^6,NA())</f>
        <v>0.56738174672174679</v>
      </c>
      <c r="V79"/>
      <c r="W79" s="2">
        <f t="shared" si="25"/>
        <v>25000</v>
      </c>
      <c r="X79" s="1">
        <f t="shared" si="26"/>
        <v>950</v>
      </c>
      <c r="Y79" s="1">
        <f>Results!F81</f>
        <v>0</v>
      </c>
      <c r="Z79" s="1">
        <f>Results!G81</f>
        <v>0</v>
      </c>
      <c r="AA79" s="1">
        <f>Results!H81</f>
        <v>0</v>
      </c>
      <c r="AB79" s="1">
        <f>Results!I81</f>
        <v>0</v>
      </c>
      <c r="AC79" s="1" t="e">
        <f>IF(ISBLANK(Input!$O$4),NA(),'Reaction Information'!$E$5-'Reaction Information'!$G$5*(Calculations!$O79-Calculations!$C$8)+'Reaction Information'!$I$5*(Calculations!$O79-Calculations!$C$8-Calculations!$O79*LN(Calculations!$O79/Calculations!$C$8))+'Reaction Information'!$J$5*0.001/2*(2*Calculations!$O79*Calculations!$C$8-Calculations!$O79^2-Calculations!$C$8^2) + 'Reaction Information'!$K$5*100000*(Calculations!$O79^2 + Calculations!$C$8^2 - 2*Calculations!$O79*Calculations!$C$8)/(2*Calculations!$O79*Calculations!$C$8^2))</f>
        <v>#N/A</v>
      </c>
      <c r="AD79" s="8" t="e">
        <f>IF(ISBLANK(Input!$R$4),NA(),'Reaction Information'!$E$9-'Reaction Information'!$G$9*(Calculations!$O79-Calculations!$C$8)+'Reaction Information'!$I$9*(Calculations!$O79-Calculations!$C$8-Calculations!$O79*LN(Calculations!$O79/Calculations!$C$8))+'Reaction Information'!$J$9*0.001/2*(2*Calculations!$O79*Calculations!$C$8-Calculations!$O79^2-Calculations!$C$8^2) + 'Reaction Information'!$K$9*100000*(Calculations!$O79^2 + Calculations!$C$8^2 - 2*Calculations!$O79*Calculations!$C$8)/(2*Calculations!$O79*Calculations!$C$8^2))</f>
        <v>#N/A</v>
      </c>
      <c r="AE79" s="8">
        <f>IF(AE$5="H2O",IF($D$24=3,IF(T79=0,NA(),T79),calculateGibbsOfWater(M79,N79,$D$24,$D$20,$D$19=3)),NA())</f>
        <v>-72608.592444997688</v>
      </c>
      <c r="AF79" s="8">
        <f>IF(ISBLANK(Input!$X$4),NA(),'Reaction Information'!$E$13-'Reaction Information'!$G$13*(Calculations!O79-Calculations!$C$8)-'Reaction Information'!$N$13*(Calculations!O79*LN(Calculations!O79/Calculations!$C$8)-Calculations!O79+Calculations!$C$8)-'Reaction Information'!$O$13*10^4*(((1/(Calculations!O79-Calculations!$C$13))-(1/(Calculations!$C$8-Calculations!$C$13)))*((Calculations!$C$13-Calculations!O79)/(Calculations!$C$13))-(Calculations!O79/(Calculations!$C$13*Calculations!$C$13))*LN((Calculations!$C$8*(Calculations!O79-Calculations!$C$13))/(Calculations!O79*(Calculations!$C$8-Calculations!$C$13))))+'Reaction Information'!$J$13*10^-1*(Calculations!M79-Calculations!$C$9)+'Reaction Information'!$K$13*10^2*LN((Calculations!$C$12+Calculations!M79)/(Calculations!$C$12+Calculations!$C$9))+(1/(Calculations!O79-Calculations!$C$13))*('Reaction Information'!$L$13*(Calculations!M79-Calculations!$C$9)+'Reaction Information'!$M$13*10^4*LN((Calculations!$C$12+Calculations!M79)/(Calculations!$C$12+Calculations!$C$9)))+calculateOmega(Calculations!M79,Calculations!N79,Calculations!Q79,'Reaction Information'!$C$13,'Reaction Information'!$P$13*10^5,'Reaction Information'!$Q$13)*((1/Calculations!S79)-1)-'Reaction Information'!$P$13*10^5*((1/Calculations!$C$10)-1)+'Reaction Information'!$P$13*10^5*Calculations!$C$14*(Calculations!O79-Calculations!$C$8))</f>
        <v>-114724.14774896861</v>
      </c>
      <c r="AG79" s="8" t="e">
        <f>IF(ISBLANK(Input!$AA$4),NA(),'Reaction Information'!$E$17-'Reaction Information'!$G$17*(Calculations!$O79-Calculations!$C$8)-'Reaction Information'!$N$17*(Calculations!$O79*LN(Calculations!$O79/Calculations!$C$8)-Calculations!$O79+Calculations!$C$8)-'Reaction Information'!$O$17*10^4*(((1/(Calculations!$O79-Calculations!$C$13))-(1/(Calculations!$C$8-Calculations!$C$13)))*((Calculations!$C$13-Calculations!$O79)/(Calculations!$C$13))-(Calculations!$O79/(Calculations!$C$13*Calculations!$C$13))*LN((Calculations!$C$8*(Calculations!$O79-Calculations!$C$13))/(Calculations!$O79*(Calculations!$C$8-Calculations!$C$13))))+'Reaction Information'!$J$17*10^-1*(Calculations!$M79-Calculations!$C$9)+'Reaction Information'!$K$17*10^2*LN((Calculations!$C$12+Calculations!$M79)/(Calculations!$C$12+Calculations!$C$9))+(1/(Calculations!$O79-Calculations!$C$13))*('Reaction Information'!$L$17*(Calculations!$M79-Calculations!$C$9)+'Reaction Information'!$M$17*10^4*LN((Calculations!$C$12+Calculations!$M79)/(Calculations!$C$12+Calculations!$C$9)))+calculateOmega(Calculations!M79,Calculations!N79,Calculations!Q79,'Reaction Information'!$C$17,'Reaction Information'!$P$17*10^5,'Reaction Information'!$Q$17)*((1/Calculations!$S79)-1)-'Reaction Information'!$P$17*10^5*((1/Calculations!$C$10)-1)+'Reaction Information'!$P$17*10^5*Calculations!$C$14*(Calculations!$O79-Calculations!$C$8))</f>
        <v>#N/A</v>
      </c>
      <c r="AH79" s="8" t="e">
        <f>IF(ISBLANK(Input!$AD$4),NA(),'Reaction Information'!$E$21-'Reaction Information'!$G$21*(Calculations!$O79-Calculations!$C$8)-'Reaction Information'!$N$21*(Calculations!$O79*LN(Calculations!$O79/Calculations!$C$8)-Calculations!$O79+Calculations!$C$8)-'Reaction Information'!$O$21*10^4*(((1/(Calculations!$O79-Calculations!$C$13))-(1/(Calculations!$C$8-Calculations!$C$13)))*((Calculations!$C$13-Calculations!$O79)/(Calculations!$C$13))-(Calculations!$O79/(Calculations!$C$13*Calculations!$C$13))*LN((Calculations!$C$8*(Calculations!$O79-Calculations!$C$13))/(Calculations!$O79*(Calculations!$C$8-Calculations!$C$13))))+'Reaction Information'!$J$21*10^-1*(Calculations!$M79-Calculations!$C$9)+'Reaction Information'!$K$21*10^2*LN((Calculations!$C$12+Calculations!$M79)/(Calculations!$C$12+Calculations!$C$9))+(1/(Calculations!$O79-Calculations!$C$13))*('Reaction Information'!$L$21*(Calculations!$M79-Calculations!$C$9)+'Reaction Information'!$M$21*10^4*LN((Calculations!$C$12+Calculations!$M79)/(Calculations!$C$12+Calculations!$C$9)))+calculateOmega(Calculations!M79,Calculations!N79,Calculations!Q79,'Reaction Information'!$C$21,'Reaction Information'!$P$21*10^5,'Reaction Information'!$Q$21)*((1/Calculations!$S79)-1)-'Reaction Information'!$P$21*10^5*((1/Calculations!$C$10)-1)+'Reaction Information'!$P$21*10^5*Calculations!$C$14*(Calculations!$O79-Calculations!$C$8))</f>
        <v>#N/A</v>
      </c>
      <c r="AI79" s="8" t="e">
        <f>IF(ISBLANK(Input!$AG$4),NA(),'Reaction Information'!$E$25-'Reaction Information'!$G$25*(Calculations!$O79-Calculations!$C$8)-'Reaction Information'!$N$25*(Calculations!$O79*LN(Calculations!$O79/Calculations!$C$8)-Calculations!$O79+Calculations!$C$8)-'Reaction Information'!$O$25*10^4*(((1/(Calculations!$O79-Calculations!$C$13))-(1/(Calculations!$C$8-Calculations!$C$13)))*((Calculations!$C$13-Calculations!$O79)/(Calculations!$C$13))-(Calculations!$O79/(Calculations!$C$13*Calculations!$C$13))*LN((Calculations!$C$8*(Calculations!$O79-Calculations!$C$13))/(Calculations!$O79*(Calculations!$C$8-Calculations!$C$13))))+'Reaction Information'!$J$25*10^-1*(Calculations!$M79-Calculations!$C$9)+'Reaction Information'!$K$25*10^2*LN((Calculations!$C$12+Calculations!$M79)/(Calculations!$C$12+Calculations!$C$9))+(1/(Calculations!$O79-Calculations!$C$13))*('Reaction Information'!$L$25*(Calculations!$M79-Calculations!$C$9)+'Reaction Information'!$M$25*10^4*LN((Calculations!$C$12+Calculations!$M79)/(Calculations!$C$12+Calculations!$C$9)))+calculateOmega(Calculations!M79,Calculations!N79,Calculations!Q79,'Reaction Information'!$C$25,'Reaction Information'!$P$25*10^5,'Reaction Information'!$Q$25)*((1/Calculations!$S79)-1)-'Reaction Information'!$P$25*10^5*((1/Calculations!$C$10)-1)+'Reaction Information'!$P$25*10^5*Calculations!$C$14*(Calculations!$O79-Calculations!$C$8))</f>
        <v>#N/A</v>
      </c>
      <c r="AJ79" s="8" t="e">
        <f>IF(ISBLANK(Input!$AJ$4),NA(),'Reaction Information'!$E$29-'Reaction Information'!$G$29*(Calculations!$O79-Calculations!$C$8)-'Reaction Information'!$N$29*(Calculations!$O79*LN(Calculations!$O79/Calculations!$C$8)-Calculations!$O79+Calculations!$C$8)-'Reaction Information'!$O$29*10^4*(((1/(Calculations!$O79-Calculations!$C$13))-(1/(Calculations!$C$8-Calculations!$C$13)))*((Calculations!$C$13-Calculations!$O79)/(Calculations!$C$13))-(Calculations!$O79/(Calculations!$C$13*Calculations!$C$13))*LN((Calculations!$C$8*(Calculations!$O79-Calculations!$C$13))/(Calculations!$O79*(Calculations!$C$8-Calculations!$C$13))))+'Reaction Information'!$J$29*10^-1*(Calculations!$M79-Calculations!$C$9)+'Reaction Information'!$K$29*10^2*LN((Calculations!$C$12+Calculations!$M79)/(Calculations!$C$12+Calculations!$C$9))+(1/(Calculations!$O79-Calculations!$C$13))*('Reaction Information'!$L$29*(Calculations!$M79-Calculations!$C$9)+'Reaction Information'!$M$29*10^4*LN((Calculations!$C$12+Calculations!$M79)/(Calculations!$C$12+Calculations!$C$9)))+calculateOmega(Calculations!M79,Calculations!N79,Calculations!Q79,'Reaction Information'!$C$29,'Reaction Information'!$P$29*10^5,'Reaction Information'!$Q$29)*((1/Calculations!$S79)-1)-'Reaction Information'!$P$29*10^5*((1/Calculations!$C$10)-1)+'Reaction Information'!$P$29*10^5*Calculations!$C$14*(Calculations!$O79-Calculations!$C$8))</f>
        <v>#N/A</v>
      </c>
      <c r="AK79" s="8" t="e">
        <f>IF(ISBLANK(Input!$AM$4),NA(),'Reaction Information'!$E$33-'Reaction Information'!$G$33*(Calculations!$O79-Calculations!$C$8)-'Reaction Information'!$N$33*(Calculations!$O79*LN(Calculations!$O79/Calculations!$C$8)-Calculations!$O79+Calculations!$C$8)-'Reaction Information'!$O$33*10^4*(((1/(Calculations!$O79-Calculations!$C$13))-(1/(Calculations!$C$8-Calculations!$C$13)))*((Calculations!$C$13-Calculations!$O79)/(Calculations!$C$13))-(Calculations!$O79/(Calculations!$C$13*Calculations!$C$13))*LN((Calculations!$C$8*(Calculations!$O79-Calculations!$C$13))/(Calculations!$O79*(Calculations!$C$8-Calculations!$C$13))))+'Reaction Information'!$J$33*10^-1*(Calculations!$M79-Calculations!$C$9)+'Reaction Information'!$K$33*10^2*LN((Calculations!$C$12+Calculations!$M79)/(Calculations!$C$12+Calculations!$C$9))+(1/(Calculations!$O79-Calculations!$C$13))*('Reaction Information'!$L$33*(Calculations!$M79-Calculations!$C$9)+'Reaction Information'!$M$33*10^4*LN((Calculations!$C$12+Calculations!$M79)/(Calculations!$C$12+Calculations!$C$9)))+calculateOmega(Calculations!M79,Calculations!N79,Calculations!Q79,'Reaction Information'!$C$33,'Reaction Information'!$P$33*10^5,'Reaction Information'!$Q$33)*((1/Calculations!$S79)-1)-'Reaction Information'!$P$33*10^5*((1/Calculations!$C$10)-1)+'Reaction Information'!$P$33*10^5*Calculations!$C$14*(Calculations!$O79-Calculations!$C$8))</f>
        <v>#N/A</v>
      </c>
      <c r="AL79" s="1">
        <f>Results!S81</f>
        <v>0</v>
      </c>
      <c r="AM79" s="1">
        <f>Results!T81</f>
        <v>0</v>
      </c>
      <c r="AN79" s="1">
        <f>Results!U81</f>
        <v>0</v>
      </c>
      <c r="AO79" s="1">
        <f>Results!V81</f>
        <v>0</v>
      </c>
      <c r="AP79" s="8" t="e">
        <f>IF(ISBLANK(Input!$BB$4),NA(),'Reaction Information'!$E$38-'Reaction Information'!$G$38*(Calculations!$O79-Calculations!$C$8)+'Reaction Information'!$I$38*(Calculations!$O79-Calculations!$C$8-Calculations!$O79*LN(Calculations!$O79/Calculations!$C$8))+'Reaction Information'!$J$38*0.001/2*(2*Calculations!$O79*Calculations!$C$8-Calculations!$O79^2-Calculations!$C$8^2) + 'Reaction Information'!$K$38*100000*(Calculations!$O79^2 + Calculations!$C$8^2 - 2*Calculations!$O79*Calculations!$C$8)/(2*Calculations!$O79*Calculations!$C$8^2))</f>
        <v>#N/A</v>
      </c>
      <c r="AQ79" s="8" t="e">
        <f>IF(ISBLANK(Input!$BE$4),NA(),'Reaction Information'!$E$42-'Reaction Information'!$G$42*(Calculations!$O79-Calculations!$C$8)+'Reaction Information'!$I$42*(Calculations!$O79-Calculations!$C$8-Calculations!$O79*LN(Calculations!$O79/Calculations!$C$8))+'Reaction Information'!$J$42*0.001/2*(2*Calculations!$O79*Calculations!$C$8-Calculations!$O79^2-Calculations!$C$8^2) + 'Reaction Information'!$K$42*100000*(Calculations!$O79^2 + Calculations!$C$8^2 - 2*Calculations!$O79*Calculations!$C$8)/(2*Calculations!$O79*Calculations!$C$8^2))</f>
        <v>#N/A</v>
      </c>
      <c r="AR79" s="8" t="e">
        <f>IF(AR$5="H2O", IF($D$24=3,IF(T79=0,NA(),T79),calculateGibbsOfWater(M79,N79,$D$24,$D$20,$D$19=3)),NA())</f>
        <v>#N/A</v>
      </c>
      <c r="AS79" s="8">
        <f>IF(ISBLANK(Input!$BK$4),NA(),'Reaction Information'!$E$46-'Reaction Information'!$G$46*(Calculations!O79-Calculations!$C$8)-'Reaction Information'!$N$46*(Calculations!O79*LN(Calculations!O79/Calculations!$C$8)-Calculations!O79+Calculations!$C$8)-'Reaction Information'!$O$46*10^4*(((1/(Calculations!O79-Calculations!$C$13))-(1/(Calculations!$C$8-Calculations!$C$13)))*((Calculations!$C$13-Calculations!O79)/(Calculations!$C$13))-(Calculations!O79/(Calculations!$C$13*Calculations!$C$13))*LN((Calculations!$C$8*(Calculations!O79-Calculations!$C$13))/(Calculations!O79*(Calculations!$C$8-Calculations!$C$13))))+'Reaction Information'!$J$46*10^-1*(Calculations!$M79-Calculations!$C$9)+'Reaction Information'!$K$46*10^2*LN((Calculations!$C$12+Calculations!$M79)/(Calculations!$C$12+Calculations!$C$9))+(1/(Calculations!O79-Calculations!$C$13))*('Reaction Information'!$L$46*(Calculations!$M79-Calculations!$C$9)+'Reaction Information'!$M$46*10^4*LN((Calculations!$C$12+Calculations!$M79)/(Calculations!$C$12+Calculations!$C$9)))+calculateOmega(Calculations!M79,Calculations!N79,Calculations!Q79,'Reaction Information'!$C$46,'Reaction Information'!$P$46*10^5,'Reaction Information'!$Q$46)*((1/Calculations!S79)-1)-'Reaction Information'!$P$46*10^5*((1/Calculations!$C$10)-1)+'Reaction Information'!$P$46*10^5*Calculations!$C$14*(Calculations!O79-Calculations!$C$8))</f>
        <v>0</v>
      </c>
      <c r="AT79" s="8">
        <f>IF(ISBLANK(Input!$BN$4),NA(),'Reaction Information'!$E$50-'Reaction Information'!$G$50*(Calculations!O79-Calculations!$C$8)-'Reaction Information'!$N$50*(Calculations!O79*LN(Calculations!O79/Calculations!$C$8)-Calculations!O79+Calculations!$C$8)-'Reaction Information'!$O$50*10^4*(((1/(Calculations!O79-Calculations!$C$13))-(1/(Calculations!$C$8-Calculations!$C$13)))*((Calculations!$C$13-Calculations!O79)/(Calculations!$C$13))-(Calculations!O79/(Calculations!$C$13*Calculations!$C$13))*LN((Calculations!$C$8*(Calculations!O79-Calculations!$C$13))/(Calculations!O79*(Calculations!$C$8-Calculations!$C$13))))+'Reaction Information'!$J$50*10^-1*(Calculations!$M79-Calculations!$C$9)+'Reaction Information'!$K$50*10^2*LN((Calculations!$C$12+Calculations!$M79)/(Calculations!$C$12+Calculations!$C$9))+(1/(Calculations!O79-Calculations!$C$13))*('Reaction Information'!$L$50*(Calculations!$M79-Calculations!$C$9)+'Reaction Information'!$M$50*10^4*LN((Calculations!$C$12+Calculations!$M79)/(Calculations!$C$12+Calculations!$C$9)))+calculateOmega(Calculations!M79,Calculations!N79,Calculations!Q79,'Reaction Information'!$C$50,'Reaction Information'!$P$50*10^5,'Reaction Information'!$Q$50)*((1/Calculations!S79)-1)-'Reaction Information'!$P$50*10^5*((1/Calculations!$C$10)-1)+'Reaction Information'!$P$50*10^5*Calculations!$C$14*(Calculations!O79-Calculations!$C$8))</f>
        <v>-150036.69999926627</v>
      </c>
      <c r="AU79" s="8" t="e">
        <f>IF(ISBLANK(Input!$BQ$4),NA(),'Reaction Information'!$E$54-'Reaction Information'!$G$54*(Calculations!$O79-Calculations!$C$8)-'Reaction Information'!$N$54*(Calculations!$O79*LN(Calculations!$O79/Calculations!$C$8)-Calculations!$O79+Calculations!$C$8)-'Reaction Information'!$O$54*10^4*(((1/(Calculations!$O79-Calculations!$C$13))-(1/(Calculations!$C$8-Calculations!$C$13)))*((Calculations!$C$13-Calculations!$O79)/(Calculations!$C$13))-(Calculations!$O79/(Calculations!$C$13*Calculations!$C$13))*LN((Calculations!$C$8*(Calculations!$O79-Calculations!$C$13))/(Calculations!$O79*(Calculations!$C$8-Calculations!$C$13))))+'Reaction Information'!$J$54*10^-1*(Calculations!$M79-Calculations!$C$9)+'Reaction Information'!$K$54*10^2*LN((Calculations!$C$12+Calculations!$M79)/(Calculations!$C$12+Calculations!$C$9))+(1/(Calculations!$O79-Calculations!$C$13))*('Reaction Information'!$L$54*(Calculations!$M79-Calculations!$C$9)+'Reaction Information'!$M$54*10^4*LN((Calculations!$C$12+Calculations!$M79)/(Calculations!$C$12+Calculations!$C$9)))+calculateOmega(Calculations!M79,Calculations!N79,Calculations!Q79,'Reaction Information'!$C$54,'Reaction Information'!$P$54*10^5,'Reaction Information'!$Q$54)*((1/Calculations!$S79)-1)-'Reaction Information'!$P$54*10^5*((1/Calculations!$C$10)-1)+'Reaction Information'!$P$54*10^5*Calculations!$C$14*(Calculations!$O79-Calculations!$C$8))</f>
        <v>#N/A</v>
      </c>
      <c r="AV79" s="8" t="e">
        <f>IF(ISBLANK(Input!$BT$4),NA(),'Reaction Information'!$E$58-'Reaction Information'!$G$58*(Calculations!$O79-Calculations!$C$8)-'Reaction Information'!$N$58*(Calculations!$O79*LN(Calculations!$O79/Calculations!$C$8)-Calculations!$O79+Calculations!$C$8)-'Reaction Information'!$O$58*10^4*(((1/(Calculations!$O79-Calculations!$C$13))-(1/(Calculations!$C$8-Calculations!$C$13)))*((Calculations!$C$13-Calculations!$O79)/(Calculations!$C$13))-(Calculations!$O79/(Calculations!$C$13*Calculations!$C$13))*LN((Calculations!$C$8*(Calculations!$O79-Calculations!$C$13))/(Calculations!$O79*(Calculations!$C$8-Calculations!$C$13))))+'Reaction Information'!$J$58*10^-1*(Calculations!$M79-Calculations!$C$9)+'Reaction Information'!$K$58*10^2*LN((Calculations!$C$12+Calculations!$M79)/(Calculations!$C$12+Calculations!$C$9))+(1/(Calculations!$O79-Calculations!$C$13))*('Reaction Information'!$L$58*(Calculations!$M79-Calculations!$C$9)+'Reaction Information'!$M$58*10^4*LN((Calculations!$C$12+Calculations!$M79)/(Calculations!$C$12+Calculations!$C$9)))+calculateOmega(Calculations!M79,Calculations!N79,Calculations!Q79,'Reaction Information'!$C$58,'Reaction Information'!$P$58*10^5,'Reaction Information'!$Q$58)*((1/Calculations!$S79)-1)-'Reaction Information'!$P$58*10^5*((1/Calculations!$C$10)-1)+'Reaction Information'!$P$58*10^5*Calculations!$C$14*(Calculations!$O79-Calculations!$C$8))</f>
        <v>#N/A</v>
      </c>
      <c r="AW79" s="8" t="e">
        <f>IF(ISBLANK(Input!$BW$4),NA(),'Reaction Information'!$E$62-'Reaction Information'!$G$62*(Calculations!$O79-Calculations!$C$8)-'Reaction Information'!$N$62*(Calculations!$O79*LN(Calculations!$O79/Calculations!$C$8)-Calculations!$O79+Calculations!$C$8)-'Reaction Information'!$O$62*10^4*(((1/(Calculations!$O79-Calculations!$C$13))-(1/(Calculations!$C$8-Calculations!$C$13)))*((Calculations!$C$13-Calculations!$O79)/(Calculations!$C$13))-(Calculations!$O79/(Calculations!$C$13*Calculations!$C$13))*LN((Calculations!$C$8*(Calculations!$O79-Calculations!$C$13))/(Calculations!$O79*(Calculations!$C$8-Calculations!$C$13))))+'Reaction Information'!$J$62*10^-1*(Calculations!$M79-Calculations!$C$9)+'Reaction Information'!$K$62*10^2*LN((Calculations!$C$12+Calculations!$M79)/(Calculations!$C$12+Calculations!$C$9))+(1/(Calculations!$O79-Calculations!$C$13))*('Reaction Information'!$L$62*(Calculations!$M79-Calculations!$C$9)+'Reaction Information'!$M$62*10^4*LN((Calculations!$C$12+Calculations!$M79)/(Calculations!$C$12+Calculations!$C$9)))+calculateOmega(Calculations!M79,Calculations!N79,Calculations!Q79,'Reaction Information'!$C$62,'Reaction Information'!$P$62*10^5,'Reaction Information'!$Q$62)*((1/Calculations!$S79)-1)-'Reaction Information'!$P$62*10^5*((1/Calculations!$C$10)-1)+'Reaction Information'!$P$62*10^5*Calculations!$C$14*(Calculations!$O79-Calculations!$C$8))</f>
        <v>#N/A</v>
      </c>
      <c r="AX79" s="8" t="e">
        <f>IF(ISBLANK(Input!$BZ$4),NA(),'Reaction Information'!$E$66-'Reaction Information'!$G$66*(Calculations!$O79-Calculations!$C$8)-'Reaction Information'!$N$66*(Calculations!$O79*LN(Calculations!$O79/Calculations!$C$8)-Calculations!$O79+Calculations!$C$8)-'Reaction Information'!$O$66*10^4*(((1/(Calculations!$O79-Calculations!$C$13))-(1/(Calculations!$C$8-Calculations!$C$13)))*((Calculations!$C$13-Calculations!$O79)/(Calculations!$C$13))-(Calculations!$O79/(Calculations!$C$13*Calculations!$C$13))*LN((Calculations!$C$8*(Calculations!$O79-Calculations!$C$13))/(Calculations!$O79*(Calculations!$C$8-Calculations!$C$13))))+'Reaction Information'!$J$66*10^-1*(Calculations!$M79-Calculations!$C$9)+'Reaction Information'!$K$66*10^2*LN((Calculations!$C$12+Calculations!$M79)/(Calculations!$C$12+Calculations!$C$9))+(1/(Calculations!$O79-Calculations!$C$13))*('Reaction Information'!$L$66*(Calculations!$M79-Calculations!$C$9)+'Reaction Information'!$M$66*10^4*LN((Calculations!$C$12+Calculations!$M79)/(Calculations!$C$12+Calculations!$C$9)))+calculateOmega(Calculations!M79,Calculations!N79,Calculations!Q79,'Reaction Information'!$C$66,'Reaction Information'!$P$66*10^5,'Reaction Information'!$Q$66)*((1/Calculations!$S79)-1)-'Reaction Information'!$P$66*10^5*((1/Calculations!$C$10)-1)+'Reaction Information'!$P$66*10^5*Calculations!$C$14*(Calculations!$O79-Calculations!$C$8))</f>
        <v>#N/A</v>
      </c>
      <c r="AY79" s="31">
        <f>(AL79*Input!$AO$4+AM79*Input!$AR$4+AN79*Input!$AU$4+AO79*Input!$AX$4+IF(ISNA(AP79),0,AP79*Input!$BA$4)+IF(ISNA(AQ79),0,AQ79*Input!$BD$4)+IF(ISNA(AR79),0,AR79*Input!$BG$4)+IF(ISNA(AS79),0,AS79*Input!$BJ$4)+IF(ISNA(AT79),0,AT79*Input!$BM$4)+IF(ISNA(AU79),0,AU79*Input!$BP$4)+IF(ISNA(AV79),0,AV79*Input!$BS$4)+IF(ISNA(AW79),0,AW79*Input!$BV$4)+IF(ISNA(AX79),0,AX79*Input!$BY$4))-(Y79*Input!$B$4+Z79*Input!$E$4+AA79*Input!$H$4+AB79*Input!$K$4+IF(ISNA(AC79),0,AC79*Input!$N$4)+IF(ISNA(AD79),0,AD79*Input!$Q$4)+IF(ISNA(AE79),0,AE79*Input!$T$4)+IF(ISNA(AF79),0,AF79*Input!$W$4)+IF(ISNA(AG79),0,AG79*Input!$Z$4)+IF(ISNA(AH79),0,AH79*Input!$AC$4)+IF(ISNA(AI79),0,AI79*Input!$AF$4)+IF(ISNA(AJ79),0,AJ79*Input!$AI$4)+IF(ISNA(AK79),0,AK79*Input!$AL$4))</f>
        <v>37296.040194700035</v>
      </c>
      <c r="AZ79" s="42">
        <f t="shared" si="20"/>
        <v>-6.6682961318484919</v>
      </c>
      <c r="BA79" s="1">
        <f t="shared" si="27"/>
        <v>950</v>
      </c>
      <c r="BB79" s="46">
        <f t="shared" si="28"/>
        <v>25000</v>
      </c>
      <c r="BC79" s="1"/>
      <c r="BD79" s="2">
        <f t="shared" si="29"/>
        <v>25000</v>
      </c>
      <c r="BE79" s="46">
        <f t="shared" si="30"/>
        <v>950</v>
      </c>
      <c r="BF79" s="1">
        <f>Results!AJ81</f>
        <v>0</v>
      </c>
      <c r="BG79" s="1">
        <f>Results!AK81</f>
        <v>0</v>
      </c>
      <c r="BH79" s="1">
        <f>Results!AL81</f>
        <v>0</v>
      </c>
      <c r="BI79" s="1">
        <f>Results!AM81</f>
        <v>0</v>
      </c>
      <c r="BJ79" s="1" t="e">
        <f>IF(OR(ISNA('Reaction Information'!$D$5), $N79 = "", $D$27 = FALSE, 'Reaction Information'!$D$5 = ""), NA(), 24.465)</f>
        <v>#N/A</v>
      </c>
      <c r="BK79" s="1" t="e">
        <f>IF(OR(ISNA('Reaction Information'!$D$9), $N79 = "", $D$27 = FALSE, 'Reaction Information'!$D$9 = ""), NA(), 24.465)</f>
        <v>#N/A</v>
      </c>
      <c r="BL79" s="8">
        <f t="shared" si="21"/>
        <v>16.653180918394781</v>
      </c>
      <c r="BM79" s="8">
        <f>IF(OR(ISBLANK(Input!$X$4),$D$27=FALSE),NA(),('Reaction Information'!$J$13/10+'Reaction Information'!$K$13*100/(Calculations!$C$12+Calculations!$M79)+('Reaction Information'!$L$13+'Reaction Information'!$M$13*10^4/(Calculations!$C$12+Calculations!$M79))/(Calculations!$O79-Calculations!$C$13) -calculateOmega(Calculations!$M79,Calculations!$N79,Calculations!$Q79,'Reaction Information'!$C$13,'Reaction Information'!$P$13*10^5,'Reaction Information'!$Q$13)*Calculations!$U79*10^-6 + (1/$S79 - 1)*calculate_domegadP(Calculations!$M79,Calculations!$N79,Calculations!$Q79,'Reaction Information'!$C$13,'Reaction Information'!$P$13*10^5,'Reaction Information'!$Q$13,$D$20,$D$19=3))*41.84)</f>
        <v>31.464805532233051</v>
      </c>
      <c r="BN79" s="8" t="e">
        <f>IF(OR(ISBLANK(Input!$AA$4),$D$27=FALSE),NA(),('Reaction Information'!$J$17/10+'Reaction Information'!$K$17*100/(Calculations!$C$12+Calculations!$M79)+('Reaction Information'!$L$17+'Reaction Information'!$M$17*10000/(Calculations!$C$12+Calculations!$M79))/(Calculations!$O79-Calculations!$C$13)-calculateOmega(Calculations!M79,Calculations!N79,Calculations!Q79,'Reaction Information'!$C$17,'Reaction Information'!$P$17*10^5,'Reaction Information'!$Q$17)*Calculations!$U79*10^-6 + (1/$S79 - 1)*calculate_domegadP(Calculations!M79,Calculations!N79,Calculations!Q79,'Reaction Information'!$C$17,'Reaction Information'!$P$17*10^5,'Reaction Information'!$Q$17,$D$20,$D$19=3))*41.84)</f>
        <v>#N/A</v>
      </c>
      <c r="BO79" s="8" t="e">
        <f>IF(OR(ISBLANK(Input!$AD$4),$D$27=FALSE),NA(),('Reaction Information'!$J$21/10+'Reaction Information'!$K$21*100/(Calculations!$C$12+Calculations!$M79)+('Reaction Information'!$L$21+'Reaction Information'!$M$21*10000/(Calculations!$C$12+Calculations!$M79))/(Calculations!$O79-Calculations!$C$13)-calculateOmega(Calculations!M79,Calculations!N79,Calculations!Q79,'Reaction Information'!$C$21,'Reaction Information'!$P$21*10^5,'Reaction Information'!$Q$21)*Calculations!$U79*10^-6 + (1/$S79 - 1)*calculate_domegadP(Calculations!M79,Calculations!N79,Calculations!Q79,'Reaction Information'!$C$21,'Reaction Information'!$P$21*10^5,'Reaction Information'!$Q$21,$D$20,$D$19=3))*41.84)</f>
        <v>#N/A</v>
      </c>
      <c r="BP79" s="8" t="e">
        <f>IF(OR(ISBLANK(Input!$AG$4),$D$27=FALSE),NA(),('Reaction Information'!$J$25/10+'Reaction Information'!$K$25*100/(Calculations!$C$12+Calculations!$M79)+('Reaction Information'!$L$25+'Reaction Information'!$M$25*10000/(Calculations!$C$12+Calculations!$M79))/(Calculations!$O79-Calculations!$C$13)-calculateOmega(Calculations!M79,Calculations!N79,Calculations!Q79,'Reaction Information'!$C$25,'Reaction Information'!$P$25*10^5,'Reaction Information'!$Q$25)*Calculations!$U79*10^-6 + (1/$S79 - 1)*calculate_domegadP(Calculations!M79,Calculations!N79,Calculations!Q79,'Reaction Information'!$C$25,'Reaction Information'!$P$25*10^5,'Reaction Information'!$Q$25,$D$20,$D$19=3))*41.84)</f>
        <v>#N/A</v>
      </c>
      <c r="BQ79" s="8" t="e">
        <f>IF(OR(ISBLANK(Input!$AJ$4),$D$27=FALSE),NA(),('Reaction Information'!$J$29/10+'Reaction Information'!$K$29*100/(Calculations!$C$12+Calculations!$M79)+('Reaction Information'!$L$29+'Reaction Information'!$M$29*10000/(Calculations!$C$12+Calculations!$M79))/(Calculations!$O79-Calculations!$C$13)-calculateOmega(Calculations!M79,Calculations!N79,Calculations!Q79,'Reaction Information'!$C$29,'Reaction Information'!$P$29*10^5,'Reaction Information'!$Q$29)*Calculations!$U79*10^-6 + (1/$S79 - 1)*calculate_domegadP(Calculations!M79,Calculations!N79,Calculations!Q79,'Reaction Information'!$C$29,'Reaction Information'!$P$29*10^5,'Reaction Information'!$Q$29,$D$20,$D$19=3))*41.84)</f>
        <v>#N/A</v>
      </c>
      <c r="BR79" s="8" t="e">
        <f>IF(OR(ISBLANK(Input!$AM$4),$D$27=FALSE),NA(),('Reaction Information'!$J$33/10+'Reaction Information'!$K$33*100/(Calculations!$C$12+Calculations!$M79)+('Reaction Information'!$L$33+'Reaction Information'!$M$33*10000/(Calculations!$C$12+Calculations!$M79))/(Calculations!$O79-Calculations!$C$13)-calculateOmega(Calculations!M79,Calculations!N79,Calculations!Q79,'Reaction Information'!$C$33,'Reaction Information'!$P$33*10^5,'Reaction Information'!$Q$33)*Calculations!$U79*10^-6 + (1/$S79 - 1)*calculate_domegadP(Calculations!M79,Calculations!N79,Calculations!Q79,'Reaction Information'!$C$33,'Reaction Information'!$P$33*10^5,'Reaction Information'!$Q$33,$D$20,$D$19=3))*41.84)</f>
        <v>#N/A</v>
      </c>
      <c r="BS79" s="1">
        <f>Results!AW81</f>
        <v>0</v>
      </c>
      <c r="BT79" s="1">
        <f>Results!AX81</f>
        <v>0</v>
      </c>
      <c r="BU79" s="1">
        <f>Results!AY81</f>
        <v>0</v>
      </c>
      <c r="BV79" s="1">
        <f>Results!AZ81</f>
        <v>0</v>
      </c>
      <c r="BW79" s="1" t="e">
        <f>IF(OR(ISNA('Reaction Information'!$D$38), $N79 = "", $D$27 = FALSE, 'Reaction Information'!$D$38 = ""), NA(), 24.465)</f>
        <v>#N/A</v>
      </c>
      <c r="BX79" s="1" t="e">
        <f>IF(OR(ISNA('Reaction Information'!$D$42), $N79 = "", $D$27 = FALSE, 'Reaction Information'!$D$42 = ""), NA(), 24.465)</f>
        <v>#N/A</v>
      </c>
      <c r="BY79" s="8" t="e">
        <f t="shared" si="22"/>
        <v>#N/A</v>
      </c>
      <c r="BZ79" s="8">
        <f>IF(OR(ISBLANK(Input!$BK$4),$D$27=FALSE),NA(),('Reaction Information'!$J$46/10+'Reaction Information'!$K$46*100/(Calculations!$C$12+Calculations!$M79)+('Reaction Information'!$L$46+'Reaction Information'!$M$46*10000/(Calculations!$C$12+Calculations!$M79))/(Calculations!$O79-Calculations!$C$13)-calculateOmega(Calculations!M79,Calculations!N79,Calculations!Q79,'Reaction Information'!$C$46,'Reaction Information'!$P$46*10^5,'Reaction Information'!$Q$46)*Calculations!$U79*10^-6 + (1/$S79 - 1)*calculate_domegadP(Calculations!M79,Calculations!N79,Calculations!Q79,'Reaction Information'!$C$46,'Reaction Information'!$P$46*10^5,'Reaction Information'!$Q$46,$D$20,$D$19=3))*41.84)</f>
        <v>0</v>
      </c>
      <c r="CA79" s="8">
        <f>IF(OR(ISBLANK(Input!$BN$4),$D$27=FALSE),NA(),('Reaction Information'!$J$50/10+'Reaction Information'!$K$50*100/(Calculations!$C$12+Calculations!$M79)+('Reaction Information'!$L$50+'Reaction Information'!$M$50*10000/(Calculations!$C$12+Calculations!$M79))/(Calculations!$O79-Calculations!$C$13)-calculateOmega(Calculations!M79,Calculations!N79,Calculations!Q79,'Reaction Information'!$C$50,'Reaction Information'!$P$50*10^5,'Reaction Information'!$Q$50)*Calculations!$U79*10^-6 + (1/$S79 - 1)*calculate_domegadP(Calculations!M79,Calculations!N79,Calculations!Q79,'Reaction Information'!$C$50,'Reaction Information'!$P$50*10^5,'Reaction Information'!$Q$50,$D$20,$D$19=3))*41.84)</f>
        <v>29.106616110193528</v>
      </c>
      <c r="CB79" s="8" t="e">
        <f>IF(OR(ISBLANK(Input!$BQ$4),$D$27=FALSE),NA(),('Reaction Information'!$J$54/10+'Reaction Information'!$K$54*100/(Calculations!$C$12+Calculations!$M79)+('Reaction Information'!$L$54+'Reaction Information'!$M$54*10000/(Calculations!$C$12+Calculations!$M79))/(Calculations!$O79-Calculations!$C$13)-calculateOmega(Calculations!M79,Calculations!N79,Calculations!Q79,'Reaction Information'!$C$54,'Reaction Information'!$P$54*10^5,'Reaction Information'!$Q$54)*Calculations!$U79*10^-6 + (1/$S79 - 1)*calculate_domegadP(Calculations!M79,Calculations!N79,Calculations!Q79,'Reaction Information'!$C$54,'Reaction Information'!$P$54*10^5,'Reaction Information'!$Q$54,$D$20,$D$19=3))*41.84)</f>
        <v>#N/A</v>
      </c>
      <c r="CC79" s="8" t="e">
        <f>IF(OR(ISBLANK(Input!$BT$4),$D$27=FALSE),NA(),('Reaction Information'!$J$58/10+'Reaction Information'!$K$58*100/(Calculations!$C$12+Calculations!$M79)+('Reaction Information'!$L$58+'Reaction Information'!$M$58*10000/(Calculations!$C$12+Calculations!$M79))/(Calculations!$O79-Calculations!$C$13)-calculateOmega(Calculations!M79,Calculations!N79,Calculations!Q79,'Reaction Information'!$C$58,'Reaction Information'!$P$58*10^5,'Reaction Information'!$Q$58)*Calculations!$U79*10^-6 + (1/$S79 - 1)*calculate_domegadP(Calculations!M79,Calculations!N79,Calculations!Q79,'Reaction Information'!$C$58,'Reaction Information'!$P$58*10^5,'Reaction Information'!$Q$58,$D$20,$D$19=3))*41.84)</f>
        <v>#N/A</v>
      </c>
      <c r="CD79" s="8" t="e">
        <f>IF(OR(ISBLANK(Input!$BW$4),$D$27=FALSE),NA(),('Reaction Information'!$J$62/10+'Reaction Information'!$K$62*100/(Calculations!$C$12+Calculations!$M79)+('Reaction Information'!$L$62+'Reaction Information'!$M$62*10000/(Calculations!$C$12+Calculations!$M79))/(Calculations!$O79-Calculations!$C$13)-calculateOmega(Calculations!M79,Calculations!N79,Calculations!Q79,'Reaction Information'!$C$62,'Reaction Information'!$P$62*10^5,'Reaction Information'!$Q$62)*Calculations!$U79*10^-6 + (1/$S79 - 1)*calculate_domegadP(Calculations!M79,Calculations!N79,Calculations!Q79,'Reaction Information'!$C$62,'Reaction Information'!$P$62*10^5,'Reaction Information'!$Q$62,$D$20,$D$19=3))*41.84)</f>
        <v>#N/A</v>
      </c>
      <c r="CE79" s="8" t="e">
        <f>IF(OR(ISBLANK(Input!$BZ$4),$D$27=FALSE),NA(),('Reaction Information'!$J$66/10+'Reaction Information'!$K$66*100/(Calculations!$C$12+Calculations!$M79)+('Reaction Information'!$L$66+'Reaction Information'!$M$66*10000/(Calculations!$C$12+Calculations!$M79))/(Calculations!$O79-Calculations!$C$13)-calculateOmega(Calculations!M79,Calculations!N79,Calculations!Q79,'Reaction Information'!$C$66,'Reaction Information'!$P$66*10^5,'Reaction Information'!$Q$66)*Calculations!$U79*10^-6 + (1/$S79 - 1)*calculate_domegadP(Calculations!M79,Calculations!N79,Calculations!Q79,'Reaction Information'!$C$66,'Reaction Information'!$P$66*10^5,'Reaction Information'!$Q$66,$D$20,$D$19=3))*41.84)</f>
        <v>#N/A</v>
      </c>
      <c r="CF79" s="31">
        <f>(BS79*Input!$AO$4+BT79*Input!$AR$4+BU79*Input!$AU$4+BV79*Input!$AX$4+IF(ISNA(BW79),0,BW79*Input!$BA$4)+IF(ISNA(BX79),0,BX79*Input!$BD$4)+IF(ISNA(BY79),0,BY79*Input!$BG$4)+IF(ISNA(BZ79),0,BZ79*Input!$BJ$4)+IF(ISNA(CA79),0,CA79*Input!$BM$4)+IF(ISNA(CB79),0,CB79*Input!$BP$4)+IF(ISNA(CC79),0,CC79*Input!$BS$4)+IF(ISNA(CD79),0,CD79*Input!$BV$4)+IF(ISNA(CE79),0,CE79*Input!$BY$4))-(BF79*Input!$B$4+BG79*Input!$E$4+BH79*Input!$H$4+BI79*Input!$K$4+IF(ISNA(BJ79),0,BJ79*Input!$N$4)+IF(ISNA(BK79),0,BK79*Input!$Q$4)+IF(ISNA(BL79),0,BL79*Input!$T$4)+IF(ISNA(BM79),0,BM79*Input!$W$4)+IF(ISNA(BN79),0,BN79*Input!$Z$4)+IF(ISNA(BO79),0,BO79*Input!$AC$4)+IF(ISNA(BP79),0,BP79*Input!$AF$4)+IF(ISNA(BQ79),0,BQ79*Input!$AI$4)+IF(ISNA(BR79),0,BR79*Input!$AL$4))</f>
        <v>-19.011370340434304</v>
      </c>
      <c r="CG79" s="1">
        <f t="shared" si="31"/>
        <v>950</v>
      </c>
      <c r="CH79" s="46">
        <f t="shared" si="32"/>
        <v>25000</v>
      </c>
      <c r="CI79" s="1"/>
    </row>
    <row r="80" spans="1:87" x14ac:dyDescent="0.2">
      <c r="A80" s="1"/>
      <c r="B80" s="1"/>
      <c r="C80" s="1"/>
      <c r="D80" s="1"/>
      <c r="E80" s="1"/>
      <c r="F80" s="2">
        <v>75</v>
      </c>
      <c r="G80" s="1" t="str">
        <f>IF(ISBLANK(Input!CB80), "", Input!CB80*1000)</f>
        <v/>
      </c>
      <c r="H80" s="1" t="str">
        <f>IF(ISBLANK(Input!CC80), "", Input!CC80)</f>
        <v/>
      </c>
      <c r="I80" s="1">
        <f>IF(Input!$CF$5 + Input!$CF$6*(FLOOR((Calculations!$F80-1)/(FLOOR((Input!$CF$12-Input!$CF$10)/Input!$CF$11,1)+1),1)) &gt; Input!$CF$7, "", (Input!$CF$5 + Input!$CF$6*(FLOOR((Calculations!$F80-1)/(FLOOR((Input!$CF$12-Input!$CF$10)/Input!$CF$11,1)+1),1)))*1000)</f>
        <v>25000</v>
      </c>
      <c r="J80" s="1">
        <f>IF(Calculations!I80 = "", "", Input!$CF$10 + Input!$CF$11*(Calculations!$F80-1) - (FLOOR((Input!$CF$12-Input!$CF$10)/Input!$CF$11,1)+1)*Input!$CF$11*FLOOR((Calculations!$F80-1)/(FLOOR((Input!$CF$12-Input!$CF$10)/Input!$CF$11,1)+1),1))</f>
        <v>1000</v>
      </c>
      <c r="K80" s="8" t="str">
        <f t="shared" si="33"/>
        <v/>
      </c>
      <c r="L80" s="117" t="str">
        <f>IF(OR(Input!$CJ$5 + Input!$CJ$6*(Calculations!F80-1) &gt; Input!$CJ$7, Input!$CJ$5 + Input!$CJ$6*(Calculations!F80-1) &gt; 350), "", Input!$CJ$5 + Input!$CJ$6*(Calculations!F80-1))</f>
        <v/>
      </c>
      <c r="M80" s="1">
        <f t="shared" si="23"/>
        <v>25000</v>
      </c>
      <c r="N80" s="1">
        <f t="shared" si="24"/>
        <v>1000</v>
      </c>
      <c r="O80" s="1">
        <f t="shared" si="19"/>
        <v>1273.1500000000001</v>
      </c>
      <c r="P80" s="1" t="e">
        <f>IF(OR($D$20=3,AND($D$21=TRUE,M80&lt;1000)),INDEX('Water Density'!$C$6:$CX$120,MATCH(Calculations!N80,'Water Density'!$B$6:$B$120),MATCH(Calculations!M80/1000,'Water Density'!$C$5:$CX$5)),NA())</f>
        <v>#N/A</v>
      </c>
      <c r="Q80" s="182">
        <f>IF(OR($D$20=3,AND($D$21=TRUE,M80&lt;1000)), IF(P80&lt;&gt;0,P80,NA()), calculateDensity(M80,N80,$D$20,0.01,$D$19 = 3))</f>
        <v>1.06793678429842</v>
      </c>
      <c r="R80" s="1" t="e">
        <f>IF($D$22=5,INDEX('Dielectric Constant'!$C$6:$CX$120,MATCH(Calculations!N80,'Dielectric Constant'!$B$6:$B$120),MATCH(Calculations!M80/1000,'Dielectric Constant'!$C$5:$CX$5)),NA())</f>
        <v>#N/A</v>
      </c>
      <c r="S80" s="58">
        <f>IF($D$22=5, IF(R80&lt;&gt;0,R80,NA()), IF(AND($D$23,M80&lt;=5000,$D$19 &lt;&gt; 3),calculateEpsilon(Q80,N80,1,FALSE),calculateEpsilon(Q80,N80,$D$22,$D$19 = 3)))</f>
        <v>13.228412253226798</v>
      </c>
      <c r="T80" s="1" t="e">
        <f>IF($D$24=3,INDEX('Water Free Energy'!$C$6:$CX$120,MATCH(Calculations!N80,'Water Free Energy'!$B$6:$B$120),MATCH(Calculations!M80/1000,'Water Free Energy'!$C$5:$CX$5)),NA())</f>
        <v>#N/A</v>
      </c>
      <c r="U80" s="179">
        <f>IF($D$27,calculateQ(M80,N80,Q80,$D$20,$D$22,$D$19=3)*10^6,NA())</f>
        <v>0.60499292147748818</v>
      </c>
      <c r="V80"/>
      <c r="W80" s="2">
        <f t="shared" si="25"/>
        <v>25000</v>
      </c>
      <c r="X80" s="1">
        <f t="shared" si="26"/>
        <v>1000</v>
      </c>
      <c r="Y80" s="1">
        <f>Results!F82</f>
        <v>0</v>
      </c>
      <c r="Z80" s="1">
        <f>Results!G82</f>
        <v>0</v>
      </c>
      <c r="AA80" s="1">
        <f>Results!H82</f>
        <v>0</v>
      </c>
      <c r="AB80" s="1">
        <f>Results!I82</f>
        <v>0</v>
      </c>
      <c r="AC80" s="1" t="e">
        <f>IF(ISBLANK(Input!$O$4),NA(),'Reaction Information'!$E$5-'Reaction Information'!$G$5*(Calculations!$O80-Calculations!$C$8)+'Reaction Information'!$I$5*(Calculations!$O80-Calculations!$C$8-Calculations!$O80*LN(Calculations!$O80/Calculations!$C$8))+'Reaction Information'!$J$5*0.001/2*(2*Calculations!$O80*Calculations!$C$8-Calculations!$O80^2-Calculations!$C$8^2) + 'Reaction Information'!$K$5*100000*(Calculations!$O80^2 + Calculations!$C$8^2 - 2*Calculations!$O80*Calculations!$C$8)/(2*Calculations!$O80*Calculations!$C$8^2))</f>
        <v>#N/A</v>
      </c>
      <c r="AD80" s="8" t="e">
        <f>IF(ISBLANK(Input!$R$4),NA(),'Reaction Information'!$E$9-'Reaction Information'!$G$9*(Calculations!$O80-Calculations!$C$8)+'Reaction Information'!$I$9*(Calculations!$O80-Calculations!$C$8-Calculations!$O80*LN(Calculations!$O80/Calculations!$C$8))+'Reaction Information'!$J$9*0.001/2*(2*Calculations!$O80*Calculations!$C$8-Calculations!$O80^2-Calculations!$C$8^2) + 'Reaction Information'!$K$9*100000*(Calculations!$O80^2 + Calculations!$C$8^2 - 2*Calculations!$O80*Calculations!$C$8)/(2*Calculations!$O80*Calculations!$C$8^2))</f>
        <v>#N/A</v>
      </c>
      <c r="AE80" s="8">
        <f>IF(AE$5="H2O",IF($D$24=3,IF(T80=0,NA(),T80),calculateGibbsOfWater(M80,N80,$D$24,$D$20,$D$19=3)),NA())</f>
        <v>-74335.437229042087</v>
      </c>
      <c r="AF80" s="8">
        <f>IF(ISBLANK(Input!$X$4),NA(),'Reaction Information'!$E$13-'Reaction Information'!$G$13*(Calculations!O80-Calculations!$C$8)-'Reaction Information'!$N$13*(Calculations!O80*LN(Calculations!O80/Calculations!$C$8)-Calculations!O80+Calculations!$C$8)-'Reaction Information'!$O$13*10^4*(((1/(Calculations!O80-Calculations!$C$13))-(1/(Calculations!$C$8-Calculations!$C$13)))*((Calculations!$C$13-Calculations!O80)/(Calculations!$C$13))-(Calculations!O80/(Calculations!$C$13*Calculations!$C$13))*LN((Calculations!$C$8*(Calculations!O80-Calculations!$C$13))/(Calculations!O80*(Calculations!$C$8-Calculations!$C$13))))+'Reaction Information'!$J$13*10^-1*(Calculations!M80-Calculations!$C$9)+'Reaction Information'!$K$13*10^2*LN((Calculations!$C$12+Calculations!M80)/(Calculations!$C$12+Calculations!$C$9))+(1/(Calculations!O80-Calculations!$C$13))*('Reaction Information'!$L$13*(Calculations!M80-Calculations!$C$9)+'Reaction Information'!$M$13*10^4*LN((Calculations!$C$12+Calculations!M80)/(Calculations!$C$12+Calculations!$C$9)))+calculateOmega(Calculations!M80,Calculations!N80,Calculations!Q80,'Reaction Information'!$C$13,'Reaction Information'!$P$13*10^5,'Reaction Information'!$Q$13)*((1/Calculations!S80)-1)-'Reaction Information'!$P$13*10^5*((1/Calculations!$C$10)-1)+'Reaction Information'!$P$13*10^5*Calculations!$C$14*(Calculations!O80-Calculations!$C$8))</f>
        <v>-117366.64857997137</v>
      </c>
      <c r="AG80" s="8" t="e">
        <f>IF(ISBLANK(Input!$AA$4),NA(),'Reaction Information'!$E$17-'Reaction Information'!$G$17*(Calculations!$O80-Calculations!$C$8)-'Reaction Information'!$N$17*(Calculations!$O80*LN(Calculations!$O80/Calculations!$C$8)-Calculations!$O80+Calculations!$C$8)-'Reaction Information'!$O$17*10^4*(((1/(Calculations!$O80-Calculations!$C$13))-(1/(Calculations!$C$8-Calculations!$C$13)))*((Calculations!$C$13-Calculations!$O80)/(Calculations!$C$13))-(Calculations!$O80/(Calculations!$C$13*Calculations!$C$13))*LN((Calculations!$C$8*(Calculations!$O80-Calculations!$C$13))/(Calculations!$O80*(Calculations!$C$8-Calculations!$C$13))))+'Reaction Information'!$J$17*10^-1*(Calculations!$M80-Calculations!$C$9)+'Reaction Information'!$K$17*10^2*LN((Calculations!$C$12+Calculations!$M80)/(Calculations!$C$12+Calculations!$C$9))+(1/(Calculations!$O80-Calculations!$C$13))*('Reaction Information'!$L$17*(Calculations!$M80-Calculations!$C$9)+'Reaction Information'!$M$17*10^4*LN((Calculations!$C$12+Calculations!$M80)/(Calculations!$C$12+Calculations!$C$9)))+calculateOmega(Calculations!M80,Calculations!N80,Calculations!Q80,'Reaction Information'!$C$17,'Reaction Information'!$P$17*10^5,'Reaction Information'!$Q$17)*((1/Calculations!$S80)-1)-'Reaction Information'!$P$17*10^5*((1/Calculations!$C$10)-1)+'Reaction Information'!$P$17*10^5*Calculations!$C$14*(Calculations!$O80-Calculations!$C$8))</f>
        <v>#N/A</v>
      </c>
      <c r="AH80" s="8" t="e">
        <f>IF(ISBLANK(Input!$AD$4),NA(),'Reaction Information'!$E$21-'Reaction Information'!$G$21*(Calculations!$O80-Calculations!$C$8)-'Reaction Information'!$N$21*(Calculations!$O80*LN(Calculations!$O80/Calculations!$C$8)-Calculations!$O80+Calculations!$C$8)-'Reaction Information'!$O$21*10^4*(((1/(Calculations!$O80-Calculations!$C$13))-(1/(Calculations!$C$8-Calculations!$C$13)))*((Calculations!$C$13-Calculations!$O80)/(Calculations!$C$13))-(Calculations!$O80/(Calculations!$C$13*Calculations!$C$13))*LN((Calculations!$C$8*(Calculations!$O80-Calculations!$C$13))/(Calculations!$O80*(Calculations!$C$8-Calculations!$C$13))))+'Reaction Information'!$J$21*10^-1*(Calculations!$M80-Calculations!$C$9)+'Reaction Information'!$K$21*10^2*LN((Calculations!$C$12+Calculations!$M80)/(Calculations!$C$12+Calculations!$C$9))+(1/(Calculations!$O80-Calculations!$C$13))*('Reaction Information'!$L$21*(Calculations!$M80-Calculations!$C$9)+'Reaction Information'!$M$21*10^4*LN((Calculations!$C$12+Calculations!$M80)/(Calculations!$C$12+Calculations!$C$9)))+calculateOmega(Calculations!M80,Calculations!N80,Calculations!Q80,'Reaction Information'!$C$21,'Reaction Information'!$P$21*10^5,'Reaction Information'!$Q$21)*((1/Calculations!$S80)-1)-'Reaction Information'!$P$21*10^5*((1/Calculations!$C$10)-1)+'Reaction Information'!$P$21*10^5*Calculations!$C$14*(Calculations!$O80-Calculations!$C$8))</f>
        <v>#N/A</v>
      </c>
      <c r="AI80" s="8" t="e">
        <f>IF(ISBLANK(Input!$AG$4),NA(),'Reaction Information'!$E$25-'Reaction Information'!$G$25*(Calculations!$O80-Calculations!$C$8)-'Reaction Information'!$N$25*(Calculations!$O80*LN(Calculations!$O80/Calculations!$C$8)-Calculations!$O80+Calculations!$C$8)-'Reaction Information'!$O$25*10^4*(((1/(Calculations!$O80-Calculations!$C$13))-(1/(Calculations!$C$8-Calculations!$C$13)))*((Calculations!$C$13-Calculations!$O80)/(Calculations!$C$13))-(Calculations!$O80/(Calculations!$C$13*Calculations!$C$13))*LN((Calculations!$C$8*(Calculations!$O80-Calculations!$C$13))/(Calculations!$O80*(Calculations!$C$8-Calculations!$C$13))))+'Reaction Information'!$J$25*10^-1*(Calculations!$M80-Calculations!$C$9)+'Reaction Information'!$K$25*10^2*LN((Calculations!$C$12+Calculations!$M80)/(Calculations!$C$12+Calculations!$C$9))+(1/(Calculations!$O80-Calculations!$C$13))*('Reaction Information'!$L$25*(Calculations!$M80-Calculations!$C$9)+'Reaction Information'!$M$25*10^4*LN((Calculations!$C$12+Calculations!$M80)/(Calculations!$C$12+Calculations!$C$9)))+calculateOmega(Calculations!M80,Calculations!N80,Calculations!Q80,'Reaction Information'!$C$25,'Reaction Information'!$P$25*10^5,'Reaction Information'!$Q$25)*((1/Calculations!$S80)-1)-'Reaction Information'!$P$25*10^5*((1/Calculations!$C$10)-1)+'Reaction Information'!$P$25*10^5*Calculations!$C$14*(Calculations!$O80-Calculations!$C$8))</f>
        <v>#N/A</v>
      </c>
      <c r="AJ80" s="8" t="e">
        <f>IF(ISBLANK(Input!$AJ$4),NA(),'Reaction Information'!$E$29-'Reaction Information'!$G$29*(Calculations!$O80-Calculations!$C$8)-'Reaction Information'!$N$29*(Calculations!$O80*LN(Calculations!$O80/Calculations!$C$8)-Calculations!$O80+Calculations!$C$8)-'Reaction Information'!$O$29*10^4*(((1/(Calculations!$O80-Calculations!$C$13))-(1/(Calculations!$C$8-Calculations!$C$13)))*((Calculations!$C$13-Calculations!$O80)/(Calculations!$C$13))-(Calculations!$O80/(Calculations!$C$13*Calculations!$C$13))*LN((Calculations!$C$8*(Calculations!$O80-Calculations!$C$13))/(Calculations!$O80*(Calculations!$C$8-Calculations!$C$13))))+'Reaction Information'!$J$29*10^-1*(Calculations!$M80-Calculations!$C$9)+'Reaction Information'!$K$29*10^2*LN((Calculations!$C$12+Calculations!$M80)/(Calculations!$C$12+Calculations!$C$9))+(1/(Calculations!$O80-Calculations!$C$13))*('Reaction Information'!$L$29*(Calculations!$M80-Calculations!$C$9)+'Reaction Information'!$M$29*10^4*LN((Calculations!$C$12+Calculations!$M80)/(Calculations!$C$12+Calculations!$C$9)))+calculateOmega(Calculations!M80,Calculations!N80,Calculations!Q80,'Reaction Information'!$C$29,'Reaction Information'!$P$29*10^5,'Reaction Information'!$Q$29)*((1/Calculations!$S80)-1)-'Reaction Information'!$P$29*10^5*((1/Calculations!$C$10)-1)+'Reaction Information'!$P$29*10^5*Calculations!$C$14*(Calculations!$O80-Calculations!$C$8))</f>
        <v>#N/A</v>
      </c>
      <c r="AK80" s="8" t="e">
        <f>IF(ISBLANK(Input!$AM$4),NA(),'Reaction Information'!$E$33-'Reaction Information'!$G$33*(Calculations!$O80-Calculations!$C$8)-'Reaction Information'!$N$33*(Calculations!$O80*LN(Calculations!$O80/Calculations!$C$8)-Calculations!$O80+Calculations!$C$8)-'Reaction Information'!$O$33*10^4*(((1/(Calculations!$O80-Calculations!$C$13))-(1/(Calculations!$C$8-Calculations!$C$13)))*((Calculations!$C$13-Calculations!$O80)/(Calculations!$C$13))-(Calculations!$O80/(Calculations!$C$13*Calculations!$C$13))*LN((Calculations!$C$8*(Calculations!$O80-Calculations!$C$13))/(Calculations!$O80*(Calculations!$C$8-Calculations!$C$13))))+'Reaction Information'!$J$33*10^-1*(Calculations!$M80-Calculations!$C$9)+'Reaction Information'!$K$33*10^2*LN((Calculations!$C$12+Calculations!$M80)/(Calculations!$C$12+Calculations!$C$9))+(1/(Calculations!$O80-Calculations!$C$13))*('Reaction Information'!$L$33*(Calculations!$M80-Calculations!$C$9)+'Reaction Information'!$M$33*10^4*LN((Calculations!$C$12+Calculations!$M80)/(Calculations!$C$12+Calculations!$C$9)))+calculateOmega(Calculations!M80,Calculations!N80,Calculations!Q80,'Reaction Information'!$C$33,'Reaction Information'!$P$33*10^5,'Reaction Information'!$Q$33)*((1/Calculations!$S80)-1)-'Reaction Information'!$P$33*10^5*((1/Calculations!$C$10)-1)+'Reaction Information'!$P$33*10^5*Calculations!$C$14*(Calculations!$O80-Calculations!$C$8))</f>
        <v>#N/A</v>
      </c>
      <c r="AL80" s="1">
        <f>Results!S82</f>
        <v>0</v>
      </c>
      <c r="AM80" s="1">
        <f>Results!T82</f>
        <v>0</v>
      </c>
      <c r="AN80" s="1">
        <f>Results!U82</f>
        <v>0</v>
      </c>
      <c r="AO80" s="1">
        <f>Results!V82</f>
        <v>0</v>
      </c>
      <c r="AP80" s="8" t="e">
        <f>IF(ISBLANK(Input!$BB$4),NA(),'Reaction Information'!$E$38-'Reaction Information'!$G$38*(Calculations!$O80-Calculations!$C$8)+'Reaction Information'!$I$38*(Calculations!$O80-Calculations!$C$8-Calculations!$O80*LN(Calculations!$O80/Calculations!$C$8))+'Reaction Information'!$J$38*0.001/2*(2*Calculations!$O80*Calculations!$C$8-Calculations!$O80^2-Calculations!$C$8^2) + 'Reaction Information'!$K$38*100000*(Calculations!$O80^2 + Calculations!$C$8^2 - 2*Calculations!$O80*Calculations!$C$8)/(2*Calculations!$O80*Calculations!$C$8^2))</f>
        <v>#N/A</v>
      </c>
      <c r="AQ80" s="8" t="e">
        <f>IF(ISBLANK(Input!$BE$4),NA(),'Reaction Information'!$E$42-'Reaction Information'!$G$42*(Calculations!$O80-Calculations!$C$8)+'Reaction Information'!$I$42*(Calculations!$O80-Calculations!$C$8-Calculations!$O80*LN(Calculations!$O80/Calculations!$C$8))+'Reaction Information'!$J$42*0.001/2*(2*Calculations!$O80*Calculations!$C$8-Calculations!$O80^2-Calculations!$C$8^2) + 'Reaction Information'!$K$42*100000*(Calculations!$O80^2 + Calculations!$C$8^2 - 2*Calculations!$O80*Calculations!$C$8)/(2*Calculations!$O80*Calculations!$C$8^2))</f>
        <v>#N/A</v>
      </c>
      <c r="AR80" s="8" t="e">
        <f>IF(AR$5="H2O", IF($D$24=3,IF(T80=0,NA(),T80),calculateGibbsOfWater(M80,N80,$D$24,$D$20,$D$19=3)),NA())</f>
        <v>#N/A</v>
      </c>
      <c r="AS80" s="8">
        <f>IF(ISBLANK(Input!$BK$4),NA(),'Reaction Information'!$E$46-'Reaction Information'!$G$46*(Calculations!O80-Calculations!$C$8)-'Reaction Information'!$N$46*(Calculations!O80*LN(Calculations!O80/Calculations!$C$8)-Calculations!O80+Calculations!$C$8)-'Reaction Information'!$O$46*10^4*(((1/(Calculations!O80-Calculations!$C$13))-(1/(Calculations!$C$8-Calculations!$C$13)))*((Calculations!$C$13-Calculations!O80)/(Calculations!$C$13))-(Calculations!O80/(Calculations!$C$13*Calculations!$C$13))*LN((Calculations!$C$8*(Calculations!O80-Calculations!$C$13))/(Calculations!O80*(Calculations!$C$8-Calculations!$C$13))))+'Reaction Information'!$J$46*10^-1*(Calculations!$M80-Calculations!$C$9)+'Reaction Information'!$K$46*10^2*LN((Calculations!$C$12+Calculations!$M80)/(Calculations!$C$12+Calculations!$C$9))+(1/(Calculations!O80-Calculations!$C$13))*('Reaction Information'!$L$46*(Calculations!$M80-Calculations!$C$9)+'Reaction Information'!$M$46*10^4*LN((Calculations!$C$12+Calculations!$M80)/(Calculations!$C$12+Calculations!$C$9)))+calculateOmega(Calculations!M80,Calculations!N80,Calculations!Q80,'Reaction Information'!$C$46,'Reaction Information'!$P$46*10^5,'Reaction Information'!$Q$46)*((1/Calculations!S80)-1)-'Reaction Information'!$P$46*10^5*((1/Calculations!$C$10)-1)+'Reaction Information'!$P$46*10^5*Calculations!$C$14*(Calculations!O80-Calculations!$C$8))</f>
        <v>0</v>
      </c>
      <c r="AT80" s="8">
        <f>IF(ISBLANK(Input!$BN$4),NA(),'Reaction Information'!$E$50-'Reaction Information'!$G$50*(Calculations!O80-Calculations!$C$8)-'Reaction Information'!$N$50*(Calculations!O80*LN(Calculations!O80/Calculations!$C$8)-Calculations!O80+Calculations!$C$8)-'Reaction Information'!$O$50*10^4*(((1/(Calculations!O80-Calculations!$C$13))-(1/(Calculations!$C$8-Calculations!$C$13)))*((Calculations!$C$13-Calculations!O80)/(Calculations!$C$13))-(Calculations!O80/(Calculations!$C$13*Calculations!$C$13))*LN((Calculations!$C$8*(Calculations!O80-Calculations!$C$13))/(Calculations!O80*(Calculations!$C$8-Calculations!$C$13))))+'Reaction Information'!$J$50*10^-1*(Calculations!$M80-Calculations!$C$9)+'Reaction Information'!$K$50*10^2*LN((Calculations!$C$12+Calculations!$M80)/(Calculations!$C$12+Calculations!$C$9))+(1/(Calculations!O80-Calculations!$C$13))*('Reaction Information'!$L$50*(Calculations!$M80-Calculations!$C$9)+'Reaction Information'!$M$50*10^4*LN((Calculations!$C$12+Calculations!$M80)/(Calculations!$C$12+Calculations!$C$9)))+calculateOmega(Calculations!M80,Calculations!N80,Calculations!Q80,'Reaction Information'!$C$50,'Reaction Information'!$P$50*10^5,'Reaction Information'!$Q$50)*((1/Calculations!S80)-1)-'Reaction Information'!$P$50*10^5*((1/Calculations!$C$10)-1)+'Reaction Information'!$P$50*10^5*Calculations!$C$14*(Calculations!O80-Calculations!$C$8))</f>
        <v>-151579.00371281683</v>
      </c>
      <c r="AU80" s="8" t="e">
        <f>IF(ISBLANK(Input!$BQ$4),NA(),'Reaction Information'!$E$54-'Reaction Information'!$G$54*(Calculations!$O80-Calculations!$C$8)-'Reaction Information'!$N$54*(Calculations!$O80*LN(Calculations!$O80/Calculations!$C$8)-Calculations!$O80+Calculations!$C$8)-'Reaction Information'!$O$54*10^4*(((1/(Calculations!$O80-Calculations!$C$13))-(1/(Calculations!$C$8-Calculations!$C$13)))*((Calculations!$C$13-Calculations!$O80)/(Calculations!$C$13))-(Calculations!$O80/(Calculations!$C$13*Calculations!$C$13))*LN((Calculations!$C$8*(Calculations!$O80-Calculations!$C$13))/(Calculations!$O80*(Calculations!$C$8-Calculations!$C$13))))+'Reaction Information'!$J$54*10^-1*(Calculations!$M80-Calculations!$C$9)+'Reaction Information'!$K$54*10^2*LN((Calculations!$C$12+Calculations!$M80)/(Calculations!$C$12+Calculations!$C$9))+(1/(Calculations!$O80-Calculations!$C$13))*('Reaction Information'!$L$54*(Calculations!$M80-Calculations!$C$9)+'Reaction Information'!$M$54*10^4*LN((Calculations!$C$12+Calculations!$M80)/(Calculations!$C$12+Calculations!$C$9)))+calculateOmega(Calculations!M80,Calculations!N80,Calculations!Q80,'Reaction Information'!$C$54,'Reaction Information'!$P$54*10^5,'Reaction Information'!$Q$54)*((1/Calculations!$S80)-1)-'Reaction Information'!$P$54*10^5*((1/Calculations!$C$10)-1)+'Reaction Information'!$P$54*10^5*Calculations!$C$14*(Calculations!$O80-Calculations!$C$8))</f>
        <v>#N/A</v>
      </c>
      <c r="AV80" s="8" t="e">
        <f>IF(ISBLANK(Input!$BT$4),NA(),'Reaction Information'!$E$58-'Reaction Information'!$G$58*(Calculations!$O80-Calculations!$C$8)-'Reaction Information'!$N$58*(Calculations!$O80*LN(Calculations!$O80/Calculations!$C$8)-Calculations!$O80+Calculations!$C$8)-'Reaction Information'!$O$58*10^4*(((1/(Calculations!$O80-Calculations!$C$13))-(1/(Calculations!$C$8-Calculations!$C$13)))*((Calculations!$C$13-Calculations!$O80)/(Calculations!$C$13))-(Calculations!$O80/(Calculations!$C$13*Calculations!$C$13))*LN((Calculations!$C$8*(Calculations!$O80-Calculations!$C$13))/(Calculations!$O80*(Calculations!$C$8-Calculations!$C$13))))+'Reaction Information'!$J$58*10^-1*(Calculations!$M80-Calculations!$C$9)+'Reaction Information'!$K$58*10^2*LN((Calculations!$C$12+Calculations!$M80)/(Calculations!$C$12+Calculations!$C$9))+(1/(Calculations!$O80-Calculations!$C$13))*('Reaction Information'!$L$58*(Calculations!$M80-Calculations!$C$9)+'Reaction Information'!$M$58*10^4*LN((Calculations!$C$12+Calculations!$M80)/(Calculations!$C$12+Calculations!$C$9)))+calculateOmega(Calculations!M80,Calculations!N80,Calculations!Q80,'Reaction Information'!$C$58,'Reaction Information'!$P$58*10^5,'Reaction Information'!$Q$58)*((1/Calculations!$S80)-1)-'Reaction Information'!$P$58*10^5*((1/Calculations!$C$10)-1)+'Reaction Information'!$P$58*10^5*Calculations!$C$14*(Calculations!$O80-Calculations!$C$8))</f>
        <v>#N/A</v>
      </c>
      <c r="AW80" s="8" t="e">
        <f>IF(ISBLANK(Input!$BW$4),NA(),'Reaction Information'!$E$62-'Reaction Information'!$G$62*(Calculations!$O80-Calculations!$C$8)-'Reaction Information'!$N$62*(Calculations!$O80*LN(Calculations!$O80/Calculations!$C$8)-Calculations!$O80+Calculations!$C$8)-'Reaction Information'!$O$62*10^4*(((1/(Calculations!$O80-Calculations!$C$13))-(1/(Calculations!$C$8-Calculations!$C$13)))*((Calculations!$C$13-Calculations!$O80)/(Calculations!$C$13))-(Calculations!$O80/(Calculations!$C$13*Calculations!$C$13))*LN((Calculations!$C$8*(Calculations!$O80-Calculations!$C$13))/(Calculations!$O80*(Calculations!$C$8-Calculations!$C$13))))+'Reaction Information'!$J$62*10^-1*(Calculations!$M80-Calculations!$C$9)+'Reaction Information'!$K$62*10^2*LN((Calculations!$C$12+Calculations!$M80)/(Calculations!$C$12+Calculations!$C$9))+(1/(Calculations!$O80-Calculations!$C$13))*('Reaction Information'!$L$62*(Calculations!$M80-Calculations!$C$9)+'Reaction Information'!$M$62*10^4*LN((Calculations!$C$12+Calculations!$M80)/(Calculations!$C$12+Calculations!$C$9)))+calculateOmega(Calculations!M80,Calculations!N80,Calculations!Q80,'Reaction Information'!$C$62,'Reaction Information'!$P$62*10^5,'Reaction Information'!$Q$62)*((1/Calculations!$S80)-1)-'Reaction Information'!$P$62*10^5*((1/Calculations!$C$10)-1)+'Reaction Information'!$P$62*10^5*Calculations!$C$14*(Calculations!$O80-Calculations!$C$8))</f>
        <v>#N/A</v>
      </c>
      <c r="AX80" s="8" t="e">
        <f>IF(ISBLANK(Input!$BZ$4),NA(),'Reaction Information'!$E$66-'Reaction Information'!$G$66*(Calculations!$O80-Calculations!$C$8)-'Reaction Information'!$N$66*(Calculations!$O80*LN(Calculations!$O80/Calculations!$C$8)-Calculations!$O80+Calculations!$C$8)-'Reaction Information'!$O$66*10^4*(((1/(Calculations!$O80-Calculations!$C$13))-(1/(Calculations!$C$8-Calculations!$C$13)))*((Calculations!$C$13-Calculations!$O80)/(Calculations!$C$13))-(Calculations!$O80/(Calculations!$C$13*Calculations!$C$13))*LN((Calculations!$C$8*(Calculations!$O80-Calculations!$C$13))/(Calculations!$O80*(Calculations!$C$8-Calculations!$C$13))))+'Reaction Information'!$J$66*10^-1*(Calculations!$M80-Calculations!$C$9)+'Reaction Information'!$K$66*10^2*LN((Calculations!$C$12+Calculations!$M80)/(Calculations!$C$12+Calculations!$C$9))+(1/(Calculations!$O80-Calculations!$C$13))*('Reaction Information'!$L$66*(Calculations!$M80-Calculations!$C$9)+'Reaction Information'!$M$66*10^4*LN((Calculations!$C$12+Calculations!$M80)/(Calculations!$C$12+Calculations!$C$9)))+calculateOmega(Calculations!M80,Calculations!N80,Calculations!Q80,'Reaction Information'!$C$66,'Reaction Information'!$P$66*10^5,'Reaction Information'!$Q$66)*((1/Calculations!$S80)-1)-'Reaction Information'!$P$66*10^5*((1/Calculations!$C$10)-1)+'Reaction Information'!$P$66*10^5*Calculations!$C$14*(Calculations!$O80-Calculations!$C$8))</f>
        <v>#N/A</v>
      </c>
      <c r="AY80" s="31">
        <f>(AL80*Input!$AO$4+AM80*Input!$AR$4+AN80*Input!$AU$4+AO80*Input!$AX$4+IF(ISNA(AP80),0,AP80*Input!$BA$4)+IF(ISNA(AQ80),0,AQ80*Input!$BD$4)+IF(ISNA(AR80),0,AR80*Input!$BG$4)+IF(ISNA(AS80),0,AS80*Input!$BJ$4)+IF(ISNA(AT80),0,AT80*Input!$BM$4)+IF(ISNA(AU80),0,AU80*Input!$BP$4)+IF(ISNA(AV80),0,AV80*Input!$BS$4)+IF(ISNA(AW80),0,AW80*Input!$BV$4)+IF(ISNA(AX80),0,AX80*Input!$BY$4))-(Y80*Input!$B$4+Z80*Input!$E$4+AA80*Input!$H$4+AB80*Input!$K$4+IF(ISNA(AC80),0,AC80*Input!$N$4)+IF(ISNA(AD80),0,AD80*Input!$Q$4)+IF(ISNA(AE80),0,AE80*Input!$T$4)+IF(ISNA(AF80),0,AF80*Input!$W$4)+IF(ISNA(AG80),0,AG80*Input!$Z$4)+IF(ISNA(AH80),0,AH80*Input!$AC$4)+IF(ISNA(AI80),0,AI80*Input!$AF$4)+IF(ISNA(AJ80),0,AJ80*Input!$AI$4)+IF(ISNA(AK80),0,AK80*Input!$AL$4))</f>
        <v>40123.082096196624</v>
      </c>
      <c r="AZ80" s="42">
        <f t="shared" si="20"/>
        <v>-6.8920208971295454</v>
      </c>
      <c r="BA80" s="1">
        <f t="shared" si="27"/>
        <v>1000</v>
      </c>
      <c r="BB80" s="46">
        <f t="shared" si="28"/>
        <v>25000</v>
      </c>
      <c r="BC80" s="1"/>
      <c r="BD80" s="2">
        <f t="shared" si="29"/>
        <v>25000</v>
      </c>
      <c r="BE80" s="46">
        <f t="shared" si="30"/>
        <v>1000</v>
      </c>
      <c r="BF80" s="1">
        <f>Results!AJ82</f>
        <v>0</v>
      </c>
      <c r="BG80" s="1">
        <f>Results!AK82</f>
        <v>0</v>
      </c>
      <c r="BH80" s="1">
        <f>Results!AL82</f>
        <v>0</v>
      </c>
      <c r="BI80" s="1">
        <f>Results!AM82</f>
        <v>0</v>
      </c>
      <c r="BJ80" s="1" t="e">
        <f>IF(OR(ISNA('Reaction Information'!$D$5), $N80 = "", $D$27 = FALSE, 'Reaction Information'!$D$5 = ""), NA(), 24.465)</f>
        <v>#N/A</v>
      </c>
      <c r="BK80" s="1" t="e">
        <f>IF(OR(ISNA('Reaction Information'!$D$9), $N80 = "", $D$27 = FALSE, 'Reaction Information'!$D$9 = ""), NA(), 24.465)</f>
        <v>#N/A</v>
      </c>
      <c r="BL80" s="8">
        <f t="shared" si="21"/>
        <v>16.869238202928951</v>
      </c>
      <c r="BM80" s="8">
        <f>IF(OR(ISBLANK(Input!$X$4),$D$27=FALSE),NA(),('Reaction Information'!$J$13/10+'Reaction Information'!$K$13*100/(Calculations!$C$12+Calculations!$M80)+('Reaction Information'!$L$13+'Reaction Information'!$M$13*10^4/(Calculations!$C$12+Calculations!$M80))/(Calculations!$O80-Calculations!$C$13) -calculateOmega(Calculations!$M80,Calculations!$N80,Calculations!$Q80,'Reaction Information'!$C$13,'Reaction Information'!$P$13*10^5,'Reaction Information'!$Q$13)*Calculations!$U80*10^-6 + (1/$S80 - 1)*calculate_domegadP(Calculations!$M80,Calculations!$N80,Calculations!$Q80,'Reaction Information'!$C$13,'Reaction Information'!$P$13*10^5,'Reaction Information'!$Q$13,$D$20,$D$19=3))*41.84)</f>
        <v>31.58701940990289</v>
      </c>
      <c r="BN80" s="8" t="e">
        <f>IF(OR(ISBLANK(Input!$AA$4),$D$27=FALSE),NA(),('Reaction Information'!$J$17/10+'Reaction Information'!$K$17*100/(Calculations!$C$12+Calculations!$M80)+('Reaction Information'!$L$17+'Reaction Information'!$M$17*10000/(Calculations!$C$12+Calculations!$M80))/(Calculations!$O80-Calculations!$C$13)-calculateOmega(Calculations!M80,Calculations!N80,Calculations!Q80,'Reaction Information'!$C$17,'Reaction Information'!$P$17*10^5,'Reaction Information'!$Q$17)*Calculations!$U80*10^-6 + (1/$S80 - 1)*calculate_domegadP(Calculations!M80,Calculations!N80,Calculations!Q80,'Reaction Information'!$C$17,'Reaction Information'!$P$17*10^5,'Reaction Information'!$Q$17,$D$20,$D$19=3))*41.84)</f>
        <v>#N/A</v>
      </c>
      <c r="BO80" s="8" t="e">
        <f>IF(OR(ISBLANK(Input!$AD$4),$D$27=FALSE),NA(),('Reaction Information'!$J$21/10+'Reaction Information'!$K$21*100/(Calculations!$C$12+Calculations!$M80)+('Reaction Information'!$L$21+'Reaction Information'!$M$21*10000/(Calculations!$C$12+Calculations!$M80))/(Calculations!$O80-Calculations!$C$13)-calculateOmega(Calculations!M80,Calculations!N80,Calculations!Q80,'Reaction Information'!$C$21,'Reaction Information'!$P$21*10^5,'Reaction Information'!$Q$21)*Calculations!$U80*10^-6 + (1/$S80 - 1)*calculate_domegadP(Calculations!M80,Calculations!N80,Calculations!Q80,'Reaction Information'!$C$21,'Reaction Information'!$P$21*10^5,'Reaction Information'!$Q$21,$D$20,$D$19=3))*41.84)</f>
        <v>#N/A</v>
      </c>
      <c r="BP80" s="8" t="e">
        <f>IF(OR(ISBLANK(Input!$AG$4),$D$27=FALSE),NA(),('Reaction Information'!$J$25/10+'Reaction Information'!$K$25*100/(Calculations!$C$12+Calculations!$M80)+('Reaction Information'!$L$25+'Reaction Information'!$M$25*10000/(Calculations!$C$12+Calculations!$M80))/(Calculations!$O80-Calculations!$C$13)-calculateOmega(Calculations!M80,Calculations!N80,Calculations!Q80,'Reaction Information'!$C$25,'Reaction Information'!$P$25*10^5,'Reaction Information'!$Q$25)*Calculations!$U80*10^-6 + (1/$S80 - 1)*calculate_domegadP(Calculations!M80,Calculations!N80,Calculations!Q80,'Reaction Information'!$C$25,'Reaction Information'!$P$25*10^5,'Reaction Information'!$Q$25,$D$20,$D$19=3))*41.84)</f>
        <v>#N/A</v>
      </c>
      <c r="BQ80" s="8" t="e">
        <f>IF(OR(ISBLANK(Input!$AJ$4),$D$27=FALSE),NA(),('Reaction Information'!$J$29/10+'Reaction Information'!$K$29*100/(Calculations!$C$12+Calculations!$M80)+('Reaction Information'!$L$29+'Reaction Information'!$M$29*10000/(Calculations!$C$12+Calculations!$M80))/(Calculations!$O80-Calculations!$C$13)-calculateOmega(Calculations!M80,Calculations!N80,Calculations!Q80,'Reaction Information'!$C$29,'Reaction Information'!$P$29*10^5,'Reaction Information'!$Q$29)*Calculations!$U80*10^-6 + (1/$S80 - 1)*calculate_domegadP(Calculations!M80,Calculations!N80,Calculations!Q80,'Reaction Information'!$C$29,'Reaction Information'!$P$29*10^5,'Reaction Information'!$Q$29,$D$20,$D$19=3))*41.84)</f>
        <v>#N/A</v>
      </c>
      <c r="BR80" s="8" t="e">
        <f>IF(OR(ISBLANK(Input!$AM$4),$D$27=FALSE),NA(),('Reaction Information'!$J$33/10+'Reaction Information'!$K$33*100/(Calculations!$C$12+Calculations!$M80)+('Reaction Information'!$L$33+'Reaction Information'!$M$33*10000/(Calculations!$C$12+Calculations!$M80))/(Calculations!$O80-Calculations!$C$13)-calculateOmega(Calculations!M80,Calculations!N80,Calculations!Q80,'Reaction Information'!$C$33,'Reaction Information'!$P$33*10^5,'Reaction Information'!$Q$33)*Calculations!$U80*10^-6 + (1/$S80 - 1)*calculate_domegadP(Calculations!M80,Calculations!N80,Calculations!Q80,'Reaction Information'!$C$33,'Reaction Information'!$P$33*10^5,'Reaction Information'!$Q$33,$D$20,$D$19=3))*41.84)</f>
        <v>#N/A</v>
      </c>
      <c r="BS80" s="1">
        <f>Results!AW82</f>
        <v>0</v>
      </c>
      <c r="BT80" s="1">
        <f>Results!AX82</f>
        <v>0</v>
      </c>
      <c r="BU80" s="1">
        <f>Results!AY82</f>
        <v>0</v>
      </c>
      <c r="BV80" s="1">
        <f>Results!AZ82</f>
        <v>0</v>
      </c>
      <c r="BW80" s="1" t="e">
        <f>IF(OR(ISNA('Reaction Information'!$D$38), $N80 = "", $D$27 = FALSE, 'Reaction Information'!$D$38 = ""), NA(), 24.465)</f>
        <v>#N/A</v>
      </c>
      <c r="BX80" s="1" t="e">
        <f>IF(OR(ISNA('Reaction Information'!$D$42), $N80 = "", $D$27 = FALSE, 'Reaction Information'!$D$42 = ""), NA(), 24.465)</f>
        <v>#N/A</v>
      </c>
      <c r="BY80" s="8" t="e">
        <f t="shared" si="22"/>
        <v>#N/A</v>
      </c>
      <c r="BZ80" s="8">
        <f>IF(OR(ISBLANK(Input!$BK$4),$D$27=FALSE),NA(),('Reaction Information'!$J$46/10+'Reaction Information'!$K$46*100/(Calculations!$C$12+Calculations!$M80)+('Reaction Information'!$L$46+'Reaction Information'!$M$46*10000/(Calculations!$C$12+Calculations!$M80))/(Calculations!$O80-Calculations!$C$13)-calculateOmega(Calculations!M80,Calculations!N80,Calculations!Q80,'Reaction Information'!$C$46,'Reaction Information'!$P$46*10^5,'Reaction Information'!$Q$46)*Calculations!$U80*10^-6 + (1/$S80 - 1)*calculate_domegadP(Calculations!M80,Calculations!N80,Calculations!Q80,'Reaction Information'!$C$46,'Reaction Information'!$P$46*10^5,'Reaction Information'!$Q$46,$D$20,$D$19=3))*41.84)</f>
        <v>0</v>
      </c>
      <c r="CA80" s="8">
        <f>IF(OR(ISBLANK(Input!$BN$4),$D$27=FALSE),NA(),('Reaction Information'!$J$50/10+'Reaction Information'!$K$50*100/(Calculations!$C$12+Calculations!$M80)+('Reaction Information'!$L$50+'Reaction Information'!$M$50*10000/(Calculations!$C$12+Calculations!$M80))/(Calculations!$O80-Calculations!$C$13)-calculateOmega(Calculations!M80,Calculations!N80,Calculations!Q80,'Reaction Information'!$C$50,'Reaction Information'!$P$50*10^5,'Reaction Information'!$Q$50)*Calculations!$U80*10^-6 + (1/$S80 - 1)*calculate_domegadP(Calculations!M80,Calculations!N80,Calculations!Q80,'Reaction Information'!$C$50,'Reaction Information'!$P$50*10^5,'Reaction Information'!$Q$50,$D$20,$D$19=3))*41.84)</f>
        <v>28.90709133650077</v>
      </c>
      <c r="CB80" s="8" t="e">
        <f>IF(OR(ISBLANK(Input!$BQ$4),$D$27=FALSE),NA(),('Reaction Information'!$J$54/10+'Reaction Information'!$K$54*100/(Calculations!$C$12+Calculations!$M80)+('Reaction Information'!$L$54+'Reaction Information'!$M$54*10000/(Calculations!$C$12+Calculations!$M80))/(Calculations!$O80-Calculations!$C$13)-calculateOmega(Calculations!M80,Calculations!N80,Calculations!Q80,'Reaction Information'!$C$54,'Reaction Information'!$P$54*10^5,'Reaction Information'!$Q$54)*Calculations!$U80*10^-6 + (1/$S80 - 1)*calculate_domegadP(Calculations!M80,Calculations!N80,Calculations!Q80,'Reaction Information'!$C$54,'Reaction Information'!$P$54*10^5,'Reaction Information'!$Q$54,$D$20,$D$19=3))*41.84)</f>
        <v>#N/A</v>
      </c>
      <c r="CC80" s="8" t="e">
        <f>IF(OR(ISBLANK(Input!$BT$4),$D$27=FALSE),NA(),('Reaction Information'!$J$58/10+'Reaction Information'!$K$58*100/(Calculations!$C$12+Calculations!$M80)+('Reaction Information'!$L$58+'Reaction Information'!$M$58*10000/(Calculations!$C$12+Calculations!$M80))/(Calculations!$O80-Calculations!$C$13)-calculateOmega(Calculations!M80,Calculations!N80,Calculations!Q80,'Reaction Information'!$C$58,'Reaction Information'!$P$58*10^5,'Reaction Information'!$Q$58)*Calculations!$U80*10^-6 + (1/$S80 - 1)*calculate_domegadP(Calculations!M80,Calculations!N80,Calculations!Q80,'Reaction Information'!$C$58,'Reaction Information'!$P$58*10^5,'Reaction Information'!$Q$58,$D$20,$D$19=3))*41.84)</f>
        <v>#N/A</v>
      </c>
      <c r="CD80" s="8" t="e">
        <f>IF(OR(ISBLANK(Input!$BW$4),$D$27=FALSE),NA(),('Reaction Information'!$J$62/10+'Reaction Information'!$K$62*100/(Calculations!$C$12+Calculations!$M80)+('Reaction Information'!$L$62+'Reaction Information'!$M$62*10000/(Calculations!$C$12+Calculations!$M80))/(Calculations!$O80-Calculations!$C$13)-calculateOmega(Calculations!M80,Calculations!N80,Calculations!Q80,'Reaction Information'!$C$62,'Reaction Information'!$P$62*10^5,'Reaction Information'!$Q$62)*Calculations!$U80*10^-6 + (1/$S80 - 1)*calculate_domegadP(Calculations!M80,Calculations!N80,Calculations!Q80,'Reaction Information'!$C$62,'Reaction Information'!$P$62*10^5,'Reaction Information'!$Q$62,$D$20,$D$19=3))*41.84)</f>
        <v>#N/A</v>
      </c>
      <c r="CE80" s="8" t="e">
        <f>IF(OR(ISBLANK(Input!$BZ$4),$D$27=FALSE),NA(),('Reaction Information'!$J$66/10+'Reaction Information'!$K$66*100/(Calculations!$C$12+Calculations!$M80)+('Reaction Information'!$L$66+'Reaction Information'!$M$66*10000/(Calculations!$C$12+Calculations!$M80))/(Calculations!$O80-Calculations!$C$13)-calculateOmega(Calculations!M80,Calculations!N80,Calculations!Q80,'Reaction Information'!$C$66,'Reaction Information'!$P$66*10^5,'Reaction Information'!$Q$66)*Calculations!$U80*10^-6 + (1/$S80 - 1)*calculate_domegadP(Calculations!M80,Calculations!N80,Calculations!Q80,'Reaction Information'!$C$66,'Reaction Information'!$P$66*10^5,'Reaction Information'!$Q$66,$D$20,$D$19=3))*41.84)</f>
        <v>#N/A</v>
      </c>
      <c r="CF80" s="31">
        <f>(BS80*Input!$AO$4+BT80*Input!$AR$4+BU80*Input!$AU$4+BV80*Input!$AX$4+IF(ISNA(BW80),0,BW80*Input!$BA$4)+IF(ISNA(BX80),0,BX80*Input!$BD$4)+IF(ISNA(BY80),0,BY80*Input!$BG$4)+IF(ISNA(BZ80),0,BZ80*Input!$BJ$4)+IF(ISNA(CA80),0,CA80*Input!$BM$4)+IF(ISNA(CB80),0,CB80*Input!$BP$4)+IF(ISNA(CC80),0,CC80*Input!$BS$4)+IF(ISNA(CD80),0,CD80*Input!$BV$4)+IF(ISNA(CE80),0,CE80*Input!$BY$4))-(BF80*Input!$B$4+BG80*Input!$E$4+BH80*Input!$H$4+BI80*Input!$K$4+IF(ISNA(BJ80),0,BJ80*Input!$N$4)+IF(ISNA(BK80),0,BK80*Input!$Q$4)+IF(ISNA(BL80),0,BL80*Input!$T$4)+IF(ISNA(BM80),0,BM80*Input!$W$4)+IF(ISNA(BN80),0,BN80*Input!$Z$4)+IF(ISNA(BO80),0,BO80*Input!$AC$4)+IF(ISNA(BP80),0,BP80*Input!$AF$4)+IF(ISNA(BQ80),0,BQ80*Input!$AI$4)+IF(ISNA(BR80),0,BR80*Input!$AL$4))</f>
        <v>-19.549166276331071</v>
      </c>
      <c r="CG80" s="1">
        <f t="shared" si="31"/>
        <v>1000</v>
      </c>
      <c r="CH80" s="46">
        <f t="shared" si="32"/>
        <v>25000</v>
      </c>
      <c r="CI80" s="1"/>
    </row>
    <row r="81" spans="1:87" x14ac:dyDescent="0.2">
      <c r="A81" s="1"/>
      <c r="B81" s="1"/>
      <c r="C81" s="1"/>
      <c r="D81" s="1"/>
      <c r="E81" s="1"/>
      <c r="F81" s="2">
        <v>76</v>
      </c>
      <c r="G81" s="1" t="str">
        <f>IF(ISBLANK(Input!CB81), "", Input!CB81*1000)</f>
        <v/>
      </c>
      <c r="H81" s="1" t="str">
        <f>IF(ISBLANK(Input!CC81), "", Input!CC81)</f>
        <v/>
      </c>
      <c r="I81" s="1">
        <f>IF(Input!$CF$5 + Input!$CF$6*(FLOOR((Calculations!$F81-1)/(FLOOR((Input!$CF$12-Input!$CF$10)/Input!$CF$11,1)+1),1)) &gt; Input!$CF$7, "", (Input!$CF$5 + Input!$CF$6*(FLOOR((Calculations!$F81-1)/(FLOOR((Input!$CF$12-Input!$CF$10)/Input!$CF$11,1)+1),1)))*1000)</f>
        <v>30000</v>
      </c>
      <c r="J81" s="1">
        <f>IF(Calculations!I81 = "", "", Input!$CF$10 + Input!$CF$11*(Calculations!$F81-1) - (FLOOR((Input!$CF$12-Input!$CF$10)/Input!$CF$11,1)+1)*Input!$CF$11*FLOOR((Calculations!$F81-1)/(FLOOR((Input!$CF$12-Input!$CF$10)/Input!$CF$11,1)+1),1))</f>
        <v>300</v>
      </c>
      <c r="K81" s="8" t="str">
        <f t="shared" si="33"/>
        <v/>
      </c>
      <c r="L81" s="117" t="str">
        <f>IF(OR(Input!$CJ$5 + Input!$CJ$6*(Calculations!F81-1) &gt; Input!$CJ$7, Input!$CJ$5 + Input!$CJ$6*(Calculations!F81-1) &gt; 350), "", Input!$CJ$5 + Input!$CJ$6*(Calculations!F81-1))</f>
        <v/>
      </c>
      <c r="M81" s="1">
        <f t="shared" si="23"/>
        <v>30000</v>
      </c>
      <c r="N81" s="1">
        <f t="shared" si="24"/>
        <v>300</v>
      </c>
      <c r="O81" s="1">
        <f t="shared" si="19"/>
        <v>573.15</v>
      </c>
      <c r="P81" s="1" t="e">
        <f>IF(OR($D$20=3,AND($D$21=TRUE,M81&lt;1000)),INDEX('Water Density'!$C$6:$CX$120,MATCH(Calculations!N81,'Water Density'!$B$6:$B$120),MATCH(Calculations!M81/1000,'Water Density'!$C$5:$CX$5)),NA())</f>
        <v>#N/A</v>
      </c>
      <c r="Q81" s="182">
        <f>IF(OR($D$20=3,AND($D$21=TRUE,M81&lt;1000)), IF(P81&lt;&gt;0,P81,NA()), calculateDensity(M81,N81,$D$20,0.01,$D$19 = 3))</f>
        <v>1.3344136310511829</v>
      </c>
      <c r="R81" s="1" t="e">
        <f>IF($D$22=5,INDEX('Dielectric Constant'!$C$6:$CX$120,MATCH(Calculations!N81,'Dielectric Constant'!$B$6:$B$120),MATCH(Calculations!M81/1000,'Dielectric Constant'!$C$5:$CX$5)),NA())</f>
        <v>#N/A</v>
      </c>
      <c r="S81" s="58">
        <f>IF($D$22=5, IF(R81&lt;&gt;0,R81,NA()), IF(AND($D$23,M81&lt;=5000,$D$19 &lt;&gt; 3),calculateEpsilon(Q81,N81,1,FALSE),calculateEpsilon(Q81,N81,$D$22,$D$19 = 3)))</f>
        <v>52.214795725049683</v>
      </c>
      <c r="T81" s="1" t="e">
        <f>IF($D$24=3,INDEX('Water Free Energy'!$C$6:$CX$120,MATCH(Calculations!N81,'Water Free Energy'!$B$6:$B$120),MATCH(Calculations!M81/1000,'Water Free Energy'!$C$5:$CX$5)),NA())</f>
        <v>#N/A</v>
      </c>
      <c r="U81" s="179">
        <f>IF($D$27,calculateQ(M81,N81,Q81,$D$20,$D$22,$D$19=3)*10^6,NA())</f>
        <v>0.13692747390187218</v>
      </c>
      <c r="V81"/>
      <c r="W81" s="2">
        <f t="shared" si="25"/>
        <v>30000</v>
      </c>
      <c r="X81" s="1">
        <f t="shared" si="26"/>
        <v>300</v>
      </c>
      <c r="Y81" s="1">
        <f>Results!F83</f>
        <v>0</v>
      </c>
      <c r="Z81" s="1">
        <f>Results!G83</f>
        <v>0</v>
      </c>
      <c r="AA81" s="1">
        <f>Results!H83</f>
        <v>0</v>
      </c>
      <c r="AB81" s="1">
        <f>Results!I83</f>
        <v>0</v>
      </c>
      <c r="AC81" s="1" t="e">
        <f>IF(ISBLANK(Input!$O$4),NA(),'Reaction Information'!$E$5-'Reaction Information'!$G$5*(Calculations!$O81-Calculations!$C$8)+'Reaction Information'!$I$5*(Calculations!$O81-Calculations!$C$8-Calculations!$O81*LN(Calculations!$O81/Calculations!$C$8))+'Reaction Information'!$J$5*0.001/2*(2*Calculations!$O81*Calculations!$C$8-Calculations!$O81^2-Calculations!$C$8^2) + 'Reaction Information'!$K$5*100000*(Calculations!$O81^2 + Calculations!$C$8^2 - 2*Calculations!$O81*Calculations!$C$8)/(2*Calculations!$O81*Calculations!$C$8^2))</f>
        <v>#N/A</v>
      </c>
      <c r="AD81" s="8" t="e">
        <f>IF(ISBLANK(Input!$R$4),NA(),'Reaction Information'!$E$9-'Reaction Information'!$G$9*(Calculations!$O81-Calculations!$C$8)+'Reaction Information'!$I$9*(Calculations!$O81-Calculations!$C$8-Calculations!$O81*LN(Calculations!$O81/Calculations!$C$8))+'Reaction Information'!$J$9*0.001/2*(2*Calculations!$O81*Calculations!$C$8-Calculations!$O81^2-Calculations!$C$8^2) + 'Reaction Information'!$K$9*100000*(Calculations!$O81^2 + Calculations!$C$8^2 - 2*Calculations!$O81*Calculations!$C$8)/(2*Calculations!$O81*Calculations!$C$8^2))</f>
        <v>#N/A</v>
      </c>
      <c r="AE81" s="8">
        <f>IF(AE$5="H2O",IF($D$24=3,IF(T81=0,NA(),T81),calculateGibbsOfWater(M81,N81,$D$24,$D$20,$D$19=3)),NA())</f>
        <v>-51604.724260964183</v>
      </c>
      <c r="AF81" s="8">
        <f>IF(ISBLANK(Input!$X$4),NA(),'Reaction Information'!$E$13-'Reaction Information'!$G$13*(Calculations!O81-Calculations!$C$8)-'Reaction Information'!$N$13*(Calculations!O81*LN(Calculations!O81/Calculations!$C$8)-Calculations!O81+Calculations!$C$8)-'Reaction Information'!$O$13*10^4*(((1/(Calculations!O81-Calculations!$C$13))-(1/(Calculations!$C$8-Calculations!$C$13)))*((Calculations!$C$13-Calculations!O81)/(Calculations!$C$13))-(Calculations!O81/(Calculations!$C$13*Calculations!$C$13))*LN((Calculations!$C$8*(Calculations!O81-Calculations!$C$13))/(Calculations!O81*(Calculations!$C$8-Calculations!$C$13))))+'Reaction Information'!$J$13*10^-1*(Calculations!M81-Calculations!$C$9)+'Reaction Information'!$K$13*10^2*LN((Calculations!$C$12+Calculations!M81)/(Calculations!$C$12+Calculations!$C$9))+(1/(Calculations!O81-Calculations!$C$13))*('Reaction Information'!$L$13*(Calculations!M81-Calculations!$C$9)+'Reaction Information'!$M$13*10^4*LN((Calculations!$C$12+Calculations!M81)/(Calculations!$C$12+Calculations!$C$9)))+calculateOmega(Calculations!M81,Calculations!N81,Calculations!Q81,'Reaction Information'!$C$13,'Reaction Information'!$P$13*10^5,'Reaction Information'!$Q$13)*((1/Calculations!S81)-1)-'Reaction Information'!$P$13*10^5*((1/Calculations!$C$10)-1)+'Reaction Information'!$P$13*10^5*Calculations!$C$14*(Calculations!O81-Calculations!$C$8))</f>
        <v>-80655.941218035572</v>
      </c>
      <c r="AG81" s="8" t="e">
        <f>IF(ISBLANK(Input!$AA$4),NA(),'Reaction Information'!$E$17-'Reaction Information'!$G$17*(Calculations!$O81-Calculations!$C$8)-'Reaction Information'!$N$17*(Calculations!$O81*LN(Calculations!$O81/Calculations!$C$8)-Calculations!$O81+Calculations!$C$8)-'Reaction Information'!$O$17*10^4*(((1/(Calculations!$O81-Calculations!$C$13))-(1/(Calculations!$C$8-Calculations!$C$13)))*((Calculations!$C$13-Calculations!$O81)/(Calculations!$C$13))-(Calculations!$O81/(Calculations!$C$13*Calculations!$C$13))*LN((Calculations!$C$8*(Calculations!$O81-Calculations!$C$13))/(Calculations!$O81*(Calculations!$C$8-Calculations!$C$13))))+'Reaction Information'!$J$17*10^-1*(Calculations!$M81-Calculations!$C$9)+'Reaction Information'!$K$17*10^2*LN((Calculations!$C$12+Calculations!$M81)/(Calculations!$C$12+Calculations!$C$9))+(1/(Calculations!$O81-Calculations!$C$13))*('Reaction Information'!$L$17*(Calculations!$M81-Calculations!$C$9)+'Reaction Information'!$M$17*10^4*LN((Calculations!$C$12+Calculations!$M81)/(Calculations!$C$12+Calculations!$C$9)))+calculateOmega(Calculations!M81,Calculations!N81,Calculations!Q81,'Reaction Information'!$C$17,'Reaction Information'!$P$17*10^5,'Reaction Information'!$Q$17)*((1/Calculations!$S81)-1)-'Reaction Information'!$P$17*10^5*((1/Calculations!$C$10)-1)+'Reaction Information'!$P$17*10^5*Calculations!$C$14*(Calculations!$O81-Calculations!$C$8))</f>
        <v>#N/A</v>
      </c>
      <c r="AH81" s="8" t="e">
        <f>IF(ISBLANK(Input!$AD$4),NA(),'Reaction Information'!$E$21-'Reaction Information'!$G$21*(Calculations!$O81-Calculations!$C$8)-'Reaction Information'!$N$21*(Calculations!$O81*LN(Calculations!$O81/Calculations!$C$8)-Calculations!$O81+Calculations!$C$8)-'Reaction Information'!$O$21*10^4*(((1/(Calculations!$O81-Calculations!$C$13))-(1/(Calculations!$C$8-Calculations!$C$13)))*((Calculations!$C$13-Calculations!$O81)/(Calculations!$C$13))-(Calculations!$O81/(Calculations!$C$13*Calculations!$C$13))*LN((Calculations!$C$8*(Calculations!$O81-Calculations!$C$13))/(Calculations!$O81*(Calculations!$C$8-Calculations!$C$13))))+'Reaction Information'!$J$21*10^-1*(Calculations!$M81-Calculations!$C$9)+'Reaction Information'!$K$21*10^2*LN((Calculations!$C$12+Calculations!$M81)/(Calculations!$C$12+Calculations!$C$9))+(1/(Calculations!$O81-Calculations!$C$13))*('Reaction Information'!$L$21*(Calculations!$M81-Calculations!$C$9)+'Reaction Information'!$M$21*10^4*LN((Calculations!$C$12+Calculations!$M81)/(Calculations!$C$12+Calculations!$C$9)))+calculateOmega(Calculations!M81,Calculations!N81,Calculations!Q81,'Reaction Information'!$C$21,'Reaction Information'!$P$21*10^5,'Reaction Information'!$Q$21)*((1/Calculations!$S81)-1)-'Reaction Information'!$P$21*10^5*((1/Calculations!$C$10)-1)+'Reaction Information'!$P$21*10^5*Calculations!$C$14*(Calculations!$O81-Calculations!$C$8))</f>
        <v>#N/A</v>
      </c>
      <c r="AI81" s="8" t="e">
        <f>IF(ISBLANK(Input!$AG$4),NA(),'Reaction Information'!$E$25-'Reaction Information'!$G$25*(Calculations!$O81-Calculations!$C$8)-'Reaction Information'!$N$25*(Calculations!$O81*LN(Calculations!$O81/Calculations!$C$8)-Calculations!$O81+Calculations!$C$8)-'Reaction Information'!$O$25*10^4*(((1/(Calculations!$O81-Calculations!$C$13))-(1/(Calculations!$C$8-Calculations!$C$13)))*((Calculations!$C$13-Calculations!$O81)/(Calculations!$C$13))-(Calculations!$O81/(Calculations!$C$13*Calculations!$C$13))*LN((Calculations!$C$8*(Calculations!$O81-Calculations!$C$13))/(Calculations!$O81*(Calculations!$C$8-Calculations!$C$13))))+'Reaction Information'!$J$25*10^-1*(Calculations!$M81-Calculations!$C$9)+'Reaction Information'!$K$25*10^2*LN((Calculations!$C$12+Calculations!$M81)/(Calculations!$C$12+Calculations!$C$9))+(1/(Calculations!$O81-Calculations!$C$13))*('Reaction Information'!$L$25*(Calculations!$M81-Calculations!$C$9)+'Reaction Information'!$M$25*10^4*LN((Calculations!$C$12+Calculations!$M81)/(Calculations!$C$12+Calculations!$C$9)))+calculateOmega(Calculations!M81,Calculations!N81,Calculations!Q81,'Reaction Information'!$C$25,'Reaction Information'!$P$25*10^5,'Reaction Information'!$Q$25)*((1/Calculations!$S81)-1)-'Reaction Information'!$P$25*10^5*((1/Calculations!$C$10)-1)+'Reaction Information'!$P$25*10^5*Calculations!$C$14*(Calculations!$O81-Calculations!$C$8))</f>
        <v>#N/A</v>
      </c>
      <c r="AJ81" s="8" t="e">
        <f>IF(ISBLANK(Input!$AJ$4),NA(),'Reaction Information'!$E$29-'Reaction Information'!$G$29*(Calculations!$O81-Calculations!$C$8)-'Reaction Information'!$N$29*(Calculations!$O81*LN(Calculations!$O81/Calculations!$C$8)-Calculations!$O81+Calculations!$C$8)-'Reaction Information'!$O$29*10^4*(((1/(Calculations!$O81-Calculations!$C$13))-(1/(Calculations!$C$8-Calculations!$C$13)))*((Calculations!$C$13-Calculations!$O81)/(Calculations!$C$13))-(Calculations!$O81/(Calculations!$C$13*Calculations!$C$13))*LN((Calculations!$C$8*(Calculations!$O81-Calculations!$C$13))/(Calculations!$O81*(Calculations!$C$8-Calculations!$C$13))))+'Reaction Information'!$J$29*10^-1*(Calculations!$M81-Calculations!$C$9)+'Reaction Information'!$K$29*10^2*LN((Calculations!$C$12+Calculations!$M81)/(Calculations!$C$12+Calculations!$C$9))+(1/(Calculations!$O81-Calculations!$C$13))*('Reaction Information'!$L$29*(Calculations!$M81-Calculations!$C$9)+'Reaction Information'!$M$29*10^4*LN((Calculations!$C$12+Calculations!$M81)/(Calculations!$C$12+Calculations!$C$9)))+calculateOmega(Calculations!M81,Calculations!N81,Calculations!Q81,'Reaction Information'!$C$29,'Reaction Information'!$P$29*10^5,'Reaction Information'!$Q$29)*((1/Calculations!$S81)-1)-'Reaction Information'!$P$29*10^5*((1/Calculations!$C$10)-1)+'Reaction Information'!$P$29*10^5*Calculations!$C$14*(Calculations!$O81-Calculations!$C$8))</f>
        <v>#N/A</v>
      </c>
      <c r="AK81" s="8" t="e">
        <f>IF(ISBLANK(Input!$AM$4),NA(),'Reaction Information'!$E$33-'Reaction Information'!$G$33*(Calculations!$O81-Calculations!$C$8)-'Reaction Information'!$N$33*(Calculations!$O81*LN(Calculations!$O81/Calculations!$C$8)-Calculations!$O81+Calculations!$C$8)-'Reaction Information'!$O$33*10^4*(((1/(Calculations!$O81-Calculations!$C$13))-(1/(Calculations!$C$8-Calculations!$C$13)))*((Calculations!$C$13-Calculations!$O81)/(Calculations!$C$13))-(Calculations!$O81/(Calculations!$C$13*Calculations!$C$13))*LN((Calculations!$C$8*(Calculations!$O81-Calculations!$C$13))/(Calculations!$O81*(Calculations!$C$8-Calculations!$C$13))))+'Reaction Information'!$J$33*10^-1*(Calculations!$M81-Calculations!$C$9)+'Reaction Information'!$K$33*10^2*LN((Calculations!$C$12+Calculations!$M81)/(Calculations!$C$12+Calculations!$C$9))+(1/(Calculations!$O81-Calculations!$C$13))*('Reaction Information'!$L$33*(Calculations!$M81-Calculations!$C$9)+'Reaction Information'!$M$33*10^4*LN((Calculations!$C$12+Calculations!$M81)/(Calculations!$C$12+Calculations!$C$9)))+calculateOmega(Calculations!M81,Calculations!N81,Calculations!Q81,'Reaction Information'!$C$33,'Reaction Information'!$P$33*10^5,'Reaction Information'!$Q$33)*((1/Calculations!$S81)-1)-'Reaction Information'!$P$33*10^5*((1/Calculations!$C$10)-1)+'Reaction Information'!$P$33*10^5*Calculations!$C$14*(Calculations!$O81-Calculations!$C$8))</f>
        <v>#N/A</v>
      </c>
      <c r="AL81" s="1">
        <f>Results!S83</f>
        <v>0</v>
      </c>
      <c r="AM81" s="1">
        <f>Results!T83</f>
        <v>0</v>
      </c>
      <c r="AN81" s="1">
        <f>Results!U83</f>
        <v>0</v>
      </c>
      <c r="AO81" s="1">
        <f>Results!V83</f>
        <v>0</v>
      </c>
      <c r="AP81" s="8" t="e">
        <f>IF(ISBLANK(Input!$BB$4),NA(),'Reaction Information'!$E$38-'Reaction Information'!$G$38*(Calculations!$O81-Calculations!$C$8)+'Reaction Information'!$I$38*(Calculations!$O81-Calculations!$C$8-Calculations!$O81*LN(Calculations!$O81/Calculations!$C$8))+'Reaction Information'!$J$38*0.001/2*(2*Calculations!$O81*Calculations!$C$8-Calculations!$O81^2-Calculations!$C$8^2) + 'Reaction Information'!$K$38*100000*(Calculations!$O81^2 + Calculations!$C$8^2 - 2*Calculations!$O81*Calculations!$C$8)/(2*Calculations!$O81*Calculations!$C$8^2))</f>
        <v>#N/A</v>
      </c>
      <c r="AQ81" s="8" t="e">
        <f>IF(ISBLANK(Input!$BE$4),NA(),'Reaction Information'!$E$42-'Reaction Information'!$G$42*(Calculations!$O81-Calculations!$C$8)+'Reaction Information'!$I$42*(Calculations!$O81-Calculations!$C$8-Calculations!$O81*LN(Calculations!$O81/Calculations!$C$8))+'Reaction Information'!$J$42*0.001/2*(2*Calculations!$O81*Calculations!$C$8-Calculations!$O81^2-Calculations!$C$8^2) + 'Reaction Information'!$K$42*100000*(Calculations!$O81^2 + Calculations!$C$8^2 - 2*Calculations!$O81*Calculations!$C$8)/(2*Calculations!$O81*Calculations!$C$8^2))</f>
        <v>#N/A</v>
      </c>
      <c r="AR81" s="8" t="e">
        <f>IF(AR$5="H2O", IF($D$24=3,IF(T81=0,NA(),T81),calculateGibbsOfWater(M81,N81,$D$24,$D$20,$D$19=3)),NA())</f>
        <v>#N/A</v>
      </c>
      <c r="AS81" s="8">
        <f>IF(ISBLANK(Input!$BK$4),NA(),'Reaction Information'!$E$46-'Reaction Information'!$G$46*(Calculations!O81-Calculations!$C$8)-'Reaction Information'!$N$46*(Calculations!O81*LN(Calculations!O81/Calculations!$C$8)-Calculations!O81+Calculations!$C$8)-'Reaction Information'!$O$46*10^4*(((1/(Calculations!O81-Calculations!$C$13))-(1/(Calculations!$C$8-Calculations!$C$13)))*((Calculations!$C$13-Calculations!O81)/(Calculations!$C$13))-(Calculations!O81/(Calculations!$C$13*Calculations!$C$13))*LN((Calculations!$C$8*(Calculations!O81-Calculations!$C$13))/(Calculations!O81*(Calculations!$C$8-Calculations!$C$13))))+'Reaction Information'!$J$46*10^-1*(Calculations!$M81-Calculations!$C$9)+'Reaction Information'!$K$46*10^2*LN((Calculations!$C$12+Calculations!$M81)/(Calculations!$C$12+Calculations!$C$9))+(1/(Calculations!O81-Calculations!$C$13))*('Reaction Information'!$L$46*(Calculations!$M81-Calculations!$C$9)+'Reaction Information'!$M$46*10^4*LN((Calculations!$C$12+Calculations!$M81)/(Calculations!$C$12+Calculations!$C$9)))+calculateOmega(Calculations!M81,Calculations!N81,Calculations!Q81,'Reaction Information'!$C$46,'Reaction Information'!$P$46*10^5,'Reaction Information'!$Q$46)*((1/Calculations!S81)-1)-'Reaction Information'!$P$46*10^5*((1/Calculations!$C$10)-1)+'Reaction Information'!$P$46*10^5*Calculations!$C$14*(Calculations!O81-Calculations!$C$8))</f>
        <v>0</v>
      </c>
      <c r="AT81" s="8">
        <f>IF(ISBLANK(Input!$BN$4),NA(),'Reaction Information'!$E$50-'Reaction Information'!$G$50*(Calculations!O81-Calculations!$C$8)-'Reaction Information'!$N$50*(Calculations!O81*LN(Calculations!O81/Calculations!$C$8)-Calculations!O81+Calculations!$C$8)-'Reaction Information'!$O$50*10^4*(((1/(Calculations!O81-Calculations!$C$13))-(1/(Calculations!$C$8-Calculations!$C$13)))*((Calculations!$C$13-Calculations!O81)/(Calculations!$C$13))-(Calculations!O81/(Calculations!$C$13*Calculations!$C$13))*LN((Calculations!$C$8*(Calculations!O81-Calculations!$C$13))/(Calculations!O81*(Calculations!$C$8-Calculations!$C$13))))+'Reaction Information'!$J$50*10^-1*(Calculations!$M81-Calculations!$C$9)+'Reaction Information'!$K$50*10^2*LN((Calculations!$C$12+Calculations!$M81)/(Calculations!$C$12+Calculations!$C$9))+(1/(Calculations!O81-Calculations!$C$13))*('Reaction Information'!$L$50*(Calculations!$M81-Calculations!$C$9)+'Reaction Information'!$M$50*10^4*LN((Calculations!$C$12+Calculations!$M81)/(Calculations!$C$12+Calculations!$C$9)))+calculateOmega(Calculations!M81,Calculations!N81,Calculations!Q81,'Reaction Information'!$C$50,'Reaction Information'!$P$50*10^5,'Reaction Information'!$Q$50)*((1/Calculations!S81)-1)-'Reaction Information'!$P$50*10^5*((1/Calculations!$C$10)-1)+'Reaction Information'!$P$50*10^5*Calculations!$C$14*(Calculations!O81-Calculations!$C$8))</f>
        <v>-125775.64132756954</v>
      </c>
      <c r="AU81" s="8" t="e">
        <f>IF(ISBLANK(Input!$BQ$4),NA(),'Reaction Information'!$E$54-'Reaction Information'!$G$54*(Calculations!$O81-Calculations!$C$8)-'Reaction Information'!$N$54*(Calculations!$O81*LN(Calculations!$O81/Calculations!$C$8)-Calculations!$O81+Calculations!$C$8)-'Reaction Information'!$O$54*10^4*(((1/(Calculations!$O81-Calculations!$C$13))-(1/(Calculations!$C$8-Calculations!$C$13)))*((Calculations!$C$13-Calculations!$O81)/(Calculations!$C$13))-(Calculations!$O81/(Calculations!$C$13*Calculations!$C$13))*LN((Calculations!$C$8*(Calculations!$O81-Calculations!$C$13))/(Calculations!$O81*(Calculations!$C$8-Calculations!$C$13))))+'Reaction Information'!$J$54*10^-1*(Calculations!$M81-Calculations!$C$9)+'Reaction Information'!$K$54*10^2*LN((Calculations!$C$12+Calculations!$M81)/(Calculations!$C$12+Calculations!$C$9))+(1/(Calculations!$O81-Calculations!$C$13))*('Reaction Information'!$L$54*(Calculations!$M81-Calculations!$C$9)+'Reaction Information'!$M$54*10^4*LN((Calculations!$C$12+Calculations!$M81)/(Calculations!$C$12+Calculations!$C$9)))+calculateOmega(Calculations!M81,Calculations!N81,Calculations!Q81,'Reaction Information'!$C$54,'Reaction Information'!$P$54*10^5,'Reaction Information'!$Q$54)*((1/Calculations!$S81)-1)-'Reaction Information'!$P$54*10^5*((1/Calculations!$C$10)-1)+'Reaction Information'!$P$54*10^5*Calculations!$C$14*(Calculations!$O81-Calculations!$C$8))</f>
        <v>#N/A</v>
      </c>
      <c r="AV81" s="8" t="e">
        <f>IF(ISBLANK(Input!$BT$4),NA(),'Reaction Information'!$E$58-'Reaction Information'!$G$58*(Calculations!$O81-Calculations!$C$8)-'Reaction Information'!$N$58*(Calculations!$O81*LN(Calculations!$O81/Calculations!$C$8)-Calculations!$O81+Calculations!$C$8)-'Reaction Information'!$O$58*10^4*(((1/(Calculations!$O81-Calculations!$C$13))-(1/(Calculations!$C$8-Calculations!$C$13)))*((Calculations!$C$13-Calculations!$O81)/(Calculations!$C$13))-(Calculations!$O81/(Calculations!$C$13*Calculations!$C$13))*LN((Calculations!$C$8*(Calculations!$O81-Calculations!$C$13))/(Calculations!$O81*(Calculations!$C$8-Calculations!$C$13))))+'Reaction Information'!$J$58*10^-1*(Calculations!$M81-Calculations!$C$9)+'Reaction Information'!$K$58*10^2*LN((Calculations!$C$12+Calculations!$M81)/(Calculations!$C$12+Calculations!$C$9))+(1/(Calculations!$O81-Calculations!$C$13))*('Reaction Information'!$L$58*(Calculations!$M81-Calculations!$C$9)+'Reaction Information'!$M$58*10^4*LN((Calculations!$C$12+Calculations!$M81)/(Calculations!$C$12+Calculations!$C$9)))+calculateOmega(Calculations!M81,Calculations!N81,Calculations!Q81,'Reaction Information'!$C$58,'Reaction Information'!$P$58*10^5,'Reaction Information'!$Q$58)*((1/Calculations!$S81)-1)-'Reaction Information'!$P$58*10^5*((1/Calculations!$C$10)-1)+'Reaction Information'!$P$58*10^5*Calculations!$C$14*(Calculations!$O81-Calculations!$C$8))</f>
        <v>#N/A</v>
      </c>
      <c r="AW81" s="8" t="e">
        <f>IF(ISBLANK(Input!$BW$4),NA(),'Reaction Information'!$E$62-'Reaction Information'!$G$62*(Calculations!$O81-Calculations!$C$8)-'Reaction Information'!$N$62*(Calculations!$O81*LN(Calculations!$O81/Calculations!$C$8)-Calculations!$O81+Calculations!$C$8)-'Reaction Information'!$O$62*10^4*(((1/(Calculations!$O81-Calculations!$C$13))-(1/(Calculations!$C$8-Calculations!$C$13)))*((Calculations!$C$13-Calculations!$O81)/(Calculations!$C$13))-(Calculations!$O81/(Calculations!$C$13*Calculations!$C$13))*LN((Calculations!$C$8*(Calculations!$O81-Calculations!$C$13))/(Calculations!$O81*(Calculations!$C$8-Calculations!$C$13))))+'Reaction Information'!$J$62*10^-1*(Calculations!$M81-Calculations!$C$9)+'Reaction Information'!$K$62*10^2*LN((Calculations!$C$12+Calculations!$M81)/(Calculations!$C$12+Calculations!$C$9))+(1/(Calculations!$O81-Calculations!$C$13))*('Reaction Information'!$L$62*(Calculations!$M81-Calculations!$C$9)+'Reaction Information'!$M$62*10^4*LN((Calculations!$C$12+Calculations!$M81)/(Calculations!$C$12+Calculations!$C$9)))+calculateOmega(Calculations!M81,Calculations!N81,Calculations!Q81,'Reaction Information'!$C$62,'Reaction Information'!$P$62*10^5,'Reaction Information'!$Q$62)*((1/Calculations!$S81)-1)-'Reaction Information'!$P$62*10^5*((1/Calculations!$C$10)-1)+'Reaction Information'!$P$62*10^5*Calculations!$C$14*(Calculations!$O81-Calculations!$C$8))</f>
        <v>#N/A</v>
      </c>
      <c r="AX81" s="8" t="e">
        <f>IF(ISBLANK(Input!$BZ$4),NA(),'Reaction Information'!$E$66-'Reaction Information'!$G$66*(Calculations!$O81-Calculations!$C$8)-'Reaction Information'!$N$66*(Calculations!$O81*LN(Calculations!$O81/Calculations!$C$8)-Calculations!$O81+Calculations!$C$8)-'Reaction Information'!$O$66*10^4*(((1/(Calculations!$O81-Calculations!$C$13))-(1/(Calculations!$C$8-Calculations!$C$13)))*((Calculations!$C$13-Calculations!$O81)/(Calculations!$C$13))-(Calculations!$O81/(Calculations!$C$13*Calculations!$C$13))*LN((Calculations!$C$8*(Calculations!$O81-Calculations!$C$13))/(Calculations!$O81*(Calculations!$C$8-Calculations!$C$13))))+'Reaction Information'!$J$66*10^-1*(Calculations!$M81-Calculations!$C$9)+'Reaction Information'!$K$66*10^2*LN((Calculations!$C$12+Calculations!$M81)/(Calculations!$C$12+Calculations!$C$9))+(1/(Calculations!$O81-Calculations!$C$13))*('Reaction Information'!$L$66*(Calculations!$M81-Calculations!$C$9)+'Reaction Information'!$M$66*10^4*LN((Calculations!$C$12+Calculations!$M81)/(Calculations!$C$12+Calculations!$C$9)))+calculateOmega(Calculations!M81,Calculations!N81,Calculations!Q81,'Reaction Information'!$C$66,'Reaction Information'!$P$66*10^5,'Reaction Information'!$Q$66)*((1/Calculations!$S81)-1)-'Reaction Information'!$P$66*10^5*((1/Calculations!$C$10)-1)+'Reaction Information'!$P$66*10^5*Calculations!$C$14*(Calculations!$O81-Calculations!$C$8))</f>
        <v>#N/A</v>
      </c>
      <c r="AY81" s="31">
        <f>(AL81*Input!$AO$4+AM81*Input!$AR$4+AN81*Input!$AU$4+AO81*Input!$AX$4+IF(ISNA(AP81),0,AP81*Input!$BA$4)+IF(ISNA(AQ81),0,AQ81*Input!$BD$4)+IF(ISNA(AR81),0,AR81*Input!$BG$4)+IF(ISNA(AS81),0,AS81*Input!$BJ$4)+IF(ISNA(AT81),0,AT81*Input!$BM$4)+IF(ISNA(AU81),0,AU81*Input!$BP$4)+IF(ISNA(AV81),0,AV81*Input!$BS$4)+IF(ISNA(AW81),0,AW81*Input!$BV$4)+IF(ISNA(AX81),0,AX81*Input!$BY$4))-(Y81*Input!$B$4+Z81*Input!$E$4+AA81*Input!$H$4+AB81*Input!$K$4+IF(ISNA(AC81),0,AC81*Input!$N$4)+IF(ISNA(AD81),0,AD81*Input!$Q$4)+IF(ISNA(AE81),0,AE81*Input!$T$4)+IF(ISNA(AF81),0,AF81*Input!$W$4)+IF(ISNA(AG81),0,AG81*Input!$Z$4)+IF(ISNA(AH81),0,AH81*Input!$AC$4)+IF(ISNA(AI81),0,AI81*Input!$AF$4)+IF(ISNA(AJ81),0,AJ81*Input!$AI$4)+IF(ISNA(AK81),0,AK81*Input!$AL$4))</f>
        <v>6485.0241514302179</v>
      </c>
      <c r="AZ81" s="42">
        <f t="shared" si="20"/>
        <v>-2.4744300126336487</v>
      </c>
      <c r="BA81" s="1">
        <f t="shared" si="27"/>
        <v>300</v>
      </c>
      <c r="BB81" s="46">
        <f t="shared" si="28"/>
        <v>30000</v>
      </c>
      <c r="BC81" s="1"/>
      <c r="BD81" s="2">
        <f t="shared" si="29"/>
        <v>30000</v>
      </c>
      <c r="BE81" s="46">
        <f t="shared" si="30"/>
        <v>300</v>
      </c>
      <c r="BF81" s="1">
        <f>Results!AJ83</f>
        <v>0</v>
      </c>
      <c r="BG81" s="1">
        <f>Results!AK83</f>
        <v>0</v>
      </c>
      <c r="BH81" s="1">
        <f>Results!AL83</f>
        <v>0</v>
      </c>
      <c r="BI81" s="1">
        <f>Results!AM83</f>
        <v>0</v>
      </c>
      <c r="BJ81" s="1" t="e">
        <f>IF(OR(ISNA('Reaction Information'!$D$5), $N81 = "", $D$27 = FALSE, 'Reaction Information'!$D$5 = ""), NA(), 24.465)</f>
        <v>#N/A</v>
      </c>
      <c r="BK81" s="1" t="e">
        <f>IF(OR(ISNA('Reaction Information'!$D$9), $N81 = "", $D$27 = FALSE, 'Reaction Information'!$D$9 = ""), NA(), 24.465)</f>
        <v>#N/A</v>
      </c>
      <c r="BL81" s="8">
        <f t="shared" si="21"/>
        <v>13.500521563024265</v>
      </c>
      <c r="BM81" s="8">
        <f>IF(OR(ISBLANK(Input!$X$4),$D$27=FALSE),NA(),('Reaction Information'!$J$13/10+'Reaction Information'!$K$13*100/(Calculations!$C$12+Calculations!$M81)+('Reaction Information'!$L$13+'Reaction Information'!$M$13*10^4/(Calculations!$C$12+Calculations!$M81))/(Calculations!$O81-Calculations!$C$13) -calculateOmega(Calculations!$M81,Calculations!$N81,Calculations!$Q81,'Reaction Information'!$C$13,'Reaction Information'!$P$13*10^5,'Reaction Information'!$Q$13)*Calculations!$U81*10^-6 + (1/$S81 - 1)*calculate_domegadP(Calculations!$M81,Calculations!$N81,Calculations!$Q81,'Reaction Information'!$C$13,'Reaction Information'!$P$13*10^5,'Reaction Information'!$Q$13,$D$20,$D$19=3))*41.84)</f>
        <v>30.133605104009625</v>
      </c>
      <c r="BN81" s="8" t="e">
        <f>IF(OR(ISBLANK(Input!$AA$4),$D$27=FALSE),NA(),('Reaction Information'!$J$17/10+'Reaction Information'!$K$17*100/(Calculations!$C$12+Calculations!$M81)+('Reaction Information'!$L$17+'Reaction Information'!$M$17*10000/(Calculations!$C$12+Calculations!$M81))/(Calculations!$O81-Calculations!$C$13)-calculateOmega(Calculations!M81,Calculations!N81,Calculations!Q81,'Reaction Information'!$C$17,'Reaction Information'!$P$17*10^5,'Reaction Information'!$Q$17)*Calculations!$U81*10^-6 + (1/$S81 - 1)*calculate_domegadP(Calculations!M81,Calculations!N81,Calculations!Q81,'Reaction Information'!$C$17,'Reaction Information'!$P$17*10^5,'Reaction Information'!$Q$17,$D$20,$D$19=3))*41.84)</f>
        <v>#N/A</v>
      </c>
      <c r="BO81" s="8" t="e">
        <f>IF(OR(ISBLANK(Input!$AD$4),$D$27=FALSE),NA(),('Reaction Information'!$J$21/10+'Reaction Information'!$K$21*100/(Calculations!$C$12+Calculations!$M81)+('Reaction Information'!$L$21+'Reaction Information'!$M$21*10000/(Calculations!$C$12+Calculations!$M81))/(Calculations!$O81-Calculations!$C$13)-calculateOmega(Calculations!M81,Calculations!N81,Calculations!Q81,'Reaction Information'!$C$21,'Reaction Information'!$P$21*10^5,'Reaction Information'!$Q$21)*Calculations!$U81*10^-6 + (1/$S81 - 1)*calculate_domegadP(Calculations!M81,Calculations!N81,Calculations!Q81,'Reaction Information'!$C$21,'Reaction Information'!$P$21*10^5,'Reaction Information'!$Q$21,$D$20,$D$19=3))*41.84)</f>
        <v>#N/A</v>
      </c>
      <c r="BP81" s="8" t="e">
        <f>IF(OR(ISBLANK(Input!$AG$4),$D$27=FALSE),NA(),('Reaction Information'!$J$25/10+'Reaction Information'!$K$25*100/(Calculations!$C$12+Calculations!$M81)+('Reaction Information'!$L$25+'Reaction Information'!$M$25*10000/(Calculations!$C$12+Calculations!$M81))/(Calculations!$O81-Calculations!$C$13)-calculateOmega(Calculations!M81,Calculations!N81,Calculations!Q81,'Reaction Information'!$C$25,'Reaction Information'!$P$25*10^5,'Reaction Information'!$Q$25)*Calculations!$U81*10^-6 + (1/$S81 - 1)*calculate_domegadP(Calculations!M81,Calculations!N81,Calculations!Q81,'Reaction Information'!$C$25,'Reaction Information'!$P$25*10^5,'Reaction Information'!$Q$25,$D$20,$D$19=3))*41.84)</f>
        <v>#N/A</v>
      </c>
      <c r="BQ81" s="8" t="e">
        <f>IF(OR(ISBLANK(Input!$AJ$4),$D$27=FALSE),NA(),('Reaction Information'!$J$29/10+'Reaction Information'!$K$29*100/(Calculations!$C$12+Calculations!$M81)+('Reaction Information'!$L$29+'Reaction Information'!$M$29*10000/(Calculations!$C$12+Calculations!$M81))/(Calculations!$O81-Calculations!$C$13)-calculateOmega(Calculations!M81,Calculations!N81,Calculations!Q81,'Reaction Information'!$C$29,'Reaction Information'!$P$29*10^5,'Reaction Information'!$Q$29)*Calculations!$U81*10^-6 + (1/$S81 - 1)*calculate_domegadP(Calculations!M81,Calculations!N81,Calculations!Q81,'Reaction Information'!$C$29,'Reaction Information'!$P$29*10^5,'Reaction Information'!$Q$29,$D$20,$D$19=3))*41.84)</f>
        <v>#N/A</v>
      </c>
      <c r="BR81" s="8" t="e">
        <f>IF(OR(ISBLANK(Input!$AM$4),$D$27=FALSE),NA(),('Reaction Information'!$J$33/10+'Reaction Information'!$K$33*100/(Calculations!$C$12+Calculations!$M81)+('Reaction Information'!$L$33+'Reaction Information'!$M$33*10000/(Calculations!$C$12+Calculations!$M81))/(Calculations!$O81-Calculations!$C$13)-calculateOmega(Calculations!M81,Calculations!N81,Calculations!Q81,'Reaction Information'!$C$33,'Reaction Information'!$P$33*10^5,'Reaction Information'!$Q$33)*Calculations!$U81*10^-6 + (1/$S81 - 1)*calculate_domegadP(Calculations!M81,Calculations!N81,Calculations!Q81,'Reaction Information'!$C$33,'Reaction Information'!$P$33*10^5,'Reaction Information'!$Q$33,$D$20,$D$19=3))*41.84)</f>
        <v>#N/A</v>
      </c>
      <c r="BS81" s="1">
        <f>Results!AW83</f>
        <v>0</v>
      </c>
      <c r="BT81" s="1">
        <f>Results!AX83</f>
        <v>0</v>
      </c>
      <c r="BU81" s="1">
        <f>Results!AY83</f>
        <v>0</v>
      </c>
      <c r="BV81" s="1">
        <f>Results!AZ83</f>
        <v>0</v>
      </c>
      <c r="BW81" s="1" t="e">
        <f>IF(OR(ISNA('Reaction Information'!$D$38), $N81 = "", $D$27 = FALSE, 'Reaction Information'!$D$38 = ""), NA(), 24.465)</f>
        <v>#N/A</v>
      </c>
      <c r="BX81" s="1" t="e">
        <f>IF(OR(ISNA('Reaction Information'!$D$42), $N81 = "", $D$27 = FALSE, 'Reaction Information'!$D$42 = ""), NA(), 24.465)</f>
        <v>#N/A</v>
      </c>
      <c r="BY81" s="8" t="e">
        <f t="shared" si="22"/>
        <v>#N/A</v>
      </c>
      <c r="BZ81" s="8">
        <f>IF(OR(ISBLANK(Input!$BK$4),$D$27=FALSE),NA(),('Reaction Information'!$J$46/10+'Reaction Information'!$K$46*100/(Calculations!$C$12+Calculations!$M81)+('Reaction Information'!$L$46+'Reaction Information'!$M$46*10000/(Calculations!$C$12+Calculations!$M81))/(Calculations!$O81-Calculations!$C$13)-calculateOmega(Calculations!M81,Calculations!N81,Calculations!Q81,'Reaction Information'!$C$46,'Reaction Information'!$P$46*10^5,'Reaction Information'!$Q$46)*Calculations!$U81*10^-6 + (1/$S81 - 1)*calculate_domegadP(Calculations!M81,Calculations!N81,Calculations!Q81,'Reaction Information'!$C$46,'Reaction Information'!$P$46*10^5,'Reaction Information'!$Q$46,$D$20,$D$19=3))*41.84)</f>
        <v>0</v>
      </c>
      <c r="CA81" s="8">
        <f>IF(OR(ISBLANK(Input!$BN$4),$D$27=FALSE),NA(),('Reaction Information'!$J$50/10+'Reaction Information'!$K$50*100/(Calculations!$C$12+Calculations!$M81)+('Reaction Information'!$L$50+'Reaction Information'!$M$50*10000/(Calculations!$C$12+Calculations!$M81))/(Calculations!$O81-Calculations!$C$13)-calculateOmega(Calculations!M81,Calculations!N81,Calculations!Q81,'Reaction Information'!$C$50,'Reaction Information'!$P$50*10^5,'Reaction Information'!$Q$50)*Calculations!$U81*10^-6 + (1/$S81 - 1)*calculate_domegadP(Calculations!M81,Calculations!N81,Calculations!Q81,'Reaction Information'!$C$50,'Reaction Information'!$P$50*10^5,'Reaction Information'!$Q$50,$D$20,$D$19=3))*41.84)</f>
        <v>31.364068986536463</v>
      </c>
      <c r="CB81" s="8" t="e">
        <f>IF(OR(ISBLANK(Input!$BQ$4),$D$27=FALSE),NA(),('Reaction Information'!$J$54/10+'Reaction Information'!$K$54*100/(Calculations!$C$12+Calculations!$M81)+('Reaction Information'!$L$54+'Reaction Information'!$M$54*10000/(Calculations!$C$12+Calculations!$M81))/(Calculations!$O81-Calculations!$C$13)-calculateOmega(Calculations!M81,Calculations!N81,Calculations!Q81,'Reaction Information'!$C$54,'Reaction Information'!$P$54*10^5,'Reaction Information'!$Q$54)*Calculations!$U81*10^-6 + (1/$S81 - 1)*calculate_domegadP(Calculations!M81,Calculations!N81,Calculations!Q81,'Reaction Information'!$C$54,'Reaction Information'!$P$54*10^5,'Reaction Information'!$Q$54,$D$20,$D$19=3))*41.84)</f>
        <v>#N/A</v>
      </c>
      <c r="CC81" s="8" t="e">
        <f>IF(OR(ISBLANK(Input!$BT$4),$D$27=FALSE),NA(),('Reaction Information'!$J$58/10+'Reaction Information'!$K$58*100/(Calculations!$C$12+Calculations!$M81)+('Reaction Information'!$L$58+'Reaction Information'!$M$58*10000/(Calculations!$C$12+Calculations!$M81))/(Calculations!$O81-Calculations!$C$13)-calculateOmega(Calculations!M81,Calculations!N81,Calculations!Q81,'Reaction Information'!$C$58,'Reaction Information'!$P$58*10^5,'Reaction Information'!$Q$58)*Calculations!$U81*10^-6 + (1/$S81 - 1)*calculate_domegadP(Calculations!M81,Calculations!N81,Calculations!Q81,'Reaction Information'!$C$58,'Reaction Information'!$P$58*10^5,'Reaction Information'!$Q$58,$D$20,$D$19=3))*41.84)</f>
        <v>#N/A</v>
      </c>
      <c r="CD81" s="8" t="e">
        <f>IF(OR(ISBLANK(Input!$BW$4),$D$27=FALSE),NA(),('Reaction Information'!$J$62/10+'Reaction Information'!$K$62*100/(Calculations!$C$12+Calculations!$M81)+('Reaction Information'!$L$62+'Reaction Information'!$M$62*10000/(Calculations!$C$12+Calculations!$M81))/(Calculations!$O81-Calculations!$C$13)-calculateOmega(Calculations!M81,Calculations!N81,Calculations!Q81,'Reaction Information'!$C$62,'Reaction Information'!$P$62*10^5,'Reaction Information'!$Q$62)*Calculations!$U81*10^-6 + (1/$S81 - 1)*calculate_domegadP(Calculations!M81,Calculations!N81,Calculations!Q81,'Reaction Information'!$C$62,'Reaction Information'!$P$62*10^5,'Reaction Information'!$Q$62,$D$20,$D$19=3))*41.84)</f>
        <v>#N/A</v>
      </c>
      <c r="CE81" s="8" t="e">
        <f>IF(OR(ISBLANK(Input!$BZ$4),$D$27=FALSE),NA(),('Reaction Information'!$J$66/10+'Reaction Information'!$K$66*100/(Calculations!$C$12+Calculations!$M81)+('Reaction Information'!$L$66+'Reaction Information'!$M$66*10000/(Calculations!$C$12+Calculations!$M81))/(Calculations!$O81-Calculations!$C$13)-calculateOmega(Calculations!M81,Calculations!N81,Calculations!Q81,'Reaction Information'!$C$66,'Reaction Information'!$P$66*10^5,'Reaction Information'!$Q$66)*Calculations!$U81*10^-6 + (1/$S81 - 1)*calculate_domegadP(Calculations!M81,Calculations!N81,Calculations!Q81,'Reaction Information'!$C$66,'Reaction Information'!$P$66*10^5,'Reaction Information'!$Q$66,$D$20,$D$19=3))*41.84)</f>
        <v>#N/A</v>
      </c>
      <c r="CF81" s="31">
        <f>(BS81*Input!$AO$4+BT81*Input!$AR$4+BU81*Input!$AU$4+BV81*Input!$AX$4+IF(ISNA(BW81),0,BW81*Input!$BA$4)+IF(ISNA(BX81),0,BX81*Input!$BD$4)+IF(ISNA(BY81),0,BY81*Input!$BG$4)+IF(ISNA(BZ81),0,BZ81*Input!$BJ$4)+IF(ISNA(CA81),0,CA81*Input!$BM$4)+IF(ISNA(CB81),0,CB81*Input!$BP$4)+IF(ISNA(CC81),0,CC81*Input!$BS$4)+IF(ISNA(CD81),0,CD81*Input!$BV$4)+IF(ISNA(CE81),0,CE81*Input!$BY$4))-(BF81*Input!$B$4+BG81*Input!$E$4+BH81*Input!$H$4+BI81*Input!$K$4+IF(ISNA(BJ81),0,BJ81*Input!$N$4)+IF(ISNA(BK81),0,BK81*Input!$Q$4)+IF(ISNA(BL81),0,BL81*Input!$T$4)+IF(ISNA(BM81),0,BM81*Input!$W$4)+IF(ISNA(BN81),0,BN81*Input!$Z$4)+IF(ISNA(BO81),0,BO81*Input!$AC$4)+IF(ISNA(BP81),0,BP81*Input!$AF$4)+IF(ISNA(BQ81),0,BQ81*Input!$AI$4)+IF(ISNA(BR81),0,BR81*Input!$AL$4))</f>
        <v>-12.270057680497427</v>
      </c>
      <c r="CG81" s="1">
        <f t="shared" si="31"/>
        <v>300</v>
      </c>
      <c r="CH81" s="46">
        <f t="shared" si="32"/>
        <v>30000</v>
      </c>
      <c r="CI81" s="1"/>
    </row>
    <row r="82" spans="1:87" x14ac:dyDescent="0.2">
      <c r="A82" s="1"/>
      <c r="B82" s="1"/>
      <c r="C82" s="1"/>
      <c r="D82" s="1"/>
      <c r="E82" s="1"/>
      <c r="F82" s="2">
        <v>77</v>
      </c>
      <c r="G82" s="1" t="str">
        <f>IF(ISBLANK(Input!CB82), "", Input!CB82*1000)</f>
        <v/>
      </c>
      <c r="H82" s="1" t="str">
        <f>IF(ISBLANK(Input!CC82), "", Input!CC82)</f>
        <v/>
      </c>
      <c r="I82" s="1">
        <f>IF(Input!$CF$5 + Input!$CF$6*(FLOOR((Calculations!$F82-1)/(FLOOR((Input!$CF$12-Input!$CF$10)/Input!$CF$11,1)+1),1)) &gt; Input!$CF$7, "", (Input!$CF$5 + Input!$CF$6*(FLOOR((Calculations!$F82-1)/(FLOOR((Input!$CF$12-Input!$CF$10)/Input!$CF$11,1)+1),1)))*1000)</f>
        <v>30000</v>
      </c>
      <c r="J82" s="1">
        <f>IF(Calculations!I82 = "", "", Input!$CF$10 + Input!$CF$11*(Calculations!$F82-1) - (FLOOR((Input!$CF$12-Input!$CF$10)/Input!$CF$11,1)+1)*Input!$CF$11*FLOOR((Calculations!$F82-1)/(FLOOR((Input!$CF$12-Input!$CF$10)/Input!$CF$11,1)+1),1))</f>
        <v>350</v>
      </c>
      <c r="K82" s="8" t="str">
        <f t="shared" si="33"/>
        <v/>
      </c>
      <c r="L82" s="117" t="str">
        <f>IF(OR(Input!$CJ$5 + Input!$CJ$6*(Calculations!F82-1) &gt; Input!$CJ$7, Input!$CJ$5 + Input!$CJ$6*(Calculations!F82-1) &gt; 350), "", Input!$CJ$5 + Input!$CJ$6*(Calculations!F82-1))</f>
        <v/>
      </c>
      <c r="M82" s="1">
        <f t="shared" si="23"/>
        <v>30000</v>
      </c>
      <c r="N82" s="1">
        <f t="shared" si="24"/>
        <v>350</v>
      </c>
      <c r="O82" s="1">
        <f t="shared" si="19"/>
        <v>623.15</v>
      </c>
      <c r="P82" s="1" t="e">
        <f>IF(OR($D$20=3,AND($D$21=TRUE,M82&lt;1000)),INDEX('Water Density'!$C$6:$CX$120,MATCH(Calculations!N82,'Water Density'!$B$6:$B$120),MATCH(Calculations!M82/1000,'Water Density'!$C$5:$CX$5)),NA())</f>
        <v>#N/A</v>
      </c>
      <c r="Q82" s="182">
        <f>IF(OR($D$20=3,AND($D$21=TRUE,M82&lt;1000)), IF(P82&lt;&gt;0,P82,NA()), calculateDensity(M82,N82,$D$20,0.01,$D$19 = 3))</f>
        <v>1.3177606069481371</v>
      </c>
      <c r="R82" s="1" t="e">
        <f>IF($D$22=5,INDEX('Dielectric Constant'!$C$6:$CX$120,MATCH(Calculations!N82,'Dielectric Constant'!$B$6:$B$120),MATCH(Calculations!M82/1000,'Dielectric Constant'!$C$5:$CX$5)),NA())</f>
        <v>#N/A</v>
      </c>
      <c r="S82" s="58">
        <f>IF($D$22=5, IF(R82&lt;&gt;0,R82,NA()), IF(AND($D$23,M82&lt;=5000,$D$19 &lt;&gt; 3),calculateEpsilon(Q82,N82,1,FALSE),calculateEpsilon(Q82,N82,$D$22,$D$19 = 3)))</f>
        <v>46.617249915175321</v>
      </c>
      <c r="T82" s="1" t="e">
        <f>IF($D$24=3,INDEX('Water Free Energy'!$C$6:$CX$120,MATCH(Calculations!N82,'Water Free Energy'!$B$6:$B$120),MATCH(Calculations!M82/1000,'Water Free Energy'!$C$5:$CX$5)),NA())</f>
        <v>#N/A</v>
      </c>
      <c r="U82" s="179">
        <f>IF($D$27,calculateQ(M82,N82,Q82,$D$20,$D$22,$D$19=3)*10^6,NA())</f>
        <v>0.15442412330948424</v>
      </c>
      <c r="V82"/>
      <c r="W82" s="2">
        <f t="shared" si="25"/>
        <v>30000</v>
      </c>
      <c r="X82" s="1">
        <f t="shared" si="26"/>
        <v>350</v>
      </c>
      <c r="Y82" s="1">
        <f>Results!F84</f>
        <v>0</v>
      </c>
      <c r="Z82" s="1">
        <f>Results!G84</f>
        <v>0</v>
      </c>
      <c r="AA82" s="1">
        <f>Results!H84</f>
        <v>0</v>
      </c>
      <c r="AB82" s="1">
        <f>Results!I84</f>
        <v>0</v>
      </c>
      <c r="AC82" s="1" t="e">
        <f>IF(ISBLANK(Input!$O$4),NA(),'Reaction Information'!$E$5-'Reaction Information'!$G$5*(Calculations!$O82-Calculations!$C$8)+'Reaction Information'!$I$5*(Calculations!$O82-Calculations!$C$8-Calculations!$O82*LN(Calculations!$O82/Calculations!$C$8))+'Reaction Information'!$J$5*0.001/2*(2*Calculations!$O82*Calculations!$C$8-Calculations!$O82^2-Calculations!$C$8^2) + 'Reaction Information'!$K$5*100000*(Calculations!$O82^2 + Calculations!$C$8^2 - 2*Calculations!$O82*Calculations!$C$8)/(2*Calculations!$O82*Calculations!$C$8^2))</f>
        <v>#N/A</v>
      </c>
      <c r="AD82" s="8" t="e">
        <f>IF(ISBLANK(Input!$R$4),NA(),'Reaction Information'!$E$9-'Reaction Information'!$G$9*(Calculations!$O82-Calculations!$C$8)+'Reaction Information'!$I$9*(Calculations!$O82-Calculations!$C$8-Calculations!$O82*LN(Calculations!$O82/Calculations!$C$8))+'Reaction Information'!$J$9*0.001/2*(2*Calculations!$O82*Calculations!$C$8-Calculations!$O82^2-Calculations!$C$8^2) + 'Reaction Information'!$K$9*100000*(Calculations!$O82^2 + Calculations!$C$8^2 - 2*Calculations!$O82*Calculations!$C$8)/(2*Calculations!$O82*Calculations!$C$8^2))</f>
        <v>#N/A</v>
      </c>
      <c r="AE82" s="8">
        <f>IF(AE$5="H2O",IF($D$24=3,IF(T82=0,NA(),T82),calculateGibbsOfWater(M82,N82,$D$24,$D$20,$D$19=3)),NA())</f>
        <v>-52796.59274564412</v>
      </c>
      <c r="AF82" s="8">
        <f>IF(ISBLANK(Input!$X$4),NA(),'Reaction Information'!$E$13-'Reaction Information'!$G$13*(Calculations!O82-Calculations!$C$8)-'Reaction Information'!$N$13*(Calculations!O82*LN(Calculations!O82/Calculations!$C$8)-Calculations!O82+Calculations!$C$8)-'Reaction Information'!$O$13*10^4*(((1/(Calculations!O82-Calculations!$C$13))-(1/(Calculations!$C$8-Calculations!$C$13)))*((Calculations!$C$13-Calculations!O82)/(Calculations!$C$13))-(Calculations!O82/(Calculations!$C$13*Calculations!$C$13))*LN((Calculations!$C$8*(Calculations!O82-Calculations!$C$13))/(Calculations!O82*(Calculations!$C$8-Calculations!$C$13))))+'Reaction Information'!$J$13*10^-1*(Calculations!M82-Calculations!$C$9)+'Reaction Information'!$K$13*10^2*LN((Calculations!$C$12+Calculations!M82)/(Calculations!$C$12+Calculations!$C$9))+(1/(Calculations!O82-Calculations!$C$13))*('Reaction Information'!$L$13*(Calculations!M82-Calculations!$C$9)+'Reaction Information'!$M$13*10^4*LN((Calculations!$C$12+Calculations!M82)/(Calculations!$C$12+Calculations!$C$9)))+calculateOmega(Calculations!M82,Calculations!N82,Calculations!Q82,'Reaction Information'!$C$13,'Reaction Information'!$P$13*10^5,'Reaction Information'!$Q$13)*((1/Calculations!S82)-1)-'Reaction Information'!$P$13*10^5*((1/Calculations!$C$10)-1)+'Reaction Information'!$P$13*10^5*Calculations!$C$14*(Calculations!O82-Calculations!$C$8))</f>
        <v>-82712.185168103155</v>
      </c>
      <c r="AG82" s="8" t="e">
        <f>IF(ISBLANK(Input!$AA$4),NA(),'Reaction Information'!$E$17-'Reaction Information'!$G$17*(Calculations!$O82-Calculations!$C$8)-'Reaction Information'!$N$17*(Calculations!$O82*LN(Calculations!$O82/Calculations!$C$8)-Calculations!$O82+Calculations!$C$8)-'Reaction Information'!$O$17*10^4*(((1/(Calculations!$O82-Calculations!$C$13))-(1/(Calculations!$C$8-Calculations!$C$13)))*((Calculations!$C$13-Calculations!$O82)/(Calculations!$C$13))-(Calculations!$O82/(Calculations!$C$13*Calculations!$C$13))*LN((Calculations!$C$8*(Calculations!$O82-Calculations!$C$13))/(Calculations!$O82*(Calculations!$C$8-Calculations!$C$13))))+'Reaction Information'!$J$17*10^-1*(Calculations!$M82-Calculations!$C$9)+'Reaction Information'!$K$17*10^2*LN((Calculations!$C$12+Calculations!$M82)/(Calculations!$C$12+Calculations!$C$9))+(1/(Calculations!$O82-Calculations!$C$13))*('Reaction Information'!$L$17*(Calculations!$M82-Calculations!$C$9)+'Reaction Information'!$M$17*10^4*LN((Calculations!$C$12+Calculations!$M82)/(Calculations!$C$12+Calculations!$C$9)))+calculateOmega(Calculations!M82,Calculations!N82,Calculations!Q82,'Reaction Information'!$C$17,'Reaction Information'!$P$17*10^5,'Reaction Information'!$Q$17)*((1/Calculations!$S82)-1)-'Reaction Information'!$P$17*10^5*((1/Calculations!$C$10)-1)+'Reaction Information'!$P$17*10^5*Calculations!$C$14*(Calculations!$O82-Calculations!$C$8))</f>
        <v>#N/A</v>
      </c>
      <c r="AH82" s="8" t="e">
        <f>IF(ISBLANK(Input!$AD$4),NA(),'Reaction Information'!$E$21-'Reaction Information'!$G$21*(Calculations!$O82-Calculations!$C$8)-'Reaction Information'!$N$21*(Calculations!$O82*LN(Calculations!$O82/Calculations!$C$8)-Calculations!$O82+Calculations!$C$8)-'Reaction Information'!$O$21*10^4*(((1/(Calculations!$O82-Calculations!$C$13))-(1/(Calculations!$C$8-Calculations!$C$13)))*((Calculations!$C$13-Calculations!$O82)/(Calculations!$C$13))-(Calculations!$O82/(Calculations!$C$13*Calculations!$C$13))*LN((Calculations!$C$8*(Calculations!$O82-Calculations!$C$13))/(Calculations!$O82*(Calculations!$C$8-Calculations!$C$13))))+'Reaction Information'!$J$21*10^-1*(Calculations!$M82-Calculations!$C$9)+'Reaction Information'!$K$21*10^2*LN((Calculations!$C$12+Calculations!$M82)/(Calculations!$C$12+Calculations!$C$9))+(1/(Calculations!$O82-Calculations!$C$13))*('Reaction Information'!$L$21*(Calculations!$M82-Calculations!$C$9)+'Reaction Information'!$M$21*10^4*LN((Calculations!$C$12+Calculations!$M82)/(Calculations!$C$12+Calculations!$C$9)))+calculateOmega(Calculations!M82,Calculations!N82,Calculations!Q82,'Reaction Information'!$C$21,'Reaction Information'!$P$21*10^5,'Reaction Information'!$Q$21)*((1/Calculations!$S82)-1)-'Reaction Information'!$P$21*10^5*((1/Calculations!$C$10)-1)+'Reaction Information'!$P$21*10^5*Calculations!$C$14*(Calculations!$O82-Calculations!$C$8))</f>
        <v>#N/A</v>
      </c>
      <c r="AI82" s="8" t="e">
        <f>IF(ISBLANK(Input!$AG$4),NA(),'Reaction Information'!$E$25-'Reaction Information'!$G$25*(Calculations!$O82-Calculations!$C$8)-'Reaction Information'!$N$25*(Calculations!$O82*LN(Calculations!$O82/Calculations!$C$8)-Calculations!$O82+Calculations!$C$8)-'Reaction Information'!$O$25*10^4*(((1/(Calculations!$O82-Calculations!$C$13))-(1/(Calculations!$C$8-Calculations!$C$13)))*((Calculations!$C$13-Calculations!$O82)/(Calculations!$C$13))-(Calculations!$O82/(Calculations!$C$13*Calculations!$C$13))*LN((Calculations!$C$8*(Calculations!$O82-Calculations!$C$13))/(Calculations!$O82*(Calculations!$C$8-Calculations!$C$13))))+'Reaction Information'!$J$25*10^-1*(Calculations!$M82-Calculations!$C$9)+'Reaction Information'!$K$25*10^2*LN((Calculations!$C$12+Calculations!$M82)/(Calculations!$C$12+Calculations!$C$9))+(1/(Calculations!$O82-Calculations!$C$13))*('Reaction Information'!$L$25*(Calculations!$M82-Calculations!$C$9)+'Reaction Information'!$M$25*10^4*LN((Calculations!$C$12+Calculations!$M82)/(Calculations!$C$12+Calculations!$C$9)))+calculateOmega(Calculations!M82,Calculations!N82,Calculations!Q82,'Reaction Information'!$C$25,'Reaction Information'!$P$25*10^5,'Reaction Information'!$Q$25)*((1/Calculations!$S82)-1)-'Reaction Information'!$P$25*10^5*((1/Calculations!$C$10)-1)+'Reaction Information'!$P$25*10^5*Calculations!$C$14*(Calculations!$O82-Calculations!$C$8))</f>
        <v>#N/A</v>
      </c>
      <c r="AJ82" s="8" t="e">
        <f>IF(ISBLANK(Input!$AJ$4),NA(),'Reaction Information'!$E$29-'Reaction Information'!$G$29*(Calculations!$O82-Calculations!$C$8)-'Reaction Information'!$N$29*(Calculations!$O82*LN(Calculations!$O82/Calculations!$C$8)-Calculations!$O82+Calculations!$C$8)-'Reaction Information'!$O$29*10^4*(((1/(Calculations!$O82-Calculations!$C$13))-(1/(Calculations!$C$8-Calculations!$C$13)))*((Calculations!$C$13-Calculations!$O82)/(Calculations!$C$13))-(Calculations!$O82/(Calculations!$C$13*Calculations!$C$13))*LN((Calculations!$C$8*(Calculations!$O82-Calculations!$C$13))/(Calculations!$O82*(Calculations!$C$8-Calculations!$C$13))))+'Reaction Information'!$J$29*10^-1*(Calculations!$M82-Calculations!$C$9)+'Reaction Information'!$K$29*10^2*LN((Calculations!$C$12+Calculations!$M82)/(Calculations!$C$12+Calculations!$C$9))+(1/(Calculations!$O82-Calculations!$C$13))*('Reaction Information'!$L$29*(Calculations!$M82-Calculations!$C$9)+'Reaction Information'!$M$29*10^4*LN((Calculations!$C$12+Calculations!$M82)/(Calculations!$C$12+Calculations!$C$9)))+calculateOmega(Calculations!M82,Calculations!N82,Calculations!Q82,'Reaction Information'!$C$29,'Reaction Information'!$P$29*10^5,'Reaction Information'!$Q$29)*((1/Calculations!$S82)-1)-'Reaction Information'!$P$29*10^5*((1/Calculations!$C$10)-1)+'Reaction Information'!$P$29*10^5*Calculations!$C$14*(Calculations!$O82-Calculations!$C$8))</f>
        <v>#N/A</v>
      </c>
      <c r="AK82" s="8" t="e">
        <f>IF(ISBLANK(Input!$AM$4),NA(),'Reaction Information'!$E$33-'Reaction Information'!$G$33*(Calculations!$O82-Calculations!$C$8)-'Reaction Information'!$N$33*(Calculations!$O82*LN(Calculations!$O82/Calculations!$C$8)-Calculations!$O82+Calculations!$C$8)-'Reaction Information'!$O$33*10^4*(((1/(Calculations!$O82-Calculations!$C$13))-(1/(Calculations!$C$8-Calculations!$C$13)))*((Calculations!$C$13-Calculations!$O82)/(Calculations!$C$13))-(Calculations!$O82/(Calculations!$C$13*Calculations!$C$13))*LN((Calculations!$C$8*(Calculations!$O82-Calculations!$C$13))/(Calculations!$O82*(Calculations!$C$8-Calculations!$C$13))))+'Reaction Information'!$J$33*10^-1*(Calculations!$M82-Calculations!$C$9)+'Reaction Information'!$K$33*10^2*LN((Calculations!$C$12+Calculations!$M82)/(Calculations!$C$12+Calculations!$C$9))+(1/(Calculations!$O82-Calculations!$C$13))*('Reaction Information'!$L$33*(Calculations!$M82-Calculations!$C$9)+'Reaction Information'!$M$33*10^4*LN((Calculations!$C$12+Calculations!$M82)/(Calculations!$C$12+Calculations!$C$9)))+calculateOmega(Calculations!M82,Calculations!N82,Calculations!Q82,'Reaction Information'!$C$33,'Reaction Information'!$P$33*10^5,'Reaction Information'!$Q$33)*((1/Calculations!$S82)-1)-'Reaction Information'!$P$33*10^5*((1/Calculations!$C$10)-1)+'Reaction Information'!$P$33*10^5*Calculations!$C$14*(Calculations!$O82-Calculations!$C$8))</f>
        <v>#N/A</v>
      </c>
      <c r="AL82" s="1">
        <f>Results!S84</f>
        <v>0</v>
      </c>
      <c r="AM82" s="1">
        <f>Results!T84</f>
        <v>0</v>
      </c>
      <c r="AN82" s="1">
        <f>Results!U84</f>
        <v>0</v>
      </c>
      <c r="AO82" s="1">
        <f>Results!V84</f>
        <v>0</v>
      </c>
      <c r="AP82" s="8" t="e">
        <f>IF(ISBLANK(Input!$BB$4),NA(),'Reaction Information'!$E$38-'Reaction Information'!$G$38*(Calculations!$O82-Calculations!$C$8)+'Reaction Information'!$I$38*(Calculations!$O82-Calculations!$C$8-Calculations!$O82*LN(Calculations!$O82/Calculations!$C$8))+'Reaction Information'!$J$38*0.001/2*(2*Calculations!$O82*Calculations!$C$8-Calculations!$O82^2-Calculations!$C$8^2) + 'Reaction Information'!$K$38*100000*(Calculations!$O82^2 + Calculations!$C$8^2 - 2*Calculations!$O82*Calculations!$C$8)/(2*Calculations!$O82*Calculations!$C$8^2))</f>
        <v>#N/A</v>
      </c>
      <c r="AQ82" s="8" t="e">
        <f>IF(ISBLANK(Input!$BE$4),NA(),'Reaction Information'!$E$42-'Reaction Information'!$G$42*(Calculations!$O82-Calculations!$C$8)+'Reaction Information'!$I$42*(Calculations!$O82-Calculations!$C$8-Calculations!$O82*LN(Calculations!$O82/Calculations!$C$8))+'Reaction Information'!$J$42*0.001/2*(2*Calculations!$O82*Calculations!$C$8-Calculations!$O82^2-Calculations!$C$8^2) + 'Reaction Information'!$K$42*100000*(Calculations!$O82^2 + Calculations!$C$8^2 - 2*Calculations!$O82*Calculations!$C$8)/(2*Calculations!$O82*Calculations!$C$8^2))</f>
        <v>#N/A</v>
      </c>
      <c r="AR82" s="8" t="e">
        <f>IF(AR$5="H2O", IF($D$24=3,IF(T82=0,NA(),T82),calculateGibbsOfWater(M82,N82,$D$24,$D$20,$D$19=3)),NA())</f>
        <v>#N/A</v>
      </c>
      <c r="AS82" s="8">
        <f>IF(ISBLANK(Input!$BK$4),NA(),'Reaction Information'!$E$46-'Reaction Information'!$G$46*(Calculations!O82-Calculations!$C$8)-'Reaction Information'!$N$46*(Calculations!O82*LN(Calculations!O82/Calculations!$C$8)-Calculations!O82+Calculations!$C$8)-'Reaction Information'!$O$46*10^4*(((1/(Calculations!O82-Calculations!$C$13))-(1/(Calculations!$C$8-Calculations!$C$13)))*((Calculations!$C$13-Calculations!O82)/(Calculations!$C$13))-(Calculations!O82/(Calculations!$C$13*Calculations!$C$13))*LN((Calculations!$C$8*(Calculations!O82-Calculations!$C$13))/(Calculations!O82*(Calculations!$C$8-Calculations!$C$13))))+'Reaction Information'!$J$46*10^-1*(Calculations!$M82-Calculations!$C$9)+'Reaction Information'!$K$46*10^2*LN((Calculations!$C$12+Calculations!$M82)/(Calculations!$C$12+Calculations!$C$9))+(1/(Calculations!O82-Calculations!$C$13))*('Reaction Information'!$L$46*(Calculations!$M82-Calculations!$C$9)+'Reaction Information'!$M$46*10^4*LN((Calculations!$C$12+Calculations!$M82)/(Calculations!$C$12+Calculations!$C$9)))+calculateOmega(Calculations!M82,Calculations!N82,Calculations!Q82,'Reaction Information'!$C$46,'Reaction Information'!$P$46*10^5,'Reaction Information'!$Q$46)*((1/Calculations!S82)-1)-'Reaction Information'!$P$46*10^5*((1/Calculations!$C$10)-1)+'Reaction Information'!$P$46*10^5*Calculations!$C$14*(Calculations!O82-Calculations!$C$8))</f>
        <v>0</v>
      </c>
      <c r="AT82" s="8">
        <f>IF(ISBLANK(Input!$BN$4),NA(),'Reaction Information'!$E$50-'Reaction Information'!$G$50*(Calculations!O82-Calculations!$C$8)-'Reaction Information'!$N$50*(Calculations!O82*LN(Calculations!O82/Calculations!$C$8)-Calculations!O82+Calculations!$C$8)-'Reaction Information'!$O$50*10^4*(((1/(Calculations!O82-Calculations!$C$13))-(1/(Calculations!$C$8-Calculations!$C$13)))*((Calculations!$C$13-Calculations!O82)/(Calculations!$C$13))-(Calculations!O82/(Calculations!$C$13*Calculations!$C$13))*LN((Calculations!$C$8*(Calculations!O82-Calculations!$C$13))/(Calculations!O82*(Calculations!$C$8-Calculations!$C$13))))+'Reaction Information'!$J$50*10^-1*(Calculations!$M82-Calculations!$C$9)+'Reaction Information'!$K$50*10^2*LN((Calculations!$C$12+Calculations!$M82)/(Calculations!$C$12+Calculations!$C$9))+(1/(Calculations!O82-Calculations!$C$13))*('Reaction Information'!$L$50*(Calculations!$M82-Calculations!$C$9)+'Reaction Information'!$M$50*10^4*LN((Calculations!$C$12+Calculations!$M82)/(Calculations!$C$12+Calculations!$C$9)))+calculateOmega(Calculations!M82,Calculations!N82,Calculations!Q82,'Reaction Information'!$C$50,'Reaction Information'!$P$50*10^5,'Reaction Information'!$Q$50)*((1/Calculations!S82)-1)-'Reaction Information'!$P$50*10^5*((1/Calculations!$C$10)-1)+'Reaction Information'!$P$50*10^5*Calculations!$C$14*(Calculations!O82-Calculations!$C$8))</f>
        <v>-127330.81653057913</v>
      </c>
      <c r="AU82" s="8" t="e">
        <f>IF(ISBLANK(Input!$BQ$4),NA(),'Reaction Information'!$E$54-'Reaction Information'!$G$54*(Calculations!$O82-Calculations!$C$8)-'Reaction Information'!$N$54*(Calculations!$O82*LN(Calculations!$O82/Calculations!$C$8)-Calculations!$O82+Calculations!$C$8)-'Reaction Information'!$O$54*10^4*(((1/(Calculations!$O82-Calculations!$C$13))-(1/(Calculations!$C$8-Calculations!$C$13)))*((Calculations!$C$13-Calculations!$O82)/(Calculations!$C$13))-(Calculations!$O82/(Calculations!$C$13*Calculations!$C$13))*LN((Calculations!$C$8*(Calculations!$O82-Calculations!$C$13))/(Calculations!$O82*(Calculations!$C$8-Calculations!$C$13))))+'Reaction Information'!$J$54*10^-1*(Calculations!$M82-Calculations!$C$9)+'Reaction Information'!$K$54*10^2*LN((Calculations!$C$12+Calculations!$M82)/(Calculations!$C$12+Calculations!$C$9))+(1/(Calculations!$O82-Calculations!$C$13))*('Reaction Information'!$L$54*(Calculations!$M82-Calculations!$C$9)+'Reaction Information'!$M$54*10^4*LN((Calculations!$C$12+Calculations!$M82)/(Calculations!$C$12+Calculations!$C$9)))+calculateOmega(Calculations!M82,Calculations!N82,Calculations!Q82,'Reaction Information'!$C$54,'Reaction Information'!$P$54*10^5,'Reaction Information'!$Q$54)*((1/Calculations!$S82)-1)-'Reaction Information'!$P$54*10^5*((1/Calculations!$C$10)-1)+'Reaction Information'!$P$54*10^5*Calculations!$C$14*(Calculations!$O82-Calculations!$C$8))</f>
        <v>#N/A</v>
      </c>
      <c r="AV82" s="8" t="e">
        <f>IF(ISBLANK(Input!$BT$4),NA(),'Reaction Information'!$E$58-'Reaction Information'!$G$58*(Calculations!$O82-Calculations!$C$8)-'Reaction Information'!$N$58*(Calculations!$O82*LN(Calculations!$O82/Calculations!$C$8)-Calculations!$O82+Calculations!$C$8)-'Reaction Information'!$O$58*10^4*(((1/(Calculations!$O82-Calculations!$C$13))-(1/(Calculations!$C$8-Calculations!$C$13)))*((Calculations!$C$13-Calculations!$O82)/(Calculations!$C$13))-(Calculations!$O82/(Calculations!$C$13*Calculations!$C$13))*LN((Calculations!$C$8*(Calculations!$O82-Calculations!$C$13))/(Calculations!$O82*(Calculations!$C$8-Calculations!$C$13))))+'Reaction Information'!$J$58*10^-1*(Calculations!$M82-Calculations!$C$9)+'Reaction Information'!$K$58*10^2*LN((Calculations!$C$12+Calculations!$M82)/(Calculations!$C$12+Calculations!$C$9))+(1/(Calculations!$O82-Calculations!$C$13))*('Reaction Information'!$L$58*(Calculations!$M82-Calculations!$C$9)+'Reaction Information'!$M$58*10^4*LN((Calculations!$C$12+Calculations!$M82)/(Calculations!$C$12+Calculations!$C$9)))+calculateOmega(Calculations!M82,Calculations!N82,Calculations!Q82,'Reaction Information'!$C$58,'Reaction Information'!$P$58*10^5,'Reaction Information'!$Q$58)*((1/Calculations!$S82)-1)-'Reaction Information'!$P$58*10^5*((1/Calculations!$C$10)-1)+'Reaction Information'!$P$58*10^5*Calculations!$C$14*(Calculations!$O82-Calculations!$C$8))</f>
        <v>#N/A</v>
      </c>
      <c r="AW82" s="8" t="e">
        <f>IF(ISBLANK(Input!$BW$4),NA(),'Reaction Information'!$E$62-'Reaction Information'!$G$62*(Calculations!$O82-Calculations!$C$8)-'Reaction Information'!$N$62*(Calculations!$O82*LN(Calculations!$O82/Calculations!$C$8)-Calculations!$O82+Calculations!$C$8)-'Reaction Information'!$O$62*10^4*(((1/(Calculations!$O82-Calculations!$C$13))-(1/(Calculations!$C$8-Calculations!$C$13)))*((Calculations!$C$13-Calculations!$O82)/(Calculations!$C$13))-(Calculations!$O82/(Calculations!$C$13*Calculations!$C$13))*LN((Calculations!$C$8*(Calculations!$O82-Calculations!$C$13))/(Calculations!$O82*(Calculations!$C$8-Calculations!$C$13))))+'Reaction Information'!$J$62*10^-1*(Calculations!$M82-Calculations!$C$9)+'Reaction Information'!$K$62*10^2*LN((Calculations!$C$12+Calculations!$M82)/(Calculations!$C$12+Calculations!$C$9))+(1/(Calculations!$O82-Calculations!$C$13))*('Reaction Information'!$L$62*(Calculations!$M82-Calculations!$C$9)+'Reaction Information'!$M$62*10^4*LN((Calculations!$C$12+Calculations!$M82)/(Calculations!$C$12+Calculations!$C$9)))+calculateOmega(Calculations!M82,Calculations!N82,Calculations!Q82,'Reaction Information'!$C$62,'Reaction Information'!$P$62*10^5,'Reaction Information'!$Q$62)*((1/Calculations!$S82)-1)-'Reaction Information'!$P$62*10^5*((1/Calculations!$C$10)-1)+'Reaction Information'!$P$62*10^5*Calculations!$C$14*(Calculations!$O82-Calculations!$C$8))</f>
        <v>#N/A</v>
      </c>
      <c r="AX82" s="8" t="e">
        <f>IF(ISBLANK(Input!$BZ$4),NA(),'Reaction Information'!$E$66-'Reaction Information'!$G$66*(Calculations!$O82-Calculations!$C$8)-'Reaction Information'!$N$66*(Calculations!$O82*LN(Calculations!$O82/Calculations!$C$8)-Calculations!$O82+Calculations!$C$8)-'Reaction Information'!$O$66*10^4*(((1/(Calculations!$O82-Calculations!$C$13))-(1/(Calculations!$C$8-Calculations!$C$13)))*((Calculations!$C$13-Calculations!$O82)/(Calculations!$C$13))-(Calculations!$O82/(Calculations!$C$13*Calculations!$C$13))*LN((Calculations!$C$8*(Calculations!$O82-Calculations!$C$13))/(Calculations!$O82*(Calculations!$C$8-Calculations!$C$13))))+'Reaction Information'!$J$66*10^-1*(Calculations!$M82-Calculations!$C$9)+'Reaction Information'!$K$66*10^2*LN((Calculations!$C$12+Calculations!$M82)/(Calculations!$C$12+Calculations!$C$9))+(1/(Calculations!$O82-Calculations!$C$13))*('Reaction Information'!$L$66*(Calculations!$M82-Calculations!$C$9)+'Reaction Information'!$M$66*10^4*LN((Calculations!$C$12+Calculations!$M82)/(Calculations!$C$12+Calculations!$C$9)))+calculateOmega(Calculations!M82,Calculations!N82,Calculations!Q82,'Reaction Information'!$C$66,'Reaction Information'!$P$66*10^5,'Reaction Information'!$Q$66)*((1/Calculations!$S82)-1)-'Reaction Information'!$P$66*10^5*((1/Calculations!$C$10)-1)+'Reaction Information'!$P$66*10^5*Calculations!$C$14*(Calculations!$O82-Calculations!$C$8))</f>
        <v>#N/A</v>
      </c>
      <c r="AY82" s="31">
        <f>(AL82*Input!$AO$4+AM82*Input!$AR$4+AN82*Input!$AU$4+AO82*Input!$AX$4+IF(ISNA(AP82),0,AP82*Input!$BA$4)+IF(ISNA(AQ82),0,AQ82*Input!$BD$4)+IF(ISNA(AR82),0,AR82*Input!$BG$4)+IF(ISNA(AS82),0,AS82*Input!$BJ$4)+IF(ISNA(AT82),0,AT82*Input!$BM$4)+IF(ISNA(AU82),0,AU82*Input!$BP$4)+IF(ISNA(AV82),0,AV82*Input!$BS$4)+IF(ISNA(AW82),0,AW82*Input!$BV$4)+IF(ISNA(AX82),0,AX82*Input!$BY$4))-(Y82*Input!$B$4+Z82*Input!$E$4+AA82*Input!$H$4+AB82*Input!$K$4+IF(ISNA(AC82),0,AC82*Input!$N$4)+IF(ISNA(AD82),0,AD82*Input!$Q$4)+IF(ISNA(AE82),0,AE82*Input!$T$4)+IF(ISNA(AF82),0,AF82*Input!$W$4)+IF(ISNA(AG82),0,AG82*Input!$Z$4)+IF(ISNA(AH82),0,AH82*Input!$AC$4)+IF(ISNA(AI82),0,AI82*Input!$AF$4)+IF(ISNA(AJ82),0,AJ82*Input!$AI$4)+IF(ISNA(AK82),0,AK82*Input!$AL$4))</f>
        <v>8177.9613831681345</v>
      </c>
      <c r="AZ82" s="42">
        <f t="shared" si="20"/>
        <v>-2.8700160778469401</v>
      </c>
      <c r="BA82" s="1">
        <f t="shared" si="27"/>
        <v>350</v>
      </c>
      <c r="BB82" s="46">
        <f t="shared" si="28"/>
        <v>30000</v>
      </c>
      <c r="BC82" s="1"/>
      <c r="BD82" s="2">
        <f t="shared" si="29"/>
        <v>30000</v>
      </c>
      <c r="BE82" s="46">
        <f t="shared" si="30"/>
        <v>350</v>
      </c>
      <c r="BF82" s="1">
        <f>Results!AJ84</f>
        <v>0</v>
      </c>
      <c r="BG82" s="1">
        <f>Results!AK84</f>
        <v>0</v>
      </c>
      <c r="BH82" s="1">
        <f>Results!AL84</f>
        <v>0</v>
      </c>
      <c r="BI82" s="1">
        <f>Results!AM84</f>
        <v>0</v>
      </c>
      <c r="BJ82" s="1" t="e">
        <f>IF(OR(ISNA('Reaction Information'!$D$5), $N82 = "", $D$27 = FALSE, 'Reaction Information'!$D$5 = ""), NA(), 24.465)</f>
        <v>#N/A</v>
      </c>
      <c r="BK82" s="1" t="e">
        <f>IF(OR(ISNA('Reaction Information'!$D$9), $N82 = "", $D$27 = FALSE, 'Reaction Information'!$D$9 = ""), NA(), 24.465)</f>
        <v>#N/A</v>
      </c>
      <c r="BL82" s="8">
        <f t="shared" si="21"/>
        <v>13.671132605581846</v>
      </c>
      <c r="BM82" s="8">
        <f>IF(OR(ISBLANK(Input!$X$4),$D$27=FALSE),NA(),('Reaction Information'!$J$13/10+'Reaction Information'!$K$13*100/(Calculations!$C$12+Calculations!$M82)+('Reaction Information'!$L$13+'Reaction Information'!$M$13*10^4/(Calculations!$C$12+Calculations!$M82))/(Calculations!$O82-Calculations!$C$13) -calculateOmega(Calculations!$M82,Calculations!$N82,Calculations!$Q82,'Reaction Information'!$C$13,'Reaction Information'!$P$13*10^5,'Reaction Information'!$Q$13)*Calculations!$U82*10^-6 + (1/$S82 - 1)*calculate_domegadP(Calculations!$M82,Calculations!$N82,Calculations!$Q82,'Reaction Information'!$C$13,'Reaction Information'!$P$13*10^5,'Reaction Information'!$Q$13,$D$20,$D$19=3))*41.84)</f>
        <v>30.161668096106698</v>
      </c>
      <c r="BN82" s="8" t="e">
        <f>IF(OR(ISBLANK(Input!$AA$4),$D$27=FALSE),NA(),('Reaction Information'!$J$17/10+'Reaction Information'!$K$17*100/(Calculations!$C$12+Calculations!$M82)+('Reaction Information'!$L$17+'Reaction Information'!$M$17*10000/(Calculations!$C$12+Calculations!$M82))/(Calculations!$O82-Calculations!$C$13)-calculateOmega(Calculations!M82,Calculations!N82,Calculations!Q82,'Reaction Information'!$C$17,'Reaction Information'!$P$17*10^5,'Reaction Information'!$Q$17)*Calculations!$U82*10^-6 + (1/$S82 - 1)*calculate_domegadP(Calculations!M82,Calculations!N82,Calculations!Q82,'Reaction Information'!$C$17,'Reaction Information'!$P$17*10^5,'Reaction Information'!$Q$17,$D$20,$D$19=3))*41.84)</f>
        <v>#N/A</v>
      </c>
      <c r="BO82" s="8" t="e">
        <f>IF(OR(ISBLANK(Input!$AD$4),$D$27=FALSE),NA(),('Reaction Information'!$J$21/10+'Reaction Information'!$K$21*100/(Calculations!$C$12+Calculations!$M82)+('Reaction Information'!$L$21+'Reaction Information'!$M$21*10000/(Calculations!$C$12+Calculations!$M82))/(Calculations!$O82-Calculations!$C$13)-calculateOmega(Calculations!M82,Calculations!N82,Calculations!Q82,'Reaction Information'!$C$21,'Reaction Information'!$P$21*10^5,'Reaction Information'!$Q$21)*Calculations!$U82*10^-6 + (1/$S82 - 1)*calculate_domegadP(Calculations!M82,Calculations!N82,Calculations!Q82,'Reaction Information'!$C$21,'Reaction Information'!$P$21*10^5,'Reaction Information'!$Q$21,$D$20,$D$19=3))*41.84)</f>
        <v>#N/A</v>
      </c>
      <c r="BP82" s="8" t="e">
        <f>IF(OR(ISBLANK(Input!$AG$4),$D$27=FALSE),NA(),('Reaction Information'!$J$25/10+'Reaction Information'!$K$25*100/(Calculations!$C$12+Calculations!$M82)+('Reaction Information'!$L$25+'Reaction Information'!$M$25*10000/(Calculations!$C$12+Calculations!$M82))/(Calculations!$O82-Calculations!$C$13)-calculateOmega(Calculations!M82,Calculations!N82,Calculations!Q82,'Reaction Information'!$C$25,'Reaction Information'!$P$25*10^5,'Reaction Information'!$Q$25)*Calculations!$U82*10^-6 + (1/$S82 - 1)*calculate_domegadP(Calculations!M82,Calculations!N82,Calculations!Q82,'Reaction Information'!$C$25,'Reaction Information'!$P$25*10^5,'Reaction Information'!$Q$25,$D$20,$D$19=3))*41.84)</f>
        <v>#N/A</v>
      </c>
      <c r="BQ82" s="8" t="e">
        <f>IF(OR(ISBLANK(Input!$AJ$4),$D$27=FALSE),NA(),('Reaction Information'!$J$29/10+'Reaction Information'!$K$29*100/(Calculations!$C$12+Calculations!$M82)+('Reaction Information'!$L$29+'Reaction Information'!$M$29*10000/(Calculations!$C$12+Calculations!$M82))/(Calculations!$O82-Calculations!$C$13)-calculateOmega(Calculations!M82,Calculations!N82,Calculations!Q82,'Reaction Information'!$C$29,'Reaction Information'!$P$29*10^5,'Reaction Information'!$Q$29)*Calculations!$U82*10^-6 + (1/$S82 - 1)*calculate_domegadP(Calculations!M82,Calculations!N82,Calculations!Q82,'Reaction Information'!$C$29,'Reaction Information'!$P$29*10^5,'Reaction Information'!$Q$29,$D$20,$D$19=3))*41.84)</f>
        <v>#N/A</v>
      </c>
      <c r="BR82" s="8" t="e">
        <f>IF(OR(ISBLANK(Input!$AM$4),$D$27=FALSE),NA(),('Reaction Information'!$J$33/10+'Reaction Information'!$K$33*100/(Calculations!$C$12+Calculations!$M82)+('Reaction Information'!$L$33+'Reaction Information'!$M$33*10000/(Calculations!$C$12+Calculations!$M82))/(Calculations!$O82-Calculations!$C$13)-calculateOmega(Calculations!M82,Calculations!N82,Calculations!Q82,'Reaction Information'!$C$33,'Reaction Information'!$P$33*10^5,'Reaction Information'!$Q$33)*Calculations!$U82*10^-6 + (1/$S82 - 1)*calculate_domegadP(Calculations!M82,Calculations!N82,Calculations!Q82,'Reaction Information'!$C$33,'Reaction Information'!$P$33*10^5,'Reaction Information'!$Q$33,$D$20,$D$19=3))*41.84)</f>
        <v>#N/A</v>
      </c>
      <c r="BS82" s="1">
        <f>Results!AW84</f>
        <v>0</v>
      </c>
      <c r="BT82" s="1">
        <f>Results!AX84</f>
        <v>0</v>
      </c>
      <c r="BU82" s="1">
        <f>Results!AY84</f>
        <v>0</v>
      </c>
      <c r="BV82" s="1">
        <f>Results!AZ84</f>
        <v>0</v>
      </c>
      <c r="BW82" s="1" t="e">
        <f>IF(OR(ISNA('Reaction Information'!$D$38), $N82 = "", $D$27 = FALSE, 'Reaction Information'!$D$38 = ""), NA(), 24.465)</f>
        <v>#N/A</v>
      </c>
      <c r="BX82" s="1" t="e">
        <f>IF(OR(ISNA('Reaction Information'!$D$42), $N82 = "", $D$27 = FALSE, 'Reaction Information'!$D$42 = ""), NA(), 24.465)</f>
        <v>#N/A</v>
      </c>
      <c r="BY82" s="8" t="e">
        <f t="shared" si="22"/>
        <v>#N/A</v>
      </c>
      <c r="BZ82" s="8">
        <f>IF(OR(ISBLANK(Input!$BK$4),$D$27=FALSE),NA(),('Reaction Information'!$J$46/10+'Reaction Information'!$K$46*100/(Calculations!$C$12+Calculations!$M82)+('Reaction Information'!$L$46+'Reaction Information'!$M$46*10000/(Calculations!$C$12+Calculations!$M82))/(Calculations!$O82-Calculations!$C$13)-calculateOmega(Calculations!M82,Calculations!N82,Calculations!Q82,'Reaction Information'!$C$46,'Reaction Information'!$P$46*10^5,'Reaction Information'!$Q$46)*Calculations!$U82*10^-6 + (1/$S82 - 1)*calculate_domegadP(Calculations!M82,Calculations!N82,Calculations!Q82,'Reaction Information'!$C$46,'Reaction Information'!$P$46*10^5,'Reaction Information'!$Q$46,$D$20,$D$19=3))*41.84)</f>
        <v>0</v>
      </c>
      <c r="CA82" s="8">
        <f>IF(OR(ISBLANK(Input!$BN$4),$D$27=FALSE),NA(),('Reaction Information'!$J$50/10+'Reaction Information'!$K$50*100/(Calculations!$C$12+Calculations!$M82)+('Reaction Information'!$L$50+'Reaction Information'!$M$50*10000/(Calculations!$C$12+Calculations!$M82))/(Calculations!$O82-Calculations!$C$13)-calculateOmega(Calculations!M82,Calculations!N82,Calculations!Q82,'Reaction Information'!$C$50,'Reaction Information'!$P$50*10^5,'Reaction Information'!$Q$50)*Calculations!$U82*10^-6 + (1/$S82 - 1)*calculate_domegadP(Calculations!M82,Calculations!N82,Calculations!Q82,'Reaction Information'!$C$50,'Reaction Information'!$P$50*10^5,'Reaction Information'!$Q$50,$D$20,$D$19=3))*41.84)</f>
        <v>31.274921067328066</v>
      </c>
      <c r="CB82" s="8" t="e">
        <f>IF(OR(ISBLANK(Input!$BQ$4),$D$27=FALSE),NA(),('Reaction Information'!$J$54/10+'Reaction Information'!$K$54*100/(Calculations!$C$12+Calculations!$M82)+('Reaction Information'!$L$54+'Reaction Information'!$M$54*10000/(Calculations!$C$12+Calculations!$M82))/(Calculations!$O82-Calculations!$C$13)-calculateOmega(Calculations!M82,Calculations!N82,Calculations!Q82,'Reaction Information'!$C$54,'Reaction Information'!$P$54*10^5,'Reaction Information'!$Q$54)*Calculations!$U82*10^-6 + (1/$S82 - 1)*calculate_domegadP(Calculations!M82,Calculations!N82,Calculations!Q82,'Reaction Information'!$C$54,'Reaction Information'!$P$54*10^5,'Reaction Information'!$Q$54,$D$20,$D$19=3))*41.84)</f>
        <v>#N/A</v>
      </c>
      <c r="CC82" s="8" t="e">
        <f>IF(OR(ISBLANK(Input!$BT$4),$D$27=FALSE),NA(),('Reaction Information'!$J$58/10+'Reaction Information'!$K$58*100/(Calculations!$C$12+Calculations!$M82)+('Reaction Information'!$L$58+'Reaction Information'!$M$58*10000/(Calculations!$C$12+Calculations!$M82))/(Calculations!$O82-Calculations!$C$13)-calculateOmega(Calculations!M82,Calculations!N82,Calculations!Q82,'Reaction Information'!$C$58,'Reaction Information'!$P$58*10^5,'Reaction Information'!$Q$58)*Calculations!$U82*10^-6 + (1/$S82 - 1)*calculate_domegadP(Calculations!M82,Calculations!N82,Calculations!Q82,'Reaction Information'!$C$58,'Reaction Information'!$P$58*10^5,'Reaction Information'!$Q$58,$D$20,$D$19=3))*41.84)</f>
        <v>#N/A</v>
      </c>
      <c r="CD82" s="8" t="e">
        <f>IF(OR(ISBLANK(Input!$BW$4),$D$27=FALSE),NA(),('Reaction Information'!$J$62/10+'Reaction Information'!$K$62*100/(Calculations!$C$12+Calculations!$M82)+('Reaction Information'!$L$62+'Reaction Information'!$M$62*10000/(Calculations!$C$12+Calculations!$M82))/(Calculations!$O82-Calculations!$C$13)-calculateOmega(Calculations!M82,Calculations!N82,Calculations!Q82,'Reaction Information'!$C$62,'Reaction Information'!$P$62*10^5,'Reaction Information'!$Q$62)*Calculations!$U82*10^-6 + (1/$S82 - 1)*calculate_domegadP(Calculations!M82,Calculations!N82,Calculations!Q82,'Reaction Information'!$C$62,'Reaction Information'!$P$62*10^5,'Reaction Information'!$Q$62,$D$20,$D$19=3))*41.84)</f>
        <v>#N/A</v>
      </c>
      <c r="CE82" s="8" t="e">
        <f>IF(OR(ISBLANK(Input!$BZ$4),$D$27=FALSE),NA(),('Reaction Information'!$J$66/10+'Reaction Information'!$K$66*100/(Calculations!$C$12+Calculations!$M82)+('Reaction Information'!$L$66+'Reaction Information'!$M$66*10000/(Calculations!$C$12+Calculations!$M82))/(Calculations!$O82-Calculations!$C$13)-calculateOmega(Calculations!M82,Calculations!N82,Calculations!Q82,'Reaction Information'!$C$66,'Reaction Information'!$P$66*10^5,'Reaction Information'!$Q$66)*Calculations!$U82*10^-6 + (1/$S82 - 1)*calculate_domegadP(Calculations!M82,Calculations!N82,Calculations!Q82,'Reaction Information'!$C$66,'Reaction Information'!$P$66*10^5,'Reaction Information'!$Q$66,$D$20,$D$19=3))*41.84)</f>
        <v>#N/A</v>
      </c>
      <c r="CF82" s="31">
        <f>(BS82*Input!$AO$4+BT82*Input!$AR$4+BU82*Input!$AU$4+BV82*Input!$AX$4+IF(ISNA(BW82),0,BW82*Input!$BA$4)+IF(ISNA(BX82),0,BX82*Input!$BD$4)+IF(ISNA(BY82),0,BY82*Input!$BG$4)+IF(ISNA(BZ82),0,BZ82*Input!$BJ$4)+IF(ISNA(CA82),0,CA82*Input!$BM$4)+IF(ISNA(CB82),0,CB82*Input!$BP$4)+IF(ISNA(CC82),0,CC82*Input!$BS$4)+IF(ISNA(CD82),0,CD82*Input!$BV$4)+IF(ISNA(CE82),0,CE82*Input!$BY$4))-(BF82*Input!$B$4+BG82*Input!$E$4+BH82*Input!$H$4+BI82*Input!$K$4+IF(ISNA(BJ82),0,BJ82*Input!$N$4)+IF(ISNA(BK82),0,BK82*Input!$Q$4)+IF(ISNA(BL82),0,BL82*Input!$T$4)+IF(ISNA(BM82),0,BM82*Input!$W$4)+IF(ISNA(BN82),0,BN82*Input!$Z$4)+IF(ISNA(BO82),0,BO82*Input!$AC$4)+IF(ISNA(BP82),0,BP82*Input!$AF$4)+IF(ISNA(BQ82),0,BQ82*Input!$AI$4)+IF(ISNA(BR82),0,BR82*Input!$AL$4))</f>
        <v>-12.557879634360475</v>
      </c>
      <c r="CG82" s="1">
        <f t="shared" si="31"/>
        <v>350</v>
      </c>
      <c r="CH82" s="46">
        <f t="shared" si="32"/>
        <v>30000</v>
      </c>
      <c r="CI82" s="1"/>
    </row>
    <row r="83" spans="1:87" x14ac:dyDescent="0.2">
      <c r="A83" s="1"/>
      <c r="B83" s="1"/>
      <c r="C83" s="1"/>
      <c r="D83" s="1"/>
      <c r="E83" s="1"/>
      <c r="F83" s="2">
        <v>78</v>
      </c>
      <c r="G83" s="1" t="str">
        <f>IF(ISBLANK(Input!CB83), "", Input!CB83*1000)</f>
        <v/>
      </c>
      <c r="H83" s="1" t="str">
        <f>IF(ISBLANK(Input!CC83), "", Input!CC83)</f>
        <v/>
      </c>
      <c r="I83" s="1">
        <f>IF(Input!$CF$5 + Input!$CF$6*(FLOOR((Calculations!$F83-1)/(FLOOR((Input!$CF$12-Input!$CF$10)/Input!$CF$11,1)+1),1)) &gt; Input!$CF$7, "", (Input!$CF$5 + Input!$CF$6*(FLOOR((Calculations!$F83-1)/(FLOOR((Input!$CF$12-Input!$CF$10)/Input!$CF$11,1)+1),1)))*1000)</f>
        <v>30000</v>
      </c>
      <c r="J83" s="1">
        <f>IF(Calculations!I83 = "", "", Input!$CF$10 + Input!$CF$11*(Calculations!$F83-1) - (FLOOR((Input!$CF$12-Input!$CF$10)/Input!$CF$11,1)+1)*Input!$CF$11*FLOOR((Calculations!$F83-1)/(FLOOR((Input!$CF$12-Input!$CF$10)/Input!$CF$11,1)+1),1))</f>
        <v>400</v>
      </c>
      <c r="K83" s="8" t="str">
        <f t="shared" si="33"/>
        <v/>
      </c>
      <c r="L83" s="117" t="str">
        <f>IF(OR(Input!$CJ$5 + Input!$CJ$6*(Calculations!F83-1) &gt; Input!$CJ$7, Input!$CJ$5 + Input!$CJ$6*(Calculations!F83-1) &gt; 350), "", Input!$CJ$5 + Input!$CJ$6*(Calculations!F83-1))</f>
        <v/>
      </c>
      <c r="M83" s="1">
        <f t="shared" si="23"/>
        <v>30000</v>
      </c>
      <c r="N83" s="1">
        <f t="shared" si="24"/>
        <v>400</v>
      </c>
      <c r="O83" s="1">
        <f t="shared" si="19"/>
        <v>673.15</v>
      </c>
      <c r="P83" s="1" t="e">
        <f>IF(OR($D$20=3,AND($D$21=TRUE,M83&lt;1000)),INDEX('Water Density'!$C$6:$CX$120,MATCH(Calculations!N83,'Water Density'!$B$6:$B$120),MATCH(Calculations!M83/1000,'Water Density'!$C$5:$CX$5)),NA())</f>
        <v>#N/A</v>
      </c>
      <c r="Q83" s="182">
        <f>IF(OR($D$20=3,AND($D$21=TRUE,M83&lt;1000)), IF(P83&lt;&gt;0,P83,NA()), calculateDensity(M83,N83,$D$20,0.01,$D$19 = 3))</f>
        <v>1.3014221450996404</v>
      </c>
      <c r="R83" s="1" t="e">
        <f>IF($D$22=5,INDEX('Dielectric Constant'!$C$6:$CX$120,MATCH(Calculations!N83,'Dielectric Constant'!$B$6:$B$120),MATCH(Calculations!M83/1000,'Dielectric Constant'!$C$5:$CX$5)),NA())</f>
        <v>#N/A</v>
      </c>
      <c r="S83" s="58">
        <f>IF($D$22=5, IF(R83&lt;&gt;0,R83,NA()), IF(AND($D$23,M83&lt;=5000,$D$19 &lt;&gt; 3),calculateEpsilon(Q83,N83,1,FALSE),calculateEpsilon(Q83,N83,$D$22,$D$19 = 3)))</f>
        <v>41.811914247554199</v>
      </c>
      <c r="T83" s="1" t="e">
        <f>IF($D$24=3,INDEX('Water Free Energy'!$C$6:$CX$120,MATCH(Calculations!N83,'Water Free Energy'!$B$6:$B$120),MATCH(Calculations!M83/1000,'Water Free Energy'!$C$5:$CX$5)),NA())</f>
        <v>#N/A</v>
      </c>
      <c r="U83" s="179">
        <f>IF($D$27,calculateQ(M83,N83,Q83,$D$20,$D$22,$D$19=3)*10^6,NA())</f>
        <v>0.17280558735750051</v>
      </c>
      <c r="V83"/>
      <c r="W83" s="2">
        <f t="shared" si="25"/>
        <v>30000</v>
      </c>
      <c r="X83" s="1">
        <f t="shared" si="26"/>
        <v>400</v>
      </c>
      <c r="Y83" s="1">
        <f>Results!F85</f>
        <v>0</v>
      </c>
      <c r="Z83" s="1">
        <f>Results!G85</f>
        <v>0</v>
      </c>
      <c r="AA83" s="1">
        <f>Results!H85</f>
        <v>0</v>
      </c>
      <c r="AB83" s="1">
        <f>Results!I85</f>
        <v>0</v>
      </c>
      <c r="AC83" s="1" t="e">
        <f>IF(ISBLANK(Input!$O$4),NA(),'Reaction Information'!$E$5-'Reaction Information'!$G$5*(Calculations!$O83-Calculations!$C$8)+'Reaction Information'!$I$5*(Calculations!$O83-Calculations!$C$8-Calculations!$O83*LN(Calculations!$O83/Calculations!$C$8))+'Reaction Information'!$J$5*0.001/2*(2*Calculations!$O83*Calculations!$C$8-Calculations!$O83^2-Calculations!$C$8^2) + 'Reaction Information'!$K$5*100000*(Calculations!$O83^2 + Calculations!$C$8^2 - 2*Calculations!$O83*Calculations!$C$8)/(2*Calculations!$O83*Calculations!$C$8^2))</f>
        <v>#N/A</v>
      </c>
      <c r="AD83" s="8" t="e">
        <f>IF(ISBLANK(Input!$R$4),NA(),'Reaction Information'!$E$9-'Reaction Information'!$G$9*(Calculations!$O83-Calculations!$C$8)+'Reaction Information'!$I$9*(Calculations!$O83-Calculations!$C$8-Calculations!$O83*LN(Calculations!$O83/Calculations!$C$8))+'Reaction Information'!$J$9*0.001/2*(2*Calculations!$O83*Calculations!$C$8-Calculations!$O83^2-Calculations!$C$8^2) + 'Reaction Information'!$K$9*100000*(Calculations!$O83^2 + Calculations!$C$8^2 - 2*Calculations!$O83*Calculations!$C$8)/(2*Calculations!$O83*Calculations!$C$8^2))</f>
        <v>#N/A</v>
      </c>
      <c r="AE83" s="8">
        <f>IF(AE$5="H2O",IF($D$24=3,IF(T83=0,NA(),T83),calculateGibbsOfWater(M83,N83,$D$24,$D$20,$D$19=3)),NA())</f>
        <v>-54050.303341037383</v>
      </c>
      <c r="AF83" s="8">
        <f>IF(ISBLANK(Input!$X$4),NA(),'Reaction Information'!$E$13-'Reaction Information'!$G$13*(Calculations!O83-Calculations!$C$8)-'Reaction Information'!$N$13*(Calculations!O83*LN(Calculations!O83/Calculations!$C$8)-Calculations!O83+Calculations!$C$8)-'Reaction Information'!$O$13*10^4*(((1/(Calculations!O83-Calculations!$C$13))-(1/(Calculations!$C$8-Calculations!$C$13)))*((Calculations!$C$13-Calculations!O83)/(Calculations!$C$13))-(Calculations!O83/(Calculations!$C$13*Calculations!$C$13))*LN((Calculations!$C$8*(Calculations!O83-Calculations!$C$13))/(Calculations!O83*(Calculations!$C$8-Calculations!$C$13))))+'Reaction Information'!$J$13*10^-1*(Calculations!M83-Calculations!$C$9)+'Reaction Information'!$K$13*10^2*LN((Calculations!$C$12+Calculations!M83)/(Calculations!$C$12+Calculations!$C$9))+(1/(Calculations!O83-Calculations!$C$13))*('Reaction Information'!$L$13*(Calculations!M83-Calculations!$C$9)+'Reaction Information'!$M$13*10^4*LN((Calculations!$C$12+Calculations!M83)/(Calculations!$C$12+Calculations!$C$9)))+calculateOmega(Calculations!M83,Calculations!N83,Calculations!Q83,'Reaction Information'!$C$13,'Reaction Information'!$P$13*10^5,'Reaction Information'!$Q$13)*((1/Calculations!S83)-1)-'Reaction Information'!$P$13*10^5*((1/Calculations!$C$10)-1)+'Reaction Information'!$P$13*10^5*Calculations!$C$14*(Calculations!O83-Calculations!$C$8))</f>
        <v>-84815.632609667795</v>
      </c>
      <c r="AG83" s="8" t="e">
        <f>IF(ISBLANK(Input!$AA$4),NA(),'Reaction Information'!$E$17-'Reaction Information'!$G$17*(Calculations!$O83-Calculations!$C$8)-'Reaction Information'!$N$17*(Calculations!$O83*LN(Calculations!$O83/Calculations!$C$8)-Calculations!$O83+Calculations!$C$8)-'Reaction Information'!$O$17*10^4*(((1/(Calculations!$O83-Calculations!$C$13))-(1/(Calculations!$C$8-Calculations!$C$13)))*((Calculations!$C$13-Calculations!$O83)/(Calculations!$C$13))-(Calculations!$O83/(Calculations!$C$13*Calculations!$C$13))*LN((Calculations!$C$8*(Calculations!$O83-Calculations!$C$13))/(Calculations!$O83*(Calculations!$C$8-Calculations!$C$13))))+'Reaction Information'!$J$17*10^-1*(Calculations!$M83-Calculations!$C$9)+'Reaction Information'!$K$17*10^2*LN((Calculations!$C$12+Calculations!$M83)/(Calculations!$C$12+Calculations!$C$9))+(1/(Calculations!$O83-Calculations!$C$13))*('Reaction Information'!$L$17*(Calculations!$M83-Calculations!$C$9)+'Reaction Information'!$M$17*10^4*LN((Calculations!$C$12+Calculations!$M83)/(Calculations!$C$12+Calculations!$C$9)))+calculateOmega(Calculations!M83,Calculations!N83,Calculations!Q83,'Reaction Information'!$C$17,'Reaction Information'!$P$17*10^5,'Reaction Information'!$Q$17)*((1/Calculations!$S83)-1)-'Reaction Information'!$P$17*10^5*((1/Calculations!$C$10)-1)+'Reaction Information'!$P$17*10^5*Calculations!$C$14*(Calculations!$O83-Calculations!$C$8))</f>
        <v>#N/A</v>
      </c>
      <c r="AH83" s="8" t="e">
        <f>IF(ISBLANK(Input!$AD$4),NA(),'Reaction Information'!$E$21-'Reaction Information'!$G$21*(Calculations!$O83-Calculations!$C$8)-'Reaction Information'!$N$21*(Calculations!$O83*LN(Calculations!$O83/Calculations!$C$8)-Calculations!$O83+Calculations!$C$8)-'Reaction Information'!$O$21*10^4*(((1/(Calculations!$O83-Calculations!$C$13))-(1/(Calculations!$C$8-Calculations!$C$13)))*((Calculations!$C$13-Calculations!$O83)/(Calculations!$C$13))-(Calculations!$O83/(Calculations!$C$13*Calculations!$C$13))*LN((Calculations!$C$8*(Calculations!$O83-Calculations!$C$13))/(Calculations!$O83*(Calculations!$C$8-Calculations!$C$13))))+'Reaction Information'!$J$21*10^-1*(Calculations!$M83-Calculations!$C$9)+'Reaction Information'!$K$21*10^2*LN((Calculations!$C$12+Calculations!$M83)/(Calculations!$C$12+Calculations!$C$9))+(1/(Calculations!$O83-Calculations!$C$13))*('Reaction Information'!$L$21*(Calculations!$M83-Calculations!$C$9)+'Reaction Information'!$M$21*10^4*LN((Calculations!$C$12+Calculations!$M83)/(Calculations!$C$12+Calculations!$C$9)))+calculateOmega(Calculations!M83,Calculations!N83,Calculations!Q83,'Reaction Information'!$C$21,'Reaction Information'!$P$21*10^5,'Reaction Information'!$Q$21)*((1/Calculations!$S83)-1)-'Reaction Information'!$P$21*10^5*((1/Calculations!$C$10)-1)+'Reaction Information'!$P$21*10^5*Calculations!$C$14*(Calculations!$O83-Calculations!$C$8))</f>
        <v>#N/A</v>
      </c>
      <c r="AI83" s="8" t="e">
        <f>IF(ISBLANK(Input!$AG$4),NA(),'Reaction Information'!$E$25-'Reaction Information'!$G$25*(Calculations!$O83-Calculations!$C$8)-'Reaction Information'!$N$25*(Calculations!$O83*LN(Calculations!$O83/Calculations!$C$8)-Calculations!$O83+Calculations!$C$8)-'Reaction Information'!$O$25*10^4*(((1/(Calculations!$O83-Calculations!$C$13))-(1/(Calculations!$C$8-Calculations!$C$13)))*((Calculations!$C$13-Calculations!$O83)/(Calculations!$C$13))-(Calculations!$O83/(Calculations!$C$13*Calculations!$C$13))*LN((Calculations!$C$8*(Calculations!$O83-Calculations!$C$13))/(Calculations!$O83*(Calculations!$C$8-Calculations!$C$13))))+'Reaction Information'!$J$25*10^-1*(Calculations!$M83-Calculations!$C$9)+'Reaction Information'!$K$25*10^2*LN((Calculations!$C$12+Calculations!$M83)/(Calculations!$C$12+Calculations!$C$9))+(1/(Calculations!$O83-Calculations!$C$13))*('Reaction Information'!$L$25*(Calculations!$M83-Calculations!$C$9)+'Reaction Information'!$M$25*10^4*LN((Calculations!$C$12+Calculations!$M83)/(Calculations!$C$12+Calculations!$C$9)))+calculateOmega(Calculations!M83,Calculations!N83,Calculations!Q83,'Reaction Information'!$C$25,'Reaction Information'!$P$25*10^5,'Reaction Information'!$Q$25)*((1/Calculations!$S83)-1)-'Reaction Information'!$P$25*10^5*((1/Calculations!$C$10)-1)+'Reaction Information'!$P$25*10^5*Calculations!$C$14*(Calculations!$O83-Calculations!$C$8))</f>
        <v>#N/A</v>
      </c>
      <c r="AJ83" s="8" t="e">
        <f>IF(ISBLANK(Input!$AJ$4),NA(),'Reaction Information'!$E$29-'Reaction Information'!$G$29*(Calculations!$O83-Calculations!$C$8)-'Reaction Information'!$N$29*(Calculations!$O83*LN(Calculations!$O83/Calculations!$C$8)-Calculations!$O83+Calculations!$C$8)-'Reaction Information'!$O$29*10^4*(((1/(Calculations!$O83-Calculations!$C$13))-(1/(Calculations!$C$8-Calculations!$C$13)))*((Calculations!$C$13-Calculations!$O83)/(Calculations!$C$13))-(Calculations!$O83/(Calculations!$C$13*Calculations!$C$13))*LN((Calculations!$C$8*(Calculations!$O83-Calculations!$C$13))/(Calculations!$O83*(Calculations!$C$8-Calculations!$C$13))))+'Reaction Information'!$J$29*10^-1*(Calculations!$M83-Calculations!$C$9)+'Reaction Information'!$K$29*10^2*LN((Calculations!$C$12+Calculations!$M83)/(Calculations!$C$12+Calculations!$C$9))+(1/(Calculations!$O83-Calculations!$C$13))*('Reaction Information'!$L$29*(Calculations!$M83-Calculations!$C$9)+'Reaction Information'!$M$29*10^4*LN((Calculations!$C$12+Calculations!$M83)/(Calculations!$C$12+Calculations!$C$9)))+calculateOmega(Calculations!M83,Calculations!N83,Calculations!Q83,'Reaction Information'!$C$29,'Reaction Information'!$P$29*10^5,'Reaction Information'!$Q$29)*((1/Calculations!$S83)-1)-'Reaction Information'!$P$29*10^5*((1/Calculations!$C$10)-1)+'Reaction Information'!$P$29*10^5*Calculations!$C$14*(Calculations!$O83-Calculations!$C$8))</f>
        <v>#N/A</v>
      </c>
      <c r="AK83" s="8" t="e">
        <f>IF(ISBLANK(Input!$AM$4),NA(),'Reaction Information'!$E$33-'Reaction Information'!$G$33*(Calculations!$O83-Calculations!$C$8)-'Reaction Information'!$N$33*(Calculations!$O83*LN(Calculations!$O83/Calculations!$C$8)-Calculations!$O83+Calculations!$C$8)-'Reaction Information'!$O$33*10^4*(((1/(Calculations!$O83-Calculations!$C$13))-(1/(Calculations!$C$8-Calculations!$C$13)))*((Calculations!$C$13-Calculations!$O83)/(Calculations!$C$13))-(Calculations!$O83/(Calculations!$C$13*Calculations!$C$13))*LN((Calculations!$C$8*(Calculations!$O83-Calculations!$C$13))/(Calculations!$O83*(Calculations!$C$8-Calculations!$C$13))))+'Reaction Information'!$J$33*10^-1*(Calculations!$M83-Calculations!$C$9)+'Reaction Information'!$K$33*10^2*LN((Calculations!$C$12+Calculations!$M83)/(Calculations!$C$12+Calculations!$C$9))+(1/(Calculations!$O83-Calculations!$C$13))*('Reaction Information'!$L$33*(Calculations!$M83-Calculations!$C$9)+'Reaction Information'!$M$33*10^4*LN((Calculations!$C$12+Calculations!$M83)/(Calculations!$C$12+Calculations!$C$9)))+calculateOmega(Calculations!M83,Calculations!N83,Calculations!Q83,'Reaction Information'!$C$33,'Reaction Information'!$P$33*10^5,'Reaction Information'!$Q$33)*((1/Calculations!$S83)-1)-'Reaction Information'!$P$33*10^5*((1/Calculations!$C$10)-1)+'Reaction Information'!$P$33*10^5*Calculations!$C$14*(Calculations!$O83-Calculations!$C$8))</f>
        <v>#N/A</v>
      </c>
      <c r="AL83" s="1">
        <f>Results!S85</f>
        <v>0</v>
      </c>
      <c r="AM83" s="1">
        <f>Results!T85</f>
        <v>0</v>
      </c>
      <c r="AN83" s="1">
        <f>Results!U85</f>
        <v>0</v>
      </c>
      <c r="AO83" s="1">
        <f>Results!V85</f>
        <v>0</v>
      </c>
      <c r="AP83" s="8" t="e">
        <f>IF(ISBLANK(Input!$BB$4),NA(),'Reaction Information'!$E$38-'Reaction Information'!$G$38*(Calculations!$O83-Calculations!$C$8)+'Reaction Information'!$I$38*(Calculations!$O83-Calculations!$C$8-Calculations!$O83*LN(Calculations!$O83/Calculations!$C$8))+'Reaction Information'!$J$38*0.001/2*(2*Calculations!$O83*Calculations!$C$8-Calculations!$O83^2-Calculations!$C$8^2) + 'Reaction Information'!$K$38*100000*(Calculations!$O83^2 + Calculations!$C$8^2 - 2*Calculations!$O83*Calculations!$C$8)/(2*Calculations!$O83*Calculations!$C$8^2))</f>
        <v>#N/A</v>
      </c>
      <c r="AQ83" s="8" t="e">
        <f>IF(ISBLANK(Input!$BE$4),NA(),'Reaction Information'!$E$42-'Reaction Information'!$G$42*(Calculations!$O83-Calculations!$C$8)+'Reaction Information'!$I$42*(Calculations!$O83-Calculations!$C$8-Calculations!$O83*LN(Calculations!$O83/Calculations!$C$8))+'Reaction Information'!$J$42*0.001/2*(2*Calculations!$O83*Calculations!$C$8-Calculations!$O83^2-Calculations!$C$8^2) + 'Reaction Information'!$K$42*100000*(Calculations!$O83^2 + Calculations!$C$8^2 - 2*Calculations!$O83*Calculations!$C$8)/(2*Calculations!$O83*Calculations!$C$8^2))</f>
        <v>#N/A</v>
      </c>
      <c r="AR83" s="8" t="e">
        <f>IF(AR$5="H2O", IF($D$24=3,IF(T83=0,NA(),T83),calculateGibbsOfWater(M83,N83,$D$24,$D$20,$D$19=3)),NA())</f>
        <v>#N/A</v>
      </c>
      <c r="AS83" s="8">
        <f>IF(ISBLANK(Input!$BK$4),NA(),'Reaction Information'!$E$46-'Reaction Information'!$G$46*(Calculations!O83-Calculations!$C$8)-'Reaction Information'!$N$46*(Calculations!O83*LN(Calculations!O83/Calculations!$C$8)-Calculations!O83+Calculations!$C$8)-'Reaction Information'!$O$46*10^4*(((1/(Calculations!O83-Calculations!$C$13))-(1/(Calculations!$C$8-Calculations!$C$13)))*((Calculations!$C$13-Calculations!O83)/(Calculations!$C$13))-(Calculations!O83/(Calculations!$C$13*Calculations!$C$13))*LN((Calculations!$C$8*(Calculations!O83-Calculations!$C$13))/(Calculations!O83*(Calculations!$C$8-Calculations!$C$13))))+'Reaction Information'!$J$46*10^-1*(Calculations!$M83-Calculations!$C$9)+'Reaction Information'!$K$46*10^2*LN((Calculations!$C$12+Calculations!$M83)/(Calculations!$C$12+Calculations!$C$9))+(1/(Calculations!O83-Calculations!$C$13))*('Reaction Information'!$L$46*(Calculations!$M83-Calculations!$C$9)+'Reaction Information'!$M$46*10^4*LN((Calculations!$C$12+Calculations!$M83)/(Calculations!$C$12+Calculations!$C$9)))+calculateOmega(Calculations!M83,Calculations!N83,Calculations!Q83,'Reaction Information'!$C$46,'Reaction Information'!$P$46*10^5,'Reaction Information'!$Q$46)*((1/Calculations!S83)-1)-'Reaction Information'!$P$46*10^5*((1/Calculations!$C$10)-1)+'Reaction Information'!$P$46*10^5*Calculations!$C$14*(Calculations!O83-Calculations!$C$8))</f>
        <v>0</v>
      </c>
      <c r="AT83" s="8">
        <f>IF(ISBLANK(Input!$BN$4),NA(),'Reaction Information'!$E$50-'Reaction Information'!$G$50*(Calculations!O83-Calculations!$C$8)-'Reaction Information'!$N$50*(Calculations!O83*LN(Calculations!O83/Calculations!$C$8)-Calculations!O83+Calculations!$C$8)-'Reaction Information'!$O$50*10^4*(((1/(Calculations!O83-Calculations!$C$13))-(1/(Calculations!$C$8-Calculations!$C$13)))*((Calculations!$C$13-Calculations!O83)/(Calculations!$C$13))-(Calculations!O83/(Calculations!$C$13*Calculations!$C$13))*LN((Calculations!$C$8*(Calculations!O83-Calculations!$C$13))/(Calculations!O83*(Calculations!$C$8-Calculations!$C$13))))+'Reaction Information'!$J$50*10^-1*(Calculations!$M83-Calculations!$C$9)+'Reaction Information'!$K$50*10^2*LN((Calculations!$C$12+Calculations!$M83)/(Calculations!$C$12+Calculations!$C$9))+(1/(Calculations!O83-Calculations!$C$13))*('Reaction Information'!$L$50*(Calculations!$M83-Calculations!$C$9)+'Reaction Information'!$M$50*10^4*LN((Calculations!$C$12+Calculations!$M83)/(Calculations!$C$12+Calculations!$C$9)))+calculateOmega(Calculations!M83,Calculations!N83,Calculations!Q83,'Reaction Information'!$C$50,'Reaction Information'!$P$50*10^5,'Reaction Information'!$Q$50)*((1/Calculations!S83)-1)-'Reaction Information'!$P$50*10^5*((1/Calculations!$C$10)-1)+'Reaction Information'!$P$50*10^5*Calculations!$C$14*(Calculations!O83-Calculations!$C$8))</f>
        <v>-128912.470504714</v>
      </c>
      <c r="AU83" s="8" t="e">
        <f>IF(ISBLANK(Input!$BQ$4),NA(),'Reaction Information'!$E$54-'Reaction Information'!$G$54*(Calculations!$O83-Calculations!$C$8)-'Reaction Information'!$N$54*(Calculations!$O83*LN(Calculations!$O83/Calculations!$C$8)-Calculations!$O83+Calculations!$C$8)-'Reaction Information'!$O$54*10^4*(((1/(Calculations!$O83-Calculations!$C$13))-(1/(Calculations!$C$8-Calculations!$C$13)))*((Calculations!$C$13-Calculations!$O83)/(Calculations!$C$13))-(Calculations!$O83/(Calculations!$C$13*Calculations!$C$13))*LN((Calculations!$C$8*(Calculations!$O83-Calculations!$C$13))/(Calculations!$O83*(Calculations!$C$8-Calculations!$C$13))))+'Reaction Information'!$J$54*10^-1*(Calculations!$M83-Calculations!$C$9)+'Reaction Information'!$K$54*10^2*LN((Calculations!$C$12+Calculations!$M83)/(Calculations!$C$12+Calculations!$C$9))+(1/(Calculations!$O83-Calculations!$C$13))*('Reaction Information'!$L$54*(Calculations!$M83-Calculations!$C$9)+'Reaction Information'!$M$54*10^4*LN((Calculations!$C$12+Calculations!$M83)/(Calculations!$C$12+Calculations!$C$9)))+calculateOmega(Calculations!M83,Calculations!N83,Calculations!Q83,'Reaction Information'!$C$54,'Reaction Information'!$P$54*10^5,'Reaction Information'!$Q$54)*((1/Calculations!$S83)-1)-'Reaction Information'!$P$54*10^5*((1/Calculations!$C$10)-1)+'Reaction Information'!$P$54*10^5*Calculations!$C$14*(Calculations!$O83-Calculations!$C$8))</f>
        <v>#N/A</v>
      </c>
      <c r="AV83" s="8" t="e">
        <f>IF(ISBLANK(Input!$BT$4),NA(),'Reaction Information'!$E$58-'Reaction Information'!$G$58*(Calculations!$O83-Calculations!$C$8)-'Reaction Information'!$N$58*(Calculations!$O83*LN(Calculations!$O83/Calculations!$C$8)-Calculations!$O83+Calculations!$C$8)-'Reaction Information'!$O$58*10^4*(((1/(Calculations!$O83-Calculations!$C$13))-(1/(Calculations!$C$8-Calculations!$C$13)))*((Calculations!$C$13-Calculations!$O83)/(Calculations!$C$13))-(Calculations!$O83/(Calculations!$C$13*Calculations!$C$13))*LN((Calculations!$C$8*(Calculations!$O83-Calculations!$C$13))/(Calculations!$O83*(Calculations!$C$8-Calculations!$C$13))))+'Reaction Information'!$J$58*10^-1*(Calculations!$M83-Calculations!$C$9)+'Reaction Information'!$K$58*10^2*LN((Calculations!$C$12+Calculations!$M83)/(Calculations!$C$12+Calculations!$C$9))+(1/(Calculations!$O83-Calculations!$C$13))*('Reaction Information'!$L$58*(Calculations!$M83-Calculations!$C$9)+'Reaction Information'!$M$58*10^4*LN((Calculations!$C$12+Calculations!$M83)/(Calculations!$C$12+Calculations!$C$9)))+calculateOmega(Calculations!M83,Calculations!N83,Calculations!Q83,'Reaction Information'!$C$58,'Reaction Information'!$P$58*10^5,'Reaction Information'!$Q$58)*((1/Calculations!$S83)-1)-'Reaction Information'!$P$58*10^5*((1/Calculations!$C$10)-1)+'Reaction Information'!$P$58*10^5*Calculations!$C$14*(Calculations!$O83-Calculations!$C$8))</f>
        <v>#N/A</v>
      </c>
      <c r="AW83" s="8" t="e">
        <f>IF(ISBLANK(Input!$BW$4),NA(),'Reaction Information'!$E$62-'Reaction Information'!$G$62*(Calculations!$O83-Calculations!$C$8)-'Reaction Information'!$N$62*(Calculations!$O83*LN(Calculations!$O83/Calculations!$C$8)-Calculations!$O83+Calculations!$C$8)-'Reaction Information'!$O$62*10^4*(((1/(Calculations!$O83-Calculations!$C$13))-(1/(Calculations!$C$8-Calculations!$C$13)))*((Calculations!$C$13-Calculations!$O83)/(Calculations!$C$13))-(Calculations!$O83/(Calculations!$C$13*Calculations!$C$13))*LN((Calculations!$C$8*(Calculations!$O83-Calculations!$C$13))/(Calculations!$O83*(Calculations!$C$8-Calculations!$C$13))))+'Reaction Information'!$J$62*10^-1*(Calculations!$M83-Calculations!$C$9)+'Reaction Information'!$K$62*10^2*LN((Calculations!$C$12+Calculations!$M83)/(Calculations!$C$12+Calculations!$C$9))+(1/(Calculations!$O83-Calculations!$C$13))*('Reaction Information'!$L$62*(Calculations!$M83-Calculations!$C$9)+'Reaction Information'!$M$62*10^4*LN((Calculations!$C$12+Calculations!$M83)/(Calculations!$C$12+Calculations!$C$9)))+calculateOmega(Calculations!M83,Calculations!N83,Calculations!Q83,'Reaction Information'!$C$62,'Reaction Information'!$P$62*10^5,'Reaction Information'!$Q$62)*((1/Calculations!$S83)-1)-'Reaction Information'!$P$62*10^5*((1/Calculations!$C$10)-1)+'Reaction Information'!$P$62*10^5*Calculations!$C$14*(Calculations!$O83-Calculations!$C$8))</f>
        <v>#N/A</v>
      </c>
      <c r="AX83" s="8" t="e">
        <f>IF(ISBLANK(Input!$BZ$4),NA(),'Reaction Information'!$E$66-'Reaction Information'!$G$66*(Calculations!$O83-Calculations!$C$8)-'Reaction Information'!$N$66*(Calculations!$O83*LN(Calculations!$O83/Calculations!$C$8)-Calculations!$O83+Calculations!$C$8)-'Reaction Information'!$O$66*10^4*(((1/(Calculations!$O83-Calculations!$C$13))-(1/(Calculations!$C$8-Calculations!$C$13)))*((Calculations!$C$13-Calculations!$O83)/(Calculations!$C$13))-(Calculations!$O83/(Calculations!$C$13*Calculations!$C$13))*LN((Calculations!$C$8*(Calculations!$O83-Calculations!$C$13))/(Calculations!$O83*(Calculations!$C$8-Calculations!$C$13))))+'Reaction Information'!$J$66*10^-1*(Calculations!$M83-Calculations!$C$9)+'Reaction Information'!$K$66*10^2*LN((Calculations!$C$12+Calculations!$M83)/(Calculations!$C$12+Calculations!$C$9))+(1/(Calculations!$O83-Calculations!$C$13))*('Reaction Information'!$L$66*(Calculations!$M83-Calculations!$C$9)+'Reaction Information'!$M$66*10^4*LN((Calculations!$C$12+Calculations!$M83)/(Calculations!$C$12+Calculations!$C$9)))+calculateOmega(Calculations!M83,Calculations!N83,Calculations!Q83,'Reaction Information'!$C$66,'Reaction Information'!$P$66*10^5,'Reaction Information'!$Q$66)*((1/Calculations!$S83)-1)-'Reaction Information'!$P$66*10^5*((1/Calculations!$C$10)-1)+'Reaction Information'!$P$66*10^5*Calculations!$C$14*(Calculations!$O83-Calculations!$C$8))</f>
        <v>#N/A</v>
      </c>
      <c r="AY83" s="31">
        <f>(AL83*Input!$AO$4+AM83*Input!$AR$4+AN83*Input!$AU$4+AO83*Input!$AX$4+IF(ISNA(AP83),0,AP83*Input!$BA$4)+IF(ISNA(AQ83),0,AQ83*Input!$BD$4)+IF(ISNA(AR83),0,AR83*Input!$BG$4)+IF(ISNA(AS83),0,AS83*Input!$BJ$4)+IF(ISNA(AT83),0,AT83*Input!$BM$4)+IF(ISNA(AU83),0,AU83*Input!$BP$4)+IF(ISNA(AV83),0,AV83*Input!$BS$4)+IF(ISNA(AW83),0,AW83*Input!$BV$4)+IF(ISNA(AX83),0,AX83*Input!$BY$4))-(Y83*Input!$B$4+Z83*Input!$E$4+AA83*Input!$H$4+AB83*Input!$K$4+IF(ISNA(AC83),0,AC83*Input!$N$4)+IF(ISNA(AD83),0,AD83*Input!$Q$4)+IF(ISNA(AE83),0,AE83*Input!$T$4)+IF(ISNA(AF83),0,AF83*Input!$W$4)+IF(ISNA(AG83),0,AG83*Input!$Z$4)+IF(ISNA(AH83),0,AH83*Input!$AC$4)+IF(ISNA(AI83),0,AI83*Input!$AF$4)+IF(ISNA(AJ83),0,AJ83*Input!$AI$4)+IF(ISNA(AK83),0,AK83*Input!$AL$4))</f>
        <v>9953.465445991169</v>
      </c>
      <c r="AZ83" s="42">
        <f t="shared" si="20"/>
        <v>-3.2336598662689102</v>
      </c>
      <c r="BA83" s="1">
        <f t="shared" si="27"/>
        <v>400</v>
      </c>
      <c r="BB83" s="46">
        <f t="shared" si="28"/>
        <v>30000</v>
      </c>
      <c r="BC83" s="1"/>
      <c r="BD83" s="2">
        <f t="shared" si="29"/>
        <v>30000</v>
      </c>
      <c r="BE83" s="46">
        <f t="shared" si="30"/>
        <v>400</v>
      </c>
      <c r="BF83" s="1">
        <f>Results!AJ85</f>
        <v>0</v>
      </c>
      <c r="BG83" s="1">
        <f>Results!AK85</f>
        <v>0</v>
      </c>
      <c r="BH83" s="1">
        <f>Results!AL85</f>
        <v>0</v>
      </c>
      <c r="BI83" s="1">
        <f>Results!AM85</f>
        <v>0</v>
      </c>
      <c r="BJ83" s="1" t="e">
        <f>IF(OR(ISNA('Reaction Information'!$D$5), $N83 = "", $D$27 = FALSE, 'Reaction Information'!$D$5 = ""), NA(), 24.465)</f>
        <v>#N/A</v>
      </c>
      <c r="BK83" s="1" t="e">
        <f>IF(OR(ISNA('Reaction Information'!$D$9), $N83 = "", $D$27 = FALSE, 'Reaction Information'!$D$9 = ""), NA(), 24.465)</f>
        <v>#N/A</v>
      </c>
      <c r="BL83" s="8">
        <f t="shared" si="21"/>
        <v>13.842764292765821</v>
      </c>
      <c r="BM83" s="8">
        <f>IF(OR(ISBLANK(Input!$X$4),$D$27=FALSE),NA(),('Reaction Information'!$J$13/10+'Reaction Information'!$K$13*100/(Calculations!$C$12+Calculations!$M83)+('Reaction Information'!$L$13+'Reaction Information'!$M$13*10^4/(Calculations!$C$12+Calculations!$M83))/(Calculations!$O83-Calculations!$C$13) -calculateOmega(Calculations!$M83,Calculations!$N83,Calculations!$Q83,'Reaction Information'!$C$13,'Reaction Information'!$P$13*10^5,'Reaction Information'!$Q$13)*Calculations!$U83*10^-6 + (1/$S83 - 1)*calculate_domegadP(Calculations!$M83,Calculations!$N83,Calculations!$Q83,'Reaction Information'!$C$13,'Reaction Information'!$P$13*10^5,'Reaction Information'!$Q$13,$D$20,$D$19=3))*41.84)</f>
        <v>30.199544765557214</v>
      </c>
      <c r="BN83" s="8" t="e">
        <f>IF(OR(ISBLANK(Input!$AA$4),$D$27=FALSE),NA(),('Reaction Information'!$J$17/10+'Reaction Information'!$K$17*100/(Calculations!$C$12+Calculations!$M83)+('Reaction Information'!$L$17+'Reaction Information'!$M$17*10000/(Calculations!$C$12+Calculations!$M83))/(Calculations!$O83-Calculations!$C$13)-calculateOmega(Calculations!M83,Calculations!N83,Calculations!Q83,'Reaction Information'!$C$17,'Reaction Information'!$P$17*10^5,'Reaction Information'!$Q$17)*Calculations!$U83*10^-6 + (1/$S83 - 1)*calculate_domegadP(Calculations!M83,Calculations!N83,Calculations!Q83,'Reaction Information'!$C$17,'Reaction Information'!$P$17*10^5,'Reaction Information'!$Q$17,$D$20,$D$19=3))*41.84)</f>
        <v>#N/A</v>
      </c>
      <c r="BO83" s="8" t="e">
        <f>IF(OR(ISBLANK(Input!$AD$4),$D$27=FALSE),NA(),('Reaction Information'!$J$21/10+'Reaction Information'!$K$21*100/(Calculations!$C$12+Calculations!$M83)+('Reaction Information'!$L$21+'Reaction Information'!$M$21*10000/(Calculations!$C$12+Calculations!$M83))/(Calculations!$O83-Calculations!$C$13)-calculateOmega(Calculations!M83,Calculations!N83,Calculations!Q83,'Reaction Information'!$C$21,'Reaction Information'!$P$21*10^5,'Reaction Information'!$Q$21)*Calculations!$U83*10^-6 + (1/$S83 - 1)*calculate_domegadP(Calculations!M83,Calculations!N83,Calculations!Q83,'Reaction Information'!$C$21,'Reaction Information'!$P$21*10^5,'Reaction Information'!$Q$21,$D$20,$D$19=3))*41.84)</f>
        <v>#N/A</v>
      </c>
      <c r="BP83" s="8" t="e">
        <f>IF(OR(ISBLANK(Input!$AG$4),$D$27=FALSE),NA(),('Reaction Information'!$J$25/10+'Reaction Information'!$K$25*100/(Calculations!$C$12+Calculations!$M83)+('Reaction Information'!$L$25+'Reaction Information'!$M$25*10000/(Calculations!$C$12+Calculations!$M83))/(Calculations!$O83-Calculations!$C$13)-calculateOmega(Calculations!M83,Calculations!N83,Calculations!Q83,'Reaction Information'!$C$25,'Reaction Information'!$P$25*10^5,'Reaction Information'!$Q$25)*Calculations!$U83*10^-6 + (1/$S83 - 1)*calculate_domegadP(Calculations!M83,Calculations!N83,Calculations!Q83,'Reaction Information'!$C$25,'Reaction Information'!$P$25*10^5,'Reaction Information'!$Q$25,$D$20,$D$19=3))*41.84)</f>
        <v>#N/A</v>
      </c>
      <c r="BQ83" s="8" t="e">
        <f>IF(OR(ISBLANK(Input!$AJ$4),$D$27=FALSE),NA(),('Reaction Information'!$J$29/10+'Reaction Information'!$K$29*100/(Calculations!$C$12+Calculations!$M83)+('Reaction Information'!$L$29+'Reaction Information'!$M$29*10000/(Calculations!$C$12+Calculations!$M83))/(Calculations!$O83-Calculations!$C$13)-calculateOmega(Calculations!M83,Calculations!N83,Calculations!Q83,'Reaction Information'!$C$29,'Reaction Information'!$P$29*10^5,'Reaction Information'!$Q$29)*Calculations!$U83*10^-6 + (1/$S83 - 1)*calculate_domegadP(Calculations!M83,Calculations!N83,Calculations!Q83,'Reaction Information'!$C$29,'Reaction Information'!$P$29*10^5,'Reaction Information'!$Q$29,$D$20,$D$19=3))*41.84)</f>
        <v>#N/A</v>
      </c>
      <c r="BR83" s="8" t="e">
        <f>IF(OR(ISBLANK(Input!$AM$4),$D$27=FALSE),NA(),('Reaction Information'!$J$33/10+'Reaction Information'!$K$33*100/(Calculations!$C$12+Calculations!$M83)+('Reaction Information'!$L$33+'Reaction Information'!$M$33*10000/(Calculations!$C$12+Calculations!$M83))/(Calculations!$O83-Calculations!$C$13)-calculateOmega(Calculations!M83,Calculations!N83,Calculations!Q83,'Reaction Information'!$C$33,'Reaction Information'!$P$33*10^5,'Reaction Information'!$Q$33)*Calculations!$U83*10^-6 + (1/$S83 - 1)*calculate_domegadP(Calculations!M83,Calculations!N83,Calculations!Q83,'Reaction Information'!$C$33,'Reaction Information'!$P$33*10^5,'Reaction Information'!$Q$33,$D$20,$D$19=3))*41.84)</f>
        <v>#N/A</v>
      </c>
      <c r="BS83" s="1">
        <f>Results!AW85</f>
        <v>0</v>
      </c>
      <c r="BT83" s="1">
        <f>Results!AX85</f>
        <v>0</v>
      </c>
      <c r="BU83" s="1">
        <f>Results!AY85</f>
        <v>0</v>
      </c>
      <c r="BV83" s="1">
        <f>Results!AZ85</f>
        <v>0</v>
      </c>
      <c r="BW83" s="1" t="e">
        <f>IF(OR(ISNA('Reaction Information'!$D$38), $N83 = "", $D$27 = FALSE, 'Reaction Information'!$D$38 = ""), NA(), 24.465)</f>
        <v>#N/A</v>
      </c>
      <c r="BX83" s="1" t="e">
        <f>IF(OR(ISNA('Reaction Information'!$D$42), $N83 = "", $D$27 = FALSE, 'Reaction Information'!$D$42 = ""), NA(), 24.465)</f>
        <v>#N/A</v>
      </c>
      <c r="BY83" s="8" t="e">
        <f t="shared" si="22"/>
        <v>#N/A</v>
      </c>
      <c r="BZ83" s="8">
        <f>IF(OR(ISBLANK(Input!$BK$4),$D$27=FALSE),NA(),('Reaction Information'!$J$46/10+'Reaction Information'!$K$46*100/(Calculations!$C$12+Calculations!$M83)+('Reaction Information'!$L$46+'Reaction Information'!$M$46*10000/(Calculations!$C$12+Calculations!$M83))/(Calculations!$O83-Calculations!$C$13)-calculateOmega(Calculations!M83,Calculations!N83,Calculations!Q83,'Reaction Information'!$C$46,'Reaction Information'!$P$46*10^5,'Reaction Information'!$Q$46)*Calculations!$U83*10^-6 + (1/$S83 - 1)*calculate_domegadP(Calculations!M83,Calculations!N83,Calculations!Q83,'Reaction Information'!$C$46,'Reaction Information'!$P$46*10^5,'Reaction Information'!$Q$46,$D$20,$D$19=3))*41.84)</f>
        <v>0</v>
      </c>
      <c r="CA83" s="8">
        <f>IF(OR(ISBLANK(Input!$BN$4),$D$27=FALSE),NA(),('Reaction Information'!$J$50/10+'Reaction Information'!$K$50*100/(Calculations!$C$12+Calculations!$M83)+('Reaction Information'!$L$50+'Reaction Information'!$M$50*10000/(Calculations!$C$12+Calculations!$M83))/(Calculations!$O83-Calculations!$C$13)-calculateOmega(Calculations!M83,Calculations!N83,Calculations!Q83,'Reaction Information'!$C$50,'Reaction Information'!$P$50*10^5,'Reaction Information'!$Q$50)*Calculations!$U83*10^-6 + (1/$S83 - 1)*calculate_domegadP(Calculations!M83,Calculations!N83,Calculations!Q83,'Reaction Information'!$C$50,'Reaction Information'!$P$50*10^5,'Reaction Information'!$Q$50,$D$20,$D$19=3))*41.84)</f>
        <v>31.180146076481321</v>
      </c>
      <c r="CB83" s="8" t="e">
        <f>IF(OR(ISBLANK(Input!$BQ$4),$D$27=FALSE),NA(),('Reaction Information'!$J$54/10+'Reaction Information'!$K$54*100/(Calculations!$C$12+Calculations!$M83)+('Reaction Information'!$L$54+'Reaction Information'!$M$54*10000/(Calculations!$C$12+Calculations!$M83))/(Calculations!$O83-Calculations!$C$13)-calculateOmega(Calculations!M83,Calculations!N83,Calculations!Q83,'Reaction Information'!$C$54,'Reaction Information'!$P$54*10^5,'Reaction Information'!$Q$54)*Calculations!$U83*10^-6 + (1/$S83 - 1)*calculate_domegadP(Calculations!M83,Calculations!N83,Calculations!Q83,'Reaction Information'!$C$54,'Reaction Information'!$P$54*10^5,'Reaction Information'!$Q$54,$D$20,$D$19=3))*41.84)</f>
        <v>#N/A</v>
      </c>
      <c r="CC83" s="8" t="e">
        <f>IF(OR(ISBLANK(Input!$BT$4),$D$27=FALSE),NA(),('Reaction Information'!$J$58/10+'Reaction Information'!$K$58*100/(Calculations!$C$12+Calculations!$M83)+('Reaction Information'!$L$58+'Reaction Information'!$M$58*10000/(Calculations!$C$12+Calculations!$M83))/(Calculations!$O83-Calculations!$C$13)-calculateOmega(Calculations!M83,Calculations!N83,Calculations!Q83,'Reaction Information'!$C$58,'Reaction Information'!$P$58*10^5,'Reaction Information'!$Q$58)*Calculations!$U83*10^-6 + (1/$S83 - 1)*calculate_domegadP(Calculations!M83,Calculations!N83,Calculations!Q83,'Reaction Information'!$C$58,'Reaction Information'!$P$58*10^5,'Reaction Information'!$Q$58,$D$20,$D$19=3))*41.84)</f>
        <v>#N/A</v>
      </c>
      <c r="CD83" s="8" t="e">
        <f>IF(OR(ISBLANK(Input!$BW$4),$D$27=FALSE),NA(),('Reaction Information'!$J$62/10+'Reaction Information'!$K$62*100/(Calculations!$C$12+Calculations!$M83)+('Reaction Information'!$L$62+'Reaction Information'!$M$62*10000/(Calculations!$C$12+Calculations!$M83))/(Calculations!$O83-Calculations!$C$13)-calculateOmega(Calculations!M83,Calculations!N83,Calculations!Q83,'Reaction Information'!$C$62,'Reaction Information'!$P$62*10^5,'Reaction Information'!$Q$62)*Calculations!$U83*10^-6 + (1/$S83 - 1)*calculate_domegadP(Calculations!M83,Calculations!N83,Calculations!Q83,'Reaction Information'!$C$62,'Reaction Information'!$P$62*10^5,'Reaction Information'!$Q$62,$D$20,$D$19=3))*41.84)</f>
        <v>#N/A</v>
      </c>
      <c r="CE83" s="8" t="e">
        <f>IF(OR(ISBLANK(Input!$BZ$4),$D$27=FALSE),NA(),('Reaction Information'!$J$66/10+'Reaction Information'!$K$66*100/(Calculations!$C$12+Calculations!$M83)+('Reaction Information'!$L$66+'Reaction Information'!$M$66*10000/(Calculations!$C$12+Calculations!$M83))/(Calculations!$O83-Calculations!$C$13)-calculateOmega(Calculations!M83,Calculations!N83,Calculations!Q83,'Reaction Information'!$C$66,'Reaction Information'!$P$66*10^5,'Reaction Information'!$Q$66)*Calculations!$U83*10^-6 + (1/$S83 - 1)*calculate_domegadP(Calculations!M83,Calculations!N83,Calculations!Q83,'Reaction Information'!$C$66,'Reaction Information'!$P$66*10^5,'Reaction Information'!$Q$66,$D$20,$D$19=3))*41.84)</f>
        <v>#N/A</v>
      </c>
      <c r="CF83" s="31">
        <f>(BS83*Input!$AO$4+BT83*Input!$AR$4+BU83*Input!$AU$4+BV83*Input!$AX$4+IF(ISNA(BW83),0,BW83*Input!$BA$4)+IF(ISNA(BX83),0,BX83*Input!$BD$4)+IF(ISNA(BY83),0,BY83*Input!$BG$4)+IF(ISNA(BZ83),0,BZ83*Input!$BJ$4)+IF(ISNA(CA83),0,CA83*Input!$BM$4)+IF(ISNA(CB83),0,CB83*Input!$BP$4)+IF(ISNA(CC83),0,CC83*Input!$BS$4)+IF(ISNA(CD83),0,CD83*Input!$BV$4)+IF(ISNA(CE83),0,CE83*Input!$BY$4))-(BF83*Input!$B$4+BG83*Input!$E$4+BH83*Input!$H$4+BI83*Input!$K$4+IF(ISNA(BJ83),0,BJ83*Input!$N$4)+IF(ISNA(BK83),0,BK83*Input!$Q$4)+IF(ISNA(BL83),0,BL83*Input!$T$4)+IF(ISNA(BM83),0,BM83*Input!$W$4)+IF(ISNA(BN83),0,BN83*Input!$Z$4)+IF(ISNA(BO83),0,BO83*Input!$AC$4)+IF(ISNA(BP83),0,BP83*Input!$AF$4)+IF(ISNA(BQ83),0,BQ83*Input!$AI$4)+IF(ISNA(BR83),0,BR83*Input!$AL$4))</f>
        <v>-12.862162981841713</v>
      </c>
      <c r="CG83" s="1">
        <f t="shared" si="31"/>
        <v>400</v>
      </c>
      <c r="CH83" s="46">
        <f t="shared" si="32"/>
        <v>30000</v>
      </c>
      <c r="CI83" s="1"/>
    </row>
    <row r="84" spans="1:87" x14ac:dyDescent="0.2">
      <c r="A84" s="1"/>
      <c r="B84" s="1"/>
      <c r="C84" s="1"/>
      <c r="D84" s="1"/>
      <c r="E84" s="1"/>
      <c r="F84" s="2">
        <v>79</v>
      </c>
      <c r="G84" s="1" t="str">
        <f>IF(ISBLANK(Input!CB84), "", Input!CB84*1000)</f>
        <v/>
      </c>
      <c r="H84" s="1" t="str">
        <f>IF(ISBLANK(Input!CC84), "", Input!CC84)</f>
        <v/>
      </c>
      <c r="I84" s="1">
        <f>IF(Input!$CF$5 + Input!$CF$6*(FLOOR((Calculations!$F84-1)/(FLOOR((Input!$CF$12-Input!$CF$10)/Input!$CF$11,1)+1),1)) &gt; Input!$CF$7, "", (Input!$CF$5 + Input!$CF$6*(FLOOR((Calculations!$F84-1)/(FLOOR((Input!$CF$12-Input!$CF$10)/Input!$CF$11,1)+1),1)))*1000)</f>
        <v>30000</v>
      </c>
      <c r="J84" s="1">
        <f>IF(Calculations!I84 = "", "", Input!$CF$10 + Input!$CF$11*(Calculations!$F84-1) - (FLOOR((Input!$CF$12-Input!$CF$10)/Input!$CF$11,1)+1)*Input!$CF$11*FLOOR((Calculations!$F84-1)/(FLOOR((Input!$CF$12-Input!$CF$10)/Input!$CF$11,1)+1),1))</f>
        <v>450</v>
      </c>
      <c r="K84" s="8" t="str">
        <f t="shared" si="33"/>
        <v/>
      </c>
      <c r="L84" s="117" t="str">
        <f>IF(OR(Input!$CJ$5 + Input!$CJ$6*(Calculations!F84-1) &gt; Input!$CJ$7, Input!$CJ$5 + Input!$CJ$6*(Calculations!F84-1) &gt; 350), "", Input!$CJ$5 + Input!$CJ$6*(Calculations!F84-1))</f>
        <v/>
      </c>
      <c r="M84" s="1">
        <f t="shared" si="23"/>
        <v>30000</v>
      </c>
      <c r="N84" s="1">
        <f t="shared" si="24"/>
        <v>450</v>
      </c>
      <c r="O84" s="1">
        <f t="shared" si="19"/>
        <v>723.15</v>
      </c>
      <c r="P84" s="1" t="e">
        <f>IF(OR($D$20=3,AND($D$21=TRUE,M84&lt;1000)),INDEX('Water Density'!$C$6:$CX$120,MATCH(Calculations!N84,'Water Density'!$B$6:$B$120),MATCH(Calculations!M84/1000,'Water Density'!$C$5:$CX$5)),NA())</f>
        <v>#N/A</v>
      </c>
      <c r="Q84" s="182">
        <f>IF(OR($D$20=3,AND($D$21=TRUE,M84&lt;1000)), IF(P84&lt;&gt;0,P84,NA()), calculateDensity(M84,N84,$D$20,0.01,$D$19 = 3))</f>
        <v>1.2853039215326312</v>
      </c>
      <c r="R84" s="1" t="e">
        <f>IF($D$22=5,INDEX('Dielectric Constant'!$C$6:$CX$120,MATCH(Calculations!N84,'Dielectric Constant'!$B$6:$B$120),MATCH(Calculations!M84/1000,'Dielectric Constant'!$C$5:$CX$5)),NA())</f>
        <v>#N/A</v>
      </c>
      <c r="S84" s="58">
        <f>IF($D$22=5, IF(R84&lt;&gt;0,R84,NA()), IF(AND($D$23,M84&lt;=5000,$D$19 &lt;&gt; 3),calculateEpsilon(Q84,N84,1,FALSE),calculateEpsilon(Q84,N84,$D$22,$D$19 = 3)))</f>
        <v>37.64639194503247</v>
      </c>
      <c r="T84" s="1" t="e">
        <f>IF($D$24=3,INDEX('Water Free Energy'!$C$6:$CX$120,MATCH(Calculations!N84,'Water Free Energy'!$B$6:$B$120),MATCH(Calculations!M84/1000,'Water Free Energy'!$C$5:$CX$5)),NA())</f>
        <v>#N/A</v>
      </c>
      <c r="U84" s="179">
        <f>IF($D$27,calculateQ(M84,N84,Q84,$D$20,$D$22,$D$19=3)*10^6,NA())</f>
        <v>0.19205646296282805</v>
      </c>
      <c r="V84"/>
      <c r="W84" s="2">
        <f t="shared" si="25"/>
        <v>30000</v>
      </c>
      <c r="X84" s="1">
        <f t="shared" si="26"/>
        <v>450</v>
      </c>
      <c r="Y84" s="1">
        <f>Results!F86</f>
        <v>0</v>
      </c>
      <c r="Z84" s="1">
        <f>Results!G86</f>
        <v>0</v>
      </c>
      <c r="AA84" s="1">
        <f>Results!H86</f>
        <v>0</v>
      </c>
      <c r="AB84" s="1">
        <f>Results!I86</f>
        <v>0</v>
      </c>
      <c r="AC84" s="1" t="e">
        <f>IF(ISBLANK(Input!$O$4),NA(),'Reaction Information'!$E$5-'Reaction Information'!$G$5*(Calculations!$O84-Calculations!$C$8)+'Reaction Information'!$I$5*(Calculations!$O84-Calculations!$C$8-Calculations!$O84*LN(Calculations!$O84/Calculations!$C$8))+'Reaction Information'!$J$5*0.001/2*(2*Calculations!$O84*Calculations!$C$8-Calculations!$O84^2-Calculations!$C$8^2) + 'Reaction Information'!$K$5*100000*(Calculations!$O84^2 + Calculations!$C$8^2 - 2*Calculations!$O84*Calculations!$C$8)/(2*Calculations!$O84*Calculations!$C$8^2))</f>
        <v>#N/A</v>
      </c>
      <c r="AD84" s="8" t="e">
        <f>IF(ISBLANK(Input!$R$4),NA(),'Reaction Information'!$E$9-'Reaction Information'!$G$9*(Calculations!$O84-Calculations!$C$8)+'Reaction Information'!$I$9*(Calculations!$O84-Calculations!$C$8-Calculations!$O84*LN(Calculations!$O84/Calculations!$C$8))+'Reaction Information'!$J$9*0.001/2*(2*Calculations!$O84*Calculations!$C$8-Calculations!$O84^2-Calculations!$C$8^2) + 'Reaction Information'!$K$9*100000*(Calculations!$O84^2 + Calculations!$C$8^2 - 2*Calculations!$O84*Calculations!$C$8)/(2*Calculations!$O84*Calculations!$C$8^2))</f>
        <v>#N/A</v>
      </c>
      <c r="AE84" s="8">
        <f>IF(AE$5="H2O",IF($D$24=3,IF(T84=0,NA(),T84),calculateGibbsOfWater(M84,N84,$D$24,$D$20,$D$19=3)),NA())</f>
        <v>-55358.878363584154</v>
      </c>
      <c r="AF84" s="8">
        <f>IF(ISBLANK(Input!$X$4),NA(),'Reaction Information'!$E$13-'Reaction Information'!$G$13*(Calculations!O84-Calculations!$C$8)-'Reaction Information'!$N$13*(Calculations!O84*LN(Calculations!O84/Calculations!$C$8)-Calculations!O84+Calculations!$C$8)-'Reaction Information'!$O$13*10^4*(((1/(Calculations!O84-Calculations!$C$13))-(1/(Calculations!$C$8-Calculations!$C$13)))*((Calculations!$C$13-Calculations!O84)/(Calculations!$C$13))-(Calculations!O84/(Calculations!$C$13*Calculations!$C$13))*LN((Calculations!$C$8*(Calculations!O84-Calculations!$C$13))/(Calculations!O84*(Calculations!$C$8-Calculations!$C$13))))+'Reaction Information'!$J$13*10^-1*(Calculations!M84-Calculations!$C$9)+'Reaction Information'!$K$13*10^2*LN((Calculations!$C$12+Calculations!M84)/(Calculations!$C$12+Calculations!$C$9))+(1/(Calculations!O84-Calculations!$C$13))*('Reaction Information'!$L$13*(Calculations!M84-Calculations!$C$9)+'Reaction Information'!$M$13*10^4*LN((Calculations!$C$12+Calculations!M84)/(Calculations!$C$12+Calculations!$C$9)))+calculateOmega(Calculations!M84,Calculations!N84,Calculations!Q84,'Reaction Information'!$C$13,'Reaction Information'!$P$13*10^5,'Reaction Information'!$Q$13)*((1/Calculations!S84)-1)-'Reaction Information'!$P$13*10^5*((1/Calculations!$C$10)-1)+'Reaction Information'!$P$13*10^5*Calculations!$C$14*(Calculations!O84-Calculations!$C$8))</f>
        <v>-86965.211447665148</v>
      </c>
      <c r="AG84" s="8" t="e">
        <f>IF(ISBLANK(Input!$AA$4),NA(),'Reaction Information'!$E$17-'Reaction Information'!$G$17*(Calculations!$O84-Calculations!$C$8)-'Reaction Information'!$N$17*(Calculations!$O84*LN(Calculations!$O84/Calculations!$C$8)-Calculations!$O84+Calculations!$C$8)-'Reaction Information'!$O$17*10^4*(((1/(Calculations!$O84-Calculations!$C$13))-(1/(Calculations!$C$8-Calculations!$C$13)))*((Calculations!$C$13-Calculations!$O84)/(Calculations!$C$13))-(Calculations!$O84/(Calculations!$C$13*Calculations!$C$13))*LN((Calculations!$C$8*(Calculations!$O84-Calculations!$C$13))/(Calculations!$O84*(Calculations!$C$8-Calculations!$C$13))))+'Reaction Information'!$J$17*10^-1*(Calculations!$M84-Calculations!$C$9)+'Reaction Information'!$K$17*10^2*LN((Calculations!$C$12+Calculations!$M84)/(Calculations!$C$12+Calculations!$C$9))+(1/(Calculations!$O84-Calculations!$C$13))*('Reaction Information'!$L$17*(Calculations!$M84-Calculations!$C$9)+'Reaction Information'!$M$17*10^4*LN((Calculations!$C$12+Calculations!$M84)/(Calculations!$C$12+Calculations!$C$9)))+calculateOmega(Calculations!M84,Calculations!N84,Calculations!Q84,'Reaction Information'!$C$17,'Reaction Information'!$P$17*10^5,'Reaction Information'!$Q$17)*((1/Calculations!$S84)-1)-'Reaction Information'!$P$17*10^5*((1/Calculations!$C$10)-1)+'Reaction Information'!$P$17*10^5*Calculations!$C$14*(Calculations!$O84-Calculations!$C$8))</f>
        <v>#N/A</v>
      </c>
      <c r="AH84" s="8" t="e">
        <f>IF(ISBLANK(Input!$AD$4),NA(),'Reaction Information'!$E$21-'Reaction Information'!$G$21*(Calculations!$O84-Calculations!$C$8)-'Reaction Information'!$N$21*(Calculations!$O84*LN(Calculations!$O84/Calculations!$C$8)-Calculations!$O84+Calculations!$C$8)-'Reaction Information'!$O$21*10^4*(((1/(Calculations!$O84-Calculations!$C$13))-(1/(Calculations!$C$8-Calculations!$C$13)))*((Calculations!$C$13-Calculations!$O84)/(Calculations!$C$13))-(Calculations!$O84/(Calculations!$C$13*Calculations!$C$13))*LN((Calculations!$C$8*(Calculations!$O84-Calculations!$C$13))/(Calculations!$O84*(Calculations!$C$8-Calculations!$C$13))))+'Reaction Information'!$J$21*10^-1*(Calculations!$M84-Calculations!$C$9)+'Reaction Information'!$K$21*10^2*LN((Calculations!$C$12+Calculations!$M84)/(Calculations!$C$12+Calculations!$C$9))+(1/(Calculations!$O84-Calculations!$C$13))*('Reaction Information'!$L$21*(Calculations!$M84-Calculations!$C$9)+'Reaction Information'!$M$21*10^4*LN((Calculations!$C$12+Calculations!$M84)/(Calculations!$C$12+Calculations!$C$9)))+calculateOmega(Calculations!M84,Calculations!N84,Calculations!Q84,'Reaction Information'!$C$21,'Reaction Information'!$P$21*10^5,'Reaction Information'!$Q$21)*((1/Calculations!$S84)-1)-'Reaction Information'!$P$21*10^5*((1/Calculations!$C$10)-1)+'Reaction Information'!$P$21*10^5*Calculations!$C$14*(Calculations!$O84-Calculations!$C$8))</f>
        <v>#N/A</v>
      </c>
      <c r="AI84" s="8" t="e">
        <f>IF(ISBLANK(Input!$AG$4),NA(),'Reaction Information'!$E$25-'Reaction Information'!$G$25*(Calculations!$O84-Calculations!$C$8)-'Reaction Information'!$N$25*(Calculations!$O84*LN(Calculations!$O84/Calculations!$C$8)-Calculations!$O84+Calculations!$C$8)-'Reaction Information'!$O$25*10^4*(((1/(Calculations!$O84-Calculations!$C$13))-(1/(Calculations!$C$8-Calculations!$C$13)))*((Calculations!$C$13-Calculations!$O84)/(Calculations!$C$13))-(Calculations!$O84/(Calculations!$C$13*Calculations!$C$13))*LN((Calculations!$C$8*(Calculations!$O84-Calculations!$C$13))/(Calculations!$O84*(Calculations!$C$8-Calculations!$C$13))))+'Reaction Information'!$J$25*10^-1*(Calculations!$M84-Calculations!$C$9)+'Reaction Information'!$K$25*10^2*LN((Calculations!$C$12+Calculations!$M84)/(Calculations!$C$12+Calculations!$C$9))+(1/(Calculations!$O84-Calculations!$C$13))*('Reaction Information'!$L$25*(Calculations!$M84-Calculations!$C$9)+'Reaction Information'!$M$25*10^4*LN((Calculations!$C$12+Calculations!$M84)/(Calculations!$C$12+Calculations!$C$9)))+calculateOmega(Calculations!M84,Calculations!N84,Calculations!Q84,'Reaction Information'!$C$25,'Reaction Information'!$P$25*10^5,'Reaction Information'!$Q$25)*((1/Calculations!$S84)-1)-'Reaction Information'!$P$25*10^5*((1/Calculations!$C$10)-1)+'Reaction Information'!$P$25*10^5*Calculations!$C$14*(Calculations!$O84-Calculations!$C$8))</f>
        <v>#N/A</v>
      </c>
      <c r="AJ84" s="8" t="e">
        <f>IF(ISBLANK(Input!$AJ$4),NA(),'Reaction Information'!$E$29-'Reaction Information'!$G$29*(Calculations!$O84-Calculations!$C$8)-'Reaction Information'!$N$29*(Calculations!$O84*LN(Calculations!$O84/Calculations!$C$8)-Calculations!$O84+Calculations!$C$8)-'Reaction Information'!$O$29*10^4*(((1/(Calculations!$O84-Calculations!$C$13))-(1/(Calculations!$C$8-Calculations!$C$13)))*((Calculations!$C$13-Calculations!$O84)/(Calculations!$C$13))-(Calculations!$O84/(Calculations!$C$13*Calculations!$C$13))*LN((Calculations!$C$8*(Calculations!$O84-Calculations!$C$13))/(Calculations!$O84*(Calculations!$C$8-Calculations!$C$13))))+'Reaction Information'!$J$29*10^-1*(Calculations!$M84-Calculations!$C$9)+'Reaction Information'!$K$29*10^2*LN((Calculations!$C$12+Calculations!$M84)/(Calculations!$C$12+Calculations!$C$9))+(1/(Calculations!$O84-Calculations!$C$13))*('Reaction Information'!$L$29*(Calculations!$M84-Calculations!$C$9)+'Reaction Information'!$M$29*10^4*LN((Calculations!$C$12+Calculations!$M84)/(Calculations!$C$12+Calculations!$C$9)))+calculateOmega(Calculations!M84,Calculations!N84,Calculations!Q84,'Reaction Information'!$C$29,'Reaction Information'!$P$29*10^5,'Reaction Information'!$Q$29)*((1/Calculations!$S84)-1)-'Reaction Information'!$P$29*10^5*((1/Calculations!$C$10)-1)+'Reaction Information'!$P$29*10^5*Calculations!$C$14*(Calculations!$O84-Calculations!$C$8))</f>
        <v>#N/A</v>
      </c>
      <c r="AK84" s="8" t="e">
        <f>IF(ISBLANK(Input!$AM$4),NA(),'Reaction Information'!$E$33-'Reaction Information'!$G$33*(Calculations!$O84-Calculations!$C$8)-'Reaction Information'!$N$33*(Calculations!$O84*LN(Calculations!$O84/Calculations!$C$8)-Calculations!$O84+Calculations!$C$8)-'Reaction Information'!$O$33*10^4*(((1/(Calculations!$O84-Calculations!$C$13))-(1/(Calculations!$C$8-Calculations!$C$13)))*((Calculations!$C$13-Calculations!$O84)/(Calculations!$C$13))-(Calculations!$O84/(Calculations!$C$13*Calculations!$C$13))*LN((Calculations!$C$8*(Calculations!$O84-Calculations!$C$13))/(Calculations!$O84*(Calculations!$C$8-Calculations!$C$13))))+'Reaction Information'!$J$33*10^-1*(Calculations!$M84-Calculations!$C$9)+'Reaction Information'!$K$33*10^2*LN((Calculations!$C$12+Calculations!$M84)/(Calculations!$C$12+Calculations!$C$9))+(1/(Calculations!$O84-Calculations!$C$13))*('Reaction Information'!$L$33*(Calculations!$M84-Calculations!$C$9)+'Reaction Information'!$M$33*10^4*LN((Calculations!$C$12+Calculations!$M84)/(Calculations!$C$12+Calculations!$C$9)))+calculateOmega(Calculations!M84,Calculations!N84,Calculations!Q84,'Reaction Information'!$C$33,'Reaction Information'!$P$33*10^5,'Reaction Information'!$Q$33)*((1/Calculations!$S84)-1)-'Reaction Information'!$P$33*10^5*((1/Calculations!$C$10)-1)+'Reaction Information'!$P$33*10^5*Calculations!$C$14*(Calculations!$O84-Calculations!$C$8))</f>
        <v>#N/A</v>
      </c>
      <c r="AL84" s="1">
        <f>Results!S86</f>
        <v>0</v>
      </c>
      <c r="AM84" s="1">
        <f>Results!T86</f>
        <v>0</v>
      </c>
      <c r="AN84" s="1">
        <f>Results!U86</f>
        <v>0</v>
      </c>
      <c r="AO84" s="1">
        <f>Results!V86</f>
        <v>0</v>
      </c>
      <c r="AP84" s="8" t="e">
        <f>IF(ISBLANK(Input!$BB$4),NA(),'Reaction Information'!$E$38-'Reaction Information'!$G$38*(Calculations!$O84-Calculations!$C$8)+'Reaction Information'!$I$38*(Calculations!$O84-Calculations!$C$8-Calculations!$O84*LN(Calculations!$O84/Calculations!$C$8))+'Reaction Information'!$J$38*0.001/2*(2*Calculations!$O84*Calculations!$C$8-Calculations!$O84^2-Calculations!$C$8^2) + 'Reaction Information'!$K$38*100000*(Calculations!$O84^2 + Calculations!$C$8^2 - 2*Calculations!$O84*Calculations!$C$8)/(2*Calculations!$O84*Calculations!$C$8^2))</f>
        <v>#N/A</v>
      </c>
      <c r="AQ84" s="8" t="e">
        <f>IF(ISBLANK(Input!$BE$4),NA(),'Reaction Information'!$E$42-'Reaction Information'!$G$42*(Calculations!$O84-Calculations!$C$8)+'Reaction Information'!$I$42*(Calculations!$O84-Calculations!$C$8-Calculations!$O84*LN(Calculations!$O84/Calculations!$C$8))+'Reaction Information'!$J$42*0.001/2*(2*Calculations!$O84*Calculations!$C$8-Calculations!$O84^2-Calculations!$C$8^2) + 'Reaction Information'!$K$42*100000*(Calculations!$O84^2 + Calculations!$C$8^2 - 2*Calculations!$O84*Calculations!$C$8)/(2*Calculations!$O84*Calculations!$C$8^2))</f>
        <v>#N/A</v>
      </c>
      <c r="AR84" s="8" t="e">
        <f>IF(AR$5="H2O", IF($D$24=3,IF(T84=0,NA(),T84),calculateGibbsOfWater(M84,N84,$D$24,$D$20,$D$19=3)),NA())</f>
        <v>#N/A</v>
      </c>
      <c r="AS84" s="8">
        <f>IF(ISBLANK(Input!$BK$4),NA(),'Reaction Information'!$E$46-'Reaction Information'!$G$46*(Calculations!O84-Calculations!$C$8)-'Reaction Information'!$N$46*(Calculations!O84*LN(Calculations!O84/Calculations!$C$8)-Calculations!O84+Calculations!$C$8)-'Reaction Information'!$O$46*10^4*(((1/(Calculations!O84-Calculations!$C$13))-(1/(Calculations!$C$8-Calculations!$C$13)))*((Calculations!$C$13-Calculations!O84)/(Calculations!$C$13))-(Calculations!O84/(Calculations!$C$13*Calculations!$C$13))*LN((Calculations!$C$8*(Calculations!O84-Calculations!$C$13))/(Calculations!O84*(Calculations!$C$8-Calculations!$C$13))))+'Reaction Information'!$J$46*10^-1*(Calculations!$M84-Calculations!$C$9)+'Reaction Information'!$K$46*10^2*LN((Calculations!$C$12+Calculations!$M84)/(Calculations!$C$12+Calculations!$C$9))+(1/(Calculations!O84-Calculations!$C$13))*('Reaction Information'!$L$46*(Calculations!$M84-Calculations!$C$9)+'Reaction Information'!$M$46*10^4*LN((Calculations!$C$12+Calculations!$M84)/(Calculations!$C$12+Calculations!$C$9)))+calculateOmega(Calculations!M84,Calculations!N84,Calculations!Q84,'Reaction Information'!$C$46,'Reaction Information'!$P$46*10^5,'Reaction Information'!$Q$46)*((1/Calculations!S84)-1)-'Reaction Information'!$P$46*10^5*((1/Calculations!$C$10)-1)+'Reaction Information'!$P$46*10^5*Calculations!$C$14*(Calculations!O84-Calculations!$C$8))</f>
        <v>0</v>
      </c>
      <c r="AT84" s="8">
        <f>IF(ISBLANK(Input!$BN$4),NA(),'Reaction Information'!$E$50-'Reaction Information'!$G$50*(Calculations!O84-Calculations!$C$8)-'Reaction Information'!$N$50*(Calculations!O84*LN(Calculations!O84/Calculations!$C$8)-Calculations!O84+Calculations!$C$8)-'Reaction Information'!$O$50*10^4*(((1/(Calculations!O84-Calculations!$C$13))-(1/(Calculations!$C$8-Calculations!$C$13)))*((Calculations!$C$13-Calculations!O84)/(Calculations!$C$13))-(Calculations!O84/(Calculations!$C$13*Calculations!$C$13))*LN((Calculations!$C$8*(Calculations!O84-Calculations!$C$13))/(Calculations!O84*(Calculations!$C$8-Calculations!$C$13))))+'Reaction Information'!$J$50*10^-1*(Calculations!$M84-Calculations!$C$9)+'Reaction Information'!$K$50*10^2*LN((Calculations!$C$12+Calculations!$M84)/(Calculations!$C$12+Calculations!$C$9))+(1/(Calculations!O84-Calculations!$C$13))*('Reaction Information'!$L$50*(Calculations!$M84-Calculations!$C$9)+'Reaction Information'!$M$50*10^4*LN((Calculations!$C$12+Calculations!$M84)/(Calculations!$C$12+Calculations!$C$9)))+calculateOmega(Calculations!M84,Calculations!N84,Calculations!Q84,'Reaction Information'!$C$50,'Reaction Information'!$P$50*10^5,'Reaction Information'!$Q$50)*((1/Calculations!S84)-1)-'Reaction Information'!$P$50*10^5*((1/Calculations!$C$10)-1)+'Reaction Information'!$P$50*10^5*Calculations!$C$14*(Calculations!O84-Calculations!$C$8))</f>
        <v>-130514.30844138577</v>
      </c>
      <c r="AU84" s="8" t="e">
        <f>IF(ISBLANK(Input!$BQ$4),NA(),'Reaction Information'!$E$54-'Reaction Information'!$G$54*(Calculations!$O84-Calculations!$C$8)-'Reaction Information'!$N$54*(Calculations!$O84*LN(Calculations!$O84/Calculations!$C$8)-Calculations!$O84+Calculations!$C$8)-'Reaction Information'!$O$54*10^4*(((1/(Calculations!$O84-Calculations!$C$13))-(1/(Calculations!$C$8-Calculations!$C$13)))*((Calculations!$C$13-Calculations!$O84)/(Calculations!$C$13))-(Calculations!$O84/(Calculations!$C$13*Calculations!$C$13))*LN((Calculations!$C$8*(Calculations!$O84-Calculations!$C$13))/(Calculations!$O84*(Calculations!$C$8-Calculations!$C$13))))+'Reaction Information'!$J$54*10^-1*(Calculations!$M84-Calculations!$C$9)+'Reaction Information'!$K$54*10^2*LN((Calculations!$C$12+Calculations!$M84)/(Calculations!$C$12+Calculations!$C$9))+(1/(Calculations!$O84-Calculations!$C$13))*('Reaction Information'!$L$54*(Calculations!$M84-Calculations!$C$9)+'Reaction Information'!$M$54*10^4*LN((Calculations!$C$12+Calculations!$M84)/(Calculations!$C$12+Calculations!$C$9)))+calculateOmega(Calculations!M84,Calculations!N84,Calculations!Q84,'Reaction Information'!$C$54,'Reaction Information'!$P$54*10^5,'Reaction Information'!$Q$54)*((1/Calculations!$S84)-1)-'Reaction Information'!$P$54*10^5*((1/Calculations!$C$10)-1)+'Reaction Information'!$P$54*10^5*Calculations!$C$14*(Calculations!$O84-Calculations!$C$8))</f>
        <v>#N/A</v>
      </c>
      <c r="AV84" s="8" t="e">
        <f>IF(ISBLANK(Input!$BT$4),NA(),'Reaction Information'!$E$58-'Reaction Information'!$G$58*(Calculations!$O84-Calculations!$C$8)-'Reaction Information'!$N$58*(Calculations!$O84*LN(Calculations!$O84/Calculations!$C$8)-Calculations!$O84+Calculations!$C$8)-'Reaction Information'!$O$58*10^4*(((1/(Calculations!$O84-Calculations!$C$13))-(1/(Calculations!$C$8-Calculations!$C$13)))*((Calculations!$C$13-Calculations!$O84)/(Calculations!$C$13))-(Calculations!$O84/(Calculations!$C$13*Calculations!$C$13))*LN((Calculations!$C$8*(Calculations!$O84-Calculations!$C$13))/(Calculations!$O84*(Calculations!$C$8-Calculations!$C$13))))+'Reaction Information'!$J$58*10^-1*(Calculations!$M84-Calculations!$C$9)+'Reaction Information'!$K$58*10^2*LN((Calculations!$C$12+Calculations!$M84)/(Calculations!$C$12+Calculations!$C$9))+(1/(Calculations!$O84-Calculations!$C$13))*('Reaction Information'!$L$58*(Calculations!$M84-Calculations!$C$9)+'Reaction Information'!$M$58*10^4*LN((Calculations!$C$12+Calculations!$M84)/(Calculations!$C$12+Calculations!$C$9)))+calculateOmega(Calculations!M84,Calculations!N84,Calculations!Q84,'Reaction Information'!$C$58,'Reaction Information'!$P$58*10^5,'Reaction Information'!$Q$58)*((1/Calculations!$S84)-1)-'Reaction Information'!$P$58*10^5*((1/Calculations!$C$10)-1)+'Reaction Information'!$P$58*10^5*Calculations!$C$14*(Calculations!$O84-Calculations!$C$8))</f>
        <v>#N/A</v>
      </c>
      <c r="AW84" s="8" t="e">
        <f>IF(ISBLANK(Input!$BW$4),NA(),'Reaction Information'!$E$62-'Reaction Information'!$G$62*(Calculations!$O84-Calculations!$C$8)-'Reaction Information'!$N$62*(Calculations!$O84*LN(Calculations!$O84/Calculations!$C$8)-Calculations!$O84+Calculations!$C$8)-'Reaction Information'!$O$62*10^4*(((1/(Calculations!$O84-Calculations!$C$13))-(1/(Calculations!$C$8-Calculations!$C$13)))*((Calculations!$C$13-Calculations!$O84)/(Calculations!$C$13))-(Calculations!$O84/(Calculations!$C$13*Calculations!$C$13))*LN((Calculations!$C$8*(Calculations!$O84-Calculations!$C$13))/(Calculations!$O84*(Calculations!$C$8-Calculations!$C$13))))+'Reaction Information'!$J$62*10^-1*(Calculations!$M84-Calculations!$C$9)+'Reaction Information'!$K$62*10^2*LN((Calculations!$C$12+Calculations!$M84)/(Calculations!$C$12+Calculations!$C$9))+(1/(Calculations!$O84-Calculations!$C$13))*('Reaction Information'!$L$62*(Calculations!$M84-Calculations!$C$9)+'Reaction Information'!$M$62*10^4*LN((Calculations!$C$12+Calculations!$M84)/(Calculations!$C$12+Calculations!$C$9)))+calculateOmega(Calculations!M84,Calculations!N84,Calculations!Q84,'Reaction Information'!$C$62,'Reaction Information'!$P$62*10^5,'Reaction Information'!$Q$62)*((1/Calculations!$S84)-1)-'Reaction Information'!$P$62*10^5*((1/Calculations!$C$10)-1)+'Reaction Information'!$P$62*10^5*Calculations!$C$14*(Calculations!$O84-Calculations!$C$8))</f>
        <v>#N/A</v>
      </c>
      <c r="AX84" s="8" t="e">
        <f>IF(ISBLANK(Input!$BZ$4),NA(),'Reaction Information'!$E$66-'Reaction Information'!$G$66*(Calculations!$O84-Calculations!$C$8)-'Reaction Information'!$N$66*(Calculations!$O84*LN(Calculations!$O84/Calculations!$C$8)-Calculations!$O84+Calculations!$C$8)-'Reaction Information'!$O$66*10^4*(((1/(Calculations!$O84-Calculations!$C$13))-(1/(Calculations!$C$8-Calculations!$C$13)))*((Calculations!$C$13-Calculations!$O84)/(Calculations!$C$13))-(Calculations!$O84/(Calculations!$C$13*Calculations!$C$13))*LN((Calculations!$C$8*(Calculations!$O84-Calculations!$C$13))/(Calculations!$O84*(Calculations!$C$8-Calculations!$C$13))))+'Reaction Information'!$J$66*10^-1*(Calculations!$M84-Calculations!$C$9)+'Reaction Information'!$K$66*10^2*LN((Calculations!$C$12+Calculations!$M84)/(Calculations!$C$12+Calculations!$C$9))+(1/(Calculations!$O84-Calculations!$C$13))*('Reaction Information'!$L$66*(Calculations!$M84-Calculations!$C$9)+'Reaction Information'!$M$66*10^4*LN((Calculations!$C$12+Calculations!$M84)/(Calculations!$C$12+Calculations!$C$9)))+calculateOmega(Calculations!M84,Calculations!N84,Calculations!Q84,'Reaction Information'!$C$66,'Reaction Information'!$P$66*10^5,'Reaction Information'!$Q$66)*((1/Calculations!$S84)-1)-'Reaction Information'!$P$66*10^5*((1/Calculations!$C$10)-1)+'Reaction Information'!$P$66*10^5*Calculations!$C$14*(Calculations!$O84-Calculations!$C$8))</f>
        <v>#N/A</v>
      </c>
      <c r="AY84" s="31">
        <f>(AL84*Input!$AO$4+AM84*Input!$AR$4+AN84*Input!$AU$4+AO84*Input!$AX$4+IF(ISNA(AP84),0,AP84*Input!$BA$4)+IF(ISNA(AQ84),0,AQ84*Input!$BD$4)+IF(ISNA(AR84),0,AR84*Input!$BG$4)+IF(ISNA(AS84),0,AS84*Input!$BJ$4)+IF(ISNA(AT84),0,AT84*Input!$BM$4)+IF(ISNA(AU84),0,AU84*Input!$BP$4)+IF(ISNA(AV84),0,AV84*Input!$BS$4)+IF(ISNA(AW84),0,AW84*Input!$BV$4)+IF(ISNA(AX84),0,AX84*Input!$BY$4))-(Y84*Input!$B$4+Z84*Input!$E$4+AA84*Input!$H$4+AB84*Input!$K$4+IF(ISNA(AC84),0,AC84*Input!$N$4)+IF(ISNA(AD84),0,AD84*Input!$Q$4)+IF(ISNA(AE84),0,AE84*Input!$T$4)+IF(ISNA(AF84),0,AF84*Input!$W$4)+IF(ISNA(AG84),0,AG84*Input!$Z$4)+IF(ISNA(AH84),0,AH84*Input!$AC$4)+IF(ISNA(AI84),0,AI84*Input!$AF$4)+IF(ISNA(AJ84),0,AJ84*Input!$AI$4)+IF(ISNA(AK84),0,AK84*Input!$AL$4))</f>
        <v>11809.781369863515</v>
      </c>
      <c r="AZ84" s="42">
        <f t="shared" si="20"/>
        <v>-3.5714563022105454</v>
      </c>
      <c r="BA84" s="1">
        <f t="shared" si="27"/>
        <v>450</v>
      </c>
      <c r="BB84" s="46">
        <f t="shared" si="28"/>
        <v>30000</v>
      </c>
      <c r="BC84" s="1"/>
      <c r="BD84" s="2">
        <f t="shared" si="29"/>
        <v>30000</v>
      </c>
      <c r="BE84" s="46">
        <f t="shared" si="30"/>
        <v>450</v>
      </c>
      <c r="BF84" s="1">
        <f>Results!AJ86</f>
        <v>0</v>
      </c>
      <c r="BG84" s="1">
        <f>Results!AK86</f>
        <v>0</v>
      </c>
      <c r="BH84" s="1">
        <f>Results!AL86</f>
        <v>0</v>
      </c>
      <c r="BI84" s="1">
        <f>Results!AM86</f>
        <v>0</v>
      </c>
      <c r="BJ84" s="1" t="e">
        <f>IF(OR(ISNA('Reaction Information'!$D$5), $N84 = "", $D$27 = FALSE, 'Reaction Information'!$D$5 = ""), NA(), 24.465)</f>
        <v>#N/A</v>
      </c>
      <c r="BK84" s="1" t="e">
        <f>IF(OR(ISNA('Reaction Information'!$D$9), $N84 = "", $D$27 = FALSE, 'Reaction Information'!$D$9 = ""), NA(), 24.465)</f>
        <v>#N/A</v>
      </c>
      <c r="BL84" s="8">
        <f t="shared" si="21"/>
        <v>14.016358075464435</v>
      </c>
      <c r="BM84" s="8">
        <f>IF(OR(ISBLANK(Input!$X$4),$D$27=FALSE),NA(),('Reaction Information'!$J$13/10+'Reaction Information'!$K$13*100/(Calculations!$C$12+Calculations!$M84)+('Reaction Information'!$L$13+'Reaction Information'!$M$13*10^4/(Calculations!$C$12+Calculations!$M84))/(Calculations!$O84-Calculations!$C$13) -calculateOmega(Calculations!$M84,Calculations!$N84,Calculations!$Q84,'Reaction Information'!$C$13,'Reaction Information'!$P$13*10^5,'Reaction Information'!$Q$13)*Calculations!$U84*10^-6 + (1/$S84 - 1)*calculate_domegadP(Calculations!$M84,Calculations!$N84,Calculations!$Q84,'Reaction Information'!$C$13,'Reaction Information'!$P$13*10^5,'Reaction Information'!$Q$13,$D$20,$D$19=3))*41.84)</f>
        <v>30.245107812723063</v>
      </c>
      <c r="BN84" s="8" t="e">
        <f>IF(OR(ISBLANK(Input!$AA$4),$D$27=FALSE),NA(),('Reaction Information'!$J$17/10+'Reaction Information'!$K$17*100/(Calculations!$C$12+Calculations!$M84)+('Reaction Information'!$L$17+'Reaction Information'!$M$17*10000/(Calculations!$C$12+Calculations!$M84))/(Calculations!$O84-Calculations!$C$13)-calculateOmega(Calculations!M84,Calculations!N84,Calculations!Q84,'Reaction Information'!$C$17,'Reaction Information'!$P$17*10^5,'Reaction Information'!$Q$17)*Calculations!$U84*10^-6 + (1/$S84 - 1)*calculate_domegadP(Calculations!M84,Calculations!N84,Calculations!Q84,'Reaction Information'!$C$17,'Reaction Information'!$P$17*10^5,'Reaction Information'!$Q$17,$D$20,$D$19=3))*41.84)</f>
        <v>#N/A</v>
      </c>
      <c r="BO84" s="8" t="e">
        <f>IF(OR(ISBLANK(Input!$AD$4),$D$27=FALSE),NA(),('Reaction Information'!$J$21/10+'Reaction Information'!$K$21*100/(Calculations!$C$12+Calculations!$M84)+('Reaction Information'!$L$21+'Reaction Information'!$M$21*10000/(Calculations!$C$12+Calculations!$M84))/(Calculations!$O84-Calculations!$C$13)-calculateOmega(Calculations!M84,Calculations!N84,Calculations!Q84,'Reaction Information'!$C$21,'Reaction Information'!$P$21*10^5,'Reaction Information'!$Q$21)*Calculations!$U84*10^-6 + (1/$S84 - 1)*calculate_domegadP(Calculations!M84,Calculations!N84,Calculations!Q84,'Reaction Information'!$C$21,'Reaction Information'!$P$21*10^5,'Reaction Information'!$Q$21,$D$20,$D$19=3))*41.84)</f>
        <v>#N/A</v>
      </c>
      <c r="BP84" s="8" t="e">
        <f>IF(OR(ISBLANK(Input!$AG$4),$D$27=FALSE),NA(),('Reaction Information'!$J$25/10+'Reaction Information'!$K$25*100/(Calculations!$C$12+Calculations!$M84)+('Reaction Information'!$L$25+'Reaction Information'!$M$25*10000/(Calculations!$C$12+Calculations!$M84))/(Calculations!$O84-Calculations!$C$13)-calculateOmega(Calculations!M84,Calculations!N84,Calculations!Q84,'Reaction Information'!$C$25,'Reaction Information'!$P$25*10^5,'Reaction Information'!$Q$25)*Calculations!$U84*10^-6 + (1/$S84 - 1)*calculate_domegadP(Calculations!M84,Calculations!N84,Calculations!Q84,'Reaction Information'!$C$25,'Reaction Information'!$P$25*10^5,'Reaction Information'!$Q$25,$D$20,$D$19=3))*41.84)</f>
        <v>#N/A</v>
      </c>
      <c r="BQ84" s="8" t="e">
        <f>IF(OR(ISBLANK(Input!$AJ$4),$D$27=FALSE),NA(),('Reaction Information'!$J$29/10+'Reaction Information'!$K$29*100/(Calculations!$C$12+Calculations!$M84)+('Reaction Information'!$L$29+'Reaction Information'!$M$29*10000/(Calculations!$C$12+Calculations!$M84))/(Calculations!$O84-Calculations!$C$13)-calculateOmega(Calculations!M84,Calculations!N84,Calculations!Q84,'Reaction Information'!$C$29,'Reaction Information'!$P$29*10^5,'Reaction Information'!$Q$29)*Calculations!$U84*10^-6 + (1/$S84 - 1)*calculate_domegadP(Calculations!M84,Calculations!N84,Calculations!Q84,'Reaction Information'!$C$29,'Reaction Information'!$P$29*10^5,'Reaction Information'!$Q$29,$D$20,$D$19=3))*41.84)</f>
        <v>#N/A</v>
      </c>
      <c r="BR84" s="8" t="e">
        <f>IF(OR(ISBLANK(Input!$AM$4),$D$27=FALSE),NA(),('Reaction Information'!$J$33/10+'Reaction Information'!$K$33*100/(Calculations!$C$12+Calculations!$M84)+('Reaction Information'!$L$33+'Reaction Information'!$M$33*10000/(Calculations!$C$12+Calculations!$M84))/(Calculations!$O84-Calculations!$C$13)-calculateOmega(Calculations!M84,Calculations!N84,Calculations!Q84,'Reaction Information'!$C$33,'Reaction Information'!$P$33*10^5,'Reaction Information'!$Q$33)*Calculations!$U84*10^-6 + (1/$S84 - 1)*calculate_domegadP(Calculations!M84,Calculations!N84,Calculations!Q84,'Reaction Information'!$C$33,'Reaction Information'!$P$33*10^5,'Reaction Information'!$Q$33,$D$20,$D$19=3))*41.84)</f>
        <v>#N/A</v>
      </c>
      <c r="BS84" s="1">
        <f>Results!AW86</f>
        <v>0</v>
      </c>
      <c r="BT84" s="1">
        <f>Results!AX86</f>
        <v>0</v>
      </c>
      <c r="BU84" s="1">
        <f>Results!AY86</f>
        <v>0</v>
      </c>
      <c r="BV84" s="1">
        <f>Results!AZ86</f>
        <v>0</v>
      </c>
      <c r="BW84" s="1" t="e">
        <f>IF(OR(ISNA('Reaction Information'!$D$38), $N84 = "", $D$27 = FALSE, 'Reaction Information'!$D$38 = ""), NA(), 24.465)</f>
        <v>#N/A</v>
      </c>
      <c r="BX84" s="1" t="e">
        <f>IF(OR(ISNA('Reaction Information'!$D$42), $N84 = "", $D$27 = FALSE, 'Reaction Information'!$D$42 = ""), NA(), 24.465)</f>
        <v>#N/A</v>
      </c>
      <c r="BY84" s="8" t="e">
        <f t="shared" si="22"/>
        <v>#N/A</v>
      </c>
      <c r="BZ84" s="8">
        <f>IF(OR(ISBLANK(Input!$BK$4),$D$27=FALSE),NA(),('Reaction Information'!$J$46/10+'Reaction Information'!$K$46*100/(Calculations!$C$12+Calculations!$M84)+('Reaction Information'!$L$46+'Reaction Information'!$M$46*10000/(Calculations!$C$12+Calculations!$M84))/(Calculations!$O84-Calculations!$C$13)-calculateOmega(Calculations!M84,Calculations!N84,Calculations!Q84,'Reaction Information'!$C$46,'Reaction Information'!$P$46*10^5,'Reaction Information'!$Q$46)*Calculations!$U84*10^-6 + (1/$S84 - 1)*calculate_domegadP(Calculations!M84,Calculations!N84,Calculations!Q84,'Reaction Information'!$C$46,'Reaction Information'!$P$46*10^5,'Reaction Information'!$Q$46,$D$20,$D$19=3))*41.84)</f>
        <v>0</v>
      </c>
      <c r="CA84" s="8">
        <f>IF(OR(ISBLANK(Input!$BN$4),$D$27=FALSE),NA(),('Reaction Information'!$J$50/10+'Reaction Information'!$K$50*100/(Calculations!$C$12+Calculations!$M84)+('Reaction Information'!$L$50+'Reaction Information'!$M$50*10000/(Calculations!$C$12+Calculations!$M84))/(Calculations!$O84-Calculations!$C$13)-calculateOmega(Calculations!M84,Calculations!N84,Calculations!Q84,'Reaction Information'!$C$50,'Reaction Information'!$P$50*10^5,'Reaction Information'!$Q$50)*Calculations!$U84*10^-6 + (1/$S84 - 1)*calculate_domegadP(Calculations!M84,Calculations!N84,Calculations!Q84,'Reaction Information'!$C$50,'Reaction Information'!$P$50*10^5,'Reaction Information'!$Q$50,$D$20,$D$19=3))*41.84)</f>
        <v>31.080102727152681</v>
      </c>
      <c r="CB84" s="8" t="e">
        <f>IF(OR(ISBLANK(Input!$BQ$4),$D$27=FALSE),NA(),('Reaction Information'!$J$54/10+'Reaction Information'!$K$54*100/(Calculations!$C$12+Calculations!$M84)+('Reaction Information'!$L$54+'Reaction Information'!$M$54*10000/(Calculations!$C$12+Calculations!$M84))/(Calculations!$O84-Calculations!$C$13)-calculateOmega(Calculations!M84,Calculations!N84,Calculations!Q84,'Reaction Information'!$C$54,'Reaction Information'!$P$54*10^5,'Reaction Information'!$Q$54)*Calculations!$U84*10^-6 + (1/$S84 - 1)*calculate_domegadP(Calculations!M84,Calculations!N84,Calculations!Q84,'Reaction Information'!$C$54,'Reaction Information'!$P$54*10^5,'Reaction Information'!$Q$54,$D$20,$D$19=3))*41.84)</f>
        <v>#N/A</v>
      </c>
      <c r="CC84" s="8" t="e">
        <f>IF(OR(ISBLANK(Input!$BT$4),$D$27=FALSE),NA(),('Reaction Information'!$J$58/10+'Reaction Information'!$K$58*100/(Calculations!$C$12+Calculations!$M84)+('Reaction Information'!$L$58+'Reaction Information'!$M$58*10000/(Calculations!$C$12+Calculations!$M84))/(Calculations!$O84-Calculations!$C$13)-calculateOmega(Calculations!M84,Calculations!N84,Calculations!Q84,'Reaction Information'!$C$58,'Reaction Information'!$P$58*10^5,'Reaction Information'!$Q$58)*Calculations!$U84*10^-6 + (1/$S84 - 1)*calculate_domegadP(Calculations!M84,Calculations!N84,Calculations!Q84,'Reaction Information'!$C$58,'Reaction Information'!$P$58*10^5,'Reaction Information'!$Q$58,$D$20,$D$19=3))*41.84)</f>
        <v>#N/A</v>
      </c>
      <c r="CD84" s="8" t="e">
        <f>IF(OR(ISBLANK(Input!$BW$4),$D$27=FALSE),NA(),('Reaction Information'!$J$62/10+'Reaction Information'!$K$62*100/(Calculations!$C$12+Calculations!$M84)+('Reaction Information'!$L$62+'Reaction Information'!$M$62*10000/(Calculations!$C$12+Calculations!$M84))/(Calculations!$O84-Calculations!$C$13)-calculateOmega(Calculations!M84,Calculations!N84,Calculations!Q84,'Reaction Information'!$C$62,'Reaction Information'!$P$62*10^5,'Reaction Information'!$Q$62)*Calculations!$U84*10^-6 + (1/$S84 - 1)*calculate_domegadP(Calculations!M84,Calculations!N84,Calculations!Q84,'Reaction Information'!$C$62,'Reaction Information'!$P$62*10^5,'Reaction Information'!$Q$62,$D$20,$D$19=3))*41.84)</f>
        <v>#N/A</v>
      </c>
      <c r="CE84" s="8" t="e">
        <f>IF(OR(ISBLANK(Input!$BZ$4),$D$27=FALSE),NA(),('Reaction Information'!$J$66/10+'Reaction Information'!$K$66*100/(Calculations!$C$12+Calculations!$M84)+('Reaction Information'!$L$66+'Reaction Information'!$M$66*10000/(Calculations!$C$12+Calculations!$M84))/(Calculations!$O84-Calculations!$C$13)-calculateOmega(Calculations!M84,Calculations!N84,Calculations!Q84,'Reaction Information'!$C$66,'Reaction Information'!$P$66*10^5,'Reaction Information'!$Q$66)*Calculations!$U84*10^-6 + (1/$S84 - 1)*calculate_domegadP(Calculations!M84,Calculations!N84,Calculations!Q84,'Reaction Information'!$C$66,'Reaction Information'!$P$66*10^5,'Reaction Information'!$Q$66,$D$20,$D$19=3))*41.84)</f>
        <v>#N/A</v>
      </c>
      <c r="CF84" s="31">
        <f>(BS84*Input!$AO$4+BT84*Input!$AR$4+BU84*Input!$AU$4+BV84*Input!$AX$4+IF(ISNA(BW84),0,BW84*Input!$BA$4)+IF(ISNA(BX84),0,BX84*Input!$BD$4)+IF(ISNA(BY84),0,BY84*Input!$BG$4)+IF(ISNA(BZ84),0,BZ84*Input!$BJ$4)+IF(ISNA(CA84),0,CA84*Input!$BM$4)+IF(ISNA(CB84),0,CB84*Input!$BP$4)+IF(ISNA(CC84),0,CC84*Input!$BS$4)+IF(ISNA(CD84),0,CD84*Input!$BV$4)+IF(ISNA(CE84),0,CE84*Input!$BY$4))-(BF84*Input!$B$4+BG84*Input!$E$4+BH84*Input!$H$4+BI84*Input!$K$4+IF(ISNA(BJ84),0,BJ84*Input!$N$4)+IF(ISNA(BK84),0,BK84*Input!$Q$4)+IF(ISNA(BL84),0,BL84*Input!$T$4)+IF(ISNA(BM84),0,BM84*Input!$W$4)+IF(ISNA(BN84),0,BN84*Input!$Z$4)+IF(ISNA(BO84),0,BO84*Input!$AC$4)+IF(ISNA(BP84),0,BP84*Input!$AF$4)+IF(ISNA(BQ84),0,BQ84*Input!$AI$4)+IF(ISNA(BR84),0,BR84*Input!$AL$4))</f>
        <v>-13.18136316103482</v>
      </c>
      <c r="CG84" s="1">
        <f t="shared" si="31"/>
        <v>450</v>
      </c>
      <c r="CH84" s="46">
        <f t="shared" si="32"/>
        <v>30000</v>
      </c>
      <c r="CI84" s="1"/>
    </row>
    <row r="85" spans="1:87" x14ac:dyDescent="0.2">
      <c r="A85" s="1"/>
      <c r="B85" s="1"/>
      <c r="C85" s="1"/>
      <c r="D85" s="1"/>
      <c r="E85" s="1"/>
      <c r="F85" s="2">
        <v>80</v>
      </c>
      <c r="G85" s="1" t="str">
        <f>IF(ISBLANK(Input!CB85), "", Input!CB85*1000)</f>
        <v/>
      </c>
      <c r="H85" s="1" t="str">
        <f>IF(ISBLANK(Input!CC85), "", Input!CC85)</f>
        <v/>
      </c>
      <c r="I85" s="1">
        <f>IF(Input!$CF$5 + Input!$CF$6*(FLOOR((Calculations!$F85-1)/(FLOOR((Input!$CF$12-Input!$CF$10)/Input!$CF$11,1)+1),1)) &gt; Input!$CF$7, "", (Input!$CF$5 + Input!$CF$6*(FLOOR((Calculations!$F85-1)/(FLOOR((Input!$CF$12-Input!$CF$10)/Input!$CF$11,1)+1),1)))*1000)</f>
        <v>30000</v>
      </c>
      <c r="J85" s="1">
        <f>IF(Calculations!I85 = "", "", Input!$CF$10 + Input!$CF$11*(Calculations!$F85-1) - (FLOOR((Input!$CF$12-Input!$CF$10)/Input!$CF$11,1)+1)*Input!$CF$11*FLOOR((Calculations!$F85-1)/(FLOOR((Input!$CF$12-Input!$CF$10)/Input!$CF$11,1)+1),1))</f>
        <v>500</v>
      </c>
      <c r="K85" s="8" t="str">
        <f t="shared" si="33"/>
        <v/>
      </c>
      <c r="L85" s="117" t="str">
        <f>IF(OR(Input!$CJ$5 + Input!$CJ$6*(Calculations!F85-1) &gt; Input!$CJ$7, Input!$CJ$5 + Input!$CJ$6*(Calculations!F85-1) &gt; 350), "", Input!$CJ$5 + Input!$CJ$6*(Calculations!F85-1))</f>
        <v/>
      </c>
      <c r="M85" s="1">
        <f t="shared" si="23"/>
        <v>30000</v>
      </c>
      <c r="N85" s="1">
        <f t="shared" si="24"/>
        <v>500</v>
      </c>
      <c r="O85" s="1">
        <f t="shared" si="19"/>
        <v>773.15</v>
      </c>
      <c r="P85" s="1" t="e">
        <f>IF(OR($D$20=3,AND($D$21=TRUE,M85&lt;1000)),INDEX('Water Density'!$C$6:$CX$120,MATCH(Calculations!N85,'Water Density'!$B$6:$B$120),MATCH(Calculations!M85/1000,'Water Density'!$C$5:$CX$5)),NA())</f>
        <v>#N/A</v>
      </c>
      <c r="Q85" s="182">
        <f>IF(OR($D$20=3,AND($D$21=TRUE,M85&lt;1000)), IF(P85&lt;&gt;0,P85,NA()), calculateDensity(M85,N85,$D$20,0.01,$D$19 = 3))</f>
        <v>1.2693785182201862</v>
      </c>
      <c r="R85" s="1" t="e">
        <f>IF($D$22=5,INDEX('Dielectric Constant'!$C$6:$CX$120,MATCH(Calculations!N85,'Dielectric Constant'!$B$6:$B$120),MATCH(Calculations!M85/1000,'Dielectric Constant'!$C$5:$CX$5)),NA())</f>
        <v>#N/A</v>
      </c>
      <c r="S85" s="58">
        <f>IF($D$22=5, IF(R85&lt;&gt;0,R85,NA()), IF(AND($D$23,M85&lt;=5000,$D$19 &lt;&gt; 3),calculateEpsilon(Q85,N85,1,FALSE),calculateEpsilon(Q85,N85,$D$22,$D$19 = 3)))</f>
        <v>34.009466296566615</v>
      </c>
      <c r="T85" s="1" t="e">
        <f>IF($D$24=3,INDEX('Water Free Energy'!$C$6:$CX$120,MATCH(Calculations!N85,'Water Free Energy'!$B$6:$B$120),MATCH(Calculations!M85/1000,'Water Free Energy'!$C$5:$CX$5)),NA())</f>
        <v>#N/A</v>
      </c>
      <c r="U85" s="179">
        <f>IF($D$27,calculateQ(M85,N85,Q85,$D$20,$D$22,$D$19=3)*10^6,NA())</f>
        <v>0.21215974424685302</v>
      </c>
      <c r="V85"/>
      <c r="W85" s="2">
        <f t="shared" si="25"/>
        <v>30000</v>
      </c>
      <c r="X85" s="1">
        <f t="shared" si="26"/>
        <v>500</v>
      </c>
      <c r="Y85" s="1">
        <f>Results!F87</f>
        <v>0</v>
      </c>
      <c r="Z85" s="1">
        <f>Results!G87</f>
        <v>0</v>
      </c>
      <c r="AA85" s="1">
        <f>Results!H87</f>
        <v>0</v>
      </c>
      <c r="AB85" s="1">
        <f>Results!I87</f>
        <v>0</v>
      </c>
      <c r="AC85" s="1" t="e">
        <f>IF(ISBLANK(Input!$O$4),NA(),'Reaction Information'!$E$5-'Reaction Information'!$G$5*(Calculations!$O85-Calculations!$C$8)+'Reaction Information'!$I$5*(Calculations!$O85-Calculations!$C$8-Calculations!$O85*LN(Calculations!$O85/Calculations!$C$8))+'Reaction Information'!$J$5*0.001/2*(2*Calculations!$O85*Calculations!$C$8-Calculations!$O85^2-Calculations!$C$8^2) + 'Reaction Information'!$K$5*100000*(Calculations!$O85^2 + Calculations!$C$8^2 - 2*Calculations!$O85*Calculations!$C$8)/(2*Calculations!$O85*Calculations!$C$8^2))</f>
        <v>#N/A</v>
      </c>
      <c r="AD85" s="8" t="e">
        <f>IF(ISBLANK(Input!$R$4),NA(),'Reaction Information'!$E$9-'Reaction Information'!$G$9*(Calculations!$O85-Calculations!$C$8)+'Reaction Information'!$I$9*(Calculations!$O85-Calculations!$C$8-Calculations!$O85*LN(Calculations!$O85/Calculations!$C$8))+'Reaction Information'!$J$9*0.001/2*(2*Calculations!$O85*Calculations!$C$8-Calculations!$O85^2-Calculations!$C$8^2) + 'Reaction Information'!$K$9*100000*(Calculations!$O85^2 + Calculations!$C$8^2 - 2*Calculations!$O85*Calculations!$C$8)/(2*Calculations!$O85*Calculations!$C$8^2))</f>
        <v>#N/A</v>
      </c>
      <c r="AE85" s="8">
        <f>IF(AE$5="H2O",IF($D$24=3,IF(T85=0,NA(),T85),calculateGibbsOfWater(M85,N85,$D$24,$D$20,$D$19=3)),NA())</f>
        <v>-56714.168719763366</v>
      </c>
      <c r="AF85" s="8">
        <f>IF(ISBLANK(Input!$X$4),NA(),'Reaction Information'!$E$13-'Reaction Information'!$G$13*(Calculations!O85-Calculations!$C$8)-'Reaction Information'!$N$13*(Calculations!O85*LN(Calculations!O85/Calculations!$C$8)-Calculations!O85+Calculations!$C$8)-'Reaction Information'!$O$13*10^4*(((1/(Calculations!O85-Calculations!$C$13))-(1/(Calculations!$C$8-Calculations!$C$13)))*((Calculations!$C$13-Calculations!O85)/(Calculations!$C$13))-(Calculations!O85/(Calculations!$C$13*Calculations!$C$13))*LN((Calculations!$C$8*(Calculations!O85-Calculations!$C$13))/(Calculations!O85*(Calculations!$C$8-Calculations!$C$13))))+'Reaction Information'!$J$13*10^-1*(Calculations!M85-Calculations!$C$9)+'Reaction Information'!$K$13*10^2*LN((Calculations!$C$12+Calculations!M85)/(Calculations!$C$12+Calculations!$C$9))+(1/(Calculations!O85-Calculations!$C$13))*('Reaction Information'!$L$13*(Calculations!M85-Calculations!$C$9)+'Reaction Information'!$M$13*10^4*LN((Calculations!$C$12+Calculations!M85)/(Calculations!$C$12+Calculations!$C$9)))+calculateOmega(Calculations!M85,Calculations!N85,Calculations!Q85,'Reaction Information'!$C$13,'Reaction Information'!$P$13*10^5,'Reaction Information'!$Q$13)*((1/Calculations!S85)-1)-'Reaction Information'!$P$13*10^5*((1/Calculations!$C$10)-1)+'Reaction Information'!$P$13*10^5*Calculations!$C$14*(Calculations!O85-Calculations!$C$8))</f>
        <v>-89159.935255721517</v>
      </c>
      <c r="AG85" s="8" t="e">
        <f>IF(ISBLANK(Input!$AA$4),NA(),'Reaction Information'!$E$17-'Reaction Information'!$G$17*(Calculations!$O85-Calculations!$C$8)-'Reaction Information'!$N$17*(Calculations!$O85*LN(Calculations!$O85/Calculations!$C$8)-Calculations!$O85+Calculations!$C$8)-'Reaction Information'!$O$17*10^4*(((1/(Calculations!$O85-Calculations!$C$13))-(1/(Calculations!$C$8-Calculations!$C$13)))*((Calculations!$C$13-Calculations!$O85)/(Calculations!$C$13))-(Calculations!$O85/(Calculations!$C$13*Calculations!$C$13))*LN((Calculations!$C$8*(Calculations!$O85-Calculations!$C$13))/(Calculations!$O85*(Calculations!$C$8-Calculations!$C$13))))+'Reaction Information'!$J$17*10^-1*(Calculations!$M85-Calculations!$C$9)+'Reaction Information'!$K$17*10^2*LN((Calculations!$C$12+Calculations!$M85)/(Calculations!$C$12+Calculations!$C$9))+(1/(Calculations!$O85-Calculations!$C$13))*('Reaction Information'!$L$17*(Calculations!$M85-Calculations!$C$9)+'Reaction Information'!$M$17*10^4*LN((Calculations!$C$12+Calculations!$M85)/(Calculations!$C$12+Calculations!$C$9)))+calculateOmega(Calculations!M85,Calculations!N85,Calculations!Q85,'Reaction Information'!$C$17,'Reaction Information'!$P$17*10^5,'Reaction Information'!$Q$17)*((1/Calculations!$S85)-1)-'Reaction Information'!$P$17*10^5*((1/Calculations!$C$10)-1)+'Reaction Information'!$P$17*10^5*Calculations!$C$14*(Calculations!$O85-Calculations!$C$8))</f>
        <v>#N/A</v>
      </c>
      <c r="AH85" s="8" t="e">
        <f>IF(ISBLANK(Input!$AD$4),NA(),'Reaction Information'!$E$21-'Reaction Information'!$G$21*(Calculations!$O85-Calculations!$C$8)-'Reaction Information'!$N$21*(Calculations!$O85*LN(Calculations!$O85/Calculations!$C$8)-Calculations!$O85+Calculations!$C$8)-'Reaction Information'!$O$21*10^4*(((1/(Calculations!$O85-Calculations!$C$13))-(1/(Calculations!$C$8-Calculations!$C$13)))*((Calculations!$C$13-Calculations!$O85)/(Calculations!$C$13))-(Calculations!$O85/(Calculations!$C$13*Calculations!$C$13))*LN((Calculations!$C$8*(Calculations!$O85-Calculations!$C$13))/(Calculations!$O85*(Calculations!$C$8-Calculations!$C$13))))+'Reaction Information'!$J$21*10^-1*(Calculations!$M85-Calculations!$C$9)+'Reaction Information'!$K$21*10^2*LN((Calculations!$C$12+Calculations!$M85)/(Calculations!$C$12+Calculations!$C$9))+(1/(Calculations!$O85-Calculations!$C$13))*('Reaction Information'!$L$21*(Calculations!$M85-Calculations!$C$9)+'Reaction Information'!$M$21*10^4*LN((Calculations!$C$12+Calculations!$M85)/(Calculations!$C$12+Calculations!$C$9)))+calculateOmega(Calculations!M85,Calculations!N85,Calculations!Q85,'Reaction Information'!$C$21,'Reaction Information'!$P$21*10^5,'Reaction Information'!$Q$21)*((1/Calculations!$S85)-1)-'Reaction Information'!$P$21*10^5*((1/Calculations!$C$10)-1)+'Reaction Information'!$P$21*10^5*Calculations!$C$14*(Calculations!$O85-Calculations!$C$8))</f>
        <v>#N/A</v>
      </c>
      <c r="AI85" s="8" t="e">
        <f>IF(ISBLANK(Input!$AG$4),NA(),'Reaction Information'!$E$25-'Reaction Information'!$G$25*(Calculations!$O85-Calculations!$C$8)-'Reaction Information'!$N$25*(Calculations!$O85*LN(Calculations!$O85/Calculations!$C$8)-Calculations!$O85+Calculations!$C$8)-'Reaction Information'!$O$25*10^4*(((1/(Calculations!$O85-Calculations!$C$13))-(1/(Calculations!$C$8-Calculations!$C$13)))*((Calculations!$C$13-Calculations!$O85)/(Calculations!$C$13))-(Calculations!$O85/(Calculations!$C$13*Calculations!$C$13))*LN((Calculations!$C$8*(Calculations!$O85-Calculations!$C$13))/(Calculations!$O85*(Calculations!$C$8-Calculations!$C$13))))+'Reaction Information'!$J$25*10^-1*(Calculations!$M85-Calculations!$C$9)+'Reaction Information'!$K$25*10^2*LN((Calculations!$C$12+Calculations!$M85)/(Calculations!$C$12+Calculations!$C$9))+(1/(Calculations!$O85-Calculations!$C$13))*('Reaction Information'!$L$25*(Calculations!$M85-Calculations!$C$9)+'Reaction Information'!$M$25*10^4*LN((Calculations!$C$12+Calculations!$M85)/(Calculations!$C$12+Calculations!$C$9)))+calculateOmega(Calculations!M85,Calculations!N85,Calculations!Q85,'Reaction Information'!$C$25,'Reaction Information'!$P$25*10^5,'Reaction Information'!$Q$25)*((1/Calculations!$S85)-1)-'Reaction Information'!$P$25*10^5*((1/Calculations!$C$10)-1)+'Reaction Information'!$P$25*10^5*Calculations!$C$14*(Calculations!$O85-Calculations!$C$8))</f>
        <v>#N/A</v>
      </c>
      <c r="AJ85" s="8" t="e">
        <f>IF(ISBLANK(Input!$AJ$4),NA(),'Reaction Information'!$E$29-'Reaction Information'!$G$29*(Calculations!$O85-Calculations!$C$8)-'Reaction Information'!$N$29*(Calculations!$O85*LN(Calculations!$O85/Calculations!$C$8)-Calculations!$O85+Calculations!$C$8)-'Reaction Information'!$O$29*10^4*(((1/(Calculations!$O85-Calculations!$C$13))-(1/(Calculations!$C$8-Calculations!$C$13)))*((Calculations!$C$13-Calculations!$O85)/(Calculations!$C$13))-(Calculations!$O85/(Calculations!$C$13*Calculations!$C$13))*LN((Calculations!$C$8*(Calculations!$O85-Calculations!$C$13))/(Calculations!$O85*(Calculations!$C$8-Calculations!$C$13))))+'Reaction Information'!$J$29*10^-1*(Calculations!$M85-Calculations!$C$9)+'Reaction Information'!$K$29*10^2*LN((Calculations!$C$12+Calculations!$M85)/(Calculations!$C$12+Calculations!$C$9))+(1/(Calculations!$O85-Calculations!$C$13))*('Reaction Information'!$L$29*(Calculations!$M85-Calculations!$C$9)+'Reaction Information'!$M$29*10^4*LN((Calculations!$C$12+Calculations!$M85)/(Calculations!$C$12+Calculations!$C$9)))+calculateOmega(Calculations!M85,Calculations!N85,Calculations!Q85,'Reaction Information'!$C$29,'Reaction Information'!$P$29*10^5,'Reaction Information'!$Q$29)*((1/Calculations!$S85)-1)-'Reaction Information'!$P$29*10^5*((1/Calculations!$C$10)-1)+'Reaction Information'!$P$29*10^5*Calculations!$C$14*(Calculations!$O85-Calculations!$C$8))</f>
        <v>#N/A</v>
      </c>
      <c r="AK85" s="8" t="e">
        <f>IF(ISBLANK(Input!$AM$4),NA(),'Reaction Information'!$E$33-'Reaction Information'!$G$33*(Calculations!$O85-Calculations!$C$8)-'Reaction Information'!$N$33*(Calculations!$O85*LN(Calculations!$O85/Calculations!$C$8)-Calculations!$O85+Calculations!$C$8)-'Reaction Information'!$O$33*10^4*(((1/(Calculations!$O85-Calculations!$C$13))-(1/(Calculations!$C$8-Calculations!$C$13)))*((Calculations!$C$13-Calculations!$O85)/(Calculations!$C$13))-(Calculations!$O85/(Calculations!$C$13*Calculations!$C$13))*LN((Calculations!$C$8*(Calculations!$O85-Calculations!$C$13))/(Calculations!$O85*(Calculations!$C$8-Calculations!$C$13))))+'Reaction Information'!$J$33*10^-1*(Calculations!$M85-Calculations!$C$9)+'Reaction Information'!$K$33*10^2*LN((Calculations!$C$12+Calculations!$M85)/(Calculations!$C$12+Calculations!$C$9))+(1/(Calculations!$O85-Calculations!$C$13))*('Reaction Information'!$L$33*(Calculations!$M85-Calculations!$C$9)+'Reaction Information'!$M$33*10^4*LN((Calculations!$C$12+Calculations!$M85)/(Calculations!$C$12+Calculations!$C$9)))+calculateOmega(Calculations!M85,Calculations!N85,Calculations!Q85,'Reaction Information'!$C$33,'Reaction Information'!$P$33*10^5,'Reaction Information'!$Q$33)*((1/Calculations!$S85)-1)-'Reaction Information'!$P$33*10^5*((1/Calculations!$C$10)-1)+'Reaction Information'!$P$33*10^5*Calculations!$C$14*(Calculations!$O85-Calculations!$C$8))</f>
        <v>#N/A</v>
      </c>
      <c r="AL85" s="1">
        <f>Results!S87</f>
        <v>0</v>
      </c>
      <c r="AM85" s="1">
        <f>Results!T87</f>
        <v>0</v>
      </c>
      <c r="AN85" s="1">
        <f>Results!U87</f>
        <v>0</v>
      </c>
      <c r="AO85" s="1">
        <f>Results!V87</f>
        <v>0</v>
      </c>
      <c r="AP85" s="8" t="e">
        <f>IF(ISBLANK(Input!$BB$4),NA(),'Reaction Information'!$E$38-'Reaction Information'!$G$38*(Calculations!$O85-Calculations!$C$8)+'Reaction Information'!$I$38*(Calculations!$O85-Calculations!$C$8-Calculations!$O85*LN(Calculations!$O85/Calculations!$C$8))+'Reaction Information'!$J$38*0.001/2*(2*Calculations!$O85*Calculations!$C$8-Calculations!$O85^2-Calculations!$C$8^2) + 'Reaction Information'!$K$38*100000*(Calculations!$O85^2 + Calculations!$C$8^2 - 2*Calculations!$O85*Calculations!$C$8)/(2*Calculations!$O85*Calculations!$C$8^2))</f>
        <v>#N/A</v>
      </c>
      <c r="AQ85" s="8" t="e">
        <f>IF(ISBLANK(Input!$BE$4),NA(),'Reaction Information'!$E$42-'Reaction Information'!$G$42*(Calculations!$O85-Calculations!$C$8)+'Reaction Information'!$I$42*(Calculations!$O85-Calculations!$C$8-Calculations!$O85*LN(Calculations!$O85/Calculations!$C$8))+'Reaction Information'!$J$42*0.001/2*(2*Calculations!$O85*Calculations!$C$8-Calculations!$O85^2-Calculations!$C$8^2) + 'Reaction Information'!$K$42*100000*(Calculations!$O85^2 + Calculations!$C$8^2 - 2*Calculations!$O85*Calculations!$C$8)/(2*Calculations!$O85*Calculations!$C$8^2))</f>
        <v>#N/A</v>
      </c>
      <c r="AR85" s="8" t="e">
        <f>IF(AR$5="H2O", IF($D$24=3,IF(T85=0,NA(),T85),calculateGibbsOfWater(M85,N85,$D$24,$D$20,$D$19=3)),NA())</f>
        <v>#N/A</v>
      </c>
      <c r="AS85" s="8">
        <f>IF(ISBLANK(Input!$BK$4),NA(),'Reaction Information'!$E$46-'Reaction Information'!$G$46*(Calculations!O85-Calculations!$C$8)-'Reaction Information'!$N$46*(Calculations!O85*LN(Calculations!O85/Calculations!$C$8)-Calculations!O85+Calculations!$C$8)-'Reaction Information'!$O$46*10^4*(((1/(Calculations!O85-Calculations!$C$13))-(1/(Calculations!$C$8-Calculations!$C$13)))*((Calculations!$C$13-Calculations!O85)/(Calculations!$C$13))-(Calculations!O85/(Calculations!$C$13*Calculations!$C$13))*LN((Calculations!$C$8*(Calculations!O85-Calculations!$C$13))/(Calculations!O85*(Calculations!$C$8-Calculations!$C$13))))+'Reaction Information'!$J$46*10^-1*(Calculations!$M85-Calculations!$C$9)+'Reaction Information'!$K$46*10^2*LN((Calculations!$C$12+Calculations!$M85)/(Calculations!$C$12+Calculations!$C$9))+(1/(Calculations!O85-Calculations!$C$13))*('Reaction Information'!$L$46*(Calculations!$M85-Calculations!$C$9)+'Reaction Information'!$M$46*10^4*LN((Calculations!$C$12+Calculations!$M85)/(Calculations!$C$12+Calculations!$C$9)))+calculateOmega(Calculations!M85,Calculations!N85,Calculations!Q85,'Reaction Information'!$C$46,'Reaction Information'!$P$46*10^5,'Reaction Information'!$Q$46)*((1/Calculations!S85)-1)-'Reaction Information'!$P$46*10^5*((1/Calculations!$C$10)-1)+'Reaction Information'!$P$46*10^5*Calculations!$C$14*(Calculations!O85-Calculations!$C$8))</f>
        <v>0</v>
      </c>
      <c r="AT85" s="8">
        <f>IF(ISBLANK(Input!$BN$4),NA(),'Reaction Information'!$E$50-'Reaction Information'!$G$50*(Calculations!O85-Calculations!$C$8)-'Reaction Information'!$N$50*(Calculations!O85*LN(Calculations!O85/Calculations!$C$8)-Calculations!O85+Calculations!$C$8)-'Reaction Information'!$O$50*10^4*(((1/(Calculations!O85-Calculations!$C$13))-(1/(Calculations!$C$8-Calculations!$C$13)))*((Calculations!$C$13-Calculations!O85)/(Calculations!$C$13))-(Calculations!O85/(Calculations!$C$13*Calculations!$C$13))*LN((Calculations!$C$8*(Calculations!O85-Calculations!$C$13))/(Calculations!O85*(Calculations!$C$8-Calculations!$C$13))))+'Reaction Information'!$J$50*10^-1*(Calculations!$M85-Calculations!$C$9)+'Reaction Information'!$K$50*10^2*LN((Calculations!$C$12+Calculations!$M85)/(Calculations!$C$12+Calculations!$C$9))+(1/(Calculations!O85-Calculations!$C$13))*('Reaction Information'!$L$50*(Calculations!$M85-Calculations!$C$9)+'Reaction Information'!$M$50*10^4*LN((Calculations!$C$12+Calculations!$M85)/(Calculations!$C$12+Calculations!$C$9)))+calculateOmega(Calculations!M85,Calculations!N85,Calculations!Q85,'Reaction Information'!$C$50,'Reaction Information'!$P$50*10^5,'Reaction Information'!$Q$50)*((1/Calculations!S85)-1)-'Reaction Information'!$P$50*10^5*((1/Calculations!$C$10)-1)+'Reaction Information'!$P$50*10^5*Calculations!$C$14*(Calculations!O85-Calculations!$C$8))</f>
        <v>-132131.1467261776</v>
      </c>
      <c r="AU85" s="8" t="e">
        <f>IF(ISBLANK(Input!$BQ$4),NA(),'Reaction Information'!$E$54-'Reaction Information'!$G$54*(Calculations!$O85-Calculations!$C$8)-'Reaction Information'!$N$54*(Calculations!$O85*LN(Calculations!$O85/Calculations!$C$8)-Calculations!$O85+Calculations!$C$8)-'Reaction Information'!$O$54*10^4*(((1/(Calculations!$O85-Calculations!$C$13))-(1/(Calculations!$C$8-Calculations!$C$13)))*((Calculations!$C$13-Calculations!$O85)/(Calculations!$C$13))-(Calculations!$O85/(Calculations!$C$13*Calculations!$C$13))*LN((Calculations!$C$8*(Calculations!$O85-Calculations!$C$13))/(Calculations!$O85*(Calculations!$C$8-Calculations!$C$13))))+'Reaction Information'!$J$54*10^-1*(Calculations!$M85-Calculations!$C$9)+'Reaction Information'!$K$54*10^2*LN((Calculations!$C$12+Calculations!$M85)/(Calculations!$C$12+Calculations!$C$9))+(1/(Calculations!$O85-Calculations!$C$13))*('Reaction Information'!$L$54*(Calculations!$M85-Calculations!$C$9)+'Reaction Information'!$M$54*10^4*LN((Calculations!$C$12+Calculations!$M85)/(Calculations!$C$12+Calculations!$C$9)))+calculateOmega(Calculations!M85,Calculations!N85,Calculations!Q85,'Reaction Information'!$C$54,'Reaction Information'!$P$54*10^5,'Reaction Information'!$Q$54)*((1/Calculations!$S85)-1)-'Reaction Information'!$P$54*10^5*((1/Calculations!$C$10)-1)+'Reaction Information'!$P$54*10^5*Calculations!$C$14*(Calculations!$O85-Calculations!$C$8))</f>
        <v>#N/A</v>
      </c>
      <c r="AV85" s="8" t="e">
        <f>IF(ISBLANK(Input!$BT$4),NA(),'Reaction Information'!$E$58-'Reaction Information'!$G$58*(Calculations!$O85-Calculations!$C$8)-'Reaction Information'!$N$58*(Calculations!$O85*LN(Calculations!$O85/Calculations!$C$8)-Calculations!$O85+Calculations!$C$8)-'Reaction Information'!$O$58*10^4*(((1/(Calculations!$O85-Calculations!$C$13))-(1/(Calculations!$C$8-Calculations!$C$13)))*((Calculations!$C$13-Calculations!$O85)/(Calculations!$C$13))-(Calculations!$O85/(Calculations!$C$13*Calculations!$C$13))*LN((Calculations!$C$8*(Calculations!$O85-Calculations!$C$13))/(Calculations!$O85*(Calculations!$C$8-Calculations!$C$13))))+'Reaction Information'!$J$58*10^-1*(Calculations!$M85-Calculations!$C$9)+'Reaction Information'!$K$58*10^2*LN((Calculations!$C$12+Calculations!$M85)/(Calculations!$C$12+Calculations!$C$9))+(1/(Calculations!$O85-Calculations!$C$13))*('Reaction Information'!$L$58*(Calculations!$M85-Calculations!$C$9)+'Reaction Information'!$M$58*10^4*LN((Calculations!$C$12+Calculations!$M85)/(Calculations!$C$12+Calculations!$C$9)))+calculateOmega(Calculations!M85,Calculations!N85,Calculations!Q85,'Reaction Information'!$C$58,'Reaction Information'!$P$58*10^5,'Reaction Information'!$Q$58)*((1/Calculations!$S85)-1)-'Reaction Information'!$P$58*10^5*((1/Calculations!$C$10)-1)+'Reaction Information'!$P$58*10^5*Calculations!$C$14*(Calculations!$O85-Calculations!$C$8))</f>
        <v>#N/A</v>
      </c>
      <c r="AW85" s="8" t="e">
        <f>IF(ISBLANK(Input!$BW$4),NA(),'Reaction Information'!$E$62-'Reaction Information'!$G$62*(Calculations!$O85-Calculations!$C$8)-'Reaction Information'!$N$62*(Calculations!$O85*LN(Calculations!$O85/Calculations!$C$8)-Calculations!$O85+Calculations!$C$8)-'Reaction Information'!$O$62*10^4*(((1/(Calculations!$O85-Calculations!$C$13))-(1/(Calculations!$C$8-Calculations!$C$13)))*((Calculations!$C$13-Calculations!$O85)/(Calculations!$C$13))-(Calculations!$O85/(Calculations!$C$13*Calculations!$C$13))*LN((Calculations!$C$8*(Calculations!$O85-Calculations!$C$13))/(Calculations!$O85*(Calculations!$C$8-Calculations!$C$13))))+'Reaction Information'!$J$62*10^-1*(Calculations!$M85-Calculations!$C$9)+'Reaction Information'!$K$62*10^2*LN((Calculations!$C$12+Calculations!$M85)/(Calculations!$C$12+Calculations!$C$9))+(1/(Calculations!$O85-Calculations!$C$13))*('Reaction Information'!$L$62*(Calculations!$M85-Calculations!$C$9)+'Reaction Information'!$M$62*10^4*LN((Calculations!$C$12+Calculations!$M85)/(Calculations!$C$12+Calculations!$C$9)))+calculateOmega(Calculations!M85,Calculations!N85,Calculations!Q85,'Reaction Information'!$C$62,'Reaction Information'!$P$62*10^5,'Reaction Information'!$Q$62)*((1/Calculations!$S85)-1)-'Reaction Information'!$P$62*10^5*((1/Calculations!$C$10)-1)+'Reaction Information'!$P$62*10^5*Calculations!$C$14*(Calculations!$O85-Calculations!$C$8))</f>
        <v>#N/A</v>
      </c>
      <c r="AX85" s="8" t="e">
        <f>IF(ISBLANK(Input!$BZ$4),NA(),'Reaction Information'!$E$66-'Reaction Information'!$G$66*(Calculations!$O85-Calculations!$C$8)-'Reaction Information'!$N$66*(Calculations!$O85*LN(Calculations!$O85/Calculations!$C$8)-Calculations!$O85+Calculations!$C$8)-'Reaction Information'!$O$66*10^4*(((1/(Calculations!$O85-Calculations!$C$13))-(1/(Calculations!$C$8-Calculations!$C$13)))*((Calculations!$C$13-Calculations!$O85)/(Calculations!$C$13))-(Calculations!$O85/(Calculations!$C$13*Calculations!$C$13))*LN((Calculations!$C$8*(Calculations!$O85-Calculations!$C$13))/(Calculations!$O85*(Calculations!$C$8-Calculations!$C$13))))+'Reaction Information'!$J$66*10^-1*(Calculations!$M85-Calculations!$C$9)+'Reaction Information'!$K$66*10^2*LN((Calculations!$C$12+Calculations!$M85)/(Calculations!$C$12+Calculations!$C$9))+(1/(Calculations!$O85-Calculations!$C$13))*('Reaction Information'!$L$66*(Calculations!$M85-Calculations!$C$9)+'Reaction Information'!$M$66*10^4*LN((Calculations!$C$12+Calculations!$M85)/(Calculations!$C$12+Calculations!$C$9)))+calculateOmega(Calculations!M85,Calculations!N85,Calculations!Q85,'Reaction Information'!$C$66,'Reaction Information'!$P$66*10^5,'Reaction Information'!$Q$66)*((1/Calculations!$S85)-1)-'Reaction Information'!$P$66*10^5*((1/Calculations!$C$10)-1)+'Reaction Information'!$P$66*10^5*Calculations!$C$14*(Calculations!$O85-Calculations!$C$8))</f>
        <v>#N/A</v>
      </c>
      <c r="AY85" s="31">
        <f>(AL85*Input!$AO$4+AM85*Input!$AR$4+AN85*Input!$AU$4+AO85*Input!$AX$4+IF(ISNA(AP85),0,AP85*Input!$BA$4)+IF(ISNA(AQ85),0,AQ85*Input!$BD$4)+IF(ISNA(AR85),0,AR85*Input!$BG$4)+IF(ISNA(AS85),0,AS85*Input!$BJ$4)+IF(ISNA(AT85),0,AT85*Input!$BM$4)+IF(ISNA(AU85),0,AU85*Input!$BP$4)+IF(ISNA(AV85),0,AV85*Input!$BS$4)+IF(ISNA(AW85),0,AW85*Input!$BV$4)+IF(ISNA(AX85),0,AX85*Input!$BY$4))-(Y85*Input!$B$4+Z85*Input!$E$4+AA85*Input!$H$4+AB85*Input!$K$4+IF(ISNA(AC85),0,AC85*Input!$N$4)+IF(ISNA(AD85),0,AD85*Input!$Q$4)+IF(ISNA(AE85),0,AE85*Input!$T$4)+IF(ISNA(AF85),0,AF85*Input!$W$4)+IF(ISNA(AG85),0,AG85*Input!$Z$4)+IF(ISNA(AH85),0,AH85*Input!$AC$4)+IF(ISNA(AI85),0,AI85*Input!$AF$4)+IF(ISNA(AJ85),0,AJ85*Input!$AI$4)+IF(ISNA(AK85),0,AK85*Input!$AL$4))</f>
        <v>13742.957249307277</v>
      </c>
      <c r="AZ85" s="42">
        <f t="shared" si="20"/>
        <v>-3.8873022424197337</v>
      </c>
      <c r="BA85" s="1">
        <f t="shared" si="27"/>
        <v>500</v>
      </c>
      <c r="BB85" s="46">
        <f t="shared" si="28"/>
        <v>30000</v>
      </c>
      <c r="BC85" s="1"/>
      <c r="BD85" s="2">
        <f t="shared" si="29"/>
        <v>30000</v>
      </c>
      <c r="BE85" s="46">
        <f t="shared" si="30"/>
        <v>500</v>
      </c>
      <c r="BF85" s="1">
        <f>Results!AJ87</f>
        <v>0</v>
      </c>
      <c r="BG85" s="1">
        <f>Results!AK87</f>
        <v>0</v>
      </c>
      <c r="BH85" s="1">
        <f>Results!AL87</f>
        <v>0</v>
      </c>
      <c r="BI85" s="1">
        <f>Results!AM87</f>
        <v>0</v>
      </c>
      <c r="BJ85" s="1" t="e">
        <f>IF(OR(ISNA('Reaction Information'!$D$5), $N85 = "", $D$27 = FALSE, 'Reaction Information'!$D$5 = ""), NA(), 24.465)</f>
        <v>#N/A</v>
      </c>
      <c r="BK85" s="1" t="e">
        <f>IF(OR(ISNA('Reaction Information'!$D$9), $N85 = "", $D$27 = FALSE, 'Reaction Information'!$D$9 = ""), NA(), 24.465)</f>
        <v>#N/A</v>
      </c>
      <c r="BL85" s="8">
        <f t="shared" si="21"/>
        <v>14.192204879329045</v>
      </c>
      <c r="BM85" s="8">
        <f>IF(OR(ISBLANK(Input!$X$4),$D$27=FALSE),NA(),('Reaction Information'!$J$13/10+'Reaction Information'!$K$13*100/(Calculations!$C$12+Calculations!$M85)+('Reaction Information'!$L$13+'Reaction Information'!$M$13*10^4/(Calculations!$C$12+Calculations!$M85))/(Calculations!$O85-Calculations!$C$13) -calculateOmega(Calculations!$M85,Calculations!$N85,Calculations!$Q85,'Reaction Information'!$C$13,'Reaction Information'!$P$13*10^5,'Reaction Information'!$Q$13)*Calculations!$U85*10^-6 + (1/$S85 - 1)*calculate_domegadP(Calculations!$M85,Calculations!$N85,Calculations!$Q85,'Reaction Information'!$C$13,'Reaction Information'!$P$13*10^5,'Reaction Information'!$Q$13,$D$20,$D$19=3))*41.84)</f>
        <v>30.296986103837718</v>
      </c>
      <c r="BN85" s="8" t="e">
        <f>IF(OR(ISBLANK(Input!$AA$4),$D$27=FALSE),NA(),('Reaction Information'!$J$17/10+'Reaction Information'!$K$17*100/(Calculations!$C$12+Calculations!$M85)+('Reaction Information'!$L$17+'Reaction Information'!$M$17*10000/(Calculations!$C$12+Calculations!$M85))/(Calculations!$O85-Calculations!$C$13)-calculateOmega(Calculations!M85,Calculations!N85,Calculations!Q85,'Reaction Information'!$C$17,'Reaction Information'!$P$17*10^5,'Reaction Information'!$Q$17)*Calculations!$U85*10^-6 + (1/$S85 - 1)*calculate_domegadP(Calculations!M85,Calculations!N85,Calculations!Q85,'Reaction Information'!$C$17,'Reaction Information'!$P$17*10^5,'Reaction Information'!$Q$17,$D$20,$D$19=3))*41.84)</f>
        <v>#N/A</v>
      </c>
      <c r="BO85" s="8" t="e">
        <f>IF(OR(ISBLANK(Input!$AD$4),$D$27=FALSE),NA(),('Reaction Information'!$J$21/10+'Reaction Information'!$K$21*100/(Calculations!$C$12+Calculations!$M85)+('Reaction Information'!$L$21+'Reaction Information'!$M$21*10000/(Calculations!$C$12+Calculations!$M85))/(Calculations!$O85-Calculations!$C$13)-calculateOmega(Calculations!M85,Calculations!N85,Calculations!Q85,'Reaction Information'!$C$21,'Reaction Information'!$P$21*10^5,'Reaction Information'!$Q$21)*Calculations!$U85*10^-6 + (1/$S85 - 1)*calculate_domegadP(Calculations!M85,Calculations!N85,Calculations!Q85,'Reaction Information'!$C$21,'Reaction Information'!$P$21*10^5,'Reaction Information'!$Q$21,$D$20,$D$19=3))*41.84)</f>
        <v>#N/A</v>
      </c>
      <c r="BP85" s="8" t="e">
        <f>IF(OR(ISBLANK(Input!$AG$4),$D$27=FALSE),NA(),('Reaction Information'!$J$25/10+'Reaction Information'!$K$25*100/(Calculations!$C$12+Calculations!$M85)+('Reaction Information'!$L$25+'Reaction Information'!$M$25*10000/(Calculations!$C$12+Calculations!$M85))/(Calculations!$O85-Calculations!$C$13)-calculateOmega(Calculations!M85,Calculations!N85,Calculations!Q85,'Reaction Information'!$C$25,'Reaction Information'!$P$25*10^5,'Reaction Information'!$Q$25)*Calculations!$U85*10^-6 + (1/$S85 - 1)*calculate_domegadP(Calculations!M85,Calculations!N85,Calculations!Q85,'Reaction Information'!$C$25,'Reaction Information'!$P$25*10^5,'Reaction Information'!$Q$25,$D$20,$D$19=3))*41.84)</f>
        <v>#N/A</v>
      </c>
      <c r="BQ85" s="8" t="e">
        <f>IF(OR(ISBLANK(Input!$AJ$4),$D$27=FALSE),NA(),('Reaction Information'!$J$29/10+'Reaction Information'!$K$29*100/(Calculations!$C$12+Calculations!$M85)+('Reaction Information'!$L$29+'Reaction Information'!$M$29*10000/(Calculations!$C$12+Calculations!$M85))/(Calculations!$O85-Calculations!$C$13)-calculateOmega(Calculations!M85,Calculations!N85,Calculations!Q85,'Reaction Information'!$C$29,'Reaction Information'!$P$29*10^5,'Reaction Information'!$Q$29)*Calculations!$U85*10^-6 + (1/$S85 - 1)*calculate_domegadP(Calculations!M85,Calculations!N85,Calculations!Q85,'Reaction Information'!$C$29,'Reaction Information'!$P$29*10^5,'Reaction Information'!$Q$29,$D$20,$D$19=3))*41.84)</f>
        <v>#N/A</v>
      </c>
      <c r="BR85" s="8" t="e">
        <f>IF(OR(ISBLANK(Input!$AM$4),$D$27=FALSE),NA(),('Reaction Information'!$J$33/10+'Reaction Information'!$K$33*100/(Calculations!$C$12+Calculations!$M85)+('Reaction Information'!$L$33+'Reaction Information'!$M$33*10000/(Calculations!$C$12+Calculations!$M85))/(Calculations!$O85-Calculations!$C$13)-calculateOmega(Calculations!M85,Calculations!N85,Calculations!Q85,'Reaction Information'!$C$33,'Reaction Information'!$P$33*10^5,'Reaction Information'!$Q$33)*Calculations!$U85*10^-6 + (1/$S85 - 1)*calculate_domegadP(Calculations!M85,Calculations!N85,Calculations!Q85,'Reaction Information'!$C$33,'Reaction Information'!$P$33*10^5,'Reaction Information'!$Q$33,$D$20,$D$19=3))*41.84)</f>
        <v>#N/A</v>
      </c>
      <c r="BS85" s="1">
        <f>Results!AW87</f>
        <v>0</v>
      </c>
      <c r="BT85" s="1">
        <f>Results!AX87</f>
        <v>0</v>
      </c>
      <c r="BU85" s="1">
        <f>Results!AY87</f>
        <v>0</v>
      </c>
      <c r="BV85" s="1">
        <f>Results!AZ87</f>
        <v>0</v>
      </c>
      <c r="BW85" s="1" t="e">
        <f>IF(OR(ISNA('Reaction Information'!$D$38), $N85 = "", $D$27 = FALSE, 'Reaction Information'!$D$38 = ""), NA(), 24.465)</f>
        <v>#N/A</v>
      </c>
      <c r="BX85" s="1" t="e">
        <f>IF(OR(ISNA('Reaction Information'!$D$42), $N85 = "", $D$27 = FALSE, 'Reaction Information'!$D$42 = ""), NA(), 24.465)</f>
        <v>#N/A</v>
      </c>
      <c r="BY85" s="8" t="e">
        <f t="shared" si="22"/>
        <v>#N/A</v>
      </c>
      <c r="BZ85" s="8">
        <f>IF(OR(ISBLANK(Input!$BK$4),$D$27=FALSE),NA(),('Reaction Information'!$J$46/10+'Reaction Information'!$K$46*100/(Calculations!$C$12+Calculations!$M85)+('Reaction Information'!$L$46+'Reaction Information'!$M$46*10000/(Calculations!$C$12+Calculations!$M85))/(Calculations!$O85-Calculations!$C$13)-calculateOmega(Calculations!M85,Calculations!N85,Calculations!Q85,'Reaction Information'!$C$46,'Reaction Information'!$P$46*10^5,'Reaction Information'!$Q$46)*Calculations!$U85*10^-6 + (1/$S85 - 1)*calculate_domegadP(Calculations!M85,Calculations!N85,Calculations!Q85,'Reaction Information'!$C$46,'Reaction Information'!$P$46*10^5,'Reaction Information'!$Q$46,$D$20,$D$19=3))*41.84)</f>
        <v>0</v>
      </c>
      <c r="CA85" s="8">
        <f>IF(OR(ISBLANK(Input!$BN$4),$D$27=FALSE),NA(),('Reaction Information'!$J$50/10+'Reaction Information'!$K$50*100/(Calculations!$C$12+Calculations!$M85)+('Reaction Information'!$L$50+'Reaction Information'!$M$50*10000/(Calculations!$C$12+Calculations!$M85))/(Calculations!$O85-Calculations!$C$13)-calculateOmega(Calculations!M85,Calculations!N85,Calculations!Q85,'Reaction Information'!$C$50,'Reaction Information'!$P$50*10^5,'Reaction Information'!$Q$50)*Calculations!$U85*10^-6 + (1/$S85 - 1)*calculate_domegadP(Calculations!M85,Calculations!N85,Calculations!Q85,'Reaction Information'!$C$50,'Reaction Information'!$P$50*10^5,'Reaction Information'!$Q$50,$D$20,$D$19=3))*41.84)</f>
        <v>30.975056775112041</v>
      </c>
      <c r="CB85" s="8" t="e">
        <f>IF(OR(ISBLANK(Input!$BQ$4),$D$27=FALSE),NA(),('Reaction Information'!$J$54/10+'Reaction Information'!$K$54*100/(Calculations!$C$12+Calculations!$M85)+('Reaction Information'!$L$54+'Reaction Information'!$M$54*10000/(Calculations!$C$12+Calculations!$M85))/(Calculations!$O85-Calculations!$C$13)-calculateOmega(Calculations!M85,Calculations!N85,Calculations!Q85,'Reaction Information'!$C$54,'Reaction Information'!$P$54*10^5,'Reaction Information'!$Q$54)*Calculations!$U85*10^-6 + (1/$S85 - 1)*calculate_domegadP(Calculations!M85,Calculations!N85,Calculations!Q85,'Reaction Information'!$C$54,'Reaction Information'!$P$54*10^5,'Reaction Information'!$Q$54,$D$20,$D$19=3))*41.84)</f>
        <v>#N/A</v>
      </c>
      <c r="CC85" s="8" t="e">
        <f>IF(OR(ISBLANK(Input!$BT$4),$D$27=FALSE),NA(),('Reaction Information'!$J$58/10+'Reaction Information'!$K$58*100/(Calculations!$C$12+Calculations!$M85)+('Reaction Information'!$L$58+'Reaction Information'!$M$58*10000/(Calculations!$C$12+Calculations!$M85))/(Calculations!$O85-Calculations!$C$13)-calculateOmega(Calculations!M85,Calculations!N85,Calculations!Q85,'Reaction Information'!$C$58,'Reaction Information'!$P$58*10^5,'Reaction Information'!$Q$58)*Calculations!$U85*10^-6 + (1/$S85 - 1)*calculate_domegadP(Calculations!M85,Calculations!N85,Calculations!Q85,'Reaction Information'!$C$58,'Reaction Information'!$P$58*10^5,'Reaction Information'!$Q$58,$D$20,$D$19=3))*41.84)</f>
        <v>#N/A</v>
      </c>
      <c r="CD85" s="8" t="e">
        <f>IF(OR(ISBLANK(Input!$BW$4),$D$27=FALSE),NA(),('Reaction Information'!$J$62/10+'Reaction Information'!$K$62*100/(Calculations!$C$12+Calculations!$M85)+('Reaction Information'!$L$62+'Reaction Information'!$M$62*10000/(Calculations!$C$12+Calculations!$M85))/(Calculations!$O85-Calculations!$C$13)-calculateOmega(Calculations!M85,Calculations!N85,Calculations!Q85,'Reaction Information'!$C$62,'Reaction Information'!$P$62*10^5,'Reaction Information'!$Q$62)*Calculations!$U85*10^-6 + (1/$S85 - 1)*calculate_domegadP(Calculations!M85,Calculations!N85,Calculations!Q85,'Reaction Information'!$C$62,'Reaction Information'!$P$62*10^5,'Reaction Information'!$Q$62,$D$20,$D$19=3))*41.84)</f>
        <v>#N/A</v>
      </c>
      <c r="CE85" s="8" t="e">
        <f>IF(OR(ISBLANK(Input!$BZ$4),$D$27=FALSE),NA(),('Reaction Information'!$J$66/10+'Reaction Information'!$K$66*100/(Calculations!$C$12+Calculations!$M85)+('Reaction Information'!$L$66+'Reaction Information'!$M$66*10000/(Calculations!$C$12+Calculations!$M85))/(Calculations!$O85-Calculations!$C$13)-calculateOmega(Calculations!M85,Calculations!N85,Calculations!Q85,'Reaction Information'!$C$66,'Reaction Information'!$P$66*10^5,'Reaction Information'!$Q$66)*Calculations!$U85*10^-6 + (1/$S85 - 1)*calculate_domegadP(Calculations!M85,Calculations!N85,Calculations!Q85,'Reaction Information'!$C$66,'Reaction Information'!$P$66*10^5,'Reaction Information'!$Q$66,$D$20,$D$19=3))*41.84)</f>
        <v>#N/A</v>
      </c>
      <c r="CF85" s="31">
        <f>(BS85*Input!$AO$4+BT85*Input!$AR$4+BU85*Input!$AU$4+BV85*Input!$AX$4+IF(ISNA(BW85),0,BW85*Input!$BA$4)+IF(ISNA(BX85),0,BX85*Input!$BD$4)+IF(ISNA(BY85),0,BY85*Input!$BG$4)+IF(ISNA(BZ85),0,BZ85*Input!$BJ$4)+IF(ISNA(CA85),0,CA85*Input!$BM$4)+IF(ISNA(CB85),0,CB85*Input!$BP$4)+IF(ISNA(CC85),0,CC85*Input!$BS$4)+IF(ISNA(CD85),0,CD85*Input!$BV$4)+IF(ISNA(CE85),0,CE85*Input!$BY$4))-(BF85*Input!$B$4+BG85*Input!$E$4+BH85*Input!$H$4+BI85*Input!$K$4+IF(ISNA(BJ85),0,BJ85*Input!$N$4)+IF(ISNA(BK85),0,BK85*Input!$Q$4)+IF(ISNA(BL85),0,BL85*Input!$T$4)+IF(ISNA(BM85),0,BM85*Input!$W$4)+IF(ISNA(BN85),0,BN85*Input!$Z$4)+IF(ISNA(BO85),0,BO85*Input!$AC$4)+IF(ISNA(BP85),0,BP85*Input!$AF$4)+IF(ISNA(BQ85),0,BQ85*Input!$AI$4)+IF(ISNA(BR85),0,BR85*Input!$AL$4))</f>
        <v>-13.514134208054724</v>
      </c>
      <c r="CG85" s="1">
        <f t="shared" si="31"/>
        <v>500</v>
      </c>
      <c r="CH85" s="46">
        <f t="shared" si="32"/>
        <v>30000</v>
      </c>
      <c r="CI85" s="1"/>
    </row>
    <row r="86" spans="1:87" x14ac:dyDescent="0.2">
      <c r="A86" s="1"/>
      <c r="B86" s="1"/>
      <c r="C86" s="1"/>
      <c r="D86" s="1"/>
      <c r="E86" s="1"/>
      <c r="F86" s="2">
        <v>81</v>
      </c>
      <c r="G86" s="1" t="str">
        <f>IF(ISBLANK(Input!CB86), "", Input!CB86*1000)</f>
        <v/>
      </c>
      <c r="H86" s="1" t="str">
        <f>IF(ISBLANK(Input!CC86), "", Input!CC86)</f>
        <v/>
      </c>
      <c r="I86" s="1">
        <f>IF(Input!$CF$5 + Input!$CF$6*(FLOOR((Calculations!$F86-1)/(FLOOR((Input!$CF$12-Input!$CF$10)/Input!$CF$11,1)+1),1)) &gt; Input!$CF$7, "", (Input!$CF$5 + Input!$CF$6*(FLOOR((Calculations!$F86-1)/(FLOOR((Input!$CF$12-Input!$CF$10)/Input!$CF$11,1)+1),1)))*1000)</f>
        <v>30000</v>
      </c>
      <c r="J86" s="1">
        <f>IF(Calculations!I86 = "", "", Input!$CF$10 + Input!$CF$11*(Calculations!$F86-1) - (FLOOR((Input!$CF$12-Input!$CF$10)/Input!$CF$11,1)+1)*Input!$CF$11*FLOOR((Calculations!$F86-1)/(FLOOR((Input!$CF$12-Input!$CF$10)/Input!$CF$11,1)+1),1))</f>
        <v>550</v>
      </c>
      <c r="K86" s="8" t="str">
        <f t="shared" si="33"/>
        <v/>
      </c>
      <c r="L86" s="117" t="str">
        <f>IF(OR(Input!$CJ$5 + Input!$CJ$6*(Calculations!F86-1) &gt; Input!$CJ$7, Input!$CJ$5 + Input!$CJ$6*(Calculations!F86-1) &gt; 350), "", Input!$CJ$5 + Input!$CJ$6*(Calculations!F86-1))</f>
        <v/>
      </c>
      <c r="M86" s="1">
        <f t="shared" si="23"/>
        <v>30000</v>
      </c>
      <c r="N86" s="1">
        <f t="shared" si="24"/>
        <v>550</v>
      </c>
      <c r="O86" s="1">
        <f t="shared" si="19"/>
        <v>823.15</v>
      </c>
      <c r="P86" s="1" t="e">
        <f>IF(OR($D$20=3,AND($D$21=TRUE,M86&lt;1000)),INDEX('Water Density'!$C$6:$CX$120,MATCH(Calculations!N86,'Water Density'!$B$6:$B$120),MATCH(Calculations!M86/1000,'Water Density'!$C$5:$CX$5)),NA())</f>
        <v>#N/A</v>
      </c>
      <c r="Q86" s="182">
        <f>IF(OR($D$20=3,AND($D$21=TRUE,M86&lt;1000)), IF(P86&lt;&gt;0,P86,NA()), calculateDensity(M86,N86,$D$20,0.01,$D$19 = 3))</f>
        <v>1.2536499584597349</v>
      </c>
      <c r="R86" s="1" t="e">
        <f>IF($D$22=5,INDEX('Dielectric Constant'!$C$6:$CX$120,MATCH(Calculations!N86,'Dielectric Constant'!$B$6:$B$120),MATCH(Calculations!M86/1000,'Dielectric Constant'!$C$5:$CX$5)),NA())</f>
        <v>#N/A</v>
      </c>
      <c r="S86" s="58">
        <f>IF($D$22=5, IF(R86&lt;&gt;0,R86,NA()), IF(AND($D$23,M86&lt;=5000,$D$19 &lt;&gt; 3),calculateEpsilon(Q86,N86,1,FALSE),calculateEpsilon(Q86,N86,$D$22,$D$19 = 3)))</f>
        <v>30.816399075386126</v>
      </c>
      <c r="T86" s="1" t="e">
        <f>IF($D$24=3,INDEX('Water Free Energy'!$C$6:$CX$120,MATCH(Calculations!N86,'Water Free Energy'!$B$6:$B$120),MATCH(Calculations!M86/1000,'Water Free Energy'!$C$5:$CX$5)),NA())</f>
        <v>#N/A</v>
      </c>
      <c r="U86" s="179">
        <f>IF($D$27,calculateQ(M86,N86,Q86,$D$20,$D$22,$D$19=3)*10^6,NA())</f>
        <v>0.23309400767880778</v>
      </c>
      <c r="V86"/>
      <c r="W86" s="2">
        <f t="shared" si="25"/>
        <v>30000</v>
      </c>
      <c r="X86" s="1">
        <f t="shared" si="26"/>
        <v>550</v>
      </c>
      <c r="Y86" s="1">
        <f>Results!F88</f>
        <v>0</v>
      </c>
      <c r="Z86" s="1">
        <f>Results!G88</f>
        <v>0</v>
      </c>
      <c r="AA86" s="1">
        <f>Results!H88</f>
        <v>0</v>
      </c>
      <c r="AB86" s="1">
        <f>Results!I88</f>
        <v>0</v>
      </c>
      <c r="AC86" s="1" t="e">
        <f>IF(ISBLANK(Input!$O$4),NA(),'Reaction Information'!$E$5-'Reaction Information'!$G$5*(Calculations!$O86-Calculations!$C$8)+'Reaction Information'!$I$5*(Calculations!$O86-Calculations!$C$8-Calculations!$O86*LN(Calculations!$O86/Calculations!$C$8))+'Reaction Information'!$J$5*0.001/2*(2*Calculations!$O86*Calculations!$C$8-Calculations!$O86^2-Calculations!$C$8^2) + 'Reaction Information'!$K$5*100000*(Calculations!$O86^2 + Calculations!$C$8^2 - 2*Calculations!$O86*Calculations!$C$8)/(2*Calculations!$O86*Calculations!$C$8^2))</f>
        <v>#N/A</v>
      </c>
      <c r="AD86" s="8" t="e">
        <f>IF(ISBLANK(Input!$R$4),NA(),'Reaction Information'!$E$9-'Reaction Information'!$G$9*(Calculations!$O86-Calculations!$C$8)+'Reaction Information'!$I$9*(Calculations!$O86-Calculations!$C$8-Calculations!$O86*LN(Calculations!$O86/Calculations!$C$8))+'Reaction Information'!$J$9*0.001/2*(2*Calculations!$O86*Calculations!$C$8-Calculations!$O86^2-Calculations!$C$8^2) + 'Reaction Information'!$K$9*100000*(Calculations!$O86^2 + Calculations!$C$8^2 - 2*Calculations!$O86*Calculations!$C$8)/(2*Calculations!$O86*Calculations!$C$8^2))</f>
        <v>#N/A</v>
      </c>
      <c r="AE86" s="8">
        <f>IF(AE$5="H2O",IF($D$24=3,IF(T86=0,NA(),T86),calculateGibbsOfWater(M86,N86,$D$24,$D$20,$D$19=3)),NA())</f>
        <v>-58109.296562831616</v>
      </c>
      <c r="AF86" s="8">
        <f>IF(ISBLANK(Input!$X$4),NA(),'Reaction Information'!$E$13-'Reaction Information'!$G$13*(Calculations!O86-Calculations!$C$8)-'Reaction Information'!$N$13*(Calculations!O86*LN(Calculations!O86/Calculations!$C$8)-Calculations!O86+Calculations!$C$8)-'Reaction Information'!$O$13*10^4*(((1/(Calculations!O86-Calculations!$C$13))-(1/(Calculations!$C$8-Calculations!$C$13)))*((Calculations!$C$13-Calculations!O86)/(Calculations!$C$13))-(Calculations!O86/(Calculations!$C$13*Calculations!$C$13))*LN((Calculations!$C$8*(Calculations!O86-Calculations!$C$13))/(Calculations!O86*(Calculations!$C$8-Calculations!$C$13))))+'Reaction Information'!$J$13*10^-1*(Calculations!M86-Calculations!$C$9)+'Reaction Information'!$K$13*10^2*LN((Calculations!$C$12+Calculations!M86)/(Calculations!$C$12+Calculations!$C$9))+(1/(Calculations!O86-Calculations!$C$13))*('Reaction Information'!$L$13*(Calculations!M86-Calculations!$C$9)+'Reaction Information'!$M$13*10^4*LN((Calculations!$C$12+Calculations!M86)/(Calculations!$C$12+Calculations!$C$9)))+calculateOmega(Calculations!M86,Calculations!N86,Calculations!Q86,'Reaction Information'!$C$13,'Reaction Information'!$P$13*10^5,'Reaction Information'!$Q$13)*((1/Calculations!S86)-1)-'Reaction Information'!$P$13*10^5*((1/Calculations!$C$10)-1)+'Reaction Information'!$P$13*10^5*Calculations!$C$14*(Calculations!O86-Calculations!$C$8))</f>
        <v>-91398.925974793427</v>
      </c>
      <c r="AG86" s="8" t="e">
        <f>IF(ISBLANK(Input!$AA$4),NA(),'Reaction Information'!$E$17-'Reaction Information'!$G$17*(Calculations!$O86-Calculations!$C$8)-'Reaction Information'!$N$17*(Calculations!$O86*LN(Calculations!$O86/Calculations!$C$8)-Calculations!$O86+Calculations!$C$8)-'Reaction Information'!$O$17*10^4*(((1/(Calculations!$O86-Calculations!$C$13))-(1/(Calculations!$C$8-Calculations!$C$13)))*((Calculations!$C$13-Calculations!$O86)/(Calculations!$C$13))-(Calculations!$O86/(Calculations!$C$13*Calculations!$C$13))*LN((Calculations!$C$8*(Calculations!$O86-Calculations!$C$13))/(Calculations!$O86*(Calculations!$C$8-Calculations!$C$13))))+'Reaction Information'!$J$17*10^-1*(Calculations!$M86-Calculations!$C$9)+'Reaction Information'!$K$17*10^2*LN((Calculations!$C$12+Calculations!$M86)/(Calculations!$C$12+Calculations!$C$9))+(1/(Calculations!$O86-Calculations!$C$13))*('Reaction Information'!$L$17*(Calculations!$M86-Calculations!$C$9)+'Reaction Information'!$M$17*10^4*LN((Calculations!$C$12+Calculations!$M86)/(Calculations!$C$12+Calculations!$C$9)))+calculateOmega(Calculations!M86,Calculations!N86,Calculations!Q86,'Reaction Information'!$C$17,'Reaction Information'!$P$17*10^5,'Reaction Information'!$Q$17)*((1/Calculations!$S86)-1)-'Reaction Information'!$P$17*10^5*((1/Calculations!$C$10)-1)+'Reaction Information'!$P$17*10^5*Calculations!$C$14*(Calculations!$O86-Calculations!$C$8))</f>
        <v>#N/A</v>
      </c>
      <c r="AH86" s="8" t="e">
        <f>IF(ISBLANK(Input!$AD$4),NA(),'Reaction Information'!$E$21-'Reaction Information'!$G$21*(Calculations!$O86-Calculations!$C$8)-'Reaction Information'!$N$21*(Calculations!$O86*LN(Calculations!$O86/Calculations!$C$8)-Calculations!$O86+Calculations!$C$8)-'Reaction Information'!$O$21*10^4*(((1/(Calculations!$O86-Calculations!$C$13))-(1/(Calculations!$C$8-Calculations!$C$13)))*((Calculations!$C$13-Calculations!$O86)/(Calculations!$C$13))-(Calculations!$O86/(Calculations!$C$13*Calculations!$C$13))*LN((Calculations!$C$8*(Calculations!$O86-Calculations!$C$13))/(Calculations!$O86*(Calculations!$C$8-Calculations!$C$13))))+'Reaction Information'!$J$21*10^-1*(Calculations!$M86-Calculations!$C$9)+'Reaction Information'!$K$21*10^2*LN((Calculations!$C$12+Calculations!$M86)/(Calculations!$C$12+Calculations!$C$9))+(1/(Calculations!$O86-Calculations!$C$13))*('Reaction Information'!$L$21*(Calculations!$M86-Calculations!$C$9)+'Reaction Information'!$M$21*10^4*LN((Calculations!$C$12+Calculations!$M86)/(Calculations!$C$12+Calculations!$C$9)))+calculateOmega(Calculations!M86,Calculations!N86,Calculations!Q86,'Reaction Information'!$C$21,'Reaction Information'!$P$21*10^5,'Reaction Information'!$Q$21)*((1/Calculations!$S86)-1)-'Reaction Information'!$P$21*10^5*((1/Calculations!$C$10)-1)+'Reaction Information'!$P$21*10^5*Calculations!$C$14*(Calculations!$O86-Calculations!$C$8))</f>
        <v>#N/A</v>
      </c>
      <c r="AI86" s="8" t="e">
        <f>IF(ISBLANK(Input!$AG$4),NA(),'Reaction Information'!$E$25-'Reaction Information'!$G$25*(Calculations!$O86-Calculations!$C$8)-'Reaction Information'!$N$25*(Calculations!$O86*LN(Calculations!$O86/Calculations!$C$8)-Calculations!$O86+Calculations!$C$8)-'Reaction Information'!$O$25*10^4*(((1/(Calculations!$O86-Calculations!$C$13))-(1/(Calculations!$C$8-Calculations!$C$13)))*((Calculations!$C$13-Calculations!$O86)/(Calculations!$C$13))-(Calculations!$O86/(Calculations!$C$13*Calculations!$C$13))*LN((Calculations!$C$8*(Calculations!$O86-Calculations!$C$13))/(Calculations!$O86*(Calculations!$C$8-Calculations!$C$13))))+'Reaction Information'!$J$25*10^-1*(Calculations!$M86-Calculations!$C$9)+'Reaction Information'!$K$25*10^2*LN((Calculations!$C$12+Calculations!$M86)/(Calculations!$C$12+Calculations!$C$9))+(1/(Calculations!$O86-Calculations!$C$13))*('Reaction Information'!$L$25*(Calculations!$M86-Calculations!$C$9)+'Reaction Information'!$M$25*10^4*LN((Calculations!$C$12+Calculations!$M86)/(Calculations!$C$12+Calculations!$C$9)))+calculateOmega(Calculations!M86,Calculations!N86,Calculations!Q86,'Reaction Information'!$C$25,'Reaction Information'!$P$25*10^5,'Reaction Information'!$Q$25)*((1/Calculations!$S86)-1)-'Reaction Information'!$P$25*10^5*((1/Calculations!$C$10)-1)+'Reaction Information'!$P$25*10^5*Calculations!$C$14*(Calculations!$O86-Calculations!$C$8))</f>
        <v>#N/A</v>
      </c>
      <c r="AJ86" s="8" t="e">
        <f>IF(ISBLANK(Input!$AJ$4),NA(),'Reaction Information'!$E$29-'Reaction Information'!$G$29*(Calculations!$O86-Calculations!$C$8)-'Reaction Information'!$N$29*(Calculations!$O86*LN(Calculations!$O86/Calculations!$C$8)-Calculations!$O86+Calculations!$C$8)-'Reaction Information'!$O$29*10^4*(((1/(Calculations!$O86-Calculations!$C$13))-(1/(Calculations!$C$8-Calculations!$C$13)))*((Calculations!$C$13-Calculations!$O86)/(Calculations!$C$13))-(Calculations!$O86/(Calculations!$C$13*Calculations!$C$13))*LN((Calculations!$C$8*(Calculations!$O86-Calculations!$C$13))/(Calculations!$O86*(Calculations!$C$8-Calculations!$C$13))))+'Reaction Information'!$J$29*10^-1*(Calculations!$M86-Calculations!$C$9)+'Reaction Information'!$K$29*10^2*LN((Calculations!$C$12+Calculations!$M86)/(Calculations!$C$12+Calculations!$C$9))+(1/(Calculations!$O86-Calculations!$C$13))*('Reaction Information'!$L$29*(Calculations!$M86-Calculations!$C$9)+'Reaction Information'!$M$29*10^4*LN((Calculations!$C$12+Calculations!$M86)/(Calculations!$C$12+Calculations!$C$9)))+calculateOmega(Calculations!M86,Calculations!N86,Calculations!Q86,'Reaction Information'!$C$29,'Reaction Information'!$P$29*10^5,'Reaction Information'!$Q$29)*((1/Calculations!$S86)-1)-'Reaction Information'!$P$29*10^5*((1/Calculations!$C$10)-1)+'Reaction Information'!$P$29*10^5*Calculations!$C$14*(Calculations!$O86-Calculations!$C$8))</f>
        <v>#N/A</v>
      </c>
      <c r="AK86" s="8" t="e">
        <f>IF(ISBLANK(Input!$AM$4),NA(),'Reaction Information'!$E$33-'Reaction Information'!$G$33*(Calculations!$O86-Calculations!$C$8)-'Reaction Information'!$N$33*(Calculations!$O86*LN(Calculations!$O86/Calculations!$C$8)-Calculations!$O86+Calculations!$C$8)-'Reaction Information'!$O$33*10^4*(((1/(Calculations!$O86-Calculations!$C$13))-(1/(Calculations!$C$8-Calculations!$C$13)))*((Calculations!$C$13-Calculations!$O86)/(Calculations!$C$13))-(Calculations!$O86/(Calculations!$C$13*Calculations!$C$13))*LN((Calculations!$C$8*(Calculations!$O86-Calculations!$C$13))/(Calculations!$O86*(Calculations!$C$8-Calculations!$C$13))))+'Reaction Information'!$J$33*10^-1*(Calculations!$M86-Calculations!$C$9)+'Reaction Information'!$K$33*10^2*LN((Calculations!$C$12+Calculations!$M86)/(Calculations!$C$12+Calculations!$C$9))+(1/(Calculations!$O86-Calculations!$C$13))*('Reaction Information'!$L$33*(Calculations!$M86-Calculations!$C$9)+'Reaction Information'!$M$33*10^4*LN((Calculations!$C$12+Calculations!$M86)/(Calculations!$C$12+Calculations!$C$9)))+calculateOmega(Calculations!M86,Calculations!N86,Calculations!Q86,'Reaction Information'!$C$33,'Reaction Information'!$P$33*10^5,'Reaction Information'!$Q$33)*((1/Calculations!$S86)-1)-'Reaction Information'!$P$33*10^5*((1/Calculations!$C$10)-1)+'Reaction Information'!$P$33*10^5*Calculations!$C$14*(Calculations!$O86-Calculations!$C$8))</f>
        <v>#N/A</v>
      </c>
      <c r="AL86" s="1">
        <f>Results!S88</f>
        <v>0</v>
      </c>
      <c r="AM86" s="1">
        <f>Results!T88</f>
        <v>0</v>
      </c>
      <c r="AN86" s="1">
        <f>Results!U88</f>
        <v>0</v>
      </c>
      <c r="AO86" s="1">
        <f>Results!V88</f>
        <v>0</v>
      </c>
      <c r="AP86" s="8" t="e">
        <f>IF(ISBLANK(Input!$BB$4),NA(),'Reaction Information'!$E$38-'Reaction Information'!$G$38*(Calculations!$O86-Calculations!$C$8)+'Reaction Information'!$I$38*(Calculations!$O86-Calculations!$C$8-Calculations!$O86*LN(Calculations!$O86/Calculations!$C$8))+'Reaction Information'!$J$38*0.001/2*(2*Calculations!$O86*Calculations!$C$8-Calculations!$O86^2-Calculations!$C$8^2) + 'Reaction Information'!$K$38*100000*(Calculations!$O86^2 + Calculations!$C$8^2 - 2*Calculations!$O86*Calculations!$C$8)/(2*Calculations!$O86*Calculations!$C$8^2))</f>
        <v>#N/A</v>
      </c>
      <c r="AQ86" s="8" t="e">
        <f>IF(ISBLANK(Input!$BE$4),NA(),'Reaction Information'!$E$42-'Reaction Information'!$G$42*(Calculations!$O86-Calculations!$C$8)+'Reaction Information'!$I$42*(Calculations!$O86-Calculations!$C$8-Calculations!$O86*LN(Calculations!$O86/Calculations!$C$8))+'Reaction Information'!$J$42*0.001/2*(2*Calculations!$O86*Calculations!$C$8-Calculations!$O86^2-Calculations!$C$8^2) + 'Reaction Information'!$K$42*100000*(Calculations!$O86^2 + Calculations!$C$8^2 - 2*Calculations!$O86*Calculations!$C$8)/(2*Calculations!$O86*Calculations!$C$8^2))</f>
        <v>#N/A</v>
      </c>
      <c r="AR86" s="8" t="e">
        <f>IF(AR$5="H2O", IF($D$24=3,IF(T86=0,NA(),T86),calculateGibbsOfWater(M86,N86,$D$24,$D$20,$D$19=3)),NA())</f>
        <v>#N/A</v>
      </c>
      <c r="AS86" s="8">
        <f>IF(ISBLANK(Input!$BK$4),NA(),'Reaction Information'!$E$46-'Reaction Information'!$G$46*(Calculations!O86-Calculations!$C$8)-'Reaction Information'!$N$46*(Calculations!O86*LN(Calculations!O86/Calculations!$C$8)-Calculations!O86+Calculations!$C$8)-'Reaction Information'!$O$46*10^4*(((1/(Calculations!O86-Calculations!$C$13))-(1/(Calculations!$C$8-Calculations!$C$13)))*((Calculations!$C$13-Calculations!O86)/(Calculations!$C$13))-(Calculations!O86/(Calculations!$C$13*Calculations!$C$13))*LN((Calculations!$C$8*(Calculations!O86-Calculations!$C$13))/(Calculations!O86*(Calculations!$C$8-Calculations!$C$13))))+'Reaction Information'!$J$46*10^-1*(Calculations!$M86-Calculations!$C$9)+'Reaction Information'!$K$46*10^2*LN((Calculations!$C$12+Calculations!$M86)/(Calculations!$C$12+Calculations!$C$9))+(1/(Calculations!O86-Calculations!$C$13))*('Reaction Information'!$L$46*(Calculations!$M86-Calculations!$C$9)+'Reaction Information'!$M$46*10^4*LN((Calculations!$C$12+Calculations!$M86)/(Calculations!$C$12+Calculations!$C$9)))+calculateOmega(Calculations!M86,Calculations!N86,Calculations!Q86,'Reaction Information'!$C$46,'Reaction Information'!$P$46*10^5,'Reaction Information'!$Q$46)*((1/Calculations!S86)-1)-'Reaction Information'!$P$46*10^5*((1/Calculations!$C$10)-1)+'Reaction Information'!$P$46*10^5*Calculations!$C$14*(Calculations!O86-Calculations!$C$8))</f>
        <v>0</v>
      </c>
      <c r="AT86" s="8">
        <f>IF(ISBLANK(Input!$BN$4),NA(),'Reaction Information'!$E$50-'Reaction Information'!$G$50*(Calculations!O86-Calculations!$C$8)-'Reaction Information'!$N$50*(Calculations!O86*LN(Calculations!O86/Calculations!$C$8)-Calculations!O86+Calculations!$C$8)-'Reaction Information'!$O$50*10^4*(((1/(Calculations!O86-Calculations!$C$13))-(1/(Calculations!$C$8-Calculations!$C$13)))*((Calculations!$C$13-Calculations!O86)/(Calculations!$C$13))-(Calculations!O86/(Calculations!$C$13*Calculations!$C$13))*LN((Calculations!$C$8*(Calculations!O86-Calculations!$C$13))/(Calculations!O86*(Calculations!$C$8-Calculations!$C$13))))+'Reaction Information'!$J$50*10^-1*(Calculations!$M86-Calculations!$C$9)+'Reaction Information'!$K$50*10^2*LN((Calculations!$C$12+Calculations!$M86)/(Calculations!$C$12+Calculations!$C$9))+(1/(Calculations!O86-Calculations!$C$13))*('Reaction Information'!$L$50*(Calculations!$M86-Calculations!$C$9)+'Reaction Information'!$M$50*10^4*LN((Calculations!$C$12+Calculations!$M86)/(Calculations!$C$12+Calculations!$C$9)))+calculateOmega(Calculations!M86,Calculations!N86,Calculations!Q86,'Reaction Information'!$C$50,'Reaction Information'!$P$50*10^5,'Reaction Information'!$Q$50)*((1/Calculations!S86)-1)-'Reaction Information'!$P$50*10^5*((1/Calculations!$C$10)-1)+'Reaction Information'!$P$50*10^5*Calculations!$C$14*(Calculations!O86-Calculations!$C$8))</f>
        <v>-133758.58249247176</v>
      </c>
      <c r="AU86" s="8" t="e">
        <f>IF(ISBLANK(Input!$BQ$4),NA(),'Reaction Information'!$E$54-'Reaction Information'!$G$54*(Calculations!$O86-Calculations!$C$8)-'Reaction Information'!$N$54*(Calculations!$O86*LN(Calculations!$O86/Calculations!$C$8)-Calculations!$O86+Calculations!$C$8)-'Reaction Information'!$O$54*10^4*(((1/(Calculations!$O86-Calculations!$C$13))-(1/(Calculations!$C$8-Calculations!$C$13)))*((Calculations!$C$13-Calculations!$O86)/(Calculations!$C$13))-(Calculations!$O86/(Calculations!$C$13*Calculations!$C$13))*LN((Calculations!$C$8*(Calculations!$O86-Calculations!$C$13))/(Calculations!$O86*(Calculations!$C$8-Calculations!$C$13))))+'Reaction Information'!$J$54*10^-1*(Calculations!$M86-Calculations!$C$9)+'Reaction Information'!$K$54*10^2*LN((Calculations!$C$12+Calculations!$M86)/(Calculations!$C$12+Calculations!$C$9))+(1/(Calculations!$O86-Calculations!$C$13))*('Reaction Information'!$L$54*(Calculations!$M86-Calculations!$C$9)+'Reaction Information'!$M$54*10^4*LN((Calculations!$C$12+Calculations!$M86)/(Calculations!$C$12+Calculations!$C$9)))+calculateOmega(Calculations!M86,Calculations!N86,Calculations!Q86,'Reaction Information'!$C$54,'Reaction Information'!$P$54*10^5,'Reaction Information'!$Q$54)*((1/Calculations!$S86)-1)-'Reaction Information'!$P$54*10^5*((1/Calculations!$C$10)-1)+'Reaction Information'!$P$54*10^5*Calculations!$C$14*(Calculations!$O86-Calculations!$C$8))</f>
        <v>#N/A</v>
      </c>
      <c r="AV86" s="8" t="e">
        <f>IF(ISBLANK(Input!$BT$4),NA(),'Reaction Information'!$E$58-'Reaction Information'!$G$58*(Calculations!$O86-Calculations!$C$8)-'Reaction Information'!$N$58*(Calculations!$O86*LN(Calculations!$O86/Calculations!$C$8)-Calculations!$O86+Calculations!$C$8)-'Reaction Information'!$O$58*10^4*(((1/(Calculations!$O86-Calculations!$C$13))-(1/(Calculations!$C$8-Calculations!$C$13)))*((Calculations!$C$13-Calculations!$O86)/(Calculations!$C$13))-(Calculations!$O86/(Calculations!$C$13*Calculations!$C$13))*LN((Calculations!$C$8*(Calculations!$O86-Calculations!$C$13))/(Calculations!$O86*(Calculations!$C$8-Calculations!$C$13))))+'Reaction Information'!$J$58*10^-1*(Calculations!$M86-Calculations!$C$9)+'Reaction Information'!$K$58*10^2*LN((Calculations!$C$12+Calculations!$M86)/(Calculations!$C$12+Calculations!$C$9))+(1/(Calculations!$O86-Calculations!$C$13))*('Reaction Information'!$L$58*(Calculations!$M86-Calculations!$C$9)+'Reaction Information'!$M$58*10^4*LN((Calculations!$C$12+Calculations!$M86)/(Calculations!$C$12+Calculations!$C$9)))+calculateOmega(Calculations!M86,Calculations!N86,Calculations!Q86,'Reaction Information'!$C$58,'Reaction Information'!$P$58*10^5,'Reaction Information'!$Q$58)*((1/Calculations!$S86)-1)-'Reaction Information'!$P$58*10^5*((1/Calculations!$C$10)-1)+'Reaction Information'!$P$58*10^5*Calculations!$C$14*(Calculations!$O86-Calculations!$C$8))</f>
        <v>#N/A</v>
      </c>
      <c r="AW86" s="8" t="e">
        <f>IF(ISBLANK(Input!$BW$4),NA(),'Reaction Information'!$E$62-'Reaction Information'!$G$62*(Calculations!$O86-Calculations!$C$8)-'Reaction Information'!$N$62*(Calculations!$O86*LN(Calculations!$O86/Calculations!$C$8)-Calculations!$O86+Calculations!$C$8)-'Reaction Information'!$O$62*10^4*(((1/(Calculations!$O86-Calculations!$C$13))-(1/(Calculations!$C$8-Calculations!$C$13)))*((Calculations!$C$13-Calculations!$O86)/(Calculations!$C$13))-(Calculations!$O86/(Calculations!$C$13*Calculations!$C$13))*LN((Calculations!$C$8*(Calculations!$O86-Calculations!$C$13))/(Calculations!$O86*(Calculations!$C$8-Calculations!$C$13))))+'Reaction Information'!$J$62*10^-1*(Calculations!$M86-Calculations!$C$9)+'Reaction Information'!$K$62*10^2*LN((Calculations!$C$12+Calculations!$M86)/(Calculations!$C$12+Calculations!$C$9))+(1/(Calculations!$O86-Calculations!$C$13))*('Reaction Information'!$L$62*(Calculations!$M86-Calculations!$C$9)+'Reaction Information'!$M$62*10^4*LN((Calculations!$C$12+Calculations!$M86)/(Calculations!$C$12+Calculations!$C$9)))+calculateOmega(Calculations!M86,Calculations!N86,Calculations!Q86,'Reaction Information'!$C$62,'Reaction Information'!$P$62*10^5,'Reaction Information'!$Q$62)*((1/Calculations!$S86)-1)-'Reaction Information'!$P$62*10^5*((1/Calculations!$C$10)-1)+'Reaction Information'!$P$62*10^5*Calculations!$C$14*(Calculations!$O86-Calculations!$C$8))</f>
        <v>#N/A</v>
      </c>
      <c r="AX86" s="8" t="e">
        <f>IF(ISBLANK(Input!$BZ$4),NA(),'Reaction Information'!$E$66-'Reaction Information'!$G$66*(Calculations!$O86-Calculations!$C$8)-'Reaction Information'!$N$66*(Calculations!$O86*LN(Calculations!$O86/Calculations!$C$8)-Calculations!$O86+Calculations!$C$8)-'Reaction Information'!$O$66*10^4*(((1/(Calculations!$O86-Calculations!$C$13))-(1/(Calculations!$C$8-Calculations!$C$13)))*((Calculations!$C$13-Calculations!$O86)/(Calculations!$C$13))-(Calculations!$O86/(Calculations!$C$13*Calculations!$C$13))*LN((Calculations!$C$8*(Calculations!$O86-Calculations!$C$13))/(Calculations!$O86*(Calculations!$C$8-Calculations!$C$13))))+'Reaction Information'!$J$66*10^-1*(Calculations!$M86-Calculations!$C$9)+'Reaction Information'!$K$66*10^2*LN((Calculations!$C$12+Calculations!$M86)/(Calculations!$C$12+Calculations!$C$9))+(1/(Calculations!$O86-Calculations!$C$13))*('Reaction Information'!$L$66*(Calculations!$M86-Calculations!$C$9)+'Reaction Information'!$M$66*10^4*LN((Calculations!$C$12+Calculations!$M86)/(Calculations!$C$12+Calculations!$C$9)))+calculateOmega(Calculations!M86,Calculations!N86,Calculations!Q86,'Reaction Information'!$C$66,'Reaction Information'!$P$66*10^5,'Reaction Information'!$Q$66)*((1/Calculations!$S86)-1)-'Reaction Information'!$P$66*10^5*((1/Calculations!$C$10)-1)+'Reaction Information'!$P$66*10^5*Calculations!$C$14*(Calculations!$O86-Calculations!$C$8))</f>
        <v>#N/A</v>
      </c>
      <c r="AY86" s="31">
        <f>(AL86*Input!$AO$4+AM86*Input!$AR$4+AN86*Input!$AU$4+AO86*Input!$AX$4+IF(ISNA(AP86),0,AP86*Input!$BA$4)+IF(ISNA(AQ86),0,AQ86*Input!$BD$4)+IF(ISNA(AR86),0,AR86*Input!$BG$4)+IF(ISNA(AS86),0,AS86*Input!$BJ$4)+IF(ISNA(AT86),0,AT86*Input!$BM$4)+IF(ISNA(AU86),0,AU86*Input!$BP$4)+IF(ISNA(AV86),0,AV86*Input!$BS$4)+IF(ISNA(AW86),0,AW86*Input!$BV$4)+IF(ISNA(AX86),0,AX86*Input!$BY$4))-(Y86*Input!$B$4+Z86*Input!$E$4+AA86*Input!$H$4+AB86*Input!$K$4+IF(ISNA(AC86),0,AC86*Input!$N$4)+IF(ISNA(AD86),0,AD86*Input!$Q$4)+IF(ISNA(AE86),0,AE86*Input!$T$4)+IF(ISNA(AF86),0,AF86*Input!$W$4)+IF(ISNA(AG86),0,AG86*Input!$Z$4)+IF(ISNA(AH86),0,AH86*Input!$AC$4)+IF(ISNA(AI86),0,AI86*Input!$AF$4)+IF(ISNA(AJ86),0,AJ86*Input!$AI$4)+IF(ISNA(AK86),0,AK86*Input!$AL$4))</f>
        <v>15749.640045153297</v>
      </c>
      <c r="AZ86" s="42">
        <f t="shared" si="20"/>
        <v>-4.1843068325501251</v>
      </c>
      <c r="BA86" s="1">
        <f t="shared" si="27"/>
        <v>550</v>
      </c>
      <c r="BB86" s="46">
        <f t="shared" si="28"/>
        <v>30000</v>
      </c>
      <c r="BC86" s="1"/>
      <c r="BD86" s="2">
        <f t="shared" si="29"/>
        <v>30000</v>
      </c>
      <c r="BE86" s="46">
        <f t="shared" si="30"/>
        <v>550</v>
      </c>
      <c r="BF86" s="1">
        <f>Results!AJ88</f>
        <v>0</v>
      </c>
      <c r="BG86" s="1">
        <f>Results!AK88</f>
        <v>0</v>
      </c>
      <c r="BH86" s="1">
        <f>Results!AL88</f>
        <v>0</v>
      </c>
      <c r="BI86" s="1">
        <f>Results!AM88</f>
        <v>0</v>
      </c>
      <c r="BJ86" s="1" t="e">
        <f>IF(OR(ISNA('Reaction Information'!$D$5), $N86 = "", $D$27 = FALSE, 'Reaction Information'!$D$5 = ""), NA(), 24.465)</f>
        <v>#N/A</v>
      </c>
      <c r="BK86" s="1" t="e">
        <f>IF(OR(ISNA('Reaction Information'!$D$9), $N86 = "", $D$27 = FALSE, 'Reaction Information'!$D$9 = ""), NA(), 24.465)</f>
        <v>#N/A</v>
      </c>
      <c r="BL86" s="8">
        <f t="shared" si="21"/>
        <v>14.37026330869425</v>
      </c>
      <c r="BM86" s="8">
        <f>IF(OR(ISBLANK(Input!$X$4),$D$27=FALSE),NA(),('Reaction Information'!$J$13/10+'Reaction Information'!$K$13*100/(Calculations!$C$12+Calculations!$M86)+('Reaction Information'!$L$13+'Reaction Information'!$M$13*10^4/(Calculations!$C$12+Calculations!$M86))/(Calculations!$O86-Calculations!$C$13) -calculateOmega(Calculations!$M86,Calculations!$N86,Calculations!$Q86,'Reaction Information'!$C$13,'Reaction Information'!$P$13*10^5,'Reaction Information'!$Q$13)*Calculations!$U86*10^-6 + (1/$S86 - 1)*calculate_domegadP(Calculations!$M86,Calculations!$N86,Calculations!$Q86,'Reaction Information'!$C$13,'Reaction Information'!$P$13*10^5,'Reaction Information'!$Q$13,$D$20,$D$19=3))*41.84)</f>
        <v>30.354235358859857</v>
      </c>
      <c r="BN86" s="8" t="e">
        <f>IF(OR(ISBLANK(Input!$AA$4),$D$27=FALSE),NA(),('Reaction Information'!$J$17/10+'Reaction Information'!$K$17*100/(Calculations!$C$12+Calculations!$M86)+('Reaction Information'!$L$17+'Reaction Information'!$M$17*10000/(Calculations!$C$12+Calculations!$M86))/(Calculations!$O86-Calculations!$C$13)-calculateOmega(Calculations!M86,Calculations!N86,Calculations!Q86,'Reaction Information'!$C$17,'Reaction Information'!$P$17*10^5,'Reaction Information'!$Q$17)*Calculations!$U86*10^-6 + (1/$S86 - 1)*calculate_domegadP(Calculations!M86,Calculations!N86,Calculations!Q86,'Reaction Information'!$C$17,'Reaction Information'!$P$17*10^5,'Reaction Information'!$Q$17,$D$20,$D$19=3))*41.84)</f>
        <v>#N/A</v>
      </c>
      <c r="BO86" s="8" t="e">
        <f>IF(OR(ISBLANK(Input!$AD$4),$D$27=FALSE),NA(),('Reaction Information'!$J$21/10+'Reaction Information'!$K$21*100/(Calculations!$C$12+Calculations!$M86)+('Reaction Information'!$L$21+'Reaction Information'!$M$21*10000/(Calculations!$C$12+Calculations!$M86))/(Calculations!$O86-Calculations!$C$13)-calculateOmega(Calculations!M86,Calculations!N86,Calculations!Q86,'Reaction Information'!$C$21,'Reaction Information'!$P$21*10^5,'Reaction Information'!$Q$21)*Calculations!$U86*10^-6 + (1/$S86 - 1)*calculate_domegadP(Calculations!M86,Calculations!N86,Calculations!Q86,'Reaction Information'!$C$21,'Reaction Information'!$P$21*10^5,'Reaction Information'!$Q$21,$D$20,$D$19=3))*41.84)</f>
        <v>#N/A</v>
      </c>
      <c r="BP86" s="8" t="e">
        <f>IF(OR(ISBLANK(Input!$AG$4),$D$27=FALSE),NA(),('Reaction Information'!$J$25/10+'Reaction Information'!$K$25*100/(Calculations!$C$12+Calculations!$M86)+('Reaction Information'!$L$25+'Reaction Information'!$M$25*10000/(Calculations!$C$12+Calculations!$M86))/(Calculations!$O86-Calculations!$C$13)-calculateOmega(Calculations!M86,Calculations!N86,Calculations!Q86,'Reaction Information'!$C$25,'Reaction Information'!$P$25*10^5,'Reaction Information'!$Q$25)*Calculations!$U86*10^-6 + (1/$S86 - 1)*calculate_domegadP(Calculations!M86,Calculations!N86,Calculations!Q86,'Reaction Information'!$C$25,'Reaction Information'!$P$25*10^5,'Reaction Information'!$Q$25,$D$20,$D$19=3))*41.84)</f>
        <v>#N/A</v>
      </c>
      <c r="BQ86" s="8" t="e">
        <f>IF(OR(ISBLANK(Input!$AJ$4),$D$27=FALSE),NA(),('Reaction Information'!$J$29/10+'Reaction Information'!$K$29*100/(Calculations!$C$12+Calculations!$M86)+('Reaction Information'!$L$29+'Reaction Information'!$M$29*10000/(Calculations!$C$12+Calculations!$M86))/(Calculations!$O86-Calculations!$C$13)-calculateOmega(Calculations!M86,Calculations!N86,Calculations!Q86,'Reaction Information'!$C$29,'Reaction Information'!$P$29*10^5,'Reaction Information'!$Q$29)*Calculations!$U86*10^-6 + (1/$S86 - 1)*calculate_domegadP(Calculations!M86,Calculations!N86,Calculations!Q86,'Reaction Information'!$C$29,'Reaction Information'!$P$29*10^5,'Reaction Information'!$Q$29,$D$20,$D$19=3))*41.84)</f>
        <v>#N/A</v>
      </c>
      <c r="BR86" s="8" t="e">
        <f>IF(OR(ISBLANK(Input!$AM$4),$D$27=FALSE),NA(),('Reaction Information'!$J$33/10+'Reaction Information'!$K$33*100/(Calculations!$C$12+Calculations!$M86)+('Reaction Information'!$L$33+'Reaction Information'!$M$33*10000/(Calculations!$C$12+Calculations!$M86))/(Calculations!$O86-Calculations!$C$13)-calculateOmega(Calculations!M86,Calculations!N86,Calculations!Q86,'Reaction Information'!$C$33,'Reaction Information'!$P$33*10^5,'Reaction Information'!$Q$33)*Calculations!$U86*10^-6 + (1/$S86 - 1)*calculate_domegadP(Calculations!M86,Calculations!N86,Calculations!Q86,'Reaction Information'!$C$33,'Reaction Information'!$P$33*10^5,'Reaction Information'!$Q$33,$D$20,$D$19=3))*41.84)</f>
        <v>#N/A</v>
      </c>
      <c r="BS86" s="1">
        <f>Results!AW88</f>
        <v>0</v>
      </c>
      <c r="BT86" s="1">
        <f>Results!AX88</f>
        <v>0</v>
      </c>
      <c r="BU86" s="1">
        <f>Results!AY88</f>
        <v>0</v>
      </c>
      <c r="BV86" s="1">
        <f>Results!AZ88</f>
        <v>0</v>
      </c>
      <c r="BW86" s="1" t="e">
        <f>IF(OR(ISNA('Reaction Information'!$D$38), $N86 = "", $D$27 = FALSE, 'Reaction Information'!$D$38 = ""), NA(), 24.465)</f>
        <v>#N/A</v>
      </c>
      <c r="BX86" s="1" t="e">
        <f>IF(OR(ISNA('Reaction Information'!$D$42), $N86 = "", $D$27 = FALSE, 'Reaction Information'!$D$42 = ""), NA(), 24.465)</f>
        <v>#N/A</v>
      </c>
      <c r="BY86" s="8" t="e">
        <f t="shared" si="22"/>
        <v>#N/A</v>
      </c>
      <c r="BZ86" s="8">
        <f>IF(OR(ISBLANK(Input!$BK$4),$D$27=FALSE),NA(),('Reaction Information'!$J$46/10+'Reaction Information'!$K$46*100/(Calculations!$C$12+Calculations!$M86)+('Reaction Information'!$L$46+'Reaction Information'!$M$46*10000/(Calculations!$C$12+Calculations!$M86))/(Calculations!$O86-Calculations!$C$13)-calculateOmega(Calculations!M86,Calculations!N86,Calculations!Q86,'Reaction Information'!$C$46,'Reaction Information'!$P$46*10^5,'Reaction Information'!$Q$46)*Calculations!$U86*10^-6 + (1/$S86 - 1)*calculate_domegadP(Calculations!M86,Calculations!N86,Calculations!Q86,'Reaction Information'!$C$46,'Reaction Information'!$P$46*10^5,'Reaction Information'!$Q$46,$D$20,$D$19=3))*41.84)</f>
        <v>0</v>
      </c>
      <c r="CA86" s="8">
        <f>IF(OR(ISBLANK(Input!$BN$4),$D$27=FALSE),NA(),('Reaction Information'!$J$50/10+'Reaction Information'!$K$50*100/(Calculations!$C$12+Calculations!$M86)+('Reaction Information'!$L$50+'Reaction Information'!$M$50*10000/(Calculations!$C$12+Calculations!$M86))/(Calculations!$O86-Calculations!$C$13)-calculateOmega(Calculations!M86,Calculations!N86,Calculations!Q86,'Reaction Information'!$C$50,'Reaction Information'!$P$50*10^5,'Reaction Information'!$Q$50)*Calculations!$U86*10^-6 + (1/$S86 - 1)*calculate_domegadP(Calculations!M86,Calculations!N86,Calculations!Q86,'Reaction Information'!$C$50,'Reaction Information'!$P$50*10^5,'Reaction Information'!$Q$50,$D$20,$D$19=3))*41.84)</f>
        <v>30.865238649594215</v>
      </c>
      <c r="CB86" s="8" t="e">
        <f>IF(OR(ISBLANK(Input!$BQ$4),$D$27=FALSE),NA(),('Reaction Information'!$J$54/10+'Reaction Information'!$K$54*100/(Calculations!$C$12+Calculations!$M86)+('Reaction Information'!$L$54+'Reaction Information'!$M$54*10000/(Calculations!$C$12+Calculations!$M86))/(Calculations!$O86-Calculations!$C$13)-calculateOmega(Calculations!M86,Calculations!N86,Calculations!Q86,'Reaction Information'!$C$54,'Reaction Information'!$P$54*10^5,'Reaction Information'!$Q$54)*Calculations!$U86*10^-6 + (1/$S86 - 1)*calculate_domegadP(Calculations!M86,Calculations!N86,Calculations!Q86,'Reaction Information'!$C$54,'Reaction Information'!$P$54*10^5,'Reaction Information'!$Q$54,$D$20,$D$19=3))*41.84)</f>
        <v>#N/A</v>
      </c>
      <c r="CC86" s="8" t="e">
        <f>IF(OR(ISBLANK(Input!$BT$4),$D$27=FALSE),NA(),('Reaction Information'!$J$58/10+'Reaction Information'!$K$58*100/(Calculations!$C$12+Calculations!$M86)+('Reaction Information'!$L$58+'Reaction Information'!$M$58*10000/(Calculations!$C$12+Calculations!$M86))/(Calculations!$O86-Calculations!$C$13)-calculateOmega(Calculations!M86,Calculations!N86,Calculations!Q86,'Reaction Information'!$C$58,'Reaction Information'!$P$58*10^5,'Reaction Information'!$Q$58)*Calculations!$U86*10^-6 + (1/$S86 - 1)*calculate_domegadP(Calculations!M86,Calculations!N86,Calculations!Q86,'Reaction Information'!$C$58,'Reaction Information'!$P$58*10^5,'Reaction Information'!$Q$58,$D$20,$D$19=3))*41.84)</f>
        <v>#N/A</v>
      </c>
      <c r="CD86" s="8" t="e">
        <f>IF(OR(ISBLANK(Input!$BW$4),$D$27=FALSE),NA(),('Reaction Information'!$J$62/10+'Reaction Information'!$K$62*100/(Calculations!$C$12+Calculations!$M86)+('Reaction Information'!$L$62+'Reaction Information'!$M$62*10000/(Calculations!$C$12+Calculations!$M86))/(Calculations!$O86-Calculations!$C$13)-calculateOmega(Calculations!M86,Calculations!N86,Calculations!Q86,'Reaction Information'!$C$62,'Reaction Information'!$P$62*10^5,'Reaction Information'!$Q$62)*Calculations!$U86*10^-6 + (1/$S86 - 1)*calculate_domegadP(Calculations!M86,Calculations!N86,Calculations!Q86,'Reaction Information'!$C$62,'Reaction Information'!$P$62*10^5,'Reaction Information'!$Q$62,$D$20,$D$19=3))*41.84)</f>
        <v>#N/A</v>
      </c>
      <c r="CE86" s="8" t="e">
        <f>IF(OR(ISBLANK(Input!$BZ$4),$D$27=FALSE),NA(),('Reaction Information'!$J$66/10+'Reaction Information'!$K$66*100/(Calculations!$C$12+Calculations!$M86)+('Reaction Information'!$L$66+'Reaction Information'!$M$66*10000/(Calculations!$C$12+Calculations!$M86))/(Calculations!$O86-Calculations!$C$13)-calculateOmega(Calculations!M86,Calculations!N86,Calculations!Q86,'Reaction Information'!$C$66,'Reaction Information'!$P$66*10^5,'Reaction Information'!$Q$66)*Calculations!$U86*10^-6 + (1/$S86 - 1)*calculate_domegadP(Calculations!M86,Calculations!N86,Calculations!Q86,'Reaction Information'!$C$66,'Reaction Information'!$P$66*10^5,'Reaction Information'!$Q$66,$D$20,$D$19=3))*41.84)</f>
        <v>#N/A</v>
      </c>
      <c r="CF86" s="31">
        <f>(BS86*Input!$AO$4+BT86*Input!$AR$4+BU86*Input!$AU$4+BV86*Input!$AX$4+IF(ISNA(BW86),0,BW86*Input!$BA$4)+IF(ISNA(BX86),0,BX86*Input!$BD$4)+IF(ISNA(BY86),0,BY86*Input!$BG$4)+IF(ISNA(BZ86),0,BZ86*Input!$BJ$4)+IF(ISNA(CA86),0,CA86*Input!$BM$4)+IF(ISNA(CB86),0,CB86*Input!$BP$4)+IF(ISNA(CC86),0,CC86*Input!$BS$4)+IF(ISNA(CD86),0,CD86*Input!$BV$4)+IF(ISNA(CE86),0,CE86*Input!$BY$4))-(BF86*Input!$B$4+BG86*Input!$E$4+BH86*Input!$H$4+BI86*Input!$K$4+IF(ISNA(BJ86),0,BJ86*Input!$N$4)+IF(ISNA(BK86),0,BK86*Input!$Q$4)+IF(ISNA(BL86),0,BL86*Input!$T$4)+IF(ISNA(BM86),0,BM86*Input!$W$4)+IF(ISNA(BN86),0,BN86*Input!$Z$4)+IF(ISNA(BO86),0,BO86*Input!$AC$4)+IF(ISNA(BP86),0,BP86*Input!$AF$4)+IF(ISNA(BQ86),0,BQ86*Input!$AI$4)+IF(ISNA(BR86),0,BR86*Input!$AL$4))</f>
        <v>-13.859260017959894</v>
      </c>
      <c r="CG86" s="1">
        <f t="shared" si="31"/>
        <v>550</v>
      </c>
      <c r="CH86" s="46">
        <f t="shared" si="32"/>
        <v>30000</v>
      </c>
      <c r="CI86" s="1"/>
    </row>
    <row r="87" spans="1:87" x14ac:dyDescent="0.2">
      <c r="A87" s="1"/>
      <c r="B87" s="1"/>
      <c r="C87" s="1"/>
      <c r="D87" s="1"/>
      <c r="E87" s="1"/>
      <c r="F87" s="2">
        <v>82</v>
      </c>
      <c r="G87" s="1" t="str">
        <f>IF(ISBLANK(Input!CB87), "", Input!CB87*1000)</f>
        <v/>
      </c>
      <c r="H87" s="1" t="str">
        <f>IF(ISBLANK(Input!CC87), "", Input!CC87)</f>
        <v/>
      </c>
      <c r="I87" s="1">
        <f>IF(Input!$CF$5 + Input!$CF$6*(FLOOR((Calculations!$F87-1)/(FLOOR((Input!$CF$12-Input!$CF$10)/Input!$CF$11,1)+1),1)) &gt; Input!$CF$7, "", (Input!$CF$5 + Input!$CF$6*(FLOOR((Calculations!$F87-1)/(FLOOR((Input!$CF$12-Input!$CF$10)/Input!$CF$11,1)+1),1)))*1000)</f>
        <v>30000</v>
      </c>
      <c r="J87" s="1">
        <f>IF(Calculations!I87 = "", "", Input!$CF$10 + Input!$CF$11*(Calculations!$F87-1) - (FLOOR((Input!$CF$12-Input!$CF$10)/Input!$CF$11,1)+1)*Input!$CF$11*FLOOR((Calculations!$F87-1)/(FLOOR((Input!$CF$12-Input!$CF$10)/Input!$CF$11,1)+1),1))</f>
        <v>600</v>
      </c>
      <c r="K87" s="8" t="str">
        <f t="shared" si="33"/>
        <v/>
      </c>
      <c r="L87" s="117" t="str">
        <f>IF(OR(Input!$CJ$5 + Input!$CJ$6*(Calculations!F87-1) &gt; Input!$CJ$7, Input!$CJ$5 + Input!$CJ$6*(Calculations!F87-1) &gt; 350), "", Input!$CJ$5 + Input!$CJ$6*(Calculations!F87-1))</f>
        <v/>
      </c>
      <c r="M87" s="1">
        <f t="shared" si="23"/>
        <v>30000</v>
      </c>
      <c r="N87" s="1">
        <f t="shared" si="24"/>
        <v>600</v>
      </c>
      <c r="O87" s="1">
        <f t="shared" si="19"/>
        <v>873.15</v>
      </c>
      <c r="P87" s="1" t="e">
        <f>IF(OR($D$20=3,AND($D$21=TRUE,M87&lt;1000)),INDEX('Water Density'!$C$6:$CX$120,MATCH(Calculations!N87,'Water Density'!$B$6:$B$120),MATCH(Calculations!M87/1000,'Water Density'!$C$5:$CX$5)),NA())</f>
        <v>#N/A</v>
      </c>
      <c r="Q87" s="182">
        <f>IF(OR($D$20=3,AND($D$21=TRUE,M87&lt;1000)), IF(P87&lt;&gt;0,P87,NA()), calculateDensity(M87,N87,$D$20,0.01,$D$19 = 3))</f>
        <v>1.2381362725841998</v>
      </c>
      <c r="R87" s="1" t="e">
        <f>IF($D$22=5,INDEX('Dielectric Constant'!$C$6:$CX$120,MATCH(Calculations!N87,'Dielectric Constant'!$B$6:$B$120),MATCH(Calculations!M87/1000,'Dielectric Constant'!$C$5:$CX$5)),NA())</f>
        <v>#N/A</v>
      </c>
      <c r="S87" s="58">
        <f>IF($D$22=5, IF(R87&lt;&gt;0,R87,NA()), IF(AND($D$23,M87&lt;=5000,$D$19 &lt;&gt; 3),calculateEpsilon(Q87,N87,1,FALSE),calculateEpsilon(Q87,N87,$D$22,$D$19 = 3)))</f>
        <v>28.000503999496633</v>
      </c>
      <c r="T87" s="1" t="e">
        <f>IF($D$24=3,INDEX('Water Free Energy'!$C$6:$CX$120,MATCH(Calculations!N87,'Water Free Energy'!$B$6:$B$120),MATCH(Calculations!M87/1000,'Water Free Energy'!$C$5:$CX$5)),NA())</f>
        <v>#N/A</v>
      </c>
      <c r="U87" s="179">
        <f>IF($D$27,calculateQ(M87,N87,Q87,$D$20,$D$22,$D$19=3)*10^6,NA())</f>
        <v>0.25483084885610624</v>
      </c>
      <c r="V87"/>
      <c r="W87" s="2">
        <f t="shared" si="25"/>
        <v>30000</v>
      </c>
      <c r="X87" s="1">
        <f t="shared" si="26"/>
        <v>600</v>
      </c>
      <c r="Y87" s="1">
        <f>Results!F89</f>
        <v>0</v>
      </c>
      <c r="Z87" s="1">
        <f>Results!G89</f>
        <v>0</v>
      </c>
      <c r="AA87" s="1">
        <f>Results!H89</f>
        <v>0</v>
      </c>
      <c r="AB87" s="1">
        <f>Results!I89</f>
        <v>0</v>
      </c>
      <c r="AC87" s="1" t="e">
        <f>IF(ISBLANK(Input!$O$4),NA(),'Reaction Information'!$E$5-'Reaction Information'!$G$5*(Calculations!$O87-Calculations!$C$8)+'Reaction Information'!$I$5*(Calculations!$O87-Calculations!$C$8-Calculations!$O87*LN(Calculations!$O87/Calculations!$C$8))+'Reaction Information'!$J$5*0.001/2*(2*Calculations!$O87*Calculations!$C$8-Calculations!$O87^2-Calculations!$C$8^2) + 'Reaction Information'!$K$5*100000*(Calculations!$O87^2 + Calculations!$C$8^2 - 2*Calculations!$O87*Calculations!$C$8)/(2*Calculations!$O87*Calculations!$C$8^2))</f>
        <v>#N/A</v>
      </c>
      <c r="AD87" s="8" t="e">
        <f>IF(ISBLANK(Input!$R$4),NA(),'Reaction Information'!$E$9-'Reaction Information'!$G$9*(Calculations!$O87-Calculations!$C$8)+'Reaction Information'!$I$9*(Calculations!$O87-Calculations!$C$8-Calculations!$O87*LN(Calculations!$O87/Calculations!$C$8))+'Reaction Information'!$J$9*0.001/2*(2*Calculations!$O87*Calculations!$C$8-Calculations!$O87^2-Calculations!$C$8^2) + 'Reaction Information'!$K$9*100000*(Calculations!$O87^2 + Calculations!$C$8^2 - 2*Calculations!$O87*Calculations!$C$8)/(2*Calculations!$O87*Calculations!$C$8^2))</f>
        <v>#N/A</v>
      </c>
      <c r="AE87" s="8">
        <f>IF(AE$5="H2O",IF($D$24=3,IF(T87=0,NA(),T87),calculateGibbsOfWater(M87,N87,$D$24,$D$20,$D$19=3)),NA())</f>
        <v>-59541.521011712117</v>
      </c>
      <c r="AF87" s="8">
        <f>IF(ISBLANK(Input!$X$4),NA(),'Reaction Information'!$E$13-'Reaction Information'!$G$13*(Calculations!O87-Calculations!$C$8)-'Reaction Information'!$N$13*(Calculations!O87*LN(Calculations!O87/Calculations!$C$8)-Calculations!O87+Calculations!$C$8)-'Reaction Information'!$O$13*10^4*(((1/(Calculations!O87-Calculations!$C$13))-(1/(Calculations!$C$8-Calculations!$C$13)))*((Calculations!$C$13-Calculations!O87)/(Calculations!$C$13))-(Calculations!O87/(Calculations!$C$13*Calculations!$C$13))*LN((Calculations!$C$8*(Calculations!O87-Calculations!$C$13))/(Calculations!O87*(Calculations!$C$8-Calculations!$C$13))))+'Reaction Information'!$J$13*10^-1*(Calculations!M87-Calculations!$C$9)+'Reaction Information'!$K$13*10^2*LN((Calculations!$C$12+Calculations!M87)/(Calculations!$C$12+Calculations!$C$9))+(1/(Calculations!O87-Calculations!$C$13))*('Reaction Information'!$L$13*(Calculations!M87-Calculations!$C$9)+'Reaction Information'!$M$13*10^4*LN((Calculations!$C$12+Calculations!M87)/(Calculations!$C$12+Calculations!$C$9)))+calculateOmega(Calculations!M87,Calculations!N87,Calculations!Q87,'Reaction Information'!$C$13,'Reaction Information'!$P$13*10^5,'Reaction Information'!$Q$13)*((1/Calculations!S87)-1)-'Reaction Information'!$P$13*10^5*((1/Calculations!$C$10)-1)+'Reaction Information'!$P$13*10^5*Calculations!$C$14*(Calculations!O87-Calculations!$C$8))</f>
        <v>-93681.410182244348</v>
      </c>
      <c r="AG87" s="8" t="e">
        <f>IF(ISBLANK(Input!$AA$4),NA(),'Reaction Information'!$E$17-'Reaction Information'!$G$17*(Calculations!$O87-Calculations!$C$8)-'Reaction Information'!$N$17*(Calculations!$O87*LN(Calculations!$O87/Calculations!$C$8)-Calculations!$O87+Calculations!$C$8)-'Reaction Information'!$O$17*10^4*(((1/(Calculations!$O87-Calculations!$C$13))-(1/(Calculations!$C$8-Calculations!$C$13)))*((Calculations!$C$13-Calculations!$O87)/(Calculations!$C$13))-(Calculations!$O87/(Calculations!$C$13*Calculations!$C$13))*LN((Calculations!$C$8*(Calculations!$O87-Calculations!$C$13))/(Calculations!$O87*(Calculations!$C$8-Calculations!$C$13))))+'Reaction Information'!$J$17*10^-1*(Calculations!$M87-Calculations!$C$9)+'Reaction Information'!$K$17*10^2*LN((Calculations!$C$12+Calculations!$M87)/(Calculations!$C$12+Calculations!$C$9))+(1/(Calculations!$O87-Calculations!$C$13))*('Reaction Information'!$L$17*(Calculations!$M87-Calculations!$C$9)+'Reaction Information'!$M$17*10^4*LN((Calculations!$C$12+Calculations!$M87)/(Calculations!$C$12+Calculations!$C$9)))+calculateOmega(Calculations!M87,Calculations!N87,Calculations!Q87,'Reaction Information'!$C$17,'Reaction Information'!$P$17*10^5,'Reaction Information'!$Q$17)*((1/Calculations!$S87)-1)-'Reaction Information'!$P$17*10^5*((1/Calculations!$C$10)-1)+'Reaction Information'!$P$17*10^5*Calculations!$C$14*(Calculations!$O87-Calculations!$C$8))</f>
        <v>#N/A</v>
      </c>
      <c r="AH87" s="8" t="e">
        <f>IF(ISBLANK(Input!$AD$4),NA(),'Reaction Information'!$E$21-'Reaction Information'!$G$21*(Calculations!$O87-Calculations!$C$8)-'Reaction Information'!$N$21*(Calculations!$O87*LN(Calculations!$O87/Calculations!$C$8)-Calculations!$O87+Calculations!$C$8)-'Reaction Information'!$O$21*10^4*(((1/(Calculations!$O87-Calculations!$C$13))-(1/(Calculations!$C$8-Calculations!$C$13)))*((Calculations!$C$13-Calculations!$O87)/(Calculations!$C$13))-(Calculations!$O87/(Calculations!$C$13*Calculations!$C$13))*LN((Calculations!$C$8*(Calculations!$O87-Calculations!$C$13))/(Calculations!$O87*(Calculations!$C$8-Calculations!$C$13))))+'Reaction Information'!$J$21*10^-1*(Calculations!$M87-Calculations!$C$9)+'Reaction Information'!$K$21*10^2*LN((Calculations!$C$12+Calculations!$M87)/(Calculations!$C$12+Calculations!$C$9))+(1/(Calculations!$O87-Calculations!$C$13))*('Reaction Information'!$L$21*(Calculations!$M87-Calculations!$C$9)+'Reaction Information'!$M$21*10^4*LN((Calculations!$C$12+Calculations!$M87)/(Calculations!$C$12+Calculations!$C$9)))+calculateOmega(Calculations!M87,Calculations!N87,Calculations!Q87,'Reaction Information'!$C$21,'Reaction Information'!$P$21*10^5,'Reaction Information'!$Q$21)*((1/Calculations!$S87)-1)-'Reaction Information'!$P$21*10^5*((1/Calculations!$C$10)-1)+'Reaction Information'!$P$21*10^5*Calculations!$C$14*(Calculations!$O87-Calculations!$C$8))</f>
        <v>#N/A</v>
      </c>
      <c r="AI87" s="8" t="e">
        <f>IF(ISBLANK(Input!$AG$4),NA(),'Reaction Information'!$E$25-'Reaction Information'!$G$25*(Calculations!$O87-Calculations!$C$8)-'Reaction Information'!$N$25*(Calculations!$O87*LN(Calculations!$O87/Calculations!$C$8)-Calculations!$O87+Calculations!$C$8)-'Reaction Information'!$O$25*10^4*(((1/(Calculations!$O87-Calculations!$C$13))-(1/(Calculations!$C$8-Calculations!$C$13)))*((Calculations!$C$13-Calculations!$O87)/(Calculations!$C$13))-(Calculations!$O87/(Calculations!$C$13*Calculations!$C$13))*LN((Calculations!$C$8*(Calculations!$O87-Calculations!$C$13))/(Calculations!$O87*(Calculations!$C$8-Calculations!$C$13))))+'Reaction Information'!$J$25*10^-1*(Calculations!$M87-Calculations!$C$9)+'Reaction Information'!$K$25*10^2*LN((Calculations!$C$12+Calculations!$M87)/(Calculations!$C$12+Calculations!$C$9))+(1/(Calculations!$O87-Calculations!$C$13))*('Reaction Information'!$L$25*(Calculations!$M87-Calculations!$C$9)+'Reaction Information'!$M$25*10^4*LN((Calculations!$C$12+Calculations!$M87)/(Calculations!$C$12+Calculations!$C$9)))+calculateOmega(Calculations!M87,Calculations!N87,Calculations!Q87,'Reaction Information'!$C$25,'Reaction Information'!$P$25*10^5,'Reaction Information'!$Q$25)*((1/Calculations!$S87)-1)-'Reaction Information'!$P$25*10^5*((1/Calculations!$C$10)-1)+'Reaction Information'!$P$25*10^5*Calculations!$C$14*(Calculations!$O87-Calculations!$C$8))</f>
        <v>#N/A</v>
      </c>
      <c r="AJ87" s="8" t="e">
        <f>IF(ISBLANK(Input!$AJ$4),NA(),'Reaction Information'!$E$29-'Reaction Information'!$G$29*(Calculations!$O87-Calculations!$C$8)-'Reaction Information'!$N$29*(Calculations!$O87*LN(Calculations!$O87/Calculations!$C$8)-Calculations!$O87+Calculations!$C$8)-'Reaction Information'!$O$29*10^4*(((1/(Calculations!$O87-Calculations!$C$13))-(1/(Calculations!$C$8-Calculations!$C$13)))*((Calculations!$C$13-Calculations!$O87)/(Calculations!$C$13))-(Calculations!$O87/(Calculations!$C$13*Calculations!$C$13))*LN((Calculations!$C$8*(Calculations!$O87-Calculations!$C$13))/(Calculations!$O87*(Calculations!$C$8-Calculations!$C$13))))+'Reaction Information'!$J$29*10^-1*(Calculations!$M87-Calculations!$C$9)+'Reaction Information'!$K$29*10^2*LN((Calculations!$C$12+Calculations!$M87)/(Calculations!$C$12+Calculations!$C$9))+(1/(Calculations!$O87-Calculations!$C$13))*('Reaction Information'!$L$29*(Calculations!$M87-Calculations!$C$9)+'Reaction Information'!$M$29*10^4*LN((Calculations!$C$12+Calculations!$M87)/(Calculations!$C$12+Calculations!$C$9)))+calculateOmega(Calculations!M87,Calculations!N87,Calculations!Q87,'Reaction Information'!$C$29,'Reaction Information'!$P$29*10^5,'Reaction Information'!$Q$29)*((1/Calculations!$S87)-1)-'Reaction Information'!$P$29*10^5*((1/Calculations!$C$10)-1)+'Reaction Information'!$P$29*10^5*Calculations!$C$14*(Calculations!$O87-Calculations!$C$8))</f>
        <v>#N/A</v>
      </c>
      <c r="AK87" s="8" t="e">
        <f>IF(ISBLANK(Input!$AM$4),NA(),'Reaction Information'!$E$33-'Reaction Information'!$G$33*(Calculations!$O87-Calculations!$C$8)-'Reaction Information'!$N$33*(Calculations!$O87*LN(Calculations!$O87/Calculations!$C$8)-Calculations!$O87+Calculations!$C$8)-'Reaction Information'!$O$33*10^4*(((1/(Calculations!$O87-Calculations!$C$13))-(1/(Calculations!$C$8-Calculations!$C$13)))*((Calculations!$C$13-Calculations!$O87)/(Calculations!$C$13))-(Calculations!$O87/(Calculations!$C$13*Calculations!$C$13))*LN((Calculations!$C$8*(Calculations!$O87-Calculations!$C$13))/(Calculations!$O87*(Calculations!$C$8-Calculations!$C$13))))+'Reaction Information'!$J$33*10^-1*(Calculations!$M87-Calculations!$C$9)+'Reaction Information'!$K$33*10^2*LN((Calculations!$C$12+Calculations!$M87)/(Calculations!$C$12+Calculations!$C$9))+(1/(Calculations!$O87-Calculations!$C$13))*('Reaction Information'!$L$33*(Calculations!$M87-Calculations!$C$9)+'Reaction Information'!$M$33*10^4*LN((Calculations!$C$12+Calculations!$M87)/(Calculations!$C$12+Calculations!$C$9)))+calculateOmega(Calculations!M87,Calculations!N87,Calculations!Q87,'Reaction Information'!$C$33,'Reaction Information'!$P$33*10^5,'Reaction Information'!$Q$33)*((1/Calculations!$S87)-1)-'Reaction Information'!$P$33*10^5*((1/Calculations!$C$10)-1)+'Reaction Information'!$P$33*10^5*Calculations!$C$14*(Calculations!$O87-Calculations!$C$8))</f>
        <v>#N/A</v>
      </c>
      <c r="AL87" s="1">
        <f>Results!S89</f>
        <v>0</v>
      </c>
      <c r="AM87" s="1">
        <f>Results!T89</f>
        <v>0</v>
      </c>
      <c r="AN87" s="1">
        <f>Results!U89</f>
        <v>0</v>
      </c>
      <c r="AO87" s="1">
        <f>Results!V89</f>
        <v>0</v>
      </c>
      <c r="AP87" s="8" t="e">
        <f>IF(ISBLANK(Input!$BB$4),NA(),'Reaction Information'!$E$38-'Reaction Information'!$G$38*(Calculations!$O87-Calculations!$C$8)+'Reaction Information'!$I$38*(Calculations!$O87-Calculations!$C$8-Calculations!$O87*LN(Calculations!$O87/Calculations!$C$8))+'Reaction Information'!$J$38*0.001/2*(2*Calculations!$O87*Calculations!$C$8-Calculations!$O87^2-Calculations!$C$8^2) + 'Reaction Information'!$K$38*100000*(Calculations!$O87^2 + Calculations!$C$8^2 - 2*Calculations!$O87*Calculations!$C$8)/(2*Calculations!$O87*Calculations!$C$8^2))</f>
        <v>#N/A</v>
      </c>
      <c r="AQ87" s="8" t="e">
        <f>IF(ISBLANK(Input!$BE$4),NA(),'Reaction Information'!$E$42-'Reaction Information'!$G$42*(Calculations!$O87-Calculations!$C$8)+'Reaction Information'!$I$42*(Calculations!$O87-Calculations!$C$8-Calculations!$O87*LN(Calculations!$O87/Calculations!$C$8))+'Reaction Information'!$J$42*0.001/2*(2*Calculations!$O87*Calculations!$C$8-Calculations!$O87^2-Calculations!$C$8^2) + 'Reaction Information'!$K$42*100000*(Calculations!$O87^2 + Calculations!$C$8^2 - 2*Calculations!$O87*Calculations!$C$8)/(2*Calculations!$O87*Calculations!$C$8^2))</f>
        <v>#N/A</v>
      </c>
      <c r="AR87" s="8" t="e">
        <f>IF(AR$5="H2O", IF($D$24=3,IF(T87=0,NA(),T87),calculateGibbsOfWater(M87,N87,$D$24,$D$20,$D$19=3)),NA())</f>
        <v>#N/A</v>
      </c>
      <c r="AS87" s="8">
        <f>IF(ISBLANK(Input!$BK$4),NA(),'Reaction Information'!$E$46-'Reaction Information'!$G$46*(Calculations!O87-Calculations!$C$8)-'Reaction Information'!$N$46*(Calculations!O87*LN(Calculations!O87/Calculations!$C$8)-Calculations!O87+Calculations!$C$8)-'Reaction Information'!$O$46*10^4*(((1/(Calculations!O87-Calculations!$C$13))-(1/(Calculations!$C$8-Calculations!$C$13)))*((Calculations!$C$13-Calculations!O87)/(Calculations!$C$13))-(Calculations!O87/(Calculations!$C$13*Calculations!$C$13))*LN((Calculations!$C$8*(Calculations!O87-Calculations!$C$13))/(Calculations!O87*(Calculations!$C$8-Calculations!$C$13))))+'Reaction Information'!$J$46*10^-1*(Calculations!$M87-Calculations!$C$9)+'Reaction Information'!$K$46*10^2*LN((Calculations!$C$12+Calculations!$M87)/(Calculations!$C$12+Calculations!$C$9))+(1/(Calculations!O87-Calculations!$C$13))*('Reaction Information'!$L$46*(Calculations!$M87-Calculations!$C$9)+'Reaction Information'!$M$46*10^4*LN((Calculations!$C$12+Calculations!$M87)/(Calculations!$C$12+Calculations!$C$9)))+calculateOmega(Calculations!M87,Calculations!N87,Calculations!Q87,'Reaction Information'!$C$46,'Reaction Information'!$P$46*10^5,'Reaction Information'!$Q$46)*((1/Calculations!S87)-1)-'Reaction Information'!$P$46*10^5*((1/Calculations!$C$10)-1)+'Reaction Information'!$P$46*10^5*Calculations!$C$14*(Calculations!O87-Calculations!$C$8))</f>
        <v>0</v>
      </c>
      <c r="AT87" s="8">
        <f>IF(ISBLANK(Input!$BN$4),NA(),'Reaction Information'!$E$50-'Reaction Information'!$G$50*(Calculations!O87-Calculations!$C$8)-'Reaction Information'!$N$50*(Calculations!O87*LN(Calculations!O87/Calculations!$C$8)-Calculations!O87+Calculations!$C$8)-'Reaction Information'!$O$50*10^4*(((1/(Calculations!O87-Calculations!$C$13))-(1/(Calculations!$C$8-Calculations!$C$13)))*((Calculations!$C$13-Calculations!O87)/(Calculations!$C$13))-(Calculations!O87/(Calculations!$C$13*Calculations!$C$13))*LN((Calculations!$C$8*(Calculations!O87-Calculations!$C$13))/(Calculations!O87*(Calculations!$C$8-Calculations!$C$13))))+'Reaction Information'!$J$50*10^-1*(Calculations!$M87-Calculations!$C$9)+'Reaction Information'!$K$50*10^2*LN((Calculations!$C$12+Calculations!$M87)/(Calculations!$C$12+Calculations!$C$9))+(1/(Calculations!O87-Calculations!$C$13))*('Reaction Information'!$L$50*(Calculations!$M87-Calculations!$C$9)+'Reaction Information'!$M$50*10^4*LN((Calculations!$C$12+Calculations!$M87)/(Calculations!$C$12+Calculations!$C$9)))+calculateOmega(Calculations!M87,Calculations!N87,Calculations!Q87,'Reaction Information'!$C$50,'Reaction Information'!$P$50*10^5,'Reaction Information'!$Q$50)*((1/Calculations!S87)-1)-'Reaction Information'!$P$50*10^5*((1/Calculations!$C$10)-1)+'Reaction Information'!$P$50*10^5*Calculations!$C$14*(Calculations!O87-Calculations!$C$8))</f>
        <v>-135392.79869296512</v>
      </c>
      <c r="AU87" s="8" t="e">
        <f>IF(ISBLANK(Input!$BQ$4),NA(),'Reaction Information'!$E$54-'Reaction Information'!$G$54*(Calculations!$O87-Calculations!$C$8)-'Reaction Information'!$N$54*(Calculations!$O87*LN(Calculations!$O87/Calculations!$C$8)-Calculations!$O87+Calculations!$C$8)-'Reaction Information'!$O$54*10^4*(((1/(Calculations!$O87-Calculations!$C$13))-(1/(Calculations!$C$8-Calculations!$C$13)))*((Calculations!$C$13-Calculations!$O87)/(Calculations!$C$13))-(Calculations!$O87/(Calculations!$C$13*Calculations!$C$13))*LN((Calculations!$C$8*(Calculations!$O87-Calculations!$C$13))/(Calculations!$O87*(Calculations!$C$8-Calculations!$C$13))))+'Reaction Information'!$J$54*10^-1*(Calculations!$M87-Calculations!$C$9)+'Reaction Information'!$K$54*10^2*LN((Calculations!$C$12+Calculations!$M87)/(Calculations!$C$12+Calculations!$C$9))+(1/(Calculations!$O87-Calculations!$C$13))*('Reaction Information'!$L$54*(Calculations!$M87-Calculations!$C$9)+'Reaction Information'!$M$54*10^4*LN((Calculations!$C$12+Calculations!$M87)/(Calculations!$C$12+Calculations!$C$9)))+calculateOmega(Calculations!M87,Calculations!N87,Calculations!Q87,'Reaction Information'!$C$54,'Reaction Information'!$P$54*10^5,'Reaction Information'!$Q$54)*((1/Calculations!$S87)-1)-'Reaction Information'!$P$54*10^5*((1/Calculations!$C$10)-1)+'Reaction Information'!$P$54*10^5*Calculations!$C$14*(Calculations!$O87-Calculations!$C$8))</f>
        <v>#N/A</v>
      </c>
      <c r="AV87" s="8" t="e">
        <f>IF(ISBLANK(Input!$BT$4),NA(),'Reaction Information'!$E$58-'Reaction Information'!$G$58*(Calculations!$O87-Calculations!$C$8)-'Reaction Information'!$N$58*(Calculations!$O87*LN(Calculations!$O87/Calculations!$C$8)-Calculations!$O87+Calculations!$C$8)-'Reaction Information'!$O$58*10^4*(((1/(Calculations!$O87-Calculations!$C$13))-(1/(Calculations!$C$8-Calculations!$C$13)))*((Calculations!$C$13-Calculations!$O87)/(Calculations!$C$13))-(Calculations!$O87/(Calculations!$C$13*Calculations!$C$13))*LN((Calculations!$C$8*(Calculations!$O87-Calculations!$C$13))/(Calculations!$O87*(Calculations!$C$8-Calculations!$C$13))))+'Reaction Information'!$J$58*10^-1*(Calculations!$M87-Calculations!$C$9)+'Reaction Information'!$K$58*10^2*LN((Calculations!$C$12+Calculations!$M87)/(Calculations!$C$12+Calculations!$C$9))+(1/(Calculations!$O87-Calculations!$C$13))*('Reaction Information'!$L$58*(Calculations!$M87-Calculations!$C$9)+'Reaction Information'!$M$58*10^4*LN((Calculations!$C$12+Calculations!$M87)/(Calculations!$C$12+Calculations!$C$9)))+calculateOmega(Calculations!M87,Calculations!N87,Calculations!Q87,'Reaction Information'!$C$58,'Reaction Information'!$P$58*10^5,'Reaction Information'!$Q$58)*((1/Calculations!$S87)-1)-'Reaction Information'!$P$58*10^5*((1/Calculations!$C$10)-1)+'Reaction Information'!$P$58*10^5*Calculations!$C$14*(Calculations!$O87-Calculations!$C$8))</f>
        <v>#N/A</v>
      </c>
      <c r="AW87" s="8" t="e">
        <f>IF(ISBLANK(Input!$BW$4),NA(),'Reaction Information'!$E$62-'Reaction Information'!$G$62*(Calculations!$O87-Calculations!$C$8)-'Reaction Information'!$N$62*(Calculations!$O87*LN(Calculations!$O87/Calculations!$C$8)-Calculations!$O87+Calculations!$C$8)-'Reaction Information'!$O$62*10^4*(((1/(Calculations!$O87-Calculations!$C$13))-(1/(Calculations!$C$8-Calculations!$C$13)))*((Calculations!$C$13-Calculations!$O87)/(Calculations!$C$13))-(Calculations!$O87/(Calculations!$C$13*Calculations!$C$13))*LN((Calculations!$C$8*(Calculations!$O87-Calculations!$C$13))/(Calculations!$O87*(Calculations!$C$8-Calculations!$C$13))))+'Reaction Information'!$J$62*10^-1*(Calculations!$M87-Calculations!$C$9)+'Reaction Information'!$K$62*10^2*LN((Calculations!$C$12+Calculations!$M87)/(Calculations!$C$12+Calculations!$C$9))+(1/(Calculations!$O87-Calculations!$C$13))*('Reaction Information'!$L$62*(Calculations!$M87-Calculations!$C$9)+'Reaction Information'!$M$62*10^4*LN((Calculations!$C$12+Calculations!$M87)/(Calculations!$C$12+Calculations!$C$9)))+calculateOmega(Calculations!M87,Calculations!N87,Calculations!Q87,'Reaction Information'!$C$62,'Reaction Information'!$P$62*10^5,'Reaction Information'!$Q$62)*((1/Calculations!$S87)-1)-'Reaction Information'!$P$62*10^5*((1/Calculations!$C$10)-1)+'Reaction Information'!$P$62*10^5*Calculations!$C$14*(Calculations!$O87-Calculations!$C$8))</f>
        <v>#N/A</v>
      </c>
      <c r="AX87" s="8" t="e">
        <f>IF(ISBLANK(Input!$BZ$4),NA(),'Reaction Information'!$E$66-'Reaction Information'!$G$66*(Calculations!$O87-Calculations!$C$8)-'Reaction Information'!$N$66*(Calculations!$O87*LN(Calculations!$O87/Calculations!$C$8)-Calculations!$O87+Calculations!$C$8)-'Reaction Information'!$O$66*10^4*(((1/(Calculations!$O87-Calculations!$C$13))-(1/(Calculations!$C$8-Calculations!$C$13)))*((Calculations!$C$13-Calculations!$O87)/(Calculations!$C$13))-(Calculations!$O87/(Calculations!$C$13*Calculations!$C$13))*LN((Calculations!$C$8*(Calculations!$O87-Calculations!$C$13))/(Calculations!$O87*(Calculations!$C$8-Calculations!$C$13))))+'Reaction Information'!$J$66*10^-1*(Calculations!$M87-Calculations!$C$9)+'Reaction Information'!$K$66*10^2*LN((Calculations!$C$12+Calculations!$M87)/(Calculations!$C$12+Calculations!$C$9))+(1/(Calculations!$O87-Calculations!$C$13))*('Reaction Information'!$L$66*(Calculations!$M87-Calculations!$C$9)+'Reaction Information'!$M$66*10^4*LN((Calculations!$C$12+Calculations!$M87)/(Calculations!$C$12+Calculations!$C$9)))+calculateOmega(Calculations!M87,Calculations!N87,Calculations!Q87,'Reaction Information'!$C$66,'Reaction Information'!$P$66*10^5,'Reaction Information'!$Q$66)*((1/Calculations!$S87)-1)-'Reaction Information'!$P$66*10^5*((1/Calculations!$C$10)-1)+'Reaction Information'!$P$66*10^5*Calculations!$C$14*(Calculations!$O87-Calculations!$C$8))</f>
        <v>#N/A</v>
      </c>
      <c r="AY87" s="31">
        <f>(AL87*Input!$AO$4+AM87*Input!$AR$4+AN87*Input!$AU$4+AO87*Input!$AX$4+IF(ISNA(AP87),0,AP87*Input!$BA$4)+IF(ISNA(AQ87),0,AQ87*Input!$BD$4)+IF(ISNA(AR87),0,AR87*Input!$BG$4)+IF(ISNA(AS87),0,AS87*Input!$BJ$4)+IF(ISNA(AT87),0,AT87*Input!$BM$4)+IF(ISNA(AU87),0,AU87*Input!$BP$4)+IF(ISNA(AV87),0,AV87*Input!$BS$4)+IF(ISNA(AW87),0,AW87*Input!$BV$4)+IF(ISNA(AX87),0,AX87*Input!$BY$4))-(Y87*Input!$B$4+Z87*Input!$E$4+AA87*Input!$H$4+AB87*Input!$K$4+IF(ISNA(AC87),0,AC87*Input!$N$4)+IF(ISNA(AD87),0,AD87*Input!$Q$4)+IF(ISNA(AE87),0,AE87*Input!$T$4)+IF(ISNA(AF87),0,AF87*Input!$W$4)+IF(ISNA(AG87),0,AG87*Input!$Z$4)+IF(ISNA(AH87),0,AH87*Input!$AC$4)+IF(ISNA(AI87),0,AI87*Input!$AF$4)+IF(ISNA(AJ87),0,AJ87*Input!$AI$4)+IF(ISNA(AK87),0,AK87*Input!$AL$4))</f>
        <v>17830.132500991342</v>
      </c>
      <c r="AZ87" s="42">
        <f t="shared" si="20"/>
        <v>-4.4657826877961666</v>
      </c>
      <c r="BA87" s="1">
        <f t="shared" si="27"/>
        <v>600</v>
      </c>
      <c r="BB87" s="46">
        <f t="shared" si="28"/>
        <v>30000</v>
      </c>
      <c r="BC87" s="1"/>
      <c r="BD87" s="2">
        <f t="shared" si="29"/>
        <v>30000</v>
      </c>
      <c r="BE87" s="46">
        <f t="shared" si="30"/>
        <v>600</v>
      </c>
      <c r="BF87" s="1">
        <f>Results!AJ89</f>
        <v>0</v>
      </c>
      <c r="BG87" s="1">
        <f>Results!AK89</f>
        <v>0</v>
      </c>
      <c r="BH87" s="1">
        <f>Results!AL89</f>
        <v>0</v>
      </c>
      <c r="BI87" s="1">
        <f>Results!AM89</f>
        <v>0</v>
      </c>
      <c r="BJ87" s="1" t="e">
        <f>IF(OR(ISNA('Reaction Information'!$D$5), $N87 = "", $D$27 = FALSE, 'Reaction Information'!$D$5 = ""), NA(), 24.465)</f>
        <v>#N/A</v>
      </c>
      <c r="BK87" s="1" t="e">
        <f>IF(OR(ISNA('Reaction Information'!$D$9), $N87 = "", $D$27 = FALSE, 'Reaction Information'!$D$9 = ""), NA(), 24.465)</f>
        <v>#N/A</v>
      </c>
      <c r="BL87" s="8">
        <f t="shared" si="21"/>
        <v>14.550320832131883</v>
      </c>
      <c r="BM87" s="8">
        <f>IF(OR(ISBLANK(Input!$X$4),$D$27=FALSE),NA(),('Reaction Information'!$J$13/10+'Reaction Information'!$K$13*100/(Calculations!$C$12+Calculations!$M87)+('Reaction Information'!$L$13+'Reaction Information'!$M$13*10^4/(Calculations!$C$12+Calculations!$M87))/(Calculations!$O87-Calculations!$C$13) -calculateOmega(Calculations!$M87,Calculations!$N87,Calculations!$Q87,'Reaction Information'!$C$13,'Reaction Information'!$P$13*10^5,'Reaction Information'!$Q$13)*Calculations!$U87*10^-6 + (1/$S87 - 1)*calculate_domegadP(Calculations!$M87,Calculations!$N87,Calculations!$Q87,'Reaction Information'!$C$13,'Reaction Information'!$P$13*10^5,'Reaction Information'!$Q$13,$D$20,$D$19=3))*41.84)</f>
        <v>30.41615843317954</v>
      </c>
      <c r="BN87" s="8" t="e">
        <f>IF(OR(ISBLANK(Input!$AA$4),$D$27=FALSE),NA(),('Reaction Information'!$J$17/10+'Reaction Information'!$K$17*100/(Calculations!$C$12+Calculations!$M87)+('Reaction Information'!$L$17+'Reaction Information'!$M$17*10000/(Calculations!$C$12+Calculations!$M87))/(Calculations!$O87-Calculations!$C$13)-calculateOmega(Calculations!M87,Calculations!N87,Calculations!Q87,'Reaction Information'!$C$17,'Reaction Information'!$P$17*10^5,'Reaction Information'!$Q$17)*Calculations!$U87*10^-6 + (1/$S87 - 1)*calculate_domegadP(Calculations!M87,Calculations!N87,Calculations!Q87,'Reaction Information'!$C$17,'Reaction Information'!$P$17*10^5,'Reaction Information'!$Q$17,$D$20,$D$19=3))*41.84)</f>
        <v>#N/A</v>
      </c>
      <c r="BO87" s="8" t="e">
        <f>IF(OR(ISBLANK(Input!$AD$4),$D$27=FALSE),NA(),('Reaction Information'!$J$21/10+'Reaction Information'!$K$21*100/(Calculations!$C$12+Calculations!$M87)+('Reaction Information'!$L$21+'Reaction Information'!$M$21*10000/(Calculations!$C$12+Calculations!$M87))/(Calculations!$O87-Calculations!$C$13)-calculateOmega(Calculations!M87,Calculations!N87,Calculations!Q87,'Reaction Information'!$C$21,'Reaction Information'!$P$21*10^5,'Reaction Information'!$Q$21)*Calculations!$U87*10^-6 + (1/$S87 - 1)*calculate_domegadP(Calculations!M87,Calculations!N87,Calculations!Q87,'Reaction Information'!$C$21,'Reaction Information'!$P$21*10^5,'Reaction Information'!$Q$21,$D$20,$D$19=3))*41.84)</f>
        <v>#N/A</v>
      </c>
      <c r="BP87" s="8" t="e">
        <f>IF(OR(ISBLANK(Input!$AG$4),$D$27=FALSE),NA(),('Reaction Information'!$J$25/10+'Reaction Information'!$K$25*100/(Calculations!$C$12+Calculations!$M87)+('Reaction Information'!$L$25+'Reaction Information'!$M$25*10000/(Calculations!$C$12+Calculations!$M87))/(Calculations!$O87-Calculations!$C$13)-calculateOmega(Calculations!M87,Calculations!N87,Calculations!Q87,'Reaction Information'!$C$25,'Reaction Information'!$P$25*10^5,'Reaction Information'!$Q$25)*Calculations!$U87*10^-6 + (1/$S87 - 1)*calculate_domegadP(Calculations!M87,Calculations!N87,Calculations!Q87,'Reaction Information'!$C$25,'Reaction Information'!$P$25*10^5,'Reaction Information'!$Q$25,$D$20,$D$19=3))*41.84)</f>
        <v>#N/A</v>
      </c>
      <c r="BQ87" s="8" t="e">
        <f>IF(OR(ISBLANK(Input!$AJ$4),$D$27=FALSE),NA(),('Reaction Information'!$J$29/10+'Reaction Information'!$K$29*100/(Calculations!$C$12+Calculations!$M87)+('Reaction Information'!$L$29+'Reaction Information'!$M$29*10000/(Calculations!$C$12+Calculations!$M87))/(Calculations!$O87-Calculations!$C$13)-calculateOmega(Calculations!M87,Calculations!N87,Calculations!Q87,'Reaction Information'!$C$29,'Reaction Information'!$P$29*10^5,'Reaction Information'!$Q$29)*Calculations!$U87*10^-6 + (1/$S87 - 1)*calculate_domegadP(Calculations!M87,Calculations!N87,Calculations!Q87,'Reaction Information'!$C$29,'Reaction Information'!$P$29*10^5,'Reaction Information'!$Q$29,$D$20,$D$19=3))*41.84)</f>
        <v>#N/A</v>
      </c>
      <c r="BR87" s="8" t="e">
        <f>IF(OR(ISBLANK(Input!$AM$4),$D$27=FALSE),NA(),('Reaction Information'!$J$33/10+'Reaction Information'!$K$33*100/(Calculations!$C$12+Calculations!$M87)+('Reaction Information'!$L$33+'Reaction Information'!$M$33*10000/(Calculations!$C$12+Calculations!$M87))/(Calculations!$O87-Calculations!$C$13)-calculateOmega(Calculations!M87,Calculations!N87,Calculations!Q87,'Reaction Information'!$C$33,'Reaction Information'!$P$33*10^5,'Reaction Information'!$Q$33)*Calculations!$U87*10^-6 + (1/$S87 - 1)*calculate_domegadP(Calculations!M87,Calculations!N87,Calculations!Q87,'Reaction Information'!$C$33,'Reaction Information'!$P$33*10^5,'Reaction Information'!$Q$33,$D$20,$D$19=3))*41.84)</f>
        <v>#N/A</v>
      </c>
      <c r="BS87" s="1">
        <f>Results!AW89</f>
        <v>0</v>
      </c>
      <c r="BT87" s="1">
        <f>Results!AX89</f>
        <v>0</v>
      </c>
      <c r="BU87" s="1">
        <f>Results!AY89</f>
        <v>0</v>
      </c>
      <c r="BV87" s="1">
        <f>Results!AZ89</f>
        <v>0</v>
      </c>
      <c r="BW87" s="1" t="e">
        <f>IF(OR(ISNA('Reaction Information'!$D$38), $N87 = "", $D$27 = FALSE, 'Reaction Information'!$D$38 = ""), NA(), 24.465)</f>
        <v>#N/A</v>
      </c>
      <c r="BX87" s="1" t="e">
        <f>IF(OR(ISNA('Reaction Information'!$D$42), $N87 = "", $D$27 = FALSE, 'Reaction Information'!$D$42 = ""), NA(), 24.465)</f>
        <v>#N/A</v>
      </c>
      <c r="BY87" s="8" t="e">
        <f t="shared" si="22"/>
        <v>#N/A</v>
      </c>
      <c r="BZ87" s="8">
        <f>IF(OR(ISBLANK(Input!$BK$4),$D$27=FALSE),NA(),('Reaction Information'!$J$46/10+'Reaction Information'!$K$46*100/(Calculations!$C$12+Calculations!$M87)+('Reaction Information'!$L$46+'Reaction Information'!$M$46*10000/(Calculations!$C$12+Calculations!$M87))/(Calculations!$O87-Calculations!$C$13)-calculateOmega(Calculations!M87,Calculations!N87,Calculations!Q87,'Reaction Information'!$C$46,'Reaction Information'!$P$46*10^5,'Reaction Information'!$Q$46)*Calculations!$U87*10^-6 + (1/$S87 - 1)*calculate_domegadP(Calculations!M87,Calculations!N87,Calculations!Q87,'Reaction Information'!$C$46,'Reaction Information'!$P$46*10^5,'Reaction Information'!$Q$46,$D$20,$D$19=3))*41.84)</f>
        <v>0</v>
      </c>
      <c r="CA87" s="8">
        <f>IF(OR(ISBLANK(Input!$BN$4),$D$27=FALSE),NA(),('Reaction Information'!$J$50/10+'Reaction Information'!$K$50*100/(Calculations!$C$12+Calculations!$M87)+('Reaction Information'!$L$50+'Reaction Information'!$M$50*10000/(Calculations!$C$12+Calculations!$M87))/(Calculations!$O87-Calculations!$C$13)-calculateOmega(Calculations!M87,Calculations!N87,Calculations!Q87,'Reaction Information'!$C$50,'Reaction Information'!$P$50*10^5,'Reaction Information'!$Q$50)*Calculations!$U87*10^-6 + (1/$S87 - 1)*calculate_domegadP(Calculations!M87,Calculations!N87,Calculations!Q87,'Reaction Information'!$C$50,'Reaction Information'!$P$50*10^5,'Reaction Information'!$Q$50,$D$20,$D$19=3))*41.84)</f>
        <v>30.750879918057212</v>
      </c>
      <c r="CB87" s="8" t="e">
        <f>IF(OR(ISBLANK(Input!$BQ$4),$D$27=FALSE),NA(),('Reaction Information'!$J$54/10+'Reaction Information'!$K$54*100/(Calculations!$C$12+Calculations!$M87)+('Reaction Information'!$L$54+'Reaction Information'!$M$54*10000/(Calculations!$C$12+Calculations!$M87))/(Calculations!$O87-Calculations!$C$13)-calculateOmega(Calculations!M87,Calculations!N87,Calculations!Q87,'Reaction Information'!$C$54,'Reaction Information'!$P$54*10^5,'Reaction Information'!$Q$54)*Calculations!$U87*10^-6 + (1/$S87 - 1)*calculate_domegadP(Calculations!M87,Calculations!N87,Calculations!Q87,'Reaction Information'!$C$54,'Reaction Information'!$P$54*10^5,'Reaction Information'!$Q$54,$D$20,$D$19=3))*41.84)</f>
        <v>#N/A</v>
      </c>
      <c r="CC87" s="8" t="e">
        <f>IF(OR(ISBLANK(Input!$BT$4),$D$27=FALSE),NA(),('Reaction Information'!$J$58/10+'Reaction Information'!$K$58*100/(Calculations!$C$12+Calculations!$M87)+('Reaction Information'!$L$58+'Reaction Information'!$M$58*10000/(Calculations!$C$12+Calculations!$M87))/(Calculations!$O87-Calculations!$C$13)-calculateOmega(Calculations!M87,Calculations!N87,Calculations!Q87,'Reaction Information'!$C$58,'Reaction Information'!$P$58*10^5,'Reaction Information'!$Q$58)*Calculations!$U87*10^-6 + (1/$S87 - 1)*calculate_domegadP(Calculations!M87,Calculations!N87,Calculations!Q87,'Reaction Information'!$C$58,'Reaction Information'!$P$58*10^5,'Reaction Information'!$Q$58,$D$20,$D$19=3))*41.84)</f>
        <v>#N/A</v>
      </c>
      <c r="CD87" s="8" t="e">
        <f>IF(OR(ISBLANK(Input!$BW$4),$D$27=FALSE),NA(),('Reaction Information'!$J$62/10+'Reaction Information'!$K$62*100/(Calculations!$C$12+Calculations!$M87)+('Reaction Information'!$L$62+'Reaction Information'!$M$62*10000/(Calculations!$C$12+Calculations!$M87))/(Calculations!$O87-Calculations!$C$13)-calculateOmega(Calculations!M87,Calculations!N87,Calculations!Q87,'Reaction Information'!$C$62,'Reaction Information'!$P$62*10^5,'Reaction Information'!$Q$62)*Calculations!$U87*10^-6 + (1/$S87 - 1)*calculate_domegadP(Calculations!M87,Calculations!N87,Calculations!Q87,'Reaction Information'!$C$62,'Reaction Information'!$P$62*10^5,'Reaction Information'!$Q$62,$D$20,$D$19=3))*41.84)</f>
        <v>#N/A</v>
      </c>
      <c r="CE87" s="8" t="e">
        <f>IF(OR(ISBLANK(Input!$BZ$4),$D$27=FALSE),NA(),('Reaction Information'!$J$66/10+'Reaction Information'!$K$66*100/(Calculations!$C$12+Calculations!$M87)+('Reaction Information'!$L$66+'Reaction Information'!$M$66*10000/(Calculations!$C$12+Calculations!$M87))/(Calculations!$O87-Calculations!$C$13)-calculateOmega(Calculations!M87,Calculations!N87,Calculations!Q87,'Reaction Information'!$C$66,'Reaction Information'!$P$66*10^5,'Reaction Information'!$Q$66)*Calculations!$U87*10^-6 + (1/$S87 - 1)*calculate_domegadP(Calculations!M87,Calculations!N87,Calculations!Q87,'Reaction Information'!$C$66,'Reaction Information'!$P$66*10^5,'Reaction Information'!$Q$66,$D$20,$D$19=3))*41.84)</f>
        <v>#N/A</v>
      </c>
      <c r="CF87" s="31">
        <f>(BS87*Input!$AO$4+BT87*Input!$AR$4+BU87*Input!$AU$4+BV87*Input!$AX$4+IF(ISNA(BW87),0,BW87*Input!$BA$4)+IF(ISNA(BX87),0,BX87*Input!$BD$4)+IF(ISNA(BY87),0,BY87*Input!$BG$4)+IF(ISNA(BZ87),0,BZ87*Input!$BJ$4)+IF(ISNA(CA87),0,CA87*Input!$BM$4)+IF(ISNA(CB87),0,CB87*Input!$BP$4)+IF(ISNA(CC87),0,CC87*Input!$BS$4)+IF(ISNA(CD87),0,CD87*Input!$BV$4)+IF(ISNA(CE87),0,CE87*Input!$BY$4))-(BF87*Input!$B$4+BG87*Input!$E$4+BH87*Input!$H$4+BI87*Input!$K$4+IF(ISNA(BJ87),0,BJ87*Input!$N$4)+IF(ISNA(BK87),0,BK87*Input!$Q$4)+IF(ISNA(BL87),0,BL87*Input!$T$4)+IF(ISNA(BM87),0,BM87*Input!$W$4)+IF(ISNA(BN87),0,BN87*Input!$Z$4)+IF(ISNA(BO87),0,BO87*Input!$AC$4)+IF(ISNA(BP87),0,BP87*Input!$AF$4)+IF(ISNA(BQ87),0,BQ87*Input!$AI$4)+IF(ISNA(BR87),0,BR87*Input!$AL$4))</f>
        <v>-14.215599347254209</v>
      </c>
      <c r="CG87" s="1">
        <f t="shared" si="31"/>
        <v>600</v>
      </c>
      <c r="CH87" s="46">
        <f t="shared" si="32"/>
        <v>30000</v>
      </c>
      <c r="CI87" s="1"/>
    </row>
    <row r="88" spans="1:87" x14ac:dyDescent="0.2">
      <c r="A88" s="1"/>
      <c r="B88" s="1"/>
      <c r="C88" s="1"/>
      <c r="D88" s="1"/>
      <c r="E88" s="1"/>
      <c r="F88" s="2">
        <v>83</v>
      </c>
      <c r="G88" s="1" t="str">
        <f>IF(ISBLANK(Input!CB88), "", Input!CB88*1000)</f>
        <v/>
      </c>
      <c r="H88" s="1" t="str">
        <f>IF(ISBLANK(Input!CC88), "", Input!CC88)</f>
        <v/>
      </c>
      <c r="I88" s="1">
        <f>IF(Input!$CF$5 + Input!$CF$6*(FLOOR((Calculations!$F88-1)/(FLOOR((Input!$CF$12-Input!$CF$10)/Input!$CF$11,1)+1),1)) &gt; Input!$CF$7, "", (Input!$CF$5 + Input!$CF$6*(FLOOR((Calculations!$F88-1)/(FLOOR((Input!$CF$12-Input!$CF$10)/Input!$CF$11,1)+1),1)))*1000)</f>
        <v>30000</v>
      </c>
      <c r="J88" s="1">
        <f>IF(Calculations!I88 = "", "", Input!$CF$10 + Input!$CF$11*(Calculations!$F88-1) - (FLOOR((Input!$CF$12-Input!$CF$10)/Input!$CF$11,1)+1)*Input!$CF$11*FLOOR((Calculations!$F88-1)/(FLOOR((Input!$CF$12-Input!$CF$10)/Input!$CF$11,1)+1),1))</f>
        <v>650</v>
      </c>
      <c r="K88" s="8" t="str">
        <f t="shared" si="33"/>
        <v/>
      </c>
      <c r="L88" s="117" t="str">
        <f>IF(OR(Input!$CJ$5 + Input!$CJ$6*(Calculations!F88-1) &gt; Input!$CJ$7, Input!$CJ$5 + Input!$CJ$6*(Calculations!F88-1) &gt; 350), "", Input!$CJ$5 + Input!$CJ$6*(Calculations!F88-1))</f>
        <v/>
      </c>
      <c r="M88" s="1">
        <f t="shared" si="23"/>
        <v>30000</v>
      </c>
      <c r="N88" s="1">
        <f t="shared" si="24"/>
        <v>650</v>
      </c>
      <c r="O88" s="1">
        <f t="shared" si="19"/>
        <v>923.15</v>
      </c>
      <c r="P88" s="1" t="e">
        <f>IF(OR($D$20=3,AND($D$21=TRUE,M88&lt;1000)),INDEX('Water Density'!$C$6:$CX$120,MATCH(Calculations!N88,'Water Density'!$B$6:$B$120),MATCH(Calculations!M88/1000,'Water Density'!$C$5:$CX$5)),NA())</f>
        <v>#N/A</v>
      </c>
      <c r="Q88" s="182">
        <f>IF(OR($D$20=3,AND($D$21=TRUE,M88&lt;1000)), IF(P88&lt;&gt;0,P88,NA()), calculateDensity(M88,N88,$D$20,0.01,$D$19 = 3))</f>
        <v>1.2228593652129174</v>
      </c>
      <c r="R88" s="1" t="e">
        <f>IF($D$22=5,INDEX('Dielectric Constant'!$C$6:$CX$120,MATCH(Calculations!N88,'Dielectric Constant'!$B$6:$B$120),MATCH(Calculations!M88/1000,'Dielectric Constant'!$C$5:$CX$5)),NA())</f>
        <v>#N/A</v>
      </c>
      <c r="S88" s="58">
        <f>IF($D$22=5, IF(R88&lt;&gt;0,R88,NA()), IF(AND($D$23,M88&lt;=5000,$D$19 &lt;&gt; 3),calculateEpsilon(Q88,N88,1,FALSE),calculateEpsilon(Q88,N88,$D$22,$D$19 = 3)))</f>
        <v>25.507964800116532</v>
      </c>
      <c r="T88" s="1" t="e">
        <f>IF($D$24=3,INDEX('Water Free Energy'!$C$6:$CX$120,MATCH(Calculations!N88,'Water Free Energy'!$B$6:$B$120),MATCH(Calculations!M88/1000,'Water Free Energy'!$C$5:$CX$5)),NA())</f>
        <v>#N/A</v>
      </c>
      <c r="U88" s="179">
        <f>IF($D$27,calculateQ(M88,N88,Q88,$D$20,$D$22,$D$19=3)*10^6,NA())</f>
        <v>0.27733431522216673</v>
      </c>
      <c r="V88"/>
      <c r="W88" s="2">
        <f t="shared" si="25"/>
        <v>30000</v>
      </c>
      <c r="X88" s="1">
        <f t="shared" si="26"/>
        <v>650</v>
      </c>
      <c r="Y88" s="1">
        <f>Results!F90</f>
        <v>0</v>
      </c>
      <c r="Z88" s="1">
        <f>Results!G90</f>
        <v>0</v>
      </c>
      <c r="AA88" s="1">
        <f>Results!H90</f>
        <v>0</v>
      </c>
      <c r="AB88" s="1">
        <f>Results!I90</f>
        <v>0</v>
      </c>
      <c r="AC88" s="1" t="e">
        <f>IF(ISBLANK(Input!$O$4),NA(),'Reaction Information'!$E$5-'Reaction Information'!$G$5*(Calculations!$O88-Calculations!$C$8)+'Reaction Information'!$I$5*(Calculations!$O88-Calculations!$C$8-Calculations!$O88*LN(Calculations!$O88/Calculations!$C$8))+'Reaction Information'!$J$5*0.001/2*(2*Calculations!$O88*Calculations!$C$8-Calculations!$O88^2-Calculations!$C$8^2) + 'Reaction Information'!$K$5*100000*(Calculations!$O88^2 + Calculations!$C$8^2 - 2*Calculations!$O88*Calculations!$C$8)/(2*Calculations!$O88*Calculations!$C$8^2))</f>
        <v>#N/A</v>
      </c>
      <c r="AD88" s="8" t="e">
        <f>IF(ISBLANK(Input!$R$4),NA(),'Reaction Information'!$E$9-'Reaction Information'!$G$9*(Calculations!$O88-Calculations!$C$8)+'Reaction Information'!$I$9*(Calculations!$O88-Calculations!$C$8-Calculations!$O88*LN(Calculations!$O88/Calculations!$C$8))+'Reaction Information'!$J$9*0.001/2*(2*Calculations!$O88*Calculations!$C$8-Calculations!$O88^2-Calculations!$C$8^2) + 'Reaction Information'!$K$9*100000*(Calculations!$O88^2 + Calculations!$C$8^2 - 2*Calculations!$O88*Calculations!$C$8)/(2*Calculations!$O88*Calculations!$C$8^2))</f>
        <v>#N/A</v>
      </c>
      <c r="AE88" s="8">
        <f>IF(AE$5="H2O",IF($D$24=3,IF(T88=0,NA(),T88),calculateGibbsOfWater(M88,N88,$D$24,$D$20,$D$19=3)),NA())</f>
        <v>-61007.823772856857</v>
      </c>
      <c r="AF88" s="8">
        <f>IF(ISBLANK(Input!$X$4),NA(),'Reaction Information'!$E$13-'Reaction Information'!$G$13*(Calculations!O88-Calculations!$C$8)-'Reaction Information'!$N$13*(Calculations!O88*LN(Calculations!O88/Calculations!$C$8)-Calculations!O88+Calculations!$C$8)-'Reaction Information'!$O$13*10^4*(((1/(Calculations!O88-Calculations!$C$13))-(1/(Calculations!$C$8-Calculations!$C$13)))*((Calculations!$C$13-Calculations!O88)/(Calculations!$C$13))-(Calculations!O88/(Calculations!$C$13*Calculations!$C$13))*LN((Calculations!$C$8*(Calculations!O88-Calculations!$C$13))/(Calculations!O88*(Calculations!$C$8-Calculations!$C$13))))+'Reaction Information'!$J$13*10^-1*(Calculations!M88-Calculations!$C$9)+'Reaction Information'!$K$13*10^2*LN((Calculations!$C$12+Calculations!M88)/(Calculations!$C$12+Calculations!$C$9))+(1/(Calculations!O88-Calculations!$C$13))*('Reaction Information'!$L$13*(Calculations!M88-Calculations!$C$9)+'Reaction Information'!$M$13*10^4*LN((Calculations!$C$12+Calculations!M88)/(Calculations!$C$12+Calculations!$C$9)))+calculateOmega(Calculations!M88,Calculations!N88,Calculations!Q88,'Reaction Information'!$C$13,'Reaction Information'!$P$13*10^5,'Reaction Information'!$Q$13)*((1/Calculations!S88)-1)-'Reaction Information'!$P$13*10^5*((1/Calculations!$C$10)-1)+'Reaction Information'!$P$13*10^5*Calculations!$C$14*(Calculations!O88-Calculations!$C$8))</f>
        <v>-96006.710022061015</v>
      </c>
      <c r="AG88" s="8" t="e">
        <f>IF(ISBLANK(Input!$AA$4),NA(),'Reaction Information'!$E$17-'Reaction Information'!$G$17*(Calculations!$O88-Calculations!$C$8)-'Reaction Information'!$N$17*(Calculations!$O88*LN(Calculations!$O88/Calculations!$C$8)-Calculations!$O88+Calculations!$C$8)-'Reaction Information'!$O$17*10^4*(((1/(Calculations!$O88-Calculations!$C$13))-(1/(Calculations!$C$8-Calculations!$C$13)))*((Calculations!$C$13-Calculations!$O88)/(Calculations!$C$13))-(Calculations!$O88/(Calculations!$C$13*Calculations!$C$13))*LN((Calculations!$C$8*(Calculations!$O88-Calculations!$C$13))/(Calculations!$O88*(Calculations!$C$8-Calculations!$C$13))))+'Reaction Information'!$J$17*10^-1*(Calculations!$M88-Calculations!$C$9)+'Reaction Information'!$K$17*10^2*LN((Calculations!$C$12+Calculations!$M88)/(Calculations!$C$12+Calculations!$C$9))+(1/(Calculations!$O88-Calculations!$C$13))*('Reaction Information'!$L$17*(Calculations!$M88-Calculations!$C$9)+'Reaction Information'!$M$17*10^4*LN((Calculations!$C$12+Calculations!$M88)/(Calculations!$C$12+Calculations!$C$9)))+calculateOmega(Calculations!M88,Calculations!N88,Calculations!Q88,'Reaction Information'!$C$17,'Reaction Information'!$P$17*10^5,'Reaction Information'!$Q$17)*((1/Calculations!$S88)-1)-'Reaction Information'!$P$17*10^5*((1/Calculations!$C$10)-1)+'Reaction Information'!$P$17*10^5*Calculations!$C$14*(Calculations!$O88-Calculations!$C$8))</f>
        <v>#N/A</v>
      </c>
      <c r="AH88" s="8" t="e">
        <f>IF(ISBLANK(Input!$AD$4),NA(),'Reaction Information'!$E$21-'Reaction Information'!$G$21*(Calculations!$O88-Calculations!$C$8)-'Reaction Information'!$N$21*(Calculations!$O88*LN(Calculations!$O88/Calculations!$C$8)-Calculations!$O88+Calculations!$C$8)-'Reaction Information'!$O$21*10^4*(((1/(Calculations!$O88-Calculations!$C$13))-(1/(Calculations!$C$8-Calculations!$C$13)))*((Calculations!$C$13-Calculations!$O88)/(Calculations!$C$13))-(Calculations!$O88/(Calculations!$C$13*Calculations!$C$13))*LN((Calculations!$C$8*(Calculations!$O88-Calculations!$C$13))/(Calculations!$O88*(Calculations!$C$8-Calculations!$C$13))))+'Reaction Information'!$J$21*10^-1*(Calculations!$M88-Calculations!$C$9)+'Reaction Information'!$K$21*10^2*LN((Calculations!$C$12+Calculations!$M88)/(Calculations!$C$12+Calculations!$C$9))+(1/(Calculations!$O88-Calculations!$C$13))*('Reaction Information'!$L$21*(Calculations!$M88-Calculations!$C$9)+'Reaction Information'!$M$21*10^4*LN((Calculations!$C$12+Calculations!$M88)/(Calculations!$C$12+Calculations!$C$9)))+calculateOmega(Calculations!M88,Calculations!N88,Calculations!Q88,'Reaction Information'!$C$21,'Reaction Information'!$P$21*10^5,'Reaction Information'!$Q$21)*((1/Calculations!$S88)-1)-'Reaction Information'!$P$21*10^5*((1/Calculations!$C$10)-1)+'Reaction Information'!$P$21*10^5*Calculations!$C$14*(Calculations!$O88-Calculations!$C$8))</f>
        <v>#N/A</v>
      </c>
      <c r="AI88" s="8" t="e">
        <f>IF(ISBLANK(Input!$AG$4),NA(),'Reaction Information'!$E$25-'Reaction Information'!$G$25*(Calculations!$O88-Calculations!$C$8)-'Reaction Information'!$N$25*(Calculations!$O88*LN(Calculations!$O88/Calculations!$C$8)-Calculations!$O88+Calculations!$C$8)-'Reaction Information'!$O$25*10^4*(((1/(Calculations!$O88-Calculations!$C$13))-(1/(Calculations!$C$8-Calculations!$C$13)))*((Calculations!$C$13-Calculations!$O88)/(Calculations!$C$13))-(Calculations!$O88/(Calculations!$C$13*Calculations!$C$13))*LN((Calculations!$C$8*(Calculations!$O88-Calculations!$C$13))/(Calculations!$O88*(Calculations!$C$8-Calculations!$C$13))))+'Reaction Information'!$J$25*10^-1*(Calculations!$M88-Calculations!$C$9)+'Reaction Information'!$K$25*10^2*LN((Calculations!$C$12+Calculations!$M88)/(Calculations!$C$12+Calculations!$C$9))+(1/(Calculations!$O88-Calculations!$C$13))*('Reaction Information'!$L$25*(Calculations!$M88-Calculations!$C$9)+'Reaction Information'!$M$25*10^4*LN((Calculations!$C$12+Calculations!$M88)/(Calculations!$C$12+Calculations!$C$9)))+calculateOmega(Calculations!M88,Calculations!N88,Calculations!Q88,'Reaction Information'!$C$25,'Reaction Information'!$P$25*10^5,'Reaction Information'!$Q$25)*((1/Calculations!$S88)-1)-'Reaction Information'!$P$25*10^5*((1/Calculations!$C$10)-1)+'Reaction Information'!$P$25*10^5*Calculations!$C$14*(Calculations!$O88-Calculations!$C$8))</f>
        <v>#N/A</v>
      </c>
      <c r="AJ88" s="8" t="e">
        <f>IF(ISBLANK(Input!$AJ$4),NA(),'Reaction Information'!$E$29-'Reaction Information'!$G$29*(Calculations!$O88-Calculations!$C$8)-'Reaction Information'!$N$29*(Calculations!$O88*LN(Calculations!$O88/Calculations!$C$8)-Calculations!$O88+Calculations!$C$8)-'Reaction Information'!$O$29*10^4*(((1/(Calculations!$O88-Calculations!$C$13))-(1/(Calculations!$C$8-Calculations!$C$13)))*((Calculations!$C$13-Calculations!$O88)/(Calculations!$C$13))-(Calculations!$O88/(Calculations!$C$13*Calculations!$C$13))*LN((Calculations!$C$8*(Calculations!$O88-Calculations!$C$13))/(Calculations!$O88*(Calculations!$C$8-Calculations!$C$13))))+'Reaction Information'!$J$29*10^-1*(Calculations!$M88-Calculations!$C$9)+'Reaction Information'!$K$29*10^2*LN((Calculations!$C$12+Calculations!$M88)/(Calculations!$C$12+Calculations!$C$9))+(1/(Calculations!$O88-Calculations!$C$13))*('Reaction Information'!$L$29*(Calculations!$M88-Calculations!$C$9)+'Reaction Information'!$M$29*10^4*LN((Calculations!$C$12+Calculations!$M88)/(Calculations!$C$12+Calculations!$C$9)))+calculateOmega(Calculations!M88,Calculations!N88,Calculations!Q88,'Reaction Information'!$C$29,'Reaction Information'!$P$29*10^5,'Reaction Information'!$Q$29)*((1/Calculations!$S88)-1)-'Reaction Information'!$P$29*10^5*((1/Calculations!$C$10)-1)+'Reaction Information'!$P$29*10^5*Calculations!$C$14*(Calculations!$O88-Calculations!$C$8))</f>
        <v>#N/A</v>
      </c>
      <c r="AK88" s="8" t="e">
        <f>IF(ISBLANK(Input!$AM$4),NA(),'Reaction Information'!$E$33-'Reaction Information'!$G$33*(Calculations!$O88-Calculations!$C$8)-'Reaction Information'!$N$33*(Calculations!$O88*LN(Calculations!$O88/Calculations!$C$8)-Calculations!$O88+Calculations!$C$8)-'Reaction Information'!$O$33*10^4*(((1/(Calculations!$O88-Calculations!$C$13))-(1/(Calculations!$C$8-Calculations!$C$13)))*((Calculations!$C$13-Calculations!$O88)/(Calculations!$C$13))-(Calculations!$O88/(Calculations!$C$13*Calculations!$C$13))*LN((Calculations!$C$8*(Calculations!$O88-Calculations!$C$13))/(Calculations!$O88*(Calculations!$C$8-Calculations!$C$13))))+'Reaction Information'!$J$33*10^-1*(Calculations!$M88-Calculations!$C$9)+'Reaction Information'!$K$33*10^2*LN((Calculations!$C$12+Calculations!$M88)/(Calculations!$C$12+Calculations!$C$9))+(1/(Calculations!$O88-Calculations!$C$13))*('Reaction Information'!$L$33*(Calculations!$M88-Calculations!$C$9)+'Reaction Information'!$M$33*10^4*LN((Calculations!$C$12+Calculations!$M88)/(Calculations!$C$12+Calculations!$C$9)))+calculateOmega(Calculations!M88,Calculations!N88,Calculations!Q88,'Reaction Information'!$C$33,'Reaction Information'!$P$33*10^5,'Reaction Information'!$Q$33)*((1/Calculations!$S88)-1)-'Reaction Information'!$P$33*10^5*((1/Calculations!$C$10)-1)+'Reaction Information'!$P$33*10^5*Calculations!$C$14*(Calculations!$O88-Calculations!$C$8))</f>
        <v>#N/A</v>
      </c>
      <c r="AL88" s="1">
        <f>Results!S90</f>
        <v>0</v>
      </c>
      <c r="AM88" s="1">
        <f>Results!T90</f>
        <v>0</v>
      </c>
      <c r="AN88" s="1">
        <f>Results!U90</f>
        <v>0</v>
      </c>
      <c r="AO88" s="1">
        <f>Results!V90</f>
        <v>0</v>
      </c>
      <c r="AP88" s="8" t="e">
        <f>IF(ISBLANK(Input!$BB$4),NA(),'Reaction Information'!$E$38-'Reaction Information'!$G$38*(Calculations!$O88-Calculations!$C$8)+'Reaction Information'!$I$38*(Calculations!$O88-Calculations!$C$8-Calculations!$O88*LN(Calculations!$O88/Calculations!$C$8))+'Reaction Information'!$J$38*0.001/2*(2*Calculations!$O88*Calculations!$C$8-Calculations!$O88^2-Calculations!$C$8^2) + 'Reaction Information'!$K$38*100000*(Calculations!$O88^2 + Calculations!$C$8^2 - 2*Calculations!$O88*Calculations!$C$8)/(2*Calculations!$O88*Calculations!$C$8^2))</f>
        <v>#N/A</v>
      </c>
      <c r="AQ88" s="8" t="e">
        <f>IF(ISBLANK(Input!$BE$4),NA(),'Reaction Information'!$E$42-'Reaction Information'!$G$42*(Calculations!$O88-Calculations!$C$8)+'Reaction Information'!$I$42*(Calculations!$O88-Calculations!$C$8-Calculations!$O88*LN(Calculations!$O88/Calculations!$C$8))+'Reaction Information'!$J$42*0.001/2*(2*Calculations!$O88*Calculations!$C$8-Calculations!$O88^2-Calculations!$C$8^2) + 'Reaction Information'!$K$42*100000*(Calculations!$O88^2 + Calculations!$C$8^2 - 2*Calculations!$O88*Calculations!$C$8)/(2*Calculations!$O88*Calculations!$C$8^2))</f>
        <v>#N/A</v>
      </c>
      <c r="AR88" s="8" t="e">
        <f>IF(AR$5="H2O", IF($D$24=3,IF(T88=0,NA(),T88),calculateGibbsOfWater(M88,N88,$D$24,$D$20,$D$19=3)),NA())</f>
        <v>#N/A</v>
      </c>
      <c r="AS88" s="8">
        <f>IF(ISBLANK(Input!$BK$4),NA(),'Reaction Information'!$E$46-'Reaction Information'!$G$46*(Calculations!O88-Calculations!$C$8)-'Reaction Information'!$N$46*(Calculations!O88*LN(Calculations!O88/Calculations!$C$8)-Calculations!O88+Calculations!$C$8)-'Reaction Information'!$O$46*10^4*(((1/(Calculations!O88-Calculations!$C$13))-(1/(Calculations!$C$8-Calculations!$C$13)))*((Calculations!$C$13-Calculations!O88)/(Calculations!$C$13))-(Calculations!O88/(Calculations!$C$13*Calculations!$C$13))*LN((Calculations!$C$8*(Calculations!O88-Calculations!$C$13))/(Calculations!O88*(Calculations!$C$8-Calculations!$C$13))))+'Reaction Information'!$J$46*10^-1*(Calculations!$M88-Calculations!$C$9)+'Reaction Information'!$K$46*10^2*LN((Calculations!$C$12+Calculations!$M88)/(Calculations!$C$12+Calculations!$C$9))+(1/(Calculations!O88-Calculations!$C$13))*('Reaction Information'!$L$46*(Calculations!$M88-Calculations!$C$9)+'Reaction Information'!$M$46*10^4*LN((Calculations!$C$12+Calculations!$M88)/(Calculations!$C$12+Calculations!$C$9)))+calculateOmega(Calculations!M88,Calculations!N88,Calculations!Q88,'Reaction Information'!$C$46,'Reaction Information'!$P$46*10^5,'Reaction Information'!$Q$46)*((1/Calculations!S88)-1)-'Reaction Information'!$P$46*10^5*((1/Calculations!$C$10)-1)+'Reaction Information'!$P$46*10^5*Calculations!$C$14*(Calculations!O88-Calculations!$C$8))</f>
        <v>0</v>
      </c>
      <c r="AT88" s="8">
        <f>IF(ISBLANK(Input!$BN$4),NA(),'Reaction Information'!$E$50-'Reaction Information'!$G$50*(Calculations!O88-Calculations!$C$8)-'Reaction Information'!$N$50*(Calculations!O88*LN(Calculations!O88/Calculations!$C$8)-Calculations!O88+Calculations!$C$8)-'Reaction Information'!$O$50*10^4*(((1/(Calculations!O88-Calculations!$C$13))-(1/(Calculations!$C$8-Calculations!$C$13)))*((Calculations!$C$13-Calculations!O88)/(Calculations!$C$13))-(Calculations!O88/(Calculations!$C$13*Calculations!$C$13))*LN((Calculations!$C$8*(Calculations!O88-Calculations!$C$13))/(Calculations!O88*(Calculations!$C$8-Calculations!$C$13))))+'Reaction Information'!$J$50*10^-1*(Calculations!$M88-Calculations!$C$9)+'Reaction Information'!$K$50*10^2*LN((Calculations!$C$12+Calculations!$M88)/(Calculations!$C$12+Calculations!$C$9))+(1/(Calculations!O88-Calculations!$C$13))*('Reaction Information'!$L$50*(Calculations!$M88-Calculations!$C$9)+'Reaction Information'!$M$50*10^4*LN((Calculations!$C$12+Calculations!$M88)/(Calculations!$C$12+Calculations!$C$9)))+calculateOmega(Calculations!M88,Calculations!N88,Calculations!Q88,'Reaction Information'!$C$50,'Reaction Information'!$P$50*10^5,'Reaction Information'!$Q$50)*((1/Calculations!S88)-1)-'Reaction Information'!$P$50*10^5*((1/Calculations!$C$10)-1)+'Reaction Information'!$P$50*10^5*Calculations!$C$14*(Calculations!O88-Calculations!$C$8))</f>
        <v>-137030.43424312904</v>
      </c>
      <c r="AU88" s="8" t="e">
        <f>IF(ISBLANK(Input!$BQ$4),NA(),'Reaction Information'!$E$54-'Reaction Information'!$G$54*(Calculations!$O88-Calculations!$C$8)-'Reaction Information'!$N$54*(Calculations!$O88*LN(Calculations!$O88/Calculations!$C$8)-Calculations!$O88+Calculations!$C$8)-'Reaction Information'!$O$54*10^4*(((1/(Calculations!$O88-Calculations!$C$13))-(1/(Calculations!$C$8-Calculations!$C$13)))*((Calculations!$C$13-Calculations!$O88)/(Calculations!$C$13))-(Calculations!$O88/(Calculations!$C$13*Calculations!$C$13))*LN((Calculations!$C$8*(Calculations!$O88-Calculations!$C$13))/(Calculations!$O88*(Calculations!$C$8-Calculations!$C$13))))+'Reaction Information'!$J$54*10^-1*(Calculations!$M88-Calculations!$C$9)+'Reaction Information'!$K$54*10^2*LN((Calculations!$C$12+Calculations!$M88)/(Calculations!$C$12+Calculations!$C$9))+(1/(Calculations!$O88-Calculations!$C$13))*('Reaction Information'!$L$54*(Calculations!$M88-Calculations!$C$9)+'Reaction Information'!$M$54*10^4*LN((Calculations!$C$12+Calculations!$M88)/(Calculations!$C$12+Calculations!$C$9)))+calculateOmega(Calculations!M88,Calculations!N88,Calculations!Q88,'Reaction Information'!$C$54,'Reaction Information'!$P$54*10^5,'Reaction Information'!$Q$54)*((1/Calculations!$S88)-1)-'Reaction Information'!$P$54*10^5*((1/Calculations!$C$10)-1)+'Reaction Information'!$P$54*10^5*Calculations!$C$14*(Calculations!$O88-Calculations!$C$8))</f>
        <v>#N/A</v>
      </c>
      <c r="AV88" s="8" t="e">
        <f>IF(ISBLANK(Input!$BT$4),NA(),'Reaction Information'!$E$58-'Reaction Information'!$G$58*(Calculations!$O88-Calculations!$C$8)-'Reaction Information'!$N$58*(Calculations!$O88*LN(Calculations!$O88/Calculations!$C$8)-Calculations!$O88+Calculations!$C$8)-'Reaction Information'!$O$58*10^4*(((1/(Calculations!$O88-Calculations!$C$13))-(1/(Calculations!$C$8-Calculations!$C$13)))*((Calculations!$C$13-Calculations!$O88)/(Calculations!$C$13))-(Calculations!$O88/(Calculations!$C$13*Calculations!$C$13))*LN((Calculations!$C$8*(Calculations!$O88-Calculations!$C$13))/(Calculations!$O88*(Calculations!$C$8-Calculations!$C$13))))+'Reaction Information'!$J$58*10^-1*(Calculations!$M88-Calculations!$C$9)+'Reaction Information'!$K$58*10^2*LN((Calculations!$C$12+Calculations!$M88)/(Calculations!$C$12+Calculations!$C$9))+(1/(Calculations!$O88-Calculations!$C$13))*('Reaction Information'!$L$58*(Calculations!$M88-Calculations!$C$9)+'Reaction Information'!$M$58*10^4*LN((Calculations!$C$12+Calculations!$M88)/(Calculations!$C$12+Calculations!$C$9)))+calculateOmega(Calculations!M88,Calculations!N88,Calculations!Q88,'Reaction Information'!$C$58,'Reaction Information'!$P$58*10^5,'Reaction Information'!$Q$58)*((1/Calculations!$S88)-1)-'Reaction Information'!$P$58*10^5*((1/Calculations!$C$10)-1)+'Reaction Information'!$P$58*10^5*Calculations!$C$14*(Calculations!$O88-Calculations!$C$8))</f>
        <v>#N/A</v>
      </c>
      <c r="AW88" s="8" t="e">
        <f>IF(ISBLANK(Input!$BW$4),NA(),'Reaction Information'!$E$62-'Reaction Information'!$G$62*(Calculations!$O88-Calculations!$C$8)-'Reaction Information'!$N$62*(Calculations!$O88*LN(Calculations!$O88/Calculations!$C$8)-Calculations!$O88+Calculations!$C$8)-'Reaction Information'!$O$62*10^4*(((1/(Calculations!$O88-Calculations!$C$13))-(1/(Calculations!$C$8-Calculations!$C$13)))*((Calculations!$C$13-Calculations!$O88)/(Calculations!$C$13))-(Calculations!$O88/(Calculations!$C$13*Calculations!$C$13))*LN((Calculations!$C$8*(Calculations!$O88-Calculations!$C$13))/(Calculations!$O88*(Calculations!$C$8-Calculations!$C$13))))+'Reaction Information'!$J$62*10^-1*(Calculations!$M88-Calculations!$C$9)+'Reaction Information'!$K$62*10^2*LN((Calculations!$C$12+Calculations!$M88)/(Calculations!$C$12+Calculations!$C$9))+(1/(Calculations!$O88-Calculations!$C$13))*('Reaction Information'!$L$62*(Calculations!$M88-Calculations!$C$9)+'Reaction Information'!$M$62*10^4*LN((Calculations!$C$12+Calculations!$M88)/(Calculations!$C$12+Calculations!$C$9)))+calculateOmega(Calculations!M88,Calculations!N88,Calculations!Q88,'Reaction Information'!$C$62,'Reaction Information'!$P$62*10^5,'Reaction Information'!$Q$62)*((1/Calculations!$S88)-1)-'Reaction Information'!$P$62*10^5*((1/Calculations!$C$10)-1)+'Reaction Information'!$P$62*10^5*Calculations!$C$14*(Calculations!$O88-Calculations!$C$8))</f>
        <v>#N/A</v>
      </c>
      <c r="AX88" s="8" t="e">
        <f>IF(ISBLANK(Input!$BZ$4),NA(),'Reaction Information'!$E$66-'Reaction Information'!$G$66*(Calculations!$O88-Calculations!$C$8)-'Reaction Information'!$N$66*(Calculations!$O88*LN(Calculations!$O88/Calculations!$C$8)-Calculations!$O88+Calculations!$C$8)-'Reaction Information'!$O$66*10^4*(((1/(Calculations!$O88-Calculations!$C$13))-(1/(Calculations!$C$8-Calculations!$C$13)))*((Calculations!$C$13-Calculations!$O88)/(Calculations!$C$13))-(Calculations!$O88/(Calculations!$C$13*Calculations!$C$13))*LN((Calculations!$C$8*(Calculations!$O88-Calculations!$C$13))/(Calculations!$O88*(Calculations!$C$8-Calculations!$C$13))))+'Reaction Information'!$J$66*10^-1*(Calculations!$M88-Calculations!$C$9)+'Reaction Information'!$K$66*10^2*LN((Calculations!$C$12+Calculations!$M88)/(Calculations!$C$12+Calculations!$C$9))+(1/(Calculations!$O88-Calculations!$C$13))*('Reaction Information'!$L$66*(Calculations!$M88-Calculations!$C$9)+'Reaction Information'!$M$66*10^4*LN((Calculations!$C$12+Calculations!$M88)/(Calculations!$C$12+Calculations!$C$9)))+calculateOmega(Calculations!M88,Calculations!N88,Calculations!Q88,'Reaction Information'!$C$66,'Reaction Information'!$P$66*10^5,'Reaction Information'!$Q$66)*((1/Calculations!$S88)-1)-'Reaction Information'!$P$66*10^5*((1/Calculations!$C$10)-1)+'Reaction Information'!$P$66*10^5*Calculations!$C$14*(Calculations!$O88-Calculations!$C$8))</f>
        <v>#N/A</v>
      </c>
      <c r="AY88" s="31">
        <f>(AL88*Input!$AO$4+AM88*Input!$AR$4+AN88*Input!$AU$4+AO88*Input!$AX$4+IF(ISNA(AP88),0,AP88*Input!$BA$4)+IF(ISNA(AQ88),0,AQ88*Input!$BD$4)+IF(ISNA(AR88),0,AR88*Input!$BG$4)+IF(ISNA(AS88),0,AS88*Input!$BJ$4)+IF(ISNA(AT88),0,AT88*Input!$BM$4)+IF(ISNA(AU88),0,AU88*Input!$BP$4)+IF(ISNA(AV88),0,AV88*Input!$BS$4)+IF(ISNA(AW88),0,AW88*Input!$BV$4)+IF(ISNA(AX88),0,AX88*Input!$BY$4))-(Y88*Input!$B$4+Z88*Input!$E$4+AA88*Input!$H$4+AB88*Input!$K$4+IF(ISNA(AC88),0,AC88*Input!$N$4)+IF(ISNA(AD88),0,AD88*Input!$Q$4)+IF(ISNA(AE88),0,AE88*Input!$T$4)+IF(ISNA(AF88),0,AF88*Input!$W$4)+IF(ISNA(AG88),0,AG88*Input!$Z$4)+IF(ISNA(AH88),0,AH88*Input!$AC$4)+IF(ISNA(AI88),0,AI88*Input!$AF$4)+IF(ISNA(AJ88),0,AJ88*Input!$AI$4)+IF(ISNA(AK88),0,AK88*Input!$AL$4))</f>
        <v>19984.099551788822</v>
      </c>
      <c r="AZ88" s="42">
        <f t="shared" si="20"/>
        <v>-4.7341736519135997</v>
      </c>
      <c r="BA88" s="1">
        <f t="shared" si="27"/>
        <v>650</v>
      </c>
      <c r="BB88" s="46">
        <f t="shared" si="28"/>
        <v>30000</v>
      </c>
      <c r="BC88" s="1"/>
      <c r="BD88" s="2">
        <f t="shared" si="29"/>
        <v>30000</v>
      </c>
      <c r="BE88" s="46">
        <f t="shared" si="30"/>
        <v>650</v>
      </c>
      <c r="BF88" s="1">
        <f>Results!AJ90</f>
        <v>0</v>
      </c>
      <c r="BG88" s="1">
        <f>Results!AK90</f>
        <v>0</v>
      </c>
      <c r="BH88" s="1">
        <f>Results!AL90</f>
        <v>0</v>
      </c>
      <c r="BI88" s="1">
        <f>Results!AM90</f>
        <v>0</v>
      </c>
      <c r="BJ88" s="1" t="e">
        <f>IF(OR(ISNA('Reaction Information'!$D$5), $N88 = "", $D$27 = FALSE, 'Reaction Information'!$D$5 = ""), NA(), 24.465)</f>
        <v>#N/A</v>
      </c>
      <c r="BK88" s="1" t="e">
        <f>IF(OR(ISNA('Reaction Information'!$D$9), $N88 = "", $D$27 = FALSE, 'Reaction Information'!$D$9 = ""), NA(), 24.465)</f>
        <v>#N/A</v>
      </c>
      <c r="BL88" s="8">
        <f t="shared" si="21"/>
        <v>14.732094721998781</v>
      </c>
      <c r="BM88" s="8">
        <f>IF(OR(ISBLANK(Input!$X$4),$D$27=FALSE),NA(),('Reaction Information'!$J$13/10+'Reaction Information'!$K$13*100/(Calculations!$C$12+Calculations!$M88)+('Reaction Information'!$L$13+'Reaction Information'!$M$13*10^4/(Calculations!$C$12+Calculations!$M88))/(Calculations!$O88-Calculations!$C$13) -calculateOmega(Calculations!$M88,Calculations!$N88,Calculations!$Q88,'Reaction Information'!$C$13,'Reaction Information'!$P$13*10^5,'Reaction Information'!$Q$13)*Calculations!$U88*10^-6 + (1/$S88 - 1)*calculate_domegadP(Calculations!$M88,Calculations!$N88,Calculations!$Q88,'Reaction Information'!$C$13,'Reaction Information'!$P$13*10^5,'Reaction Information'!$Q$13,$D$20,$D$19=3))*41.84)</f>
        <v>30.482206136999601</v>
      </c>
      <c r="BN88" s="8" t="e">
        <f>IF(OR(ISBLANK(Input!$AA$4),$D$27=FALSE),NA(),('Reaction Information'!$J$17/10+'Reaction Information'!$K$17*100/(Calculations!$C$12+Calculations!$M88)+('Reaction Information'!$L$17+'Reaction Information'!$M$17*10000/(Calculations!$C$12+Calculations!$M88))/(Calculations!$O88-Calculations!$C$13)-calculateOmega(Calculations!M88,Calculations!N88,Calculations!Q88,'Reaction Information'!$C$17,'Reaction Information'!$P$17*10^5,'Reaction Information'!$Q$17)*Calculations!$U88*10^-6 + (1/$S88 - 1)*calculate_domegadP(Calculations!M88,Calculations!N88,Calculations!Q88,'Reaction Information'!$C$17,'Reaction Information'!$P$17*10^5,'Reaction Information'!$Q$17,$D$20,$D$19=3))*41.84)</f>
        <v>#N/A</v>
      </c>
      <c r="BO88" s="8" t="e">
        <f>IF(OR(ISBLANK(Input!$AD$4),$D$27=FALSE),NA(),('Reaction Information'!$J$21/10+'Reaction Information'!$K$21*100/(Calculations!$C$12+Calculations!$M88)+('Reaction Information'!$L$21+'Reaction Information'!$M$21*10000/(Calculations!$C$12+Calculations!$M88))/(Calculations!$O88-Calculations!$C$13)-calculateOmega(Calculations!M88,Calculations!N88,Calculations!Q88,'Reaction Information'!$C$21,'Reaction Information'!$P$21*10^5,'Reaction Information'!$Q$21)*Calculations!$U88*10^-6 + (1/$S88 - 1)*calculate_domegadP(Calculations!M88,Calculations!N88,Calculations!Q88,'Reaction Information'!$C$21,'Reaction Information'!$P$21*10^5,'Reaction Information'!$Q$21,$D$20,$D$19=3))*41.84)</f>
        <v>#N/A</v>
      </c>
      <c r="BP88" s="8" t="e">
        <f>IF(OR(ISBLANK(Input!$AG$4),$D$27=FALSE),NA(),('Reaction Information'!$J$25/10+'Reaction Information'!$K$25*100/(Calculations!$C$12+Calculations!$M88)+('Reaction Information'!$L$25+'Reaction Information'!$M$25*10000/(Calculations!$C$12+Calculations!$M88))/(Calculations!$O88-Calculations!$C$13)-calculateOmega(Calculations!M88,Calculations!N88,Calculations!Q88,'Reaction Information'!$C$25,'Reaction Information'!$P$25*10^5,'Reaction Information'!$Q$25)*Calculations!$U88*10^-6 + (1/$S88 - 1)*calculate_domegadP(Calculations!M88,Calculations!N88,Calculations!Q88,'Reaction Information'!$C$25,'Reaction Information'!$P$25*10^5,'Reaction Information'!$Q$25,$D$20,$D$19=3))*41.84)</f>
        <v>#N/A</v>
      </c>
      <c r="BQ88" s="8" t="e">
        <f>IF(OR(ISBLANK(Input!$AJ$4),$D$27=FALSE),NA(),('Reaction Information'!$J$29/10+'Reaction Information'!$K$29*100/(Calculations!$C$12+Calculations!$M88)+('Reaction Information'!$L$29+'Reaction Information'!$M$29*10000/(Calculations!$C$12+Calculations!$M88))/(Calculations!$O88-Calculations!$C$13)-calculateOmega(Calculations!M88,Calculations!N88,Calculations!Q88,'Reaction Information'!$C$29,'Reaction Information'!$P$29*10^5,'Reaction Information'!$Q$29)*Calculations!$U88*10^-6 + (1/$S88 - 1)*calculate_domegadP(Calculations!M88,Calculations!N88,Calculations!Q88,'Reaction Information'!$C$29,'Reaction Information'!$P$29*10^5,'Reaction Information'!$Q$29,$D$20,$D$19=3))*41.84)</f>
        <v>#N/A</v>
      </c>
      <c r="BR88" s="8" t="e">
        <f>IF(OR(ISBLANK(Input!$AM$4),$D$27=FALSE),NA(),('Reaction Information'!$J$33/10+'Reaction Information'!$K$33*100/(Calculations!$C$12+Calculations!$M88)+('Reaction Information'!$L$33+'Reaction Information'!$M$33*10000/(Calculations!$C$12+Calculations!$M88))/(Calculations!$O88-Calculations!$C$13)-calculateOmega(Calculations!M88,Calculations!N88,Calculations!Q88,'Reaction Information'!$C$33,'Reaction Information'!$P$33*10^5,'Reaction Information'!$Q$33)*Calculations!$U88*10^-6 + (1/$S88 - 1)*calculate_domegadP(Calculations!M88,Calculations!N88,Calculations!Q88,'Reaction Information'!$C$33,'Reaction Information'!$P$33*10^5,'Reaction Information'!$Q$33,$D$20,$D$19=3))*41.84)</f>
        <v>#N/A</v>
      </c>
      <c r="BS88" s="1">
        <f>Results!AW90</f>
        <v>0</v>
      </c>
      <c r="BT88" s="1">
        <f>Results!AX90</f>
        <v>0</v>
      </c>
      <c r="BU88" s="1">
        <f>Results!AY90</f>
        <v>0</v>
      </c>
      <c r="BV88" s="1">
        <f>Results!AZ90</f>
        <v>0</v>
      </c>
      <c r="BW88" s="1" t="e">
        <f>IF(OR(ISNA('Reaction Information'!$D$38), $N88 = "", $D$27 = FALSE, 'Reaction Information'!$D$38 = ""), NA(), 24.465)</f>
        <v>#N/A</v>
      </c>
      <c r="BX88" s="1" t="e">
        <f>IF(OR(ISNA('Reaction Information'!$D$42), $N88 = "", $D$27 = FALSE, 'Reaction Information'!$D$42 = ""), NA(), 24.465)</f>
        <v>#N/A</v>
      </c>
      <c r="BY88" s="8" t="e">
        <f t="shared" si="22"/>
        <v>#N/A</v>
      </c>
      <c r="BZ88" s="8">
        <f>IF(OR(ISBLANK(Input!$BK$4),$D$27=FALSE),NA(),('Reaction Information'!$J$46/10+'Reaction Information'!$K$46*100/(Calculations!$C$12+Calculations!$M88)+('Reaction Information'!$L$46+'Reaction Information'!$M$46*10000/(Calculations!$C$12+Calculations!$M88))/(Calculations!$O88-Calculations!$C$13)-calculateOmega(Calculations!M88,Calculations!N88,Calculations!Q88,'Reaction Information'!$C$46,'Reaction Information'!$P$46*10^5,'Reaction Information'!$Q$46)*Calculations!$U88*10^-6 + (1/$S88 - 1)*calculate_domegadP(Calculations!M88,Calculations!N88,Calculations!Q88,'Reaction Information'!$C$46,'Reaction Information'!$P$46*10^5,'Reaction Information'!$Q$46,$D$20,$D$19=3))*41.84)</f>
        <v>0</v>
      </c>
      <c r="CA88" s="8">
        <f>IF(OR(ISBLANK(Input!$BN$4),$D$27=FALSE),NA(),('Reaction Information'!$J$50/10+'Reaction Information'!$K$50*100/(Calculations!$C$12+Calculations!$M88)+('Reaction Information'!$L$50+'Reaction Information'!$M$50*10000/(Calculations!$C$12+Calculations!$M88))/(Calculations!$O88-Calculations!$C$13)-calculateOmega(Calculations!M88,Calculations!N88,Calculations!Q88,'Reaction Information'!$C$50,'Reaction Information'!$P$50*10^5,'Reaction Information'!$Q$50)*Calculations!$U88*10^-6 + (1/$S88 - 1)*calculate_domegadP(Calculations!M88,Calculations!N88,Calculations!Q88,'Reaction Information'!$C$50,'Reaction Information'!$P$50*10^5,'Reaction Information'!$Q$50,$D$20,$D$19=3))*41.84)</f>
        <v>30.632229274019235</v>
      </c>
      <c r="CB88" s="8" t="e">
        <f>IF(OR(ISBLANK(Input!$BQ$4),$D$27=FALSE),NA(),('Reaction Information'!$J$54/10+'Reaction Information'!$K$54*100/(Calculations!$C$12+Calculations!$M88)+('Reaction Information'!$L$54+'Reaction Information'!$M$54*10000/(Calculations!$C$12+Calculations!$M88))/(Calculations!$O88-Calculations!$C$13)-calculateOmega(Calculations!M88,Calculations!N88,Calculations!Q88,'Reaction Information'!$C$54,'Reaction Information'!$P$54*10^5,'Reaction Information'!$Q$54)*Calculations!$U88*10^-6 + (1/$S88 - 1)*calculate_domegadP(Calculations!M88,Calculations!N88,Calculations!Q88,'Reaction Information'!$C$54,'Reaction Information'!$P$54*10^5,'Reaction Information'!$Q$54,$D$20,$D$19=3))*41.84)</f>
        <v>#N/A</v>
      </c>
      <c r="CC88" s="8" t="e">
        <f>IF(OR(ISBLANK(Input!$BT$4),$D$27=FALSE),NA(),('Reaction Information'!$J$58/10+'Reaction Information'!$K$58*100/(Calculations!$C$12+Calculations!$M88)+('Reaction Information'!$L$58+'Reaction Information'!$M$58*10000/(Calculations!$C$12+Calculations!$M88))/(Calculations!$O88-Calculations!$C$13)-calculateOmega(Calculations!M88,Calculations!N88,Calculations!Q88,'Reaction Information'!$C$58,'Reaction Information'!$P$58*10^5,'Reaction Information'!$Q$58)*Calculations!$U88*10^-6 + (1/$S88 - 1)*calculate_domegadP(Calculations!M88,Calculations!N88,Calculations!Q88,'Reaction Information'!$C$58,'Reaction Information'!$P$58*10^5,'Reaction Information'!$Q$58,$D$20,$D$19=3))*41.84)</f>
        <v>#N/A</v>
      </c>
      <c r="CD88" s="8" t="e">
        <f>IF(OR(ISBLANK(Input!$BW$4),$D$27=FALSE),NA(),('Reaction Information'!$J$62/10+'Reaction Information'!$K$62*100/(Calculations!$C$12+Calculations!$M88)+('Reaction Information'!$L$62+'Reaction Information'!$M$62*10000/(Calculations!$C$12+Calculations!$M88))/(Calculations!$O88-Calculations!$C$13)-calculateOmega(Calculations!M88,Calculations!N88,Calculations!Q88,'Reaction Information'!$C$62,'Reaction Information'!$P$62*10^5,'Reaction Information'!$Q$62)*Calculations!$U88*10^-6 + (1/$S88 - 1)*calculate_domegadP(Calculations!M88,Calculations!N88,Calculations!Q88,'Reaction Information'!$C$62,'Reaction Information'!$P$62*10^5,'Reaction Information'!$Q$62,$D$20,$D$19=3))*41.84)</f>
        <v>#N/A</v>
      </c>
      <c r="CE88" s="8" t="e">
        <f>IF(OR(ISBLANK(Input!$BZ$4),$D$27=FALSE),NA(),('Reaction Information'!$J$66/10+'Reaction Information'!$K$66*100/(Calculations!$C$12+Calculations!$M88)+('Reaction Information'!$L$66+'Reaction Information'!$M$66*10000/(Calculations!$C$12+Calculations!$M88))/(Calculations!$O88-Calculations!$C$13)-calculateOmega(Calculations!M88,Calculations!N88,Calculations!Q88,'Reaction Information'!$C$66,'Reaction Information'!$P$66*10^5,'Reaction Information'!$Q$66)*Calculations!$U88*10^-6 + (1/$S88 - 1)*calculate_domegadP(Calculations!M88,Calculations!N88,Calculations!Q88,'Reaction Information'!$C$66,'Reaction Information'!$P$66*10^5,'Reaction Information'!$Q$66,$D$20,$D$19=3))*41.84)</f>
        <v>#N/A</v>
      </c>
      <c r="CF88" s="31">
        <f>(BS88*Input!$AO$4+BT88*Input!$AR$4+BU88*Input!$AU$4+BV88*Input!$AX$4+IF(ISNA(BW88),0,BW88*Input!$BA$4)+IF(ISNA(BX88),0,BX88*Input!$BD$4)+IF(ISNA(BY88),0,BY88*Input!$BG$4)+IF(ISNA(BZ88),0,BZ88*Input!$BJ$4)+IF(ISNA(CA88),0,CA88*Input!$BM$4)+IF(ISNA(CB88),0,CB88*Input!$BP$4)+IF(ISNA(CC88),0,CC88*Input!$BS$4)+IF(ISNA(CD88),0,CD88*Input!$BV$4)+IF(ISNA(CE88),0,CE88*Input!$BY$4))-(BF88*Input!$B$4+BG88*Input!$E$4+BH88*Input!$H$4+BI88*Input!$K$4+IF(ISNA(BJ88),0,BJ88*Input!$N$4)+IF(ISNA(BK88),0,BK88*Input!$Q$4)+IF(ISNA(BL88),0,BL88*Input!$T$4)+IF(ISNA(BM88),0,BM88*Input!$W$4)+IF(ISNA(BN88),0,BN88*Input!$Z$4)+IF(ISNA(BO88),0,BO88*Input!$AC$4)+IF(ISNA(BP88),0,BP88*Input!$AF$4)+IF(ISNA(BQ88),0,BQ88*Input!$AI$4)+IF(ISNA(BR88),0,BR88*Input!$AL$4))</f>
        <v>-14.58207158497915</v>
      </c>
      <c r="CG88" s="1">
        <f t="shared" si="31"/>
        <v>650</v>
      </c>
      <c r="CH88" s="46">
        <f t="shared" si="32"/>
        <v>30000</v>
      </c>
      <c r="CI88" s="1"/>
    </row>
    <row r="89" spans="1:87" x14ac:dyDescent="0.2">
      <c r="A89" s="1"/>
      <c r="B89" s="1"/>
      <c r="C89" s="1"/>
      <c r="D89" s="1"/>
      <c r="E89" s="1"/>
      <c r="F89" s="2">
        <v>84</v>
      </c>
      <c r="G89" s="1" t="str">
        <f>IF(ISBLANK(Input!CB89), "", Input!CB89*1000)</f>
        <v/>
      </c>
      <c r="H89" s="1" t="str">
        <f>IF(ISBLANK(Input!CC89), "", Input!CC89)</f>
        <v/>
      </c>
      <c r="I89" s="1">
        <f>IF(Input!$CF$5 + Input!$CF$6*(FLOOR((Calculations!$F89-1)/(FLOOR((Input!$CF$12-Input!$CF$10)/Input!$CF$11,1)+1),1)) &gt; Input!$CF$7, "", (Input!$CF$5 + Input!$CF$6*(FLOOR((Calculations!$F89-1)/(FLOOR((Input!$CF$12-Input!$CF$10)/Input!$CF$11,1)+1),1)))*1000)</f>
        <v>30000</v>
      </c>
      <c r="J89" s="1">
        <f>IF(Calculations!I89 = "", "", Input!$CF$10 + Input!$CF$11*(Calculations!$F89-1) - (FLOOR((Input!$CF$12-Input!$CF$10)/Input!$CF$11,1)+1)*Input!$CF$11*FLOOR((Calculations!$F89-1)/(FLOOR((Input!$CF$12-Input!$CF$10)/Input!$CF$11,1)+1),1))</f>
        <v>700</v>
      </c>
      <c r="K89" s="8" t="str">
        <f t="shared" si="33"/>
        <v/>
      </c>
      <c r="L89" s="117" t="str">
        <f>IF(OR(Input!$CJ$5 + Input!$CJ$6*(Calculations!F89-1) &gt; Input!$CJ$7, Input!$CJ$5 + Input!$CJ$6*(Calculations!F89-1) &gt; 350), "", Input!$CJ$5 + Input!$CJ$6*(Calculations!F89-1))</f>
        <v/>
      </c>
      <c r="M89" s="1">
        <f t="shared" si="23"/>
        <v>30000</v>
      </c>
      <c r="N89" s="1">
        <f t="shared" si="24"/>
        <v>700</v>
      </c>
      <c r="O89" s="1">
        <f t="shared" si="19"/>
        <v>973.15</v>
      </c>
      <c r="P89" s="1" t="e">
        <f>IF(OR($D$20=3,AND($D$21=TRUE,M89&lt;1000)),INDEX('Water Density'!$C$6:$CX$120,MATCH(Calculations!N89,'Water Density'!$B$6:$B$120),MATCH(Calculations!M89/1000,'Water Density'!$C$5:$CX$5)),NA())</f>
        <v>#N/A</v>
      </c>
      <c r="Q89" s="182">
        <f>IF(OR($D$20=3,AND($D$21=TRUE,M89&lt;1000)), IF(P89&lt;&gt;0,P89,NA()), calculateDensity(M89,N89,$D$20,0.01,$D$19 = 3))</f>
        <v>1.2078411409652234</v>
      </c>
      <c r="R89" s="1" t="e">
        <f>IF($D$22=5,INDEX('Dielectric Constant'!$C$6:$CX$120,MATCH(Calculations!N89,'Dielectric Constant'!$B$6:$B$120),MATCH(Calculations!M89/1000,'Dielectric Constant'!$C$5:$CX$5)),NA())</f>
        <v>#N/A</v>
      </c>
      <c r="S89" s="58">
        <f>IF($D$22=5, IF(R89&lt;&gt;0,R89,NA()), IF(AND($D$23,M89&lt;=5000,$D$19 &lt;&gt; 3),calculateEpsilon(Q89,N89,1,FALSE),calculateEpsilon(Q89,N89,$D$22,$D$19 = 3)))</f>
        <v>23.294559372624501</v>
      </c>
      <c r="T89" s="1" t="e">
        <f>IF($D$24=3,INDEX('Water Free Energy'!$C$6:$CX$120,MATCH(Calculations!N89,'Water Free Energy'!$B$6:$B$120),MATCH(Calculations!M89/1000,'Water Free Energy'!$C$5:$CX$5)),NA())</f>
        <v>#N/A</v>
      </c>
      <c r="U89" s="179">
        <f>IF($D$27,calculateQ(M89,N89,Q89,$D$20,$D$22,$D$19=3)*10^6,NA())</f>
        <v>0.30055871227107833</v>
      </c>
      <c r="V89"/>
      <c r="W89" s="2">
        <f t="shared" si="25"/>
        <v>30000</v>
      </c>
      <c r="X89" s="1">
        <f t="shared" si="26"/>
        <v>700</v>
      </c>
      <c r="Y89" s="1">
        <f>Results!F91</f>
        <v>0</v>
      </c>
      <c r="Z89" s="1">
        <f>Results!G91</f>
        <v>0</v>
      </c>
      <c r="AA89" s="1">
        <f>Results!H91</f>
        <v>0</v>
      </c>
      <c r="AB89" s="1">
        <f>Results!I91</f>
        <v>0</v>
      </c>
      <c r="AC89" s="1" t="e">
        <f>IF(ISBLANK(Input!$O$4),NA(),'Reaction Information'!$E$5-'Reaction Information'!$G$5*(Calculations!$O89-Calculations!$C$8)+'Reaction Information'!$I$5*(Calculations!$O89-Calculations!$C$8-Calculations!$O89*LN(Calculations!$O89/Calculations!$C$8))+'Reaction Information'!$J$5*0.001/2*(2*Calculations!$O89*Calculations!$C$8-Calculations!$O89^2-Calculations!$C$8^2) + 'Reaction Information'!$K$5*100000*(Calculations!$O89^2 + Calculations!$C$8^2 - 2*Calculations!$O89*Calculations!$C$8)/(2*Calculations!$O89*Calculations!$C$8^2))</f>
        <v>#N/A</v>
      </c>
      <c r="AD89" s="8" t="e">
        <f>IF(ISBLANK(Input!$R$4),NA(),'Reaction Information'!$E$9-'Reaction Information'!$G$9*(Calculations!$O89-Calculations!$C$8)+'Reaction Information'!$I$9*(Calculations!$O89-Calculations!$C$8-Calculations!$O89*LN(Calculations!$O89/Calculations!$C$8))+'Reaction Information'!$J$9*0.001/2*(2*Calculations!$O89*Calculations!$C$8-Calculations!$O89^2-Calculations!$C$8^2) + 'Reaction Information'!$K$9*100000*(Calculations!$O89^2 + Calculations!$C$8^2 - 2*Calculations!$O89*Calculations!$C$8)/(2*Calculations!$O89*Calculations!$C$8^2))</f>
        <v>#N/A</v>
      </c>
      <c r="AE89" s="8">
        <f>IF(AE$5="H2O",IF($D$24=3,IF(T89=0,NA(),T89),calculateGibbsOfWater(M89,N89,$D$24,$D$20,$D$19=3)),NA())</f>
        <v>-62525.242325202831</v>
      </c>
      <c r="AF89" s="8">
        <f>IF(ISBLANK(Input!$X$4),NA(),'Reaction Information'!$E$13-'Reaction Information'!$G$13*(Calculations!O89-Calculations!$C$8)-'Reaction Information'!$N$13*(Calculations!O89*LN(Calculations!O89/Calculations!$C$8)-Calculations!O89+Calculations!$C$8)-'Reaction Information'!$O$13*10^4*(((1/(Calculations!O89-Calculations!$C$13))-(1/(Calculations!$C$8-Calculations!$C$13)))*((Calculations!$C$13-Calculations!O89)/(Calculations!$C$13))-(Calculations!O89/(Calculations!$C$13*Calculations!$C$13))*LN((Calculations!$C$8*(Calculations!O89-Calculations!$C$13))/(Calculations!O89*(Calculations!$C$8-Calculations!$C$13))))+'Reaction Information'!$J$13*10^-1*(Calculations!M89-Calculations!$C$9)+'Reaction Information'!$K$13*10^2*LN((Calculations!$C$12+Calculations!M89)/(Calculations!$C$12+Calculations!$C$9))+(1/(Calculations!O89-Calculations!$C$13))*('Reaction Information'!$L$13*(Calculations!M89-Calculations!$C$9)+'Reaction Information'!$M$13*10^4*LN((Calculations!$C$12+Calculations!M89)/(Calculations!$C$12+Calculations!$C$9)))+calculateOmega(Calculations!M89,Calculations!N89,Calculations!Q89,'Reaction Information'!$C$13,'Reaction Information'!$P$13*10^5,'Reaction Information'!$Q$13)*((1/Calculations!S89)-1)-'Reaction Information'!$P$13*10^5*((1/Calculations!$C$10)-1)+'Reaction Information'!$P$13*10^5*Calculations!$C$14*(Calculations!O89-Calculations!$C$8))</f>
        <v>-98374.225712322383</v>
      </c>
      <c r="AG89" s="8" t="e">
        <f>IF(ISBLANK(Input!$AA$4),NA(),'Reaction Information'!$E$17-'Reaction Information'!$G$17*(Calculations!$O89-Calculations!$C$8)-'Reaction Information'!$N$17*(Calculations!$O89*LN(Calculations!$O89/Calculations!$C$8)-Calculations!$O89+Calculations!$C$8)-'Reaction Information'!$O$17*10^4*(((1/(Calculations!$O89-Calculations!$C$13))-(1/(Calculations!$C$8-Calculations!$C$13)))*((Calculations!$C$13-Calculations!$O89)/(Calculations!$C$13))-(Calculations!$O89/(Calculations!$C$13*Calculations!$C$13))*LN((Calculations!$C$8*(Calculations!$O89-Calculations!$C$13))/(Calculations!$O89*(Calculations!$C$8-Calculations!$C$13))))+'Reaction Information'!$J$17*10^-1*(Calculations!$M89-Calculations!$C$9)+'Reaction Information'!$K$17*10^2*LN((Calculations!$C$12+Calculations!$M89)/(Calculations!$C$12+Calculations!$C$9))+(1/(Calculations!$O89-Calculations!$C$13))*('Reaction Information'!$L$17*(Calculations!$M89-Calculations!$C$9)+'Reaction Information'!$M$17*10^4*LN((Calculations!$C$12+Calculations!$M89)/(Calculations!$C$12+Calculations!$C$9)))+calculateOmega(Calculations!M89,Calculations!N89,Calculations!Q89,'Reaction Information'!$C$17,'Reaction Information'!$P$17*10^5,'Reaction Information'!$Q$17)*((1/Calculations!$S89)-1)-'Reaction Information'!$P$17*10^5*((1/Calculations!$C$10)-1)+'Reaction Information'!$P$17*10^5*Calculations!$C$14*(Calculations!$O89-Calculations!$C$8))</f>
        <v>#N/A</v>
      </c>
      <c r="AH89" s="8" t="e">
        <f>IF(ISBLANK(Input!$AD$4),NA(),'Reaction Information'!$E$21-'Reaction Information'!$G$21*(Calculations!$O89-Calculations!$C$8)-'Reaction Information'!$N$21*(Calculations!$O89*LN(Calculations!$O89/Calculations!$C$8)-Calculations!$O89+Calculations!$C$8)-'Reaction Information'!$O$21*10^4*(((1/(Calculations!$O89-Calculations!$C$13))-(1/(Calculations!$C$8-Calculations!$C$13)))*((Calculations!$C$13-Calculations!$O89)/(Calculations!$C$13))-(Calculations!$O89/(Calculations!$C$13*Calculations!$C$13))*LN((Calculations!$C$8*(Calculations!$O89-Calculations!$C$13))/(Calculations!$O89*(Calculations!$C$8-Calculations!$C$13))))+'Reaction Information'!$J$21*10^-1*(Calculations!$M89-Calculations!$C$9)+'Reaction Information'!$K$21*10^2*LN((Calculations!$C$12+Calculations!$M89)/(Calculations!$C$12+Calculations!$C$9))+(1/(Calculations!$O89-Calculations!$C$13))*('Reaction Information'!$L$21*(Calculations!$M89-Calculations!$C$9)+'Reaction Information'!$M$21*10^4*LN((Calculations!$C$12+Calculations!$M89)/(Calculations!$C$12+Calculations!$C$9)))+calculateOmega(Calculations!M89,Calculations!N89,Calculations!Q89,'Reaction Information'!$C$21,'Reaction Information'!$P$21*10^5,'Reaction Information'!$Q$21)*((1/Calculations!$S89)-1)-'Reaction Information'!$P$21*10^5*((1/Calculations!$C$10)-1)+'Reaction Information'!$P$21*10^5*Calculations!$C$14*(Calculations!$O89-Calculations!$C$8))</f>
        <v>#N/A</v>
      </c>
      <c r="AI89" s="8" t="e">
        <f>IF(ISBLANK(Input!$AG$4),NA(),'Reaction Information'!$E$25-'Reaction Information'!$G$25*(Calculations!$O89-Calculations!$C$8)-'Reaction Information'!$N$25*(Calculations!$O89*LN(Calculations!$O89/Calculations!$C$8)-Calculations!$O89+Calculations!$C$8)-'Reaction Information'!$O$25*10^4*(((1/(Calculations!$O89-Calculations!$C$13))-(1/(Calculations!$C$8-Calculations!$C$13)))*((Calculations!$C$13-Calculations!$O89)/(Calculations!$C$13))-(Calculations!$O89/(Calculations!$C$13*Calculations!$C$13))*LN((Calculations!$C$8*(Calculations!$O89-Calculations!$C$13))/(Calculations!$O89*(Calculations!$C$8-Calculations!$C$13))))+'Reaction Information'!$J$25*10^-1*(Calculations!$M89-Calculations!$C$9)+'Reaction Information'!$K$25*10^2*LN((Calculations!$C$12+Calculations!$M89)/(Calculations!$C$12+Calculations!$C$9))+(1/(Calculations!$O89-Calculations!$C$13))*('Reaction Information'!$L$25*(Calculations!$M89-Calculations!$C$9)+'Reaction Information'!$M$25*10^4*LN((Calculations!$C$12+Calculations!$M89)/(Calculations!$C$12+Calculations!$C$9)))+calculateOmega(Calculations!M89,Calculations!N89,Calculations!Q89,'Reaction Information'!$C$25,'Reaction Information'!$P$25*10^5,'Reaction Information'!$Q$25)*((1/Calculations!$S89)-1)-'Reaction Information'!$P$25*10^5*((1/Calculations!$C$10)-1)+'Reaction Information'!$P$25*10^5*Calculations!$C$14*(Calculations!$O89-Calculations!$C$8))</f>
        <v>#N/A</v>
      </c>
      <c r="AJ89" s="8" t="e">
        <f>IF(ISBLANK(Input!$AJ$4),NA(),'Reaction Information'!$E$29-'Reaction Information'!$G$29*(Calculations!$O89-Calculations!$C$8)-'Reaction Information'!$N$29*(Calculations!$O89*LN(Calculations!$O89/Calculations!$C$8)-Calculations!$O89+Calculations!$C$8)-'Reaction Information'!$O$29*10^4*(((1/(Calculations!$O89-Calculations!$C$13))-(1/(Calculations!$C$8-Calculations!$C$13)))*((Calculations!$C$13-Calculations!$O89)/(Calculations!$C$13))-(Calculations!$O89/(Calculations!$C$13*Calculations!$C$13))*LN((Calculations!$C$8*(Calculations!$O89-Calculations!$C$13))/(Calculations!$O89*(Calculations!$C$8-Calculations!$C$13))))+'Reaction Information'!$J$29*10^-1*(Calculations!$M89-Calculations!$C$9)+'Reaction Information'!$K$29*10^2*LN((Calculations!$C$12+Calculations!$M89)/(Calculations!$C$12+Calculations!$C$9))+(1/(Calculations!$O89-Calculations!$C$13))*('Reaction Information'!$L$29*(Calculations!$M89-Calculations!$C$9)+'Reaction Information'!$M$29*10^4*LN((Calculations!$C$12+Calculations!$M89)/(Calculations!$C$12+Calculations!$C$9)))+calculateOmega(Calculations!M89,Calculations!N89,Calculations!Q89,'Reaction Information'!$C$29,'Reaction Information'!$P$29*10^5,'Reaction Information'!$Q$29)*((1/Calculations!$S89)-1)-'Reaction Information'!$P$29*10^5*((1/Calculations!$C$10)-1)+'Reaction Information'!$P$29*10^5*Calculations!$C$14*(Calculations!$O89-Calculations!$C$8))</f>
        <v>#N/A</v>
      </c>
      <c r="AK89" s="8" t="e">
        <f>IF(ISBLANK(Input!$AM$4),NA(),'Reaction Information'!$E$33-'Reaction Information'!$G$33*(Calculations!$O89-Calculations!$C$8)-'Reaction Information'!$N$33*(Calculations!$O89*LN(Calculations!$O89/Calculations!$C$8)-Calculations!$O89+Calculations!$C$8)-'Reaction Information'!$O$33*10^4*(((1/(Calculations!$O89-Calculations!$C$13))-(1/(Calculations!$C$8-Calculations!$C$13)))*((Calculations!$C$13-Calculations!$O89)/(Calculations!$C$13))-(Calculations!$O89/(Calculations!$C$13*Calculations!$C$13))*LN((Calculations!$C$8*(Calculations!$O89-Calculations!$C$13))/(Calculations!$O89*(Calculations!$C$8-Calculations!$C$13))))+'Reaction Information'!$J$33*10^-1*(Calculations!$M89-Calculations!$C$9)+'Reaction Information'!$K$33*10^2*LN((Calculations!$C$12+Calculations!$M89)/(Calculations!$C$12+Calculations!$C$9))+(1/(Calculations!$O89-Calculations!$C$13))*('Reaction Information'!$L$33*(Calculations!$M89-Calculations!$C$9)+'Reaction Information'!$M$33*10^4*LN((Calculations!$C$12+Calculations!$M89)/(Calculations!$C$12+Calculations!$C$9)))+calculateOmega(Calculations!M89,Calculations!N89,Calculations!Q89,'Reaction Information'!$C$33,'Reaction Information'!$P$33*10^5,'Reaction Information'!$Q$33)*((1/Calculations!$S89)-1)-'Reaction Information'!$P$33*10^5*((1/Calculations!$C$10)-1)+'Reaction Information'!$P$33*10^5*Calculations!$C$14*(Calculations!$O89-Calculations!$C$8))</f>
        <v>#N/A</v>
      </c>
      <c r="AL89" s="1">
        <f>Results!S91</f>
        <v>0</v>
      </c>
      <c r="AM89" s="1">
        <f>Results!T91</f>
        <v>0</v>
      </c>
      <c r="AN89" s="1">
        <f>Results!U91</f>
        <v>0</v>
      </c>
      <c r="AO89" s="1">
        <f>Results!V91</f>
        <v>0</v>
      </c>
      <c r="AP89" s="8" t="e">
        <f>IF(ISBLANK(Input!$BB$4),NA(),'Reaction Information'!$E$38-'Reaction Information'!$G$38*(Calculations!$O89-Calculations!$C$8)+'Reaction Information'!$I$38*(Calculations!$O89-Calculations!$C$8-Calculations!$O89*LN(Calculations!$O89/Calculations!$C$8))+'Reaction Information'!$J$38*0.001/2*(2*Calculations!$O89*Calculations!$C$8-Calculations!$O89^2-Calculations!$C$8^2) + 'Reaction Information'!$K$38*100000*(Calculations!$O89^2 + Calculations!$C$8^2 - 2*Calculations!$O89*Calculations!$C$8)/(2*Calculations!$O89*Calculations!$C$8^2))</f>
        <v>#N/A</v>
      </c>
      <c r="AQ89" s="8" t="e">
        <f>IF(ISBLANK(Input!$BE$4),NA(),'Reaction Information'!$E$42-'Reaction Information'!$G$42*(Calculations!$O89-Calculations!$C$8)+'Reaction Information'!$I$42*(Calculations!$O89-Calculations!$C$8-Calculations!$O89*LN(Calculations!$O89/Calculations!$C$8))+'Reaction Information'!$J$42*0.001/2*(2*Calculations!$O89*Calculations!$C$8-Calculations!$O89^2-Calculations!$C$8^2) + 'Reaction Information'!$K$42*100000*(Calculations!$O89^2 + Calculations!$C$8^2 - 2*Calculations!$O89*Calculations!$C$8)/(2*Calculations!$O89*Calculations!$C$8^2))</f>
        <v>#N/A</v>
      </c>
      <c r="AR89" s="8" t="e">
        <f>IF(AR$5="H2O", IF($D$24=3,IF(T89=0,NA(),T89),calculateGibbsOfWater(M89,N89,$D$24,$D$20,$D$19=3)),NA())</f>
        <v>#N/A</v>
      </c>
      <c r="AS89" s="8">
        <f>IF(ISBLANK(Input!$BK$4),NA(),'Reaction Information'!$E$46-'Reaction Information'!$G$46*(Calculations!O89-Calculations!$C$8)-'Reaction Information'!$N$46*(Calculations!O89*LN(Calculations!O89/Calculations!$C$8)-Calculations!O89+Calculations!$C$8)-'Reaction Information'!$O$46*10^4*(((1/(Calculations!O89-Calculations!$C$13))-(1/(Calculations!$C$8-Calculations!$C$13)))*((Calculations!$C$13-Calculations!O89)/(Calculations!$C$13))-(Calculations!O89/(Calculations!$C$13*Calculations!$C$13))*LN((Calculations!$C$8*(Calculations!O89-Calculations!$C$13))/(Calculations!O89*(Calculations!$C$8-Calculations!$C$13))))+'Reaction Information'!$J$46*10^-1*(Calculations!$M89-Calculations!$C$9)+'Reaction Information'!$K$46*10^2*LN((Calculations!$C$12+Calculations!$M89)/(Calculations!$C$12+Calculations!$C$9))+(1/(Calculations!O89-Calculations!$C$13))*('Reaction Information'!$L$46*(Calculations!$M89-Calculations!$C$9)+'Reaction Information'!$M$46*10^4*LN((Calculations!$C$12+Calculations!$M89)/(Calculations!$C$12+Calculations!$C$9)))+calculateOmega(Calculations!M89,Calculations!N89,Calculations!Q89,'Reaction Information'!$C$46,'Reaction Information'!$P$46*10^5,'Reaction Information'!$Q$46)*((1/Calculations!S89)-1)-'Reaction Information'!$P$46*10^5*((1/Calculations!$C$10)-1)+'Reaction Information'!$P$46*10^5*Calculations!$C$14*(Calculations!O89-Calculations!$C$8))</f>
        <v>0</v>
      </c>
      <c r="AT89" s="8">
        <f>IF(ISBLANK(Input!$BN$4),NA(),'Reaction Information'!$E$50-'Reaction Information'!$G$50*(Calculations!O89-Calculations!$C$8)-'Reaction Information'!$N$50*(Calculations!O89*LN(Calculations!O89/Calculations!$C$8)-Calculations!O89+Calculations!$C$8)-'Reaction Information'!$O$50*10^4*(((1/(Calculations!O89-Calculations!$C$13))-(1/(Calculations!$C$8-Calculations!$C$13)))*((Calculations!$C$13-Calculations!O89)/(Calculations!$C$13))-(Calculations!O89/(Calculations!$C$13*Calculations!$C$13))*LN((Calculations!$C$8*(Calculations!O89-Calculations!$C$13))/(Calculations!O89*(Calculations!$C$8-Calculations!$C$13))))+'Reaction Information'!$J$50*10^-1*(Calculations!$M89-Calculations!$C$9)+'Reaction Information'!$K$50*10^2*LN((Calculations!$C$12+Calculations!$M89)/(Calculations!$C$12+Calculations!$C$9))+(1/(Calculations!O89-Calculations!$C$13))*('Reaction Information'!$L$50*(Calculations!$M89-Calculations!$C$9)+'Reaction Information'!$M$50*10^4*LN((Calculations!$C$12+Calculations!$M89)/(Calculations!$C$12+Calculations!$C$9)))+calculateOmega(Calculations!M89,Calculations!N89,Calculations!Q89,'Reaction Information'!$C$50,'Reaction Information'!$P$50*10^5,'Reaction Information'!$Q$50)*((1/Calculations!S89)-1)-'Reaction Information'!$P$50*10^5*((1/Calculations!$C$10)-1)+'Reaction Information'!$P$50*10^5*Calculations!$C$14*(Calculations!O89-Calculations!$C$8))</f>
        <v>-138668.50428074124</v>
      </c>
      <c r="AU89" s="8" t="e">
        <f>IF(ISBLANK(Input!$BQ$4),NA(),'Reaction Information'!$E$54-'Reaction Information'!$G$54*(Calculations!$O89-Calculations!$C$8)-'Reaction Information'!$N$54*(Calculations!$O89*LN(Calculations!$O89/Calculations!$C$8)-Calculations!$O89+Calculations!$C$8)-'Reaction Information'!$O$54*10^4*(((1/(Calculations!$O89-Calculations!$C$13))-(1/(Calculations!$C$8-Calculations!$C$13)))*((Calculations!$C$13-Calculations!$O89)/(Calculations!$C$13))-(Calculations!$O89/(Calculations!$C$13*Calculations!$C$13))*LN((Calculations!$C$8*(Calculations!$O89-Calculations!$C$13))/(Calculations!$O89*(Calculations!$C$8-Calculations!$C$13))))+'Reaction Information'!$J$54*10^-1*(Calculations!$M89-Calculations!$C$9)+'Reaction Information'!$K$54*10^2*LN((Calculations!$C$12+Calculations!$M89)/(Calculations!$C$12+Calculations!$C$9))+(1/(Calculations!$O89-Calculations!$C$13))*('Reaction Information'!$L$54*(Calculations!$M89-Calculations!$C$9)+'Reaction Information'!$M$54*10^4*LN((Calculations!$C$12+Calculations!$M89)/(Calculations!$C$12+Calculations!$C$9)))+calculateOmega(Calculations!M89,Calculations!N89,Calculations!Q89,'Reaction Information'!$C$54,'Reaction Information'!$P$54*10^5,'Reaction Information'!$Q$54)*((1/Calculations!$S89)-1)-'Reaction Information'!$P$54*10^5*((1/Calculations!$C$10)-1)+'Reaction Information'!$P$54*10^5*Calculations!$C$14*(Calculations!$O89-Calculations!$C$8))</f>
        <v>#N/A</v>
      </c>
      <c r="AV89" s="8" t="e">
        <f>IF(ISBLANK(Input!$BT$4),NA(),'Reaction Information'!$E$58-'Reaction Information'!$G$58*(Calculations!$O89-Calculations!$C$8)-'Reaction Information'!$N$58*(Calculations!$O89*LN(Calculations!$O89/Calculations!$C$8)-Calculations!$O89+Calculations!$C$8)-'Reaction Information'!$O$58*10^4*(((1/(Calculations!$O89-Calculations!$C$13))-(1/(Calculations!$C$8-Calculations!$C$13)))*((Calculations!$C$13-Calculations!$O89)/(Calculations!$C$13))-(Calculations!$O89/(Calculations!$C$13*Calculations!$C$13))*LN((Calculations!$C$8*(Calculations!$O89-Calculations!$C$13))/(Calculations!$O89*(Calculations!$C$8-Calculations!$C$13))))+'Reaction Information'!$J$58*10^-1*(Calculations!$M89-Calculations!$C$9)+'Reaction Information'!$K$58*10^2*LN((Calculations!$C$12+Calculations!$M89)/(Calculations!$C$12+Calculations!$C$9))+(1/(Calculations!$O89-Calculations!$C$13))*('Reaction Information'!$L$58*(Calculations!$M89-Calculations!$C$9)+'Reaction Information'!$M$58*10^4*LN((Calculations!$C$12+Calculations!$M89)/(Calculations!$C$12+Calculations!$C$9)))+calculateOmega(Calculations!M89,Calculations!N89,Calculations!Q89,'Reaction Information'!$C$58,'Reaction Information'!$P$58*10^5,'Reaction Information'!$Q$58)*((1/Calculations!$S89)-1)-'Reaction Information'!$P$58*10^5*((1/Calculations!$C$10)-1)+'Reaction Information'!$P$58*10^5*Calculations!$C$14*(Calculations!$O89-Calculations!$C$8))</f>
        <v>#N/A</v>
      </c>
      <c r="AW89" s="8" t="e">
        <f>IF(ISBLANK(Input!$BW$4),NA(),'Reaction Information'!$E$62-'Reaction Information'!$G$62*(Calculations!$O89-Calculations!$C$8)-'Reaction Information'!$N$62*(Calculations!$O89*LN(Calculations!$O89/Calculations!$C$8)-Calculations!$O89+Calculations!$C$8)-'Reaction Information'!$O$62*10^4*(((1/(Calculations!$O89-Calculations!$C$13))-(1/(Calculations!$C$8-Calculations!$C$13)))*((Calculations!$C$13-Calculations!$O89)/(Calculations!$C$13))-(Calculations!$O89/(Calculations!$C$13*Calculations!$C$13))*LN((Calculations!$C$8*(Calculations!$O89-Calculations!$C$13))/(Calculations!$O89*(Calculations!$C$8-Calculations!$C$13))))+'Reaction Information'!$J$62*10^-1*(Calculations!$M89-Calculations!$C$9)+'Reaction Information'!$K$62*10^2*LN((Calculations!$C$12+Calculations!$M89)/(Calculations!$C$12+Calculations!$C$9))+(1/(Calculations!$O89-Calculations!$C$13))*('Reaction Information'!$L$62*(Calculations!$M89-Calculations!$C$9)+'Reaction Information'!$M$62*10^4*LN((Calculations!$C$12+Calculations!$M89)/(Calculations!$C$12+Calculations!$C$9)))+calculateOmega(Calculations!M89,Calculations!N89,Calculations!Q89,'Reaction Information'!$C$62,'Reaction Information'!$P$62*10^5,'Reaction Information'!$Q$62)*((1/Calculations!$S89)-1)-'Reaction Information'!$P$62*10^5*((1/Calculations!$C$10)-1)+'Reaction Information'!$P$62*10^5*Calculations!$C$14*(Calculations!$O89-Calculations!$C$8))</f>
        <v>#N/A</v>
      </c>
      <c r="AX89" s="8" t="e">
        <f>IF(ISBLANK(Input!$BZ$4),NA(),'Reaction Information'!$E$66-'Reaction Information'!$G$66*(Calculations!$O89-Calculations!$C$8)-'Reaction Information'!$N$66*(Calculations!$O89*LN(Calculations!$O89/Calculations!$C$8)-Calculations!$O89+Calculations!$C$8)-'Reaction Information'!$O$66*10^4*(((1/(Calculations!$O89-Calculations!$C$13))-(1/(Calculations!$C$8-Calculations!$C$13)))*((Calculations!$C$13-Calculations!$O89)/(Calculations!$C$13))-(Calculations!$O89/(Calculations!$C$13*Calculations!$C$13))*LN((Calculations!$C$8*(Calculations!$O89-Calculations!$C$13))/(Calculations!$O89*(Calculations!$C$8-Calculations!$C$13))))+'Reaction Information'!$J$66*10^-1*(Calculations!$M89-Calculations!$C$9)+'Reaction Information'!$K$66*10^2*LN((Calculations!$C$12+Calculations!$M89)/(Calculations!$C$12+Calculations!$C$9))+(1/(Calculations!$O89-Calculations!$C$13))*('Reaction Information'!$L$66*(Calculations!$M89-Calculations!$C$9)+'Reaction Information'!$M$66*10^4*LN((Calculations!$C$12+Calculations!$M89)/(Calculations!$C$12+Calculations!$C$9)))+calculateOmega(Calculations!M89,Calculations!N89,Calculations!Q89,'Reaction Information'!$C$66,'Reaction Information'!$P$66*10^5,'Reaction Information'!$Q$66)*((1/Calculations!$S89)-1)-'Reaction Information'!$P$66*10^5*((1/Calculations!$C$10)-1)+'Reaction Information'!$P$66*10^5*Calculations!$C$14*(Calculations!$O89-Calculations!$C$8))</f>
        <v>#N/A</v>
      </c>
      <c r="AY89" s="31">
        <f>(AL89*Input!$AO$4+AM89*Input!$AR$4+AN89*Input!$AU$4+AO89*Input!$AX$4+IF(ISNA(AP89),0,AP89*Input!$BA$4)+IF(ISNA(AQ89),0,AQ89*Input!$BD$4)+IF(ISNA(AR89),0,AR89*Input!$BG$4)+IF(ISNA(AS89),0,AS89*Input!$BJ$4)+IF(ISNA(AT89),0,AT89*Input!$BM$4)+IF(ISNA(AU89),0,AU89*Input!$BP$4)+IF(ISNA(AV89),0,AV89*Input!$BS$4)+IF(ISNA(AW89),0,AW89*Input!$BV$4)+IF(ISNA(AX89),0,AX89*Input!$BY$4))-(Y89*Input!$B$4+Z89*Input!$E$4+AA89*Input!$H$4+AB89*Input!$K$4+IF(ISNA(AC89),0,AC89*Input!$N$4)+IF(ISNA(AD89),0,AD89*Input!$Q$4)+IF(ISNA(AE89),0,AE89*Input!$T$4)+IF(ISNA(AF89),0,AF89*Input!$W$4)+IF(ISNA(AG89),0,AG89*Input!$Z$4)+IF(ISNA(AH89),0,AH89*Input!$AC$4)+IF(ISNA(AI89),0,AI89*Input!$AF$4)+IF(ISNA(AJ89),0,AJ89*Input!$AI$4)+IF(ISNA(AK89),0,AK89*Input!$AL$4))</f>
        <v>22230.963756783982</v>
      </c>
      <c r="AZ89" s="42">
        <f t="shared" si="20"/>
        <v>-4.9958613536246315</v>
      </c>
      <c r="BA89" s="1">
        <f t="shared" si="27"/>
        <v>700</v>
      </c>
      <c r="BB89" s="46">
        <f t="shared" si="28"/>
        <v>30000</v>
      </c>
      <c r="BC89" s="1"/>
      <c r="BD89" s="2">
        <f t="shared" si="29"/>
        <v>30000</v>
      </c>
      <c r="BE89" s="46">
        <f t="shared" si="30"/>
        <v>700</v>
      </c>
      <c r="BF89" s="1">
        <f>Results!AJ91</f>
        <v>0</v>
      </c>
      <c r="BG89" s="1">
        <f>Results!AK91</f>
        <v>0</v>
      </c>
      <c r="BH89" s="1">
        <f>Results!AL91</f>
        <v>0</v>
      </c>
      <c r="BI89" s="1">
        <f>Results!AM91</f>
        <v>0</v>
      </c>
      <c r="BJ89" s="1" t="e">
        <f>IF(OR(ISNA('Reaction Information'!$D$5), $N89 = "", $D$27 = FALSE, 'Reaction Information'!$D$5 = ""), NA(), 24.465)</f>
        <v>#N/A</v>
      </c>
      <c r="BK89" s="1" t="e">
        <f>IF(OR(ISNA('Reaction Information'!$D$9), $N89 = "", $D$27 = FALSE, 'Reaction Information'!$D$9 = ""), NA(), 24.465)</f>
        <v>#N/A</v>
      </c>
      <c r="BL89" s="8">
        <f t="shared" si="21"/>
        <v>14.915272703497605</v>
      </c>
      <c r="BM89" s="8">
        <f>IF(OR(ISBLANK(Input!$X$4),$D$27=FALSE),NA(),('Reaction Information'!$J$13/10+'Reaction Information'!$K$13*100/(Calculations!$C$12+Calculations!$M89)+('Reaction Information'!$L$13+'Reaction Information'!$M$13*10^4/(Calculations!$C$12+Calculations!$M89))/(Calculations!$O89-Calculations!$C$13) -calculateOmega(Calculations!$M89,Calculations!$N89,Calculations!$Q89,'Reaction Information'!$C$13,'Reaction Information'!$P$13*10^5,'Reaction Information'!$Q$13)*Calculations!$U89*10^-6 + (1/$S89 - 1)*calculate_domegadP(Calculations!$M89,Calculations!$N89,Calculations!$Q89,'Reaction Information'!$C$13,'Reaction Information'!$P$13*10^5,'Reaction Information'!$Q$13,$D$20,$D$19=3))*41.84)</f>
        <v>30.551911776450396</v>
      </c>
      <c r="BN89" s="8" t="e">
        <f>IF(OR(ISBLANK(Input!$AA$4),$D$27=FALSE),NA(),('Reaction Information'!$J$17/10+'Reaction Information'!$K$17*100/(Calculations!$C$12+Calculations!$M89)+('Reaction Information'!$L$17+'Reaction Information'!$M$17*10000/(Calculations!$C$12+Calculations!$M89))/(Calculations!$O89-Calculations!$C$13)-calculateOmega(Calculations!M89,Calculations!N89,Calculations!Q89,'Reaction Information'!$C$17,'Reaction Information'!$P$17*10^5,'Reaction Information'!$Q$17)*Calculations!$U89*10^-6 + (1/$S89 - 1)*calculate_domegadP(Calculations!M89,Calculations!N89,Calculations!Q89,'Reaction Information'!$C$17,'Reaction Information'!$P$17*10^5,'Reaction Information'!$Q$17,$D$20,$D$19=3))*41.84)</f>
        <v>#N/A</v>
      </c>
      <c r="BO89" s="8" t="e">
        <f>IF(OR(ISBLANK(Input!$AD$4),$D$27=FALSE),NA(),('Reaction Information'!$J$21/10+'Reaction Information'!$K$21*100/(Calculations!$C$12+Calculations!$M89)+('Reaction Information'!$L$21+'Reaction Information'!$M$21*10000/(Calculations!$C$12+Calculations!$M89))/(Calculations!$O89-Calculations!$C$13)-calculateOmega(Calculations!M89,Calculations!N89,Calculations!Q89,'Reaction Information'!$C$21,'Reaction Information'!$P$21*10^5,'Reaction Information'!$Q$21)*Calculations!$U89*10^-6 + (1/$S89 - 1)*calculate_domegadP(Calculations!M89,Calculations!N89,Calculations!Q89,'Reaction Information'!$C$21,'Reaction Information'!$P$21*10^5,'Reaction Information'!$Q$21,$D$20,$D$19=3))*41.84)</f>
        <v>#N/A</v>
      </c>
      <c r="BP89" s="8" t="e">
        <f>IF(OR(ISBLANK(Input!$AG$4),$D$27=FALSE),NA(),('Reaction Information'!$J$25/10+'Reaction Information'!$K$25*100/(Calculations!$C$12+Calculations!$M89)+('Reaction Information'!$L$25+'Reaction Information'!$M$25*10000/(Calculations!$C$12+Calculations!$M89))/(Calculations!$O89-Calculations!$C$13)-calculateOmega(Calculations!M89,Calculations!N89,Calculations!Q89,'Reaction Information'!$C$25,'Reaction Information'!$P$25*10^5,'Reaction Information'!$Q$25)*Calculations!$U89*10^-6 + (1/$S89 - 1)*calculate_domegadP(Calculations!M89,Calculations!N89,Calculations!Q89,'Reaction Information'!$C$25,'Reaction Information'!$P$25*10^5,'Reaction Information'!$Q$25,$D$20,$D$19=3))*41.84)</f>
        <v>#N/A</v>
      </c>
      <c r="BQ89" s="8" t="e">
        <f>IF(OR(ISBLANK(Input!$AJ$4),$D$27=FALSE),NA(),('Reaction Information'!$J$29/10+'Reaction Information'!$K$29*100/(Calculations!$C$12+Calculations!$M89)+('Reaction Information'!$L$29+'Reaction Information'!$M$29*10000/(Calculations!$C$12+Calculations!$M89))/(Calculations!$O89-Calculations!$C$13)-calculateOmega(Calculations!M89,Calculations!N89,Calculations!Q89,'Reaction Information'!$C$29,'Reaction Information'!$P$29*10^5,'Reaction Information'!$Q$29)*Calculations!$U89*10^-6 + (1/$S89 - 1)*calculate_domegadP(Calculations!M89,Calculations!N89,Calculations!Q89,'Reaction Information'!$C$29,'Reaction Information'!$P$29*10^5,'Reaction Information'!$Q$29,$D$20,$D$19=3))*41.84)</f>
        <v>#N/A</v>
      </c>
      <c r="BR89" s="8" t="e">
        <f>IF(OR(ISBLANK(Input!$AM$4),$D$27=FALSE),NA(),('Reaction Information'!$J$33/10+'Reaction Information'!$K$33*100/(Calculations!$C$12+Calculations!$M89)+('Reaction Information'!$L$33+'Reaction Information'!$M$33*10000/(Calculations!$C$12+Calculations!$M89))/(Calculations!$O89-Calculations!$C$13)-calculateOmega(Calculations!M89,Calculations!N89,Calculations!Q89,'Reaction Information'!$C$33,'Reaction Information'!$P$33*10^5,'Reaction Information'!$Q$33)*Calculations!$U89*10^-6 + (1/$S89 - 1)*calculate_domegadP(Calculations!M89,Calculations!N89,Calculations!Q89,'Reaction Information'!$C$33,'Reaction Information'!$P$33*10^5,'Reaction Information'!$Q$33,$D$20,$D$19=3))*41.84)</f>
        <v>#N/A</v>
      </c>
      <c r="BS89" s="1">
        <f>Results!AW91</f>
        <v>0</v>
      </c>
      <c r="BT89" s="1">
        <f>Results!AX91</f>
        <v>0</v>
      </c>
      <c r="BU89" s="1">
        <f>Results!AY91</f>
        <v>0</v>
      </c>
      <c r="BV89" s="1">
        <f>Results!AZ91</f>
        <v>0</v>
      </c>
      <c r="BW89" s="1" t="e">
        <f>IF(OR(ISNA('Reaction Information'!$D$38), $N89 = "", $D$27 = FALSE, 'Reaction Information'!$D$38 = ""), NA(), 24.465)</f>
        <v>#N/A</v>
      </c>
      <c r="BX89" s="1" t="e">
        <f>IF(OR(ISNA('Reaction Information'!$D$42), $N89 = "", $D$27 = FALSE, 'Reaction Information'!$D$42 = ""), NA(), 24.465)</f>
        <v>#N/A</v>
      </c>
      <c r="BY89" s="8" t="e">
        <f t="shared" si="22"/>
        <v>#N/A</v>
      </c>
      <c r="BZ89" s="8">
        <f>IF(OR(ISBLANK(Input!$BK$4),$D$27=FALSE),NA(),('Reaction Information'!$J$46/10+'Reaction Information'!$K$46*100/(Calculations!$C$12+Calculations!$M89)+('Reaction Information'!$L$46+'Reaction Information'!$M$46*10000/(Calculations!$C$12+Calculations!$M89))/(Calculations!$O89-Calculations!$C$13)-calculateOmega(Calculations!M89,Calculations!N89,Calculations!Q89,'Reaction Information'!$C$46,'Reaction Information'!$P$46*10^5,'Reaction Information'!$Q$46)*Calculations!$U89*10^-6 + (1/$S89 - 1)*calculate_domegadP(Calculations!M89,Calculations!N89,Calculations!Q89,'Reaction Information'!$C$46,'Reaction Information'!$P$46*10^5,'Reaction Information'!$Q$46,$D$20,$D$19=3))*41.84)</f>
        <v>0</v>
      </c>
      <c r="CA89" s="8">
        <f>IF(OR(ISBLANK(Input!$BN$4),$D$27=FALSE),NA(),('Reaction Information'!$J$50/10+'Reaction Information'!$K$50*100/(Calculations!$C$12+Calculations!$M89)+('Reaction Information'!$L$50+'Reaction Information'!$M$50*10000/(Calculations!$C$12+Calculations!$M89))/(Calculations!$O89-Calculations!$C$13)-calculateOmega(Calculations!M89,Calculations!N89,Calculations!Q89,'Reaction Information'!$C$50,'Reaction Information'!$P$50*10^5,'Reaction Information'!$Q$50)*Calculations!$U89*10^-6 + (1/$S89 - 1)*calculate_domegadP(Calculations!M89,Calculations!N89,Calculations!Q89,'Reaction Information'!$C$50,'Reaction Information'!$P$50*10^5,'Reaction Information'!$Q$50,$D$20,$D$19=3))*41.84)</f>
        <v>30.509571970108155</v>
      </c>
      <c r="CB89" s="8" t="e">
        <f>IF(OR(ISBLANK(Input!$BQ$4),$D$27=FALSE),NA(),('Reaction Information'!$J$54/10+'Reaction Information'!$K$54*100/(Calculations!$C$12+Calculations!$M89)+('Reaction Information'!$L$54+'Reaction Information'!$M$54*10000/(Calculations!$C$12+Calculations!$M89))/(Calculations!$O89-Calculations!$C$13)-calculateOmega(Calculations!M89,Calculations!N89,Calculations!Q89,'Reaction Information'!$C$54,'Reaction Information'!$P$54*10^5,'Reaction Information'!$Q$54)*Calculations!$U89*10^-6 + (1/$S89 - 1)*calculate_domegadP(Calculations!M89,Calculations!N89,Calculations!Q89,'Reaction Information'!$C$54,'Reaction Information'!$P$54*10^5,'Reaction Information'!$Q$54,$D$20,$D$19=3))*41.84)</f>
        <v>#N/A</v>
      </c>
      <c r="CC89" s="8" t="e">
        <f>IF(OR(ISBLANK(Input!$BT$4),$D$27=FALSE),NA(),('Reaction Information'!$J$58/10+'Reaction Information'!$K$58*100/(Calculations!$C$12+Calculations!$M89)+('Reaction Information'!$L$58+'Reaction Information'!$M$58*10000/(Calculations!$C$12+Calculations!$M89))/(Calculations!$O89-Calculations!$C$13)-calculateOmega(Calculations!M89,Calculations!N89,Calculations!Q89,'Reaction Information'!$C$58,'Reaction Information'!$P$58*10^5,'Reaction Information'!$Q$58)*Calculations!$U89*10^-6 + (1/$S89 - 1)*calculate_domegadP(Calculations!M89,Calculations!N89,Calculations!Q89,'Reaction Information'!$C$58,'Reaction Information'!$P$58*10^5,'Reaction Information'!$Q$58,$D$20,$D$19=3))*41.84)</f>
        <v>#N/A</v>
      </c>
      <c r="CD89" s="8" t="e">
        <f>IF(OR(ISBLANK(Input!$BW$4),$D$27=FALSE),NA(),('Reaction Information'!$J$62/10+'Reaction Information'!$K$62*100/(Calculations!$C$12+Calculations!$M89)+('Reaction Information'!$L$62+'Reaction Information'!$M$62*10000/(Calculations!$C$12+Calculations!$M89))/(Calculations!$O89-Calculations!$C$13)-calculateOmega(Calculations!M89,Calculations!N89,Calculations!Q89,'Reaction Information'!$C$62,'Reaction Information'!$P$62*10^5,'Reaction Information'!$Q$62)*Calculations!$U89*10^-6 + (1/$S89 - 1)*calculate_domegadP(Calculations!M89,Calculations!N89,Calculations!Q89,'Reaction Information'!$C$62,'Reaction Information'!$P$62*10^5,'Reaction Information'!$Q$62,$D$20,$D$19=3))*41.84)</f>
        <v>#N/A</v>
      </c>
      <c r="CE89" s="8" t="e">
        <f>IF(OR(ISBLANK(Input!$BZ$4),$D$27=FALSE),NA(),('Reaction Information'!$J$66/10+'Reaction Information'!$K$66*100/(Calculations!$C$12+Calculations!$M89)+('Reaction Information'!$L$66+'Reaction Information'!$M$66*10000/(Calculations!$C$12+Calculations!$M89))/(Calculations!$O89-Calculations!$C$13)-calculateOmega(Calculations!M89,Calculations!N89,Calculations!Q89,'Reaction Information'!$C$66,'Reaction Information'!$P$66*10^5,'Reaction Information'!$Q$66)*Calculations!$U89*10^-6 + (1/$S89 - 1)*calculate_domegadP(Calculations!M89,Calculations!N89,Calculations!Q89,'Reaction Information'!$C$66,'Reaction Information'!$P$66*10^5,'Reaction Information'!$Q$66,$D$20,$D$19=3))*41.84)</f>
        <v>#N/A</v>
      </c>
      <c r="CF89" s="31">
        <f>(BS89*Input!$AO$4+BT89*Input!$AR$4+BU89*Input!$AU$4+BV89*Input!$AX$4+IF(ISNA(BW89),0,BW89*Input!$BA$4)+IF(ISNA(BX89),0,BX89*Input!$BD$4)+IF(ISNA(BY89),0,BY89*Input!$BG$4)+IF(ISNA(BZ89),0,BZ89*Input!$BJ$4)+IF(ISNA(CA89),0,CA89*Input!$BM$4)+IF(ISNA(CB89),0,CB89*Input!$BP$4)+IF(ISNA(CC89),0,CC89*Input!$BS$4)+IF(ISNA(CD89),0,CD89*Input!$BV$4)+IF(ISNA(CE89),0,CE89*Input!$BY$4))-(BF89*Input!$B$4+BG89*Input!$E$4+BH89*Input!$H$4+BI89*Input!$K$4+IF(ISNA(BJ89),0,BJ89*Input!$N$4)+IF(ISNA(BK89),0,BK89*Input!$Q$4)+IF(ISNA(BL89),0,BL89*Input!$T$4)+IF(ISNA(BM89),0,BM89*Input!$W$4)+IF(ISNA(BN89),0,BN89*Input!$Z$4)+IF(ISNA(BO89),0,BO89*Input!$AC$4)+IF(ISNA(BP89),0,BP89*Input!$AF$4)+IF(ISNA(BQ89),0,BQ89*Input!$AI$4)+IF(ISNA(BR89),0,BR89*Input!$AL$4))</f>
        <v>-14.957612509839848</v>
      </c>
      <c r="CG89" s="1">
        <f t="shared" si="31"/>
        <v>700</v>
      </c>
      <c r="CH89" s="46">
        <f t="shared" si="32"/>
        <v>30000</v>
      </c>
      <c r="CI89" s="1"/>
    </row>
    <row r="90" spans="1:87" x14ac:dyDescent="0.2">
      <c r="A90" s="1"/>
      <c r="B90" s="1"/>
      <c r="C90" s="1"/>
      <c r="D90" s="1"/>
      <c r="E90" s="1"/>
      <c r="F90" s="2">
        <v>85</v>
      </c>
      <c r="G90" s="1" t="str">
        <f>IF(ISBLANK(Input!CB90), "", Input!CB90*1000)</f>
        <v/>
      </c>
      <c r="H90" s="1" t="str">
        <f>IF(ISBLANK(Input!CC90), "", Input!CC90)</f>
        <v/>
      </c>
      <c r="I90" s="1">
        <f>IF(Input!$CF$5 + Input!$CF$6*(FLOOR((Calculations!$F90-1)/(FLOOR((Input!$CF$12-Input!$CF$10)/Input!$CF$11,1)+1),1)) &gt; Input!$CF$7, "", (Input!$CF$5 + Input!$CF$6*(FLOOR((Calculations!$F90-1)/(FLOOR((Input!$CF$12-Input!$CF$10)/Input!$CF$11,1)+1),1)))*1000)</f>
        <v>30000</v>
      </c>
      <c r="J90" s="1">
        <f>IF(Calculations!I90 = "", "", Input!$CF$10 + Input!$CF$11*(Calculations!$F90-1) - (FLOOR((Input!$CF$12-Input!$CF$10)/Input!$CF$11,1)+1)*Input!$CF$11*FLOOR((Calculations!$F90-1)/(FLOOR((Input!$CF$12-Input!$CF$10)/Input!$CF$11,1)+1),1))</f>
        <v>750</v>
      </c>
      <c r="K90" s="8" t="str">
        <f t="shared" si="33"/>
        <v/>
      </c>
      <c r="L90" s="117" t="str">
        <f>IF(OR(Input!$CJ$5 + Input!$CJ$6*(Calculations!F90-1) &gt; Input!$CJ$7, Input!$CJ$5 + Input!$CJ$6*(Calculations!F90-1) &gt; 350), "", Input!$CJ$5 + Input!$CJ$6*(Calculations!F90-1))</f>
        <v/>
      </c>
      <c r="M90" s="1">
        <f t="shared" si="23"/>
        <v>30000</v>
      </c>
      <c r="N90" s="1">
        <f t="shared" si="24"/>
        <v>750</v>
      </c>
      <c r="O90" s="1">
        <f t="shared" si="19"/>
        <v>1023.15</v>
      </c>
      <c r="P90" s="1" t="e">
        <f>IF(OR($D$20=3,AND($D$21=TRUE,M90&lt;1000)),INDEX('Water Density'!$C$6:$CX$120,MATCH(Calculations!N90,'Water Density'!$B$6:$B$120),MATCH(Calculations!M90/1000,'Water Density'!$C$5:$CX$5)),NA())</f>
        <v>#N/A</v>
      </c>
      <c r="Q90" s="182">
        <f>IF(OR($D$20=3,AND($D$21=TRUE,M90&lt;1000)), IF(P90&lt;&gt;0,P90,NA()), calculateDensity(M90,N90,$D$20,0.01,$D$19 = 3))</f>
        <v>1.19310037522912</v>
      </c>
      <c r="R90" s="1" t="e">
        <f>IF($D$22=5,INDEX('Dielectric Constant'!$C$6:$CX$120,MATCH(Calculations!N90,'Dielectric Constant'!$B$6:$B$120),MATCH(Calculations!M90/1000,'Dielectric Constant'!$C$5:$CX$5)),NA())</f>
        <v>#N/A</v>
      </c>
      <c r="S90" s="58">
        <f>IF($D$22=5, IF(R90&lt;&gt;0,R90,NA()), IF(AND($D$23,M90&lt;=5000,$D$19 &lt;&gt; 3),calculateEpsilon(Q90,N90,1,FALSE),calculateEpsilon(Q90,N90,$D$22,$D$19 = 3)))</f>
        <v>21.323409794038589</v>
      </c>
      <c r="T90" s="1" t="e">
        <f>IF($D$24=3,INDEX('Water Free Energy'!$C$6:$CX$120,MATCH(Calculations!N90,'Water Free Energy'!$B$6:$B$120),MATCH(Calculations!M90/1000,'Water Free Energy'!$C$5:$CX$5)),NA())</f>
        <v>#N/A</v>
      </c>
      <c r="U90" s="179">
        <f>IF($D$27,calculateQ(M90,N90,Q90,$D$20,$D$22,$D$19=3)*10^6,NA())</f>
        <v>0.32444879469717436</v>
      </c>
      <c r="V90"/>
      <c r="W90" s="2">
        <f t="shared" si="25"/>
        <v>30000</v>
      </c>
      <c r="X90" s="1">
        <f t="shared" si="26"/>
        <v>750</v>
      </c>
      <c r="Y90" s="1">
        <f>Results!F92</f>
        <v>0</v>
      </c>
      <c r="Z90" s="1">
        <f>Results!G92</f>
        <v>0</v>
      </c>
      <c r="AA90" s="1">
        <f>Results!H92</f>
        <v>0</v>
      </c>
      <c r="AB90" s="1">
        <f>Results!I92</f>
        <v>0</v>
      </c>
      <c r="AC90" s="1" t="e">
        <f>IF(ISBLANK(Input!$O$4),NA(),'Reaction Information'!$E$5-'Reaction Information'!$G$5*(Calculations!$O90-Calculations!$C$8)+'Reaction Information'!$I$5*(Calculations!$O90-Calculations!$C$8-Calculations!$O90*LN(Calculations!$O90/Calculations!$C$8))+'Reaction Information'!$J$5*0.001/2*(2*Calculations!$O90*Calculations!$C$8-Calculations!$O90^2-Calculations!$C$8^2) + 'Reaction Information'!$K$5*100000*(Calculations!$O90^2 + Calculations!$C$8^2 - 2*Calculations!$O90*Calculations!$C$8)/(2*Calculations!$O90*Calculations!$C$8^2))</f>
        <v>#N/A</v>
      </c>
      <c r="AD90" s="8" t="e">
        <f>IF(ISBLANK(Input!$R$4),NA(),'Reaction Information'!$E$9-'Reaction Information'!$G$9*(Calculations!$O90-Calculations!$C$8)+'Reaction Information'!$I$9*(Calculations!$O90-Calculations!$C$8-Calculations!$O90*LN(Calculations!$O90/Calculations!$C$8))+'Reaction Information'!$J$9*0.001/2*(2*Calculations!$O90*Calculations!$C$8-Calculations!$O90^2-Calculations!$C$8^2) + 'Reaction Information'!$K$9*100000*(Calculations!$O90^2 + Calculations!$C$8^2 - 2*Calculations!$O90*Calculations!$C$8)/(2*Calculations!$O90*Calculations!$C$8^2))</f>
        <v>#N/A</v>
      </c>
      <c r="AE90" s="8">
        <f>IF(AE$5="H2O",IF($D$24=3,IF(T90=0,NA(),T90),calculateGibbsOfWater(M90,N90,$D$24,$D$20,$D$19=3)),NA())</f>
        <v>-64079.610695452968</v>
      </c>
      <c r="AF90" s="8">
        <f>IF(ISBLANK(Input!$X$4),NA(),'Reaction Information'!$E$13-'Reaction Information'!$G$13*(Calculations!O90-Calculations!$C$8)-'Reaction Information'!$N$13*(Calculations!O90*LN(Calculations!O90/Calculations!$C$8)-Calculations!O90+Calculations!$C$8)-'Reaction Information'!$O$13*10^4*(((1/(Calculations!O90-Calculations!$C$13))-(1/(Calculations!$C$8-Calculations!$C$13)))*((Calculations!$C$13-Calculations!O90)/(Calculations!$C$13))-(Calculations!O90/(Calculations!$C$13*Calculations!$C$13))*LN((Calculations!$C$8*(Calculations!O90-Calculations!$C$13))/(Calculations!O90*(Calculations!$C$8-Calculations!$C$13))))+'Reaction Information'!$J$13*10^-1*(Calculations!M90-Calculations!$C$9)+'Reaction Information'!$K$13*10^2*LN((Calculations!$C$12+Calculations!M90)/(Calculations!$C$12+Calculations!$C$9))+(1/(Calculations!O90-Calculations!$C$13))*('Reaction Information'!$L$13*(Calculations!M90-Calculations!$C$9)+'Reaction Information'!$M$13*10^4*LN((Calculations!$C$12+Calculations!M90)/(Calculations!$C$12+Calculations!$C$9)))+calculateOmega(Calculations!M90,Calculations!N90,Calculations!Q90,'Reaction Information'!$C$13,'Reaction Information'!$P$13*10^5,'Reaction Information'!$Q$13)*((1/Calculations!S90)-1)-'Reaction Information'!$P$13*10^5*((1/Calculations!$C$10)-1)+'Reaction Information'!$P$13*10^5*Calculations!$C$14*(Calculations!O90-Calculations!$C$8))</f>
        <v>-100783.42346236094</v>
      </c>
      <c r="AG90" s="8" t="e">
        <f>IF(ISBLANK(Input!$AA$4),NA(),'Reaction Information'!$E$17-'Reaction Information'!$G$17*(Calculations!$O90-Calculations!$C$8)-'Reaction Information'!$N$17*(Calculations!$O90*LN(Calculations!$O90/Calculations!$C$8)-Calculations!$O90+Calculations!$C$8)-'Reaction Information'!$O$17*10^4*(((1/(Calculations!$O90-Calculations!$C$13))-(1/(Calculations!$C$8-Calculations!$C$13)))*((Calculations!$C$13-Calculations!$O90)/(Calculations!$C$13))-(Calculations!$O90/(Calculations!$C$13*Calculations!$C$13))*LN((Calculations!$C$8*(Calculations!$O90-Calculations!$C$13))/(Calculations!$O90*(Calculations!$C$8-Calculations!$C$13))))+'Reaction Information'!$J$17*10^-1*(Calculations!$M90-Calculations!$C$9)+'Reaction Information'!$K$17*10^2*LN((Calculations!$C$12+Calculations!$M90)/(Calculations!$C$12+Calculations!$C$9))+(1/(Calculations!$O90-Calculations!$C$13))*('Reaction Information'!$L$17*(Calculations!$M90-Calculations!$C$9)+'Reaction Information'!$M$17*10^4*LN((Calculations!$C$12+Calculations!$M90)/(Calculations!$C$12+Calculations!$C$9)))+calculateOmega(Calculations!M90,Calculations!N90,Calculations!Q90,'Reaction Information'!$C$17,'Reaction Information'!$P$17*10^5,'Reaction Information'!$Q$17)*((1/Calculations!$S90)-1)-'Reaction Information'!$P$17*10^5*((1/Calculations!$C$10)-1)+'Reaction Information'!$P$17*10^5*Calculations!$C$14*(Calculations!$O90-Calculations!$C$8))</f>
        <v>#N/A</v>
      </c>
      <c r="AH90" s="8" t="e">
        <f>IF(ISBLANK(Input!$AD$4),NA(),'Reaction Information'!$E$21-'Reaction Information'!$G$21*(Calculations!$O90-Calculations!$C$8)-'Reaction Information'!$N$21*(Calculations!$O90*LN(Calculations!$O90/Calculations!$C$8)-Calculations!$O90+Calculations!$C$8)-'Reaction Information'!$O$21*10^4*(((1/(Calculations!$O90-Calculations!$C$13))-(1/(Calculations!$C$8-Calculations!$C$13)))*((Calculations!$C$13-Calculations!$O90)/(Calculations!$C$13))-(Calculations!$O90/(Calculations!$C$13*Calculations!$C$13))*LN((Calculations!$C$8*(Calculations!$O90-Calculations!$C$13))/(Calculations!$O90*(Calculations!$C$8-Calculations!$C$13))))+'Reaction Information'!$J$21*10^-1*(Calculations!$M90-Calculations!$C$9)+'Reaction Information'!$K$21*10^2*LN((Calculations!$C$12+Calculations!$M90)/(Calculations!$C$12+Calculations!$C$9))+(1/(Calculations!$O90-Calculations!$C$13))*('Reaction Information'!$L$21*(Calculations!$M90-Calculations!$C$9)+'Reaction Information'!$M$21*10^4*LN((Calculations!$C$12+Calculations!$M90)/(Calculations!$C$12+Calculations!$C$9)))+calculateOmega(Calculations!M90,Calculations!N90,Calculations!Q90,'Reaction Information'!$C$21,'Reaction Information'!$P$21*10^5,'Reaction Information'!$Q$21)*((1/Calculations!$S90)-1)-'Reaction Information'!$P$21*10^5*((1/Calculations!$C$10)-1)+'Reaction Information'!$P$21*10^5*Calculations!$C$14*(Calculations!$O90-Calculations!$C$8))</f>
        <v>#N/A</v>
      </c>
      <c r="AI90" s="8" t="e">
        <f>IF(ISBLANK(Input!$AG$4),NA(),'Reaction Information'!$E$25-'Reaction Information'!$G$25*(Calculations!$O90-Calculations!$C$8)-'Reaction Information'!$N$25*(Calculations!$O90*LN(Calculations!$O90/Calculations!$C$8)-Calculations!$O90+Calculations!$C$8)-'Reaction Information'!$O$25*10^4*(((1/(Calculations!$O90-Calculations!$C$13))-(1/(Calculations!$C$8-Calculations!$C$13)))*((Calculations!$C$13-Calculations!$O90)/(Calculations!$C$13))-(Calculations!$O90/(Calculations!$C$13*Calculations!$C$13))*LN((Calculations!$C$8*(Calculations!$O90-Calculations!$C$13))/(Calculations!$O90*(Calculations!$C$8-Calculations!$C$13))))+'Reaction Information'!$J$25*10^-1*(Calculations!$M90-Calculations!$C$9)+'Reaction Information'!$K$25*10^2*LN((Calculations!$C$12+Calculations!$M90)/(Calculations!$C$12+Calculations!$C$9))+(1/(Calculations!$O90-Calculations!$C$13))*('Reaction Information'!$L$25*(Calculations!$M90-Calculations!$C$9)+'Reaction Information'!$M$25*10^4*LN((Calculations!$C$12+Calculations!$M90)/(Calculations!$C$12+Calculations!$C$9)))+calculateOmega(Calculations!M90,Calculations!N90,Calculations!Q90,'Reaction Information'!$C$25,'Reaction Information'!$P$25*10^5,'Reaction Information'!$Q$25)*((1/Calculations!$S90)-1)-'Reaction Information'!$P$25*10^5*((1/Calculations!$C$10)-1)+'Reaction Information'!$P$25*10^5*Calculations!$C$14*(Calculations!$O90-Calculations!$C$8))</f>
        <v>#N/A</v>
      </c>
      <c r="AJ90" s="8" t="e">
        <f>IF(ISBLANK(Input!$AJ$4),NA(),'Reaction Information'!$E$29-'Reaction Information'!$G$29*(Calculations!$O90-Calculations!$C$8)-'Reaction Information'!$N$29*(Calculations!$O90*LN(Calculations!$O90/Calculations!$C$8)-Calculations!$O90+Calculations!$C$8)-'Reaction Information'!$O$29*10^4*(((1/(Calculations!$O90-Calculations!$C$13))-(1/(Calculations!$C$8-Calculations!$C$13)))*((Calculations!$C$13-Calculations!$O90)/(Calculations!$C$13))-(Calculations!$O90/(Calculations!$C$13*Calculations!$C$13))*LN((Calculations!$C$8*(Calculations!$O90-Calculations!$C$13))/(Calculations!$O90*(Calculations!$C$8-Calculations!$C$13))))+'Reaction Information'!$J$29*10^-1*(Calculations!$M90-Calculations!$C$9)+'Reaction Information'!$K$29*10^2*LN((Calculations!$C$12+Calculations!$M90)/(Calculations!$C$12+Calculations!$C$9))+(1/(Calculations!$O90-Calculations!$C$13))*('Reaction Information'!$L$29*(Calculations!$M90-Calculations!$C$9)+'Reaction Information'!$M$29*10^4*LN((Calculations!$C$12+Calculations!$M90)/(Calculations!$C$12+Calculations!$C$9)))+calculateOmega(Calculations!M90,Calculations!N90,Calculations!Q90,'Reaction Information'!$C$29,'Reaction Information'!$P$29*10^5,'Reaction Information'!$Q$29)*((1/Calculations!$S90)-1)-'Reaction Information'!$P$29*10^5*((1/Calculations!$C$10)-1)+'Reaction Information'!$P$29*10^5*Calculations!$C$14*(Calculations!$O90-Calculations!$C$8))</f>
        <v>#N/A</v>
      </c>
      <c r="AK90" s="8" t="e">
        <f>IF(ISBLANK(Input!$AM$4),NA(),'Reaction Information'!$E$33-'Reaction Information'!$G$33*(Calculations!$O90-Calculations!$C$8)-'Reaction Information'!$N$33*(Calculations!$O90*LN(Calculations!$O90/Calculations!$C$8)-Calculations!$O90+Calculations!$C$8)-'Reaction Information'!$O$33*10^4*(((1/(Calculations!$O90-Calculations!$C$13))-(1/(Calculations!$C$8-Calculations!$C$13)))*((Calculations!$C$13-Calculations!$O90)/(Calculations!$C$13))-(Calculations!$O90/(Calculations!$C$13*Calculations!$C$13))*LN((Calculations!$C$8*(Calculations!$O90-Calculations!$C$13))/(Calculations!$O90*(Calculations!$C$8-Calculations!$C$13))))+'Reaction Information'!$J$33*10^-1*(Calculations!$M90-Calculations!$C$9)+'Reaction Information'!$K$33*10^2*LN((Calculations!$C$12+Calculations!$M90)/(Calculations!$C$12+Calculations!$C$9))+(1/(Calculations!$O90-Calculations!$C$13))*('Reaction Information'!$L$33*(Calculations!$M90-Calculations!$C$9)+'Reaction Information'!$M$33*10^4*LN((Calculations!$C$12+Calculations!$M90)/(Calculations!$C$12+Calculations!$C$9)))+calculateOmega(Calculations!M90,Calculations!N90,Calculations!Q90,'Reaction Information'!$C$33,'Reaction Information'!$P$33*10^5,'Reaction Information'!$Q$33)*((1/Calculations!$S90)-1)-'Reaction Information'!$P$33*10^5*((1/Calculations!$C$10)-1)+'Reaction Information'!$P$33*10^5*Calculations!$C$14*(Calculations!$O90-Calculations!$C$8))</f>
        <v>#N/A</v>
      </c>
      <c r="AL90" s="1">
        <f>Results!S92</f>
        <v>0</v>
      </c>
      <c r="AM90" s="1">
        <f>Results!T92</f>
        <v>0</v>
      </c>
      <c r="AN90" s="1">
        <f>Results!U92</f>
        <v>0</v>
      </c>
      <c r="AO90" s="1">
        <f>Results!V92</f>
        <v>0</v>
      </c>
      <c r="AP90" s="8" t="e">
        <f>IF(ISBLANK(Input!$BB$4),NA(),'Reaction Information'!$E$38-'Reaction Information'!$G$38*(Calculations!$O90-Calculations!$C$8)+'Reaction Information'!$I$38*(Calculations!$O90-Calculations!$C$8-Calculations!$O90*LN(Calculations!$O90/Calculations!$C$8))+'Reaction Information'!$J$38*0.001/2*(2*Calculations!$O90*Calculations!$C$8-Calculations!$O90^2-Calculations!$C$8^2) + 'Reaction Information'!$K$38*100000*(Calculations!$O90^2 + Calculations!$C$8^2 - 2*Calculations!$O90*Calculations!$C$8)/(2*Calculations!$O90*Calculations!$C$8^2))</f>
        <v>#N/A</v>
      </c>
      <c r="AQ90" s="8" t="e">
        <f>IF(ISBLANK(Input!$BE$4),NA(),'Reaction Information'!$E$42-'Reaction Information'!$G$42*(Calculations!$O90-Calculations!$C$8)+'Reaction Information'!$I$42*(Calculations!$O90-Calculations!$C$8-Calculations!$O90*LN(Calculations!$O90/Calculations!$C$8))+'Reaction Information'!$J$42*0.001/2*(2*Calculations!$O90*Calculations!$C$8-Calculations!$O90^2-Calculations!$C$8^2) + 'Reaction Information'!$K$42*100000*(Calculations!$O90^2 + Calculations!$C$8^2 - 2*Calculations!$O90*Calculations!$C$8)/(2*Calculations!$O90*Calculations!$C$8^2))</f>
        <v>#N/A</v>
      </c>
      <c r="AR90" s="8" t="e">
        <f>IF(AR$5="H2O", IF($D$24=3,IF(T90=0,NA(),T90),calculateGibbsOfWater(M90,N90,$D$24,$D$20,$D$19=3)),NA())</f>
        <v>#N/A</v>
      </c>
      <c r="AS90" s="8">
        <f>IF(ISBLANK(Input!$BK$4),NA(),'Reaction Information'!$E$46-'Reaction Information'!$G$46*(Calculations!O90-Calculations!$C$8)-'Reaction Information'!$N$46*(Calculations!O90*LN(Calculations!O90/Calculations!$C$8)-Calculations!O90+Calculations!$C$8)-'Reaction Information'!$O$46*10^4*(((1/(Calculations!O90-Calculations!$C$13))-(1/(Calculations!$C$8-Calculations!$C$13)))*((Calculations!$C$13-Calculations!O90)/(Calculations!$C$13))-(Calculations!O90/(Calculations!$C$13*Calculations!$C$13))*LN((Calculations!$C$8*(Calculations!O90-Calculations!$C$13))/(Calculations!O90*(Calculations!$C$8-Calculations!$C$13))))+'Reaction Information'!$J$46*10^-1*(Calculations!$M90-Calculations!$C$9)+'Reaction Information'!$K$46*10^2*LN((Calculations!$C$12+Calculations!$M90)/(Calculations!$C$12+Calculations!$C$9))+(1/(Calculations!O90-Calculations!$C$13))*('Reaction Information'!$L$46*(Calculations!$M90-Calculations!$C$9)+'Reaction Information'!$M$46*10^4*LN((Calculations!$C$12+Calculations!$M90)/(Calculations!$C$12+Calculations!$C$9)))+calculateOmega(Calculations!M90,Calculations!N90,Calculations!Q90,'Reaction Information'!$C$46,'Reaction Information'!$P$46*10^5,'Reaction Information'!$Q$46)*((1/Calculations!S90)-1)-'Reaction Information'!$P$46*10^5*((1/Calculations!$C$10)-1)+'Reaction Information'!$P$46*10^5*Calculations!$C$14*(Calculations!O90-Calculations!$C$8))</f>
        <v>0</v>
      </c>
      <c r="AT90" s="8">
        <f>IF(ISBLANK(Input!$BN$4),NA(),'Reaction Information'!$E$50-'Reaction Information'!$G$50*(Calculations!O90-Calculations!$C$8)-'Reaction Information'!$N$50*(Calculations!O90*LN(Calculations!O90/Calculations!$C$8)-Calculations!O90+Calculations!$C$8)-'Reaction Information'!$O$50*10^4*(((1/(Calculations!O90-Calculations!$C$13))-(1/(Calculations!$C$8-Calculations!$C$13)))*((Calculations!$C$13-Calculations!O90)/(Calculations!$C$13))-(Calculations!O90/(Calculations!$C$13*Calculations!$C$13))*LN((Calculations!$C$8*(Calculations!O90-Calculations!$C$13))/(Calculations!O90*(Calculations!$C$8-Calculations!$C$13))))+'Reaction Information'!$J$50*10^-1*(Calculations!$M90-Calculations!$C$9)+'Reaction Information'!$K$50*10^2*LN((Calculations!$C$12+Calculations!$M90)/(Calculations!$C$12+Calculations!$C$9))+(1/(Calculations!O90-Calculations!$C$13))*('Reaction Information'!$L$50*(Calculations!$M90-Calculations!$C$9)+'Reaction Information'!$M$50*10^4*LN((Calculations!$C$12+Calculations!$M90)/(Calculations!$C$12+Calculations!$C$9)))+calculateOmega(Calculations!M90,Calculations!N90,Calculations!Q90,'Reaction Information'!$C$50,'Reaction Information'!$P$50*10^5,'Reaction Information'!$Q$50)*((1/Calculations!S90)-1)-'Reaction Information'!$P$50*10^5*((1/Calculations!$C$10)-1)+'Reaction Information'!$P$50*10^5*Calculations!$C$14*(Calculations!O90-Calculations!$C$8))</f>
        <v>-140304.33690035099</v>
      </c>
      <c r="AU90" s="8" t="e">
        <f>IF(ISBLANK(Input!$BQ$4),NA(),'Reaction Information'!$E$54-'Reaction Information'!$G$54*(Calculations!$O90-Calculations!$C$8)-'Reaction Information'!$N$54*(Calculations!$O90*LN(Calculations!$O90/Calculations!$C$8)-Calculations!$O90+Calculations!$C$8)-'Reaction Information'!$O$54*10^4*(((1/(Calculations!$O90-Calculations!$C$13))-(1/(Calculations!$C$8-Calculations!$C$13)))*((Calculations!$C$13-Calculations!$O90)/(Calculations!$C$13))-(Calculations!$O90/(Calculations!$C$13*Calculations!$C$13))*LN((Calculations!$C$8*(Calculations!$O90-Calculations!$C$13))/(Calculations!$O90*(Calculations!$C$8-Calculations!$C$13))))+'Reaction Information'!$J$54*10^-1*(Calculations!$M90-Calculations!$C$9)+'Reaction Information'!$K$54*10^2*LN((Calculations!$C$12+Calculations!$M90)/(Calculations!$C$12+Calculations!$C$9))+(1/(Calculations!$O90-Calculations!$C$13))*('Reaction Information'!$L$54*(Calculations!$M90-Calculations!$C$9)+'Reaction Information'!$M$54*10^4*LN((Calculations!$C$12+Calculations!$M90)/(Calculations!$C$12+Calculations!$C$9)))+calculateOmega(Calculations!M90,Calculations!N90,Calculations!Q90,'Reaction Information'!$C$54,'Reaction Information'!$P$54*10^5,'Reaction Information'!$Q$54)*((1/Calculations!$S90)-1)-'Reaction Information'!$P$54*10^5*((1/Calculations!$C$10)-1)+'Reaction Information'!$P$54*10^5*Calculations!$C$14*(Calculations!$O90-Calculations!$C$8))</f>
        <v>#N/A</v>
      </c>
      <c r="AV90" s="8" t="e">
        <f>IF(ISBLANK(Input!$BT$4),NA(),'Reaction Information'!$E$58-'Reaction Information'!$G$58*(Calculations!$O90-Calculations!$C$8)-'Reaction Information'!$N$58*(Calculations!$O90*LN(Calculations!$O90/Calculations!$C$8)-Calculations!$O90+Calculations!$C$8)-'Reaction Information'!$O$58*10^4*(((1/(Calculations!$O90-Calculations!$C$13))-(1/(Calculations!$C$8-Calculations!$C$13)))*((Calculations!$C$13-Calculations!$O90)/(Calculations!$C$13))-(Calculations!$O90/(Calculations!$C$13*Calculations!$C$13))*LN((Calculations!$C$8*(Calculations!$O90-Calculations!$C$13))/(Calculations!$O90*(Calculations!$C$8-Calculations!$C$13))))+'Reaction Information'!$J$58*10^-1*(Calculations!$M90-Calculations!$C$9)+'Reaction Information'!$K$58*10^2*LN((Calculations!$C$12+Calculations!$M90)/(Calculations!$C$12+Calculations!$C$9))+(1/(Calculations!$O90-Calculations!$C$13))*('Reaction Information'!$L$58*(Calculations!$M90-Calculations!$C$9)+'Reaction Information'!$M$58*10^4*LN((Calculations!$C$12+Calculations!$M90)/(Calculations!$C$12+Calculations!$C$9)))+calculateOmega(Calculations!M90,Calculations!N90,Calculations!Q90,'Reaction Information'!$C$58,'Reaction Information'!$P$58*10^5,'Reaction Information'!$Q$58)*((1/Calculations!$S90)-1)-'Reaction Information'!$P$58*10^5*((1/Calculations!$C$10)-1)+'Reaction Information'!$P$58*10^5*Calculations!$C$14*(Calculations!$O90-Calculations!$C$8))</f>
        <v>#N/A</v>
      </c>
      <c r="AW90" s="8" t="e">
        <f>IF(ISBLANK(Input!$BW$4),NA(),'Reaction Information'!$E$62-'Reaction Information'!$G$62*(Calculations!$O90-Calculations!$C$8)-'Reaction Information'!$N$62*(Calculations!$O90*LN(Calculations!$O90/Calculations!$C$8)-Calculations!$O90+Calculations!$C$8)-'Reaction Information'!$O$62*10^4*(((1/(Calculations!$O90-Calculations!$C$13))-(1/(Calculations!$C$8-Calculations!$C$13)))*((Calculations!$C$13-Calculations!$O90)/(Calculations!$C$13))-(Calculations!$O90/(Calculations!$C$13*Calculations!$C$13))*LN((Calculations!$C$8*(Calculations!$O90-Calculations!$C$13))/(Calculations!$O90*(Calculations!$C$8-Calculations!$C$13))))+'Reaction Information'!$J$62*10^-1*(Calculations!$M90-Calculations!$C$9)+'Reaction Information'!$K$62*10^2*LN((Calculations!$C$12+Calculations!$M90)/(Calculations!$C$12+Calculations!$C$9))+(1/(Calculations!$O90-Calculations!$C$13))*('Reaction Information'!$L$62*(Calculations!$M90-Calculations!$C$9)+'Reaction Information'!$M$62*10^4*LN((Calculations!$C$12+Calculations!$M90)/(Calculations!$C$12+Calculations!$C$9)))+calculateOmega(Calculations!M90,Calculations!N90,Calculations!Q90,'Reaction Information'!$C$62,'Reaction Information'!$P$62*10^5,'Reaction Information'!$Q$62)*((1/Calculations!$S90)-1)-'Reaction Information'!$P$62*10^5*((1/Calculations!$C$10)-1)+'Reaction Information'!$P$62*10^5*Calculations!$C$14*(Calculations!$O90-Calculations!$C$8))</f>
        <v>#N/A</v>
      </c>
      <c r="AX90" s="8" t="e">
        <f>IF(ISBLANK(Input!$BZ$4),NA(),'Reaction Information'!$E$66-'Reaction Information'!$G$66*(Calculations!$O90-Calculations!$C$8)-'Reaction Information'!$N$66*(Calculations!$O90*LN(Calculations!$O90/Calculations!$C$8)-Calculations!$O90+Calculations!$C$8)-'Reaction Information'!$O$66*10^4*(((1/(Calculations!$O90-Calculations!$C$13))-(1/(Calculations!$C$8-Calculations!$C$13)))*((Calculations!$C$13-Calculations!$O90)/(Calculations!$C$13))-(Calculations!$O90/(Calculations!$C$13*Calculations!$C$13))*LN((Calculations!$C$8*(Calculations!$O90-Calculations!$C$13))/(Calculations!$O90*(Calculations!$C$8-Calculations!$C$13))))+'Reaction Information'!$J$66*10^-1*(Calculations!$M90-Calculations!$C$9)+'Reaction Information'!$K$66*10^2*LN((Calculations!$C$12+Calculations!$M90)/(Calculations!$C$12+Calculations!$C$9))+(1/(Calculations!$O90-Calculations!$C$13))*('Reaction Information'!$L$66*(Calculations!$M90-Calculations!$C$9)+'Reaction Information'!$M$66*10^4*LN((Calculations!$C$12+Calculations!$M90)/(Calculations!$C$12+Calculations!$C$9)))+calculateOmega(Calculations!M90,Calculations!N90,Calculations!Q90,'Reaction Information'!$C$66,'Reaction Information'!$P$66*10^5,'Reaction Information'!$Q$66)*((1/Calculations!$S90)-1)-'Reaction Information'!$P$66*10^5*((1/Calculations!$C$10)-1)+'Reaction Information'!$P$66*10^5*Calculations!$C$14*(Calculations!$O90-Calculations!$C$8))</f>
        <v>#N/A</v>
      </c>
      <c r="AY90" s="31">
        <f>(AL90*Input!$AO$4+AM90*Input!$AR$4+AN90*Input!$AU$4+AO90*Input!$AX$4+IF(ISNA(AP90),0,AP90*Input!$BA$4)+IF(ISNA(AQ90),0,AQ90*Input!$BD$4)+IF(ISNA(AR90),0,AR90*Input!$BG$4)+IF(ISNA(AS90),0,AS90*Input!$BJ$4)+IF(ISNA(AT90),0,AT90*Input!$BM$4)+IF(ISNA(AU90),0,AU90*Input!$BP$4)+IF(ISNA(AV90),0,AV90*Input!$BS$4)+IF(ISNA(AW90),0,AW90*Input!$BV$4)+IF(ISNA(AX90),0,AX90*Input!$BY$4))-(Y90*Input!$B$4+Z90*Input!$E$4+AA90*Input!$H$4+AB90*Input!$K$4+IF(ISNA(AC90),0,AC90*Input!$N$4)+IF(ISNA(AD90),0,AD90*Input!$Q$4)+IF(ISNA(AE90),0,AE90*Input!$T$4)+IF(ISNA(AF90),0,AF90*Input!$W$4)+IF(ISNA(AG90),0,AG90*Input!$Z$4)+IF(ISNA(AH90),0,AH90*Input!$AC$4)+IF(ISNA(AI90),0,AI90*Input!$AF$4)+IF(ISNA(AJ90),0,AJ90*Input!$AI$4)+IF(ISNA(AK90),0,AK90*Input!$AL$4))</f>
        <v>24558.697257462918</v>
      </c>
      <c r="AZ90" s="42">
        <f t="shared" si="20"/>
        <v>-5.2492576573885792</v>
      </c>
      <c r="BA90" s="1">
        <f t="shared" si="27"/>
        <v>750</v>
      </c>
      <c r="BB90" s="46">
        <f t="shared" si="28"/>
        <v>30000</v>
      </c>
      <c r="BC90" s="1"/>
      <c r="BD90" s="2">
        <f t="shared" si="29"/>
        <v>30000</v>
      </c>
      <c r="BE90" s="46">
        <f t="shared" si="30"/>
        <v>750</v>
      </c>
      <c r="BF90" s="1">
        <f>Results!AJ92</f>
        <v>0</v>
      </c>
      <c r="BG90" s="1">
        <f>Results!AK92</f>
        <v>0</v>
      </c>
      <c r="BH90" s="1">
        <f>Results!AL92</f>
        <v>0</v>
      </c>
      <c r="BI90" s="1">
        <f>Results!AM92</f>
        <v>0</v>
      </c>
      <c r="BJ90" s="1" t="e">
        <f>IF(OR(ISNA('Reaction Information'!$D$5), $N90 = "", $D$27 = FALSE, 'Reaction Information'!$D$5 = ""), NA(), 24.465)</f>
        <v>#N/A</v>
      </c>
      <c r="BK90" s="1" t="e">
        <f>IF(OR(ISNA('Reaction Information'!$D$9), $N90 = "", $D$27 = FALSE, 'Reaction Information'!$D$9 = ""), NA(), 24.465)</f>
        <v>#N/A</v>
      </c>
      <c r="BL90" s="8">
        <f t="shared" si="21"/>
        <v>15.099551030264651</v>
      </c>
      <c r="BM90" s="8">
        <f>IF(OR(ISBLANK(Input!$X$4),$D$27=FALSE),NA(),('Reaction Information'!$J$13/10+'Reaction Information'!$K$13*100/(Calculations!$C$12+Calculations!$M90)+('Reaction Information'!$L$13+'Reaction Information'!$M$13*10^4/(Calculations!$C$12+Calculations!$M90))/(Calculations!$O90-Calculations!$C$13) -calculateOmega(Calculations!$M90,Calculations!$N90,Calculations!$Q90,'Reaction Information'!$C$13,'Reaction Information'!$P$13*10^5,'Reaction Information'!$Q$13)*Calculations!$U90*10^-6 + (1/$S90 - 1)*calculate_domegadP(Calculations!$M90,Calculations!$N90,Calculations!$Q90,'Reaction Information'!$C$13,'Reaction Information'!$P$13*10^5,'Reaction Information'!$Q$13,$D$20,$D$19=3))*41.84)</f>
        <v>30.624855603950717</v>
      </c>
      <c r="BN90" s="8" t="e">
        <f>IF(OR(ISBLANK(Input!$AA$4),$D$27=FALSE),NA(),('Reaction Information'!$J$17/10+'Reaction Information'!$K$17*100/(Calculations!$C$12+Calculations!$M90)+('Reaction Information'!$L$17+'Reaction Information'!$M$17*10000/(Calculations!$C$12+Calculations!$M90))/(Calculations!$O90-Calculations!$C$13)-calculateOmega(Calculations!M90,Calculations!N90,Calculations!Q90,'Reaction Information'!$C$17,'Reaction Information'!$P$17*10^5,'Reaction Information'!$Q$17)*Calculations!$U90*10^-6 + (1/$S90 - 1)*calculate_domegadP(Calculations!M90,Calculations!N90,Calculations!Q90,'Reaction Information'!$C$17,'Reaction Information'!$P$17*10^5,'Reaction Information'!$Q$17,$D$20,$D$19=3))*41.84)</f>
        <v>#N/A</v>
      </c>
      <c r="BO90" s="8" t="e">
        <f>IF(OR(ISBLANK(Input!$AD$4),$D$27=FALSE),NA(),('Reaction Information'!$J$21/10+'Reaction Information'!$K$21*100/(Calculations!$C$12+Calculations!$M90)+('Reaction Information'!$L$21+'Reaction Information'!$M$21*10000/(Calculations!$C$12+Calculations!$M90))/(Calculations!$O90-Calculations!$C$13)-calculateOmega(Calculations!M90,Calculations!N90,Calculations!Q90,'Reaction Information'!$C$21,'Reaction Information'!$P$21*10^5,'Reaction Information'!$Q$21)*Calculations!$U90*10^-6 + (1/$S90 - 1)*calculate_domegadP(Calculations!M90,Calculations!N90,Calculations!Q90,'Reaction Information'!$C$21,'Reaction Information'!$P$21*10^5,'Reaction Information'!$Q$21,$D$20,$D$19=3))*41.84)</f>
        <v>#N/A</v>
      </c>
      <c r="BP90" s="8" t="e">
        <f>IF(OR(ISBLANK(Input!$AG$4),$D$27=FALSE),NA(),('Reaction Information'!$J$25/10+'Reaction Information'!$K$25*100/(Calculations!$C$12+Calculations!$M90)+('Reaction Information'!$L$25+'Reaction Information'!$M$25*10000/(Calculations!$C$12+Calculations!$M90))/(Calculations!$O90-Calculations!$C$13)-calculateOmega(Calculations!M90,Calculations!N90,Calculations!Q90,'Reaction Information'!$C$25,'Reaction Information'!$P$25*10^5,'Reaction Information'!$Q$25)*Calculations!$U90*10^-6 + (1/$S90 - 1)*calculate_domegadP(Calculations!M90,Calculations!N90,Calculations!Q90,'Reaction Information'!$C$25,'Reaction Information'!$P$25*10^5,'Reaction Information'!$Q$25,$D$20,$D$19=3))*41.84)</f>
        <v>#N/A</v>
      </c>
      <c r="BQ90" s="8" t="e">
        <f>IF(OR(ISBLANK(Input!$AJ$4),$D$27=FALSE),NA(),('Reaction Information'!$J$29/10+'Reaction Information'!$K$29*100/(Calculations!$C$12+Calculations!$M90)+('Reaction Information'!$L$29+'Reaction Information'!$M$29*10000/(Calculations!$C$12+Calculations!$M90))/(Calculations!$O90-Calculations!$C$13)-calculateOmega(Calculations!M90,Calculations!N90,Calculations!Q90,'Reaction Information'!$C$29,'Reaction Information'!$P$29*10^5,'Reaction Information'!$Q$29)*Calculations!$U90*10^-6 + (1/$S90 - 1)*calculate_domegadP(Calculations!M90,Calculations!N90,Calculations!Q90,'Reaction Information'!$C$29,'Reaction Information'!$P$29*10^5,'Reaction Information'!$Q$29,$D$20,$D$19=3))*41.84)</f>
        <v>#N/A</v>
      </c>
      <c r="BR90" s="8" t="e">
        <f>IF(OR(ISBLANK(Input!$AM$4),$D$27=FALSE),NA(),('Reaction Information'!$J$33/10+'Reaction Information'!$K$33*100/(Calculations!$C$12+Calculations!$M90)+('Reaction Information'!$L$33+'Reaction Information'!$M$33*10000/(Calculations!$C$12+Calculations!$M90))/(Calculations!$O90-Calculations!$C$13)-calculateOmega(Calculations!M90,Calculations!N90,Calculations!Q90,'Reaction Information'!$C$33,'Reaction Information'!$P$33*10^5,'Reaction Information'!$Q$33)*Calculations!$U90*10^-6 + (1/$S90 - 1)*calculate_domegadP(Calculations!M90,Calculations!N90,Calculations!Q90,'Reaction Information'!$C$33,'Reaction Information'!$P$33*10^5,'Reaction Information'!$Q$33,$D$20,$D$19=3))*41.84)</f>
        <v>#N/A</v>
      </c>
      <c r="BS90" s="1">
        <f>Results!AW92</f>
        <v>0</v>
      </c>
      <c r="BT90" s="1">
        <f>Results!AX92</f>
        <v>0</v>
      </c>
      <c r="BU90" s="1">
        <f>Results!AY92</f>
        <v>0</v>
      </c>
      <c r="BV90" s="1">
        <f>Results!AZ92</f>
        <v>0</v>
      </c>
      <c r="BW90" s="1" t="e">
        <f>IF(OR(ISNA('Reaction Information'!$D$38), $N90 = "", $D$27 = FALSE, 'Reaction Information'!$D$38 = ""), NA(), 24.465)</f>
        <v>#N/A</v>
      </c>
      <c r="BX90" s="1" t="e">
        <f>IF(OR(ISNA('Reaction Information'!$D$42), $N90 = "", $D$27 = FALSE, 'Reaction Information'!$D$42 = ""), NA(), 24.465)</f>
        <v>#N/A</v>
      </c>
      <c r="BY90" s="8" t="e">
        <f t="shared" si="22"/>
        <v>#N/A</v>
      </c>
      <c r="BZ90" s="8">
        <f>IF(OR(ISBLANK(Input!$BK$4),$D$27=FALSE),NA(),('Reaction Information'!$J$46/10+'Reaction Information'!$K$46*100/(Calculations!$C$12+Calculations!$M90)+('Reaction Information'!$L$46+'Reaction Information'!$M$46*10000/(Calculations!$C$12+Calculations!$M90))/(Calculations!$O90-Calculations!$C$13)-calculateOmega(Calculations!M90,Calculations!N90,Calculations!Q90,'Reaction Information'!$C$46,'Reaction Information'!$P$46*10^5,'Reaction Information'!$Q$46)*Calculations!$U90*10^-6 + (1/$S90 - 1)*calculate_domegadP(Calculations!M90,Calculations!N90,Calculations!Q90,'Reaction Information'!$C$46,'Reaction Information'!$P$46*10^5,'Reaction Information'!$Q$46,$D$20,$D$19=3))*41.84)</f>
        <v>0</v>
      </c>
      <c r="CA90" s="8">
        <f>IF(OR(ISBLANK(Input!$BN$4),$D$27=FALSE),NA(),('Reaction Information'!$J$50/10+'Reaction Information'!$K$50*100/(Calculations!$C$12+Calculations!$M90)+('Reaction Information'!$L$50+'Reaction Information'!$M$50*10000/(Calculations!$C$12+Calculations!$M90))/(Calculations!$O90-Calculations!$C$13)-calculateOmega(Calculations!M90,Calculations!N90,Calculations!Q90,'Reaction Information'!$C$50,'Reaction Information'!$P$50*10^5,'Reaction Information'!$Q$50)*Calculations!$U90*10^-6 + (1/$S90 - 1)*calculate_domegadP(Calculations!M90,Calculations!N90,Calculations!Q90,'Reaction Information'!$C$50,'Reaction Information'!$P$50*10^5,'Reaction Information'!$Q$50,$D$20,$D$19=3))*41.84)</f>
        <v>30.383233623018636</v>
      </c>
      <c r="CB90" s="8" t="e">
        <f>IF(OR(ISBLANK(Input!$BQ$4),$D$27=FALSE),NA(),('Reaction Information'!$J$54/10+'Reaction Information'!$K$54*100/(Calculations!$C$12+Calculations!$M90)+('Reaction Information'!$L$54+'Reaction Information'!$M$54*10000/(Calculations!$C$12+Calculations!$M90))/(Calculations!$O90-Calculations!$C$13)-calculateOmega(Calculations!M90,Calculations!N90,Calculations!Q90,'Reaction Information'!$C$54,'Reaction Information'!$P$54*10^5,'Reaction Information'!$Q$54)*Calculations!$U90*10^-6 + (1/$S90 - 1)*calculate_domegadP(Calculations!M90,Calculations!N90,Calculations!Q90,'Reaction Information'!$C$54,'Reaction Information'!$P$54*10^5,'Reaction Information'!$Q$54,$D$20,$D$19=3))*41.84)</f>
        <v>#N/A</v>
      </c>
      <c r="CC90" s="8" t="e">
        <f>IF(OR(ISBLANK(Input!$BT$4),$D$27=FALSE),NA(),('Reaction Information'!$J$58/10+'Reaction Information'!$K$58*100/(Calculations!$C$12+Calculations!$M90)+('Reaction Information'!$L$58+'Reaction Information'!$M$58*10000/(Calculations!$C$12+Calculations!$M90))/(Calculations!$O90-Calculations!$C$13)-calculateOmega(Calculations!M90,Calculations!N90,Calculations!Q90,'Reaction Information'!$C$58,'Reaction Information'!$P$58*10^5,'Reaction Information'!$Q$58)*Calculations!$U90*10^-6 + (1/$S90 - 1)*calculate_domegadP(Calculations!M90,Calculations!N90,Calculations!Q90,'Reaction Information'!$C$58,'Reaction Information'!$P$58*10^5,'Reaction Information'!$Q$58,$D$20,$D$19=3))*41.84)</f>
        <v>#N/A</v>
      </c>
      <c r="CD90" s="8" t="e">
        <f>IF(OR(ISBLANK(Input!$BW$4),$D$27=FALSE),NA(),('Reaction Information'!$J$62/10+'Reaction Information'!$K$62*100/(Calculations!$C$12+Calculations!$M90)+('Reaction Information'!$L$62+'Reaction Information'!$M$62*10000/(Calculations!$C$12+Calculations!$M90))/(Calculations!$O90-Calculations!$C$13)-calculateOmega(Calculations!M90,Calculations!N90,Calculations!Q90,'Reaction Information'!$C$62,'Reaction Information'!$P$62*10^5,'Reaction Information'!$Q$62)*Calculations!$U90*10^-6 + (1/$S90 - 1)*calculate_domegadP(Calculations!M90,Calculations!N90,Calculations!Q90,'Reaction Information'!$C$62,'Reaction Information'!$P$62*10^5,'Reaction Information'!$Q$62,$D$20,$D$19=3))*41.84)</f>
        <v>#N/A</v>
      </c>
      <c r="CE90" s="8" t="e">
        <f>IF(OR(ISBLANK(Input!$BZ$4),$D$27=FALSE),NA(),('Reaction Information'!$J$66/10+'Reaction Information'!$K$66*100/(Calculations!$C$12+Calculations!$M90)+('Reaction Information'!$L$66+'Reaction Information'!$M$66*10000/(Calculations!$C$12+Calculations!$M90))/(Calculations!$O90-Calculations!$C$13)-calculateOmega(Calculations!M90,Calculations!N90,Calculations!Q90,'Reaction Information'!$C$66,'Reaction Information'!$P$66*10^5,'Reaction Information'!$Q$66)*Calculations!$U90*10^-6 + (1/$S90 - 1)*calculate_domegadP(Calculations!M90,Calculations!N90,Calculations!Q90,'Reaction Information'!$C$66,'Reaction Information'!$P$66*10^5,'Reaction Information'!$Q$66,$D$20,$D$19=3))*41.84)</f>
        <v>#N/A</v>
      </c>
      <c r="CF90" s="31">
        <f>(BS90*Input!$AO$4+BT90*Input!$AR$4+BU90*Input!$AU$4+BV90*Input!$AX$4+IF(ISNA(BW90),0,BW90*Input!$BA$4)+IF(ISNA(BX90),0,BX90*Input!$BD$4)+IF(ISNA(BY90),0,BY90*Input!$BG$4)+IF(ISNA(BZ90),0,BZ90*Input!$BJ$4)+IF(ISNA(CA90),0,CA90*Input!$BM$4)+IF(ISNA(CB90),0,CB90*Input!$BP$4)+IF(ISNA(CC90),0,CC90*Input!$BS$4)+IF(ISNA(CD90),0,CD90*Input!$BV$4)+IF(ISNA(CE90),0,CE90*Input!$BY$4))-(BF90*Input!$B$4+BG90*Input!$E$4+BH90*Input!$H$4+BI90*Input!$K$4+IF(ISNA(BJ90),0,BJ90*Input!$N$4)+IF(ISNA(BK90),0,BK90*Input!$Q$4)+IF(ISNA(BL90),0,BL90*Input!$T$4)+IF(ISNA(BM90),0,BM90*Input!$W$4)+IF(ISNA(BN90),0,BN90*Input!$Z$4)+IF(ISNA(BO90),0,BO90*Input!$AC$4)+IF(ISNA(BP90),0,BP90*Input!$AF$4)+IF(ISNA(BQ90),0,BQ90*Input!$AI$4)+IF(ISNA(BR90),0,BR90*Input!$AL$4))</f>
        <v>-15.341173011196734</v>
      </c>
      <c r="CG90" s="1">
        <f t="shared" si="31"/>
        <v>750</v>
      </c>
      <c r="CH90" s="46">
        <f t="shared" si="32"/>
        <v>30000</v>
      </c>
      <c r="CI90" s="1"/>
    </row>
    <row r="91" spans="1:87" x14ac:dyDescent="0.2">
      <c r="A91" s="1"/>
      <c r="B91" s="1"/>
      <c r="C91" s="1"/>
      <c r="D91" s="1"/>
      <c r="E91" s="1"/>
      <c r="F91" s="2">
        <v>86</v>
      </c>
      <c r="G91" s="1" t="str">
        <f>IF(ISBLANK(Input!CB91), "", Input!CB91*1000)</f>
        <v/>
      </c>
      <c r="H91" s="1" t="str">
        <f>IF(ISBLANK(Input!CC91), "", Input!CC91)</f>
        <v/>
      </c>
      <c r="I91" s="1">
        <f>IF(Input!$CF$5 + Input!$CF$6*(FLOOR((Calculations!$F91-1)/(FLOOR((Input!$CF$12-Input!$CF$10)/Input!$CF$11,1)+1),1)) &gt; Input!$CF$7, "", (Input!$CF$5 + Input!$CF$6*(FLOOR((Calculations!$F91-1)/(FLOOR((Input!$CF$12-Input!$CF$10)/Input!$CF$11,1)+1),1)))*1000)</f>
        <v>30000</v>
      </c>
      <c r="J91" s="1">
        <f>IF(Calculations!I91 = "", "", Input!$CF$10 + Input!$CF$11*(Calculations!$F91-1) - (FLOOR((Input!$CF$12-Input!$CF$10)/Input!$CF$11,1)+1)*Input!$CF$11*FLOOR((Calculations!$F91-1)/(FLOOR((Input!$CF$12-Input!$CF$10)/Input!$CF$11,1)+1),1))</f>
        <v>800</v>
      </c>
      <c r="K91" s="8" t="str">
        <f t="shared" si="33"/>
        <v/>
      </c>
      <c r="L91" s="117" t="str">
        <f>IF(OR(Input!$CJ$5 + Input!$CJ$6*(Calculations!F91-1) &gt; Input!$CJ$7, Input!$CJ$5 + Input!$CJ$6*(Calculations!F91-1) &gt; 350), "", Input!$CJ$5 + Input!$CJ$6*(Calculations!F91-1))</f>
        <v/>
      </c>
      <c r="M91" s="1">
        <f t="shared" si="23"/>
        <v>30000</v>
      </c>
      <c r="N91" s="1">
        <f t="shared" si="24"/>
        <v>800</v>
      </c>
      <c r="O91" s="1">
        <f t="shared" si="19"/>
        <v>1073.1500000000001</v>
      </c>
      <c r="P91" s="1" t="e">
        <f>IF(OR($D$20=3,AND($D$21=TRUE,M91&lt;1000)),INDEX('Water Density'!$C$6:$CX$120,MATCH(Calculations!N91,'Water Density'!$B$6:$B$120),MATCH(Calculations!M91/1000,'Water Density'!$C$5:$CX$5)),NA())</f>
        <v>#N/A</v>
      </c>
      <c r="Q91" s="182">
        <f>IF(OR($D$20=3,AND($D$21=TRUE,M91&lt;1000)), IF(P91&lt;&gt;0,P91,NA()), calculateDensity(M91,N91,$D$20,0.01,$D$19 = 3))</f>
        <v>1.1786524161392453</v>
      </c>
      <c r="R91" s="1" t="e">
        <f>IF($D$22=5,INDEX('Dielectric Constant'!$C$6:$CX$120,MATCH(Calculations!N91,'Dielectric Constant'!$B$6:$B$120),MATCH(Calculations!M91/1000,'Dielectric Constant'!$C$5:$CX$5)),NA())</f>
        <v>#N/A</v>
      </c>
      <c r="S91" s="58">
        <f>IF($D$22=5, IF(R91&lt;&gt;0,R91,NA()), IF(AND($D$23,M91&lt;=5000,$D$19 &lt;&gt; 3),calculateEpsilon(Q91,N91,1,FALSE),calculateEpsilon(Q91,N91,$D$22,$D$19 = 3)))</f>
        <v>19.563445149258779</v>
      </c>
      <c r="T91" s="1" t="e">
        <f>IF($D$24=3,INDEX('Water Free Energy'!$C$6:$CX$120,MATCH(Calculations!N91,'Water Free Energy'!$B$6:$B$120),MATCH(Calculations!M91/1000,'Water Free Energy'!$C$5:$CX$5)),NA())</f>
        <v>#N/A</v>
      </c>
      <c r="U91" s="179">
        <f>IF($D$27,calculateQ(M91,N91,Q91,$D$20,$D$22,$D$19=3)*10^6,NA())</f>
        <v>0.34893821591460777</v>
      </c>
      <c r="V91"/>
      <c r="W91" s="2">
        <f t="shared" si="25"/>
        <v>30000</v>
      </c>
      <c r="X91" s="1">
        <f t="shared" si="26"/>
        <v>800</v>
      </c>
      <c r="Y91" s="1">
        <f>Results!F93</f>
        <v>0</v>
      </c>
      <c r="Z91" s="1">
        <f>Results!G93</f>
        <v>0</v>
      </c>
      <c r="AA91" s="1">
        <f>Results!H93</f>
        <v>0</v>
      </c>
      <c r="AB91" s="1">
        <f>Results!I93</f>
        <v>0</v>
      </c>
      <c r="AC91" s="1" t="e">
        <f>IF(ISBLANK(Input!$O$4),NA(),'Reaction Information'!$E$5-'Reaction Information'!$G$5*(Calculations!$O91-Calculations!$C$8)+'Reaction Information'!$I$5*(Calculations!$O91-Calculations!$C$8-Calculations!$O91*LN(Calculations!$O91/Calculations!$C$8))+'Reaction Information'!$J$5*0.001/2*(2*Calculations!$O91*Calculations!$C$8-Calculations!$O91^2-Calculations!$C$8^2) + 'Reaction Information'!$K$5*100000*(Calculations!$O91^2 + Calculations!$C$8^2 - 2*Calculations!$O91*Calculations!$C$8)/(2*Calculations!$O91*Calculations!$C$8^2))</f>
        <v>#N/A</v>
      </c>
      <c r="AD91" s="8" t="e">
        <f>IF(ISBLANK(Input!$R$4),NA(),'Reaction Information'!$E$9-'Reaction Information'!$G$9*(Calculations!$O91-Calculations!$C$8)+'Reaction Information'!$I$9*(Calculations!$O91-Calculations!$C$8-Calculations!$O91*LN(Calculations!$O91/Calculations!$C$8))+'Reaction Information'!$J$9*0.001/2*(2*Calculations!$O91*Calculations!$C$8-Calculations!$O91^2-Calculations!$C$8^2) + 'Reaction Information'!$K$9*100000*(Calculations!$O91^2 + Calculations!$C$8^2 - 2*Calculations!$O91*Calculations!$C$8)/(2*Calculations!$O91*Calculations!$C$8^2))</f>
        <v>#N/A</v>
      </c>
      <c r="AE91" s="8">
        <f>IF(AE$5="H2O",IF($D$24=3,IF(T91=0,NA(),T91),calculateGibbsOfWater(M91,N91,$D$24,$D$20,$D$19=3)),NA())</f>
        <v>-65662.185871198046</v>
      </c>
      <c r="AF91" s="8">
        <f>IF(ISBLANK(Input!$X$4),NA(),'Reaction Information'!$E$13-'Reaction Information'!$G$13*(Calculations!O91-Calculations!$C$8)-'Reaction Information'!$N$13*(Calculations!O91*LN(Calculations!O91/Calculations!$C$8)-Calculations!O91+Calculations!$C$8)-'Reaction Information'!$O$13*10^4*(((1/(Calculations!O91-Calculations!$C$13))-(1/(Calculations!$C$8-Calculations!$C$13)))*((Calculations!$C$13-Calculations!O91)/(Calculations!$C$13))-(Calculations!O91/(Calculations!$C$13*Calculations!$C$13))*LN((Calculations!$C$8*(Calculations!O91-Calculations!$C$13))/(Calculations!O91*(Calculations!$C$8-Calculations!$C$13))))+'Reaction Information'!$J$13*10^-1*(Calculations!M91-Calculations!$C$9)+'Reaction Information'!$K$13*10^2*LN((Calculations!$C$12+Calculations!M91)/(Calculations!$C$12+Calculations!$C$9))+(1/(Calculations!O91-Calculations!$C$13))*('Reaction Information'!$L$13*(Calculations!M91-Calculations!$C$9)+'Reaction Information'!$M$13*10^4*LN((Calculations!$C$12+Calculations!M91)/(Calculations!$C$12+Calculations!$C$9)))+calculateOmega(Calculations!M91,Calculations!N91,Calculations!Q91,'Reaction Information'!$C$13,'Reaction Information'!$P$13*10^5,'Reaction Information'!$Q$13)*((1/Calculations!S91)-1)-'Reaction Information'!$P$13*10^5*((1/Calculations!$C$10)-1)+'Reaction Information'!$P$13*10^5*Calculations!$C$14*(Calculations!O91-Calculations!$C$8))</f>
        <v>-103233.81870380024</v>
      </c>
      <c r="AG91" s="8" t="e">
        <f>IF(ISBLANK(Input!$AA$4),NA(),'Reaction Information'!$E$17-'Reaction Information'!$G$17*(Calculations!$O91-Calculations!$C$8)-'Reaction Information'!$N$17*(Calculations!$O91*LN(Calculations!$O91/Calculations!$C$8)-Calculations!$O91+Calculations!$C$8)-'Reaction Information'!$O$17*10^4*(((1/(Calculations!$O91-Calculations!$C$13))-(1/(Calculations!$C$8-Calculations!$C$13)))*((Calculations!$C$13-Calculations!$O91)/(Calculations!$C$13))-(Calculations!$O91/(Calculations!$C$13*Calculations!$C$13))*LN((Calculations!$C$8*(Calculations!$O91-Calculations!$C$13))/(Calculations!$O91*(Calculations!$C$8-Calculations!$C$13))))+'Reaction Information'!$J$17*10^-1*(Calculations!$M91-Calculations!$C$9)+'Reaction Information'!$K$17*10^2*LN((Calculations!$C$12+Calculations!$M91)/(Calculations!$C$12+Calculations!$C$9))+(1/(Calculations!$O91-Calculations!$C$13))*('Reaction Information'!$L$17*(Calculations!$M91-Calculations!$C$9)+'Reaction Information'!$M$17*10^4*LN((Calculations!$C$12+Calculations!$M91)/(Calculations!$C$12+Calculations!$C$9)))+calculateOmega(Calculations!M91,Calculations!N91,Calculations!Q91,'Reaction Information'!$C$17,'Reaction Information'!$P$17*10^5,'Reaction Information'!$Q$17)*((1/Calculations!$S91)-1)-'Reaction Information'!$P$17*10^5*((1/Calculations!$C$10)-1)+'Reaction Information'!$P$17*10^5*Calculations!$C$14*(Calculations!$O91-Calculations!$C$8))</f>
        <v>#N/A</v>
      </c>
      <c r="AH91" s="8" t="e">
        <f>IF(ISBLANK(Input!$AD$4),NA(),'Reaction Information'!$E$21-'Reaction Information'!$G$21*(Calculations!$O91-Calculations!$C$8)-'Reaction Information'!$N$21*(Calculations!$O91*LN(Calculations!$O91/Calculations!$C$8)-Calculations!$O91+Calculations!$C$8)-'Reaction Information'!$O$21*10^4*(((1/(Calculations!$O91-Calculations!$C$13))-(1/(Calculations!$C$8-Calculations!$C$13)))*((Calculations!$C$13-Calculations!$O91)/(Calculations!$C$13))-(Calculations!$O91/(Calculations!$C$13*Calculations!$C$13))*LN((Calculations!$C$8*(Calculations!$O91-Calculations!$C$13))/(Calculations!$O91*(Calculations!$C$8-Calculations!$C$13))))+'Reaction Information'!$J$21*10^-1*(Calculations!$M91-Calculations!$C$9)+'Reaction Information'!$K$21*10^2*LN((Calculations!$C$12+Calculations!$M91)/(Calculations!$C$12+Calculations!$C$9))+(1/(Calculations!$O91-Calculations!$C$13))*('Reaction Information'!$L$21*(Calculations!$M91-Calculations!$C$9)+'Reaction Information'!$M$21*10^4*LN((Calculations!$C$12+Calculations!$M91)/(Calculations!$C$12+Calculations!$C$9)))+calculateOmega(Calculations!M91,Calculations!N91,Calculations!Q91,'Reaction Information'!$C$21,'Reaction Information'!$P$21*10^5,'Reaction Information'!$Q$21)*((1/Calculations!$S91)-1)-'Reaction Information'!$P$21*10^5*((1/Calculations!$C$10)-1)+'Reaction Information'!$P$21*10^5*Calculations!$C$14*(Calculations!$O91-Calculations!$C$8))</f>
        <v>#N/A</v>
      </c>
      <c r="AI91" s="8" t="e">
        <f>IF(ISBLANK(Input!$AG$4),NA(),'Reaction Information'!$E$25-'Reaction Information'!$G$25*(Calculations!$O91-Calculations!$C$8)-'Reaction Information'!$N$25*(Calculations!$O91*LN(Calculations!$O91/Calculations!$C$8)-Calculations!$O91+Calculations!$C$8)-'Reaction Information'!$O$25*10^4*(((1/(Calculations!$O91-Calculations!$C$13))-(1/(Calculations!$C$8-Calculations!$C$13)))*((Calculations!$C$13-Calculations!$O91)/(Calculations!$C$13))-(Calculations!$O91/(Calculations!$C$13*Calculations!$C$13))*LN((Calculations!$C$8*(Calculations!$O91-Calculations!$C$13))/(Calculations!$O91*(Calculations!$C$8-Calculations!$C$13))))+'Reaction Information'!$J$25*10^-1*(Calculations!$M91-Calculations!$C$9)+'Reaction Information'!$K$25*10^2*LN((Calculations!$C$12+Calculations!$M91)/(Calculations!$C$12+Calculations!$C$9))+(1/(Calculations!$O91-Calculations!$C$13))*('Reaction Information'!$L$25*(Calculations!$M91-Calculations!$C$9)+'Reaction Information'!$M$25*10^4*LN((Calculations!$C$12+Calculations!$M91)/(Calculations!$C$12+Calculations!$C$9)))+calculateOmega(Calculations!M91,Calculations!N91,Calculations!Q91,'Reaction Information'!$C$25,'Reaction Information'!$P$25*10^5,'Reaction Information'!$Q$25)*((1/Calculations!$S91)-1)-'Reaction Information'!$P$25*10^5*((1/Calculations!$C$10)-1)+'Reaction Information'!$P$25*10^5*Calculations!$C$14*(Calculations!$O91-Calculations!$C$8))</f>
        <v>#N/A</v>
      </c>
      <c r="AJ91" s="8" t="e">
        <f>IF(ISBLANK(Input!$AJ$4),NA(),'Reaction Information'!$E$29-'Reaction Information'!$G$29*(Calculations!$O91-Calculations!$C$8)-'Reaction Information'!$N$29*(Calculations!$O91*LN(Calculations!$O91/Calculations!$C$8)-Calculations!$O91+Calculations!$C$8)-'Reaction Information'!$O$29*10^4*(((1/(Calculations!$O91-Calculations!$C$13))-(1/(Calculations!$C$8-Calculations!$C$13)))*((Calculations!$C$13-Calculations!$O91)/(Calculations!$C$13))-(Calculations!$O91/(Calculations!$C$13*Calculations!$C$13))*LN((Calculations!$C$8*(Calculations!$O91-Calculations!$C$13))/(Calculations!$O91*(Calculations!$C$8-Calculations!$C$13))))+'Reaction Information'!$J$29*10^-1*(Calculations!$M91-Calculations!$C$9)+'Reaction Information'!$K$29*10^2*LN((Calculations!$C$12+Calculations!$M91)/(Calculations!$C$12+Calculations!$C$9))+(1/(Calculations!$O91-Calculations!$C$13))*('Reaction Information'!$L$29*(Calculations!$M91-Calculations!$C$9)+'Reaction Information'!$M$29*10^4*LN((Calculations!$C$12+Calculations!$M91)/(Calculations!$C$12+Calculations!$C$9)))+calculateOmega(Calculations!M91,Calculations!N91,Calculations!Q91,'Reaction Information'!$C$29,'Reaction Information'!$P$29*10^5,'Reaction Information'!$Q$29)*((1/Calculations!$S91)-1)-'Reaction Information'!$P$29*10^5*((1/Calculations!$C$10)-1)+'Reaction Information'!$P$29*10^5*Calculations!$C$14*(Calculations!$O91-Calculations!$C$8))</f>
        <v>#N/A</v>
      </c>
      <c r="AK91" s="8" t="e">
        <f>IF(ISBLANK(Input!$AM$4),NA(),'Reaction Information'!$E$33-'Reaction Information'!$G$33*(Calculations!$O91-Calculations!$C$8)-'Reaction Information'!$N$33*(Calculations!$O91*LN(Calculations!$O91/Calculations!$C$8)-Calculations!$O91+Calculations!$C$8)-'Reaction Information'!$O$33*10^4*(((1/(Calculations!$O91-Calculations!$C$13))-(1/(Calculations!$C$8-Calculations!$C$13)))*((Calculations!$C$13-Calculations!$O91)/(Calculations!$C$13))-(Calculations!$O91/(Calculations!$C$13*Calculations!$C$13))*LN((Calculations!$C$8*(Calculations!$O91-Calculations!$C$13))/(Calculations!$O91*(Calculations!$C$8-Calculations!$C$13))))+'Reaction Information'!$J$33*10^-1*(Calculations!$M91-Calculations!$C$9)+'Reaction Information'!$K$33*10^2*LN((Calculations!$C$12+Calculations!$M91)/(Calculations!$C$12+Calculations!$C$9))+(1/(Calculations!$O91-Calculations!$C$13))*('Reaction Information'!$L$33*(Calculations!$M91-Calculations!$C$9)+'Reaction Information'!$M$33*10^4*LN((Calculations!$C$12+Calculations!$M91)/(Calculations!$C$12+Calculations!$C$9)))+calculateOmega(Calculations!M91,Calculations!N91,Calculations!Q91,'Reaction Information'!$C$33,'Reaction Information'!$P$33*10^5,'Reaction Information'!$Q$33)*((1/Calculations!$S91)-1)-'Reaction Information'!$P$33*10^5*((1/Calculations!$C$10)-1)+'Reaction Information'!$P$33*10^5*Calculations!$C$14*(Calculations!$O91-Calculations!$C$8))</f>
        <v>#N/A</v>
      </c>
      <c r="AL91" s="1">
        <f>Results!S93</f>
        <v>0</v>
      </c>
      <c r="AM91" s="1">
        <f>Results!T93</f>
        <v>0</v>
      </c>
      <c r="AN91" s="1">
        <f>Results!U93</f>
        <v>0</v>
      </c>
      <c r="AO91" s="1">
        <f>Results!V93</f>
        <v>0</v>
      </c>
      <c r="AP91" s="8" t="e">
        <f>IF(ISBLANK(Input!$BB$4),NA(),'Reaction Information'!$E$38-'Reaction Information'!$G$38*(Calculations!$O91-Calculations!$C$8)+'Reaction Information'!$I$38*(Calculations!$O91-Calculations!$C$8-Calculations!$O91*LN(Calculations!$O91/Calculations!$C$8))+'Reaction Information'!$J$38*0.001/2*(2*Calculations!$O91*Calculations!$C$8-Calculations!$O91^2-Calculations!$C$8^2) + 'Reaction Information'!$K$38*100000*(Calculations!$O91^2 + Calculations!$C$8^2 - 2*Calculations!$O91*Calculations!$C$8)/(2*Calculations!$O91*Calculations!$C$8^2))</f>
        <v>#N/A</v>
      </c>
      <c r="AQ91" s="8" t="e">
        <f>IF(ISBLANK(Input!$BE$4),NA(),'Reaction Information'!$E$42-'Reaction Information'!$G$42*(Calculations!$O91-Calculations!$C$8)+'Reaction Information'!$I$42*(Calculations!$O91-Calculations!$C$8-Calculations!$O91*LN(Calculations!$O91/Calculations!$C$8))+'Reaction Information'!$J$42*0.001/2*(2*Calculations!$O91*Calculations!$C$8-Calculations!$O91^2-Calculations!$C$8^2) + 'Reaction Information'!$K$42*100000*(Calculations!$O91^2 + Calculations!$C$8^2 - 2*Calculations!$O91*Calculations!$C$8)/(2*Calculations!$O91*Calculations!$C$8^2))</f>
        <v>#N/A</v>
      </c>
      <c r="AR91" s="8" t="e">
        <f>IF(AR$5="H2O", IF($D$24=3,IF(T91=0,NA(),T91),calculateGibbsOfWater(M91,N91,$D$24,$D$20,$D$19=3)),NA())</f>
        <v>#N/A</v>
      </c>
      <c r="AS91" s="8">
        <f>IF(ISBLANK(Input!$BK$4),NA(),'Reaction Information'!$E$46-'Reaction Information'!$G$46*(Calculations!O91-Calculations!$C$8)-'Reaction Information'!$N$46*(Calculations!O91*LN(Calculations!O91/Calculations!$C$8)-Calculations!O91+Calculations!$C$8)-'Reaction Information'!$O$46*10^4*(((1/(Calculations!O91-Calculations!$C$13))-(1/(Calculations!$C$8-Calculations!$C$13)))*((Calculations!$C$13-Calculations!O91)/(Calculations!$C$13))-(Calculations!O91/(Calculations!$C$13*Calculations!$C$13))*LN((Calculations!$C$8*(Calculations!O91-Calculations!$C$13))/(Calculations!O91*(Calculations!$C$8-Calculations!$C$13))))+'Reaction Information'!$J$46*10^-1*(Calculations!$M91-Calculations!$C$9)+'Reaction Information'!$K$46*10^2*LN((Calculations!$C$12+Calculations!$M91)/(Calculations!$C$12+Calculations!$C$9))+(1/(Calculations!O91-Calculations!$C$13))*('Reaction Information'!$L$46*(Calculations!$M91-Calculations!$C$9)+'Reaction Information'!$M$46*10^4*LN((Calculations!$C$12+Calculations!$M91)/(Calculations!$C$12+Calculations!$C$9)))+calculateOmega(Calculations!M91,Calculations!N91,Calculations!Q91,'Reaction Information'!$C$46,'Reaction Information'!$P$46*10^5,'Reaction Information'!$Q$46)*((1/Calculations!S91)-1)-'Reaction Information'!$P$46*10^5*((1/Calculations!$C$10)-1)+'Reaction Information'!$P$46*10^5*Calculations!$C$14*(Calculations!O91-Calculations!$C$8))</f>
        <v>0</v>
      </c>
      <c r="AT91" s="8">
        <f>IF(ISBLANK(Input!$BN$4),NA(),'Reaction Information'!$E$50-'Reaction Information'!$G$50*(Calculations!O91-Calculations!$C$8)-'Reaction Information'!$N$50*(Calculations!O91*LN(Calculations!O91/Calculations!$C$8)-Calculations!O91+Calculations!$C$8)-'Reaction Information'!$O$50*10^4*(((1/(Calculations!O91-Calculations!$C$13))-(1/(Calculations!$C$8-Calculations!$C$13)))*((Calculations!$C$13-Calculations!O91)/(Calculations!$C$13))-(Calculations!O91/(Calculations!$C$13*Calculations!$C$13))*LN((Calculations!$C$8*(Calculations!O91-Calculations!$C$13))/(Calculations!O91*(Calculations!$C$8-Calculations!$C$13))))+'Reaction Information'!$J$50*10^-1*(Calculations!$M91-Calculations!$C$9)+'Reaction Information'!$K$50*10^2*LN((Calculations!$C$12+Calculations!$M91)/(Calculations!$C$12+Calculations!$C$9))+(1/(Calculations!O91-Calculations!$C$13))*('Reaction Information'!$L$50*(Calculations!$M91-Calculations!$C$9)+'Reaction Information'!$M$50*10^4*LN((Calculations!$C$12+Calculations!$M91)/(Calculations!$C$12+Calculations!$C$9)))+calculateOmega(Calculations!M91,Calculations!N91,Calculations!Q91,'Reaction Information'!$C$50,'Reaction Information'!$P$50*10^5,'Reaction Information'!$Q$50)*((1/Calculations!S91)-1)-'Reaction Information'!$P$50*10^5*((1/Calculations!$C$10)-1)+'Reaction Information'!$P$50*10^5*Calculations!$C$14*(Calculations!O91-Calculations!$C$8))</f>
        <v>-141935.53517599066</v>
      </c>
      <c r="AU91" s="8" t="e">
        <f>IF(ISBLANK(Input!$BQ$4),NA(),'Reaction Information'!$E$54-'Reaction Information'!$G$54*(Calculations!$O91-Calculations!$C$8)-'Reaction Information'!$N$54*(Calculations!$O91*LN(Calculations!$O91/Calculations!$C$8)-Calculations!$O91+Calculations!$C$8)-'Reaction Information'!$O$54*10^4*(((1/(Calculations!$O91-Calculations!$C$13))-(1/(Calculations!$C$8-Calculations!$C$13)))*((Calculations!$C$13-Calculations!$O91)/(Calculations!$C$13))-(Calculations!$O91/(Calculations!$C$13*Calculations!$C$13))*LN((Calculations!$C$8*(Calculations!$O91-Calculations!$C$13))/(Calculations!$O91*(Calculations!$C$8-Calculations!$C$13))))+'Reaction Information'!$J$54*10^-1*(Calculations!$M91-Calculations!$C$9)+'Reaction Information'!$K$54*10^2*LN((Calculations!$C$12+Calculations!$M91)/(Calculations!$C$12+Calculations!$C$9))+(1/(Calculations!$O91-Calculations!$C$13))*('Reaction Information'!$L$54*(Calculations!$M91-Calculations!$C$9)+'Reaction Information'!$M$54*10^4*LN((Calculations!$C$12+Calculations!$M91)/(Calculations!$C$12+Calculations!$C$9)))+calculateOmega(Calculations!M91,Calculations!N91,Calculations!Q91,'Reaction Information'!$C$54,'Reaction Information'!$P$54*10^5,'Reaction Information'!$Q$54)*((1/Calculations!$S91)-1)-'Reaction Information'!$P$54*10^5*((1/Calculations!$C$10)-1)+'Reaction Information'!$P$54*10^5*Calculations!$C$14*(Calculations!$O91-Calculations!$C$8))</f>
        <v>#N/A</v>
      </c>
      <c r="AV91" s="8" t="e">
        <f>IF(ISBLANK(Input!$BT$4),NA(),'Reaction Information'!$E$58-'Reaction Information'!$G$58*(Calculations!$O91-Calculations!$C$8)-'Reaction Information'!$N$58*(Calculations!$O91*LN(Calculations!$O91/Calculations!$C$8)-Calculations!$O91+Calculations!$C$8)-'Reaction Information'!$O$58*10^4*(((1/(Calculations!$O91-Calculations!$C$13))-(1/(Calculations!$C$8-Calculations!$C$13)))*((Calculations!$C$13-Calculations!$O91)/(Calculations!$C$13))-(Calculations!$O91/(Calculations!$C$13*Calculations!$C$13))*LN((Calculations!$C$8*(Calculations!$O91-Calculations!$C$13))/(Calculations!$O91*(Calculations!$C$8-Calculations!$C$13))))+'Reaction Information'!$J$58*10^-1*(Calculations!$M91-Calculations!$C$9)+'Reaction Information'!$K$58*10^2*LN((Calculations!$C$12+Calculations!$M91)/(Calculations!$C$12+Calculations!$C$9))+(1/(Calculations!$O91-Calculations!$C$13))*('Reaction Information'!$L$58*(Calculations!$M91-Calculations!$C$9)+'Reaction Information'!$M$58*10^4*LN((Calculations!$C$12+Calculations!$M91)/(Calculations!$C$12+Calculations!$C$9)))+calculateOmega(Calculations!M91,Calculations!N91,Calculations!Q91,'Reaction Information'!$C$58,'Reaction Information'!$P$58*10^5,'Reaction Information'!$Q$58)*((1/Calculations!$S91)-1)-'Reaction Information'!$P$58*10^5*((1/Calculations!$C$10)-1)+'Reaction Information'!$P$58*10^5*Calculations!$C$14*(Calculations!$O91-Calculations!$C$8))</f>
        <v>#N/A</v>
      </c>
      <c r="AW91" s="8" t="e">
        <f>IF(ISBLANK(Input!$BW$4),NA(),'Reaction Information'!$E$62-'Reaction Information'!$G$62*(Calculations!$O91-Calculations!$C$8)-'Reaction Information'!$N$62*(Calculations!$O91*LN(Calculations!$O91/Calculations!$C$8)-Calculations!$O91+Calculations!$C$8)-'Reaction Information'!$O$62*10^4*(((1/(Calculations!$O91-Calculations!$C$13))-(1/(Calculations!$C$8-Calculations!$C$13)))*((Calculations!$C$13-Calculations!$O91)/(Calculations!$C$13))-(Calculations!$O91/(Calculations!$C$13*Calculations!$C$13))*LN((Calculations!$C$8*(Calculations!$O91-Calculations!$C$13))/(Calculations!$O91*(Calculations!$C$8-Calculations!$C$13))))+'Reaction Information'!$J$62*10^-1*(Calculations!$M91-Calculations!$C$9)+'Reaction Information'!$K$62*10^2*LN((Calculations!$C$12+Calculations!$M91)/(Calculations!$C$12+Calculations!$C$9))+(1/(Calculations!$O91-Calculations!$C$13))*('Reaction Information'!$L$62*(Calculations!$M91-Calculations!$C$9)+'Reaction Information'!$M$62*10^4*LN((Calculations!$C$12+Calculations!$M91)/(Calculations!$C$12+Calculations!$C$9)))+calculateOmega(Calculations!M91,Calculations!N91,Calculations!Q91,'Reaction Information'!$C$62,'Reaction Information'!$P$62*10^5,'Reaction Information'!$Q$62)*((1/Calculations!$S91)-1)-'Reaction Information'!$P$62*10^5*((1/Calculations!$C$10)-1)+'Reaction Information'!$P$62*10^5*Calculations!$C$14*(Calculations!$O91-Calculations!$C$8))</f>
        <v>#N/A</v>
      </c>
      <c r="AX91" s="8" t="e">
        <f>IF(ISBLANK(Input!$BZ$4),NA(),'Reaction Information'!$E$66-'Reaction Information'!$G$66*(Calculations!$O91-Calculations!$C$8)-'Reaction Information'!$N$66*(Calculations!$O91*LN(Calculations!$O91/Calculations!$C$8)-Calculations!$O91+Calculations!$C$8)-'Reaction Information'!$O$66*10^4*(((1/(Calculations!$O91-Calculations!$C$13))-(1/(Calculations!$C$8-Calculations!$C$13)))*((Calculations!$C$13-Calculations!$O91)/(Calculations!$C$13))-(Calculations!$O91/(Calculations!$C$13*Calculations!$C$13))*LN((Calculations!$C$8*(Calculations!$O91-Calculations!$C$13))/(Calculations!$O91*(Calculations!$C$8-Calculations!$C$13))))+'Reaction Information'!$J$66*10^-1*(Calculations!$M91-Calculations!$C$9)+'Reaction Information'!$K$66*10^2*LN((Calculations!$C$12+Calculations!$M91)/(Calculations!$C$12+Calculations!$C$9))+(1/(Calculations!$O91-Calculations!$C$13))*('Reaction Information'!$L$66*(Calculations!$M91-Calculations!$C$9)+'Reaction Information'!$M$66*10^4*LN((Calculations!$C$12+Calculations!$M91)/(Calculations!$C$12+Calculations!$C$9)))+calculateOmega(Calculations!M91,Calculations!N91,Calculations!Q91,'Reaction Information'!$C$66,'Reaction Information'!$P$66*10^5,'Reaction Information'!$Q$66)*((1/Calculations!$S91)-1)-'Reaction Information'!$P$66*10^5*((1/Calculations!$C$10)-1)+'Reaction Information'!$P$66*10^5*Calculations!$C$14*(Calculations!$O91-Calculations!$C$8))</f>
        <v>#N/A</v>
      </c>
      <c r="AY91" s="31">
        <f>(AL91*Input!$AO$4+AM91*Input!$AR$4+AN91*Input!$AU$4+AO91*Input!$AX$4+IF(ISNA(AP91),0,AP91*Input!$BA$4)+IF(ISNA(AQ91),0,AQ91*Input!$BD$4)+IF(ISNA(AR91),0,AR91*Input!$BG$4)+IF(ISNA(AS91),0,AS91*Input!$BJ$4)+IF(ISNA(AT91),0,AT91*Input!$BM$4)+IF(ISNA(AU91),0,AU91*Input!$BP$4)+IF(ISNA(AV91),0,AV91*Input!$BS$4)+IF(ISNA(AW91),0,AW91*Input!$BV$4)+IF(ISNA(AX91),0,AX91*Input!$BY$4))-(Y91*Input!$B$4+Z91*Input!$E$4+AA91*Input!$H$4+AB91*Input!$K$4+IF(ISNA(AC91),0,AC91*Input!$N$4)+IF(ISNA(AD91),0,AD91*Input!$Q$4)+IF(ISNA(AE91),0,AE91*Input!$T$4)+IF(ISNA(AF91),0,AF91*Input!$W$4)+IF(ISNA(AG91),0,AG91*Input!$Z$4)+IF(ISNA(AH91),0,AH91*Input!$AC$4)+IF(ISNA(AI91),0,AI91*Input!$AF$4)+IF(ISNA(AJ91),0,AJ91*Input!$AI$4)+IF(ISNA(AK91),0,AK91*Input!$AL$4))</f>
        <v>26960.469399007619</v>
      </c>
      <c r="AZ91" s="42">
        <f t="shared" si="20"/>
        <v>-5.4941295143740518</v>
      </c>
      <c r="BA91" s="1">
        <f t="shared" si="27"/>
        <v>800</v>
      </c>
      <c r="BB91" s="46">
        <f t="shared" si="28"/>
        <v>30000</v>
      </c>
      <c r="BC91" s="1"/>
      <c r="BD91" s="2">
        <f t="shared" si="29"/>
        <v>30000</v>
      </c>
      <c r="BE91" s="46">
        <f t="shared" si="30"/>
        <v>800</v>
      </c>
      <c r="BF91" s="1">
        <f>Results!AJ93</f>
        <v>0</v>
      </c>
      <c r="BG91" s="1">
        <f>Results!AK93</f>
        <v>0</v>
      </c>
      <c r="BH91" s="1">
        <f>Results!AL93</f>
        <v>0</v>
      </c>
      <c r="BI91" s="1">
        <f>Results!AM93</f>
        <v>0</v>
      </c>
      <c r="BJ91" s="1" t="e">
        <f>IF(OR(ISNA('Reaction Information'!$D$5), $N91 = "", $D$27 = FALSE, 'Reaction Information'!$D$5 = ""), NA(), 24.465)</f>
        <v>#N/A</v>
      </c>
      <c r="BK91" s="1" t="e">
        <f>IF(OR(ISNA('Reaction Information'!$D$9), $N91 = "", $D$27 = FALSE, 'Reaction Information'!$D$9 = ""), NA(), 24.465)</f>
        <v>#N/A</v>
      </c>
      <c r="BL91" s="8">
        <f t="shared" si="21"/>
        <v>15.284641810696195</v>
      </c>
      <c r="BM91" s="8">
        <f>IF(OR(ISBLANK(Input!$X$4),$D$27=FALSE),NA(),('Reaction Information'!$J$13/10+'Reaction Information'!$K$13*100/(Calculations!$C$12+Calculations!$M91)+('Reaction Information'!$L$13+'Reaction Information'!$M$13*10^4/(Calculations!$C$12+Calculations!$M91))/(Calculations!$O91-Calculations!$C$13) -calculateOmega(Calculations!$M91,Calculations!$N91,Calculations!$Q91,'Reaction Information'!$C$13,'Reaction Information'!$P$13*10^5,'Reaction Information'!$Q$13)*Calculations!$U91*10^-6 + (1/$S91 - 1)*calculate_domegadP(Calculations!$M91,Calculations!$N91,Calculations!$Q91,'Reaction Information'!$C$13,'Reaction Information'!$P$13*10^5,'Reaction Information'!$Q$13,$D$20,$D$19=3))*41.84)</f>
        <v>30.700636285031646</v>
      </c>
      <c r="BN91" s="8" t="e">
        <f>IF(OR(ISBLANK(Input!$AA$4),$D$27=FALSE),NA(),('Reaction Information'!$J$17/10+'Reaction Information'!$K$17*100/(Calculations!$C$12+Calculations!$M91)+('Reaction Information'!$L$17+'Reaction Information'!$M$17*10000/(Calculations!$C$12+Calculations!$M91))/(Calculations!$O91-Calculations!$C$13)-calculateOmega(Calculations!M91,Calculations!N91,Calculations!Q91,'Reaction Information'!$C$17,'Reaction Information'!$P$17*10^5,'Reaction Information'!$Q$17)*Calculations!$U91*10^-6 + (1/$S91 - 1)*calculate_domegadP(Calculations!M91,Calculations!N91,Calculations!Q91,'Reaction Information'!$C$17,'Reaction Information'!$P$17*10^5,'Reaction Information'!$Q$17,$D$20,$D$19=3))*41.84)</f>
        <v>#N/A</v>
      </c>
      <c r="BO91" s="8" t="e">
        <f>IF(OR(ISBLANK(Input!$AD$4),$D$27=FALSE),NA(),('Reaction Information'!$J$21/10+'Reaction Information'!$K$21*100/(Calculations!$C$12+Calculations!$M91)+('Reaction Information'!$L$21+'Reaction Information'!$M$21*10000/(Calculations!$C$12+Calculations!$M91))/(Calculations!$O91-Calculations!$C$13)-calculateOmega(Calculations!M91,Calculations!N91,Calculations!Q91,'Reaction Information'!$C$21,'Reaction Information'!$P$21*10^5,'Reaction Information'!$Q$21)*Calculations!$U91*10^-6 + (1/$S91 - 1)*calculate_domegadP(Calculations!M91,Calculations!N91,Calculations!Q91,'Reaction Information'!$C$21,'Reaction Information'!$P$21*10^5,'Reaction Information'!$Q$21,$D$20,$D$19=3))*41.84)</f>
        <v>#N/A</v>
      </c>
      <c r="BP91" s="8" t="e">
        <f>IF(OR(ISBLANK(Input!$AG$4),$D$27=FALSE),NA(),('Reaction Information'!$J$25/10+'Reaction Information'!$K$25*100/(Calculations!$C$12+Calculations!$M91)+('Reaction Information'!$L$25+'Reaction Information'!$M$25*10000/(Calculations!$C$12+Calculations!$M91))/(Calculations!$O91-Calculations!$C$13)-calculateOmega(Calculations!M91,Calculations!N91,Calculations!Q91,'Reaction Information'!$C$25,'Reaction Information'!$P$25*10^5,'Reaction Information'!$Q$25)*Calculations!$U91*10^-6 + (1/$S91 - 1)*calculate_domegadP(Calculations!M91,Calculations!N91,Calculations!Q91,'Reaction Information'!$C$25,'Reaction Information'!$P$25*10^5,'Reaction Information'!$Q$25,$D$20,$D$19=3))*41.84)</f>
        <v>#N/A</v>
      </c>
      <c r="BQ91" s="8" t="e">
        <f>IF(OR(ISBLANK(Input!$AJ$4),$D$27=FALSE),NA(),('Reaction Information'!$J$29/10+'Reaction Information'!$K$29*100/(Calculations!$C$12+Calculations!$M91)+('Reaction Information'!$L$29+'Reaction Information'!$M$29*10000/(Calculations!$C$12+Calculations!$M91))/(Calculations!$O91-Calculations!$C$13)-calculateOmega(Calculations!M91,Calculations!N91,Calculations!Q91,'Reaction Information'!$C$29,'Reaction Information'!$P$29*10^5,'Reaction Information'!$Q$29)*Calculations!$U91*10^-6 + (1/$S91 - 1)*calculate_domegadP(Calculations!M91,Calculations!N91,Calculations!Q91,'Reaction Information'!$C$29,'Reaction Information'!$P$29*10^5,'Reaction Information'!$Q$29,$D$20,$D$19=3))*41.84)</f>
        <v>#N/A</v>
      </c>
      <c r="BR91" s="8" t="e">
        <f>IF(OR(ISBLANK(Input!$AM$4),$D$27=FALSE),NA(),('Reaction Information'!$J$33/10+'Reaction Information'!$K$33*100/(Calculations!$C$12+Calculations!$M91)+('Reaction Information'!$L$33+'Reaction Information'!$M$33*10000/(Calculations!$C$12+Calculations!$M91))/(Calculations!$O91-Calculations!$C$13)-calculateOmega(Calculations!M91,Calculations!N91,Calculations!Q91,'Reaction Information'!$C$33,'Reaction Information'!$P$33*10^5,'Reaction Information'!$Q$33)*Calculations!$U91*10^-6 + (1/$S91 - 1)*calculate_domegadP(Calculations!M91,Calculations!N91,Calculations!Q91,'Reaction Information'!$C$33,'Reaction Information'!$P$33*10^5,'Reaction Information'!$Q$33,$D$20,$D$19=3))*41.84)</f>
        <v>#N/A</v>
      </c>
      <c r="BS91" s="1">
        <f>Results!AW93</f>
        <v>0</v>
      </c>
      <c r="BT91" s="1">
        <f>Results!AX93</f>
        <v>0</v>
      </c>
      <c r="BU91" s="1">
        <f>Results!AY93</f>
        <v>0</v>
      </c>
      <c r="BV91" s="1">
        <f>Results!AZ93</f>
        <v>0</v>
      </c>
      <c r="BW91" s="1" t="e">
        <f>IF(OR(ISNA('Reaction Information'!$D$38), $N91 = "", $D$27 = FALSE, 'Reaction Information'!$D$38 = ""), NA(), 24.465)</f>
        <v>#N/A</v>
      </c>
      <c r="BX91" s="1" t="e">
        <f>IF(OR(ISNA('Reaction Information'!$D$42), $N91 = "", $D$27 = FALSE, 'Reaction Information'!$D$42 = ""), NA(), 24.465)</f>
        <v>#N/A</v>
      </c>
      <c r="BY91" s="8" t="e">
        <f t="shared" si="22"/>
        <v>#N/A</v>
      </c>
      <c r="BZ91" s="8">
        <f>IF(OR(ISBLANK(Input!$BK$4),$D$27=FALSE),NA(),('Reaction Information'!$J$46/10+'Reaction Information'!$K$46*100/(Calculations!$C$12+Calculations!$M91)+('Reaction Information'!$L$46+'Reaction Information'!$M$46*10000/(Calculations!$C$12+Calculations!$M91))/(Calculations!$O91-Calculations!$C$13)-calculateOmega(Calculations!M91,Calculations!N91,Calculations!Q91,'Reaction Information'!$C$46,'Reaction Information'!$P$46*10^5,'Reaction Information'!$Q$46)*Calculations!$U91*10^-6 + (1/$S91 - 1)*calculate_domegadP(Calculations!M91,Calculations!N91,Calculations!Q91,'Reaction Information'!$C$46,'Reaction Information'!$P$46*10^5,'Reaction Information'!$Q$46,$D$20,$D$19=3))*41.84)</f>
        <v>0</v>
      </c>
      <c r="CA91" s="8">
        <f>IF(OR(ISBLANK(Input!$BN$4),$D$27=FALSE),NA(),('Reaction Information'!$J$50/10+'Reaction Information'!$K$50*100/(Calculations!$C$12+Calculations!$M91)+('Reaction Information'!$L$50+'Reaction Information'!$M$50*10000/(Calculations!$C$12+Calculations!$M91))/(Calculations!$O91-Calculations!$C$13)-calculateOmega(Calculations!M91,Calculations!N91,Calculations!Q91,'Reaction Information'!$C$50,'Reaction Information'!$P$50*10^5,'Reaction Information'!$Q$50)*Calculations!$U91*10^-6 + (1/$S91 - 1)*calculate_domegadP(Calculations!M91,Calculations!N91,Calculations!Q91,'Reaction Information'!$C$50,'Reaction Information'!$P$50*10^5,'Reaction Information'!$Q$50,$D$20,$D$19=3))*41.84)</f>
        <v>30.253591584869046</v>
      </c>
      <c r="CB91" s="8" t="e">
        <f>IF(OR(ISBLANK(Input!$BQ$4),$D$27=FALSE),NA(),('Reaction Information'!$J$54/10+'Reaction Information'!$K$54*100/(Calculations!$C$12+Calculations!$M91)+('Reaction Information'!$L$54+'Reaction Information'!$M$54*10000/(Calculations!$C$12+Calculations!$M91))/(Calculations!$O91-Calculations!$C$13)-calculateOmega(Calculations!M91,Calculations!N91,Calculations!Q91,'Reaction Information'!$C$54,'Reaction Information'!$P$54*10^5,'Reaction Information'!$Q$54)*Calculations!$U91*10^-6 + (1/$S91 - 1)*calculate_domegadP(Calculations!M91,Calculations!N91,Calculations!Q91,'Reaction Information'!$C$54,'Reaction Information'!$P$54*10^5,'Reaction Information'!$Q$54,$D$20,$D$19=3))*41.84)</f>
        <v>#N/A</v>
      </c>
      <c r="CC91" s="8" t="e">
        <f>IF(OR(ISBLANK(Input!$BT$4),$D$27=FALSE),NA(),('Reaction Information'!$J$58/10+'Reaction Information'!$K$58*100/(Calculations!$C$12+Calculations!$M91)+('Reaction Information'!$L$58+'Reaction Information'!$M$58*10000/(Calculations!$C$12+Calculations!$M91))/(Calculations!$O91-Calculations!$C$13)-calculateOmega(Calculations!M91,Calculations!N91,Calculations!Q91,'Reaction Information'!$C$58,'Reaction Information'!$P$58*10^5,'Reaction Information'!$Q$58)*Calculations!$U91*10^-6 + (1/$S91 - 1)*calculate_domegadP(Calculations!M91,Calculations!N91,Calculations!Q91,'Reaction Information'!$C$58,'Reaction Information'!$P$58*10^5,'Reaction Information'!$Q$58,$D$20,$D$19=3))*41.84)</f>
        <v>#N/A</v>
      </c>
      <c r="CD91" s="8" t="e">
        <f>IF(OR(ISBLANK(Input!$BW$4),$D$27=FALSE),NA(),('Reaction Information'!$J$62/10+'Reaction Information'!$K$62*100/(Calculations!$C$12+Calculations!$M91)+('Reaction Information'!$L$62+'Reaction Information'!$M$62*10000/(Calculations!$C$12+Calculations!$M91))/(Calculations!$O91-Calculations!$C$13)-calculateOmega(Calculations!M91,Calculations!N91,Calculations!Q91,'Reaction Information'!$C$62,'Reaction Information'!$P$62*10^5,'Reaction Information'!$Q$62)*Calculations!$U91*10^-6 + (1/$S91 - 1)*calculate_domegadP(Calculations!M91,Calculations!N91,Calculations!Q91,'Reaction Information'!$C$62,'Reaction Information'!$P$62*10^5,'Reaction Information'!$Q$62,$D$20,$D$19=3))*41.84)</f>
        <v>#N/A</v>
      </c>
      <c r="CE91" s="8" t="e">
        <f>IF(OR(ISBLANK(Input!$BZ$4),$D$27=FALSE),NA(),('Reaction Information'!$J$66/10+'Reaction Information'!$K$66*100/(Calculations!$C$12+Calculations!$M91)+('Reaction Information'!$L$66+'Reaction Information'!$M$66*10000/(Calculations!$C$12+Calculations!$M91))/(Calculations!$O91-Calculations!$C$13)-calculateOmega(Calculations!M91,Calculations!N91,Calculations!Q91,'Reaction Information'!$C$66,'Reaction Information'!$P$66*10^5,'Reaction Information'!$Q$66)*Calculations!$U91*10^-6 + (1/$S91 - 1)*calculate_domegadP(Calculations!M91,Calculations!N91,Calculations!Q91,'Reaction Information'!$C$66,'Reaction Information'!$P$66*10^5,'Reaction Information'!$Q$66,$D$20,$D$19=3))*41.84)</f>
        <v>#N/A</v>
      </c>
      <c r="CF91" s="31">
        <f>(BS91*Input!$AO$4+BT91*Input!$AR$4+BU91*Input!$AU$4+BV91*Input!$AX$4+IF(ISNA(BW91),0,BW91*Input!$BA$4)+IF(ISNA(BX91),0,BX91*Input!$BD$4)+IF(ISNA(BY91),0,BY91*Input!$BG$4)+IF(ISNA(BZ91),0,BZ91*Input!$BJ$4)+IF(ISNA(CA91),0,CA91*Input!$BM$4)+IF(ISNA(CB91),0,CB91*Input!$BP$4)+IF(ISNA(CC91),0,CC91*Input!$BS$4)+IF(ISNA(CD91),0,CD91*Input!$BV$4)+IF(ISNA(CE91),0,CE91*Input!$BY$4))-(BF91*Input!$B$4+BG91*Input!$E$4+BH91*Input!$H$4+BI91*Input!$K$4+IF(ISNA(BJ91),0,BJ91*Input!$N$4)+IF(ISNA(BK91),0,BK91*Input!$Q$4)+IF(ISNA(BL91),0,BL91*Input!$T$4)+IF(ISNA(BM91),0,BM91*Input!$W$4)+IF(ISNA(BN91),0,BN91*Input!$Z$4)+IF(ISNA(BO91),0,BO91*Input!$AC$4)+IF(ISNA(BP91),0,BP91*Input!$AF$4)+IF(ISNA(BQ91),0,BQ91*Input!$AI$4)+IF(ISNA(BR91),0,BR91*Input!$AL$4))</f>
        <v>-15.731686510858797</v>
      </c>
      <c r="CG91" s="1">
        <f t="shared" si="31"/>
        <v>800</v>
      </c>
      <c r="CH91" s="46">
        <f t="shared" si="32"/>
        <v>30000</v>
      </c>
      <c r="CI91" s="1"/>
    </row>
    <row r="92" spans="1:87" x14ac:dyDescent="0.2">
      <c r="A92" s="1"/>
      <c r="B92" s="1"/>
      <c r="C92" s="1"/>
      <c r="D92" s="1"/>
      <c r="E92" s="1"/>
      <c r="F92" s="2">
        <v>87</v>
      </c>
      <c r="G92" s="1" t="str">
        <f>IF(ISBLANK(Input!CB92), "", Input!CB92*1000)</f>
        <v/>
      </c>
      <c r="H92" s="1" t="str">
        <f>IF(ISBLANK(Input!CC92), "", Input!CC92)</f>
        <v/>
      </c>
      <c r="I92" s="1">
        <f>IF(Input!$CF$5 + Input!$CF$6*(FLOOR((Calculations!$F92-1)/(FLOOR((Input!$CF$12-Input!$CF$10)/Input!$CF$11,1)+1),1)) &gt; Input!$CF$7, "", (Input!$CF$5 + Input!$CF$6*(FLOOR((Calculations!$F92-1)/(FLOOR((Input!$CF$12-Input!$CF$10)/Input!$CF$11,1)+1),1)))*1000)</f>
        <v>30000</v>
      </c>
      <c r="J92" s="1">
        <f>IF(Calculations!I92 = "", "", Input!$CF$10 + Input!$CF$11*(Calculations!$F92-1) - (FLOOR((Input!$CF$12-Input!$CF$10)/Input!$CF$11,1)+1)*Input!$CF$11*FLOOR((Calculations!$F92-1)/(FLOOR((Input!$CF$12-Input!$CF$10)/Input!$CF$11,1)+1),1))</f>
        <v>850</v>
      </c>
      <c r="K92" s="8" t="str">
        <f t="shared" si="33"/>
        <v/>
      </c>
      <c r="L92" s="117" t="str">
        <f>IF(OR(Input!$CJ$5 + Input!$CJ$6*(Calculations!F92-1) &gt; Input!$CJ$7, Input!$CJ$5 + Input!$CJ$6*(Calculations!F92-1) &gt; 350), "", Input!$CJ$5 + Input!$CJ$6*(Calculations!F92-1))</f>
        <v/>
      </c>
      <c r="M92" s="1">
        <f t="shared" si="23"/>
        <v>30000</v>
      </c>
      <c r="N92" s="1">
        <f t="shared" si="24"/>
        <v>850</v>
      </c>
      <c r="O92" s="1">
        <f t="shared" si="19"/>
        <v>1123.1500000000001</v>
      </c>
      <c r="P92" s="1" t="e">
        <f>IF(OR($D$20=3,AND($D$21=TRUE,M92&lt;1000)),INDEX('Water Density'!$C$6:$CX$120,MATCH(Calculations!N92,'Water Density'!$B$6:$B$120),MATCH(Calculations!M92/1000,'Water Density'!$C$5:$CX$5)),NA())</f>
        <v>#N/A</v>
      </c>
      <c r="Q92" s="182">
        <f>IF(OR($D$20=3,AND($D$21=TRUE,M92&lt;1000)), IF(P92&lt;&gt;0,P92,NA()), calculateDensity(M92,N92,$D$20,0.01,$D$19 = 3))</f>
        <v>1.164508737543821</v>
      </c>
      <c r="R92" s="1" t="e">
        <f>IF($D$22=5,INDEX('Dielectric Constant'!$C$6:$CX$120,MATCH(Calculations!N92,'Dielectric Constant'!$B$6:$B$120),MATCH(Calculations!M92/1000,'Dielectric Constant'!$C$5:$CX$5)),NA())</f>
        <v>#N/A</v>
      </c>
      <c r="S92" s="58">
        <f>IF($D$22=5, IF(R92&lt;&gt;0,R92,NA()), IF(AND($D$23,M92&lt;=5000,$D$19 &lt;&gt; 3),calculateEpsilon(Q92,N92,1,FALSE),calculateEpsilon(Q92,N92,$D$22,$D$19 = 3)))</f>
        <v>17.988262225528278</v>
      </c>
      <c r="T92" s="1" t="e">
        <f>IF($D$24=3,INDEX('Water Free Energy'!$C$6:$CX$120,MATCH(Calculations!N92,'Water Free Energy'!$B$6:$B$120),MATCH(Calculations!M92/1000,'Water Free Energy'!$C$5:$CX$5)),NA())</f>
        <v>#N/A</v>
      </c>
      <c r="U92" s="179">
        <f>IF($D$27,calculateQ(M92,N92,Q92,$D$20,$D$22,$D$19=3)*10^6,NA())</f>
        <v>0.37394932669717945</v>
      </c>
      <c r="V92"/>
      <c r="W92" s="2">
        <f t="shared" si="25"/>
        <v>30000</v>
      </c>
      <c r="X92" s="1">
        <f t="shared" si="26"/>
        <v>850</v>
      </c>
      <c r="Y92" s="1">
        <f>Results!F94</f>
        <v>0</v>
      </c>
      <c r="Z92" s="1">
        <f>Results!G94</f>
        <v>0</v>
      </c>
      <c r="AA92" s="1">
        <f>Results!H94</f>
        <v>0</v>
      </c>
      <c r="AB92" s="1">
        <f>Results!I94</f>
        <v>0</v>
      </c>
      <c r="AC92" s="1" t="e">
        <f>IF(ISBLANK(Input!$O$4),NA(),'Reaction Information'!$E$5-'Reaction Information'!$G$5*(Calculations!$O92-Calculations!$C$8)+'Reaction Information'!$I$5*(Calculations!$O92-Calculations!$C$8-Calculations!$O92*LN(Calculations!$O92/Calculations!$C$8))+'Reaction Information'!$J$5*0.001/2*(2*Calculations!$O92*Calculations!$C$8-Calculations!$O92^2-Calculations!$C$8^2) + 'Reaction Information'!$K$5*100000*(Calculations!$O92^2 + Calculations!$C$8^2 - 2*Calculations!$O92*Calculations!$C$8)/(2*Calculations!$O92*Calculations!$C$8^2))</f>
        <v>#N/A</v>
      </c>
      <c r="AD92" s="8" t="e">
        <f>IF(ISBLANK(Input!$R$4),NA(),'Reaction Information'!$E$9-'Reaction Information'!$G$9*(Calculations!$O92-Calculations!$C$8)+'Reaction Information'!$I$9*(Calculations!$O92-Calculations!$C$8-Calculations!$O92*LN(Calculations!$O92/Calculations!$C$8))+'Reaction Information'!$J$9*0.001/2*(2*Calculations!$O92*Calculations!$C$8-Calculations!$O92^2-Calculations!$C$8^2) + 'Reaction Information'!$K$9*100000*(Calculations!$O92^2 + Calculations!$C$8^2 - 2*Calculations!$O92*Calculations!$C$8)/(2*Calculations!$O92*Calculations!$C$8^2))</f>
        <v>#N/A</v>
      </c>
      <c r="AE92" s="8">
        <f>IF(AE$5="H2O",IF($D$24=3,IF(T92=0,NA(),T92),calculateGibbsOfWater(M92,N92,$D$24,$D$20,$D$19=3)),NA())</f>
        <v>-67301.184984077699</v>
      </c>
      <c r="AF92" s="8">
        <f>IF(ISBLANK(Input!$X$4),NA(),'Reaction Information'!$E$13-'Reaction Information'!$G$13*(Calculations!O92-Calculations!$C$8)-'Reaction Information'!$N$13*(Calculations!O92*LN(Calculations!O92/Calculations!$C$8)-Calculations!O92+Calculations!$C$8)-'Reaction Information'!$O$13*10^4*(((1/(Calculations!O92-Calculations!$C$13))-(1/(Calculations!$C$8-Calculations!$C$13)))*((Calculations!$C$13-Calculations!O92)/(Calculations!$C$13))-(Calculations!O92/(Calculations!$C$13*Calculations!$C$13))*LN((Calculations!$C$8*(Calculations!O92-Calculations!$C$13))/(Calculations!O92*(Calculations!$C$8-Calculations!$C$13))))+'Reaction Information'!$J$13*10^-1*(Calculations!M92-Calculations!$C$9)+'Reaction Information'!$K$13*10^2*LN((Calculations!$C$12+Calculations!M92)/(Calculations!$C$12+Calculations!$C$9))+(1/(Calculations!O92-Calculations!$C$13))*('Reaction Information'!$L$13*(Calculations!M92-Calculations!$C$9)+'Reaction Information'!$M$13*10^4*LN((Calculations!$C$12+Calculations!M92)/(Calculations!$C$12+Calculations!$C$9)))+calculateOmega(Calculations!M92,Calculations!N92,Calculations!Q92,'Reaction Information'!$C$13,'Reaction Information'!$P$13*10^5,'Reaction Information'!$Q$13)*((1/Calculations!S92)-1)-'Reaction Information'!$P$13*10^5*((1/Calculations!$C$10)-1)+'Reaction Information'!$P$13*10^5*Calculations!$C$14*(Calculations!O92-Calculations!$C$8))</f>
        <v>-105724.9636209602</v>
      </c>
      <c r="AG92" s="8" t="e">
        <f>IF(ISBLANK(Input!$AA$4),NA(),'Reaction Information'!$E$17-'Reaction Information'!$G$17*(Calculations!$O92-Calculations!$C$8)-'Reaction Information'!$N$17*(Calculations!$O92*LN(Calculations!$O92/Calculations!$C$8)-Calculations!$O92+Calculations!$C$8)-'Reaction Information'!$O$17*10^4*(((1/(Calculations!$O92-Calculations!$C$13))-(1/(Calculations!$C$8-Calculations!$C$13)))*((Calculations!$C$13-Calculations!$O92)/(Calculations!$C$13))-(Calculations!$O92/(Calculations!$C$13*Calculations!$C$13))*LN((Calculations!$C$8*(Calculations!$O92-Calculations!$C$13))/(Calculations!$O92*(Calculations!$C$8-Calculations!$C$13))))+'Reaction Information'!$J$17*10^-1*(Calculations!$M92-Calculations!$C$9)+'Reaction Information'!$K$17*10^2*LN((Calculations!$C$12+Calculations!$M92)/(Calculations!$C$12+Calculations!$C$9))+(1/(Calculations!$O92-Calculations!$C$13))*('Reaction Information'!$L$17*(Calculations!$M92-Calculations!$C$9)+'Reaction Information'!$M$17*10^4*LN((Calculations!$C$12+Calculations!$M92)/(Calculations!$C$12+Calculations!$C$9)))+calculateOmega(Calculations!M92,Calculations!N92,Calculations!Q92,'Reaction Information'!$C$17,'Reaction Information'!$P$17*10^5,'Reaction Information'!$Q$17)*((1/Calculations!$S92)-1)-'Reaction Information'!$P$17*10^5*((1/Calculations!$C$10)-1)+'Reaction Information'!$P$17*10^5*Calculations!$C$14*(Calculations!$O92-Calculations!$C$8))</f>
        <v>#N/A</v>
      </c>
      <c r="AH92" s="8" t="e">
        <f>IF(ISBLANK(Input!$AD$4),NA(),'Reaction Information'!$E$21-'Reaction Information'!$G$21*(Calculations!$O92-Calculations!$C$8)-'Reaction Information'!$N$21*(Calculations!$O92*LN(Calculations!$O92/Calculations!$C$8)-Calculations!$O92+Calculations!$C$8)-'Reaction Information'!$O$21*10^4*(((1/(Calculations!$O92-Calculations!$C$13))-(1/(Calculations!$C$8-Calculations!$C$13)))*((Calculations!$C$13-Calculations!$O92)/(Calculations!$C$13))-(Calculations!$O92/(Calculations!$C$13*Calculations!$C$13))*LN((Calculations!$C$8*(Calculations!$O92-Calculations!$C$13))/(Calculations!$O92*(Calculations!$C$8-Calculations!$C$13))))+'Reaction Information'!$J$21*10^-1*(Calculations!$M92-Calculations!$C$9)+'Reaction Information'!$K$21*10^2*LN((Calculations!$C$12+Calculations!$M92)/(Calculations!$C$12+Calculations!$C$9))+(1/(Calculations!$O92-Calculations!$C$13))*('Reaction Information'!$L$21*(Calculations!$M92-Calculations!$C$9)+'Reaction Information'!$M$21*10^4*LN((Calculations!$C$12+Calculations!$M92)/(Calculations!$C$12+Calculations!$C$9)))+calculateOmega(Calculations!M92,Calculations!N92,Calculations!Q92,'Reaction Information'!$C$21,'Reaction Information'!$P$21*10^5,'Reaction Information'!$Q$21)*((1/Calculations!$S92)-1)-'Reaction Information'!$P$21*10^5*((1/Calculations!$C$10)-1)+'Reaction Information'!$P$21*10^5*Calculations!$C$14*(Calculations!$O92-Calculations!$C$8))</f>
        <v>#N/A</v>
      </c>
      <c r="AI92" s="8" t="e">
        <f>IF(ISBLANK(Input!$AG$4),NA(),'Reaction Information'!$E$25-'Reaction Information'!$G$25*(Calculations!$O92-Calculations!$C$8)-'Reaction Information'!$N$25*(Calculations!$O92*LN(Calculations!$O92/Calculations!$C$8)-Calculations!$O92+Calculations!$C$8)-'Reaction Information'!$O$25*10^4*(((1/(Calculations!$O92-Calculations!$C$13))-(1/(Calculations!$C$8-Calculations!$C$13)))*((Calculations!$C$13-Calculations!$O92)/(Calculations!$C$13))-(Calculations!$O92/(Calculations!$C$13*Calculations!$C$13))*LN((Calculations!$C$8*(Calculations!$O92-Calculations!$C$13))/(Calculations!$O92*(Calculations!$C$8-Calculations!$C$13))))+'Reaction Information'!$J$25*10^-1*(Calculations!$M92-Calculations!$C$9)+'Reaction Information'!$K$25*10^2*LN((Calculations!$C$12+Calculations!$M92)/(Calculations!$C$12+Calculations!$C$9))+(1/(Calculations!$O92-Calculations!$C$13))*('Reaction Information'!$L$25*(Calculations!$M92-Calculations!$C$9)+'Reaction Information'!$M$25*10^4*LN((Calculations!$C$12+Calculations!$M92)/(Calculations!$C$12+Calculations!$C$9)))+calculateOmega(Calculations!M92,Calculations!N92,Calculations!Q92,'Reaction Information'!$C$25,'Reaction Information'!$P$25*10^5,'Reaction Information'!$Q$25)*((1/Calculations!$S92)-1)-'Reaction Information'!$P$25*10^5*((1/Calculations!$C$10)-1)+'Reaction Information'!$P$25*10^5*Calculations!$C$14*(Calculations!$O92-Calculations!$C$8))</f>
        <v>#N/A</v>
      </c>
      <c r="AJ92" s="8" t="e">
        <f>IF(ISBLANK(Input!$AJ$4),NA(),'Reaction Information'!$E$29-'Reaction Information'!$G$29*(Calculations!$O92-Calculations!$C$8)-'Reaction Information'!$N$29*(Calculations!$O92*LN(Calculations!$O92/Calculations!$C$8)-Calculations!$O92+Calculations!$C$8)-'Reaction Information'!$O$29*10^4*(((1/(Calculations!$O92-Calculations!$C$13))-(1/(Calculations!$C$8-Calculations!$C$13)))*((Calculations!$C$13-Calculations!$O92)/(Calculations!$C$13))-(Calculations!$O92/(Calculations!$C$13*Calculations!$C$13))*LN((Calculations!$C$8*(Calculations!$O92-Calculations!$C$13))/(Calculations!$O92*(Calculations!$C$8-Calculations!$C$13))))+'Reaction Information'!$J$29*10^-1*(Calculations!$M92-Calculations!$C$9)+'Reaction Information'!$K$29*10^2*LN((Calculations!$C$12+Calculations!$M92)/(Calculations!$C$12+Calculations!$C$9))+(1/(Calculations!$O92-Calculations!$C$13))*('Reaction Information'!$L$29*(Calculations!$M92-Calculations!$C$9)+'Reaction Information'!$M$29*10^4*LN((Calculations!$C$12+Calculations!$M92)/(Calculations!$C$12+Calculations!$C$9)))+calculateOmega(Calculations!M92,Calculations!N92,Calculations!Q92,'Reaction Information'!$C$29,'Reaction Information'!$P$29*10^5,'Reaction Information'!$Q$29)*((1/Calculations!$S92)-1)-'Reaction Information'!$P$29*10^5*((1/Calculations!$C$10)-1)+'Reaction Information'!$P$29*10^5*Calculations!$C$14*(Calculations!$O92-Calculations!$C$8))</f>
        <v>#N/A</v>
      </c>
      <c r="AK92" s="8" t="e">
        <f>IF(ISBLANK(Input!$AM$4),NA(),'Reaction Information'!$E$33-'Reaction Information'!$G$33*(Calculations!$O92-Calculations!$C$8)-'Reaction Information'!$N$33*(Calculations!$O92*LN(Calculations!$O92/Calculations!$C$8)-Calculations!$O92+Calculations!$C$8)-'Reaction Information'!$O$33*10^4*(((1/(Calculations!$O92-Calculations!$C$13))-(1/(Calculations!$C$8-Calculations!$C$13)))*((Calculations!$C$13-Calculations!$O92)/(Calculations!$C$13))-(Calculations!$O92/(Calculations!$C$13*Calculations!$C$13))*LN((Calculations!$C$8*(Calculations!$O92-Calculations!$C$13))/(Calculations!$O92*(Calculations!$C$8-Calculations!$C$13))))+'Reaction Information'!$J$33*10^-1*(Calculations!$M92-Calculations!$C$9)+'Reaction Information'!$K$33*10^2*LN((Calculations!$C$12+Calculations!$M92)/(Calculations!$C$12+Calculations!$C$9))+(1/(Calculations!$O92-Calculations!$C$13))*('Reaction Information'!$L$33*(Calculations!$M92-Calculations!$C$9)+'Reaction Information'!$M$33*10^4*LN((Calculations!$C$12+Calculations!$M92)/(Calculations!$C$12+Calculations!$C$9)))+calculateOmega(Calculations!M92,Calculations!N92,Calculations!Q92,'Reaction Information'!$C$33,'Reaction Information'!$P$33*10^5,'Reaction Information'!$Q$33)*((1/Calculations!$S92)-1)-'Reaction Information'!$P$33*10^5*((1/Calculations!$C$10)-1)+'Reaction Information'!$P$33*10^5*Calculations!$C$14*(Calculations!$O92-Calculations!$C$8))</f>
        <v>#N/A</v>
      </c>
      <c r="AL92" s="1">
        <f>Results!S94</f>
        <v>0</v>
      </c>
      <c r="AM92" s="1">
        <f>Results!T94</f>
        <v>0</v>
      </c>
      <c r="AN92" s="1">
        <f>Results!U94</f>
        <v>0</v>
      </c>
      <c r="AO92" s="1">
        <f>Results!V94</f>
        <v>0</v>
      </c>
      <c r="AP92" s="8" t="e">
        <f>IF(ISBLANK(Input!$BB$4),NA(),'Reaction Information'!$E$38-'Reaction Information'!$G$38*(Calculations!$O92-Calculations!$C$8)+'Reaction Information'!$I$38*(Calculations!$O92-Calculations!$C$8-Calculations!$O92*LN(Calculations!$O92/Calculations!$C$8))+'Reaction Information'!$J$38*0.001/2*(2*Calculations!$O92*Calculations!$C$8-Calculations!$O92^2-Calculations!$C$8^2) + 'Reaction Information'!$K$38*100000*(Calculations!$O92^2 + Calculations!$C$8^2 - 2*Calculations!$O92*Calculations!$C$8)/(2*Calculations!$O92*Calculations!$C$8^2))</f>
        <v>#N/A</v>
      </c>
      <c r="AQ92" s="8" t="e">
        <f>IF(ISBLANK(Input!$BE$4),NA(),'Reaction Information'!$E$42-'Reaction Information'!$G$42*(Calculations!$O92-Calculations!$C$8)+'Reaction Information'!$I$42*(Calculations!$O92-Calculations!$C$8-Calculations!$O92*LN(Calculations!$O92/Calculations!$C$8))+'Reaction Information'!$J$42*0.001/2*(2*Calculations!$O92*Calculations!$C$8-Calculations!$O92^2-Calculations!$C$8^2) + 'Reaction Information'!$K$42*100000*(Calculations!$O92^2 + Calculations!$C$8^2 - 2*Calculations!$O92*Calculations!$C$8)/(2*Calculations!$O92*Calculations!$C$8^2))</f>
        <v>#N/A</v>
      </c>
      <c r="AR92" s="8" t="e">
        <f>IF(AR$5="H2O", IF($D$24=3,IF(T92=0,NA(),T92),calculateGibbsOfWater(M92,N92,$D$24,$D$20,$D$19=3)),NA())</f>
        <v>#N/A</v>
      </c>
      <c r="AS92" s="8">
        <f>IF(ISBLANK(Input!$BK$4),NA(),'Reaction Information'!$E$46-'Reaction Information'!$G$46*(Calculations!O92-Calculations!$C$8)-'Reaction Information'!$N$46*(Calculations!O92*LN(Calculations!O92/Calculations!$C$8)-Calculations!O92+Calculations!$C$8)-'Reaction Information'!$O$46*10^4*(((1/(Calculations!O92-Calculations!$C$13))-(1/(Calculations!$C$8-Calculations!$C$13)))*((Calculations!$C$13-Calculations!O92)/(Calculations!$C$13))-(Calculations!O92/(Calculations!$C$13*Calculations!$C$13))*LN((Calculations!$C$8*(Calculations!O92-Calculations!$C$13))/(Calculations!O92*(Calculations!$C$8-Calculations!$C$13))))+'Reaction Information'!$J$46*10^-1*(Calculations!$M92-Calculations!$C$9)+'Reaction Information'!$K$46*10^2*LN((Calculations!$C$12+Calculations!$M92)/(Calculations!$C$12+Calculations!$C$9))+(1/(Calculations!O92-Calculations!$C$13))*('Reaction Information'!$L$46*(Calculations!$M92-Calculations!$C$9)+'Reaction Information'!$M$46*10^4*LN((Calculations!$C$12+Calculations!$M92)/(Calculations!$C$12+Calculations!$C$9)))+calculateOmega(Calculations!M92,Calculations!N92,Calculations!Q92,'Reaction Information'!$C$46,'Reaction Information'!$P$46*10^5,'Reaction Information'!$Q$46)*((1/Calculations!S92)-1)-'Reaction Information'!$P$46*10^5*((1/Calculations!$C$10)-1)+'Reaction Information'!$P$46*10^5*Calculations!$C$14*(Calculations!O92-Calculations!$C$8))</f>
        <v>0</v>
      </c>
      <c r="AT92" s="8">
        <f>IF(ISBLANK(Input!$BN$4),NA(),'Reaction Information'!$E$50-'Reaction Information'!$G$50*(Calculations!O92-Calculations!$C$8)-'Reaction Information'!$N$50*(Calculations!O92*LN(Calculations!O92/Calculations!$C$8)-Calculations!O92+Calculations!$C$8)-'Reaction Information'!$O$50*10^4*(((1/(Calculations!O92-Calculations!$C$13))-(1/(Calculations!$C$8-Calculations!$C$13)))*((Calculations!$C$13-Calculations!O92)/(Calculations!$C$13))-(Calculations!O92/(Calculations!$C$13*Calculations!$C$13))*LN((Calculations!$C$8*(Calculations!O92-Calculations!$C$13))/(Calculations!O92*(Calculations!$C$8-Calculations!$C$13))))+'Reaction Information'!$J$50*10^-1*(Calculations!$M92-Calculations!$C$9)+'Reaction Information'!$K$50*10^2*LN((Calculations!$C$12+Calculations!$M92)/(Calculations!$C$12+Calculations!$C$9))+(1/(Calculations!O92-Calculations!$C$13))*('Reaction Information'!$L$50*(Calculations!$M92-Calculations!$C$9)+'Reaction Information'!$M$50*10^4*LN((Calculations!$C$12+Calculations!$M92)/(Calculations!$C$12+Calculations!$C$9)))+calculateOmega(Calculations!M92,Calculations!N92,Calculations!Q92,'Reaction Information'!$C$50,'Reaction Information'!$P$50*10^5,'Reaction Information'!$Q$50)*((1/Calculations!S92)-1)-'Reaction Information'!$P$50*10^5*((1/Calculations!$C$10)-1)+'Reaction Information'!$P$50*10^5*Calculations!$C$14*(Calculations!O92-Calculations!$C$8))</f>
        <v>-143559.94540884663</v>
      </c>
      <c r="AU92" s="8" t="e">
        <f>IF(ISBLANK(Input!$BQ$4),NA(),'Reaction Information'!$E$54-'Reaction Information'!$G$54*(Calculations!$O92-Calculations!$C$8)-'Reaction Information'!$N$54*(Calculations!$O92*LN(Calculations!$O92/Calculations!$C$8)-Calculations!$O92+Calculations!$C$8)-'Reaction Information'!$O$54*10^4*(((1/(Calculations!$O92-Calculations!$C$13))-(1/(Calculations!$C$8-Calculations!$C$13)))*((Calculations!$C$13-Calculations!$O92)/(Calculations!$C$13))-(Calculations!$O92/(Calculations!$C$13*Calculations!$C$13))*LN((Calculations!$C$8*(Calculations!$O92-Calculations!$C$13))/(Calculations!$O92*(Calculations!$C$8-Calculations!$C$13))))+'Reaction Information'!$J$54*10^-1*(Calculations!$M92-Calculations!$C$9)+'Reaction Information'!$K$54*10^2*LN((Calculations!$C$12+Calculations!$M92)/(Calculations!$C$12+Calculations!$C$9))+(1/(Calculations!$O92-Calculations!$C$13))*('Reaction Information'!$L$54*(Calculations!$M92-Calculations!$C$9)+'Reaction Information'!$M$54*10^4*LN((Calculations!$C$12+Calculations!$M92)/(Calculations!$C$12+Calculations!$C$9)))+calculateOmega(Calculations!M92,Calculations!N92,Calculations!Q92,'Reaction Information'!$C$54,'Reaction Information'!$P$54*10^5,'Reaction Information'!$Q$54)*((1/Calculations!$S92)-1)-'Reaction Information'!$P$54*10^5*((1/Calculations!$C$10)-1)+'Reaction Information'!$P$54*10^5*Calculations!$C$14*(Calculations!$O92-Calculations!$C$8))</f>
        <v>#N/A</v>
      </c>
      <c r="AV92" s="8" t="e">
        <f>IF(ISBLANK(Input!$BT$4),NA(),'Reaction Information'!$E$58-'Reaction Information'!$G$58*(Calculations!$O92-Calculations!$C$8)-'Reaction Information'!$N$58*(Calculations!$O92*LN(Calculations!$O92/Calculations!$C$8)-Calculations!$O92+Calculations!$C$8)-'Reaction Information'!$O$58*10^4*(((1/(Calculations!$O92-Calculations!$C$13))-(1/(Calculations!$C$8-Calculations!$C$13)))*((Calculations!$C$13-Calculations!$O92)/(Calculations!$C$13))-(Calculations!$O92/(Calculations!$C$13*Calculations!$C$13))*LN((Calculations!$C$8*(Calculations!$O92-Calculations!$C$13))/(Calculations!$O92*(Calculations!$C$8-Calculations!$C$13))))+'Reaction Information'!$J$58*10^-1*(Calculations!$M92-Calculations!$C$9)+'Reaction Information'!$K$58*10^2*LN((Calculations!$C$12+Calculations!$M92)/(Calculations!$C$12+Calculations!$C$9))+(1/(Calculations!$O92-Calculations!$C$13))*('Reaction Information'!$L$58*(Calculations!$M92-Calculations!$C$9)+'Reaction Information'!$M$58*10^4*LN((Calculations!$C$12+Calculations!$M92)/(Calculations!$C$12+Calculations!$C$9)))+calculateOmega(Calculations!M92,Calculations!N92,Calculations!Q92,'Reaction Information'!$C$58,'Reaction Information'!$P$58*10^5,'Reaction Information'!$Q$58)*((1/Calculations!$S92)-1)-'Reaction Information'!$P$58*10^5*((1/Calculations!$C$10)-1)+'Reaction Information'!$P$58*10^5*Calculations!$C$14*(Calculations!$O92-Calculations!$C$8))</f>
        <v>#N/A</v>
      </c>
      <c r="AW92" s="8" t="e">
        <f>IF(ISBLANK(Input!$BW$4),NA(),'Reaction Information'!$E$62-'Reaction Information'!$G$62*(Calculations!$O92-Calculations!$C$8)-'Reaction Information'!$N$62*(Calculations!$O92*LN(Calculations!$O92/Calculations!$C$8)-Calculations!$O92+Calculations!$C$8)-'Reaction Information'!$O$62*10^4*(((1/(Calculations!$O92-Calculations!$C$13))-(1/(Calculations!$C$8-Calculations!$C$13)))*((Calculations!$C$13-Calculations!$O92)/(Calculations!$C$13))-(Calculations!$O92/(Calculations!$C$13*Calculations!$C$13))*LN((Calculations!$C$8*(Calculations!$O92-Calculations!$C$13))/(Calculations!$O92*(Calculations!$C$8-Calculations!$C$13))))+'Reaction Information'!$J$62*10^-1*(Calculations!$M92-Calculations!$C$9)+'Reaction Information'!$K$62*10^2*LN((Calculations!$C$12+Calculations!$M92)/(Calculations!$C$12+Calculations!$C$9))+(1/(Calculations!$O92-Calculations!$C$13))*('Reaction Information'!$L$62*(Calculations!$M92-Calculations!$C$9)+'Reaction Information'!$M$62*10^4*LN((Calculations!$C$12+Calculations!$M92)/(Calculations!$C$12+Calculations!$C$9)))+calculateOmega(Calculations!M92,Calculations!N92,Calculations!Q92,'Reaction Information'!$C$62,'Reaction Information'!$P$62*10^5,'Reaction Information'!$Q$62)*((1/Calculations!$S92)-1)-'Reaction Information'!$P$62*10^5*((1/Calculations!$C$10)-1)+'Reaction Information'!$P$62*10^5*Calculations!$C$14*(Calculations!$O92-Calculations!$C$8))</f>
        <v>#N/A</v>
      </c>
      <c r="AX92" s="8" t="e">
        <f>IF(ISBLANK(Input!$BZ$4),NA(),'Reaction Information'!$E$66-'Reaction Information'!$G$66*(Calculations!$O92-Calculations!$C$8)-'Reaction Information'!$N$66*(Calculations!$O92*LN(Calculations!$O92/Calculations!$C$8)-Calculations!$O92+Calculations!$C$8)-'Reaction Information'!$O$66*10^4*(((1/(Calculations!$O92-Calculations!$C$13))-(1/(Calculations!$C$8-Calculations!$C$13)))*((Calculations!$C$13-Calculations!$O92)/(Calculations!$C$13))-(Calculations!$O92/(Calculations!$C$13*Calculations!$C$13))*LN((Calculations!$C$8*(Calculations!$O92-Calculations!$C$13))/(Calculations!$O92*(Calculations!$C$8-Calculations!$C$13))))+'Reaction Information'!$J$66*10^-1*(Calculations!$M92-Calculations!$C$9)+'Reaction Information'!$K$66*10^2*LN((Calculations!$C$12+Calculations!$M92)/(Calculations!$C$12+Calculations!$C$9))+(1/(Calculations!$O92-Calculations!$C$13))*('Reaction Information'!$L$66*(Calculations!$M92-Calculations!$C$9)+'Reaction Information'!$M$66*10^4*LN((Calculations!$C$12+Calculations!$M92)/(Calculations!$C$12+Calculations!$C$9)))+calculateOmega(Calculations!M92,Calculations!N92,Calculations!Q92,'Reaction Information'!$C$66,'Reaction Information'!$P$66*10^5,'Reaction Information'!$Q$66)*((1/Calculations!$S92)-1)-'Reaction Information'!$P$66*10^5*((1/Calculations!$C$10)-1)+'Reaction Information'!$P$66*10^5*Calculations!$C$14*(Calculations!$O92-Calculations!$C$8))</f>
        <v>#N/A</v>
      </c>
      <c r="AY92" s="31">
        <f>(AL92*Input!$AO$4+AM92*Input!$AR$4+AN92*Input!$AU$4+AO92*Input!$AX$4+IF(ISNA(AP92),0,AP92*Input!$BA$4)+IF(ISNA(AQ92),0,AQ92*Input!$BD$4)+IF(ISNA(AR92),0,AR92*Input!$BG$4)+IF(ISNA(AS92),0,AS92*Input!$BJ$4)+IF(ISNA(AT92),0,AT92*Input!$BM$4)+IF(ISNA(AU92),0,AU92*Input!$BP$4)+IF(ISNA(AV92),0,AV92*Input!$BS$4)+IF(ISNA(AW92),0,AW92*Input!$BV$4)+IF(ISNA(AX92),0,AX92*Input!$BY$4))-(Y92*Input!$B$4+Z92*Input!$E$4+AA92*Input!$H$4+AB92*Input!$K$4+IF(ISNA(AC92),0,AC92*Input!$N$4)+IF(ISNA(AD92),0,AD92*Input!$Q$4)+IF(ISNA(AE92),0,AE92*Input!$T$4)+IF(ISNA(AF92),0,AF92*Input!$W$4)+IF(ISNA(AG92),0,AG92*Input!$Z$4)+IF(ISNA(AH92),0,AH92*Input!$AC$4)+IF(ISNA(AI92),0,AI92*Input!$AF$4)+IF(ISNA(AJ92),0,AJ92*Input!$AI$4)+IF(ISNA(AK92),0,AK92*Input!$AL$4))</f>
        <v>29466.203196191258</v>
      </c>
      <c r="AZ92" s="42">
        <f t="shared" si="20"/>
        <v>-5.7374417783871241</v>
      </c>
      <c r="BA92" s="1">
        <f t="shared" si="27"/>
        <v>850</v>
      </c>
      <c r="BB92" s="46">
        <f t="shared" si="28"/>
        <v>30000</v>
      </c>
      <c r="BC92" s="1"/>
      <c r="BD92" s="2">
        <f t="shared" si="29"/>
        <v>30000</v>
      </c>
      <c r="BE92" s="46">
        <f t="shared" si="30"/>
        <v>850</v>
      </c>
      <c r="BF92" s="1">
        <f>Results!AJ94</f>
        <v>0</v>
      </c>
      <c r="BG92" s="1">
        <f>Results!AK94</f>
        <v>0</v>
      </c>
      <c r="BH92" s="1">
        <f>Results!AL94</f>
        <v>0</v>
      </c>
      <c r="BI92" s="1">
        <f>Results!AM94</f>
        <v>0</v>
      </c>
      <c r="BJ92" s="1" t="e">
        <f>IF(OR(ISNA('Reaction Information'!$D$5), $N92 = "", $D$27 = FALSE, 'Reaction Information'!$D$5 = ""), NA(), 24.465)</f>
        <v>#N/A</v>
      </c>
      <c r="BK92" s="1" t="e">
        <f>IF(OR(ISNA('Reaction Information'!$D$9), $N92 = "", $D$27 = FALSE, 'Reaction Information'!$D$9 = ""), NA(), 24.465)</f>
        <v>#N/A</v>
      </c>
      <c r="BL92" s="8">
        <f t="shared" si="21"/>
        <v>15.470283235485022</v>
      </c>
      <c r="BM92" s="8">
        <f>IF(OR(ISBLANK(Input!$X$4),$D$27=FALSE),NA(),('Reaction Information'!$J$13/10+'Reaction Information'!$K$13*100/(Calculations!$C$12+Calculations!$M92)+('Reaction Information'!$L$13+'Reaction Information'!$M$13*10^4/(Calculations!$C$12+Calculations!$M92))/(Calculations!$O92-Calculations!$C$13) -calculateOmega(Calculations!$M92,Calculations!$N92,Calculations!$Q92,'Reaction Information'!$C$13,'Reaction Information'!$P$13*10^5,'Reaction Information'!$Q$13)*Calculations!$U92*10^-6 + (1/$S92 - 1)*calculate_domegadP(Calculations!$M92,Calculations!$N92,Calculations!$Q92,'Reaction Information'!$C$13,'Reaction Information'!$P$13*10^5,'Reaction Information'!$Q$13,$D$20,$D$19=3))*41.84)</f>
        <v>30.778854704230579</v>
      </c>
      <c r="BN92" s="8" t="e">
        <f>IF(OR(ISBLANK(Input!$AA$4),$D$27=FALSE),NA(),('Reaction Information'!$J$17/10+'Reaction Information'!$K$17*100/(Calculations!$C$12+Calculations!$M92)+('Reaction Information'!$L$17+'Reaction Information'!$M$17*10000/(Calculations!$C$12+Calculations!$M92))/(Calculations!$O92-Calculations!$C$13)-calculateOmega(Calculations!M92,Calculations!N92,Calculations!Q92,'Reaction Information'!$C$17,'Reaction Information'!$P$17*10^5,'Reaction Information'!$Q$17)*Calculations!$U92*10^-6 + (1/$S92 - 1)*calculate_domegadP(Calculations!M92,Calculations!N92,Calculations!Q92,'Reaction Information'!$C$17,'Reaction Information'!$P$17*10^5,'Reaction Information'!$Q$17,$D$20,$D$19=3))*41.84)</f>
        <v>#N/A</v>
      </c>
      <c r="BO92" s="8" t="e">
        <f>IF(OR(ISBLANK(Input!$AD$4),$D$27=FALSE),NA(),('Reaction Information'!$J$21/10+'Reaction Information'!$K$21*100/(Calculations!$C$12+Calculations!$M92)+('Reaction Information'!$L$21+'Reaction Information'!$M$21*10000/(Calculations!$C$12+Calculations!$M92))/(Calculations!$O92-Calculations!$C$13)-calculateOmega(Calculations!M92,Calculations!N92,Calculations!Q92,'Reaction Information'!$C$21,'Reaction Information'!$P$21*10^5,'Reaction Information'!$Q$21)*Calculations!$U92*10^-6 + (1/$S92 - 1)*calculate_domegadP(Calculations!M92,Calculations!N92,Calculations!Q92,'Reaction Information'!$C$21,'Reaction Information'!$P$21*10^5,'Reaction Information'!$Q$21,$D$20,$D$19=3))*41.84)</f>
        <v>#N/A</v>
      </c>
      <c r="BP92" s="8" t="e">
        <f>IF(OR(ISBLANK(Input!$AG$4),$D$27=FALSE),NA(),('Reaction Information'!$J$25/10+'Reaction Information'!$K$25*100/(Calculations!$C$12+Calculations!$M92)+('Reaction Information'!$L$25+'Reaction Information'!$M$25*10000/(Calculations!$C$12+Calculations!$M92))/(Calculations!$O92-Calculations!$C$13)-calculateOmega(Calculations!M92,Calculations!N92,Calculations!Q92,'Reaction Information'!$C$25,'Reaction Information'!$P$25*10^5,'Reaction Information'!$Q$25)*Calculations!$U92*10^-6 + (1/$S92 - 1)*calculate_domegadP(Calculations!M92,Calculations!N92,Calculations!Q92,'Reaction Information'!$C$25,'Reaction Information'!$P$25*10^5,'Reaction Information'!$Q$25,$D$20,$D$19=3))*41.84)</f>
        <v>#N/A</v>
      </c>
      <c r="BQ92" s="8" t="e">
        <f>IF(OR(ISBLANK(Input!$AJ$4),$D$27=FALSE),NA(),('Reaction Information'!$J$29/10+'Reaction Information'!$K$29*100/(Calculations!$C$12+Calculations!$M92)+('Reaction Information'!$L$29+'Reaction Information'!$M$29*10000/(Calculations!$C$12+Calculations!$M92))/(Calculations!$O92-Calculations!$C$13)-calculateOmega(Calculations!M92,Calculations!N92,Calculations!Q92,'Reaction Information'!$C$29,'Reaction Information'!$P$29*10^5,'Reaction Information'!$Q$29)*Calculations!$U92*10^-6 + (1/$S92 - 1)*calculate_domegadP(Calculations!M92,Calculations!N92,Calculations!Q92,'Reaction Information'!$C$29,'Reaction Information'!$P$29*10^5,'Reaction Information'!$Q$29,$D$20,$D$19=3))*41.84)</f>
        <v>#N/A</v>
      </c>
      <c r="BR92" s="8" t="e">
        <f>IF(OR(ISBLANK(Input!$AM$4),$D$27=FALSE),NA(),('Reaction Information'!$J$33/10+'Reaction Information'!$K$33*100/(Calculations!$C$12+Calculations!$M92)+('Reaction Information'!$L$33+'Reaction Information'!$M$33*10000/(Calculations!$C$12+Calculations!$M92))/(Calculations!$O92-Calculations!$C$13)-calculateOmega(Calculations!M92,Calculations!N92,Calculations!Q92,'Reaction Information'!$C$33,'Reaction Information'!$P$33*10^5,'Reaction Information'!$Q$33)*Calculations!$U92*10^-6 + (1/$S92 - 1)*calculate_domegadP(Calculations!M92,Calculations!N92,Calculations!Q92,'Reaction Information'!$C$33,'Reaction Information'!$P$33*10^5,'Reaction Information'!$Q$33,$D$20,$D$19=3))*41.84)</f>
        <v>#N/A</v>
      </c>
      <c r="BS92" s="1">
        <f>Results!AW94</f>
        <v>0</v>
      </c>
      <c r="BT92" s="1">
        <f>Results!AX94</f>
        <v>0</v>
      </c>
      <c r="BU92" s="1">
        <f>Results!AY94</f>
        <v>0</v>
      </c>
      <c r="BV92" s="1">
        <f>Results!AZ94</f>
        <v>0</v>
      </c>
      <c r="BW92" s="1" t="e">
        <f>IF(OR(ISNA('Reaction Information'!$D$38), $N92 = "", $D$27 = FALSE, 'Reaction Information'!$D$38 = ""), NA(), 24.465)</f>
        <v>#N/A</v>
      </c>
      <c r="BX92" s="1" t="e">
        <f>IF(OR(ISNA('Reaction Information'!$D$42), $N92 = "", $D$27 = FALSE, 'Reaction Information'!$D$42 = ""), NA(), 24.465)</f>
        <v>#N/A</v>
      </c>
      <c r="BY92" s="8" t="e">
        <f t="shared" si="22"/>
        <v>#N/A</v>
      </c>
      <c r="BZ92" s="8">
        <f>IF(OR(ISBLANK(Input!$BK$4),$D$27=FALSE),NA(),('Reaction Information'!$J$46/10+'Reaction Information'!$K$46*100/(Calculations!$C$12+Calculations!$M92)+('Reaction Information'!$L$46+'Reaction Information'!$M$46*10000/(Calculations!$C$12+Calculations!$M92))/(Calculations!$O92-Calculations!$C$13)-calculateOmega(Calculations!M92,Calculations!N92,Calculations!Q92,'Reaction Information'!$C$46,'Reaction Information'!$P$46*10^5,'Reaction Information'!$Q$46)*Calculations!$U92*10^-6 + (1/$S92 - 1)*calculate_domegadP(Calculations!M92,Calculations!N92,Calculations!Q92,'Reaction Information'!$C$46,'Reaction Information'!$P$46*10^5,'Reaction Information'!$Q$46,$D$20,$D$19=3))*41.84)</f>
        <v>0</v>
      </c>
      <c r="CA92" s="8">
        <f>IF(OR(ISBLANK(Input!$BN$4),$D$27=FALSE),NA(),('Reaction Information'!$J$50/10+'Reaction Information'!$K$50*100/(Calculations!$C$12+Calculations!$M92)+('Reaction Information'!$L$50+'Reaction Information'!$M$50*10000/(Calculations!$C$12+Calculations!$M92))/(Calculations!$O92-Calculations!$C$13)-calculateOmega(Calculations!M92,Calculations!N92,Calculations!Q92,'Reaction Information'!$C$50,'Reaction Information'!$P$50*10^5,'Reaction Information'!$Q$50)*Calculations!$U92*10^-6 + (1/$S92 - 1)*calculate_domegadP(Calculations!M92,Calculations!N92,Calculations!Q92,'Reaction Information'!$C$50,'Reaction Information'!$P$50*10^5,'Reaction Information'!$Q$50,$D$20,$D$19=3))*41.84)</f>
        <v>30.121078084454453</v>
      </c>
      <c r="CB92" s="8" t="e">
        <f>IF(OR(ISBLANK(Input!$BQ$4),$D$27=FALSE),NA(),('Reaction Information'!$J$54/10+'Reaction Information'!$K$54*100/(Calculations!$C$12+Calculations!$M92)+('Reaction Information'!$L$54+'Reaction Information'!$M$54*10000/(Calculations!$C$12+Calculations!$M92))/(Calculations!$O92-Calculations!$C$13)-calculateOmega(Calculations!M92,Calculations!N92,Calculations!Q92,'Reaction Information'!$C$54,'Reaction Information'!$P$54*10^5,'Reaction Information'!$Q$54)*Calculations!$U92*10^-6 + (1/$S92 - 1)*calculate_domegadP(Calculations!M92,Calculations!N92,Calculations!Q92,'Reaction Information'!$C$54,'Reaction Information'!$P$54*10^5,'Reaction Information'!$Q$54,$D$20,$D$19=3))*41.84)</f>
        <v>#N/A</v>
      </c>
      <c r="CC92" s="8" t="e">
        <f>IF(OR(ISBLANK(Input!$BT$4),$D$27=FALSE),NA(),('Reaction Information'!$J$58/10+'Reaction Information'!$K$58*100/(Calculations!$C$12+Calculations!$M92)+('Reaction Information'!$L$58+'Reaction Information'!$M$58*10000/(Calculations!$C$12+Calculations!$M92))/(Calculations!$O92-Calculations!$C$13)-calculateOmega(Calculations!M92,Calculations!N92,Calculations!Q92,'Reaction Information'!$C$58,'Reaction Information'!$P$58*10^5,'Reaction Information'!$Q$58)*Calculations!$U92*10^-6 + (1/$S92 - 1)*calculate_domegadP(Calculations!M92,Calculations!N92,Calculations!Q92,'Reaction Information'!$C$58,'Reaction Information'!$P$58*10^5,'Reaction Information'!$Q$58,$D$20,$D$19=3))*41.84)</f>
        <v>#N/A</v>
      </c>
      <c r="CD92" s="8" t="e">
        <f>IF(OR(ISBLANK(Input!$BW$4),$D$27=FALSE),NA(),('Reaction Information'!$J$62/10+'Reaction Information'!$K$62*100/(Calculations!$C$12+Calculations!$M92)+('Reaction Information'!$L$62+'Reaction Information'!$M$62*10000/(Calculations!$C$12+Calculations!$M92))/(Calculations!$O92-Calculations!$C$13)-calculateOmega(Calculations!M92,Calculations!N92,Calculations!Q92,'Reaction Information'!$C$62,'Reaction Information'!$P$62*10^5,'Reaction Information'!$Q$62)*Calculations!$U92*10^-6 + (1/$S92 - 1)*calculate_domegadP(Calculations!M92,Calculations!N92,Calculations!Q92,'Reaction Information'!$C$62,'Reaction Information'!$P$62*10^5,'Reaction Information'!$Q$62,$D$20,$D$19=3))*41.84)</f>
        <v>#N/A</v>
      </c>
      <c r="CE92" s="8" t="e">
        <f>IF(OR(ISBLANK(Input!$BZ$4),$D$27=FALSE),NA(),('Reaction Information'!$J$66/10+'Reaction Information'!$K$66*100/(Calculations!$C$12+Calculations!$M92)+('Reaction Information'!$L$66+'Reaction Information'!$M$66*10000/(Calculations!$C$12+Calculations!$M92))/(Calculations!$O92-Calculations!$C$13)-calculateOmega(Calculations!M92,Calculations!N92,Calculations!Q92,'Reaction Information'!$C$66,'Reaction Information'!$P$66*10^5,'Reaction Information'!$Q$66)*Calculations!$U92*10^-6 + (1/$S92 - 1)*calculate_domegadP(Calculations!M92,Calculations!N92,Calculations!Q92,'Reaction Information'!$C$66,'Reaction Information'!$P$66*10^5,'Reaction Information'!$Q$66,$D$20,$D$19=3))*41.84)</f>
        <v>#N/A</v>
      </c>
      <c r="CF92" s="31">
        <f>(BS92*Input!$AO$4+BT92*Input!$AR$4+BU92*Input!$AU$4+BV92*Input!$AX$4+IF(ISNA(BW92),0,BW92*Input!$BA$4)+IF(ISNA(BX92),0,BX92*Input!$BD$4)+IF(ISNA(BY92),0,BY92*Input!$BG$4)+IF(ISNA(BZ92),0,BZ92*Input!$BJ$4)+IF(ISNA(CA92),0,CA92*Input!$BM$4)+IF(ISNA(CB92),0,CB92*Input!$BP$4)+IF(ISNA(CC92),0,CC92*Input!$BS$4)+IF(ISNA(CD92),0,CD92*Input!$BV$4)+IF(ISNA(CE92),0,CE92*Input!$BY$4))-(BF92*Input!$B$4+BG92*Input!$E$4+BH92*Input!$H$4+BI92*Input!$K$4+IF(ISNA(BJ92),0,BJ92*Input!$N$4)+IF(ISNA(BK92),0,BK92*Input!$Q$4)+IF(ISNA(BL92),0,BL92*Input!$T$4)+IF(ISNA(BM92),0,BM92*Input!$W$4)+IF(ISNA(BN92),0,BN92*Input!$Z$4)+IF(ISNA(BO92),0,BO92*Input!$AC$4)+IF(ISNA(BP92),0,BP92*Input!$AF$4)+IF(ISNA(BQ92),0,BQ92*Input!$AI$4)+IF(ISNA(BR92),0,BR92*Input!$AL$4))</f>
        <v>-16.128059855261149</v>
      </c>
      <c r="CG92" s="1">
        <f t="shared" si="31"/>
        <v>850</v>
      </c>
      <c r="CH92" s="46">
        <f t="shared" si="32"/>
        <v>30000</v>
      </c>
      <c r="CI92" s="1"/>
    </row>
    <row r="93" spans="1:87" x14ac:dyDescent="0.2">
      <c r="A93" s="1"/>
      <c r="B93" s="1"/>
      <c r="C93" s="1"/>
      <c r="D93" s="1"/>
      <c r="E93" s="1"/>
      <c r="F93" s="2">
        <v>88</v>
      </c>
      <c r="G93" s="1" t="str">
        <f>IF(ISBLANK(Input!CB93), "", Input!CB93*1000)</f>
        <v/>
      </c>
      <c r="H93" s="1" t="str">
        <f>IF(ISBLANK(Input!CC93), "", Input!CC93)</f>
        <v/>
      </c>
      <c r="I93" s="1">
        <f>IF(Input!$CF$5 + Input!$CF$6*(FLOOR((Calculations!$F93-1)/(FLOOR((Input!$CF$12-Input!$CF$10)/Input!$CF$11,1)+1),1)) &gt; Input!$CF$7, "", (Input!$CF$5 + Input!$CF$6*(FLOOR((Calculations!$F93-1)/(FLOOR((Input!$CF$12-Input!$CF$10)/Input!$CF$11,1)+1),1)))*1000)</f>
        <v>30000</v>
      </c>
      <c r="J93" s="1">
        <f>IF(Calculations!I93 = "", "", Input!$CF$10 + Input!$CF$11*(Calculations!$F93-1) - (FLOOR((Input!$CF$12-Input!$CF$10)/Input!$CF$11,1)+1)*Input!$CF$11*FLOOR((Calculations!$F93-1)/(FLOOR((Input!$CF$12-Input!$CF$10)/Input!$CF$11,1)+1),1))</f>
        <v>900</v>
      </c>
      <c r="K93" s="8" t="str">
        <f t="shared" si="33"/>
        <v/>
      </c>
      <c r="L93" s="117" t="str">
        <f>IF(OR(Input!$CJ$5 + Input!$CJ$6*(Calculations!F93-1) &gt; Input!$CJ$7, Input!$CJ$5 + Input!$CJ$6*(Calculations!F93-1) &gt; 350), "", Input!$CJ$5 + Input!$CJ$6*(Calculations!F93-1))</f>
        <v/>
      </c>
      <c r="M93" s="1">
        <f t="shared" si="23"/>
        <v>30000</v>
      </c>
      <c r="N93" s="1">
        <f t="shared" si="24"/>
        <v>900</v>
      </c>
      <c r="O93" s="1">
        <f t="shared" si="19"/>
        <v>1173.1500000000001</v>
      </c>
      <c r="P93" s="1" t="e">
        <f>IF(OR($D$20=3,AND($D$21=TRUE,M93&lt;1000)),INDEX('Water Density'!$C$6:$CX$120,MATCH(Calculations!N93,'Water Density'!$B$6:$B$120),MATCH(Calculations!M93/1000,'Water Density'!$C$5:$CX$5)),NA())</f>
        <v>#N/A</v>
      </c>
      <c r="Q93" s="182">
        <f>IF(OR($D$20=3,AND($D$21=TRUE,M93&lt;1000)), IF(P93&lt;&gt;0,P93,NA()), calculateDensity(M93,N93,$D$20,0.01,$D$19 = 3))</f>
        <v>1.1506769390046596</v>
      </c>
      <c r="R93" s="1" t="e">
        <f>IF($D$22=5,INDEX('Dielectric Constant'!$C$6:$CX$120,MATCH(Calculations!N93,'Dielectric Constant'!$B$6:$B$120),MATCH(Calculations!M93/1000,'Dielectric Constant'!$C$5:$CX$5)),NA())</f>
        <v>#N/A</v>
      </c>
      <c r="S93" s="58">
        <f>IF($D$22=5, IF(R93&lt;&gt;0,R93,NA()), IF(AND($D$23,M93&lt;=5000,$D$19 &lt;&gt; 3),calculateEpsilon(Q93,N93,1,FALSE),calculateEpsilon(Q93,N93,$D$22,$D$19 = 3)))</f>
        <v>16.575273321764751</v>
      </c>
      <c r="T93" s="1" t="e">
        <f>IF($D$24=3,INDEX('Water Free Energy'!$C$6:$CX$120,MATCH(Calculations!N93,'Water Free Energy'!$B$6:$B$120),MATCH(Calculations!M93/1000,'Water Free Energy'!$C$5:$CX$5)),NA())</f>
        <v>#N/A</v>
      </c>
      <c r="U93" s="179">
        <f>IF($D$27,calculateQ(M93,N93,Q93,$D$20,$D$22,$D$19=3)*10^6,NA())</f>
        <v>0.39939319750377961</v>
      </c>
      <c r="V93"/>
      <c r="W93" s="2">
        <f t="shared" si="25"/>
        <v>30000</v>
      </c>
      <c r="X93" s="1">
        <f t="shared" si="26"/>
        <v>900</v>
      </c>
      <c r="Y93" s="1">
        <f>Results!F95</f>
        <v>0</v>
      </c>
      <c r="Z93" s="1">
        <f>Results!G95</f>
        <v>0</v>
      </c>
      <c r="AA93" s="1">
        <f>Results!H95</f>
        <v>0</v>
      </c>
      <c r="AB93" s="1">
        <f>Results!I95</f>
        <v>0</v>
      </c>
      <c r="AC93" s="1" t="e">
        <f>IF(ISBLANK(Input!$O$4),NA(),'Reaction Information'!$E$5-'Reaction Information'!$G$5*(Calculations!$O93-Calculations!$C$8)+'Reaction Information'!$I$5*(Calculations!$O93-Calculations!$C$8-Calculations!$O93*LN(Calculations!$O93/Calculations!$C$8))+'Reaction Information'!$J$5*0.001/2*(2*Calculations!$O93*Calculations!$C$8-Calculations!$O93^2-Calculations!$C$8^2) + 'Reaction Information'!$K$5*100000*(Calculations!$O93^2 + Calculations!$C$8^2 - 2*Calculations!$O93*Calculations!$C$8)/(2*Calculations!$O93*Calculations!$C$8^2))</f>
        <v>#N/A</v>
      </c>
      <c r="AD93" s="8" t="e">
        <f>IF(ISBLANK(Input!$R$4),NA(),'Reaction Information'!$E$9-'Reaction Information'!$G$9*(Calculations!$O93-Calculations!$C$8)+'Reaction Information'!$I$9*(Calculations!$O93-Calculations!$C$8-Calculations!$O93*LN(Calculations!$O93/Calculations!$C$8))+'Reaction Information'!$J$9*0.001/2*(2*Calculations!$O93*Calculations!$C$8-Calculations!$O93^2-Calculations!$C$8^2) + 'Reaction Information'!$K$9*100000*(Calculations!$O93^2 + Calculations!$C$8^2 - 2*Calculations!$O93*Calculations!$C$8)/(2*Calculations!$O93*Calculations!$C$8^2))</f>
        <v>#N/A</v>
      </c>
      <c r="AE93" s="8">
        <f>IF(AE$5="H2O",IF($D$24=3,IF(T93=0,NA(),T93),calculateGibbsOfWater(M93,N93,$D$24,$D$20,$D$19=3)),NA())</f>
        <v>-68962.669759662705</v>
      </c>
      <c r="AF93" s="8">
        <f>IF(ISBLANK(Input!$X$4),NA(),'Reaction Information'!$E$13-'Reaction Information'!$G$13*(Calculations!O93-Calculations!$C$8)-'Reaction Information'!$N$13*(Calculations!O93*LN(Calculations!O93/Calculations!$C$8)-Calculations!O93+Calculations!$C$8)-'Reaction Information'!$O$13*10^4*(((1/(Calculations!O93-Calculations!$C$13))-(1/(Calculations!$C$8-Calculations!$C$13)))*((Calculations!$C$13-Calculations!O93)/(Calculations!$C$13))-(Calculations!O93/(Calculations!$C$13*Calculations!$C$13))*LN((Calculations!$C$8*(Calculations!O93-Calculations!$C$13))/(Calculations!O93*(Calculations!$C$8-Calculations!$C$13))))+'Reaction Information'!$J$13*10^-1*(Calculations!M93-Calculations!$C$9)+'Reaction Information'!$K$13*10^2*LN((Calculations!$C$12+Calculations!M93)/(Calculations!$C$12+Calculations!$C$9))+(1/(Calculations!O93-Calculations!$C$13))*('Reaction Information'!$L$13*(Calculations!M93-Calculations!$C$9)+'Reaction Information'!$M$13*10^4*LN((Calculations!$C$12+Calculations!M93)/(Calculations!$C$12+Calculations!$C$9)))+calculateOmega(Calculations!M93,Calculations!N93,Calculations!Q93,'Reaction Information'!$C$13,'Reaction Information'!$P$13*10^5,'Reaction Information'!$Q$13)*((1/Calculations!S93)-1)-'Reaction Information'!$P$13*10^5*((1/Calculations!$C$10)-1)+'Reaction Information'!$P$13*10^5*Calculations!$C$14*(Calculations!O93-Calculations!$C$8))</f>
        <v>-108256.43610705892</v>
      </c>
      <c r="AG93" s="8" t="e">
        <f>IF(ISBLANK(Input!$AA$4),NA(),'Reaction Information'!$E$17-'Reaction Information'!$G$17*(Calculations!$O93-Calculations!$C$8)-'Reaction Information'!$N$17*(Calculations!$O93*LN(Calculations!$O93/Calculations!$C$8)-Calculations!$O93+Calculations!$C$8)-'Reaction Information'!$O$17*10^4*(((1/(Calculations!$O93-Calculations!$C$13))-(1/(Calculations!$C$8-Calculations!$C$13)))*((Calculations!$C$13-Calculations!$O93)/(Calculations!$C$13))-(Calculations!$O93/(Calculations!$C$13*Calculations!$C$13))*LN((Calculations!$C$8*(Calculations!$O93-Calculations!$C$13))/(Calculations!$O93*(Calculations!$C$8-Calculations!$C$13))))+'Reaction Information'!$J$17*10^-1*(Calculations!$M93-Calculations!$C$9)+'Reaction Information'!$K$17*10^2*LN((Calculations!$C$12+Calculations!$M93)/(Calculations!$C$12+Calculations!$C$9))+(1/(Calculations!$O93-Calculations!$C$13))*('Reaction Information'!$L$17*(Calculations!$M93-Calculations!$C$9)+'Reaction Information'!$M$17*10^4*LN((Calculations!$C$12+Calculations!$M93)/(Calculations!$C$12+Calculations!$C$9)))+calculateOmega(Calculations!M93,Calculations!N93,Calculations!Q93,'Reaction Information'!$C$17,'Reaction Information'!$P$17*10^5,'Reaction Information'!$Q$17)*((1/Calculations!$S93)-1)-'Reaction Information'!$P$17*10^5*((1/Calculations!$C$10)-1)+'Reaction Information'!$P$17*10^5*Calculations!$C$14*(Calculations!$O93-Calculations!$C$8))</f>
        <v>#N/A</v>
      </c>
      <c r="AH93" s="8" t="e">
        <f>IF(ISBLANK(Input!$AD$4),NA(),'Reaction Information'!$E$21-'Reaction Information'!$G$21*(Calculations!$O93-Calculations!$C$8)-'Reaction Information'!$N$21*(Calculations!$O93*LN(Calculations!$O93/Calculations!$C$8)-Calculations!$O93+Calculations!$C$8)-'Reaction Information'!$O$21*10^4*(((1/(Calculations!$O93-Calculations!$C$13))-(1/(Calculations!$C$8-Calculations!$C$13)))*((Calculations!$C$13-Calculations!$O93)/(Calculations!$C$13))-(Calculations!$O93/(Calculations!$C$13*Calculations!$C$13))*LN((Calculations!$C$8*(Calculations!$O93-Calculations!$C$13))/(Calculations!$O93*(Calculations!$C$8-Calculations!$C$13))))+'Reaction Information'!$J$21*10^-1*(Calculations!$M93-Calculations!$C$9)+'Reaction Information'!$K$21*10^2*LN((Calculations!$C$12+Calculations!$M93)/(Calculations!$C$12+Calculations!$C$9))+(1/(Calculations!$O93-Calculations!$C$13))*('Reaction Information'!$L$21*(Calculations!$M93-Calculations!$C$9)+'Reaction Information'!$M$21*10^4*LN((Calculations!$C$12+Calculations!$M93)/(Calculations!$C$12+Calculations!$C$9)))+calculateOmega(Calculations!M93,Calculations!N93,Calculations!Q93,'Reaction Information'!$C$21,'Reaction Information'!$P$21*10^5,'Reaction Information'!$Q$21)*((1/Calculations!$S93)-1)-'Reaction Information'!$P$21*10^5*((1/Calculations!$C$10)-1)+'Reaction Information'!$P$21*10^5*Calculations!$C$14*(Calculations!$O93-Calculations!$C$8))</f>
        <v>#N/A</v>
      </c>
      <c r="AI93" s="8" t="e">
        <f>IF(ISBLANK(Input!$AG$4),NA(),'Reaction Information'!$E$25-'Reaction Information'!$G$25*(Calculations!$O93-Calculations!$C$8)-'Reaction Information'!$N$25*(Calculations!$O93*LN(Calculations!$O93/Calculations!$C$8)-Calculations!$O93+Calculations!$C$8)-'Reaction Information'!$O$25*10^4*(((1/(Calculations!$O93-Calculations!$C$13))-(1/(Calculations!$C$8-Calculations!$C$13)))*((Calculations!$C$13-Calculations!$O93)/(Calculations!$C$13))-(Calculations!$O93/(Calculations!$C$13*Calculations!$C$13))*LN((Calculations!$C$8*(Calculations!$O93-Calculations!$C$13))/(Calculations!$O93*(Calculations!$C$8-Calculations!$C$13))))+'Reaction Information'!$J$25*10^-1*(Calculations!$M93-Calculations!$C$9)+'Reaction Information'!$K$25*10^2*LN((Calculations!$C$12+Calculations!$M93)/(Calculations!$C$12+Calculations!$C$9))+(1/(Calculations!$O93-Calculations!$C$13))*('Reaction Information'!$L$25*(Calculations!$M93-Calculations!$C$9)+'Reaction Information'!$M$25*10^4*LN((Calculations!$C$12+Calculations!$M93)/(Calculations!$C$12+Calculations!$C$9)))+calculateOmega(Calculations!M93,Calculations!N93,Calculations!Q93,'Reaction Information'!$C$25,'Reaction Information'!$P$25*10^5,'Reaction Information'!$Q$25)*((1/Calculations!$S93)-1)-'Reaction Information'!$P$25*10^5*((1/Calculations!$C$10)-1)+'Reaction Information'!$P$25*10^5*Calculations!$C$14*(Calculations!$O93-Calculations!$C$8))</f>
        <v>#N/A</v>
      </c>
      <c r="AJ93" s="8" t="e">
        <f>IF(ISBLANK(Input!$AJ$4),NA(),'Reaction Information'!$E$29-'Reaction Information'!$G$29*(Calculations!$O93-Calculations!$C$8)-'Reaction Information'!$N$29*(Calculations!$O93*LN(Calculations!$O93/Calculations!$C$8)-Calculations!$O93+Calculations!$C$8)-'Reaction Information'!$O$29*10^4*(((1/(Calculations!$O93-Calculations!$C$13))-(1/(Calculations!$C$8-Calculations!$C$13)))*((Calculations!$C$13-Calculations!$O93)/(Calculations!$C$13))-(Calculations!$O93/(Calculations!$C$13*Calculations!$C$13))*LN((Calculations!$C$8*(Calculations!$O93-Calculations!$C$13))/(Calculations!$O93*(Calculations!$C$8-Calculations!$C$13))))+'Reaction Information'!$J$29*10^-1*(Calculations!$M93-Calculations!$C$9)+'Reaction Information'!$K$29*10^2*LN((Calculations!$C$12+Calculations!$M93)/(Calculations!$C$12+Calculations!$C$9))+(1/(Calculations!$O93-Calculations!$C$13))*('Reaction Information'!$L$29*(Calculations!$M93-Calculations!$C$9)+'Reaction Information'!$M$29*10^4*LN((Calculations!$C$12+Calculations!$M93)/(Calculations!$C$12+Calculations!$C$9)))+calculateOmega(Calculations!M93,Calculations!N93,Calculations!Q93,'Reaction Information'!$C$29,'Reaction Information'!$P$29*10^5,'Reaction Information'!$Q$29)*((1/Calculations!$S93)-1)-'Reaction Information'!$P$29*10^5*((1/Calculations!$C$10)-1)+'Reaction Information'!$P$29*10^5*Calculations!$C$14*(Calculations!$O93-Calculations!$C$8))</f>
        <v>#N/A</v>
      </c>
      <c r="AK93" s="8" t="e">
        <f>IF(ISBLANK(Input!$AM$4),NA(),'Reaction Information'!$E$33-'Reaction Information'!$G$33*(Calculations!$O93-Calculations!$C$8)-'Reaction Information'!$N$33*(Calculations!$O93*LN(Calculations!$O93/Calculations!$C$8)-Calculations!$O93+Calculations!$C$8)-'Reaction Information'!$O$33*10^4*(((1/(Calculations!$O93-Calculations!$C$13))-(1/(Calculations!$C$8-Calculations!$C$13)))*((Calculations!$C$13-Calculations!$O93)/(Calculations!$C$13))-(Calculations!$O93/(Calculations!$C$13*Calculations!$C$13))*LN((Calculations!$C$8*(Calculations!$O93-Calculations!$C$13))/(Calculations!$O93*(Calculations!$C$8-Calculations!$C$13))))+'Reaction Information'!$J$33*10^-1*(Calculations!$M93-Calculations!$C$9)+'Reaction Information'!$K$33*10^2*LN((Calculations!$C$12+Calculations!$M93)/(Calculations!$C$12+Calculations!$C$9))+(1/(Calculations!$O93-Calculations!$C$13))*('Reaction Information'!$L$33*(Calculations!$M93-Calculations!$C$9)+'Reaction Information'!$M$33*10^4*LN((Calculations!$C$12+Calculations!$M93)/(Calculations!$C$12+Calculations!$C$9)))+calculateOmega(Calculations!M93,Calculations!N93,Calculations!Q93,'Reaction Information'!$C$33,'Reaction Information'!$P$33*10^5,'Reaction Information'!$Q$33)*((1/Calculations!$S93)-1)-'Reaction Information'!$P$33*10^5*((1/Calculations!$C$10)-1)+'Reaction Information'!$P$33*10^5*Calculations!$C$14*(Calculations!$O93-Calculations!$C$8))</f>
        <v>#N/A</v>
      </c>
      <c r="AL93" s="1">
        <f>Results!S95</f>
        <v>0</v>
      </c>
      <c r="AM93" s="1">
        <f>Results!T95</f>
        <v>0</v>
      </c>
      <c r="AN93" s="1">
        <f>Results!U95</f>
        <v>0</v>
      </c>
      <c r="AO93" s="1">
        <f>Results!V95</f>
        <v>0</v>
      </c>
      <c r="AP93" s="8" t="e">
        <f>IF(ISBLANK(Input!$BB$4),NA(),'Reaction Information'!$E$38-'Reaction Information'!$G$38*(Calculations!$O93-Calculations!$C$8)+'Reaction Information'!$I$38*(Calculations!$O93-Calculations!$C$8-Calculations!$O93*LN(Calculations!$O93/Calculations!$C$8))+'Reaction Information'!$J$38*0.001/2*(2*Calculations!$O93*Calculations!$C$8-Calculations!$O93^2-Calculations!$C$8^2) + 'Reaction Information'!$K$38*100000*(Calculations!$O93^2 + Calculations!$C$8^2 - 2*Calculations!$O93*Calculations!$C$8)/(2*Calculations!$O93*Calculations!$C$8^2))</f>
        <v>#N/A</v>
      </c>
      <c r="AQ93" s="8" t="e">
        <f>IF(ISBLANK(Input!$BE$4),NA(),'Reaction Information'!$E$42-'Reaction Information'!$G$42*(Calculations!$O93-Calculations!$C$8)+'Reaction Information'!$I$42*(Calculations!$O93-Calculations!$C$8-Calculations!$O93*LN(Calculations!$O93/Calculations!$C$8))+'Reaction Information'!$J$42*0.001/2*(2*Calculations!$O93*Calculations!$C$8-Calculations!$O93^2-Calculations!$C$8^2) + 'Reaction Information'!$K$42*100000*(Calculations!$O93^2 + Calculations!$C$8^2 - 2*Calculations!$O93*Calculations!$C$8)/(2*Calculations!$O93*Calculations!$C$8^2))</f>
        <v>#N/A</v>
      </c>
      <c r="AR93" s="8" t="e">
        <f>IF(AR$5="H2O", IF($D$24=3,IF(T93=0,NA(),T93),calculateGibbsOfWater(M93,N93,$D$24,$D$20,$D$19=3)),NA())</f>
        <v>#N/A</v>
      </c>
      <c r="AS93" s="8">
        <f>IF(ISBLANK(Input!$BK$4),NA(),'Reaction Information'!$E$46-'Reaction Information'!$G$46*(Calculations!O93-Calculations!$C$8)-'Reaction Information'!$N$46*(Calculations!O93*LN(Calculations!O93/Calculations!$C$8)-Calculations!O93+Calculations!$C$8)-'Reaction Information'!$O$46*10^4*(((1/(Calculations!O93-Calculations!$C$13))-(1/(Calculations!$C$8-Calculations!$C$13)))*((Calculations!$C$13-Calculations!O93)/(Calculations!$C$13))-(Calculations!O93/(Calculations!$C$13*Calculations!$C$13))*LN((Calculations!$C$8*(Calculations!O93-Calculations!$C$13))/(Calculations!O93*(Calculations!$C$8-Calculations!$C$13))))+'Reaction Information'!$J$46*10^-1*(Calculations!$M93-Calculations!$C$9)+'Reaction Information'!$K$46*10^2*LN((Calculations!$C$12+Calculations!$M93)/(Calculations!$C$12+Calculations!$C$9))+(1/(Calculations!O93-Calculations!$C$13))*('Reaction Information'!$L$46*(Calculations!$M93-Calculations!$C$9)+'Reaction Information'!$M$46*10^4*LN((Calculations!$C$12+Calculations!$M93)/(Calculations!$C$12+Calculations!$C$9)))+calculateOmega(Calculations!M93,Calculations!N93,Calculations!Q93,'Reaction Information'!$C$46,'Reaction Information'!$P$46*10^5,'Reaction Information'!$Q$46)*((1/Calculations!S93)-1)-'Reaction Information'!$P$46*10^5*((1/Calculations!$C$10)-1)+'Reaction Information'!$P$46*10^5*Calculations!$C$14*(Calculations!O93-Calculations!$C$8))</f>
        <v>0</v>
      </c>
      <c r="AT93" s="8">
        <f>IF(ISBLANK(Input!$BN$4),NA(),'Reaction Information'!$E$50-'Reaction Information'!$G$50*(Calculations!O93-Calculations!$C$8)-'Reaction Information'!$N$50*(Calculations!O93*LN(Calculations!O93/Calculations!$C$8)-Calculations!O93+Calculations!$C$8)-'Reaction Information'!$O$50*10^4*(((1/(Calculations!O93-Calculations!$C$13))-(1/(Calculations!$C$8-Calculations!$C$13)))*((Calculations!$C$13-Calculations!O93)/(Calculations!$C$13))-(Calculations!O93/(Calculations!$C$13*Calculations!$C$13))*LN((Calculations!$C$8*(Calculations!O93-Calculations!$C$13))/(Calculations!O93*(Calculations!$C$8-Calculations!$C$13))))+'Reaction Information'!$J$50*10^-1*(Calculations!$M93-Calculations!$C$9)+'Reaction Information'!$K$50*10^2*LN((Calculations!$C$12+Calculations!$M93)/(Calculations!$C$12+Calculations!$C$9))+(1/(Calculations!O93-Calculations!$C$13))*('Reaction Information'!$L$50*(Calculations!$M93-Calculations!$C$9)+'Reaction Information'!$M$50*10^4*LN((Calculations!$C$12+Calculations!$M93)/(Calculations!$C$12+Calculations!$C$9)))+calculateOmega(Calculations!M93,Calculations!N93,Calculations!Q93,'Reaction Information'!$C$50,'Reaction Information'!$P$50*10^5,'Reaction Information'!$Q$50)*((1/Calculations!S93)-1)-'Reaction Information'!$P$50*10^5*((1/Calculations!$C$10)-1)+'Reaction Information'!$P$50*10^5*Calculations!$C$14*(Calculations!O93-Calculations!$C$8))</f>
        <v>-145175.63292161078</v>
      </c>
      <c r="AU93" s="8" t="e">
        <f>IF(ISBLANK(Input!$BQ$4),NA(),'Reaction Information'!$E$54-'Reaction Information'!$G$54*(Calculations!$O93-Calculations!$C$8)-'Reaction Information'!$N$54*(Calculations!$O93*LN(Calculations!$O93/Calculations!$C$8)-Calculations!$O93+Calculations!$C$8)-'Reaction Information'!$O$54*10^4*(((1/(Calculations!$O93-Calculations!$C$13))-(1/(Calculations!$C$8-Calculations!$C$13)))*((Calculations!$C$13-Calculations!$O93)/(Calculations!$C$13))-(Calculations!$O93/(Calculations!$C$13*Calculations!$C$13))*LN((Calculations!$C$8*(Calculations!$O93-Calculations!$C$13))/(Calculations!$O93*(Calculations!$C$8-Calculations!$C$13))))+'Reaction Information'!$J$54*10^-1*(Calculations!$M93-Calculations!$C$9)+'Reaction Information'!$K$54*10^2*LN((Calculations!$C$12+Calculations!$M93)/(Calculations!$C$12+Calculations!$C$9))+(1/(Calculations!$O93-Calculations!$C$13))*('Reaction Information'!$L$54*(Calculations!$M93-Calculations!$C$9)+'Reaction Information'!$M$54*10^4*LN((Calculations!$C$12+Calculations!$M93)/(Calculations!$C$12+Calculations!$C$9)))+calculateOmega(Calculations!M93,Calculations!N93,Calculations!Q93,'Reaction Information'!$C$54,'Reaction Information'!$P$54*10^5,'Reaction Information'!$Q$54)*((1/Calculations!$S93)-1)-'Reaction Information'!$P$54*10^5*((1/Calculations!$C$10)-1)+'Reaction Information'!$P$54*10^5*Calculations!$C$14*(Calculations!$O93-Calculations!$C$8))</f>
        <v>#N/A</v>
      </c>
      <c r="AV93" s="8" t="e">
        <f>IF(ISBLANK(Input!$BT$4),NA(),'Reaction Information'!$E$58-'Reaction Information'!$G$58*(Calculations!$O93-Calculations!$C$8)-'Reaction Information'!$N$58*(Calculations!$O93*LN(Calculations!$O93/Calculations!$C$8)-Calculations!$O93+Calculations!$C$8)-'Reaction Information'!$O$58*10^4*(((1/(Calculations!$O93-Calculations!$C$13))-(1/(Calculations!$C$8-Calculations!$C$13)))*((Calculations!$C$13-Calculations!$O93)/(Calculations!$C$13))-(Calculations!$O93/(Calculations!$C$13*Calculations!$C$13))*LN((Calculations!$C$8*(Calculations!$O93-Calculations!$C$13))/(Calculations!$O93*(Calculations!$C$8-Calculations!$C$13))))+'Reaction Information'!$J$58*10^-1*(Calculations!$M93-Calculations!$C$9)+'Reaction Information'!$K$58*10^2*LN((Calculations!$C$12+Calculations!$M93)/(Calculations!$C$12+Calculations!$C$9))+(1/(Calculations!$O93-Calculations!$C$13))*('Reaction Information'!$L$58*(Calculations!$M93-Calculations!$C$9)+'Reaction Information'!$M$58*10^4*LN((Calculations!$C$12+Calculations!$M93)/(Calculations!$C$12+Calculations!$C$9)))+calculateOmega(Calculations!M93,Calculations!N93,Calculations!Q93,'Reaction Information'!$C$58,'Reaction Information'!$P$58*10^5,'Reaction Information'!$Q$58)*((1/Calculations!$S93)-1)-'Reaction Information'!$P$58*10^5*((1/Calculations!$C$10)-1)+'Reaction Information'!$P$58*10^5*Calculations!$C$14*(Calculations!$O93-Calculations!$C$8))</f>
        <v>#N/A</v>
      </c>
      <c r="AW93" s="8" t="e">
        <f>IF(ISBLANK(Input!$BW$4),NA(),'Reaction Information'!$E$62-'Reaction Information'!$G$62*(Calculations!$O93-Calculations!$C$8)-'Reaction Information'!$N$62*(Calculations!$O93*LN(Calculations!$O93/Calculations!$C$8)-Calculations!$O93+Calculations!$C$8)-'Reaction Information'!$O$62*10^4*(((1/(Calculations!$O93-Calculations!$C$13))-(1/(Calculations!$C$8-Calculations!$C$13)))*((Calculations!$C$13-Calculations!$O93)/(Calculations!$C$13))-(Calculations!$O93/(Calculations!$C$13*Calculations!$C$13))*LN((Calculations!$C$8*(Calculations!$O93-Calculations!$C$13))/(Calculations!$O93*(Calculations!$C$8-Calculations!$C$13))))+'Reaction Information'!$J$62*10^-1*(Calculations!$M93-Calculations!$C$9)+'Reaction Information'!$K$62*10^2*LN((Calculations!$C$12+Calculations!$M93)/(Calculations!$C$12+Calculations!$C$9))+(1/(Calculations!$O93-Calculations!$C$13))*('Reaction Information'!$L$62*(Calculations!$M93-Calculations!$C$9)+'Reaction Information'!$M$62*10^4*LN((Calculations!$C$12+Calculations!$M93)/(Calculations!$C$12+Calculations!$C$9)))+calculateOmega(Calculations!M93,Calculations!N93,Calculations!Q93,'Reaction Information'!$C$62,'Reaction Information'!$P$62*10^5,'Reaction Information'!$Q$62)*((1/Calculations!$S93)-1)-'Reaction Information'!$P$62*10^5*((1/Calculations!$C$10)-1)+'Reaction Information'!$P$62*10^5*Calculations!$C$14*(Calculations!$O93-Calculations!$C$8))</f>
        <v>#N/A</v>
      </c>
      <c r="AX93" s="8" t="e">
        <f>IF(ISBLANK(Input!$BZ$4),NA(),'Reaction Information'!$E$66-'Reaction Information'!$G$66*(Calculations!$O93-Calculations!$C$8)-'Reaction Information'!$N$66*(Calculations!$O93*LN(Calculations!$O93/Calculations!$C$8)-Calculations!$O93+Calculations!$C$8)-'Reaction Information'!$O$66*10^4*(((1/(Calculations!$O93-Calculations!$C$13))-(1/(Calculations!$C$8-Calculations!$C$13)))*((Calculations!$C$13-Calculations!$O93)/(Calculations!$C$13))-(Calculations!$O93/(Calculations!$C$13*Calculations!$C$13))*LN((Calculations!$C$8*(Calculations!$O93-Calculations!$C$13))/(Calculations!$O93*(Calculations!$C$8-Calculations!$C$13))))+'Reaction Information'!$J$66*10^-1*(Calculations!$M93-Calculations!$C$9)+'Reaction Information'!$K$66*10^2*LN((Calculations!$C$12+Calculations!$M93)/(Calculations!$C$12+Calculations!$C$9))+(1/(Calculations!$O93-Calculations!$C$13))*('Reaction Information'!$L$66*(Calculations!$M93-Calculations!$C$9)+'Reaction Information'!$M$66*10^4*LN((Calculations!$C$12+Calculations!$M93)/(Calculations!$C$12+Calculations!$C$9)))+calculateOmega(Calculations!M93,Calculations!N93,Calculations!Q93,'Reaction Information'!$C$66,'Reaction Information'!$P$66*10^5,'Reaction Information'!$Q$66)*((1/Calculations!$S93)-1)-'Reaction Information'!$P$66*10^5*((1/Calculations!$C$10)-1)+'Reaction Information'!$P$66*10^5*Calculations!$C$14*(Calculations!$O93-Calculations!$C$8))</f>
        <v>#N/A</v>
      </c>
      <c r="AY93" s="31">
        <f>(AL93*Input!$AO$4+AM93*Input!$AR$4+AN93*Input!$AU$4+AO93*Input!$AX$4+IF(ISNA(AP93),0,AP93*Input!$BA$4)+IF(ISNA(AQ93),0,AQ93*Input!$BD$4)+IF(ISNA(AR93),0,AR93*Input!$BG$4)+IF(ISNA(AS93),0,AS93*Input!$BJ$4)+IF(ISNA(AT93),0,AT93*Input!$BM$4)+IF(ISNA(AU93),0,AU93*Input!$BP$4)+IF(ISNA(AV93),0,AV93*Input!$BS$4)+IF(ISNA(AW93),0,AW93*Input!$BV$4)+IF(ISNA(AX93),0,AX93*Input!$BY$4))-(Y93*Input!$B$4+Z93*Input!$E$4+AA93*Input!$H$4+AB93*Input!$K$4+IF(ISNA(AC93),0,AC93*Input!$N$4)+IF(ISNA(AD93),0,AD93*Input!$Q$4)+IF(ISNA(AE93),0,AE93*Input!$T$4)+IF(ISNA(AF93),0,AF93*Input!$W$4)+IF(ISNA(AG93),0,AG93*Input!$Z$4)+IF(ISNA(AH93),0,AH93*Input!$AC$4)+IF(ISNA(AI93),0,AI93*Input!$AF$4)+IF(ISNA(AJ93),0,AJ93*Input!$AI$4)+IF(ISNA(AK93),0,AK93*Input!$AL$4))</f>
        <v>32043.472945110843</v>
      </c>
      <c r="AZ93" s="42">
        <f t="shared" si="20"/>
        <v>-5.97334925794173</v>
      </c>
      <c r="BA93" s="1">
        <f t="shared" si="27"/>
        <v>900</v>
      </c>
      <c r="BB93" s="46">
        <f t="shared" si="28"/>
        <v>30000</v>
      </c>
      <c r="BC93" s="1"/>
      <c r="BD93" s="2">
        <f t="shared" si="29"/>
        <v>30000</v>
      </c>
      <c r="BE93" s="46">
        <f t="shared" si="30"/>
        <v>900</v>
      </c>
      <c r="BF93" s="1">
        <f>Results!AJ95</f>
        <v>0</v>
      </c>
      <c r="BG93" s="1">
        <f>Results!AK95</f>
        <v>0</v>
      </c>
      <c r="BH93" s="1">
        <f>Results!AL95</f>
        <v>0</v>
      </c>
      <c r="BI93" s="1">
        <f>Results!AM95</f>
        <v>0</v>
      </c>
      <c r="BJ93" s="1" t="e">
        <f>IF(OR(ISNA('Reaction Information'!$D$5), $N93 = "", $D$27 = FALSE, 'Reaction Information'!$D$5 = ""), NA(), 24.465)</f>
        <v>#N/A</v>
      </c>
      <c r="BK93" s="1" t="e">
        <f>IF(OR(ISNA('Reaction Information'!$D$9), $N93 = "", $D$27 = FALSE, 'Reaction Information'!$D$9 = ""), NA(), 24.465)</f>
        <v>#N/A</v>
      </c>
      <c r="BL93" s="8">
        <f t="shared" si="21"/>
        <v>15.656244936639899</v>
      </c>
      <c r="BM93" s="8">
        <f>IF(OR(ISBLANK(Input!$X$4),$D$27=FALSE),NA(),('Reaction Information'!$J$13/10+'Reaction Information'!$K$13*100/(Calculations!$C$12+Calculations!$M93)+('Reaction Information'!$L$13+'Reaction Information'!$M$13*10^4/(Calculations!$C$12+Calculations!$M93))/(Calculations!$O93-Calculations!$C$13) -calculateOmega(Calculations!$M93,Calculations!$N93,Calculations!$Q93,'Reaction Information'!$C$13,'Reaction Information'!$P$13*10^5,'Reaction Information'!$Q$13)*Calculations!$U93*10^-6 + (1/$S93 - 1)*calculate_domegadP(Calculations!$M93,Calculations!$N93,Calculations!$Q93,'Reaction Information'!$C$13,'Reaction Information'!$P$13*10^5,'Reaction Information'!$Q$13,$D$20,$D$19=3))*41.84)</f>
        <v>30.859103445943866</v>
      </c>
      <c r="BN93" s="8" t="e">
        <f>IF(OR(ISBLANK(Input!$AA$4),$D$27=FALSE),NA(),('Reaction Information'!$J$17/10+'Reaction Information'!$K$17*100/(Calculations!$C$12+Calculations!$M93)+('Reaction Information'!$L$17+'Reaction Information'!$M$17*10000/(Calculations!$C$12+Calculations!$M93))/(Calculations!$O93-Calculations!$C$13)-calculateOmega(Calculations!M93,Calculations!N93,Calculations!Q93,'Reaction Information'!$C$17,'Reaction Information'!$P$17*10^5,'Reaction Information'!$Q$17)*Calculations!$U93*10^-6 + (1/$S93 - 1)*calculate_domegadP(Calculations!M93,Calculations!N93,Calculations!Q93,'Reaction Information'!$C$17,'Reaction Information'!$P$17*10^5,'Reaction Information'!$Q$17,$D$20,$D$19=3))*41.84)</f>
        <v>#N/A</v>
      </c>
      <c r="BO93" s="8" t="e">
        <f>IF(OR(ISBLANK(Input!$AD$4),$D$27=FALSE),NA(),('Reaction Information'!$J$21/10+'Reaction Information'!$K$21*100/(Calculations!$C$12+Calculations!$M93)+('Reaction Information'!$L$21+'Reaction Information'!$M$21*10000/(Calculations!$C$12+Calculations!$M93))/(Calculations!$O93-Calculations!$C$13)-calculateOmega(Calculations!M93,Calculations!N93,Calculations!Q93,'Reaction Information'!$C$21,'Reaction Information'!$P$21*10^5,'Reaction Information'!$Q$21)*Calculations!$U93*10^-6 + (1/$S93 - 1)*calculate_domegadP(Calculations!M93,Calculations!N93,Calculations!Q93,'Reaction Information'!$C$21,'Reaction Information'!$P$21*10^5,'Reaction Information'!$Q$21,$D$20,$D$19=3))*41.84)</f>
        <v>#N/A</v>
      </c>
      <c r="BP93" s="8" t="e">
        <f>IF(OR(ISBLANK(Input!$AG$4),$D$27=FALSE),NA(),('Reaction Information'!$J$25/10+'Reaction Information'!$K$25*100/(Calculations!$C$12+Calculations!$M93)+('Reaction Information'!$L$25+'Reaction Information'!$M$25*10000/(Calculations!$C$12+Calculations!$M93))/(Calculations!$O93-Calculations!$C$13)-calculateOmega(Calculations!M93,Calculations!N93,Calculations!Q93,'Reaction Information'!$C$25,'Reaction Information'!$P$25*10^5,'Reaction Information'!$Q$25)*Calculations!$U93*10^-6 + (1/$S93 - 1)*calculate_domegadP(Calculations!M93,Calculations!N93,Calculations!Q93,'Reaction Information'!$C$25,'Reaction Information'!$P$25*10^5,'Reaction Information'!$Q$25,$D$20,$D$19=3))*41.84)</f>
        <v>#N/A</v>
      </c>
      <c r="BQ93" s="8" t="e">
        <f>IF(OR(ISBLANK(Input!$AJ$4),$D$27=FALSE),NA(),('Reaction Information'!$J$29/10+'Reaction Information'!$K$29*100/(Calculations!$C$12+Calculations!$M93)+('Reaction Information'!$L$29+'Reaction Information'!$M$29*10000/(Calculations!$C$12+Calculations!$M93))/(Calculations!$O93-Calculations!$C$13)-calculateOmega(Calculations!M93,Calculations!N93,Calculations!Q93,'Reaction Information'!$C$29,'Reaction Information'!$P$29*10^5,'Reaction Information'!$Q$29)*Calculations!$U93*10^-6 + (1/$S93 - 1)*calculate_domegadP(Calculations!M93,Calculations!N93,Calculations!Q93,'Reaction Information'!$C$29,'Reaction Information'!$P$29*10^5,'Reaction Information'!$Q$29,$D$20,$D$19=3))*41.84)</f>
        <v>#N/A</v>
      </c>
      <c r="BR93" s="8" t="e">
        <f>IF(OR(ISBLANK(Input!$AM$4),$D$27=FALSE),NA(),('Reaction Information'!$J$33/10+'Reaction Information'!$K$33*100/(Calculations!$C$12+Calculations!$M93)+('Reaction Information'!$L$33+'Reaction Information'!$M$33*10000/(Calculations!$C$12+Calculations!$M93))/(Calculations!$O93-Calculations!$C$13)-calculateOmega(Calculations!M93,Calculations!N93,Calculations!Q93,'Reaction Information'!$C$33,'Reaction Information'!$P$33*10^5,'Reaction Information'!$Q$33)*Calculations!$U93*10^-6 + (1/$S93 - 1)*calculate_domegadP(Calculations!M93,Calculations!N93,Calculations!Q93,'Reaction Information'!$C$33,'Reaction Information'!$P$33*10^5,'Reaction Information'!$Q$33,$D$20,$D$19=3))*41.84)</f>
        <v>#N/A</v>
      </c>
      <c r="BS93" s="1">
        <f>Results!AW95</f>
        <v>0</v>
      </c>
      <c r="BT93" s="1">
        <f>Results!AX95</f>
        <v>0</v>
      </c>
      <c r="BU93" s="1">
        <f>Results!AY95</f>
        <v>0</v>
      </c>
      <c r="BV93" s="1">
        <f>Results!AZ95</f>
        <v>0</v>
      </c>
      <c r="BW93" s="1" t="e">
        <f>IF(OR(ISNA('Reaction Information'!$D$38), $N93 = "", $D$27 = FALSE, 'Reaction Information'!$D$38 = ""), NA(), 24.465)</f>
        <v>#N/A</v>
      </c>
      <c r="BX93" s="1" t="e">
        <f>IF(OR(ISNA('Reaction Information'!$D$42), $N93 = "", $D$27 = FALSE, 'Reaction Information'!$D$42 = ""), NA(), 24.465)</f>
        <v>#N/A</v>
      </c>
      <c r="BY93" s="8" t="e">
        <f t="shared" si="22"/>
        <v>#N/A</v>
      </c>
      <c r="BZ93" s="8">
        <f>IF(OR(ISBLANK(Input!$BK$4),$D$27=FALSE),NA(),('Reaction Information'!$J$46/10+'Reaction Information'!$K$46*100/(Calculations!$C$12+Calculations!$M93)+('Reaction Information'!$L$46+'Reaction Information'!$M$46*10000/(Calculations!$C$12+Calculations!$M93))/(Calculations!$O93-Calculations!$C$13)-calculateOmega(Calculations!M93,Calculations!N93,Calculations!Q93,'Reaction Information'!$C$46,'Reaction Information'!$P$46*10^5,'Reaction Information'!$Q$46)*Calculations!$U93*10^-6 + (1/$S93 - 1)*calculate_domegadP(Calculations!M93,Calculations!N93,Calculations!Q93,'Reaction Information'!$C$46,'Reaction Information'!$P$46*10^5,'Reaction Information'!$Q$46,$D$20,$D$19=3))*41.84)</f>
        <v>0</v>
      </c>
      <c r="CA93" s="8">
        <f>IF(OR(ISBLANK(Input!$BN$4),$D$27=FALSE),NA(),('Reaction Information'!$J$50/10+'Reaction Information'!$K$50*100/(Calculations!$C$12+Calculations!$M93)+('Reaction Information'!$L$50+'Reaction Information'!$M$50*10000/(Calculations!$C$12+Calculations!$M93))/(Calculations!$O93-Calculations!$C$13)-calculateOmega(Calculations!M93,Calculations!N93,Calculations!Q93,'Reaction Information'!$C$50,'Reaction Information'!$P$50*10^5,'Reaction Information'!$Q$50)*Calculations!$U93*10^-6 + (1/$S93 - 1)*calculate_domegadP(Calculations!M93,Calculations!N93,Calculations!Q93,'Reaction Information'!$C$50,'Reaction Information'!$P$50*10^5,'Reaction Information'!$Q$50,$D$20,$D$19=3))*41.84)</f>
        <v>29.986181520252028</v>
      </c>
      <c r="CB93" s="8" t="e">
        <f>IF(OR(ISBLANK(Input!$BQ$4),$D$27=FALSE),NA(),('Reaction Information'!$J$54/10+'Reaction Information'!$K$54*100/(Calculations!$C$12+Calculations!$M93)+('Reaction Information'!$L$54+'Reaction Information'!$M$54*10000/(Calculations!$C$12+Calculations!$M93))/(Calculations!$O93-Calculations!$C$13)-calculateOmega(Calculations!M93,Calculations!N93,Calculations!Q93,'Reaction Information'!$C$54,'Reaction Information'!$P$54*10^5,'Reaction Information'!$Q$54)*Calculations!$U93*10^-6 + (1/$S93 - 1)*calculate_domegadP(Calculations!M93,Calculations!N93,Calculations!Q93,'Reaction Information'!$C$54,'Reaction Information'!$P$54*10^5,'Reaction Information'!$Q$54,$D$20,$D$19=3))*41.84)</f>
        <v>#N/A</v>
      </c>
      <c r="CC93" s="8" t="e">
        <f>IF(OR(ISBLANK(Input!$BT$4),$D$27=FALSE),NA(),('Reaction Information'!$J$58/10+'Reaction Information'!$K$58*100/(Calculations!$C$12+Calculations!$M93)+('Reaction Information'!$L$58+'Reaction Information'!$M$58*10000/(Calculations!$C$12+Calculations!$M93))/(Calculations!$O93-Calculations!$C$13)-calculateOmega(Calculations!M93,Calculations!N93,Calculations!Q93,'Reaction Information'!$C$58,'Reaction Information'!$P$58*10^5,'Reaction Information'!$Q$58)*Calculations!$U93*10^-6 + (1/$S93 - 1)*calculate_domegadP(Calculations!M93,Calculations!N93,Calculations!Q93,'Reaction Information'!$C$58,'Reaction Information'!$P$58*10^5,'Reaction Information'!$Q$58,$D$20,$D$19=3))*41.84)</f>
        <v>#N/A</v>
      </c>
      <c r="CD93" s="8" t="e">
        <f>IF(OR(ISBLANK(Input!$BW$4),$D$27=FALSE),NA(),('Reaction Information'!$J$62/10+'Reaction Information'!$K$62*100/(Calculations!$C$12+Calculations!$M93)+('Reaction Information'!$L$62+'Reaction Information'!$M$62*10000/(Calculations!$C$12+Calculations!$M93))/(Calculations!$O93-Calculations!$C$13)-calculateOmega(Calculations!M93,Calculations!N93,Calculations!Q93,'Reaction Information'!$C$62,'Reaction Information'!$P$62*10^5,'Reaction Information'!$Q$62)*Calculations!$U93*10^-6 + (1/$S93 - 1)*calculate_domegadP(Calculations!M93,Calculations!N93,Calculations!Q93,'Reaction Information'!$C$62,'Reaction Information'!$P$62*10^5,'Reaction Information'!$Q$62,$D$20,$D$19=3))*41.84)</f>
        <v>#N/A</v>
      </c>
      <c r="CE93" s="8" t="e">
        <f>IF(OR(ISBLANK(Input!$BZ$4),$D$27=FALSE),NA(),('Reaction Information'!$J$66/10+'Reaction Information'!$K$66*100/(Calculations!$C$12+Calculations!$M93)+('Reaction Information'!$L$66+'Reaction Information'!$M$66*10000/(Calculations!$C$12+Calculations!$M93))/(Calculations!$O93-Calculations!$C$13)-calculateOmega(Calculations!M93,Calculations!N93,Calculations!Q93,'Reaction Information'!$C$66,'Reaction Information'!$P$66*10^5,'Reaction Information'!$Q$66)*Calculations!$U93*10^-6 + (1/$S93 - 1)*calculate_domegadP(Calculations!M93,Calculations!N93,Calculations!Q93,'Reaction Information'!$C$66,'Reaction Information'!$P$66*10^5,'Reaction Information'!$Q$66,$D$20,$D$19=3))*41.84)</f>
        <v>#N/A</v>
      </c>
      <c r="CF93" s="31">
        <f>(BS93*Input!$AO$4+BT93*Input!$AR$4+BU93*Input!$AU$4+BV93*Input!$AX$4+IF(ISNA(BW93),0,BW93*Input!$BA$4)+IF(ISNA(BX93),0,BX93*Input!$BD$4)+IF(ISNA(BY93),0,BY93*Input!$BG$4)+IF(ISNA(BZ93),0,BZ93*Input!$BJ$4)+IF(ISNA(CA93),0,CA93*Input!$BM$4)+IF(ISNA(CB93),0,CB93*Input!$BP$4)+IF(ISNA(CC93),0,CC93*Input!$BS$4)+IF(ISNA(CD93),0,CD93*Input!$BV$4)+IF(ISNA(CE93),0,CE93*Input!$BY$4))-(BF93*Input!$B$4+BG93*Input!$E$4+BH93*Input!$H$4+BI93*Input!$K$4+IF(ISNA(BJ93),0,BJ93*Input!$N$4)+IF(ISNA(BK93),0,BK93*Input!$Q$4)+IF(ISNA(BL93),0,BL93*Input!$T$4)+IF(ISNA(BM93),0,BM93*Input!$W$4)+IF(ISNA(BN93),0,BN93*Input!$Z$4)+IF(ISNA(BO93),0,BO93*Input!$AC$4)+IF(ISNA(BP93),0,BP93*Input!$AF$4)+IF(ISNA(BQ93),0,BQ93*Input!$AI$4)+IF(ISNA(BR93),0,BR93*Input!$AL$4))</f>
        <v>-16.529166862331738</v>
      </c>
      <c r="CG93" s="1">
        <f t="shared" si="31"/>
        <v>900</v>
      </c>
      <c r="CH93" s="46">
        <f t="shared" si="32"/>
        <v>30000</v>
      </c>
      <c r="CI93" s="1"/>
    </row>
    <row r="94" spans="1:87" x14ac:dyDescent="0.2">
      <c r="A94" s="1"/>
      <c r="B94" s="1"/>
      <c r="C94" s="1"/>
      <c r="D94" s="1"/>
      <c r="E94" s="1"/>
      <c r="F94" s="2">
        <v>89</v>
      </c>
      <c r="G94" s="1" t="str">
        <f>IF(ISBLANK(Input!CB94), "", Input!CB94*1000)</f>
        <v/>
      </c>
      <c r="H94" s="1" t="str">
        <f>IF(ISBLANK(Input!CC94), "", Input!CC94)</f>
        <v/>
      </c>
      <c r="I94" s="1">
        <f>IF(Input!$CF$5 + Input!$CF$6*(FLOOR((Calculations!$F94-1)/(FLOOR((Input!$CF$12-Input!$CF$10)/Input!$CF$11,1)+1),1)) &gt; Input!$CF$7, "", (Input!$CF$5 + Input!$CF$6*(FLOOR((Calculations!$F94-1)/(FLOOR((Input!$CF$12-Input!$CF$10)/Input!$CF$11,1)+1),1)))*1000)</f>
        <v>30000</v>
      </c>
      <c r="J94" s="1">
        <f>IF(Calculations!I94 = "", "", Input!$CF$10 + Input!$CF$11*(Calculations!$F94-1) - (FLOOR((Input!$CF$12-Input!$CF$10)/Input!$CF$11,1)+1)*Input!$CF$11*FLOOR((Calculations!$F94-1)/(FLOOR((Input!$CF$12-Input!$CF$10)/Input!$CF$11,1)+1),1))</f>
        <v>950</v>
      </c>
      <c r="K94" s="8" t="str">
        <f t="shared" si="33"/>
        <v/>
      </c>
      <c r="L94" s="117" t="str">
        <f>IF(OR(Input!$CJ$5 + Input!$CJ$6*(Calculations!F94-1) &gt; Input!$CJ$7, Input!$CJ$5 + Input!$CJ$6*(Calculations!F94-1) &gt; 350), "", Input!$CJ$5 + Input!$CJ$6*(Calculations!F94-1))</f>
        <v/>
      </c>
      <c r="M94" s="1">
        <f t="shared" si="23"/>
        <v>30000</v>
      </c>
      <c r="N94" s="1">
        <f t="shared" si="24"/>
        <v>950</v>
      </c>
      <c r="O94" s="1">
        <f t="shared" si="19"/>
        <v>1223.1500000000001</v>
      </c>
      <c r="P94" s="1" t="e">
        <f>IF(OR($D$20=3,AND($D$21=TRUE,M94&lt;1000)),INDEX('Water Density'!$C$6:$CX$120,MATCH(Calculations!N94,'Water Density'!$B$6:$B$120),MATCH(Calculations!M94/1000,'Water Density'!$C$5:$CX$5)),NA())</f>
        <v>#N/A</v>
      </c>
      <c r="Q94" s="182">
        <f>IF(OR($D$20=3,AND($D$21=TRUE,M94&lt;1000)), IF(P94&lt;&gt;0,P94,NA()), calculateDensity(M94,N94,$D$20,0.01,$D$19 = 3))</f>
        <v>1.1371614908522369</v>
      </c>
      <c r="R94" s="1" t="e">
        <f>IF($D$22=5,INDEX('Dielectric Constant'!$C$6:$CX$120,MATCH(Calculations!N94,'Dielectric Constant'!$B$6:$B$120),MATCH(Calculations!M94/1000,'Dielectric Constant'!$C$5:$CX$5)),NA())</f>
        <v>#N/A</v>
      </c>
      <c r="S94" s="58">
        <f>IF($D$22=5, IF(R94&lt;&gt;0,R94,NA()), IF(AND($D$23,M94&lt;=5000,$D$19 &lt;&gt; 3),calculateEpsilon(Q94,N94,1,FALSE),calculateEpsilon(Q94,N94,$D$22,$D$19 = 3)))</f>
        <v>15.305060508930435</v>
      </c>
      <c r="T94" s="1" t="e">
        <f>IF($D$24=3,INDEX('Water Free Energy'!$C$6:$CX$120,MATCH(Calculations!N94,'Water Free Energy'!$B$6:$B$120),MATCH(Calculations!M94/1000,'Water Free Energy'!$C$5:$CX$5)),NA())</f>
        <v>#N/A</v>
      </c>
      <c r="U94" s="179">
        <f>IF($D$27,calculateQ(M94,N94,Q94,$D$20,$D$22,$D$19=3)*10^6,NA())</f>
        <v>0.42516872511094111</v>
      </c>
      <c r="V94"/>
      <c r="W94" s="2">
        <f t="shared" si="25"/>
        <v>30000</v>
      </c>
      <c r="X94" s="1">
        <f t="shared" si="26"/>
        <v>950</v>
      </c>
      <c r="Y94" s="1">
        <f>Results!F96</f>
        <v>0</v>
      </c>
      <c r="Z94" s="1">
        <f>Results!G96</f>
        <v>0</v>
      </c>
      <c r="AA94" s="1">
        <f>Results!H96</f>
        <v>0</v>
      </c>
      <c r="AB94" s="1">
        <f>Results!I96</f>
        <v>0</v>
      </c>
      <c r="AC94" s="1" t="e">
        <f>IF(ISBLANK(Input!$O$4),NA(),'Reaction Information'!$E$5-'Reaction Information'!$G$5*(Calculations!$O94-Calculations!$C$8)+'Reaction Information'!$I$5*(Calculations!$O94-Calculations!$C$8-Calculations!$O94*LN(Calculations!$O94/Calculations!$C$8))+'Reaction Information'!$J$5*0.001/2*(2*Calculations!$O94*Calculations!$C$8-Calculations!$O94^2-Calculations!$C$8^2) + 'Reaction Information'!$K$5*100000*(Calculations!$O94^2 + Calculations!$C$8^2 - 2*Calculations!$O94*Calculations!$C$8)/(2*Calculations!$O94*Calculations!$C$8^2))</f>
        <v>#N/A</v>
      </c>
      <c r="AD94" s="8" t="e">
        <f>IF(ISBLANK(Input!$R$4),NA(),'Reaction Information'!$E$9-'Reaction Information'!$G$9*(Calculations!$O94-Calculations!$C$8)+'Reaction Information'!$I$9*(Calculations!$O94-Calculations!$C$8-Calculations!$O94*LN(Calculations!$O94/Calculations!$C$8))+'Reaction Information'!$J$9*0.001/2*(2*Calculations!$O94*Calculations!$C$8-Calculations!$O94^2-Calculations!$C$8^2) + 'Reaction Information'!$K$9*100000*(Calculations!$O94^2 + Calculations!$C$8^2 - 2*Calculations!$O94*Calculations!$C$8)/(2*Calculations!$O94*Calculations!$C$8^2))</f>
        <v>#N/A</v>
      </c>
      <c r="AE94" s="8">
        <f>IF(AE$5="H2O",IF($D$24=3,IF(T94=0,NA(),T94),calculateGibbsOfWater(M94,N94,$D$24,$D$20,$D$19=3)),NA())</f>
        <v>-70657.893317836802</v>
      </c>
      <c r="AF94" s="8">
        <f>IF(ISBLANK(Input!$X$4),NA(),'Reaction Information'!$E$13-'Reaction Information'!$G$13*(Calculations!O94-Calculations!$C$8)-'Reaction Information'!$N$13*(Calculations!O94*LN(Calculations!O94/Calculations!$C$8)-Calculations!O94+Calculations!$C$8)-'Reaction Information'!$O$13*10^4*(((1/(Calculations!O94-Calculations!$C$13))-(1/(Calculations!$C$8-Calculations!$C$13)))*((Calculations!$C$13-Calculations!O94)/(Calculations!$C$13))-(Calculations!O94/(Calculations!$C$13*Calculations!$C$13))*LN((Calculations!$C$8*(Calculations!O94-Calculations!$C$13))/(Calculations!O94*(Calculations!$C$8-Calculations!$C$13))))+'Reaction Information'!$J$13*10^-1*(Calculations!M94-Calculations!$C$9)+'Reaction Information'!$K$13*10^2*LN((Calculations!$C$12+Calculations!M94)/(Calculations!$C$12+Calculations!$C$9))+(1/(Calculations!O94-Calculations!$C$13))*('Reaction Information'!$L$13*(Calculations!M94-Calculations!$C$9)+'Reaction Information'!$M$13*10^4*LN((Calculations!$C$12+Calculations!M94)/(Calculations!$C$12+Calculations!$C$9)))+calculateOmega(Calculations!M94,Calculations!N94,Calculations!Q94,'Reaction Information'!$C$13,'Reaction Information'!$P$13*10^5,'Reaction Information'!$Q$13)*((1/Calculations!S94)-1)-'Reaction Information'!$P$13*10^5*((1/Calculations!$C$10)-1)+'Reaction Information'!$P$13*10^5*Calculations!$C$14*(Calculations!O94-Calculations!$C$8))</f>
        <v>-110827.8269028163</v>
      </c>
      <c r="AG94" s="8" t="e">
        <f>IF(ISBLANK(Input!$AA$4),NA(),'Reaction Information'!$E$17-'Reaction Information'!$G$17*(Calculations!$O94-Calculations!$C$8)-'Reaction Information'!$N$17*(Calculations!$O94*LN(Calculations!$O94/Calculations!$C$8)-Calculations!$O94+Calculations!$C$8)-'Reaction Information'!$O$17*10^4*(((1/(Calculations!$O94-Calculations!$C$13))-(1/(Calculations!$C$8-Calculations!$C$13)))*((Calculations!$C$13-Calculations!$O94)/(Calculations!$C$13))-(Calculations!$O94/(Calculations!$C$13*Calculations!$C$13))*LN((Calculations!$C$8*(Calculations!$O94-Calculations!$C$13))/(Calculations!$O94*(Calculations!$C$8-Calculations!$C$13))))+'Reaction Information'!$J$17*10^-1*(Calculations!$M94-Calculations!$C$9)+'Reaction Information'!$K$17*10^2*LN((Calculations!$C$12+Calculations!$M94)/(Calculations!$C$12+Calculations!$C$9))+(1/(Calculations!$O94-Calculations!$C$13))*('Reaction Information'!$L$17*(Calculations!$M94-Calculations!$C$9)+'Reaction Information'!$M$17*10^4*LN((Calculations!$C$12+Calculations!$M94)/(Calculations!$C$12+Calculations!$C$9)))+calculateOmega(Calculations!M94,Calculations!N94,Calculations!Q94,'Reaction Information'!$C$17,'Reaction Information'!$P$17*10^5,'Reaction Information'!$Q$17)*((1/Calculations!$S94)-1)-'Reaction Information'!$P$17*10^5*((1/Calculations!$C$10)-1)+'Reaction Information'!$P$17*10^5*Calculations!$C$14*(Calculations!$O94-Calculations!$C$8))</f>
        <v>#N/A</v>
      </c>
      <c r="AH94" s="8" t="e">
        <f>IF(ISBLANK(Input!$AD$4),NA(),'Reaction Information'!$E$21-'Reaction Information'!$G$21*(Calculations!$O94-Calculations!$C$8)-'Reaction Information'!$N$21*(Calculations!$O94*LN(Calculations!$O94/Calculations!$C$8)-Calculations!$O94+Calculations!$C$8)-'Reaction Information'!$O$21*10^4*(((1/(Calculations!$O94-Calculations!$C$13))-(1/(Calculations!$C$8-Calculations!$C$13)))*((Calculations!$C$13-Calculations!$O94)/(Calculations!$C$13))-(Calculations!$O94/(Calculations!$C$13*Calculations!$C$13))*LN((Calculations!$C$8*(Calculations!$O94-Calculations!$C$13))/(Calculations!$O94*(Calculations!$C$8-Calculations!$C$13))))+'Reaction Information'!$J$21*10^-1*(Calculations!$M94-Calculations!$C$9)+'Reaction Information'!$K$21*10^2*LN((Calculations!$C$12+Calculations!$M94)/(Calculations!$C$12+Calculations!$C$9))+(1/(Calculations!$O94-Calculations!$C$13))*('Reaction Information'!$L$21*(Calculations!$M94-Calculations!$C$9)+'Reaction Information'!$M$21*10^4*LN((Calculations!$C$12+Calculations!$M94)/(Calculations!$C$12+Calculations!$C$9)))+calculateOmega(Calculations!M94,Calculations!N94,Calculations!Q94,'Reaction Information'!$C$21,'Reaction Information'!$P$21*10^5,'Reaction Information'!$Q$21)*((1/Calculations!$S94)-1)-'Reaction Information'!$P$21*10^5*((1/Calculations!$C$10)-1)+'Reaction Information'!$P$21*10^5*Calculations!$C$14*(Calculations!$O94-Calculations!$C$8))</f>
        <v>#N/A</v>
      </c>
      <c r="AI94" s="8" t="e">
        <f>IF(ISBLANK(Input!$AG$4),NA(),'Reaction Information'!$E$25-'Reaction Information'!$G$25*(Calculations!$O94-Calculations!$C$8)-'Reaction Information'!$N$25*(Calculations!$O94*LN(Calculations!$O94/Calculations!$C$8)-Calculations!$O94+Calculations!$C$8)-'Reaction Information'!$O$25*10^4*(((1/(Calculations!$O94-Calculations!$C$13))-(1/(Calculations!$C$8-Calculations!$C$13)))*((Calculations!$C$13-Calculations!$O94)/(Calculations!$C$13))-(Calculations!$O94/(Calculations!$C$13*Calculations!$C$13))*LN((Calculations!$C$8*(Calculations!$O94-Calculations!$C$13))/(Calculations!$O94*(Calculations!$C$8-Calculations!$C$13))))+'Reaction Information'!$J$25*10^-1*(Calculations!$M94-Calculations!$C$9)+'Reaction Information'!$K$25*10^2*LN((Calculations!$C$12+Calculations!$M94)/(Calculations!$C$12+Calculations!$C$9))+(1/(Calculations!$O94-Calculations!$C$13))*('Reaction Information'!$L$25*(Calculations!$M94-Calculations!$C$9)+'Reaction Information'!$M$25*10^4*LN((Calculations!$C$12+Calculations!$M94)/(Calculations!$C$12+Calculations!$C$9)))+calculateOmega(Calculations!M94,Calculations!N94,Calculations!Q94,'Reaction Information'!$C$25,'Reaction Information'!$P$25*10^5,'Reaction Information'!$Q$25)*((1/Calculations!$S94)-1)-'Reaction Information'!$P$25*10^5*((1/Calculations!$C$10)-1)+'Reaction Information'!$P$25*10^5*Calculations!$C$14*(Calculations!$O94-Calculations!$C$8))</f>
        <v>#N/A</v>
      </c>
      <c r="AJ94" s="8" t="e">
        <f>IF(ISBLANK(Input!$AJ$4),NA(),'Reaction Information'!$E$29-'Reaction Information'!$G$29*(Calculations!$O94-Calculations!$C$8)-'Reaction Information'!$N$29*(Calculations!$O94*LN(Calculations!$O94/Calculations!$C$8)-Calculations!$O94+Calculations!$C$8)-'Reaction Information'!$O$29*10^4*(((1/(Calculations!$O94-Calculations!$C$13))-(1/(Calculations!$C$8-Calculations!$C$13)))*((Calculations!$C$13-Calculations!$O94)/(Calculations!$C$13))-(Calculations!$O94/(Calculations!$C$13*Calculations!$C$13))*LN((Calculations!$C$8*(Calculations!$O94-Calculations!$C$13))/(Calculations!$O94*(Calculations!$C$8-Calculations!$C$13))))+'Reaction Information'!$J$29*10^-1*(Calculations!$M94-Calculations!$C$9)+'Reaction Information'!$K$29*10^2*LN((Calculations!$C$12+Calculations!$M94)/(Calculations!$C$12+Calculations!$C$9))+(1/(Calculations!$O94-Calculations!$C$13))*('Reaction Information'!$L$29*(Calculations!$M94-Calculations!$C$9)+'Reaction Information'!$M$29*10^4*LN((Calculations!$C$12+Calculations!$M94)/(Calculations!$C$12+Calculations!$C$9)))+calculateOmega(Calculations!M94,Calculations!N94,Calculations!Q94,'Reaction Information'!$C$29,'Reaction Information'!$P$29*10^5,'Reaction Information'!$Q$29)*((1/Calculations!$S94)-1)-'Reaction Information'!$P$29*10^5*((1/Calculations!$C$10)-1)+'Reaction Information'!$P$29*10^5*Calculations!$C$14*(Calculations!$O94-Calculations!$C$8))</f>
        <v>#N/A</v>
      </c>
      <c r="AK94" s="8" t="e">
        <f>IF(ISBLANK(Input!$AM$4),NA(),'Reaction Information'!$E$33-'Reaction Information'!$G$33*(Calculations!$O94-Calculations!$C$8)-'Reaction Information'!$N$33*(Calculations!$O94*LN(Calculations!$O94/Calculations!$C$8)-Calculations!$O94+Calculations!$C$8)-'Reaction Information'!$O$33*10^4*(((1/(Calculations!$O94-Calculations!$C$13))-(1/(Calculations!$C$8-Calculations!$C$13)))*((Calculations!$C$13-Calculations!$O94)/(Calculations!$C$13))-(Calculations!$O94/(Calculations!$C$13*Calculations!$C$13))*LN((Calculations!$C$8*(Calculations!$O94-Calculations!$C$13))/(Calculations!$O94*(Calculations!$C$8-Calculations!$C$13))))+'Reaction Information'!$J$33*10^-1*(Calculations!$M94-Calculations!$C$9)+'Reaction Information'!$K$33*10^2*LN((Calculations!$C$12+Calculations!$M94)/(Calculations!$C$12+Calculations!$C$9))+(1/(Calculations!$O94-Calculations!$C$13))*('Reaction Information'!$L$33*(Calculations!$M94-Calculations!$C$9)+'Reaction Information'!$M$33*10^4*LN((Calculations!$C$12+Calculations!$M94)/(Calculations!$C$12+Calculations!$C$9)))+calculateOmega(Calculations!M94,Calculations!N94,Calculations!Q94,'Reaction Information'!$C$33,'Reaction Information'!$P$33*10^5,'Reaction Information'!$Q$33)*((1/Calculations!$S94)-1)-'Reaction Information'!$P$33*10^5*((1/Calculations!$C$10)-1)+'Reaction Information'!$P$33*10^5*Calculations!$C$14*(Calculations!$O94-Calculations!$C$8))</f>
        <v>#N/A</v>
      </c>
      <c r="AL94" s="1">
        <f>Results!S96</f>
        <v>0</v>
      </c>
      <c r="AM94" s="1">
        <f>Results!T96</f>
        <v>0</v>
      </c>
      <c r="AN94" s="1">
        <f>Results!U96</f>
        <v>0</v>
      </c>
      <c r="AO94" s="1">
        <f>Results!V96</f>
        <v>0</v>
      </c>
      <c r="AP94" s="8" t="e">
        <f>IF(ISBLANK(Input!$BB$4),NA(),'Reaction Information'!$E$38-'Reaction Information'!$G$38*(Calculations!$O94-Calculations!$C$8)+'Reaction Information'!$I$38*(Calculations!$O94-Calculations!$C$8-Calculations!$O94*LN(Calculations!$O94/Calculations!$C$8))+'Reaction Information'!$J$38*0.001/2*(2*Calculations!$O94*Calculations!$C$8-Calculations!$O94^2-Calculations!$C$8^2) + 'Reaction Information'!$K$38*100000*(Calculations!$O94^2 + Calculations!$C$8^2 - 2*Calculations!$O94*Calculations!$C$8)/(2*Calculations!$O94*Calculations!$C$8^2))</f>
        <v>#N/A</v>
      </c>
      <c r="AQ94" s="8" t="e">
        <f>IF(ISBLANK(Input!$BE$4),NA(),'Reaction Information'!$E$42-'Reaction Information'!$G$42*(Calculations!$O94-Calculations!$C$8)+'Reaction Information'!$I$42*(Calculations!$O94-Calculations!$C$8-Calculations!$O94*LN(Calculations!$O94/Calculations!$C$8))+'Reaction Information'!$J$42*0.001/2*(2*Calculations!$O94*Calculations!$C$8-Calculations!$O94^2-Calculations!$C$8^2) + 'Reaction Information'!$K$42*100000*(Calculations!$O94^2 + Calculations!$C$8^2 - 2*Calculations!$O94*Calculations!$C$8)/(2*Calculations!$O94*Calculations!$C$8^2))</f>
        <v>#N/A</v>
      </c>
      <c r="AR94" s="8" t="e">
        <f>IF(AR$5="H2O", IF($D$24=3,IF(T94=0,NA(),T94),calculateGibbsOfWater(M94,N94,$D$24,$D$20,$D$19=3)),NA())</f>
        <v>#N/A</v>
      </c>
      <c r="AS94" s="8">
        <f>IF(ISBLANK(Input!$BK$4),NA(),'Reaction Information'!$E$46-'Reaction Information'!$G$46*(Calculations!O94-Calculations!$C$8)-'Reaction Information'!$N$46*(Calculations!O94*LN(Calculations!O94/Calculations!$C$8)-Calculations!O94+Calculations!$C$8)-'Reaction Information'!$O$46*10^4*(((1/(Calculations!O94-Calculations!$C$13))-(1/(Calculations!$C$8-Calculations!$C$13)))*((Calculations!$C$13-Calculations!O94)/(Calculations!$C$13))-(Calculations!O94/(Calculations!$C$13*Calculations!$C$13))*LN((Calculations!$C$8*(Calculations!O94-Calculations!$C$13))/(Calculations!O94*(Calculations!$C$8-Calculations!$C$13))))+'Reaction Information'!$J$46*10^-1*(Calculations!$M94-Calculations!$C$9)+'Reaction Information'!$K$46*10^2*LN((Calculations!$C$12+Calculations!$M94)/(Calculations!$C$12+Calculations!$C$9))+(1/(Calculations!O94-Calculations!$C$13))*('Reaction Information'!$L$46*(Calculations!$M94-Calculations!$C$9)+'Reaction Information'!$M$46*10^4*LN((Calculations!$C$12+Calculations!$M94)/(Calculations!$C$12+Calculations!$C$9)))+calculateOmega(Calculations!M94,Calculations!N94,Calculations!Q94,'Reaction Information'!$C$46,'Reaction Information'!$P$46*10^5,'Reaction Information'!$Q$46)*((1/Calculations!S94)-1)-'Reaction Information'!$P$46*10^5*((1/Calculations!$C$10)-1)+'Reaction Information'!$P$46*10^5*Calculations!$C$14*(Calculations!O94-Calculations!$C$8))</f>
        <v>0</v>
      </c>
      <c r="AT94" s="8">
        <f>IF(ISBLANK(Input!$BN$4),NA(),'Reaction Information'!$E$50-'Reaction Information'!$G$50*(Calculations!O94-Calculations!$C$8)-'Reaction Information'!$N$50*(Calculations!O94*LN(Calculations!O94/Calculations!$C$8)-Calculations!O94+Calculations!$C$8)-'Reaction Information'!$O$50*10^4*(((1/(Calculations!O94-Calculations!$C$13))-(1/(Calculations!$C$8-Calculations!$C$13)))*((Calculations!$C$13-Calculations!O94)/(Calculations!$C$13))-(Calculations!O94/(Calculations!$C$13*Calculations!$C$13))*LN((Calculations!$C$8*(Calculations!O94-Calculations!$C$13))/(Calculations!O94*(Calculations!$C$8-Calculations!$C$13))))+'Reaction Information'!$J$50*10^-1*(Calculations!$M94-Calculations!$C$9)+'Reaction Information'!$K$50*10^2*LN((Calculations!$C$12+Calculations!$M94)/(Calculations!$C$12+Calculations!$C$9))+(1/(Calculations!O94-Calculations!$C$13))*('Reaction Information'!$L$50*(Calculations!$M94-Calculations!$C$9)+'Reaction Information'!$M$50*10^4*LN((Calculations!$C$12+Calculations!$M94)/(Calculations!$C$12+Calculations!$C$9)))+calculateOmega(Calculations!M94,Calculations!N94,Calculations!Q94,'Reaction Information'!$C$50,'Reaction Information'!$P$50*10^5,'Reaction Information'!$Q$50)*((1/Calculations!S94)-1)-'Reaction Information'!$P$50*10^5*((1/Calculations!$C$10)-1)+'Reaction Information'!$P$50*10^5*Calculations!$C$14*(Calculations!O94-Calculations!$C$8))</f>
        <v>-146780.86826887148</v>
      </c>
      <c r="AU94" s="8" t="e">
        <f>IF(ISBLANK(Input!$BQ$4),NA(),'Reaction Information'!$E$54-'Reaction Information'!$G$54*(Calculations!$O94-Calculations!$C$8)-'Reaction Information'!$N$54*(Calculations!$O94*LN(Calculations!$O94/Calculations!$C$8)-Calculations!$O94+Calculations!$C$8)-'Reaction Information'!$O$54*10^4*(((1/(Calculations!$O94-Calculations!$C$13))-(1/(Calculations!$C$8-Calculations!$C$13)))*((Calculations!$C$13-Calculations!$O94)/(Calculations!$C$13))-(Calculations!$O94/(Calculations!$C$13*Calculations!$C$13))*LN((Calculations!$C$8*(Calculations!$O94-Calculations!$C$13))/(Calculations!$O94*(Calculations!$C$8-Calculations!$C$13))))+'Reaction Information'!$J$54*10^-1*(Calculations!$M94-Calculations!$C$9)+'Reaction Information'!$K$54*10^2*LN((Calculations!$C$12+Calculations!$M94)/(Calculations!$C$12+Calculations!$C$9))+(1/(Calculations!$O94-Calculations!$C$13))*('Reaction Information'!$L$54*(Calculations!$M94-Calculations!$C$9)+'Reaction Information'!$M$54*10^4*LN((Calculations!$C$12+Calculations!$M94)/(Calculations!$C$12+Calculations!$C$9)))+calculateOmega(Calculations!M94,Calculations!N94,Calculations!Q94,'Reaction Information'!$C$54,'Reaction Information'!$P$54*10^5,'Reaction Information'!$Q$54)*((1/Calculations!$S94)-1)-'Reaction Information'!$P$54*10^5*((1/Calculations!$C$10)-1)+'Reaction Information'!$P$54*10^5*Calculations!$C$14*(Calculations!$O94-Calculations!$C$8))</f>
        <v>#N/A</v>
      </c>
      <c r="AV94" s="8" t="e">
        <f>IF(ISBLANK(Input!$BT$4),NA(),'Reaction Information'!$E$58-'Reaction Information'!$G$58*(Calculations!$O94-Calculations!$C$8)-'Reaction Information'!$N$58*(Calculations!$O94*LN(Calculations!$O94/Calculations!$C$8)-Calculations!$O94+Calculations!$C$8)-'Reaction Information'!$O$58*10^4*(((1/(Calculations!$O94-Calculations!$C$13))-(1/(Calculations!$C$8-Calculations!$C$13)))*((Calculations!$C$13-Calculations!$O94)/(Calculations!$C$13))-(Calculations!$O94/(Calculations!$C$13*Calculations!$C$13))*LN((Calculations!$C$8*(Calculations!$O94-Calculations!$C$13))/(Calculations!$O94*(Calculations!$C$8-Calculations!$C$13))))+'Reaction Information'!$J$58*10^-1*(Calculations!$M94-Calculations!$C$9)+'Reaction Information'!$K$58*10^2*LN((Calculations!$C$12+Calculations!$M94)/(Calculations!$C$12+Calculations!$C$9))+(1/(Calculations!$O94-Calculations!$C$13))*('Reaction Information'!$L$58*(Calculations!$M94-Calculations!$C$9)+'Reaction Information'!$M$58*10^4*LN((Calculations!$C$12+Calculations!$M94)/(Calculations!$C$12+Calculations!$C$9)))+calculateOmega(Calculations!M94,Calculations!N94,Calculations!Q94,'Reaction Information'!$C$58,'Reaction Information'!$P$58*10^5,'Reaction Information'!$Q$58)*((1/Calculations!$S94)-1)-'Reaction Information'!$P$58*10^5*((1/Calculations!$C$10)-1)+'Reaction Information'!$P$58*10^5*Calculations!$C$14*(Calculations!$O94-Calculations!$C$8))</f>
        <v>#N/A</v>
      </c>
      <c r="AW94" s="8" t="e">
        <f>IF(ISBLANK(Input!$BW$4),NA(),'Reaction Information'!$E$62-'Reaction Information'!$G$62*(Calculations!$O94-Calculations!$C$8)-'Reaction Information'!$N$62*(Calculations!$O94*LN(Calculations!$O94/Calculations!$C$8)-Calculations!$O94+Calculations!$C$8)-'Reaction Information'!$O$62*10^4*(((1/(Calculations!$O94-Calculations!$C$13))-(1/(Calculations!$C$8-Calculations!$C$13)))*((Calculations!$C$13-Calculations!$O94)/(Calculations!$C$13))-(Calculations!$O94/(Calculations!$C$13*Calculations!$C$13))*LN((Calculations!$C$8*(Calculations!$O94-Calculations!$C$13))/(Calculations!$O94*(Calculations!$C$8-Calculations!$C$13))))+'Reaction Information'!$J$62*10^-1*(Calculations!$M94-Calculations!$C$9)+'Reaction Information'!$K$62*10^2*LN((Calculations!$C$12+Calculations!$M94)/(Calculations!$C$12+Calculations!$C$9))+(1/(Calculations!$O94-Calculations!$C$13))*('Reaction Information'!$L$62*(Calculations!$M94-Calculations!$C$9)+'Reaction Information'!$M$62*10^4*LN((Calculations!$C$12+Calculations!$M94)/(Calculations!$C$12+Calculations!$C$9)))+calculateOmega(Calculations!M94,Calculations!N94,Calculations!Q94,'Reaction Information'!$C$62,'Reaction Information'!$P$62*10^5,'Reaction Information'!$Q$62)*((1/Calculations!$S94)-1)-'Reaction Information'!$P$62*10^5*((1/Calculations!$C$10)-1)+'Reaction Information'!$P$62*10^5*Calculations!$C$14*(Calculations!$O94-Calculations!$C$8))</f>
        <v>#N/A</v>
      </c>
      <c r="AX94" s="8" t="e">
        <f>IF(ISBLANK(Input!$BZ$4),NA(),'Reaction Information'!$E$66-'Reaction Information'!$G$66*(Calculations!$O94-Calculations!$C$8)-'Reaction Information'!$N$66*(Calculations!$O94*LN(Calculations!$O94/Calculations!$C$8)-Calculations!$O94+Calculations!$C$8)-'Reaction Information'!$O$66*10^4*(((1/(Calculations!$O94-Calculations!$C$13))-(1/(Calculations!$C$8-Calculations!$C$13)))*((Calculations!$C$13-Calculations!$O94)/(Calculations!$C$13))-(Calculations!$O94/(Calculations!$C$13*Calculations!$C$13))*LN((Calculations!$C$8*(Calculations!$O94-Calculations!$C$13))/(Calculations!$O94*(Calculations!$C$8-Calculations!$C$13))))+'Reaction Information'!$J$66*10^-1*(Calculations!$M94-Calculations!$C$9)+'Reaction Information'!$K$66*10^2*LN((Calculations!$C$12+Calculations!$M94)/(Calculations!$C$12+Calculations!$C$9))+(1/(Calculations!$O94-Calculations!$C$13))*('Reaction Information'!$L$66*(Calculations!$M94-Calculations!$C$9)+'Reaction Information'!$M$66*10^4*LN((Calculations!$C$12+Calculations!$M94)/(Calculations!$C$12+Calculations!$C$9)))+calculateOmega(Calculations!M94,Calculations!N94,Calculations!Q94,'Reaction Information'!$C$66,'Reaction Information'!$P$66*10^5,'Reaction Information'!$Q$66)*((1/Calculations!$S94)-1)-'Reaction Information'!$P$66*10^5*((1/Calculations!$C$10)-1)+'Reaction Information'!$P$66*10^5*Calculations!$C$14*(Calculations!$O94-Calculations!$C$8))</f>
        <v>#N/A</v>
      </c>
      <c r="AY94" s="31">
        <f>(AL94*Input!$AO$4+AM94*Input!$AR$4+AN94*Input!$AU$4+AO94*Input!$AX$4+IF(ISNA(AP94),0,AP94*Input!$BA$4)+IF(ISNA(AQ94),0,AQ94*Input!$BD$4)+IF(ISNA(AR94),0,AR94*Input!$BG$4)+IF(ISNA(AS94),0,AS94*Input!$BJ$4)+IF(ISNA(AT94),0,AT94*Input!$BM$4)+IF(ISNA(AU94),0,AU94*Input!$BP$4)+IF(ISNA(AV94),0,AV94*Input!$BS$4)+IF(ISNA(AW94),0,AW94*Input!$BV$4)+IF(ISNA(AX94),0,AX94*Input!$BY$4))-(Y94*Input!$B$4+Z94*Input!$E$4+AA94*Input!$H$4+AB94*Input!$K$4+IF(ISNA(AC94),0,AC94*Input!$N$4)+IF(ISNA(AD94),0,AD94*Input!$Q$4)+IF(ISNA(AE94),0,AE94*Input!$T$4)+IF(ISNA(AF94),0,AF94*Input!$W$4)+IF(ISNA(AG94),0,AG94*Input!$Z$4)+IF(ISNA(AH94),0,AH94*Input!$AC$4)+IF(ISNA(AI94),0,AI94*Input!$AF$4)+IF(ISNA(AJ94),0,AJ94*Input!$AI$4)+IF(ISNA(AK94),0,AK94*Input!$AL$4))</f>
        <v>34704.851951781631</v>
      </c>
      <c r="AZ94" s="42">
        <f t="shared" si="20"/>
        <v>-6.2050080603282485</v>
      </c>
      <c r="BA94" s="1">
        <f t="shared" si="27"/>
        <v>950</v>
      </c>
      <c r="BB94" s="46">
        <f t="shared" si="28"/>
        <v>30000</v>
      </c>
      <c r="BC94" s="1"/>
      <c r="BD94" s="2">
        <f t="shared" si="29"/>
        <v>30000</v>
      </c>
      <c r="BE94" s="46">
        <f t="shared" si="30"/>
        <v>950</v>
      </c>
      <c r="BF94" s="1">
        <f>Results!AJ96</f>
        <v>0</v>
      </c>
      <c r="BG94" s="1">
        <f>Results!AK96</f>
        <v>0</v>
      </c>
      <c r="BH94" s="1">
        <f>Results!AL96</f>
        <v>0</v>
      </c>
      <c r="BI94" s="1">
        <f>Results!AM96</f>
        <v>0</v>
      </c>
      <c r="BJ94" s="1" t="e">
        <f>IF(OR(ISNA('Reaction Information'!$D$5), $N94 = "", $D$27 = FALSE, 'Reaction Information'!$D$5 = ""), NA(), 24.465)</f>
        <v>#N/A</v>
      </c>
      <c r="BK94" s="1" t="e">
        <f>IF(OR(ISNA('Reaction Information'!$D$9), $N94 = "", $D$27 = FALSE, 'Reaction Information'!$D$9 = ""), NA(), 24.465)</f>
        <v>#N/A</v>
      </c>
      <c r="BL94" s="8">
        <f t="shared" si="21"/>
        <v>15.842323315484935</v>
      </c>
      <c r="BM94" s="8">
        <f>IF(OR(ISBLANK(Input!$X$4),$D$27=FALSE),NA(),('Reaction Information'!$J$13/10+'Reaction Information'!$K$13*100/(Calculations!$C$12+Calculations!$M94)+('Reaction Information'!$L$13+'Reaction Information'!$M$13*10^4/(Calculations!$C$12+Calculations!$M94))/(Calculations!$O94-Calculations!$C$13) -calculateOmega(Calculations!$M94,Calculations!$N94,Calculations!$Q94,'Reaction Information'!$C$13,'Reaction Information'!$P$13*10^5,'Reaction Information'!$Q$13)*Calculations!$U94*10^-6 + (1/$S94 - 1)*calculate_domegadP(Calculations!$M94,Calculations!$N94,Calculations!$Q94,'Reaction Information'!$C$13,'Reaction Information'!$P$13*10^5,'Reaction Information'!$Q$13,$D$20,$D$19=3))*41.84)</f>
        <v>30.940956403923984</v>
      </c>
      <c r="BN94" s="8" t="e">
        <f>IF(OR(ISBLANK(Input!$AA$4),$D$27=FALSE),NA(),('Reaction Information'!$J$17/10+'Reaction Information'!$K$17*100/(Calculations!$C$12+Calculations!$M94)+('Reaction Information'!$L$17+'Reaction Information'!$M$17*10000/(Calculations!$C$12+Calculations!$M94))/(Calculations!$O94-Calculations!$C$13)-calculateOmega(Calculations!M94,Calculations!N94,Calculations!Q94,'Reaction Information'!$C$17,'Reaction Information'!$P$17*10^5,'Reaction Information'!$Q$17)*Calculations!$U94*10^-6 + (1/$S94 - 1)*calculate_domegadP(Calculations!M94,Calculations!N94,Calculations!Q94,'Reaction Information'!$C$17,'Reaction Information'!$P$17*10^5,'Reaction Information'!$Q$17,$D$20,$D$19=3))*41.84)</f>
        <v>#N/A</v>
      </c>
      <c r="BO94" s="8" t="e">
        <f>IF(OR(ISBLANK(Input!$AD$4),$D$27=FALSE),NA(),('Reaction Information'!$J$21/10+'Reaction Information'!$K$21*100/(Calculations!$C$12+Calculations!$M94)+('Reaction Information'!$L$21+'Reaction Information'!$M$21*10000/(Calculations!$C$12+Calculations!$M94))/(Calculations!$O94-Calculations!$C$13)-calculateOmega(Calculations!M94,Calculations!N94,Calculations!Q94,'Reaction Information'!$C$21,'Reaction Information'!$P$21*10^5,'Reaction Information'!$Q$21)*Calculations!$U94*10^-6 + (1/$S94 - 1)*calculate_domegadP(Calculations!M94,Calculations!N94,Calculations!Q94,'Reaction Information'!$C$21,'Reaction Information'!$P$21*10^5,'Reaction Information'!$Q$21,$D$20,$D$19=3))*41.84)</f>
        <v>#N/A</v>
      </c>
      <c r="BP94" s="8" t="e">
        <f>IF(OR(ISBLANK(Input!$AG$4),$D$27=FALSE),NA(),('Reaction Information'!$J$25/10+'Reaction Information'!$K$25*100/(Calculations!$C$12+Calculations!$M94)+('Reaction Information'!$L$25+'Reaction Information'!$M$25*10000/(Calculations!$C$12+Calculations!$M94))/(Calculations!$O94-Calculations!$C$13)-calculateOmega(Calculations!M94,Calculations!N94,Calculations!Q94,'Reaction Information'!$C$25,'Reaction Information'!$P$25*10^5,'Reaction Information'!$Q$25)*Calculations!$U94*10^-6 + (1/$S94 - 1)*calculate_domegadP(Calculations!M94,Calculations!N94,Calculations!Q94,'Reaction Information'!$C$25,'Reaction Information'!$P$25*10^5,'Reaction Information'!$Q$25,$D$20,$D$19=3))*41.84)</f>
        <v>#N/A</v>
      </c>
      <c r="BQ94" s="8" t="e">
        <f>IF(OR(ISBLANK(Input!$AJ$4),$D$27=FALSE),NA(),('Reaction Information'!$J$29/10+'Reaction Information'!$K$29*100/(Calculations!$C$12+Calculations!$M94)+('Reaction Information'!$L$29+'Reaction Information'!$M$29*10000/(Calculations!$C$12+Calculations!$M94))/(Calculations!$O94-Calculations!$C$13)-calculateOmega(Calculations!M94,Calculations!N94,Calculations!Q94,'Reaction Information'!$C$29,'Reaction Information'!$P$29*10^5,'Reaction Information'!$Q$29)*Calculations!$U94*10^-6 + (1/$S94 - 1)*calculate_domegadP(Calculations!M94,Calculations!N94,Calculations!Q94,'Reaction Information'!$C$29,'Reaction Information'!$P$29*10^5,'Reaction Information'!$Q$29,$D$20,$D$19=3))*41.84)</f>
        <v>#N/A</v>
      </c>
      <c r="BR94" s="8" t="e">
        <f>IF(OR(ISBLANK(Input!$AM$4),$D$27=FALSE),NA(),('Reaction Information'!$J$33/10+'Reaction Information'!$K$33*100/(Calculations!$C$12+Calculations!$M94)+('Reaction Information'!$L$33+'Reaction Information'!$M$33*10000/(Calculations!$C$12+Calculations!$M94))/(Calculations!$O94-Calculations!$C$13)-calculateOmega(Calculations!M94,Calculations!N94,Calculations!Q94,'Reaction Information'!$C$33,'Reaction Information'!$P$33*10^5,'Reaction Information'!$Q$33)*Calculations!$U94*10^-6 + (1/$S94 - 1)*calculate_domegadP(Calculations!M94,Calculations!N94,Calculations!Q94,'Reaction Information'!$C$33,'Reaction Information'!$P$33*10^5,'Reaction Information'!$Q$33,$D$20,$D$19=3))*41.84)</f>
        <v>#N/A</v>
      </c>
      <c r="BS94" s="1">
        <f>Results!AW96</f>
        <v>0</v>
      </c>
      <c r="BT94" s="1">
        <f>Results!AX96</f>
        <v>0</v>
      </c>
      <c r="BU94" s="1">
        <f>Results!AY96</f>
        <v>0</v>
      </c>
      <c r="BV94" s="1">
        <f>Results!AZ96</f>
        <v>0</v>
      </c>
      <c r="BW94" s="1" t="e">
        <f>IF(OR(ISNA('Reaction Information'!$D$38), $N94 = "", $D$27 = FALSE, 'Reaction Information'!$D$38 = ""), NA(), 24.465)</f>
        <v>#N/A</v>
      </c>
      <c r="BX94" s="1" t="e">
        <f>IF(OR(ISNA('Reaction Information'!$D$42), $N94 = "", $D$27 = FALSE, 'Reaction Information'!$D$42 = ""), NA(), 24.465)</f>
        <v>#N/A</v>
      </c>
      <c r="BY94" s="8" t="e">
        <f t="shared" si="22"/>
        <v>#N/A</v>
      </c>
      <c r="BZ94" s="8">
        <f>IF(OR(ISBLANK(Input!$BK$4),$D$27=FALSE),NA(),('Reaction Information'!$J$46/10+'Reaction Information'!$K$46*100/(Calculations!$C$12+Calculations!$M94)+('Reaction Information'!$L$46+'Reaction Information'!$M$46*10000/(Calculations!$C$12+Calculations!$M94))/(Calculations!$O94-Calculations!$C$13)-calculateOmega(Calculations!M94,Calculations!N94,Calculations!Q94,'Reaction Information'!$C$46,'Reaction Information'!$P$46*10^5,'Reaction Information'!$Q$46)*Calculations!$U94*10^-6 + (1/$S94 - 1)*calculate_domegadP(Calculations!M94,Calculations!N94,Calculations!Q94,'Reaction Information'!$C$46,'Reaction Information'!$P$46*10^5,'Reaction Information'!$Q$46,$D$20,$D$19=3))*41.84)</f>
        <v>0</v>
      </c>
      <c r="CA94" s="8">
        <f>IF(OR(ISBLANK(Input!$BN$4),$D$27=FALSE),NA(),('Reaction Information'!$J$50/10+'Reaction Information'!$K$50*100/(Calculations!$C$12+Calculations!$M94)+('Reaction Information'!$L$50+'Reaction Information'!$M$50*10000/(Calculations!$C$12+Calculations!$M94))/(Calculations!$O94-Calculations!$C$13)-calculateOmega(Calculations!M94,Calculations!N94,Calculations!Q94,'Reaction Information'!$C$50,'Reaction Information'!$P$50*10^5,'Reaction Information'!$Q$50)*Calculations!$U94*10^-6 + (1/$S94 - 1)*calculate_domegadP(Calculations!M94,Calculations!N94,Calculations!Q94,'Reaction Information'!$C$50,'Reaction Information'!$P$50*10^5,'Reaction Information'!$Q$50,$D$20,$D$19=3))*41.84)</f>
        <v>29.849452206121043</v>
      </c>
      <c r="CB94" s="8" t="e">
        <f>IF(OR(ISBLANK(Input!$BQ$4),$D$27=FALSE),NA(),('Reaction Information'!$J$54/10+'Reaction Information'!$K$54*100/(Calculations!$C$12+Calculations!$M94)+('Reaction Information'!$L$54+'Reaction Information'!$M$54*10000/(Calculations!$C$12+Calculations!$M94))/(Calculations!$O94-Calculations!$C$13)-calculateOmega(Calculations!M94,Calculations!N94,Calculations!Q94,'Reaction Information'!$C$54,'Reaction Information'!$P$54*10^5,'Reaction Information'!$Q$54)*Calculations!$U94*10^-6 + (1/$S94 - 1)*calculate_domegadP(Calculations!M94,Calculations!N94,Calculations!Q94,'Reaction Information'!$C$54,'Reaction Information'!$P$54*10^5,'Reaction Information'!$Q$54,$D$20,$D$19=3))*41.84)</f>
        <v>#N/A</v>
      </c>
      <c r="CC94" s="8" t="e">
        <f>IF(OR(ISBLANK(Input!$BT$4),$D$27=FALSE),NA(),('Reaction Information'!$J$58/10+'Reaction Information'!$K$58*100/(Calculations!$C$12+Calculations!$M94)+('Reaction Information'!$L$58+'Reaction Information'!$M$58*10000/(Calculations!$C$12+Calculations!$M94))/(Calculations!$O94-Calculations!$C$13)-calculateOmega(Calculations!M94,Calculations!N94,Calculations!Q94,'Reaction Information'!$C$58,'Reaction Information'!$P$58*10^5,'Reaction Information'!$Q$58)*Calculations!$U94*10^-6 + (1/$S94 - 1)*calculate_domegadP(Calculations!M94,Calculations!N94,Calculations!Q94,'Reaction Information'!$C$58,'Reaction Information'!$P$58*10^5,'Reaction Information'!$Q$58,$D$20,$D$19=3))*41.84)</f>
        <v>#N/A</v>
      </c>
      <c r="CD94" s="8" t="e">
        <f>IF(OR(ISBLANK(Input!$BW$4),$D$27=FALSE),NA(),('Reaction Information'!$J$62/10+'Reaction Information'!$K$62*100/(Calculations!$C$12+Calculations!$M94)+('Reaction Information'!$L$62+'Reaction Information'!$M$62*10000/(Calculations!$C$12+Calculations!$M94))/(Calculations!$O94-Calculations!$C$13)-calculateOmega(Calculations!M94,Calculations!N94,Calculations!Q94,'Reaction Information'!$C$62,'Reaction Information'!$P$62*10^5,'Reaction Information'!$Q$62)*Calculations!$U94*10^-6 + (1/$S94 - 1)*calculate_domegadP(Calculations!M94,Calculations!N94,Calculations!Q94,'Reaction Information'!$C$62,'Reaction Information'!$P$62*10^5,'Reaction Information'!$Q$62,$D$20,$D$19=3))*41.84)</f>
        <v>#N/A</v>
      </c>
      <c r="CE94" s="8" t="e">
        <f>IF(OR(ISBLANK(Input!$BZ$4),$D$27=FALSE),NA(),('Reaction Information'!$J$66/10+'Reaction Information'!$K$66*100/(Calculations!$C$12+Calculations!$M94)+('Reaction Information'!$L$66+'Reaction Information'!$M$66*10000/(Calculations!$C$12+Calculations!$M94))/(Calculations!$O94-Calculations!$C$13)-calculateOmega(Calculations!M94,Calculations!N94,Calculations!Q94,'Reaction Information'!$C$66,'Reaction Information'!$P$66*10^5,'Reaction Information'!$Q$66)*Calculations!$U94*10^-6 + (1/$S94 - 1)*calculate_domegadP(Calculations!M94,Calculations!N94,Calculations!Q94,'Reaction Information'!$C$66,'Reaction Information'!$P$66*10^5,'Reaction Information'!$Q$66,$D$20,$D$19=3))*41.84)</f>
        <v>#N/A</v>
      </c>
      <c r="CF94" s="31">
        <f>(BS94*Input!$AO$4+BT94*Input!$AR$4+BU94*Input!$AU$4+BV94*Input!$AX$4+IF(ISNA(BW94),0,BW94*Input!$BA$4)+IF(ISNA(BX94),0,BX94*Input!$BD$4)+IF(ISNA(BY94),0,BY94*Input!$BG$4)+IF(ISNA(BZ94),0,BZ94*Input!$BJ$4)+IF(ISNA(CA94),0,CA94*Input!$BM$4)+IF(ISNA(CB94),0,CB94*Input!$BP$4)+IF(ISNA(CC94),0,CC94*Input!$BS$4)+IF(ISNA(CD94),0,CD94*Input!$BV$4)+IF(ISNA(CE94),0,CE94*Input!$BY$4))-(BF94*Input!$B$4+BG94*Input!$E$4+BH94*Input!$H$4+BI94*Input!$K$4+IF(ISNA(BJ94),0,BJ94*Input!$N$4)+IF(ISNA(BK94),0,BK94*Input!$Q$4)+IF(ISNA(BL94),0,BL94*Input!$T$4)+IF(ISNA(BM94),0,BM94*Input!$W$4)+IF(ISNA(BN94),0,BN94*Input!$Z$4)+IF(ISNA(BO94),0,BO94*Input!$AC$4)+IF(ISNA(BP94),0,BP94*Input!$AF$4)+IF(ISNA(BQ94),0,BQ94*Input!$AI$4)+IF(ISNA(BR94),0,BR94*Input!$AL$4))</f>
        <v>-16.933827513287874</v>
      </c>
      <c r="CG94" s="1">
        <f t="shared" si="31"/>
        <v>950</v>
      </c>
      <c r="CH94" s="46">
        <f t="shared" si="32"/>
        <v>30000</v>
      </c>
      <c r="CI94" s="1"/>
    </row>
    <row r="95" spans="1:87" x14ac:dyDescent="0.2">
      <c r="A95" s="1"/>
      <c r="B95" s="1"/>
      <c r="C95" s="1"/>
      <c r="D95" s="1"/>
      <c r="E95" s="1"/>
      <c r="F95" s="2">
        <v>90</v>
      </c>
      <c r="G95" s="1" t="str">
        <f>IF(ISBLANK(Input!CB95), "", Input!CB95*1000)</f>
        <v/>
      </c>
      <c r="H95" s="1" t="str">
        <f>IF(ISBLANK(Input!CC95), "", Input!CC95)</f>
        <v/>
      </c>
      <c r="I95" s="1">
        <f>IF(Input!$CF$5 + Input!$CF$6*(FLOOR((Calculations!$F95-1)/(FLOOR((Input!$CF$12-Input!$CF$10)/Input!$CF$11,1)+1),1)) &gt; Input!$CF$7, "", (Input!$CF$5 + Input!$CF$6*(FLOOR((Calculations!$F95-1)/(FLOOR((Input!$CF$12-Input!$CF$10)/Input!$CF$11,1)+1),1)))*1000)</f>
        <v>30000</v>
      </c>
      <c r="J95" s="1">
        <f>IF(Calculations!I95 = "", "", Input!$CF$10 + Input!$CF$11*(Calculations!$F95-1) - (FLOOR((Input!$CF$12-Input!$CF$10)/Input!$CF$11,1)+1)*Input!$CF$11*FLOOR((Calculations!$F95-1)/(FLOOR((Input!$CF$12-Input!$CF$10)/Input!$CF$11,1)+1),1))</f>
        <v>1000</v>
      </c>
      <c r="K95" s="8" t="str">
        <f t="shared" si="33"/>
        <v/>
      </c>
      <c r="L95" s="117" t="str">
        <f>IF(OR(Input!$CJ$5 + Input!$CJ$6*(Calculations!F95-1) &gt; Input!$CJ$7, Input!$CJ$5 + Input!$CJ$6*(Calculations!F95-1) &gt; 350), "", Input!$CJ$5 + Input!$CJ$6*(Calculations!F95-1))</f>
        <v/>
      </c>
      <c r="M95" s="1">
        <f t="shared" si="23"/>
        <v>30000</v>
      </c>
      <c r="N95" s="1">
        <f t="shared" si="24"/>
        <v>1000</v>
      </c>
      <c r="O95" s="1">
        <f t="shared" si="19"/>
        <v>1273.1500000000001</v>
      </c>
      <c r="P95" s="1" t="e">
        <f>IF(OR($D$20=3,AND($D$21=TRUE,M95&lt;1000)),INDEX('Water Density'!$C$6:$CX$120,MATCH(Calculations!N95,'Water Density'!$B$6:$B$120),MATCH(Calculations!M95/1000,'Water Density'!$C$5:$CX$5)),NA())</f>
        <v>#N/A</v>
      </c>
      <c r="Q95" s="182">
        <f>IF(OR($D$20=3,AND($D$21=TRUE,M95&lt;1000)), IF(P95&lt;&gt;0,P95,NA()), calculateDensity(M95,N95,$D$20,0.01,$D$19 = 3))</f>
        <v>1.1239637341856956</v>
      </c>
      <c r="R95" s="1" t="e">
        <f>IF($D$22=5,INDEX('Dielectric Constant'!$C$6:$CX$120,MATCH(Calculations!N95,'Dielectric Constant'!$B$6:$B$120),MATCH(Calculations!M95/1000,'Dielectric Constant'!$C$5:$CX$5)),NA())</f>
        <v>#N/A</v>
      </c>
      <c r="S95" s="58">
        <f>IF($D$22=5, IF(R95&lt;&gt;0,R95,NA()), IF(AND($D$23,M95&lt;=5000,$D$19 &lt;&gt; 3),calculateEpsilon(Q95,N95,1,FALSE),calculateEpsilon(Q95,N95,$D$22,$D$19 = 3)))</f>
        <v>14.160850869948263</v>
      </c>
      <c r="T95" s="1" t="e">
        <f>IF($D$24=3,INDEX('Water Free Energy'!$C$6:$CX$120,MATCH(Calculations!N95,'Water Free Energy'!$B$6:$B$120),MATCH(Calculations!M95/1000,'Water Free Energy'!$C$5:$CX$5)),NA())</f>
        <v>#N/A</v>
      </c>
      <c r="U95" s="179">
        <f>IF($D$27,calculateQ(M95,N95,Q95,$D$20,$D$22,$D$19=3)*10^6,NA())</f>
        <v>0.45116342981858254</v>
      </c>
      <c r="V95"/>
      <c r="W95" s="2">
        <f t="shared" si="25"/>
        <v>30000</v>
      </c>
      <c r="X95" s="1">
        <f t="shared" si="26"/>
        <v>1000</v>
      </c>
      <c r="Y95" s="1">
        <f>Results!F97</f>
        <v>0</v>
      </c>
      <c r="Z95" s="1">
        <f>Results!G97</f>
        <v>0</v>
      </c>
      <c r="AA95" s="1">
        <f>Results!H97</f>
        <v>0</v>
      </c>
      <c r="AB95" s="1">
        <f>Results!I97</f>
        <v>0</v>
      </c>
      <c r="AC95" s="1" t="e">
        <f>IF(ISBLANK(Input!$O$4),NA(),'Reaction Information'!$E$5-'Reaction Information'!$G$5*(Calculations!$O95-Calculations!$C$8)+'Reaction Information'!$I$5*(Calculations!$O95-Calculations!$C$8-Calculations!$O95*LN(Calculations!$O95/Calculations!$C$8))+'Reaction Information'!$J$5*0.001/2*(2*Calculations!$O95*Calculations!$C$8-Calculations!$O95^2-Calculations!$C$8^2) + 'Reaction Information'!$K$5*100000*(Calculations!$O95^2 + Calculations!$C$8^2 - 2*Calculations!$O95*Calculations!$C$8)/(2*Calculations!$O95*Calculations!$C$8^2))</f>
        <v>#N/A</v>
      </c>
      <c r="AD95" s="8" t="e">
        <f>IF(ISBLANK(Input!$R$4),NA(),'Reaction Information'!$E$9-'Reaction Information'!$G$9*(Calculations!$O95-Calculations!$C$8)+'Reaction Information'!$I$9*(Calculations!$O95-Calculations!$C$8-Calculations!$O95*LN(Calculations!$O95/Calculations!$C$8))+'Reaction Information'!$J$9*0.001/2*(2*Calculations!$O95*Calculations!$C$8-Calculations!$O95^2-Calculations!$C$8^2) + 'Reaction Information'!$K$9*100000*(Calculations!$O95^2 + Calculations!$C$8^2 - 2*Calculations!$O95*Calculations!$C$8)/(2*Calculations!$O95*Calculations!$C$8^2))</f>
        <v>#N/A</v>
      </c>
      <c r="AE95" s="8">
        <f>IF(AE$5="H2O",IF($D$24=3,IF(T95=0,NA(),T95),calculateGibbsOfWater(M95,N95,$D$24,$D$20,$D$19=3)),NA())</f>
        <v>-72363.596401277944</v>
      </c>
      <c r="AF95" s="8">
        <f>IF(ISBLANK(Input!$X$4),NA(),'Reaction Information'!$E$13-'Reaction Information'!$G$13*(Calculations!O95-Calculations!$C$8)-'Reaction Information'!$N$13*(Calculations!O95*LN(Calculations!O95/Calculations!$C$8)-Calculations!O95+Calculations!$C$8)-'Reaction Information'!$O$13*10^4*(((1/(Calculations!O95-Calculations!$C$13))-(1/(Calculations!$C$8-Calculations!$C$13)))*((Calculations!$C$13-Calculations!O95)/(Calculations!$C$13))-(Calculations!O95/(Calculations!$C$13*Calculations!$C$13))*LN((Calculations!$C$8*(Calculations!O95-Calculations!$C$13))/(Calculations!O95*(Calculations!$C$8-Calculations!$C$13))))+'Reaction Information'!$J$13*10^-1*(Calculations!M95-Calculations!$C$9)+'Reaction Information'!$K$13*10^2*LN((Calculations!$C$12+Calculations!M95)/(Calculations!$C$12+Calculations!$C$9))+(1/(Calculations!O95-Calculations!$C$13))*('Reaction Information'!$L$13*(Calculations!M95-Calculations!$C$9)+'Reaction Information'!$M$13*10^4*LN((Calculations!$C$12+Calculations!M95)/(Calculations!$C$12+Calculations!$C$9)))+calculateOmega(Calculations!M95,Calculations!N95,Calculations!Q95,'Reaction Information'!$C$13,'Reaction Information'!$P$13*10^5,'Reaction Information'!$Q$13)*((1/Calculations!S95)-1)-'Reaction Information'!$P$13*10^5*((1/Calculations!$C$10)-1)+'Reaction Information'!$P$13*10^5*Calculations!$C$14*(Calculations!O95-Calculations!$C$8))</f>
        <v>-113438.73229420626</v>
      </c>
      <c r="AG95" s="8" t="e">
        <f>IF(ISBLANK(Input!$AA$4),NA(),'Reaction Information'!$E$17-'Reaction Information'!$G$17*(Calculations!$O95-Calculations!$C$8)-'Reaction Information'!$N$17*(Calculations!$O95*LN(Calculations!$O95/Calculations!$C$8)-Calculations!$O95+Calculations!$C$8)-'Reaction Information'!$O$17*10^4*(((1/(Calculations!$O95-Calculations!$C$13))-(1/(Calculations!$C$8-Calculations!$C$13)))*((Calculations!$C$13-Calculations!$O95)/(Calculations!$C$13))-(Calculations!$O95/(Calculations!$C$13*Calculations!$C$13))*LN((Calculations!$C$8*(Calculations!$O95-Calculations!$C$13))/(Calculations!$O95*(Calculations!$C$8-Calculations!$C$13))))+'Reaction Information'!$J$17*10^-1*(Calculations!$M95-Calculations!$C$9)+'Reaction Information'!$K$17*10^2*LN((Calculations!$C$12+Calculations!$M95)/(Calculations!$C$12+Calculations!$C$9))+(1/(Calculations!$O95-Calculations!$C$13))*('Reaction Information'!$L$17*(Calculations!$M95-Calculations!$C$9)+'Reaction Information'!$M$17*10^4*LN((Calculations!$C$12+Calculations!$M95)/(Calculations!$C$12+Calculations!$C$9)))+calculateOmega(Calculations!M95,Calculations!N95,Calculations!Q95,'Reaction Information'!$C$17,'Reaction Information'!$P$17*10^5,'Reaction Information'!$Q$17)*((1/Calculations!$S95)-1)-'Reaction Information'!$P$17*10^5*((1/Calculations!$C$10)-1)+'Reaction Information'!$P$17*10^5*Calculations!$C$14*(Calculations!$O95-Calculations!$C$8))</f>
        <v>#N/A</v>
      </c>
      <c r="AH95" s="8" t="e">
        <f>IF(ISBLANK(Input!$AD$4),NA(),'Reaction Information'!$E$21-'Reaction Information'!$G$21*(Calculations!$O95-Calculations!$C$8)-'Reaction Information'!$N$21*(Calculations!$O95*LN(Calculations!$O95/Calculations!$C$8)-Calculations!$O95+Calculations!$C$8)-'Reaction Information'!$O$21*10^4*(((1/(Calculations!$O95-Calculations!$C$13))-(1/(Calculations!$C$8-Calculations!$C$13)))*((Calculations!$C$13-Calculations!$O95)/(Calculations!$C$13))-(Calculations!$O95/(Calculations!$C$13*Calculations!$C$13))*LN((Calculations!$C$8*(Calculations!$O95-Calculations!$C$13))/(Calculations!$O95*(Calculations!$C$8-Calculations!$C$13))))+'Reaction Information'!$J$21*10^-1*(Calculations!$M95-Calculations!$C$9)+'Reaction Information'!$K$21*10^2*LN((Calculations!$C$12+Calculations!$M95)/(Calculations!$C$12+Calculations!$C$9))+(1/(Calculations!$O95-Calculations!$C$13))*('Reaction Information'!$L$21*(Calculations!$M95-Calculations!$C$9)+'Reaction Information'!$M$21*10^4*LN((Calculations!$C$12+Calculations!$M95)/(Calculations!$C$12+Calculations!$C$9)))+calculateOmega(Calculations!M95,Calculations!N95,Calculations!Q95,'Reaction Information'!$C$21,'Reaction Information'!$P$21*10^5,'Reaction Information'!$Q$21)*((1/Calculations!$S95)-1)-'Reaction Information'!$P$21*10^5*((1/Calculations!$C$10)-1)+'Reaction Information'!$P$21*10^5*Calculations!$C$14*(Calculations!$O95-Calculations!$C$8))</f>
        <v>#N/A</v>
      </c>
      <c r="AI95" s="8" t="e">
        <f>IF(ISBLANK(Input!$AG$4),NA(),'Reaction Information'!$E$25-'Reaction Information'!$G$25*(Calculations!$O95-Calculations!$C$8)-'Reaction Information'!$N$25*(Calculations!$O95*LN(Calculations!$O95/Calculations!$C$8)-Calculations!$O95+Calculations!$C$8)-'Reaction Information'!$O$25*10^4*(((1/(Calculations!$O95-Calculations!$C$13))-(1/(Calculations!$C$8-Calculations!$C$13)))*((Calculations!$C$13-Calculations!$O95)/(Calculations!$C$13))-(Calculations!$O95/(Calculations!$C$13*Calculations!$C$13))*LN((Calculations!$C$8*(Calculations!$O95-Calculations!$C$13))/(Calculations!$O95*(Calculations!$C$8-Calculations!$C$13))))+'Reaction Information'!$J$25*10^-1*(Calculations!$M95-Calculations!$C$9)+'Reaction Information'!$K$25*10^2*LN((Calculations!$C$12+Calculations!$M95)/(Calculations!$C$12+Calculations!$C$9))+(1/(Calculations!$O95-Calculations!$C$13))*('Reaction Information'!$L$25*(Calculations!$M95-Calculations!$C$9)+'Reaction Information'!$M$25*10^4*LN((Calculations!$C$12+Calculations!$M95)/(Calculations!$C$12+Calculations!$C$9)))+calculateOmega(Calculations!M95,Calculations!N95,Calculations!Q95,'Reaction Information'!$C$25,'Reaction Information'!$P$25*10^5,'Reaction Information'!$Q$25)*((1/Calculations!$S95)-1)-'Reaction Information'!$P$25*10^5*((1/Calculations!$C$10)-1)+'Reaction Information'!$P$25*10^5*Calculations!$C$14*(Calculations!$O95-Calculations!$C$8))</f>
        <v>#N/A</v>
      </c>
      <c r="AJ95" s="8" t="e">
        <f>IF(ISBLANK(Input!$AJ$4),NA(),'Reaction Information'!$E$29-'Reaction Information'!$G$29*(Calculations!$O95-Calculations!$C$8)-'Reaction Information'!$N$29*(Calculations!$O95*LN(Calculations!$O95/Calculations!$C$8)-Calculations!$O95+Calculations!$C$8)-'Reaction Information'!$O$29*10^4*(((1/(Calculations!$O95-Calculations!$C$13))-(1/(Calculations!$C$8-Calculations!$C$13)))*((Calculations!$C$13-Calculations!$O95)/(Calculations!$C$13))-(Calculations!$O95/(Calculations!$C$13*Calculations!$C$13))*LN((Calculations!$C$8*(Calculations!$O95-Calculations!$C$13))/(Calculations!$O95*(Calculations!$C$8-Calculations!$C$13))))+'Reaction Information'!$J$29*10^-1*(Calculations!$M95-Calculations!$C$9)+'Reaction Information'!$K$29*10^2*LN((Calculations!$C$12+Calculations!$M95)/(Calculations!$C$12+Calculations!$C$9))+(1/(Calculations!$O95-Calculations!$C$13))*('Reaction Information'!$L$29*(Calculations!$M95-Calculations!$C$9)+'Reaction Information'!$M$29*10^4*LN((Calculations!$C$12+Calculations!$M95)/(Calculations!$C$12+Calculations!$C$9)))+calculateOmega(Calculations!M95,Calculations!N95,Calculations!Q95,'Reaction Information'!$C$29,'Reaction Information'!$P$29*10^5,'Reaction Information'!$Q$29)*((1/Calculations!$S95)-1)-'Reaction Information'!$P$29*10^5*((1/Calculations!$C$10)-1)+'Reaction Information'!$P$29*10^5*Calculations!$C$14*(Calculations!$O95-Calculations!$C$8))</f>
        <v>#N/A</v>
      </c>
      <c r="AK95" s="8" t="e">
        <f>IF(ISBLANK(Input!$AM$4),NA(),'Reaction Information'!$E$33-'Reaction Information'!$G$33*(Calculations!$O95-Calculations!$C$8)-'Reaction Information'!$N$33*(Calculations!$O95*LN(Calculations!$O95/Calculations!$C$8)-Calculations!$O95+Calculations!$C$8)-'Reaction Information'!$O$33*10^4*(((1/(Calculations!$O95-Calculations!$C$13))-(1/(Calculations!$C$8-Calculations!$C$13)))*((Calculations!$C$13-Calculations!$O95)/(Calculations!$C$13))-(Calculations!$O95/(Calculations!$C$13*Calculations!$C$13))*LN((Calculations!$C$8*(Calculations!$O95-Calculations!$C$13))/(Calculations!$O95*(Calculations!$C$8-Calculations!$C$13))))+'Reaction Information'!$J$33*10^-1*(Calculations!$M95-Calculations!$C$9)+'Reaction Information'!$K$33*10^2*LN((Calculations!$C$12+Calculations!$M95)/(Calculations!$C$12+Calculations!$C$9))+(1/(Calculations!$O95-Calculations!$C$13))*('Reaction Information'!$L$33*(Calculations!$M95-Calculations!$C$9)+'Reaction Information'!$M$33*10^4*LN((Calculations!$C$12+Calculations!$M95)/(Calculations!$C$12+Calculations!$C$9)))+calculateOmega(Calculations!M95,Calculations!N95,Calculations!Q95,'Reaction Information'!$C$33,'Reaction Information'!$P$33*10^5,'Reaction Information'!$Q$33)*((1/Calculations!$S95)-1)-'Reaction Information'!$P$33*10^5*((1/Calculations!$C$10)-1)+'Reaction Information'!$P$33*10^5*Calculations!$C$14*(Calculations!$O95-Calculations!$C$8))</f>
        <v>#N/A</v>
      </c>
      <c r="AL95" s="1">
        <f>Results!S97</f>
        <v>0</v>
      </c>
      <c r="AM95" s="1">
        <f>Results!T97</f>
        <v>0</v>
      </c>
      <c r="AN95" s="1">
        <f>Results!U97</f>
        <v>0</v>
      </c>
      <c r="AO95" s="1">
        <f>Results!V97</f>
        <v>0</v>
      </c>
      <c r="AP95" s="8" t="e">
        <f>IF(ISBLANK(Input!$BB$4),NA(),'Reaction Information'!$E$38-'Reaction Information'!$G$38*(Calculations!$O95-Calculations!$C$8)+'Reaction Information'!$I$38*(Calculations!$O95-Calculations!$C$8-Calculations!$O95*LN(Calculations!$O95/Calculations!$C$8))+'Reaction Information'!$J$38*0.001/2*(2*Calculations!$O95*Calculations!$C$8-Calculations!$O95^2-Calculations!$C$8^2) + 'Reaction Information'!$K$38*100000*(Calculations!$O95^2 + Calculations!$C$8^2 - 2*Calculations!$O95*Calculations!$C$8)/(2*Calculations!$O95*Calculations!$C$8^2))</f>
        <v>#N/A</v>
      </c>
      <c r="AQ95" s="8" t="e">
        <f>IF(ISBLANK(Input!$BE$4),NA(),'Reaction Information'!$E$42-'Reaction Information'!$G$42*(Calculations!$O95-Calculations!$C$8)+'Reaction Information'!$I$42*(Calculations!$O95-Calculations!$C$8-Calculations!$O95*LN(Calculations!$O95/Calculations!$C$8))+'Reaction Information'!$J$42*0.001/2*(2*Calculations!$O95*Calculations!$C$8-Calculations!$O95^2-Calculations!$C$8^2) + 'Reaction Information'!$K$42*100000*(Calculations!$O95^2 + Calculations!$C$8^2 - 2*Calculations!$O95*Calculations!$C$8)/(2*Calculations!$O95*Calculations!$C$8^2))</f>
        <v>#N/A</v>
      </c>
      <c r="AR95" s="8" t="e">
        <f>IF(AR$5="H2O", IF($D$24=3,IF(T95=0,NA(),T95),calculateGibbsOfWater(M95,N95,$D$24,$D$20,$D$19=3)),NA())</f>
        <v>#N/A</v>
      </c>
      <c r="AS95" s="8">
        <f>IF(ISBLANK(Input!$BK$4),NA(),'Reaction Information'!$E$46-'Reaction Information'!$G$46*(Calculations!O95-Calculations!$C$8)-'Reaction Information'!$N$46*(Calculations!O95*LN(Calculations!O95/Calculations!$C$8)-Calculations!O95+Calculations!$C$8)-'Reaction Information'!$O$46*10^4*(((1/(Calculations!O95-Calculations!$C$13))-(1/(Calculations!$C$8-Calculations!$C$13)))*((Calculations!$C$13-Calculations!O95)/(Calculations!$C$13))-(Calculations!O95/(Calculations!$C$13*Calculations!$C$13))*LN((Calculations!$C$8*(Calculations!O95-Calculations!$C$13))/(Calculations!O95*(Calculations!$C$8-Calculations!$C$13))))+'Reaction Information'!$J$46*10^-1*(Calculations!$M95-Calculations!$C$9)+'Reaction Information'!$K$46*10^2*LN((Calculations!$C$12+Calculations!$M95)/(Calculations!$C$12+Calculations!$C$9))+(1/(Calculations!O95-Calculations!$C$13))*('Reaction Information'!$L$46*(Calculations!$M95-Calculations!$C$9)+'Reaction Information'!$M$46*10^4*LN((Calculations!$C$12+Calculations!$M95)/(Calculations!$C$12+Calculations!$C$9)))+calculateOmega(Calculations!M95,Calculations!N95,Calculations!Q95,'Reaction Information'!$C$46,'Reaction Information'!$P$46*10^5,'Reaction Information'!$Q$46)*((1/Calculations!S95)-1)-'Reaction Information'!$P$46*10^5*((1/Calculations!$C$10)-1)+'Reaction Information'!$P$46*10^5*Calculations!$C$14*(Calculations!O95-Calculations!$C$8))</f>
        <v>0</v>
      </c>
      <c r="AT95" s="8">
        <f>IF(ISBLANK(Input!$BN$4),NA(),'Reaction Information'!$E$50-'Reaction Information'!$G$50*(Calculations!O95-Calculations!$C$8)-'Reaction Information'!$N$50*(Calculations!O95*LN(Calculations!O95/Calculations!$C$8)-Calculations!O95+Calculations!$C$8)-'Reaction Information'!$O$50*10^4*(((1/(Calculations!O95-Calculations!$C$13))-(1/(Calculations!$C$8-Calculations!$C$13)))*((Calculations!$C$13-Calculations!O95)/(Calculations!$C$13))-(Calculations!O95/(Calculations!$C$13*Calculations!$C$13))*LN((Calculations!$C$8*(Calculations!O95-Calculations!$C$13))/(Calculations!O95*(Calculations!$C$8-Calculations!$C$13))))+'Reaction Information'!$J$50*10^-1*(Calculations!$M95-Calculations!$C$9)+'Reaction Information'!$K$50*10^2*LN((Calculations!$C$12+Calculations!$M95)/(Calculations!$C$12+Calculations!$C$9))+(1/(Calculations!O95-Calculations!$C$13))*('Reaction Information'!$L$50*(Calculations!$M95-Calculations!$C$9)+'Reaction Information'!$M$50*10^4*LN((Calculations!$C$12+Calculations!$M95)/(Calculations!$C$12+Calculations!$C$9)))+calculateOmega(Calculations!M95,Calculations!N95,Calculations!Q95,'Reaction Information'!$C$50,'Reaction Information'!$P$50*10^5,'Reaction Information'!$Q$50)*((1/Calculations!S95)-1)-'Reaction Information'!$P$50*10^5*((1/Calculations!$C$10)-1)+'Reaction Information'!$P$50*10^5*Calculations!$C$14*(Calculations!O95-Calculations!$C$8))</f>
        <v>-148374.11046304714</v>
      </c>
      <c r="AU95" s="8" t="e">
        <f>IF(ISBLANK(Input!$BQ$4),NA(),'Reaction Information'!$E$54-'Reaction Information'!$G$54*(Calculations!$O95-Calculations!$C$8)-'Reaction Information'!$N$54*(Calculations!$O95*LN(Calculations!$O95/Calculations!$C$8)-Calculations!$O95+Calculations!$C$8)-'Reaction Information'!$O$54*10^4*(((1/(Calculations!$O95-Calculations!$C$13))-(1/(Calculations!$C$8-Calculations!$C$13)))*((Calculations!$C$13-Calculations!$O95)/(Calculations!$C$13))-(Calculations!$O95/(Calculations!$C$13*Calculations!$C$13))*LN((Calculations!$C$8*(Calculations!$O95-Calculations!$C$13))/(Calculations!$O95*(Calculations!$C$8-Calculations!$C$13))))+'Reaction Information'!$J$54*10^-1*(Calculations!$M95-Calculations!$C$9)+'Reaction Information'!$K$54*10^2*LN((Calculations!$C$12+Calculations!$M95)/(Calculations!$C$12+Calculations!$C$9))+(1/(Calculations!$O95-Calculations!$C$13))*('Reaction Information'!$L$54*(Calculations!$M95-Calculations!$C$9)+'Reaction Information'!$M$54*10^4*LN((Calculations!$C$12+Calculations!$M95)/(Calculations!$C$12+Calculations!$C$9)))+calculateOmega(Calculations!M95,Calculations!N95,Calculations!Q95,'Reaction Information'!$C$54,'Reaction Information'!$P$54*10^5,'Reaction Information'!$Q$54)*((1/Calculations!$S95)-1)-'Reaction Information'!$P$54*10^5*((1/Calculations!$C$10)-1)+'Reaction Information'!$P$54*10^5*Calculations!$C$14*(Calculations!$O95-Calculations!$C$8))</f>
        <v>#N/A</v>
      </c>
      <c r="AV95" s="8" t="e">
        <f>IF(ISBLANK(Input!$BT$4),NA(),'Reaction Information'!$E$58-'Reaction Information'!$G$58*(Calculations!$O95-Calculations!$C$8)-'Reaction Information'!$N$58*(Calculations!$O95*LN(Calculations!$O95/Calculations!$C$8)-Calculations!$O95+Calculations!$C$8)-'Reaction Information'!$O$58*10^4*(((1/(Calculations!$O95-Calculations!$C$13))-(1/(Calculations!$C$8-Calculations!$C$13)))*((Calculations!$C$13-Calculations!$O95)/(Calculations!$C$13))-(Calculations!$O95/(Calculations!$C$13*Calculations!$C$13))*LN((Calculations!$C$8*(Calculations!$O95-Calculations!$C$13))/(Calculations!$O95*(Calculations!$C$8-Calculations!$C$13))))+'Reaction Information'!$J$58*10^-1*(Calculations!$M95-Calculations!$C$9)+'Reaction Information'!$K$58*10^2*LN((Calculations!$C$12+Calculations!$M95)/(Calculations!$C$12+Calculations!$C$9))+(1/(Calculations!$O95-Calculations!$C$13))*('Reaction Information'!$L$58*(Calculations!$M95-Calculations!$C$9)+'Reaction Information'!$M$58*10^4*LN((Calculations!$C$12+Calculations!$M95)/(Calculations!$C$12+Calculations!$C$9)))+calculateOmega(Calculations!M95,Calculations!N95,Calculations!Q95,'Reaction Information'!$C$58,'Reaction Information'!$P$58*10^5,'Reaction Information'!$Q$58)*((1/Calculations!$S95)-1)-'Reaction Information'!$P$58*10^5*((1/Calculations!$C$10)-1)+'Reaction Information'!$P$58*10^5*Calculations!$C$14*(Calculations!$O95-Calculations!$C$8))</f>
        <v>#N/A</v>
      </c>
      <c r="AW95" s="8" t="e">
        <f>IF(ISBLANK(Input!$BW$4),NA(),'Reaction Information'!$E$62-'Reaction Information'!$G$62*(Calculations!$O95-Calculations!$C$8)-'Reaction Information'!$N$62*(Calculations!$O95*LN(Calculations!$O95/Calculations!$C$8)-Calculations!$O95+Calculations!$C$8)-'Reaction Information'!$O$62*10^4*(((1/(Calculations!$O95-Calculations!$C$13))-(1/(Calculations!$C$8-Calculations!$C$13)))*((Calculations!$C$13-Calculations!$O95)/(Calculations!$C$13))-(Calculations!$O95/(Calculations!$C$13*Calculations!$C$13))*LN((Calculations!$C$8*(Calculations!$O95-Calculations!$C$13))/(Calculations!$O95*(Calculations!$C$8-Calculations!$C$13))))+'Reaction Information'!$J$62*10^-1*(Calculations!$M95-Calculations!$C$9)+'Reaction Information'!$K$62*10^2*LN((Calculations!$C$12+Calculations!$M95)/(Calculations!$C$12+Calculations!$C$9))+(1/(Calculations!$O95-Calculations!$C$13))*('Reaction Information'!$L$62*(Calculations!$M95-Calculations!$C$9)+'Reaction Information'!$M$62*10^4*LN((Calculations!$C$12+Calculations!$M95)/(Calculations!$C$12+Calculations!$C$9)))+calculateOmega(Calculations!M95,Calculations!N95,Calculations!Q95,'Reaction Information'!$C$62,'Reaction Information'!$P$62*10^5,'Reaction Information'!$Q$62)*((1/Calculations!$S95)-1)-'Reaction Information'!$P$62*10^5*((1/Calculations!$C$10)-1)+'Reaction Information'!$P$62*10^5*Calculations!$C$14*(Calculations!$O95-Calculations!$C$8))</f>
        <v>#N/A</v>
      </c>
      <c r="AX95" s="8" t="e">
        <f>IF(ISBLANK(Input!$BZ$4),NA(),'Reaction Information'!$E$66-'Reaction Information'!$G$66*(Calculations!$O95-Calculations!$C$8)-'Reaction Information'!$N$66*(Calculations!$O95*LN(Calculations!$O95/Calculations!$C$8)-Calculations!$O95+Calculations!$C$8)-'Reaction Information'!$O$66*10^4*(((1/(Calculations!$O95-Calculations!$C$13))-(1/(Calculations!$C$8-Calculations!$C$13)))*((Calculations!$C$13-Calculations!$O95)/(Calculations!$C$13))-(Calculations!$O95/(Calculations!$C$13*Calculations!$C$13))*LN((Calculations!$C$8*(Calculations!$O95-Calculations!$C$13))/(Calculations!$O95*(Calculations!$C$8-Calculations!$C$13))))+'Reaction Information'!$J$66*10^-1*(Calculations!$M95-Calculations!$C$9)+'Reaction Information'!$K$66*10^2*LN((Calculations!$C$12+Calculations!$M95)/(Calculations!$C$12+Calculations!$C$9))+(1/(Calculations!$O95-Calculations!$C$13))*('Reaction Information'!$L$66*(Calculations!$M95-Calculations!$C$9)+'Reaction Information'!$M$66*10^4*LN((Calculations!$C$12+Calculations!$M95)/(Calculations!$C$12+Calculations!$C$9)))+calculateOmega(Calculations!M95,Calculations!N95,Calculations!Q95,'Reaction Information'!$C$66,'Reaction Information'!$P$66*10^5,'Reaction Information'!$Q$66)*((1/Calculations!$S95)-1)-'Reaction Information'!$P$66*10^5*((1/Calculations!$C$10)-1)+'Reaction Information'!$P$66*10^5*Calculations!$C$14*(Calculations!$O95-Calculations!$C$8))</f>
        <v>#N/A</v>
      </c>
      <c r="AY95" s="31">
        <f>(AL95*Input!$AO$4+AM95*Input!$AR$4+AN95*Input!$AU$4+AO95*Input!$AX$4+IF(ISNA(AP95),0,AP95*Input!$BA$4)+IF(ISNA(AQ95),0,AQ95*Input!$BD$4)+IF(ISNA(AR95),0,AR95*Input!$BG$4)+IF(ISNA(AS95),0,AS95*Input!$BJ$4)+IF(ISNA(AT95),0,AT95*Input!$BM$4)+IF(ISNA(AU95),0,AU95*Input!$BP$4)+IF(ISNA(AV95),0,AV95*Input!$BS$4)+IF(ISNA(AW95),0,AW95*Input!$BV$4)+IF(ISNA(AX95),0,AX95*Input!$BY$4))-(Y95*Input!$B$4+Z95*Input!$E$4+AA95*Input!$H$4+AB95*Input!$K$4+IF(ISNA(AC95),0,AC95*Input!$N$4)+IF(ISNA(AD95),0,AD95*Input!$Q$4)+IF(ISNA(AE95),0,AE95*Input!$T$4)+IF(ISNA(AF95),0,AF95*Input!$W$4)+IF(ISNA(AG95),0,AG95*Input!$Z$4)+IF(ISNA(AH95),0,AH95*Input!$AC$4)+IF(ISNA(AI95),0,AI95*Input!$AF$4)+IF(ISNA(AJ95),0,AJ95*Input!$AI$4)+IF(ISNA(AK95),0,AK95*Input!$AL$4))</f>
        <v>37428.218232437066</v>
      </c>
      <c r="AZ95" s="42">
        <f t="shared" si="20"/>
        <v>-6.4291188194820572</v>
      </c>
      <c r="BA95" s="1">
        <f t="shared" si="27"/>
        <v>1000</v>
      </c>
      <c r="BB95" s="46">
        <f t="shared" si="28"/>
        <v>30000</v>
      </c>
      <c r="BC95" s="1"/>
      <c r="BD95" s="2">
        <f t="shared" si="29"/>
        <v>30000</v>
      </c>
      <c r="BE95" s="46">
        <f t="shared" si="30"/>
        <v>1000</v>
      </c>
      <c r="BF95" s="1">
        <f>Results!AJ97</f>
        <v>0</v>
      </c>
      <c r="BG95" s="1">
        <f>Results!AK97</f>
        <v>0</v>
      </c>
      <c r="BH95" s="1">
        <f>Results!AL97</f>
        <v>0</v>
      </c>
      <c r="BI95" s="1">
        <f>Results!AM97</f>
        <v>0</v>
      </c>
      <c r="BJ95" s="1" t="e">
        <f>IF(OR(ISNA('Reaction Information'!$D$5), $N95 = "", $D$27 = FALSE, 'Reaction Information'!$D$5 = ""), NA(), 24.465)</f>
        <v>#N/A</v>
      </c>
      <c r="BK95" s="1" t="e">
        <f>IF(OR(ISNA('Reaction Information'!$D$9), $N95 = "", $D$27 = FALSE, 'Reaction Information'!$D$9 = ""), NA(), 24.465)</f>
        <v>#N/A</v>
      </c>
      <c r="BL95" s="8">
        <f t="shared" si="21"/>
        <v>16.028346335437551</v>
      </c>
      <c r="BM95" s="8">
        <f>IF(OR(ISBLANK(Input!$X$4),$D$27=FALSE),NA(),('Reaction Information'!$J$13/10+'Reaction Information'!$K$13*100/(Calculations!$C$12+Calculations!$M95)+('Reaction Information'!$L$13+'Reaction Information'!$M$13*10^4/(Calculations!$C$12+Calculations!$M95))/(Calculations!$O95-Calculations!$C$13) -calculateOmega(Calculations!$M95,Calculations!$N95,Calculations!$Q95,'Reaction Information'!$C$13,'Reaction Information'!$P$13*10^5,'Reaction Information'!$Q$13)*Calculations!$U95*10^-6 + (1/$S95 - 1)*calculate_domegadP(Calculations!$M95,Calculations!$N95,Calculations!$Q95,'Reaction Information'!$C$13,'Reaction Information'!$P$13*10^5,'Reaction Information'!$Q$13,$D$20,$D$19=3))*41.84)</f>
        <v>31.023966173624327</v>
      </c>
      <c r="BN95" s="8" t="e">
        <f>IF(OR(ISBLANK(Input!$AA$4),$D$27=FALSE),NA(),('Reaction Information'!$J$17/10+'Reaction Information'!$K$17*100/(Calculations!$C$12+Calculations!$M95)+('Reaction Information'!$L$17+'Reaction Information'!$M$17*10000/(Calculations!$C$12+Calculations!$M95))/(Calculations!$O95-Calculations!$C$13)-calculateOmega(Calculations!M95,Calculations!N95,Calculations!Q95,'Reaction Information'!$C$17,'Reaction Information'!$P$17*10^5,'Reaction Information'!$Q$17)*Calculations!$U95*10^-6 + (1/$S95 - 1)*calculate_domegadP(Calculations!M95,Calculations!N95,Calculations!Q95,'Reaction Information'!$C$17,'Reaction Information'!$P$17*10^5,'Reaction Information'!$Q$17,$D$20,$D$19=3))*41.84)</f>
        <v>#N/A</v>
      </c>
      <c r="BO95" s="8" t="e">
        <f>IF(OR(ISBLANK(Input!$AD$4),$D$27=FALSE),NA(),('Reaction Information'!$J$21/10+'Reaction Information'!$K$21*100/(Calculations!$C$12+Calculations!$M95)+('Reaction Information'!$L$21+'Reaction Information'!$M$21*10000/(Calculations!$C$12+Calculations!$M95))/(Calculations!$O95-Calculations!$C$13)-calculateOmega(Calculations!M95,Calculations!N95,Calculations!Q95,'Reaction Information'!$C$21,'Reaction Information'!$P$21*10^5,'Reaction Information'!$Q$21)*Calculations!$U95*10^-6 + (1/$S95 - 1)*calculate_domegadP(Calculations!M95,Calculations!N95,Calculations!Q95,'Reaction Information'!$C$21,'Reaction Information'!$P$21*10^5,'Reaction Information'!$Q$21,$D$20,$D$19=3))*41.84)</f>
        <v>#N/A</v>
      </c>
      <c r="BP95" s="8" t="e">
        <f>IF(OR(ISBLANK(Input!$AG$4),$D$27=FALSE),NA(),('Reaction Information'!$J$25/10+'Reaction Information'!$K$25*100/(Calculations!$C$12+Calculations!$M95)+('Reaction Information'!$L$25+'Reaction Information'!$M$25*10000/(Calculations!$C$12+Calculations!$M95))/(Calculations!$O95-Calculations!$C$13)-calculateOmega(Calculations!M95,Calculations!N95,Calculations!Q95,'Reaction Information'!$C$25,'Reaction Information'!$P$25*10^5,'Reaction Information'!$Q$25)*Calculations!$U95*10^-6 + (1/$S95 - 1)*calculate_domegadP(Calculations!M95,Calculations!N95,Calculations!Q95,'Reaction Information'!$C$25,'Reaction Information'!$P$25*10^5,'Reaction Information'!$Q$25,$D$20,$D$19=3))*41.84)</f>
        <v>#N/A</v>
      </c>
      <c r="BQ95" s="8" t="e">
        <f>IF(OR(ISBLANK(Input!$AJ$4),$D$27=FALSE),NA(),('Reaction Information'!$J$29/10+'Reaction Information'!$K$29*100/(Calculations!$C$12+Calculations!$M95)+('Reaction Information'!$L$29+'Reaction Information'!$M$29*10000/(Calculations!$C$12+Calculations!$M95))/(Calculations!$O95-Calculations!$C$13)-calculateOmega(Calculations!M95,Calculations!N95,Calculations!Q95,'Reaction Information'!$C$29,'Reaction Information'!$P$29*10^5,'Reaction Information'!$Q$29)*Calculations!$U95*10^-6 + (1/$S95 - 1)*calculate_domegadP(Calculations!M95,Calculations!N95,Calculations!Q95,'Reaction Information'!$C$29,'Reaction Information'!$P$29*10^5,'Reaction Information'!$Q$29,$D$20,$D$19=3))*41.84)</f>
        <v>#N/A</v>
      </c>
      <c r="BR95" s="8" t="e">
        <f>IF(OR(ISBLANK(Input!$AM$4),$D$27=FALSE),NA(),('Reaction Information'!$J$33/10+'Reaction Information'!$K$33*100/(Calculations!$C$12+Calculations!$M95)+('Reaction Information'!$L$33+'Reaction Information'!$M$33*10000/(Calculations!$C$12+Calculations!$M95))/(Calculations!$O95-Calculations!$C$13)-calculateOmega(Calculations!M95,Calculations!N95,Calculations!Q95,'Reaction Information'!$C$33,'Reaction Information'!$P$33*10^5,'Reaction Information'!$Q$33)*Calculations!$U95*10^-6 + (1/$S95 - 1)*calculate_domegadP(Calculations!M95,Calculations!N95,Calculations!Q95,'Reaction Information'!$C$33,'Reaction Information'!$P$33*10^5,'Reaction Information'!$Q$33,$D$20,$D$19=3))*41.84)</f>
        <v>#N/A</v>
      </c>
      <c r="BS95" s="1">
        <f>Results!AW97</f>
        <v>0</v>
      </c>
      <c r="BT95" s="1">
        <f>Results!AX97</f>
        <v>0</v>
      </c>
      <c r="BU95" s="1">
        <f>Results!AY97</f>
        <v>0</v>
      </c>
      <c r="BV95" s="1">
        <f>Results!AZ97</f>
        <v>0</v>
      </c>
      <c r="BW95" s="1" t="e">
        <f>IF(OR(ISNA('Reaction Information'!$D$38), $N95 = "", $D$27 = FALSE, 'Reaction Information'!$D$38 = ""), NA(), 24.465)</f>
        <v>#N/A</v>
      </c>
      <c r="BX95" s="1" t="e">
        <f>IF(OR(ISNA('Reaction Information'!$D$42), $N95 = "", $D$27 = FALSE, 'Reaction Information'!$D$42 = ""), NA(), 24.465)</f>
        <v>#N/A</v>
      </c>
      <c r="BY95" s="8" t="e">
        <f t="shared" si="22"/>
        <v>#N/A</v>
      </c>
      <c r="BZ95" s="8">
        <f>IF(OR(ISBLANK(Input!$BK$4),$D$27=FALSE),NA(),('Reaction Information'!$J$46/10+'Reaction Information'!$K$46*100/(Calculations!$C$12+Calculations!$M95)+('Reaction Information'!$L$46+'Reaction Information'!$M$46*10000/(Calculations!$C$12+Calculations!$M95))/(Calculations!$O95-Calculations!$C$13)-calculateOmega(Calculations!M95,Calculations!N95,Calculations!Q95,'Reaction Information'!$C$46,'Reaction Information'!$P$46*10^5,'Reaction Information'!$Q$46)*Calculations!$U95*10^-6 + (1/$S95 - 1)*calculate_domegadP(Calculations!M95,Calculations!N95,Calculations!Q95,'Reaction Information'!$C$46,'Reaction Information'!$P$46*10^5,'Reaction Information'!$Q$46,$D$20,$D$19=3))*41.84)</f>
        <v>0</v>
      </c>
      <c r="CA95" s="8">
        <f>IF(OR(ISBLANK(Input!$BN$4),$D$27=FALSE),NA(),('Reaction Information'!$J$50/10+'Reaction Information'!$K$50*100/(Calculations!$C$12+Calculations!$M95)+('Reaction Information'!$L$50+'Reaction Information'!$M$50*10000/(Calculations!$C$12+Calculations!$M95))/(Calculations!$O95-Calculations!$C$13)-calculateOmega(Calculations!M95,Calculations!N95,Calculations!Q95,'Reaction Information'!$C$50,'Reaction Information'!$P$50*10^5,'Reaction Information'!$Q$50)*Calculations!$U95*10^-6 + (1/$S95 - 1)*calculate_domegadP(Calculations!M95,Calculations!N95,Calculations!Q95,'Reaction Information'!$C$50,'Reaction Information'!$P$50*10^5,'Reaction Information'!$Q$50,$D$20,$D$19=3))*41.84)</f>
        <v>29.711498827389143</v>
      </c>
      <c r="CB95" s="8" t="e">
        <f>IF(OR(ISBLANK(Input!$BQ$4),$D$27=FALSE),NA(),('Reaction Information'!$J$54/10+'Reaction Information'!$K$54*100/(Calculations!$C$12+Calculations!$M95)+('Reaction Information'!$L$54+'Reaction Information'!$M$54*10000/(Calculations!$C$12+Calculations!$M95))/(Calculations!$O95-Calculations!$C$13)-calculateOmega(Calculations!M95,Calculations!N95,Calculations!Q95,'Reaction Information'!$C$54,'Reaction Information'!$P$54*10^5,'Reaction Information'!$Q$54)*Calculations!$U95*10^-6 + (1/$S95 - 1)*calculate_domegadP(Calculations!M95,Calculations!N95,Calculations!Q95,'Reaction Information'!$C$54,'Reaction Information'!$P$54*10^5,'Reaction Information'!$Q$54,$D$20,$D$19=3))*41.84)</f>
        <v>#N/A</v>
      </c>
      <c r="CC95" s="8" t="e">
        <f>IF(OR(ISBLANK(Input!$BT$4),$D$27=FALSE),NA(),('Reaction Information'!$J$58/10+'Reaction Information'!$K$58*100/(Calculations!$C$12+Calculations!$M95)+('Reaction Information'!$L$58+'Reaction Information'!$M$58*10000/(Calculations!$C$12+Calculations!$M95))/(Calculations!$O95-Calculations!$C$13)-calculateOmega(Calculations!M95,Calculations!N95,Calculations!Q95,'Reaction Information'!$C$58,'Reaction Information'!$P$58*10^5,'Reaction Information'!$Q$58)*Calculations!$U95*10^-6 + (1/$S95 - 1)*calculate_domegadP(Calculations!M95,Calculations!N95,Calculations!Q95,'Reaction Information'!$C$58,'Reaction Information'!$P$58*10^5,'Reaction Information'!$Q$58,$D$20,$D$19=3))*41.84)</f>
        <v>#N/A</v>
      </c>
      <c r="CD95" s="8" t="e">
        <f>IF(OR(ISBLANK(Input!$BW$4),$D$27=FALSE),NA(),('Reaction Information'!$J$62/10+'Reaction Information'!$K$62*100/(Calculations!$C$12+Calculations!$M95)+('Reaction Information'!$L$62+'Reaction Information'!$M$62*10000/(Calculations!$C$12+Calculations!$M95))/(Calculations!$O95-Calculations!$C$13)-calculateOmega(Calculations!M95,Calculations!N95,Calculations!Q95,'Reaction Information'!$C$62,'Reaction Information'!$P$62*10^5,'Reaction Information'!$Q$62)*Calculations!$U95*10^-6 + (1/$S95 - 1)*calculate_domegadP(Calculations!M95,Calculations!N95,Calculations!Q95,'Reaction Information'!$C$62,'Reaction Information'!$P$62*10^5,'Reaction Information'!$Q$62,$D$20,$D$19=3))*41.84)</f>
        <v>#N/A</v>
      </c>
      <c r="CE95" s="8" t="e">
        <f>IF(OR(ISBLANK(Input!$BZ$4),$D$27=FALSE),NA(),('Reaction Information'!$J$66/10+'Reaction Information'!$K$66*100/(Calculations!$C$12+Calculations!$M95)+('Reaction Information'!$L$66+'Reaction Information'!$M$66*10000/(Calculations!$C$12+Calculations!$M95))/(Calculations!$O95-Calculations!$C$13)-calculateOmega(Calculations!M95,Calculations!N95,Calculations!Q95,'Reaction Information'!$C$66,'Reaction Information'!$P$66*10^5,'Reaction Information'!$Q$66)*Calculations!$U95*10^-6 + (1/$S95 - 1)*calculate_domegadP(Calculations!M95,Calculations!N95,Calculations!Q95,'Reaction Information'!$C$66,'Reaction Information'!$P$66*10^5,'Reaction Information'!$Q$66,$D$20,$D$19=3))*41.84)</f>
        <v>#N/A</v>
      </c>
      <c r="CF95" s="31">
        <f>(BS95*Input!$AO$4+BT95*Input!$AR$4+BU95*Input!$AU$4+BV95*Input!$AX$4+IF(ISNA(BW95),0,BW95*Input!$BA$4)+IF(ISNA(BX95),0,BX95*Input!$BD$4)+IF(ISNA(BY95),0,BY95*Input!$BG$4)+IF(ISNA(BZ95),0,BZ95*Input!$BJ$4)+IF(ISNA(CA95),0,CA95*Input!$BM$4)+IF(ISNA(CB95),0,CB95*Input!$BP$4)+IF(ISNA(CC95),0,CC95*Input!$BS$4)+IF(ISNA(CD95),0,CD95*Input!$BV$4)+IF(ISNA(CE95),0,CE95*Input!$BY$4))-(BF95*Input!$B$4+BG95*Input!$E$4+BH95*Input!$H$4+BI95*Input!$K$4+IF(ISNA(BJ95),0,BJ95*Input!$N$4)+IF(ISNA(BK95),0,BK95*Input!$Q$4)+IF(ISNA(BL95),0,BL95*Input!$T$4)+IF(ISNA(BM95),0,BM95*Input!$W$4)+IF(ISNA(BN95),0,BN95*Input!$Z$4)+IF(ISNA(BO95),0,BO95*Input!$AC$4)+IF(ISNA(BP95),0,BP95*Input!$AF$4)+IF(ISNA(BQ95),0,BQ95*Input!$AI$4)+IF(ISNA(BR95),0,BR95*Input!$AL$4))</f>
        <v>-17.340813681672735</v>
      </c>
      <c r="CG95" s="1">
        <f t="shared" si="31"/>
        <v>1000</v>
      </c>
      <c r="CH95" s="46">
        <f t="shared" si="32"/>
        <v>30000</v>
      </c>
      <c r="CI95" s="1"/>
    </row>
    <row r="96" spans="1:87" x14ac:dyDescent="0.2">
      <c r="A96" s="1"/>
      <c r="B96" s="1"/>
      <c r="C96" s="1"/>
      <c r="D96" s="1"/>
      <c r="E96" s="1"/>
      <c r="F96" s="2">
        <v>91</v>
      </c>
      <c r="G96" s="1" t="str">
        <f>IF(ISBLANK(Input!CB96), "", Input!CB96*1000)</f>
        <v/>
      </c>
      <c r="H96" s="1" t="str">
        <f>IF(ISBLANK(Input!CC96), "", Input!CC96)</f>
        <v/>
      </c>
      <c r="I96" s="1">
        <f>IF(Input!$CF$5 + Input!$CF$6*(FLOOR((Calculations!$F96-1)/(FLOOR((Input!$CF$12-Input!$CF$10)/Input!$CF$11,1)+1),1)) &gt; Input!$CF$7, "", (Input!$CF$5 + Input!$CF$6*(FLOOR((Calculations!$F96-1)/(FLOOR((Input!$CF$12-Input!$CF$10)/Input!$CF$11,1)+1),1)))*1000)</f>
        <v>35000</v>
      </c>
      <c r="J96" s="1">
        <f>IF(Calculations!I96 = "", "", Input!$CF$10 + Input!$CF$11*(Calculations!$F96-1) - (FLOOR((Input!$CF$12-Input!$CF$10)/Input!$CF$11,1)+1)*Input!$CF$11*FLOOR((Calculations!$F96-1)/(FLOOR((Input!$CF$12-Input!$CF$10)/Input!$CF$11,1)+1),1))</f>
        <v>300</v>
      </c>
      <c r="K96" s="8" t="str">
        <f t="shared" si="33"/>
        <v/>
      </c>
      <c r="L96" s="117" t="str">
        <f>IF(OR(Input!$CJ$5 + Input!$CJ$6*(Calculations!F96-1) &gt; Input!$CJ$7, Input!$CJ$5 + Input!$CJ$6*(Calculations!F96-1) &gt; 350), "", Input!$CJ$5 + Input!$CJ$6*(Calculations!F96-1))</f>
        <v/>
      </c>
      <c r="M96" s="1">
        <f t="shared" si="23"/>
        <v>35000</v>
      </c>
      <c r="N96" s="1">
        <f t="shared" si="24"/>
        <v>300</v>
      </c>
      <c r="O96" s="1">
        <f t="shared" si="19"/>
        <v>573.15</v>
      </c>
      <c r="P96" s="1" t="e">
        <f>IF(OR($D$20=3,AND($D$21=TRUE,M96&lt;1000)),INDEX('Water Density'!$C$6:$CX$120,MATCH(Calculations!N96,'Water Density'!$B$6:$B$120),MATCH(Calculations!M96/1000,'Water Density'!$C$5:$CX$5)),NA())</f>
        <v>#N/A</v>
      </c>
      <c r="Q96" s="182">
        <f>IF(OR($D$20=3,AND($D$21=TRUE,M96&lt;1000)), IF(P96&lt;&gt;0,P96,NA()), calculateDensity(M96,N96,$D$20,0.01,$D$19 = 3))</f>
        <v>1.3739212197166686</v>
      </c>
      <c r="R96" s="1" t="e">
        <f>IF($D$22=5,INDEX('Dielectric Constant'!$C$6:$CX$120,MATCH(Calculations!N96,'Dielectric Constant'!$B$6:$B$120),MATCH(Calculations!M96/1000,'Dielectric Constant'!$C$5:$CX$5)),NA())</f>
        <v>#N/A</v>
      </c>
      <c r="S96" s="58">
        <f>IF($D$22=5, IF(R96&lt;&gt;0,R96,NA()), IF(AND($D$23,M96&lt;=5000,$D$19 &lt;&gt; 3),calculateEpsilon(Q96,N96,1,FALSE),calculateEpsilon(Q96,N96,$D$22,$D$19 = 3)))</f>
        <v>54.48955612569943</v>
      </c>
      <c r="T96" s="1" t="e">
        <f>IF($D$24=3,INDEX('Water Free Energy'!$C$6:$CX$120,MATCH(Calculations!N96,'Water Free Energy'!$B$6:$B$120),MATCH(Calculations!M96/1000,'Water Free Energy'!$C$5:$CX$5)),NA())</f>
        <v>#N/A</v>
      </c>
      <c r="U96" s="179">
        <f>IF($D$27,calculateQ(M96,N96,Q96,$D$20,$D$22,$D$19=3)*10^6,NA())</f>
        <v>0.11489762656731108</v>
      </c>
      <c r="V96"/>
      <c r="W96" s="2">
        <f t="shared" si="25"/>
        <v>35000</v>
      </c>
      <c r="X96" s="1">
        <f t="shared" si="26"/>
        <v>300</v>
      </c>
      <c r="Y96" s="1">
        <f>Results!F98</f>
        <v>0</v>
      </c>
      <c r="Z96" s="1">
        <f>Results!G98</f>
        <v>0</v>
      </c>
      <c r="AA96" s="1">
        <f>Results!H98</f>
        <v>0</v>
      </c>
      <c r="AB96" s="1">
        <f>Results!I98</f>
        <v>0</v>
      </c>
      <c r="AC96" s="1" t="e">
        <f>IF(ISBLANK(Input!$O$4),NA(),'Reaction Information'!$E$5-'Reaction Information'!$G$5*(Calculations!$O96-Calculations!$C$8)+'Reaction Information'!$I$5*(Calculations!$O96-Calculations!$C$8-Calculations!$O96*LN(Calculations!$O96/Calculations!$C$8))+'Reaction Information'!$J$5*0.001/2*(2*Calculations!$O96*Calculations!$C$8-Calculations!$O96^2-Calculations!$C$8^2) + 'Reaction Information'!$K$5*100000*(Calculations!$O96^2 + Calculations!$C$8^2 - 2*Calculations!$O96*Calculations!$C$8)/(2*Calculations!$O96*Calculations!$C$8^2))</f>
        <v>#N/A</v>
      </c>
      <c r="AD96" s="8" t="e">
        <f>IF(ISBLANK(Input!$R$4),NA(),'Reaction Information'!$E$9-'Reaction Information'!$G$9*(Calculations!$O96-Calculations!$C$8)+'Reaction Information'!$I$9*(Calculations!$O96-Calculations!$C$8-Calculations!$O96*LN(Calculations!$O96/Calculations!$C$8))+'Reaction Information'!$J$9*0.001/2*(2*Calculations!$O96*Calculations!$C$8-Calculations!$O96^2-Calculations!$C$8^2) + 'Reaction Information'!$K$9*100000*(Calculations!$O96^2 + Calculations!$C$8^2 - 2*Calculations!$O96*Calculations!$C$8)/(2*Calculations!$O96*Calculations!$C$8^2))</f>
        <v>#N/A</v>
      </c>
      <c r="AE96" s="8">
        <f>IF(AE$5="H2O",IF($D$24=3,IF(T96=0,NA(),T96),calculateGibbsOfWater(M96,N96,$D$24,$D$20,$D$19=3)),NA())</f>
        <v>-50011.611636598143</v>
      </c>
      <c r="AF96" s="8">
        <f>IF(ISBLANK(Input!$X$4),NA(),'Reaction Information'!$E$13-'Reaction Information'!$G$13*(Calculations!O96-Calculations!$C$8)-'Reaction Information'!$N$13*(Calculations!O96*LN(Calculations!O96/Calculations!$C$8)-Calculations!O96+Calculations!$C$8)-'Reaction Information'!$O$13*10^4*(((1/(Calculations!O96-Calculations!$C$13))-(1/(Calculations!$C$8-Calculations!$C$13)))*((Calculations!$C$13-Calculations!O96)/(Calculations!$C$13))-(Calculations!O96/(Calculations!$C$13*Calculations!$C$13))*LN((Calculations!$C$8*(Calculations!O96-Calculations!$C$13))/(Calculations!O96*(Calculations!$C$8-Calculations!$C$13))))+'Reaction Information'!$J$13*10^-1*(Calculations!M96-Calculations!$C$9)+'Reaction Information'!$K$13*10^2*LN((Calculations!$C$12+Calculations!M96)/(Calculations!$C$12+Calculations!$C$9))+(1/(Calculations!O96-Calculations!$C$13))*('Reaction Information'!$L$13*(Calculations!M96-Calculations!$C$9)+'Reaction Information'!$M$13*10^4*LN((Calculations!$C$12+Calculations!M96)/(Calculations!$C$12+Calculations!$C$9)))+calculateOmega(Calculations!M96,Calculations!N96,Calculations!Q96,'Reaction Information'!$C$13,'Reaction Information'!$P$13*10^5,'Reaction Information'!$Q$13)*((1/Calculations!S96)-1)-'Reaction Information'!$P$13*10^5*((1/Calculations!$C$10)-1)+'Reaction Information'!$P$13*10^5*Calculations!$C$14*(Calculations!O96-Calculations!$C$8))</f>
        <v>-77047.314759001194</v>
      </c>
      <c r="AG96" s="8" t="e">
        <f>IF(ISBLANK(Input!$AA$4),NA(),'Reaction Information'!$E$17-'Reaction Information'!$G$17*(Calculations!$O96-Calculations!$C$8)-'Reaction Information'!$N$17*(Calculations!$O96*LN(Calculations!$O96/Calculations!$C$8)-Calculations!$O96+Calculations!$C$8)-'Reaction Information'!$O$17*10^4*(((1/(Calculations!$O96-Calculations!$C$13))-(1/(Calculations!$C$8-Calculations!$C$13)))*((Calculations!$C$13-Calculations!$O96)/(Calculations!$C$13))-(Calculations!$O96/(Calculations!$C$13*Calculations!$C$13))*LN((Calculations!$C$8*(Calculations!$O96-Calculations!$C$13))/(Calculations!$O96*(Calculations!$C$8-Calculations!$C$13))))+'Reaction Information'!$J$17*10^-1*(Calculations!$M96-Calculations!$C$9)+'Reaction Information'!$K$17*10^2*LN((Calculations!$C$12+Calculations!$M96)/(Calculations!$C$12+Calculations!$C$9))+(1/(Calculations!$O96-Calculations!$C$13))*('Reaction Information'!$L$17*(Calculations!$M96-Calculations!$C$9)+'Reaction Information'!$M$17*10^4*LN((Calculations!$C$12+Calculations!$M96)/(Calculations!$C$12+Calculations!$C$9)))+calculateOmega(Calculations!M96,Calculations!N96,Calculations!Q96,'Reaction Information'!$C$17,'Reaction Information'!$P$17*10^5,'Reaction Information'!$Q$17)*((1/Calculations!$S96)-1)-'Reaction Information'!$P$17*10^5*((1/Calculations!$C$10)-1)+'Reaction Information'!$P$17*10^5*Calculations!$C$14*(Calculations!$O96-Calculations!$C$8))</f>
        <v>#N/A</v>
      </c>
      <c r="AH96" s="8" t="e">
        <f>IF(ISBLANK(Input!$AD$4),NA(),'Reaction Information'!$E$21-'Reaction Information'!$G$21*(Calculations!$O96-Calculations!$C$8)-'Reaction Information'!$N$21*(Calculations!$O96*LN(Calculations!$O96/Calculations!$C$8)-Calculations!$O96+Calculations!$C$8)-'Reaction Information'!$O$21*10^4*(((1/(Calculations!$O96-Calculations!$C$13))-(1/(Calculations!$C$8-Calculations!$C$13)))*((Calculations!$C$13-Calculations!$O96)/(Calculations!$C$13))-(Calculations!$O96/(Calculations!$C$13*Calculations!$C$13))*LN((Calculations!$C$8*(Calculations!$O96-Calculations!$C$13))/(Calculations!$O96*(Calculations!$C$8-Calculations!$C$13))))+'Reaction Information'!$J$21*10^-1*(Calculations!$M96-Calculations!$C$9)+'Reaction Information'!$K$21*10^2*LN((Calculations!$C$12+Calculations!$M96)/(Calculations!$C$12+Calculations!$C$9))+(1/(Calculations!$O96-Calculations!$C$13))*('Reaction Information'!$L$21*(Calculations!$M96-Calculations!$C$9)+'Reaction Information'!$M$21*10^4*LN((Calculations!$C$12+Calculations!$M96)/(Calculations!$C$12+Calculations!$C$9)))+calculateOmega(Calculations!M96,Calculations!N96,Calculations!Q96,'Reaction Information'!$C$21,'Reaction Information'!$P$21*10^5,'Reaction Information'!$Q$21)*((1/Calculations!$S96)-1)-'Reaction Information'!$P$21*10^5*((1/Calculations!$C$10)-1)+'Reaction Information'!$P$21*10^5*Calculations!$C$14*(Calculations!$O96-Calculations!$C$8))</f>
        <v>#N/A</v>
      </c>
      <c r="AI96" s="8" t="e">
        <f>IF(ISBLANK(Input!$AG$4),NA(),'Reaction Information'!$E$25-'Reaction Information'!$G$25*(Calculations!$O96-Calculations!$C$8)-'Reaction Information'!$N$25*(Calculations!$O96*LN(Calculations!$O96/Calculations!$C$8)-Calculations!$O96+Calculations!$C$8)-'Reaction Information'!$O$25*10^4*(((1/(Calculations!$O96-Calculations!$C$13))-(1/(Calculations!$C$8-Calculations!$C$13)))*((Calculations!$C$13-Calculations!$O96)/(Calculations!$C$13))-(Calculations!$O96/(Calculations!$C$13*Calculations!$C$13))*LN((Calculations!$C$8*(Calculations!$O96-Calculations!$C$13))/(Calculations!$O96*(Calculations!$C$8-Calculations!$C$13))))+'Reaction Information'!$J$25*10^-1*(Calculations!$M96-Calculations!$C$9)+'Reaction Information'!$K$25*10^2*LN((Calculations!$C$12+Calculations!$M96)/(Calculations!$C$12+Calculations!$C$9))+(1/(Calculations!$O96-Calculations!$C$13))*('Reaction Information'!$L$25*(Calculations!$M96-Calculations!$C$9)+'Reaction Information'!$M$25*10^4*LN((Calculations!$C$12+Calculations!$M96)/(Calculations!$C$12+Calculations!$C$9)))+calculateOmega(Calculations!M96,Calculations!N96,Calculations!Q96,'Reaction Information'!$C$25,'Reaction Information'!$P$25*10^5,'Reaction Information'!$Q$25)*((1/Calculations!$S96)-1)-'Reaction Information'!$P$25*10^5*((1/Calculations!$C$10)-1)+'Reaction Information'!$P$25*10^5*Calculations!$C$14*(Calculations!$O96-Calculations!$C$8))</f>
        <v>#N/A</v>
      </c>
      <c r="AJ96" s="8" t="e">
        <f>IF(ISBLANK(Input!$AJ$4),NA(),'Reaction Information'!$E$29-'Reaction Information'!$G$29*(Calculations!$O96-Calculations!$C$8)-'Reaction Information'!$N$29*(Calculations!$O96*LN(Calculations!$O96/Calculations!$C$8)-Calculations!$O96+Calculations!$C$8)-'Reaction Information'!$O$29*10^4*(((1/(Calculations!$O96-Calculations!$C$13))-(1/(Calculations!$C$8-Calculations!$C$13)))*((Calculations!$C$13-Calculations!$O96)/(Calculations!$C$13))-(Calculations!$O96/(Calculations!$C$13*Calculations!$C$13))*LN((Calculations!$C$8*(Calculations!$O96-Calculations!$C$13))/(Calculations!$O96*(Calculations!$C$8-Calculations!$C$13))))+'Reaction Information'!$J$29*10^-1*(Calculations!$M96-Calculations!$C$9)+'Reaction Information'!$K$29*10^2*LN((Calculations!$C$12+Calculations!$M96)/(Calculations!$C$12+Calculations!$C$9))+(1/(Calculations!$O96-Calculations!$C$13))*('Reaction Information'!$L$29*(Calculations!$M96-Calculations!$C$9)+'Reaction Information'!$M$29*10^4*LN((Calculations!$C$12+Calculations!$M96)/(Calculations!$C$12+Calculations!$C$9)))+calculateOmega(Calculations!M96,Calculations!N96,Calculations!Q96,'Reaction Information'!$C$29,'Reaction Information'!$P$29*10^5,'Reaction Information'!$Q$29)*((1/Calculations!$S96)-1)-'Reaction Information'!$P$29*10^5*((1/Calculations!$C$10)-1)+'Reaction Information'!$P$29*10^5*Calculations!$C$14*(Calculations!$O96-Calculations!$C$8))</f>
        <v>#N/A</v>
      </c>
      <c r="AK96" s="8" t="e">
        <f>IF(ISBLANK(Input!$AM$4),NA(),'Reaction Information'!$E$33-'Reaction Information'!$G$33*(Calculations!$O96-Calculations!$C$8)-'Reaction Information'!$N$33*(Calculations!$O96*LN(Calculations!$O96/Calculations!$C$8)-Calculations!$O96+Calculations!$C$8)-'Reaction Information'!$O$33*10^4*(((1/(Calculations!$O96-Calculations!$C$13))-(1/(Calculations!$C$8-Calculations!$C$13)))*((Calculations!$C$13-Calculations!$O96)/(Calculations!$C$13))-(Calculations!$O96/(Calculations!$C$13*Calculations!$C$13))*LN((Calculations!$C$8*(Calculations!$O96-Calculations!$C$13))/(Calculations!$O96*(Calculations!$C$8-Calculations!$C$13))))+'Reaction Information'!$J$33*10^-1*(Calculations!$M96-Calculations!$C$9)+'Reaction Information'!$K$33*10^2*LN((Calculations!$C$12+Calculations!$M96)/(Calculations!$C$12+Calculations!$C$9))+(1/(Calculations!$O96-Calculations!$C$13))*('Reaction Information'!$L$33*(Calculations!$M96-Calculations!$C$9)+'Reaction Information'!$M$33*10^4*LN((Calculations!$C$12+Calculations!$M96)/(Calculations!$C$12+Calculations!$C$9)))+calculateOmega(Calculations!M96,Calculations!N96,Calculations!Q96,'Reaction Information'!$C$33,'Reaction Information'!$P$33*10^5,'Reaction Information'!$Q$33)*((1/Calculations!$S96)-1)-'Reaction Information'!$P$33*10^5*((1/Calculations!$C$10)-1)+'Reaction Information'!$P$33*10^5*Calculations!$C$14*(Calculations!$O96-Calculations!$C$8))</f>
        <v>#N/A</v>
      </c>
      <c r="AL96" s="1">
        <f>Results!S98</f>
        <v>0</v>
      </c>
      <c r="AM96" s="1">
        <f>Results!T98</f>
        <v>0</v>
      </c>
      <c r="AN96" s="1">
        <f>Results!U98</f>
        <v>0</v>
      </c>
      <c r="AO96" s="1">
        <f>Results!V98</f>
        <v>0</v>
      </c>
      <c r="AP96" s="8" t="e">
        <f>IF(ISBLANK(Input!$BB$4),NA(),'Reaction Information'!$E$38-'Reaction Information'!$G$38*(Calculations!$O96-Calculations!$C$8)+'Reaction Information'!$I$38*(Calculations!$O96-Calculations!$C$8-Calculations!$O96*LN(Calculations!$O96/Calculations!$C$8))+'Reaction Information'!$J$38*0.001/2*(2*Calculations!$O96*Calculations!$C$8-Calculations!$O96^2-Calculations!$C$8^2) + 'Reaction Information'!$K$38*100000*(Calculations!$O96^2 + Calculations!$C$8^2 - 2*Calculations!$O96*Calculations!$C$8)/(2*Calculations!$O96*Calculations!$C$8^2))</f>
        <v>#N/A</v>
      </c>
      <c r="AQ96" s="8" t="e">
        <f>IF(ISBLANK(Input!$BE$4),NA(),'Reaction Information'!$E$42-'Reaction Information'!$G$42*(Calculations!$O96-Calculations!$C$8)+'Reaction Information'!$I$42*(Calculations!$O96-Calculations!$C$8-Calculations!$O96*LN(Calculations!$O96/Calculations!$C$8))+'Reaction Information'!$J$42*0.001/2*(2*Calculations!$O96*Calculations!$C$8-Calculations!$O96^2-Calculations!$C$8^2) + 'Reaction Information'!$K$42*100000*(Calculations!$O96^2 + Calculations!$C$8^2 - 2*Calculations!$O96*Calculations!$C$8)/(2*Calculations!$O96*Calculations!$C$8^2))</f>
        <v>#N/A</v>
      </c>
      <c r="AR96" s="8" t="e">
        <f>IF(AR$5="H2O", IF($D$24=3,IF(T96=0,NA(),T96),calculateGibbsOfWater(M96,N96,$D$24,$D$20,$D$19=3)),NA())</f>
        <v>#N/A</v>
      </c>
      <c r="AS96" s="8">
        <f>IF(ISBLANK(Input!$BK$4),NA(),'Reaction Information'!$E$46-'Reaction Information'!$G$46*(Calculations!O96-Calculations!$C$8)-'Reaction Information'!$N$46*(Calculations!O96*LN(Calculations!O96/Calculations!$C$8)-Calculations!O96+Calculations!$C$8)-'Reaction Information'!$O$46*10^4*(((1/(Calculations!O96-Calculations!$C$13))-(1/(Calculations!$C$8-Calculations!$C$13)))*((Calculations!$C$13-Calculations!O96)/(Calculations!$C$13))-(Calculations!O96/(Calculations!$C$13*Calculations!$C$13))*LN((Calculations!$C$8*(Calculations!O96-Calculations!$C$13))/(Calculations!O96*(Calculations!$C$8-Calculations!$C$13))))+'Reaction Information'!$J$46*10^-1*(Calculations!$M96-Calculations!$C$9)+'Reaction Information'!$K$46*10^2*LN((Calculations!$C$12+Calculations!$M96)/(Calculations!$C$12+Calculations!$C$9))+(1/(Calculations!O96-Calculations!$C$13))*('Reaction Information'!$L$46*(Calculations!$M96-Calculations!$C$9)+'Reaction Information'!$M$46*10^4*LN((Calculations!$C$12+Calculations!$M96)/(Calculations!$C$12+Calculations!$C$9)))+calculateOmega(Calculations!M96,Calculations!N96,Calculations!Q96,'Reaction Information'!$C$46,'Reaction Information'!$P$46*10^5,'Reaction Information'!$Q$46)*((1/Calculations!S96)-1)-'Reaction Information'!$P$46*10^5*((1/Calculations!$C$10)-1)+'Reaction Information'!$P$46*10^5*Calculations!$C$14*(Calculations!O96-Calculations!$C$8))</f>
        <v>0</v>
      </c>
      <c r="AT96" s="8">
        <f>IF(ISBLANK(Input!$BN$4),NA(),'Reaction Information'!$E$50-'Reaction Information'!$G$50*(Calculations!O96-Calculations!$C$8)-'Reaction Information'!$N$50*(Calculations!O96*LN(Calculations!O96/Calculations!$C$8)-Calculations!O96+Calculations!$C$8)-'Reaction Information'!$O$50*10^4*(((1/(Calculations!O96-Calculations!$C$13))-(1/(Calculations!$C$8-Calculations!$C$13)))*((Calculations!$C$13-Calculations!O96)/(Calculations!$C$13))-(Calculations!O96/(Calculations!$C$13*Calculations!$C$13))*LN((Calculations!$C$8*(Calculations!O96-Calculations!$C$13))/(Calculations!O96*(Calculations!$C$8-Calculations!$C$13))))+'Reaction Information'!$J$50*10^-1*(Calculations!$M96-Calculations!$C$9)+'Reaction Information'!$K$50*10^2*LN((Calculations!$C$12+Calculations!$M96)/(Calculations!$C$12+Calculations!$C$9))+(1/(Calculations!O96-Calculations!$C$13))*('Reaction Information'!$L$50*(Calculations!$M96-Calculations!$C$9)+'Reaction Information'!$M$50*10^4*LN((Calculations!$C$12+Calculations!$M96)/(Calculations!$C$12+Calculations!$C$9)))+calculateOmega(Calculations!M96,Calculations!N96,Calculations!Q96,'Reaction Information'!$C$50,'Reaction Information'!$P$50*10^5,'Reaction Information'!$Q$50)*((1/Calculations!S96)-1)-'Reaction Information'!$P$50*10^5*((1/Calculations!$C$10)-1)+'Reaction Information'!$P$50*10^5*Calculations!$C$14*(Calculations!O96-Calculations!$C$8))</f>
        <v>-122042.28300229627</v>
      </c>
      <c r="AU96" s="8" t="e">
        <f>IF(ISBLANK(Input!$BQ$4),NA(),'Reaction Information'!$E$54-'Reaction Information'!$G$54*(Calculations!$O96-Calculations!$C$8)-'Reaction Information'!$N$54*(Calculations!$O96*LN(Calculations!$O96/Calculations!$C$8)-Calculations!$O96+Calculations!$C$8)-'Reaction Information'!$O$54*10^4*(((1/(Calculations!$O96-Calculations!$C$13))-(1/(Calculations!$C$8-Calculations!$C$13)))*((Calculations!$C$13-Calculations!$O96)/(Calculations!$C$13))-(Calculations!$O96/(Calculations!$C$13*Calculations!$C$13))*LN((Calculations!$C$8*(Calculations!$O96-Calculations!$C$13))/(Calculations!$O96*(Calculations!$C$8-Calculations!$C$13))))+'Reaction Information'!$J$54*10^-1*(Calculations!$M96-Calculations!$C$9)+'Reaction Information'!$K$54*10^2*LN((Calculations!$C$12+Calculations!$M96)/(Calculations!$C$12+Calculations!$C$9))+(1/(Calculations!$O96-Calculations!$C$13))*('Reaction Information'!$L$54*(Calculations!$M96-Calculations!$C$9)+'Reaction Information'!$M$54*10^4*LN((Calculations!$C$12+Calculations!$M96)/(Calculations!$C$12+Calculations!$C$9)))+calculateOmega(Calculations!M96,Calculations!N96,Calculations!Q96,'Reaction Information'!$C$54,'Reaction Information'!$P$54*10^5,'Reaction Information'!$Q$54)*((1/Calculations!$S96)-1)-'Reaction Information'!$P$54*10^5*((1/Calculations!$C$10)-1)+'Reaction Information'!$P$54*10^5*Calculations!$C$14*(Calculations!$O96-Calculations!$C$8))</f>
        <v>#N/A</v>
      </c>
      <c r="AV96" s="8" t="e">
        <f>IF(ISBLANK(Input!$BT$4),NA(),'Reaction Information'!$E$58-'Reaction Information'!$G$58*(Calculations!$O96-Calculations!$C$8)-'Reaction Information'!$N$58*(Calculations!$O96*LN(Calculations!$O96/Calculations!$C$8)-Calculations!$O96+Calculations!$C$8)-'Reaction Information'!$O$58*10^4*(((1/(Calculations!$O96-Calculations!$C$13))-(1/(Calculations!$C$8-Calculations!$C$13)))*((Calculations!$C$13-Calculations!$O96)/(Calculations!$C$13))-(Calculations!$O96/(Calculations!$C$13*Calculations!$C$13))*LN((Calculations!$C$8*(Calculations!$O96-Calculations!$C$13))/(Calculations!$O96*(Calculations!$C$8-Calculations!$C$13))))+'Reaction Information'!$J$58*10^-1*(Calculations!$M96-Calculations!$C$9)+'Reaction Information'!$K$58*10^2*LN((Calculations!$C$12+Calculations!$M96)/(Calculations!$C$12+Calculations!$C$9))+(1/(Calculations!$O96-Calculations!$C$13))*('Reaction Information'!$L$58*(Calculations!$M96-Calculations!$C$9)+'Reaction Information'!$M$58*10^4*LN((Calculations!$C$12+Calculations!$M96)/(Calculations!$C$12+Calculations!$C$9)))+calculateOmega(Calculations!M96,Calculations!N96,Calculations!Q96,'Reaction Information'!$C$58,'Reaction Information'!$P$58*10^5,'Reaction Information'!$Q$58)*((1/Calculations!$S96)-1)-'Reaction Information'!$P$58*10^5*((1/Calculations!$C$10)-1)+'Reaction Information'!$P$58*10^5*Calculations!$C$14*(Calculations!$O96-Calculations!$C$8))</f>
        <v>#N/A</v>
      </c>
      <c r="AW96" s="8" t="e">
        <f>IF(ISBLANK(Input!$BW$4),NA(),'Reaction Information'!$E$62-'Reaction Information'!$G$62*(Calculations!$O96-Calculations!$C$8)-'Reaction Information'!$N$62*(Calculations!$O96*LN(Calculations!$O96/Calculations!$C$8)-Calculations!$O96+Calculations!$C$8)-'Reaction Information'!$O$62*10^4*(((1/(Calculations!$O96-Calculations!$C$13))-(1/(Calculations!$C$8-Calculations!$C$13)))*((Calculations!$C$13-Calculations!$O96)/(Calculations!$C$13))-(Calculations!$O96/(Calculations!$C$13*Calculations!$C$13))*LN((Calculations!$C$8*(Calculations!$O96-Calculations!$C$13))/(Calculations!$O96*(Calculations!$C$8-Calculations!$C$13))))+'Reaction Information'!$J$62*10^-1*(Calculations!$M96-Calculations!$C$9)+'Reaction Information'!$K$62*10^2*LN((Calculations!$C$12+Calculations!$M96)/(Calculations!$C$12+Calculations!$C$9))+(1/(Calculations!$O96-Calculations!$C$13))*('Reaction Information'!$L$62*(Calculations!$M96-Calculations!$C$9)+'Reaction Information'!$M$62*10^4*LN((Calculations!$C$12+Calculations!$M96)/(Calculations!$C$12+Calculations!$C$9)))+calculateOmega(Calculations!M96,Calculations!N96,Calculations!Q96,'Reaction Information'!$C$62,'Reaction Information'!$P$62*10^5,'Reaction Information'!$Q$62)*((1/Calculations!$S96)-1)-'Reaction Information'!$P$62*10^5*((1/Calculations!$C$10)-1)+'Reaction Information'!$P$62*10^5*Calculations!$C$14*(Calculations!$O96-Calculations!$C$8))</f>
        <v>#N/A</v>
      </c>
      <c r="AX96" s="8" t="e">
        <f>IF(ISBLANK(Input!$BZ$4),NA(),'Reaction Information'!$E$66-'Reaction Information'!$G$66*(Calculations!$O96-Calculations!$C$8)-'Reaction Information'!$N$66*(Calculations!$O96*LN(Calculations!$O96/Calculations!$C$8)-Calculations!$O96+Calculations!$C$8)-'Reaction Information'!$O$66*10^4*(((1/(Calculations!$O96-Calculations!$C$13))-(1/(Calculations!$C$8-Calculations!$C$13)))*((Calculations!$C$13-Calculations!$O96)/(Calculations!$C$13))-(Calculations!$O96/(Calculations!$C$13*Calculations!$C$13))*LN((Calculations!$C$8*(Calculations!$O96-Calculations!$C$13))/(Calculations!$O96*(Calculations!$C$8-Calculations!$C$13))))+'Reaction Information'!$J$66*10^-1*(Calculations!$M96-Calculations!$C$9)+'Reaction Information'!$K$66*10^2*LN((Calculations!$C$12+Calculations!$M96)/(Calculations!$C$12+Calculations!$C$9))+(1/(Calculations!$O96-Calculations!$C$13))*('Reaction Information'!$L$66*(Calculations!$M96-Calculations!$C$9)+'Reaction Information'!$M$66*10^4*LN((Calculations!$C$12+Calculations!$M96)/(Calculations!$C$12+Calculations!$C$9)))+calculateOmega(Calculations!M96,Calculations!N96,Calculations!Q96,'Reaction Information'!$C$66,'Reaction Information'!$P$66*10^5,'Reaction Information'!$Q$66)*((1/Calculations!$S96)-1)-'Reaction Information'!$P$66*10^5*((1/Calculations!$C$10)-1)+'Reaction Information'!$P$66*10^5*Calculations!$C$14*(Calculations!$O96-Calculations!$C$8))</f>
        <v>#N/A</v>
      </c>
      <c r="AY96" s="31">
        <f>(AL96*Input!$AO$4+AM96*Input!$AR$4+AN96*Input!$AU$4+AO96*Input!$AX$4+IF(ISNA(AP96),0,AP96*Input!$BA$4)+IF(ISNA(AQ96),0,AQ96*Input!$BD$4)+IF(ISNA(AR96),0,AR96*Input!$BG$4)+IF(ISNA(AS96),0,AS96*Input!$BJ$4)+IF(ISNA(AT96),0,AT96*Input!$BM$4)+IF(ISNA(AU96),0,AU96*Input!$BP$4)+IF(ISNA(AV96),0,AV96*Input!$BS$4)+IF(ISNA(AW96),0,AW96*Input!$BV$4)+IF(ISNA(AX96),0,AX96*Input!$BY$4))-(Y96*Input!$B$4+Z96*Input!$E$4+AA96*Input!$H$4+AB96*Input!$K$4+IF(ISNA(AC96),0,AC96*Input!$N$4)+IF(ISNA(AD96),0,AD96*Input!$Q$4)+IF(ISNA(AE96),0,AE96*Input!$T$4)+IF(ISNA(AF96),0,AF96*Input!$W$4)+IF(ISNA(AG96),0,AG96*Input!$Z$4)+IF(ISNA(AH96),0,AH96*Input!$AC$4)+IF(ISNA(AI96),0,AI96*Input!$AF$4)+IF(ISNA(AJ96),0,AJ96*Input!$AI$4)+IF(ISNA(AK96),0,AK96*Input!$AL$4))</f>
        <v>5016.6433933030639</v>
      </c>
      <c r="AZ96" s="42">
        <f t="shared" si="20"/>
        <v>-1.9141537001572699</v>
      </c>
      <c r="BA96" s="1">
        <f t="shared" si="27"/>
        <v>300</v>
      </c>
      <c r="BB96" s="46">
        <f t="shared" si="28"/>
        <v>35000</v>
      </c>
      <c r="BC96" s="1"/>
      <c r="BD96" s="2">
        <f t="shared" si="29"/>
        <v>35000</v>
      </c>
      <c r="BE96" s="46">
        <f t="shared" si="30"/>
        <v>300</v>
      </c>
      <c r="BF96" s="1">
        <f>Results!AJ98</f>
        <v>0</v>
      </c>
      <c r="BG96" s="1">
        <f>Results!AK98</f>
        <v>0</v>
      </c>
      <c r="BH96" s="1">
        <f>Results!AL98</f>
        <v>0</v>
      </c>
      <c r="BI96" s="1">
        <f>Results!AM98</f>
        <v>0</v>
      </c>
      <c r="BJ96" s="1" t="e">
        <f>IF(OR(ISNA('Reaction Information'!$D$5), $N96 = "", $D$27 = FALSE, 'Reaction Information'!$D$5 = ""), NA(), 24.465)</f>
        <v>#N/A</v>
      </c>
      <c r="BK96" s="1" t="e">
        <f>IF(OR(ISNA('Reaction Information'!$D$9), $N96 = "", $D$27 = FALSE, 'Reaction Information'!$D$9 = ""), NA(), 24.465)</f>
        <v>#N/A</v>
      </c>
      <c r="BL96" s="8">
        <f t="shared" si="21"/>
        <v>13.112309309637951</v>
      </c>
      <c r="BM96" s="8">
        <f>IF(OR(ISBLANK(Input!$X$4),$D$27=FALSE),NA(),('Reaction Information'!$J$13/10+'Reaction Information'!$K$13*100/(Calculations!$C$12+Calculations!$M96)+('Reaction Information'!$L$13+'Reaction Information'!$M$13*10^4/(Calculations!$C$12+Calculations!$M96))/(Calculations!$O96-Calculations!$C$13) -calculateOmega(Calculations!$M96,Calculations!$N96,Calculations!$Q96,'Reaction Information'!$C$13,'Reaction Information'!$P$13*10^5,'Reaction Information'!$Q$13)*Calculations!$U96*10^-6 + (1/$S96 - 1)*calculate_domegadP(Calculations!$M96,Calculations!$N96,Calculations!$Q96,'Reaction Information'!$C$13,'Reaction Information'!$P$13*10^5,'Reaction Information'!$Q$13,$D$20,$D$19=3))*41.84)</f>
        <v>30.034043666361313</v>
      </c>
      <c r="BN96" s="8" t="e">
        <f>IF(OR(ISBLANK(Input!$AA$4),$D$27=FALSE),NA(),('Reaction Information'!$J$17/10+'Reaction Information'!$K$17*100/(Calculations!$C$12+Calculations!$M96)+('Reaction Information'!$L$17+'Reaction Information'!$M$17*10000/(Calculations!$C$12+Calculations!$M96))/(Calculations!$O96-Calculations!$C$13)-calculateOmega(Calculations!M96,Calculations!N96,Calculations!Q96,'Reaction Information'!$C$17,'Reaction Information'!$P$17*10^5,'Reaction Information'!$Q$17)*Calculations!$U96*10^-6 + (1/$S96 - 1)*calculate_domegadP(Calculations!M96,Calculations!N96,Calculations!Q96,'Reaction Information'!$C$17,'Reaction Information'!$P$17*10^5,'Reaction Information'!$Q$17,$D$20,$D$19=3))*41.84)</f>
        <v>#N/A</v>
      </c>
      <c r="BO96" s="8" t="e">
        <f>IF(OR(ISBLANK(Input!$AD$4),$D$27=FALSE),NA(),('Reaction Information'!$J$21/10+'Reaction Information'!$K$21*100/(Calculations!$C$12+Calculations!$M96)+('Reaction Information'!$L$21+'Reaction Information'!$M$21*10000/(Calculations!$C$12+Calculations!$M96))/(Calculations!$O96-Calculations!$C$13)-calculateOmega(Calculations!M96,Calculations!N96,Calculations!Q96,'Reaction Information'!$C$21,'Reaction Information'!$P$21*10^5,'Reaction Information'!$Q$21)*Calculations!$U96*10^-6 + (1/$S96 - 1)*calculate_domegadP(Calculations!M96,Calculations!N96,Calculations!Q96,'Reaction Information'!$C$21,'Reaction Information'!$P$21*10^5,'Reaction Information'!$Q$21,$D$20,$D$19=3))*41.84)</f>
        <v>#N/A</v>
      </c>
      <c r="BP96" s="8" t="e">
        <f>IF(OR(ISBLANK(Input!$AG$4),$D$27=FALSE),NA(),('Reaction Information'!$J$25/10+'Reaction Information'!$K$25*100/(Calculations!$C$12+Calculations!$M96)+('Reaction Information'!$L$25+'Reaction Information'!$M$25*10000/(Calculations!$C$12+Calculations!$M96))/(Calculations!$O96-Calculations!$C$13)-calculateOmega(Calculations!M96,Calculations!N96,Calculations!Q96,'Reaction Information'!$C$25,'Reaction Information'!$P$25*10^5,'Reaction Information'!$Q$25)*Calculations!$U96*10^-6 + (1/$S96 - 1)*calculate_domegadP(Calculations!M96,Calculations!N96,Calculations!Q96,'Reaction Information'!$C$25,'Reaction Information'!$P$25*10^5,'Reaction Information'!$Q$25,$D$20,$D$19=3))*41.84)</f>
        <v>#N/A</v>
      </c>
      <c r="BQ96" s="8" t="e">
        <f>IF(OR(ISBLANK(Input!$AJ$4),$D$27=FALSE),NA(),('Reaction Information'!$J$29/10+'Reaction Information'!$K$29*100/(Calculations!$C$12+Calculations!$M96)+('Reaction Information'!$L$29+'Reaction Information'!$M$29*10000/(Calculations!$C$12+Calculations!$M96))/(Calculations!$O96-Calculations!$C$13)-calculateOmega(Calculations!M96,Calculations!N96,Calculations!Q96,'Reaction Information'!$C$29,'Reaction Information'!$P$29*10^5,'Reaction Information'!$Q$29)*Calculations!$U96*10^-6 + (1/$S96 - 1)*calculate_domegadP(Calculations!M96,Calculations!N96,Calculations!Q96,'Reaction Information'!$C$29,'Reaction Information'!$P$29*10^5,'Reaction Information'!$Q$29,$D$20,$D$19=3))*41.84)</f>
        <v>#N/A</v>
      </c>
      <c r="BR96" s="8" t="e">
        <f>IF(OR(ISBLANK(Input!$AM$4),$D$27=FALSE),NA(),('Reaction Information'!$J$33/10+'Reaction Information'!$K$33*100/(Calculations!$C$12+Calculations!$M96)+('Reaction Information'!$L$33+'Reaction Information'!$M$33*10000/(Calculations!$C$12+Calculations!$M96))/(Calculations!$O96-Calculations!$C$13)-calculateOmega(Calculations!M96,Calculations!N96,Calculations!Q96,'Reaction Information'!$C$33,'Reaction Information'!$P$33*10^5,'Reaction Information'!$Q$33)*Calculations!$U96*10^-6 + (1/$S96 - 1)*calculate_domegadP(Calculations!M96,Calculations!N96,Calculations!Q96,'Reaction Information'!$C$33,'Reaction Information'!$P$33*10^5,'Reaction Information'!$Q$33,$D$20,$D$19=3))*41.84)</f>
        <v>#N/A</v>
      </c>
      <c r="BS96" s="1">
        <f>Results!AW98</f>
        <v>0</v>
      </c>
      <c r="BT96" s="1">
        <f>Results!AX98</f>
        <v>0</v>
      </c>
      <c r="BU96" s="1">
        <f>Results!AY98</f>
        <v>0</v>
      </c>
      <c r="BV96" s="1">
        <f>Results!AZ98</f>
        <v>0</v>
      </c>
      <c r="BW96" s="1" t="e">
        <f>IF(OR(ISNA('Reaction Information'!$D$38), $N96 = "", $D$27 = FALSE, 'Reaction Information'!$D$38 = ""), NA(), 24.465)</f>
        <v>#N/A</v>
      </c>
      <c r="BX96" s="1" t="e">
        <f>IF(OR(ISNA('Reaction Information'!$D$42), $N96 = "", $D$27 = FALSE, 'Reaction Information'!$D$42 = ""), NA(), 24.465)</f>
        <v>#N/A</v>
      </c>
      <c r="BY96" s="8" t="e">
        <f t="shared" si="22"/>
        <v>#N/A</v>
      </c>
      <c r="BZ96" s="8">
        <f>IF(OR(ISBLANK(Input!$BK$4),$D$27=FALSE),NA(),('Reaction Information'!$J$46/10+'Reaction Information'!$K$46*100/(Calculations!$C$12+Calculations!$M96)+('Reaction Information'!$L$46+'Reaction Information'!$M$46*10000/(Calculations!$C$12+Calculations!$M96))/(Calculations!$O96-Calculations!$C$13)-calculateOmega(Calculations!M96,Calculations!N96,Calculations!Q96,'Reaction Information'!$C$46,'Reaction Information'!$P$46*10^5,'Reaction Information'!$Q$46)*Calculations!$U96*10^-6 + (1/$S96 - 1)*calculate_domegadP(Calculations!M96,Calculations!N96,Calculations!Q96,'Reaction Information'!$C$46,'Reaction Information'!$P$46*10^5,'Reaction Information'!$Q$46,$D$20,$D$19=3))*41.84)</f>
        <v>0</v>
      </c>
      <c r="CA96" s="8">
        <f>IF(OR(ISBLANK(Input!$BN$4),$D$27=FALSE),NA(),('Reaction Information'!$J$50/10+'Reaction Information'!$K$50*100/(Calculations!$C$12+Calculations!$M96)+('Reaction Information'!$L$50+'Reaction Information'!$M$50*10000/(Calculations!$C$12+Calculations!$M96))/(Calculations!$O96-Calculations!$C$13)-calculateOmega(Calculations!M96,Calculations!N96,Calculations!Q96,'Reaction Information'!$C$50,'Reaction Information'!$P$50*10^5,'Reaction Information'!$Q$50)*Calculations!$U96*10^-6 + (1/$S96 - 1)*calculate_domegadP(Calculations!M96,Calculations!N96,Calculations!Q96,'Reaction Information'!$C$50,'Reaction Information'!$P$50*10^5,'Reaction Information'!$Q$50,$D$20,$D$19=3))*41.84)</f>
        <v>31.479675434714999</v>
      </c>
      <c r="CB96" s="8" t="e">
        <f>IF(OR(ISBLANK(Input!$BQ$4),$D$27=FALSE),NA(),('Reaction Information'!$J$54/10+'Reaction Information'!$K$54*100/(Calculations!$C$12+Calculations!$M96)+('Reaction Information'!$L$54+'Reaction Information'!$M$54*10000/(Calculations!$C$12+Calculations!$M96))/(Calculations!$O96-Calculations!$C$13)-calculateOmega(Calculations!M96,Calculations!N96,Calculations!Q96,'Reaction Information'!$C$54,'Reaction Information'!$P$54*10^5,'Reaction Information'!$Q$54)*Calculations!$U96*10^-6 + (1/$S96 - 1)*calculate_domegadP(Calculations!M96,Calculations!N96,Calculations!Q96,'Reaction Information'!$C$54,'Reaction Information'!$P$54*10^5,'Reaction Information'!$Q$54,$D$20,$D$19=3))*41.84)</f>
        <v>#N/A</v>
      </c>
      <c r="CC96" s="8" t="e">
        <f>IF(OR(ISBLANK(Input!$BT$4),$D$27=FALSE),NA(),('Reaction Information'!$J$58/10+'Reaction Information'!$K$58*100/(Calculations!$C$12+Calculations!$M96)+('Reaction Information'!$L$58+'Reaction Information'!$M$58*10000/(Calculations!$C$12+Calculations!$M96))/(Calculations!$O96-Calculations!$C$13)-calculateOmega(Calculations!M96,Calculations!N96,Calculations!Q96,'Reaction Information'!$C$58,'Reaction Information'!$P$58*10^5,'Reaction Information'!$Q$58)*Calculations!$U96*10^-6 + (1/$S96 - 1)*calculate_domegadP(Calculations!M96,Calculations!N96,Calculations!Q96,'Reaction Information'!$C$58,'Reaction Information'!$P$58*10^5,'Reaction Information'!$Q$58,$D$20,$D$19=3))*41.84)</f>
        <v>#N/A</v>
      </c>
      <c r="CD96" s="8" t="e">
        <f>IF(OR(ISBLANK(Input!$BW$4),$D$27=FALSE),NA(),('Reaction Information'!$J$62/10+'Reaction Information'!$K$62*100/(Calculations!$C$12+Calculations!$M96)+('Reaction Information'!$L$62+'Reaction Information'!$M$62*10000/(Calculations!$C$12+Calculations!$M96))/(Calculations!$O96-Calculations!$C$13)-calculateOmega(Calculations!M96,Calculations!N96,Calculations!Q96,'Reaction Information'!$C$62,'Reaction Information'!$P$62*10^5,'Reaction Information'!$Q$62)*Calculations!$U96*10^-6 + (1/$S96 - 1)*calculate_domegadP(Calculations!M96,Calculations!N96,Calculations!Q96,'Reaction Information'!$C$62,'Reaction Information'!$P$62*10^5,'Reaction Information'!$Q$62,$D$20,$D$19=3))*41.84)</f>
        <v>#N/A</v>
      </c>
      <c r="CE96" s="8" t="e">
        <f>IF(OR(ISBLANK(Input!$BZ$4),$D$27=FALSE),NA(),('Reaction Information'!$J$66/10+'Reaction Information'!$K$66*100/(Calculations!$C$12+Calculations!$M96)+('Reaction Information'!$L$66+'Reaction Information'!$M$66*10000/(Calculations!$C$12+Calculations!$M96))/(Calculations!$O96-Calculations!$C$13)-calculateOmega(Calculations!M96,Calculations!N96,Calculations!Q96,'Reaction Information'!$C$66,'Reaction Information'!$P$66*10^5,'Reaction Information'!$Q$66)*Calculations!$U96*10^-6 + (1/$S96 - 1)*calculate_domegadP(Calculations!M96,Calculations!N96,Calculations!Q96,'Reaction Information'!$C$66,'Reaction Information'!$P$66*10^5,'Reaction Information'!$Q$66,$D$20,$D$19=3))*41.84)</f>
        <v>#N/A</v>
      </c>
      <c r="CF96" s="31">
        <f>(BS96*Input!$AO$4+BT96*Input!$AR$4+BU96*Input!$AU$4+BV96*Input!$AX$4+IF(ISNA(BW96),0,BW96*Input!$BA$4)+IF(ISNA(BX96),0,BX96*Input!$BD$4)+IF(ISNA(BY96),0,BY96*Input!$BG$4)+IF(ISNA(BZ96),0,BZ96*Input!$BJ$4)+IF(ISNA(CA96),0,CA96*Input!$BM$4)+IF(ISNA(CB96),0,CB96*Input!$BP$4)+IF(ISNA(CC96),0,CC96*Input!$BS$4)+IF(ISNA(CD96),0,CD96*Input!$BV$4)+IF(ISNA(CE96),0,CE96*Input!$BY$4))-(BF96*Input!$B$4+BG96*Input!$E$4+BH96*Input!$H$4+BI96*Input!$K$4+IF(ISNA(BJ96),0,BJ96*Input!$N$4)+IF(ISNA(BK96),0,BK96*Input!$Q$4)+IF(ISNA(BL96),0,BL96*Input!$T$4)+IF(ISNA(BM96),0,BM96*Input!$W$4)+IF(ISNA(BN96),0,BN96*Input!$Z$4)+IF(ISNA(BO96),0,BO96*Input!$AC$4)+IF(ISNA(BP96),0,BP96*Input!$AF$4)+IF(ISNA(BQ96),0,BQ96*Input!$AI$4)+IF(ISNA(BR96),0,BR96*Input!$AL$4))</f>
        <v>-11.666677541284265</v>
      </c>
      <c r="CG96" s="1">
        <f t="shared" si="31"/>
        <v>300</v>
      </c>
      <c r="CH96" s="46">
        <f t="shared" si="32"/>
        <v>35000</v>
      </c>
      <c r="CI96" s="1"/>
    </row>
    <row r="97" spans="1:87" x14ac:dyDescent="0.2">
      <c r="A97" s="1"/>
      <c r="B97" s="1"/>
      <c r="C97" s="1"/>
      <c r="D97" s="1"/>
      <c r="E97" s="1"/>
      <c r="F97" s="2">
        <v>92</v>
      </c>
      <c r="G97" s="1" t="str">
        <f>IF(ISBLANK(Input!CB97), "", Input!CB97*1000)</f>
        <v/>
      </c>
      <c r="H97" s="1" t="str">
        <f>IF(ISBLANK(Input!CC97), "", Input!CC97)</f>
        <v/>
      </c>
      <c r="I97" s="1">
        <f>IF(Input!$CF$5 + Input!$CF$6*(FLOOR((Calculations!$F97-1)/(FLOOR((Input!$CF$12-Input!$CF$10)/Input!$CF$11,1)+1),1)) &gt; Input!$CF$7, "", (Input!$CF$5 + Input!$CF$6*(FLOOR((Calculations!$F97-1)/(FLOOR((Input!$CF$12-Input!$CF$10)/Input!$CF$11,1)+1),1)))*1000)</f>
        <v>35000</v>
      </c>
      <c r="J97" s="1">
        <f>IF(Calculations!I97 = "", "", Input!$CF$10 + Input!$CF$11*(Calculations!$F97-1) - (FLOOR((Input!$CF$12-Input!$CF$10)/Input!$CF$11,1)+1)*Input!$CF$11*FLOOR((Calculations!$F97-1)/(FLOOR((Input!$CF$12-Input!$CF$10)/Input!$CF$11,1)+1),1))</f>
        <v>350</v>
      </c>
      <c r="K97" s="8" t="str">
        <f t="shared" si="33"/>
        <v/>
      </c>
      <c r="L97" s="117" t="str">
        <f>IF(OR(Input!$CJ$5 + Input!$CJ$6*(Calculations!F97-1) &gt; Input!$CJ$7, Input!$CJ$5 + Input!$CJ$6*(Calculations!F97-1) &gt; 350), "", Input!$CJ$5 + Input!$CJ$6*(Calculations!F97-1))</f>
        <v/>
      </c>
      <c r="M97" s="1">
        <f t="shared" si="23"/>
        <v>35000</v>
      </c>
      <c r="N97" s="1">
        <f t="shared" si="24"/>
        <v>350</v>
      </c>
      <c r="O97" s="1">
        <f t="shared" si="19"/>
        <v>623.15</v>
      </c>
      <c r="P97" s="1" t="e">
        <f>IF(OR($D$20=3,AND($D$21=TRUE,M97&lt;1000)),INDEX('Water Density'!$C$6:$CX$120,MATCH(Calculations!N97,'Water Density'!$B$6:$B$120),MATCH(Calculations!M97/1000,'Water Density'!$C$5:$CX$5)),NA())</f>
        <v>#N/A</v>
      </c>
      <c r="Q97" s="182">
        <f>IF(OR($D$20=3,AND($D$21=TRUE,M97&lt;1000)), IF(P97&lt;&gt;0,P97,NA()), calculateDensity(M97,N97,$D$20,0.01,$D$19 = 3))</f>
        <v>1.3577907772463562</v>
      </c>
      <c r="R97" s="1" t="e">
        <f>IF($D$22=5,INDEX('Dielectric Constant'!$C$6:$CX$120,MATCH(Calculations!N97,'Dielectric Constant'!$B$6:$B$120),MATCH(Calculations!M97/1000,'Dielectric Constant'!$C$5:$CX$5)),NA())</f>
        <v>#N/A</v>
      </c>
      <c r="S97" s="58">
        <f>IF($D$22=5, IF(R97&lt;&gt;0,R97,NA()), IF(AND($D$23,M97&lt;=5000,$D$19 &lt;&gt; 3),calculateEpsilon(Q97,N97,1,FALSE),calculateEpsilon(Q97,N97,$D$22,$D$19 = 3)))</f>
        <v>48.724259342874241</v>
      </c>
      <c r="T97" s="1" t="e">
        <f>IF($D$24=3,INDEX('Water Free Energy'!$C$6:$CX$120,MATCH(Calculations!N97,'Water Free Energy'!$B$6:$B$120),MATCH(Calculations!M97/1000,'Water Free Energy'!$C$5:$CX$5)),NA())</f>
        <v>#N/A</v>
      </c>
      <c r="U97" s="179">
        <f>IF($D$27,calculateQ(M97,N97,Q97,$D$20,$D$22,$D$19=3)*10^6,NA())</f>
        <v>0.12876326810031904</v>
      </c>
      <c r="V97"/>
      <c r="W97" s="2">
        <f t="shared" si="25"/>
        <v>35000</v>
      </c>
      <c r="X97" s="1">
        <f t="shared" si="26"/>
        <v>350</v>
      </c>
      <c r="Y97" s="1">
        <f>Results!F99</f>
        <v>0</v>
      </c>
      <c r="Z97" s="1">
        <f>Results!G99</f>
        <v>0</v>
      </c>
      <c r="AA97" s="1">
        <f>Results!H99</f>
        <v>0</v>
      </c>
      <c r="AB97" s="1">
        <f>Results!I99</f>
        <v>0</v>
      </c>
      <c r="AC97" s="1" t="e">
        <f>IF(ISBLANK(Input!$O$4),NA(),'Reaction Information'!$E$5-'Reaction Information'!$G$5*(Calculations!$O97-Calculations!$C$8)+'Reaction Information'!$I$5*(Calculations!$O97-Calculations!$C$8-Calculations!$O97*LN(Calculations!$O97/Calculations!$C$8))+'Reaction Information'!$J$5*0.001/2*(2*Calculations!$O97*Calculations!$C$8-Calculations!$O97^2-Calculations!$C$8^2) + 'Reaction Information'!$K$5*100000*(Calculations!$O97^2 + Calculations!$C$8^2 - 2*Calculations!$O97*Calculations!$C$8)/(2*Calculations!$O97*Calculations!$C$8^2))</f>
        <v>#N/A</v>
      </c>
      <c r="AD97" s="8" t="e">
        <f>IF(ISBLANK(Input!$R$4),NA(),'Reaction Information'!$E$9-'Reaction Information'!$G$9*(Calculations!$O97-Calculations!$C$8)+'Reaction Information'!$I$9*(Calculations!$O97-Calculations!$C$8-Calculations!$O97*LN(Calculations!$O97/Calculations!$C$8))+'Reaction Information'!$J$9*0.001/2*(2*Calculations!$O97*Calculations!$C$8-Calculations!$O97^2-Calculations!$C$8^2) + 'Reaction Information'!$K$9*100000*(Calculations!$O97^2 + Calculations!$C$8^2 - 2*Calculations!$O97*Calculations!$C$8)/(2*Calculations!$O97*Calculations!$C$8^2))</f>
        <v>#N/A</v>
      </c>
      <c r="AE97" s="8">
        <f>IF(AE$5="H2O",IF($D$24=3,IF(T97=0,NA(),T97),calculateGibbsOfWater(M97,N97,$D$24,$D$20,$D$19=3)),NA())</f>
        <v>-51183.365306351581</v>
      </c>
      <c r="AF97" s="8">
        <f>IF(ISBLANK(Input!$X$4),NA(),'Reaction Information'!$E$13-'Reaction Information'!$G$13*(Calculations!O97-Calculations!$C$8)-'Reaction Information'!$N$13*(Calculations!O97*LN(Calculations!O97/Calculations!$C$8)-Calculations!O97+Calculations!$C$8)-'Reaction Information'!$O$13*10^4*(((1/(Calculations!O97-Calculations!$C$13))-(1/(Calculations!$C$8-Calculations!$C$13)))*((Calculations!$C$13-Calculations!O97)/(Calculations!$C$13))-(Calculations!O97/(Calculations!$C$13*Calculations!$C$13))*LN((Calculations!$C$8*(Calculations!O97-Calculations!$C$13))/(Calculations!O97*(Calculations!$C$8-Calculations!$C$13))))+'Reaction Information'!$J$13*10^-1*(Calculations!M97-Calculations!$C$9)+'Reaction Information'!$K$13*10^2*LN((Calculations!$C$12+Calculations!M97)/(Calculations!$C$12+Calculations!$C$9))+(1/(Calculations!O97-Calculations!$C$13))*('Reaction Information'!$L$13*(Calculations!M97-Calculations!$C$9)+'Reaction Information'!$M$13*10^4*LN((Calculations!$C$12+Calculations!M97)/(Calculations!$C$12+Calculations!$C$9)))+calculateOmega(Calculations!M97,Calculations!N97,Calculations!Q97,'Reaction Information'!$C$13,'Reaction Information'!$P$13*10^5,'Reaction Information'!$Q$13)*((1/Calculations!S97)-1)-'Reaction Information'!$P$13*10^5*((1/Calculations!$C$10)-1)+'Reaction Information'!$P$13*10^5*Calculations!$C$14*(Calculations!O97-Calculations!$C$8))</f>
        <v>-79097.067549479922</v>
      </c>
      <c r="AG97" s="8" t="e">
        <f>IF(ISBLANK(Input!$AA$4),NA(),'Reaction Information'!$E$17-'Reaction Information'!$G$17*(Calculations!$O97-Calculations!$C$8)-'Reaction Information'!$N$17*(Calculations!$O97*LN(Calculations!$O97/Calculations!$C$8)-Calculations!$O97+Calculations!$C$8)-'Reaction Information'!$O$17*10^4*(((1/(Calculations!$O97-Calculations!$C$13))-(1/(Calculations!$C$8-Calculations!$C$13)))*((Calculations!$C$13-Calculations!$O97)/(Calculations!$C$13))-(Calculations!$O97/(Calculations!$C$13*Calculations!$C$13))*LN((Calculations!$C$8*(Calculations!$O97-Calculations!$C$13))/(Calculations!$O97*(Calculations!$C$8-Calculations!$C$13))))+'Reaction Information'!$J$17*10^-1*(Calculations!$M97-Calculations!$C$9)+'Reaction Information'!$K$17*10^2*LN((Calculations!$C$12+Calculations!$M97)/(Calculations!$C$12+Calculations!$C$9))+(1/(Calculations!$O97-Calculations!$C$13))*('Reaction Information'!$L$17*(Calculations!$M97-Calculations!$C$9)+'Reaction Information'!$M$17*10^4*LN((Calculations!$C$12+Calculations!$M97)/(Calculations!$C$12+Calculations!$C$9)))+calculateOmega(Calculations!M97,Calculations!N97,Calculations!Q97,'Reaction Information'!$C$17,'Reaction Information'!$P$17*10^5,'Reaction Information'!$Q$17)*((1/Calculations!$S97)-1)-'Reaction Information'!$P$17*10^5*((1/Calculations!$C$10)-1)+'Reaction Information'!$P$17*10^5*Calculations!$C$14*(Calculations!$O97-Calculations!$C$8))</f>
        <v>#N/A</v>
      </c>
      <c r="AH97" s="8" t="e">
        <f>IF(ISBLANK(Input!$AD$4),NA(),'Reaction Information'!$E$21-'Reaction Information'!$G$21*(Calculations!$O97-Calculations!$C$8)-'Reaction Information'!$N$21*(Calculations!$O97*LN(Calculations!$O97/Calculations!$C$8)-Calculations!$O97+Calculations!$C$8)-'Reaction Information'!$O$21*10^4*(((1/(Calculations!$O97-Calculations!$C$13))-(1/(Calculations!$C$8-Calculations!$C$13)))*((Calculations!$C$13-Calculations!$O97)/(Calculations!$C$13))-(Calculations!$O97/(Calculations!$C$13*Calculations!$C$13))*LN((Calculations!$C$8*(Calculations!$O97-Calculations!$C$13))/(Calculations!$O97*(Calculations!$C$8-Calculations!$C$13))))+'Reaction Information'!$J$21*10^-1*(Calculations!$M97-Calculations!$C$9)+'Reaction Information'!$K$21*10^2*LN((Calculations!$C$12+Calculations!$M97)/(Calculations!$C$12+Calculations!$C$9))+(1/(Calculations!$O97-Calculations!$C$13))*('Reaction Information'!$L$21*(Calculations!$M97-Calculations!$C$9)+'Reaction Information'!$M$21*10^4*LN((Calculations!$C$12+Calculations!$M97)/(Calculations!$C$12+Calculations!$C$9)))+calculateOmega(Calculations!M97,Calculations!N97,Calculations!Q97,'Reaction Information'!$C$21,'Reaction Information'!$P$21*10^5,'Reaction Information'!$Q$21)*((1/Calculations!$S97)-1)-'Reaction Information'!$P$21*10^5*((1/Calculations!$C$10)-1)+'Reaction Information'!$P$21*10^5*Calculations!$C$14*(Calculations!$O97-Calculations!$C$8))</f>
        <v>#N/A</v>
      </c>
      <c r="AI97" s="8" t="e">
        <f>IF(ISBLANK(Input!$AG$4),NA(),'Reaction Information'!$E$25-'Reaction Information'!$G$25*(Calculations!$O97-Calculations!$C$8)-'Reaction Information'!$N$25*(Calculations!$O97*LN(Calculations!$O97/Calculations!$C$8)-Calculations!$O97+Calculations!$C$8)-'Reaction Information'!$O$25*10^4*(((1/(Calculations!$O97-Calculations!$C$13))-(1/(Calculations!$C$8-Calculations!$C$13)))*((Calculations!$C$13-Calculations!$O97)/(Calculations!$C$13))-(Calculations!$O97/(Calculations!$C$13*Calculations!$C$13))*LN((Calculations!$C$8*(Calculations!$O97-Calculations!$C$13))/(Calculations!$O97*(Calculations!$C$8-Calculations!$C$13))))+'Reaction Information'!$J$25*10^-1*(Calculations!$M97-Calculations!$C$9)+'Reaction Information'!$K$25*10^2*LN((Calculations!$C$12+Calculations!$M97)/(Calculations!$C$12+Calculations!$C$9))+(1/(Calculations!$O97-Calculations!$C$13))*('Reaction Information'!$L$25*(Calculations!$M97-Calculations!$C$9)+'Reaction Information'!$M$25*10^4*LN((Calculations!$C$12+Calculations!$M97)/(Calculations!$C$12+Calculations!$C$9)))+calculateOmega(Calculations!M97,Calculations!N97,Calculations!Q97,'Reaction Information'!$C$25,'Reaction Information'!$P$25*10^5,'Reaction Information'!$Q$25)*((1/Calculations!$S97)-1)-'Reaction Information'!$P$25*10^5*((1/Calculations!$C$10)-1)+'Reaction Information'!$P$25*10^5*Calculations!$C$14*(Calculations!$O97-Calculations!$C$8))</f>
        <v>#N/A</v>
      </c>
      <c r="AJ97" s="8" t="e">
        <f>IF(ISBLANK(Input!$AJ$4),NA(),'Reaction Information'!$E$29-'Reaction Information'!$G$29*(Calculations!$O97-Calculations!$C$8)-'Reaction Information'!$N$29*(Calculations!$O97*LN(Calculations!$O97/Calculations!$C$8)-Calculations!$O97+Calculations!$C$8)-'Reaction Information'!$O$29*10^4*(((1/(Calculations!$O97-Calculations!$C$13))-(1/(Calculations!$C$8-Calculations!$C$13)))*((Calculations!$C$13-Calculations!$O97)/(Calculations!$C$13))-(Calculations!$O97/(Calculations!$C$13*Calculations!$C$13))*LN((Calculations!$C$8*(Calculations!$O97-Calculations!$C$13))/(Calculations!$O97*(Calculations!$C$8-Calculations!$C$13))))+'Reaction Information'!$J$29*10^-1*(Calculations!$M97-Calculations!$C$9)+'Reaction Information'!$K$29*10^2*LN((Calculations!$C$12+Calculations!$M97)/(Calculations!$C$12+Calculations!$C$9))+(1/(Calculations!$O97-Calculations!$C$13))*('Reaction Information'!$L$29*(Calculations!$M97-Calculations!$C$9)+'Reaction Information'!$M$29*10^4*LN((Calculations!$C$12+Calculations!$M97)/(Calculations!$C$12+Calculations!$C$9)))+calculateOmega(Calculations!M97,Calculations!N97,Calculations!Q97,'Reaction Information'!$C$29,'Reaction Information'!$P$29*10^5,'Reaction Information'!$Q$29)*((1/Calculations!$S97)-1)-'Reaction Information'!$P$29*10^5*((1/Calculations!$C$10)-1)+'Reaction Information'!$P$29*10^5*Calculations!$C$14*(Calculations!$O97-Calculations!$C$8))</f>
        <v>#N/A</v>
      </c>
      <c r="AK97" s="8" t="e">
        <f>IF(ISBLANK(Input!$AM$4),NA(),'Reaction Information'!$E$33-'Reaction Information'!$G$33*(Calculations!$O97-Calculations!$C$8)-'Reaction Information'!$N$33*(Calculations!$O97*LN(Calculations!$O97/Calculations!$C$8)-Calculations!$O97+Calculations!$C$8)-'Reaction Information'!$O$33*10^4*(((1/(Calculations!$O97-Calculations!$C$13))-(1/(Calculations!$C$8-Calculations!$C$13)))*((Calculations!$C$13-Calculations!$O97)/(Calculations!$C$13))-(Calculations!$O97/(Calculations!$C$13*Calculations!$C$13))*LN((Calculations!$C$8*(Calculations!$O97-Calculations!$C$13))/(Calculations!$O97*(Calculations!$C$8-Calculations!$C$13))))+'Reaction Information'!$J$33*10^-1*(Calculations!$M97-Calculations!$C$9)+'Reaction Information'!$K$33*10^2*LN((Calculations!$C$12+Calculations!$M97)/(Calculations!$C$12+Calculations!$C$9))+(1/(Calculations!$O97-Calculations!$C$13))*('Reaction Information'!$L$33*(Calculations!$M97-Calculations!$C$9)+'Reaction Information'!$M$33*10^4*LN((Calculations!$C$12+Calculations!$M97)/(Calculations!$C$12+Calculations!$C$9)))+calculateOmega(Calculations!M97,Calculations!N97,Calculations!Q97,'Reaction Information'!$C$33,'Reaction Information'!$P$33*10^5,'Reaction Information'!$Q$33)*((1/Calculations!$S97)-1)-'Reaction Information'!$P$33*10^5*((1/Calculations!$C$10)-1)+'Reaction Information'!$P$33*10^5*Calculations!$C$14*(Calculations!$O97-Calculations!$C$8))</f>
        <v>#N/A</v>
      </c>
      <c r="AL97" s="1">
        <f>Results!S99</f>
        <v>0</v>
      </c>
      <c r="AM97" s="1">
        <f>Results!T99</f>
        <v>0</v>
      </c>
      <c r="AN97" s="1">
        <f>Results!U99</f>
        <v>0</v>
      </c>
      <c r="AO97" s="1">
        <f>Results!V99</f>
        <v>0</v>
      </c>
      <c r="AP97" s="8" t="e">
        <f>IF(ISBLANK(Input!$BB$4),NA(),'Reaction Information'!$E$38-'Reaction Information'!$G$38*(Calculations!$O97-Calculations!$C$8)+'Reaction Information'!$I$38*(Calculations!$O97-Calculations!$C$8-Calculations!$O97*LN(Calculations!$O97/Calculations!$C$8))+'Reaction Information'!$J$38*0.001/2*(2*Calculations!$O97*Calculations!$C$8-Calculations!$O97^2-Calculations!$C$8^2) + 'Reaction Information'!$K$38*100000*(Calculations!$O97^2 + Calculations!$C$8^2 - 2*Calculations!$O97*Calculations!$C$8)/(2*Calculations!$O97*Calculations!$C$8^2))</f>
        <v>#N/A</v>
      </c>
      <c r="AQ97" s="8" t="e">
        <f>IF(ISBLANK(Input!$BE$4),NA(),'Reaction Information'!$E$42-'Reaction Information'!$G$42*(Calculations!$O97-Calculations!$C$8)+'Reaction Information'!$I$42*(Calculations!$O97-Calculations!$C$8-Calculations!$O97*LN(Calculations!$O97/Calculations!$C$8))+'Reaction Information'!$J$42*0.001/2*(2*Calculations!$O97*Calculations!$C$8-Calculations!$O97^2-Calculations!$C$8^2) + 'Reaction Information'!$K$42*100000*(Calculations!$O97^2 + Calculations!$C$8^2 - 2*Calculations!$O97*Calculations!$C$8)/(2*Calculations!$O97*Calculations!$C$8^2))</f>
        <v>#N/A</v>
      </c>
      <c r="AR97" s="8" t="e">
        <f>IF(AR$5="H2O", IF($D$24=3,IF(T97=0,NA(),T97),calculateGibbsOfWater(M97,N97,$D$24,$D$20,$D$19=3)),NA())</f>
        <v>#N/A</v>
      </c>
      <c r="AS97" s="8">
        <f>IF(ISBLANK(Input!$BK$4),NA(),'Reaction Information'!$E$46-'Reaction Information'!$G$46*(Calculations!O97-Calculations!$C$8)-'Reaction Information'!$N$46*(Calculations!O97*LN(Calculations!O97/Calculations!$C$8)-Calculations!O97+Calculations!$C$8)-'Reaction Information'!$O$46*10^4*(((1/(Calculations!O97-Calculations!$C$13))-(1/(Calculations!$C$8-Calculations!$C$13)))*((Calculations!$C$13-Calculations!O97)/(Calculations!$C$13))-(Calculations!O97/(Calculations!$C$13*Calculations!$C$13))*LN((Calculations!$C$8*(Calculations!O97-Calculations!$C$13))/(Calculations!O97*(Calculations!$C$8-Calculations!$C$13))))+'Reaction Information'!$J$46*10^-1*(Calculations!$M97-Calculations!$C$9)+'Reaction Information'!$K$46*10^2*LN((Calculations!$C$12+Calculations!$M97)/(Calculations!$C$12+Calculations!$C$9))+(1/(Calculations!O97-Calculations!$C$13))*('Reaction Information'!$L$46*(Calculations!$M97-Calculations!$C$9)+'Reaction Information'!$M$46*10^4*LN((Calculations!$C$12+Calculations!$M97)/(Calculations!$C$12+Calculations!$C$9)))+calculateOmega(Calculations!M97,Calculations!N97,Calculations!Q97,'Reaction Information'!$C$46,'Reaction Information'!$P$46*10^5,'Reaction Information'!$Q$46)*((1/Calculations!S97)-1)-'Reaction Information'!$P$46*10^5*((1/Calculations!$C$10)-1)+'Reaction Information'!$P$46*10^5*Calculations!$C$14*(Calculations!O97-Calculations!$C$8))</f>
        <v>0</v>
      </c>
      <c r="AT97" s="8">
        <f>IF(ISBLANK(Input!$BN$4),NA(),'Reaction Information'!$E$50-'Reaction Information'!$G$50*(Calculations!O97-Calculations!$C$8)-'Reaction Information'!$N$50*(Calculations!O97*LN(Calculations!O97/Calculations!$C$8)-Calculations!O97+Calculations!$C$8)-'Reaction Information'!$O$50*10^4*(((1/(Calculations!O97-Calculations!$C$13))-(1/(Calculations!$C$8-Calculations!$C$13)))*((Calculations!$C$13-Calculations!O97)/(Calculations!$C$13))-(Calculations!O97/(Calculations!$C$13*Calculations!$C$13))*LN((Calculations!$C$8*(Calculations!O97-Calculations!$C$13))/(Calculations!O97*(Calculations!$C$8-Calculations!$C$13))))+'Reaction Information'!$J$50*10^-1*(Calculations!$M97-Calculations!$C$9)+'Reaction Information'!$K$50*10^2*LN((Calculations!$C$12+Calculations!$M97)/(Calculations!$C$12+Calculations!$C$9))+(1/(Calculations!O97-Calculations!$C$13))*('Reaction Information'!$L$50*(Calculations!$M97-Calculations!$C$9)+'Reaction Information'!$M$50*10^4*LN((Calculations!$C$12+Calculations!$M97)/(Calculations!$C$12+Calculations!$C$9)))+calculateOmega(Calculations!M97,Calculations!N97,Calculations!Q97,'Reaction Information'!$C$50,'Reaction Information'!$P$50*10^5,'Reaction Information'!$Q$50)*((1/Calculations!S97)-1)-'Reaction Information'!$P$50*10^5*((1/Calculations!$C$10)-1)+'Reaction Information'!$P$50*10^5*Calculations!$C$14*(Calculations!O97-Calculations!$C$8))</f>
        <v>-123613.39514868335</v>
      </c>
      <c r="AU97" s="8" t="e">
        <f>IF(ISBLANK(Input!$BQ$4),NA(),'Reaction Information'!$E$54-'Reaction Information'!$G$54*(Calculations!$O97-Calculations!$C$8)-'Reaction Information'!$N$54*(Calculations!$O97*LN(Calculations!$O97/Calculations!$C$8)-Calculations!$O97+Calculations!$C$8)-'Reaction Information'!$O$54*10^4*(((1/(Calculations!$O97-Calculations!$C$13))-(1/(Calculations!$C$8-Calculations!$C$13)))*((Calculations!$C$13-Calculations!$O97)/(Calculations!$C$13))-(Calculations!$O97/(Calculations!$C$13*Calculations!$C$13))*LN((Calculations!$C$8*(Calculations!$O97-Calculations!$C$13))/(Calculations!$O97*(Calculations!$C$8-Calculations!$C$13))))+'Reaction Information'!$J$54*10^-1*(Calculations!$M97-Calculations!$C$9)+'Reaction Information'!$K$54*10^2*LN((Calculations!$C$12+Calculations!$M97)/(Calculations!$C$12+Calculations!$C$9))+(1/(Calculations!$O97-Calculations!$C$13))*('Reaction Information'!$L$54*(Calculations!$M97-Calculations!$C$9)+'Reaction Information'!$M$54*10^4*LN((Calculations!$C$12+Calculations!$M97)/(Calculations!$C$12+Calculations!$C$9)))+calculateOmega(Calculations!M97,Calculations!N97,Calculations!Q97,'Reaction Information'!$C$54,'Reaction Information'!$P$54*10^5,'Reaction Information'!$Q$54)*((1/Calculations!$S97)-1)-'Reaction Information'!$P$54*10^5*((1/Calculations!$C$10)-1)+'Reaction Information'!$P$54*10^5*Calculations!$C$14*(Calculations!$O97-Calculations!$C$8))</f>
        <v>#N/A</v>
      </c>
      <c r="AV97" s="8" t="e">
        <f>IF(ISBLANK(Input!$BT$4),NA(),'Reaction Information'!$E$58-'Reaction Information'!$G$58*(Calculations!$O97-Calculations!$C$8)-'Reaction Information'!$N$58*(Calculations!$O97*LN(Calculations!$O97/Calculations!$C$8)-Calculations!$O97+Calculations!$C$8)-'Reaction Information'!$O$58*10^4*(((1/(Calculations!$O97-Calculations!$C$13))-(1/(Calculations!$C$8-Calculations!$C$13)))*((Calculations!$C$13-Calculations!$O97)/(Calculations!$C$13))-(Calculations!$O97/(Calculations!$C$13*Calculations!$C$13))*LN((Calculations!$C$8*(Calculations!$O97-Calculations!$C$13))/(Calculations!$O97*(Calculations!$C$8-Calculations!$C$13))))+'Reaction Information'!$J$58*10^-1*(Calculations!$M97-Calculations!$C$9)+'Reaction Information'!$K$58*10^2*LN((Calculations!$C$12+Calculations!$M97)/(Calculations!$C$12+Calculations!$C$9))+(1/(Calculations!$O97-Calculations!$C$13))*('Reaction Information'!$L$58*(Calculations!$M97-Calculations!$C$9)+'Reaction Information'!$M$58*10^4*LN((Calculations!$C$12+Calculations!$M97)/(Calculations!$C$12+Calculations!$C$9)))+calculateOmega(Calculations!M97,Calculations!N97,Calculations!Q97,'Reaction Information'!$C$58,'Reaction Information'!$P$58*10^5,'Reaction Information'!$Q$58)*((1/Calculations!$S97)-1)-'Reaction Information'!$P$58*10^5*((1/Calculations!$C$10)-1)+'Reaction Information'!$P$58*10^5*Calculations!$C$14*(Calculations!$O97-Calculations!$C$8))</f>
        <v>#N/A</v>
      </c>
      <c r="AW97" s="8" t="e">
        <f>IF(ISBLANK(Input!$BW$4),NA(),'Reaction Information'!$E$62-'Reaction Information'!$G$62*(Calculations!$O97-Calculations!$C$8)-'Reaction Information'!$N$62*(Calculations!$O97*LN(Calculations!$O97/Calculations!$C$8)-Calculations!$O97+Calculations!$C$8)-'Reaction Information'!$O$62*10^4*(((1/(Calculations!$O97-Calculations!$C$13))-(1/(Calculations!$C$8-Calculations!$C$13)))*((Calculations!$C$13-Calculations!$O97)/(Calculations!$C$13))-(Calculations!$O97/(Calculations!$C$13*Calculations!$C$13))*LN((Calculations!$C$8*(Calculations!$O97-Calculations!$C$13))/(Calculations!$O97*(Calculations!$C$8-Calculations!$C$13))))+'Reaction Information'!$J$62*10^-1*(Calculations!$M97-Calculations!$C$9)+'Reaction Information'!$K$62*10^2*LN((Calculations!$C$12+Calculations!$M97)/(Calculations!$C$12+Calculations!$C$9))+(1/(Calculations!$O97-Calculations!$C$13))*('Reaction Information'!$L$62*(Calculations!$M97-Calculations!$C$9)+'Reaction Information'!$M$62*10^4*LN((Calculations!$C$12+Calculations!$M97)/(Calculations!$C$12+Calculations!$C$9)))+calculateOmega(Calculations!M97,Calculations!N97,Calculations!Q97,'Reaction Information'!$C$62,'Reaction Information'!$P$62*10^5,'Reaction Information'!$Q$62)*((1/Calculations!$S97)-1)-'Reaction Information'!$P$62*10^5*((1/Calculations!$C$10)-1)+'Reaction Information'!$P$62*10^5*Calculations!$C$14*(Calculations!$O97-Calculations!$C$8))</f>
        <v>#N/A</v>
      </c>
      <c r="AX97" s="8" t="e">
        <f>IF(ISBLANK(Input!$BZ$4),NA(),'Reaction Information'!$E$66-'Reaction Information'!$G$66*(Calculations!$O97-Calculations!$C$8)-'Reaction Information'!$N$66*(Calculations!$O97*LN(Calculations!$O97/Calculations!$C$8)-Calculations!$O97+Calculations!$C$8)-'Reaction Information'!$O$66*10^4*(((1/(Calculations!$O97-Calculations!$C$13))-(1/(Calculations!$C$8-Calculations!$C$13)))*((Calculations!$C$13-Calculations!$O97)/(Calculations!$C$13))-(Calculations!$O97/(Calculations!$C$13*Calculations!$C$13))*LN((Calculations!$C$8*(Calculations!$O97-Calculations!$C$13))/(Calculations!$O97*(Calculations!$C$8-Calculations!$C$13))))+'Reaction Information'!$J$66*10^-1*(Calculations!$M97-Calculations!$C$9)+'Reaction Information'!$K$66*10^2*LN((Calculations!$C$12+Calculations!$M97)/(Calculations!$C$12+Calculations!$C$9))+(1/(Calculations!$O97-Calculations!$C$13))*('Reaction Information'!$L$66*(Calculations!$M97-Calculations!$C$9)+'Reaction Information'!$M$66*10^4*LN((Calculations!$C$12+Calculations!$M97)/(Calculations!$C$12+Calculations!$C$9)))+calculateOmega(Calculations!M97,Calculations!N97,Calculations!Q97,'Reaction Information'!$C$66,'Reaction Information'!$P$66*10^5,'Reaction Information'!$Q$66)*((1/Calculations!$S97)-1)-'Reaction Information'!$P$66*10^5*((1/Calculations!$C$10)-1)+'Reaction Information'!$P$66*10^5*Calculations!$C$14*(Calculations!$O97-Calculations!$C$8))</f>
        <v>#N/A</v>
      </c>
      <c r="AY97" s="31">
        <f>(AL97*Input!$AO$4+AM97*Input!$AR$4+AN97*Input!$AU$4+AO97*Input!$AX$4+IF(ISNA(AP97),0,AP97*Input!$BA$4)+IF(ISNA(AQ97),0,AQ97*Input!$BD$4)+IF(ISNA(AR97),0,AR97*Input!$BG$4)+IF(ISNA(AS97),0,AS97*Input!$BJ$4)+IF(ISNA(AT97),0,AT97*Input!$BM$4)+IF(ISNA(AU97),0,AU97*Input!$BP$4)+IF(ISNA(AV97),0,AV97*Input!$BS$4)+IF(ISNA(AW97),0,AW97*Input!$BV$4)+IF(ISNA(AX97),0,AX97*Input!$BY$4))-(Y97*Input!$B$4+Z97*Input!$E$4+AA97*Input!$H$4+AB97*Input!$K$4+IF(ISNA(AC97),0,AC97*Input!$N$4)+IF(ISNA(AD97),0,AD97*Input!$Q$4)+IF(ISNA(AE97),0,AE97*Input!$T$4)+IF(ISNA(AF97),0,AF97*Input!$W$4)+IF(ISNA(AG97),0,AG97*Input!$Z$4)+IF(ISNA(AH97),0,AH97*Input!$AC$4)+IF(ISNA(AI97),0,AI97*Input!$AF$4)+IF(ISNA(AJ97),0,AJ97*Input!$AI$4)+IF(ISNA(AK97),0,AK97*Input!$AL$4))</f>
        <v>6667.0377071481489</v>
      </c>
      <c r="AZ97" s="42">
        <f t="shared" si="20"/>
        <v>-2.3397647059705604</v>
      </c>
      <c r="BA97" s="1">
        <f t="shared" si="27"/>
        <v>350</v>
      </c>
      <c r="BB97" s="46">
        <f t="shared" si="28"/>
        <v>35000</v>
      </c>
      <c r="BC97" s="1"/>
      <c r="BD97" s="2">
        <f t="shared" si="29"/>
        <v>35000</v>
      </c>
      <c r="BE97" s="46">
        <f t="shared" si="30"/>
        <v>350</v>
      </c>
      <c r="BF97" s="1">
        <f>Results!AJ99</f>
        <v>0</v>
      </c>
      <c r="BG97" s="1">
        <f>Results!AK99</f>
        <v>0</v>
      </c>
      <c r="BH97" s="1">
        <f>Results!AL99</f>
        <v>0</v>
      </c>
      <c r="BI97" s="1">
        <f>Results!AM99</f>
        <v>0</v>
      </c>
      <c r="BJ97" s="1" t="e">
        <f>IF(OR(ISNA('Reaction Information'!$D$5), $N97 = "", $D$27 = FALSE, 'Reaction Information'!$D$5 = ""), NA(), 24.465)</f>
        <v>#N/A</v>
      </c>
      <c r="BK97" s="1" t="e">
        <f>IF(OR(ISNA('Reaction Information'!$D$9), $N97 = "", $D$27 = FALSE, 'Reaction Information'!$D$9 = ""), NA(), 24.465)</f>
        <v>#N/A</v>
      </c>
      <c r="BL97" s="8">
        <f t="shared" si="21"/>
        <v>13.268082462995936</v>
      </c>
      <c r="BM97" s="8">
        <f>IF(OR(ISBLANK(Input!$X$4),$D$27=FALSE),NA(),('Reaction Information'!$J$13/10+'Reaction Information'!$K$13*100/(Calculations!$C$12+Calculations!$M97)+('Reaction Information'!$L$13+'Reaction Information'!$M$13*10^4/(Calculations!$C$12+Calculations!$M97))/(Calculations!$O97-Calculations!$C$13) -calculateOmega(Calculations!$M97,Calculations!$N97,Calculations!$Q97,'Reaction Information'!$C$13,'Reaction Information'!$P$13*10^5,'Reaction Information'!$Q$13)*Calculations!$U97*10^-6 + (1/$S97 - 1)*calculate_domegadP(Calculations!$M97,Calculations!$N97,Calculations!$Q97,'Reaction Information'!$C$13,'Reaction Information'!$P$13*10^5,'Reaction Information'!$Q$13,$D$20,$D$19=3))*41.84)</f>
        <v>30.048153478496307</v>
      </c>
      <c r="BN97" s="8" t="e">
        <f>IF(OR(ISBLANK(Input!$AA$4),$D$27=FALSE),NA(),('Reaction Information'!$J$17/10+'Reaction Information'!$K$17*100/(Calculations!$C$12+Calculations!$M97)+('Reaction Information'!$L$17+'Reaction Information'!$M$17*10000/(Calculations!$C$12+Calculations!$M97))/(Calculations!$O97-Calculations!$C$13)-calculateOmega(Calculations!M97,Calculations!N97,Calculations!Q97,'Reaction Information'!$C$17,'Reaction Information'!$P$17*10^5,'Reaction Information'!$Q$17)*Calculations!$U97*10^-6 + (1/$S97 - 1)*calculate_domegadP(Calculations!M97,Calculations!N97,Calculations!Q97,'Reaction Information'!$C$17,'Reaction Information'!$P$17*10^5,'Reaction Information'!$Q$17,$D$20,$D$19=3))*41.84)</f>
        <v>#N/A</v>
      </c>
      <c r="BO97" s="8" t="e">
        <f>IF(OR(ISBLANK(Input!$AD$4),$D$27=FALSE),NA(),('Reaction Information'!$J$21/10+'Reaction Information'!$K$21*100/(Calculations!$C$12+Calculations!$M97)+('Reaction Information'!$L$21+'Reaction Information'!$M$21*10000/(Calculations!$C$12+Calculations!$M97))/(Calculations!$O97-Calculations!$C$13)-calculateOmega(Calculations!M97,Calculations!N97,Calculations!Q97,'Reaction Information'!$C$21,'Reaction Information'!$P$21*10^5,'Reaction Information'!$Q$21)*Calculations!$U97*10^-6 + (1/$S97 - 1)*calculate_domegadP(Calculations!M97,Calculations!N97,Calculations!Q97,'Reaction Information'!$C$21,'Reaction Information'!$P$21*10^5,'Reaction Information'!$Q$21,$D$20,$D$19=3))*41.84)</f>
        <v>#N/A</v>
      </c>
      <c r="BP97" s="8" t="e">
        <f>IF(OR(ISBLANK(Input!$AG$4),$D$27=FALSE),NA(),('Reaction Information'!$J$25/10+'Reaction Information'!$K$25*100/(Calculations!$C$12+Calculations!$M97)+('Reaction Information'!$L$25+'Reaction Information'!$M$25*10000/(Calculations!$C$12+Calculations!$M97))/(Calculations!$O97-Calculations!$C$13)-calculateOmega(Calculations!M97,Calculations!N97,Calculations!Q97,'Reaction Information'!$C$25,'Reaction Information'!$P$25*10^5,'Reaction Information'!$Q$25)*Calculations!$U97*10^-6 + (1/$S97 - 1)*calculate_domegadP(Calculations!M97,Calculations!N97,Calculations!Q97,'Reaction Information'!$C$25,'Reaction Information'!$P$25*10^5,'Reaction Information'!$Q$25,$D$20,$D$19=3))*41.84)</f>
        <v>#N/A</v>
      </c>
      <c r="BQ97" s="8" t="e">
        <f>IF(OR(ISBLANK(Input!$AJ$4),$D$27=FALSE),NA(),('Reaction Information'!$J$29/10+'Reaction Information'!$K$29*100/(Calculations!$C$12+Calculations!$M97)+('Reaction Information'!$L$29+'Reaction Information'!$M$29*10000/(Calculations!$C$12+Calculations!$M97))/(Calculations!$O97-Calculations!$C$13)-calculateOmega(Calculations!M97,Calculations!N97,Calculations!Q97,'Reaction Information'!$C$29,'Reaction Information'!$P$29*10^5,'Reaction Information'!$Q$29)*Calculations!$U97*10^-6 + (1/$S97 - 1)*calculate_domegadP(Calculations!M97,Calculations!N97,Calculations!Q97,'Reaction Information'!$C$29,'Reaction Information'!$P$29*10^5,'Reaction Information'!$Q$29,$D$20,$D$19=3))*41.84)</f>
        <v>#N/A</v>
      </c>
      <c r="BR97" s="8" t="e">
        <f>IF(OR(ISBLANK(Input!$AM$4),$D$27=FALSE),NA(),('Reaction Information'!$J$33/10+'Reaction Information'!$K$33*100/(Calculations!$C$12+Calculations!$M97)+('Reaction Information'!$L$33+'Reaction Information'!$M$33*10000/(Calculations!$C$12+Calculations!$M97))/(Calculations!$O97-Calculations!$C$13)-calculateOmega(Calculations!M97,Calculations!N97,Calculations!Q97,'Reaction Information'!$C$33,'Reaction Information'!$P$33*10^5,'Reaction Information'!$Q$33)*Calculations!$U97*10^-6 + (1/$S97 - 1)*calculate_domegadP(Calculations!M97,Calculations!N97,Calculations!Q97,'Reaction Information'!$C$33,'Reaction Information'!$P$33*10^5,'Reaction Information'!$Q$33,$D$20,$D$19=3))*41.84)</f>
        <v>#N/A</v>
      </c>
      <c r="BS97" s="1">
        <f>Results!AW99</f>
        <v>0</v>
      </c>
      <c r="BT97" s="1">
        <f>Results!AX99</f>
        <v>0</v>
      </c>
      <c r="BU97" s="1">
        <f>Results!AY99</f>
        <v>0</v>
      </c>
      <c r="BV97" s="1">
        <f>Results!AZ99</f>
        <v>0</v>
      </c>
      <c r="BW97" s="1" t="e">
        <f>IF(OR(ISNA('Reaction Information'!$D$38), $N97 = "", $D$27 = FALSE, 'Reaction Information'!$D$38 = ""), NA(), 24.465)</f>
        <v>#N/A</v>
      </c>
      <c r="BX97" s="1" t="e">
        <f>IF(OR(ISNA('Reaction Information'!$D$42), $N97 = "", $D$27 = FALSE, 'Reaction Information'!$D$42 = ""), NA(), 24.465)</f>
        <v>#N/A</v>
      </c>
      <c r="BY97" s="8" t="e">
        <f t="shared" si="22"/>
        <v>#N/A</v>
      </c>
      <c r="BZ97" s="8">
        <f>IF(OR(ISBLANK(Input!$BK$4),$D$27=FALSE),NA(),('Reaction Information'!$J$46/10+'Reaction Information'!$K$46*100/(Calculations!$C$12+Calculations!$M97)+('Reaction Information'!$L$46+'Reaction Information'!$M$46*10000/(Calculations!$C$12+Calculations!$M97))/(Calculations!$O97-Calculations!$C$13)-calculateOmega(Calculations!M97,Calculations!N97,Calculations!Q97,'Reaction Information'!$C$46,'Reaction Information'!$P$46*10^5,'Reaction Information'!$Q$46)*Calculations!$U97*10^-6 + (1/$S97 - 1)*calculate_domegadP(Calculations!M97,Calculations!N97,Calculations!Q97,'Reaction Information'!$C$46,'Reaction Information'!$P$46*10^5,'Reaction Information'!$Q$46,$D$20,$D$19=3))*41.84)</f>
        <v>0</v>
      </c>
      <c r="CA97" s="8">
        <f>IF(OR(ISBLANK(Input!$BN$4),$D$27=FALSE),NA(),('Reaction Information'!$J$50/10+'Reaction Information'!$K$50*100/(Calculations!$C$12+Calculations!$M97)+('Reaction Information'!$L$50+'Reaction Information'!$M$50*10000/(Calculations!$C$12+Calculations!$M97))/(Calculations!$O97-Calculations!$C$13)-calculateOmega(Calculations!M97,Calculations!N97,Calculations!Q97,'Reaction Information'!$C$50,'Reaction Information'!$P$50*10^5,'Reaction Information'!$Q$50)*Calculations!$U97*10^-6 + (1/$S97 - 1)*calculate_domegadP(Calculations!M97,Calculations!N97,Calculations!Q97,'Reaction Information'!$C$50,'Reaction Information'!$P$50*10^5,'Reaction Information'!$Q$50,$D$20,$D$19=3))*41.84)</f>
        <v>31.40810722921362</v>
      </c>
      <c r="CB97" s="8" t="e">
        <f>IF(OR(ISBLANK(Input!$BQ$4),$D$27=FALSE),NA(),('Reaction Information'!$J$54/10+'Reaction Information'!$K$54*100/(Calculations!$C$12+Calculations!$M97)+('Reaction Information'!$L$54+'Reaction Information'!$M$54*10000/(Calculations!$C$12+Calculations!$M97))/(Calculations!$O97-Calculations!$C$13)-calculateOmega(Calculations!M97,Calculations!N97,Calculations!Q97,'Reaction Information'!$C$54,'Reaction Information'!$P$54*10^5,'Reaction Information'!$Q$54)*Calculations!$U97*10^-6 + (1/$S97 - 1)*calculate_domegadP(Calculations!M97,Calculations!N97,Calculations!Q97,'Reaction Information'!$C$54,'Reaction Information'!$P$54*10^5,'Reaction Information'!$Q$54,$D$20,$D$19=3))*41.84)</f>
        <v>#N/A</v>
      </c>
      <c r="CC97" s="8" t="e">
        <f>IF(OR(ISBLANK(Input!$BT$4),$D$27=FALSE),NA(),('Reaction Information'!$J$58/10+'Reaction Information'!$K$58*100/(Calculations!$C$12+Calculations!$M97)+('Reaction Information'!$L$58+'Reaction Information'!$M$58*10000/(Calculations!$C$12+Calculations!$M97))/(Calculations!$O97-Calculations!$C$13)-calculateOmega(Calculations!M97,Calculations!N97,Calculations!Q97,'Reaction Information'!$C$58,'Reaction Information'!$P$58*10^5,'Reaction Information'!$Q$58)*Calculations!$U97*10^-6 + (1/$S97 - 1)*calculate_domegadP(Calculations!M97,Calculations!N97,Calculations!Q97,'Reaction Information'!$C$58,'Reaction Information'!$P$58*10^5,'Reaction Information'!$Q$58,$D$20,$D$19=3))*41.84)</f>
        <v>#N/A</v>
      </c>
      <c r="CD97" s="8" t="e">
        <f>IF(OR(ISBLANK(Input!$BW$4),$D$27=FALSE),NA(),('Reaction Information'!$J$62/10+'Reaction Information'!$K$62*100/(Calculations!$C$12+Calculations!$M97)+('Reaction Information'!$L$62+'Reaction Information'!$M$62*10000/(Calculations!$C$12+Calculations!$M97))/(Calculations!$O97-Calculations!$C$13)-calculateOmega(Calculations!M97,Calculations!N97,Calculations!Q97,'Reaction Information'!$C$62,'Reaction Information'!$P$62*10^5,'Reaction Information'!$Q$62)*Calculations!$U97*10^-6 + (1/$S97 - 1)*calculate_domegadP(Calculations!M97,Calculations!N97,Calculations!Q97,'Reaction Information'!$C$62,'Reaction Information'!$P$62*10^5,'Reaction Information'!$Q$62,$D$20,$D$19=3))*41.84)</f>
        <v>#N/A</v>
      </c>
      <c r="CE97" s="8" t="e">
        <f>IF(OR(ISBLANK(Input!$BZ$4),$D$27=FALSE),NA(),('Reaction Information'!$J$66/10+'Reaction Information'!$K$66*100/(Calculations!$C$12+Calculations!$M97)+('Reaction Information'!$L$66+'Reaction Information'!$M$66*10000/(Calculations!$C$12+Calculations!$M97))/(Calculations!$O97-Calculations!$C$13)-calculateOmega(Calculations!M97,Calculations!N97,Calculations!Q97,'Reaction Information'!$C$66,'Reaction Information'!$P$66*10^5,'Reaction Information'!$Q$66)*Calculations!$U97*10^-6 + (1/$S97 - 1)*calculate_domegadP(Calculations!M97,Calculations!N97,Calculations!Q97,'Reaction Information'!$C$66,'Reaction Information'!$P$66*10^5,'Reaction Information'!$Q$66,$D$20,$D$19=3))*41.84)</f>
        <v>#N/A</v>
      </c>
      <c r="CF97" s="31">
        <f>(BS97*Input!$AO$4+BT97*Input!$AR$4+BU97*Input!$AU$4+BV97*Input!$AX$4+IF(ISNA(BW97),0,BW97*Input!$BA$4)+IF(ISNA(BX97),0,BX97*Input!$BD$4)+IF(ISNA(BY97),0,BY97*Input!$BG$4)+IF(ISNA(BZ97),0,BZ97*Input!$BJ$4)+IF(ISNA(CA97),0,CA97*Input!$BM$4)+IF(ISNA(CB97),0,CB97*Input!$BP$4)+IF(ISNA(CC97),0,CC97*Input!$BS$4)+IF(ISNA(CD97),0,CD97*Input!$BV$4)+IF(ISNA(CE97),0,CE97*Input!$BY$4))-(BF97*Input!$B$4+BG97*Input!$E$4+BH97*Input!$H$4+BI97*Input!$K$4+IF(ISNA(BJ97),0,BJ97*Input!$N$4)+IF(ISNA(BK97),0,BK97*Input!$Q$4)+IF(ISNA(BL97),0,BL97*Input!$T$4)+IF(ISNA(BM97),0,BM97*Input!$W$4)+IF(ISNA(BN97),0,BN97*Input!$Z$4)+IF(ISNA(BO97),0,BO97*Input!$AC$4)+IF(ISNA(BP97),0,BP97*Input!$AF$4)+IF(ISNA(BQ97),0,BQ97*Input!$AI$4)+IF(ISNA(BR97),0,BR97*Input!$AL$4))</f>
        <v>-11.908128712278625</v>
      </c>
      <c r="CG97" s="1">
        <f t="shared" si="31"/>
        <v>350</v>
      </c>
      <c r="CH97" s="46">
        <f t="shared" si="32"/>
        <v>35000</v>
      </c>
      <c r="CI97" s="1"/>
    </row>
    <row r="98" spans="1:87" x14ac:dyDescent="0.2">
      <c r="A98" s="1"/>
      <c r="B98" s="1"/>
      <c r="C98" s="1"/>
      <c r="D98" s="1"/>
      <c r="E98" s="1"/>
      <c r="F98" s="2">
        <v>93</v>
      </c>
      <c r="G98" s="1" t="str">
        <f>IF(ISBLANK(Input!CB98), "", Input!CB98*1000)</f>
        <v/>
      </c>
      <c r="H98" s="1" t="str">
        <f>IF(ISBLANK(Input!CC98), "", Input!CC98)</f>
        <v/>
      </c>
      <c r="I98" s="1">
        <f>IF(Input!$CF$5 + Input!$CF$6*(FLOOR((Calculations!$F98-1)/(FLOOR((Input!$CF$12-Input!$CF$10)/Input!$CF$11,1)+1),1)) &gt; Input!$CF$7, "", (Input!$CF$5 + Input!$CF$6*(FLOOR((Calculations!$F98-1)/(FLOOR((Input!$CF$12-Input!$CF$10)/Input!$CF$11,1)+1),1)))*1000)</f>
        <v>35000</v>
      </c>
      <c r="J98" s="1">
        <f>IF(Calculations!I98 = "", "", Input!$CF$10 + Input!$CF$11*(Calculations!$F98-1) - (FLOOR((Input!$CF$12-Input!$CF$10)/Input!$CF$11,1)+1)*Input!$CF$11*FLOOR((Calculations!$F98-1)/(FLOOR((Input!$CF$12-Input!$CF$10)/Input!$CF$11,1)+1),1))</f>
        <v>400</v>
      </c>
      <c r="K98" s="8" t="str">
        <f t="shared" si="33"/>
        <v/>
      </c>
      <c r="L98" s="117" t="str">
        <f>IF(OR(Input!$CJ$5 + Input!$CJ$6*(Calculations!F98-1) &gt; Input!$CJ$7, Input!$CJ$5 + Input!$CJ$6*(Calculations!F98-1) &gt; 350), "", Input!$CJ$5 + Input!$CJ$6*(Calculations!F98-1))</f>
        <v/>
      </c>
      <c r="M98" s="1">
        <f t="shared" si="23"/>
        <v>35000</v>
      </c>
      <c r="N98" s="1">
        <f t="shared" si="24"/>
        <v>400</v>
      </c>
      <c r="O98" s="1">
        <f t="shared" si="19"/>
        <v>673.15</v>
      </c>
      <c r="P98" s="1" t="e">
        <f>IF(OR($D$20=3,AND($D$21=TRUE,M98&lt;1000)),INDEX('Water Density'!$C$6:$CX$120,MATCH(Calculations!N98,'Water Density'!$B$6:$B$120),MATCH(Calculations!M98/1000,'Water Density'!$C$5:$CX$5)),NA())</f>
        <v>#N/A</v>
      </c>
      <c r="Q98" s="182">
        <f>IF(OR($D$20=3,AND($D$21=TRUE,M98&lt;1000)), IF(P98&lt;&gt;0,P98,NA()), calculateDensity(M98,N98,$D$20,0.01,$D$19 = 3))</f>
        <v>1.3420798007857802</v>
      </c>
      <c r="R98" s="1" t="e">
        <f>IF($D$22=5,INDEX('Dielectric Constant'!$C$6:$CX$120,MATCH(Calculations!N98,'Dielectric Constant'!$B$6:$B$120),MATCH(Calculations!M98/1000,'Dielectric Constant'!$C$5:$CX$5)),NA())</f>
        <v>#N/A</v>
      </c>
      <c r="S98" s="58">
        <f>IF($D$22=5, IF(R98&lt;&gt;0,R98,NA()), IF(AND($D$23,M98&lt;=5000,$D$19 &lt;&gt; 3),calculateEpsilon(Q98,N98,1,FALSE),calculateEpsilon(Q98,N98,$D$22,$D$19 = 3)))</f>
        <v>43.768164808389237</v>
      </c>
      <c r="T98" s="1" t="e">
        <f>IF($D$24=3,INDEX('Water Free Energy'!$C$6:$CX$120,MATCH(Calculations!N98,'Water Free Energy'!$B$6:$B$120),MATCH(Calculations!M98/1000,'Water Free Energy'!$C$5:$CX$5)),NA())</f>
        <v>#N/A</v>
      </c>
      <c r="U98" s="179">
        <f>IF($D$27,calculateQ(M98,N98,Q98,$D$20,$D$22,$D$19=3)*10^6,NA())</f>
        <v>0.14324348481086507</v>
      </c>
      <c r="V98"/>
      <c r="W98" s="2">
        <f t="shared" si="25"/>
        <v>35000</v>
      </c>
      <c r="X98" s="1">
        <f t="shared" si="26"/>
        <v>400</v>
      </c>
      <c r="Y98" s="1">
        <f>Results!F100</f>
        <v>0</v>
      </c>
      <c r="Z98" s="1">
        <f>Results!G100</f>
        <v>0</v>
      </c>
      <c r="AA98" s="1">
        <f>Results!H100</f>
        <v>0</v>
      </c>
      <c r="AB98" s="1">
        <f>Results!I100</f>
        <v>0</v>
      </c>
      <c r="AC98" s="1" t="e">
        <f>IF(ISBLANK(Input!$O$4),NA(),'Reaction Information'!$E$5-'Reaction Information'!$G$5*(Calculations!$O98-Calculations!$C$8)+'Reaction Information'!$I$5*(Calculations!$O98-Calculations!$C$8-Calculations!$O98*LN(Calculations!$O98/Calculations!$C$8))+'Reaction Information'!$J$5*0.001/2*(2*Calculations!$O98*Calculations!$C$8-Calculations!$O98^2-Calculations!$C$8^2) + 'Reaction Information'!$K$5*100000*(Calculations!$O98^2 + Calculations!$C$8^2 - 2*Calculations!$O98*Calculations!$C$8)/(2*Calculations!$O98*Calculations!$C$8^2))</f>
        <v>#N/A</v>
      </c>
      <c r="AD98" s="8" t="e">
        <f>IF(ISBLANK(Input!$R$4),NA(),'Reaction Information'!$E$9-'Reaction Information'!$G$9*(Calculations!$O98-Calculations!$C$8)+'Reaction Information'!$I$9*(Calculations!$O98-Calculations!$C$8-Calculations!$O98*LN(Calculations!$O98/Calculations!$C$8))+'Reaction Information'!$J$9*0.001/2*(2*Calculations!$O98*Calculations!$C$8-Calculations!$O98^2-Calculations!$C$8^2) + 'Reaction Information'!$K$9*100000*(Calculations!$O98^2 + Calculations!$C$8^2 - 2*Calculations!$O98*Calculations!$C$8)/(2*Calculations!$O98*Calculations!$C$8^2))</f>
        <v>#N/A</v>
      </c>
      <c r="AE98" s="8">
        <f>IF(AE$5="H2O",IF($D$24=3,IF(T98=0,NA(),T98),calculateGibbsOfWater(M98,N98,$D$24,$D$20,$D$19=3)),NA())</f>
        <v>-52417.056543386483</v>
      </c>
      <c r="AF98" s="8">
        <f>IF(ISBLANK(Input!$X$4),NA(),'Reaction Information'!$E$13-'Reaction Information'!$G$13*(Calculations!O98-Calculations!$C$8)-'Reaction Information'!$N$13*(Calculations!O98*LN(Calculations!O98/Calculations!$C$8)-Calculations!O98+Calculations!$C$8)-'Reaction Information'!$O$13*10^4*(((1/(Calculations!O98-Calculations!$C$13))-(1/(Calculations!$C$8-Calculations!$C$13)))*((Calculations!$C$13-Calculations!O98)/(Calculations!$C$13))-(Calculations!O98/(Calculations!$C$13*Calculations!$C$13))*LN((Calculations!$C$8*(Calculations!O98-Calculations!$C$13))/(Calculations!O98*(Calculations!$C$8-Calculations!$C$13))))+'Reaction Information'!$J$13*10^-1*(Calculations!M98-Calculations!$C$9)+'Reaction Information'!$K$13*10^2*LN((Calculations!$C$12+Calculations!M98)/(Calculations!$C$12+Calculations!$C$9))+(1/(Calculations!O98-Calculations!$C$13))*('Reaction Information'!$L$13*(Calculations!M98-Calculations!$C$9)+'Reaction Information'!$M$13*10^4*LN((Calculations!$C$12+Calculations!M98)/(Calculations!$C$12+Calculations!$C$9)))+calculateOmega(Calculations!M98,Calculations!N98,Calculations!Q98,'Reaction Information'!$C$13,'Reaction Information'!$P$13*10^5,'Reaction Information'!$Q$13)*((1/Calculations!S98)-1)-'Reaction Information'!$P$13*10^5*((1/Calculations!$C$10)-1)+'Reaction Information'!$P$13*10^5*Calculations!$C$14*(Calculations!O98-Calculations!$C$8))</f>
        <v>-81192.121188036865</v>
      </c>
      <c r="AG98" s="8" t="e">
        <f>IF(ISBLANK(Input!$AA$4),NA(),'Reaction Information'!$E$17-'Reaction Information'!$G$17*(Calculations!$O98-Calculations!$C$8)-'Reaction Information'!$N$17*(Calculations!$O98*LN(Calculations!$O98/Calculations!$C$8)-Calculations!$O98+Calculations!$C$8)-'Reaction Information'!$O$17*10^4*(((1/(Calculations!$O98-Calculations!$C$13))-(1/(Calculations!$C$8-Calculations!$C$13)))*((Calculations!$C$13-Calculations!$O98)/(Calculations!$C$13))-(Calculations!$O98/(Calculations!$C$13*Calculations!$C$13))*LN((Calculations!$C$8*(Calculations!$O98-Calculations!$C$13))/(Calculations!$O98*(Calculations!$C$8-Calculations!$C$13))))+'Reaction Information'!$J$17*10^-1*(Calculations!$M98-Calculations!$C$9)+'Reaction Information'!$K$17*10^2*LN((Calculations!$C$12+Calculations!$M98)/(Calculations!$C$12+Calculations!$C$9))+(1/(Calculations!$O98-Calculations!$C$13))*('Reaction Information'!$L$17*(Calculations!$M98-Calculations!$C$9)+'Reaction Information'!$M$17*10^4*LN((Calculations!$C$12+Calculations!$M98)/(Calculations!$C$12+Calculations!$C$9)))+calculateOmega(Calculations!M98,Calculations!N98,Calculations!Q98,'Reaction Information'!$C$17,'Reaction Information'!$P$17*10^5,'Reaction Information'!$Q$17)*((1/Calculations!$S98)-1)-'Reaction Information'!$P$17*10^5*((1/Calculations!$C$10)-1)+'Reaction Information'!$P$17*10^5*Calculations!$C$14*(Calculations!$O98-Calculations!$C$8))</f>
        <v>#N/A</v>
      </c>
      <c r="AH98" s="8" t="e">
        <f>IF(ISBLANK(Input!$AD$4),NA(),'Reaction Information'!$E$21-'Reaction Information'!$G$21*(Calculations!$O98-Calculations!$C$8)-'Reaction Information'!$N$21*(Calculations!$O98*LN(Calculations!$O98/Calculations!$C$8)-Calculations!$O98+Calculations!$C$8)-'Reaction Information'!$O$21*10^4*(((1/(Calculations!$O98-Calculations!$C$13))-(1/(Calculations!$C$8-Calculations!$C$13)))*((Calculations!$C$13-Calculations!$O98)/(Calculations!$C$13))-(Calculations!$O98/(Calculations!$C$13*Calculations!$C$13))*LN((Calculations!$C$8*(Calculations!$O98-Calculations!$C$13))/(Calculations!$O98*(Calculations!$C$8-Calculations!$C$13))))+'Reaction Information'!$J$21*10^-1*(Calculations!$M98-Calculations!$C$9)+'Reaction Information'!$K$21*10^2*LN((Calculations!$C$12+Calculations!$M98)/(Calculations!$C$12+Calculations!$C$9))+(1/(Calculations!$O98-Calculations!$C$13))*('Reaction Information'!$L$21*(Calculations!$M98-Calculations!$C$9)+'Reaction Information'!$M$21*10^4*LN((Calculations!$C$12+Calculations!$M98)/(Calculations!$C$12+Calculations!$C$9)))+calculateOmega(Calculations!M98,Calculations!N98,Calculations!Q98,'Reaction Information'!$C$21,'Reaction Information'!$P$21*10^5,'Reaction Information'!$Q$21)*((1/Calculations!$S98)-1)-'Reaction Information'!$P$21*10^5*((1/Calculations!$C$10)-1)+'Reaction Information'!$P$21*10^5*Calculations!$C$14*(Calculations!$O98-Calculations!$C$8))</f>
        <v>#N/A</v>
      </c>
      <c r="AI98" s="8" t="e">
        <f>IF(ISBLANK(Input!$AG$4),NA(),'Reaction Information'!$E$25-'Reaction Information'!$G$25*(Calculations!$O98-Calculations!$C$8)-'Reaction Information'!$N$25*(Calculations!$O98*LN(Calculations!$O98/Calculations!$C$8)-Calculations!$O98+Calculations!$C$8)-'Reaction Information'!$O$25*10^4*(((1/(Calculations!$O98-Calculations!$C$13))-(1/(Calculations!$C$8-Calculations!$C$13)))*((Calculations!$C$13-Calculations!$O98)/(Calculations!$C$13))-(Calculations!$O98/(Calculations!$C$13*Calculations!$C$13))*LN((Calculations!$C$8*(Calculations!$O98-Calculations!$C$13))/(Calculations!$O98*(Calculations!$C$8-Calculations!$C$13))))+'Reaction Information'!$J$25*10^-1*(Calculations!$M98-Calculations!$C$9)+'Reaction Information'!$K$25*10^2*LN((Calculations!$C$12+Calculations!$M98)/(Calculations!$C$12+Calculations!$C$9))+(1/(Calculations!$O98-Calculations!$C$13))*('Reaction Information'!$L$25*(Calculations!$M98-Calculations!$C$9)+'Reaction Information'!$M$25*10^4*LN((Calculations!$C$12+Calculations!$M98)/(Calculations!$C$12+Calculations!$C$9)))+calculateOmega(Calculations!M98,Calculations!N98,Calculations!Q98,'Reaction Information'!$C$25,'Reaction Information'!$P$25*10^5,'Reaction Information'!$Q$25)*((1/Calculations!$S98)-1)-'Reaction Information'!$P$25*10^5*((1/Calculations!$C$10)-1)+'Reaction Information'!$P$25*10^5*Calculations!$C$14*(Calculations!$O98-Calculations!$C$8))</f>
        <v>#N/A</v>
      </c>
      <c r="AJ98" s="8" t="e">
        <f>IF(ISBLANK(Input!$AJ$4),NA(),'Reaction Information'!$E$29-'Reaction Information'!$G$29*(Calculations!$O98-Calculations!$C$8)-'Reaction Information'!$N$29*(Calculations!$O98*LN(Calculations!$O98/Calculations!$C$8)-Calculations!$O98+Calculations!$C$8)-'Reaction Information'!$O$29*10^4*(((1/(Calculations!$O98-Calculations!$C$13))-(1/(Calculations!$C$8-Calculations!$C$13)))*((Calculations!$C$13-Calculations!$O98)/(Calculations!$C$13))-(Calculations!$O98/(Calculations!$C$13*Calculations!$C$13))*LN((Calculations!$C$8*(Calculations!$O98-Calculations!$C$13))/(Calculations!$O98*(Calculations!$C$8-Calculations!$C$13))))+'Reaction Information'!$J$29*10^-1*(Calculations!$M98-Calculations!$C$9)+'Reaction Information'!$K$29*10^2*LN((Calculations!$C$12+Calculations!$M98)/(Calculations!$C$12+Calculations!$C$9))+(1/(Calculations!$O98-Calculations!$C$13))*('Reaction Information'!$L$29*(Calculations!$M98-Calculations!$C$9)+'Reaction Information'!$M$29*10^4*LN((Calculations!$C$12+Calculations!$M98)/(Calculations!$C$12+Calculations!$C$9)))+calculateOmega(Calculations!M98,Calculations!N98,Calculations!Q98,'Reaction Information'!$C$29,'Reaction Information'!$P$29*10^5,'Reaction Information'!$Q$29)*((1/Calculations!$S98)-1)-'Reaction Information'!$P$29*10^5*((1/Calculations!$C$10)-1)+'Reaction Information'!$P$29*10^5*Calculations!$C$14*(Calculations!$O98-Calculations!$C$8))</f>
        <v>#N/A</v>
      </c>
      <c r="AK98" s="8" t="e">
        <f>IF(ISBLANK(Input!$AM$4),NA(),'Reaction Information'!$E$33-'Reaction Information'!$G$33*(Calculations!$O98-Calculations!$C$8)-'Reaction Information'!$N$33*(Calculations!$O98*LN(Calculations!$O98/Calculations!$C$8)-Calculations!$O98+Calculations!$C$8)-'Reaction Information'!$O$33*10^4*(((1/(Calculations!$O98-Calculations!$C$13))-(1/(Calculations!$C$8-Calculations!$C$13)))*((Calculations!$C$13-Calculations!$O98)/(Calculations!$C$13))-(Calculations!$O98/(Calculations!$C$13*Calculations!$C$13))*LN((Calculations!$C$8*(Calculations!$O98-Calculations!$C$13))/(Calculations!$O98*(Calculations!$C$8-Calculations!$C$13))))+'Reaction Information'!$J$33*10^-1*(Calculations!$M98-Calculations!$C$9)+'Reaction Information'!$K$33*10^2*LN((Calculations!$C$12+Calculations!$M98)/(Calculations!$C$12+Calculations!$C$9))+(1/(Calculations!$O98-Calculations!$C$13))*('Reaction Information'!$L$33*(Calculations!$M98-Calculations!$C$9)+'Reaction Information'!$M$33*10^4*LN((Calculations!$C$12+Calculations!$M98)/(Calculations!$C$12+Calculations!$C$9)))+calculateOmega(Calculations!M98,Calculations!N98,Calculations!Q98,'Reaction Information'!$C$33,'Reaction Information'!$P$33*10^5,'Reaction Information'!$Q$33)*((1/Calculations!$S98)-1)-'Reaction Information'!$P$33*10^5*((1/Calculations!$C$10)-1)+'Reaction Information'!$P$33*10^5*Calculations!$C$14*(Calculations!$O98-Calculations!$C$8))</f>
        <v>#N/A</v>
      </c>
      <c r="AL98" s="1">
        <f>Results!S100</f>
        <v>0</v>
      </c>
      <c r="AM98" s="1">
        <f>Results!T100</f>
        <v>0</v>
      </c>
      <c r="AN98" s="1">
        <f>Results!U100</f>
        <v>0</v>
      </c>
      <c r="AO98" s="1">
        <f>Results!V100</f>
        <v>0</v>
      </c>
      <c r="AP98" s="8" t="e">
        <f>IF(ISBLANK(Input!$BB$4),NA(),'Reaction Information'!$E$38-'Reaction Information'!$G$38*(Calculations!$O98-Calculations!$C$8)+'Reaction Information'!$I$38*(Calculations!$O98-Calculations!$C$8-Calculations!$O98*LN(Calculations!$O98/Calculations!$C$8))+'Reaction Information'!$J$38*0.001/2*(2*Calculations!$O98*Calculations!$C$8-Calculations!$O98^2-Calculations!$C$8^2) + 'Reaction Information'!$K$38*100000*(Calculations!$O98^2 + Calculations!$C$8^2 - 2*Calculations!$O98*Calculations!$C$8)/(2*Calculations!$O98*Calculations!$C$8^2))</f>
        <v>#N/A</v>
      </c>
      <c r="AQ98" s="8" t="e">
        <f>IF(ISBLANK(Input!$BE$4),NA(),'Reaction Information'!$E$42-'Reaction Information'!$G$42*(Calculations!$O98-Calculations!$C$8)+'Reaction Information'!$I$42*(Calculations!$O98-Calculations!$C$8-Calculations!$O98*LN(Calculations!$O98/Calculations!$C$8))+'Reaction Information'!$J$42*0.001/2*(2*Calculations!$O98*Calculations!$C$8-Calculations!$O98^2-Calculations!$C$8^2) + 'Reaction Information'!$K$42*100000*(Calculations!$O98^2 + Calculations!$C$8^2 - 2*Calculations!$O98*Calculations!$C$8)/(2*Calculations!$O98*Calculations!$C$8^2))</f>
        <v>#N/A</v>
      </c>
      <c r="AR98" s="8" t="e">
        <f>IF(AR$5="H2O", IF($D$24=3,IF(T98=0,NA(),T98),calculateGibbsOfWater(M98,N98,$D$24,$D$20,$D$19=3)),NA())</f>
        <v>#N/A</v>
      </c>
      <c r="AS98" s="8">
        <f>IF(ISBLANK(Input!$BK$4),NA(),'Reaction Information'!$E$46-'Reaction Information'!$G$46*(Calculations!O98-Calculations!$C$8)-'Reaction Information'!$N$46*(Calculations!O98*LN(Calculations!O98/Calculations!$C$8)-Calculations!O98+Calculations!$C$8)-'Reaction Information'!$O$46*10^4*(((1/(Calculations!O98-Calculations!$C$13))-(1/(Calculations!$C$8-Calculations!$C$13)))*((Calculations!$C$13-Calculations!O98)/(Calculations!$C$13))-(Calculations!O98/(Calculations!$C$13*Calculations!$C$13))*LN((Calculations!$C$8*(Calculations!O98-Calculations!$C$13))/(Calculations!O98*(Calculations!$C$8-Calculations!$C$13))))+'Reaction Information'!$J$46*10^-1*(Calculations!$M98-Calculations!$C$9)+'Reaction Information'!$K$46*10^2*LN((Calculations!$C$12+Calculations!$M98)/(Calculations!$C$12+Calculations!$C$9))+(1/(Calculations!O98-Calculations!$C$13))*('Reaction Information'!$L$46*(Calculations!$M98-Calculations!$C$9)+'Reaction Information'!$M$46*10^4*LN((Calculations!$C$12+Calculations!$M98)/(Calculations!$C$12+Calculations!$C$9)))+calculateOmega(Calculations!M98,Calculations!N98,Calculations!Q98,'Reaction Information'!$C$46,'Reaction Information'!$P$46*10^5,'Reaction Information'!$Q$46)*((1/Calculations!S98)-1)-'Reaction Information'!$P$46*10^5*((1/Calculations!$C$10)-1)+'Reaction Information'!$P$46*10^5*Calculations!$C$14*(Calculations!O98-Calculations!$C$8))</f>
        <v>0</v>
      </c>
      <c r="AT98" s="8">
        <f>IF(ISBLANK(Input!$BN$4),NA(),'Reaction Information'!$E$50-'Reaction Information'!$G$50*(Calculations!O98-Calculations!$C$8)-'Reaction Information'!$N$50*(Calculations!O98*LN(Calculations!O98/Calculations!$C$8)-Calculations!O98+Calculations!$C$8)-'Reaction Information'!$O$50*10^4*(((1/(Calculations!O98-Calculations!$C$13))-(1/(Calculations!$C$8-Calculations!$C$13)))*((Calculations!$C$13-Calculations!O98)/(Calculations!$C$13))-(Calculations!O98/(Calculations!$C$13*Calculations!$C$13))*LN((Calculations!$C$8*(Calculations!O98-Calculations!$C$13))/(Calculations!O98*(Calculations!$C$8-Calculations!$C$13))))+'Reaction Information'!$J$50*10^-1*(Calculations!$M98-Calculations!$C$9)+'Reaction Information'!$K$50*10^2*LN((Calculations!$C$12+Calculations!$M98)/(Calculations!$C$12+Calculations!$C$9))+(1/(Calculations!O98-Calculations!$C$13))*('Reaction Information'!$L$50*(Calculations!$M98-Calculations!$C$9)+'Reaction Information'!$M$50*10^4*LN((Calculations!$C$12+Calculations!$M98)/(Calculations!$C$12+Calculations!$C$9)))+calculateOmega(Calculations!M98,Calculations!N98,Calculations!Q98,'Reaction Information'!$C$50,'Reaction Information'!$P$50*10^5,'Reaction Information'!$Q$50)*((1/Calculations!S98)-1)-'Reaction Information'!$P$50*10^5*((1/Calculations!$C$10)-1)+'Reaction Information'!$P$50*10^5*Calculations!$C$14*(Calculations!O98-Calculations!$C$8))</f>
        <v>-125212.75513346415</v>
      </c>
      <c r="AU98" s="8" t="e">
        <f>IF(ISBLANK(Input!$BQ$4),NA(),'Reaction Information'!$E$54-'Reaction Information'!$G$54*(Calculations!$O98-Calculations!$C$8)-'Reaction Information'!$N$54*(Calculations!$O98*LN(Calculations!$O98/Calculations!$C$8)-Calculations!$O98+Calculations!$C$8)-'Reaction Information'!$O$54*10^4*(((1/(Calculations!$O98-Calculations!$C$13))-(1/(Calculations!$C$8-Calculations!$C$13)))*((Calculations!$C$13-Calculations!$O98)/(Calculations!$C$13))-(Calculations!$O98/(Calculations!$C$13*Calculations!$C$13))*LN((Calculations!$C$8*(Calculations!$O98-Calculations!$C$13))/(Calculations!$O98*(Calculations!$C$8-Calculations!$C$13))))+'Reaction Information'!$J$54*10^-1*(Calculations!$M98-Calculations!$C$9)+'Reaction Information'!$K$54*10^2*LN((Calculations!$C$12+Calculations!$M98)/(Calculations!$C$12+Calculations!$C$9))+(1/(Calculations!$O98-Calculations!$C$13))*('Reaction Information'!$L$54*(Calculations!$M98-Calculations!$C$9)+'Reaction Information'!$M$54*10^4*LN((Calculations!$C$12+Calculations!$M98)/(Calculations!$C$12+Calculations!$C$9)))+calculateOmega(Calculations!M98,Calculations!N98,Calculations!Q98,'Reaction Information'!$C$54,'Reaction Information'!$P$54*10^5,'Reaction Information'!$Q$54)*((1/Calculations!$S98)-1)-'Reaction Information'!$P$54*10^5*((1/Calculations!$C$10)-1)+'Reaction Information'!$P$54*10^5*Calculations!$C$14*(Calculations!$O98-Calculations!$C$8))</f>
        <v>#N/A</v>
      </c>
      <c r="AV98" s="8" t="e">
        <f>IF(ISBLANK(Input!$BT$4),NA(),'Reaction Information'!$E$58-'Reaction Information'!$G$58*(Calculations!$O98-Calculations!$C$8)-'Reaction Information'!$N$58*(Calculations!$O98*LN(Calculations!$O98/Calculations!$C$8)-Calculations!$O98+Calculations!$C$8)-'Reaction Information'!$O$58*10^4*(((1/(Calculations!$O98-Calculations!$C$13))-(1/(Calculations!$C$8-Calculations!$C$13)))*((Calculations!$C$13-Calculations!$O98)/(Calculations!$C$13))-(Calculations!$O98/(Calculations!$C$13*Calculations!$C$13))*LN((Calculations!$C$8*(Calculations!$O98-Calculations!$C$13))/(Calculations!$O98*(Calculations!$C$8-Calculations!$C$13))))+'Reaction Information'!$J$58*10^-1*(Calculations!$M98-Calculations!$C$9)+'Reaction Information'!$K$58*10^2*LN((Calculations!$C$12+Calculations!$M98)/(Calculations!$C$12+Calculations!$C$9))+(1/(Calculations!$O98-Calculations!$C$13))*('Reaction Information'!$L$58*(Calculations!$M98-Calculations!$C$9)+'Reaction Information'!$M$58*10^4*LN((Calculations!$C$12+Calculations!$M98)/(Calculations!$C$12+Calculations!$C$9)))+calculateOmega(Calculations!M98,Calculations!N98,Calculations!Q98,'Reaction Information'!$C$58,'Reaction Information'!$P$58*10^5,'Reaction Information'!$Q$58)*((1/Calculations!$S98)-1)-'Reaction Information'!$P$58*10^5*((1/Calculations!$C$10)-1)+'Reaction Information'!$P$58*10^5*Calculations!$C$14*(Calculations!$O98-Calculations!$C$8))</f>
        <v>#N/A</v>
      </c>
      <c r="AW98" s="8" t="e">
        <f>IF(ISBLANK(Input!$BW$4),NA(),'Reaction Information'!$E$62-'Reaction Information'!$G$62*(Calculations!$O98-Calculations!$C$8)-'Reaction Information'!$N$62*(Calculations!$O98*LN(Calculations!$O98/Calculations!$C$8)-Calculations!$O98+Calculations!$C$8)-'Reaction Information'!$O$62*10^4*(((1/(Calculations!$O98-Calculations!$C$13))-(1/(Calculations!$C$8-Calculations!$C$13)))*((Calculations!$C$13-Calculations!$O98)/(Calculations!$C$13))-(Calculations!$O98/(Calculations!$C$13*Calculations!$C$13))*LN((Calculations!$C$8*(Calculations!$O98-Calculations!$C$13))/(Calculations!$O98*(Calculations!$C$8-Calculations!$C$13))))+'Reaction Information'!$J$62*10^-1*(Calculations!$M98-Calculations!$C$9)+'Reaction Information'!$K$62*10^2*LN((Calculations!$C$12+Calculations!$M98)/(Calculations!$C$12+Calculations!$C$9))+(1/(Calculations!$O98-Calculations!$C$13))*('Reaction Information'!$L$62*(Calculations!$M98-Calculations!$C$9)+'Reaction Information'!$M$62*10^4*LN((Calculations!$C$12+Calculations!$M98)/(Calculations!$C$12+Calculations!$C$9)))+calculateOmega(Calculations!M98,Calculations!N98,Calculations!Q98,'Reaction Information'!$C$62,'Reaction Information'!$P$62*10^5,'Reaction Information'!$Q$62)*((1/Calculations!$S98)-1)-'Reaction Information'!$P$62*10^5*((1/Calculations!$C$10)-1)+'Reaction Information'!$P$62*10^5*Calculations!$C$14*(Calculations!$O98-Calculations!$C$8))</f>
        <v>#N/A</v>
      </c>
      <c r="AX98" s="8" t="e">
        <f>IF(ISBLANK(Input!$BZ$4),NA(),'Reaction Information'!$E$66-'Reaction Information'!$G$66*(Calculations!$O98-Calculations!$C$8)-'Reaction Information'!$N$66*(Calculations!$O98*LN(Calculations!$O98/Calculations!$C$8)-Calculations!$O98+Calculations!$C$8)-'Reaction Information'!$O$66*10^4*(((1/(Calculations!$O98-Calculations!$C$13))-(1/(Calculations!$C$8-Calculations!$C$13)))*((Calculations!$C$13-Calculations!$O98)/(Calculations!$C$13))-(Calculations!$O98/(Calculations!$C$13*Calculations!$C$13))*LN((Calculations!$C$8*(Calculations!$O98-Calculations!$C$13))/(Calculations!$O98*(Calculations!$C$8-Calculations!$C$13))))+'Reaction Information'!$J$66*10^-1*(Calculations!$M98-Calculations!$C$9)+'Reaction Information'!$K$66*10^2*LN((Calculations!$C$12+Calculations!$M98)/(Calculations!$C$12+Calculations!$C$9))+(1/(Calculations!$O98-Calculations!$C$13))*('Reaction Information'!$L$66*(Calculations!$M98-Calculations!$C$9)+'Reaction Information'!$M$66*10^4*LN((Calculations!$C$12+Calculations!$M98)/(Calculations!$C$12+Calculations!$C$9)))+calculateOmega(Calculations!M98,Calculations!N98,Calculations!Q98,'Reaction Information'!$C$66,'Reaction Information'!$P$66*10^5,'Reaction Information'!$Q$66)*((1/Calculations!$S98)-1)-'Reaction Information'!$P$66*10^5*((1/Calculations!$C$10)-1)+'Reaction Information'!$P$66*10^5*Calculations!$C$14*(Calculations!$O98-Calculations!$C$8))</f>
        <v>#N/A</v>
      </c>
      <c r="AY98" s="31">
        <f>(AL98*Input!$AO$4+AM98*Input!$AR$4+AN98*Input!$AU$4+AO98*Input!$AX$4+IF(ISNA(AP98),0,AP98*Input!$BA$4)+IF(ISNA(AQ98),0,AQ98*Input!$BD$4)+IF(ISNA(AR98),0,AR98*Input!$BG$4)+IF(ISNA(AS98),0,AS98*Input!$BJ$4)+IF(ISNA(AT98),0,AT98*Input!$BM$4)+IF(ISNA(AU98),0,AU98*Input!$BP$4)+IF(ISNA(AV98),0,AV98*Input!$BS$4)+IF(ISNA(AW98),0,AW98*Input!$BV$4)+IF(ISNA(AX98),0,AX98*Input!$BY$4))-(Y98*Input!$B$4+Z98*Input!$E$4+AA98*Input!$H$4+AB98*Input!$K$4+IF(ISNA(AC98),0,AC98*Input!$N$4)+IF(ISNA(AD98),0,AD98*Input!$Q$4)+IF(ISNA(AE98),0,AE98*Input!$T$4)+IF(ISNA(AF98),0,AF98*Input!$W$4)+IF(ISNA(AG98),0,AG98*Input!$Z$4)+IF(ISNA(AH98),0,AH98*Input!$AC$4)+IF(ISNA(AI98),0,AI98*Input!$AF$4)+IF(ISNA(AJ98),0,AJ98*Input!$AI$4)+IF(ISNA(AK98),0,AK98*Input!$AL$4))</f>
        <v>8396.4225979592011</v>
      </c>
      <c r="AZ98" s="42">
        <f t="shared" si="20"/>
        <v>-2.7278112254048503</v>
      </c>
      <c r="BA98" s="1">
        <f t="shared" si="27"/>
        <v>400</v>
      </c>
      <c r="BB98" s="46">
        <f t="shared" si="28"/>
        <v>35000</v>
      </c>
      <c r="BC98" s="1"/>
      <c r="BD98" s="2">
        <f t="shared" si="29"/>
        <v>35000</v>
      </c>
      <c r="BE98" s="46">
        <f t="shared" si="30"/>
        <v>400</v>
      </c>
      <c r="BF98" s="1">
        <f>Results!AJ100</f>
        <v>0</v>
      </c>
      <c r="BG98" s="1">
        <f>Results!AK100</f>
        <v>0</v>
      </c>
      <c r="BH98" s="1">
        <f>Results!AL100</f>
        <v>0</v>
      </c>
      <c r="BI98" s="1">
        <f>Results!AM100</f>
        <v>0</v>
      </c>
      <c r="BJ98" s="1" t="e">
        <f>IF(OR(ISNA('Reaction Information'!$D$5), $N98 = "", $D$27 = FALSE, 'Reaction Information'!$D$5 = ""), NA(), 24.465)</f>
        <v>#N/A</v>
      </c>
      <c r="BK98" s="1" t="e">
        <f>IF(OR(ISNA('Reaction Information'!$D$9), $N98 = "", $D$27 = FALSE, 'Reaction Information'!$D$9 = ""), NA(), 24.465)</f>
        <v>#N/A</v>
      </c>
      <c r="BL98" s="8">
        <f t="shared" si="21"/>
        <v>13.423404472261751</v>
      </c>
      <c r="BM98" s="8">
        <f>IF(OR(ISBLANK(Input!$X$4),$D$27=FALSE),NA(),('Reaction Information'!$J$13/10+'Reaction Information'!$K$13*100/(Calculations!$C$12+Calculations!$M98)+('Reaction Information'!$L$13+'Reaction Information'!$M$13*10^4/(Calculations!$C$12+Calculations!$M98))/(Calculations!$O98-Calculations!$C$13) -calculateOmega(Calculations!$M98,Calculations!$N98,Calculations!$Q98,'Reaction Information'!$C$13,'Reaction Information'!$P$13*10^5,'Reaction Information'!$Q$13)*Calculations!$U98*10^-6 + (1/$S98 - 1)*calculate_domegadP(Calculations!$M98,Calculations!$N98,Calculations!$Q98,'Reaction Information'!$C$13,'Reaction Information'!$P$13*10^5,'Reaction Information'!$Q$13,$D$20,$D$19=3))*41.84)</f>
        <v>30.071576661565988</v>
      </c>
      <c r="BN98" s="8" t="e">
        <f>IF(OR(ISBLANK(Input!$AA$4),$D$27=FALSE),NA(),('Reaction Information'!$J$17/10+'Reaction Information'!$K$17*100/(Calculations!$C$12+Calculations!$M98)+('Reaction Information'!$L$17+'Reaction Information'!$M$17*10000/(Calculations!$C$12+Calculations!$M98))/(Calculations!$O98-Calculations!$C$13)-calculateOmega(Calculations!M98,Calculations!N98,Calculations!Q98,'Reaction Information'!$C$17,'Reaction Information'!$P$17*10^5,'Reaction Information'!$Q$17)*Calculations!$U98*10^-6 + (1/$S98 - 1)*calculate_domegadP(Calculations!M98,Calculations!N98,Calculations!Q98,'Reaction Information'!$C$17,'Reaction Information'!$P$17*10^5,'Reaction Information'!$Q$17,$D$20,$D$19=3))*41.84)</f>
        <v>#N/A</v>
      </c>
      <c r="BO98" s="8" t="e">
        <f>IF(OR(ISBLANK(Input!$AD$4),$D$27=FALSE),NA(),('Reaction Information'!$J$21/10+'Reaction Information'!$K$21*100/(Calculations!$C$12+Calculations!$M98)+('Reaction Information'!$L$21+'Reaction Information'!$M$21*10000/(Calculations!$C$12+Calculations!$M98))/(Calculations!$O98-Calculations!$C$13)-calculateOmega(Calculations!M98,Calculations!N98,Calculations!Q98,'Reaction Information'!$C$21,'Reaction Information'!$P$21*10^5,'Reaction Information'!$Q$21)*Calculations!$U98*10^-6 + (1/$S98 - 1)*calculate_domegadP(Calculations!M98,Calculations!N98,Calculations!Q98,'Reaction Information'!$C$21,'Reaction Information'!$P$21*10^5,'Reaction Information'!$Q$21,$D$20,$D$19=3))*41.84)</f>
        <v>#N/A</v>
      </c>
      <c r="BP98" s="8" t="e">
        <f>IF(OR(ISBLANK(Input!$AG$4),$D$27=FALSE),NA(),('Reaction Information'!$J$25/10+'Reaction Information'!$K$25*100/(Calculations!$C$12+Calculations!$M98)+('Reaction Information'!$L$25+'Reaction Information'!$M$25*10000/(Calculations!$C$12+Calculations!$M98))/(Calculations!$O98-Calculations!$C$13)-calculateOmega(Calculations!M98,Calculations!N98,Calculations!Q98,'Reaction Information'!$C$25,'Reaction Information'!$P$25*10^5,'Reaction Information'!$Q$25)*Calculations!$U98*10^-6 + (1/$S98 - 1)*calculate_domegadP(Calculations!M98,Calculations!N98,Calculations!Q98,'Reaction Information'!$C$25,'Reaction Information'!$P$25*10^5,'Reaction Information'!$Q$25,$D$20,$D$19=3))*41.84)</f>
        <v>#N/A</v>
      </c>
      <c r="BQ98" s="8" t="e">
        <f>IF(OR(ISBLANK(Input!$AJ$4),$D$27=FALSE),NA(),('Reaction Information'!$J$29/10+'Reaction Information'!$K$29*100/(Calculations!$C$12+Calculations!$M98)+('Reaction Information'!$L$29+'Reaction Information'!$M$29*10000/(Calculations!$C$12+Calculations!$M98))/(Calculations!$O98-Calculations!$C$13)-calculateOmega(Calculations!M98,Calculations!N98,Calculations!Q98,'Reaction Information'!$C$29,'Reaction Information'!$P$29*10^5,'Reaction Information'!$Q$29)*Calculations!$U98*10^-6 + (1/$S98 - 1)*calculate_domegadP(Calculations!M98,Calculations!N98,Calculations!Q98,'Reaction Information'!$C$29,'Reaction Information'!$P$29*10^5,'Reaction Information'!$Q$29,$D$20,$D$19=3))*41.84)</f>
        <v>#N/A</v>
      </c>
      <c r="BR98" s="8" t="e">
        <f>IF(OR(ISBLANK(Input!$AM$4),$D$27=FALSE),NA(),('Reaction Information'!$J$33/10+'Reaction Information'!$K$33*100/(Calculations!$C$12+Calculations!$M98)+('Reaction Information'!$L$33+'Reaction Information'!$M$33*10000/(Calculations!$C$12+Calculations!$M98))/(Calculations!$O98-Calculations!$C$13)-calculateOmega(Calculations!M98,Calculations!N98,Calculations!Q98,'Reaction Information'!$C$33,'Reaction Information'!$P$33*10^5,'Reaction Information'!$Q$33)*Calculations!$U98*10^-6 + (1/$S98 - 1)*calculate_domegadP(Calculations!M98,Calculations!N98,Calculations!Q98,'Reaction Information'!$C$33,'Reaction Information'!$P$33*10^5,'Reaction Information'!$Q$33,$D$20,$D$19=3))*41.84)</f>
        <v>#N/A</v>
      </c>
      <c r="BS98" s="1">
        <f>Results!AW100</f>
        <v>0</v>
      </c>
      <c r="BT98" s="1">
        <f>Results!AX100</f>
        <v>0</v>
      </c>
      <c r="BU98" s="1">
        <f>Results!AY100</f>
        <v>0</v>
      </c>
      <c r="BV98" s="1">
        <f>Results!AZ100</f>
        <v>0</v>
      </c>
      <c r="BW98" s="1" t="e">
        <f>IF(OR(ISNA('Reaction Information'!$D$38), $N98 = "", $D$27 = FALSE, 'Reaction Information'!$D$38 = ""), NA(), 24.465)</f>
        <v>#N/A</v>
      </c>
      <c r="BX98" s="1" t="e">
        <f>IF(OR(ISNA('Reaction Information'!$D$42), $N98 = "", $D$27 = FALSE, 'Reaction Information'!$D$42 = ""), NA(), 24.465)</f>
        <v>#N/A</v>
      </c>
      <c r="BY98" s="8" t="e">
        <f t="shared" si="22"/>
        <v>#N/A</v>
      </c>
      <c r="BZ98" s="8">
        <f>IF(OR(ISBLANK(Input!$BK$4),$D$27=FALSE),NA(),('Reaction Information'!$J$46/10+'Reaction Information'!$K$46*100/(Calculations!$C$12+Calculations!$M98)+('Reaction Information'!$L$46+'Reaction Information'!$M$46*10000/(Calculations!$C$12+Calculations!$M98))/(Calculations!$O98-Calculations!$C$13)-calculateOmega(Calculations!M98,Calculations!N98,Calculations!Q98,'Reaction Information'!$C$46,'Reaction Information'!$P$46*10^5,'Reaction Information'!$Q$46)*Calculations!$U98*10^-6 + (1/$S98 - 1)*calculate_domegadP(Calculations!M98,Calculations!N98,Calculations!Q98,'Reaction Information'!$C$46,'Reaction Information'!$P$46*10^5,'Reaction Information'!$Q$46,$D$20,$D$19=3))*41.84)</f>
        <v>0</v>
      </c>
      <c r="CA98" s="8">
        <f>IF(OR(ISBLANK(Input!$BN$4),$D$27=FALSE),NA(),('Reaction Information'!$J$50/10+'Reaction Information'!$K$50*100/(Calculations!$C$12+Calculations!$M98)+('Reaction Information'!$L$50+'Reaction Information'!$M$50*10000/(Calculations!$C$12+Calculations!$M98))/(Calculations!$O98-Calculations!$C$13)-calculateOmega(Calculations!M98,Calculations!N98,Calculations!Q98,'Reaction Information'!$C$50,'Reaction Information'!$P$50*10^5,'Reaction Information'!$Q$50)*Calculations!$U98*10^-6 + (1/$S98 - 1)*calculate_domegadP(Calculations!M98,Calculations!N98,Calculations!Q98,'Reaction Information'!$C$50,'Reaction Information'!$P$50*10^5,'Reaction Information'!$Q$50,$D$20,$D$19=3))*41.84)</f>
        <v>31.332748017828607</v>
      </c>
      <c r="CB98" s="8" t="e">
        <f>IF(OR(ISBLANK(Input!$BQ$4),$D$27=FALSE),NA(),('Reaction Information'!$J$54/10+'Reaction Information'!$K$54*100/(Calculations!$C$12+Calculations!$M98)+('Reaction Information'!$L$54+'Reaction Information'!$M$54*10000/(Calculations!$C$12+Calculations!$M98))/(Calculations!$O98-Calculations!$C$13)-calculateOmega(Calculations!M98,Calculations!N98,Calculations!Q98,'Reaction Information'!$C$54,'Reaction Information'!$P$54*10^5,'Reaction Information'!$Q$54)*Calculations!$U98*10^-6 + (1/$S98 - 1)*calculate_domegadP(Calculations!M98,Calculations!N98,Calculations!Q98,'Reaction Information'!$C$54,'Reaction Information'!$P$54*10^5,'Reaction Information'!$Q$54,$D$20,$D$19=3))*41.84)</f>
        <v>#N/A</v>
      </c>
      <c r="CC98" s="8" t="e">
        <f>IF(OR(ISBLANK(Input!$BT$4),$D$27=FALSE),NA(),('Reaction Information'!$J$58/10+'Reaction Information'!$K$58*100/(Calculations!$C$12+Calculations!$M98)+('Reaction Information'!$L$58+'Reaction Information'!$M$58*10000/(Calculations!$C$12+Calculations!$M98))/(Calculations!$O98-Calculations!$C$13)-calculateOmega(Calculations!M98,Calculations!N98,Calculations!Q98,'Reaction Information'!$C$58,'Reaction Information'!$P$58*10^5,'Reaction Information'!$Q$58)*Calculations!$U98*10^-6 + (1/$S98 - 1)*calculate_domegadP(Calculations!M98,Calculations!N98,Calculations!Q98,'Reaction Information'!$C$58,'Reaction Information'!$P$58*10^5,'Reaction Information'!$Q$58,$D$20,$D$19=3))*41.84)</f>
        <v>#N/A</v>
      </c>
      <c r="CD98" s="8" t="e">
        <f>IF(OR(ISBLANK(Input!$BW$4),$D$27=FALSE),NA(),('Reaction Information'!$J$62/10+'Reaction Information'!$K$62*100/(Calculations!$C$12+Calculations!$M98)+('Reaction Information'!$L$62+'Reaction Information'!$M$62*10000/(Calculations!$C$12+Calculations!$M98))/(Calculations!$O98-Calculations!$C$13)-calculateOmega(Calculations!M98,Calculations!N98,Calculations!Q98,'Reaction Information'!$C$62,'Reaction Information'!$P$62*10^5,'Reaction Information'!$Q$62)*Calculations!$U98*10^-6 + (1/$S98 - 1)*calculate_domegadP(Calculations!M98,Calculations!N98,Calculations!Q98,'Reaction Information'!$C$62,'Reaction Information'!$P$62*10^5,'Reaction Information'!$Q$62,$D$20,$D$19=3))*41.84)</f>
        <v>#N/A</v>
      </c>
      <c r="CE98" s="8" t="e">
        <f>IF(OR(ISBLANK(Input!$BZ$4),$D$27=FALSE),NA(),('Reaction Information'!$J$66/10+'Reaction Information'!$K$66*100/(Calculations!$C$12+Calculations!$M98)+('Reaction Information'!$L$66+'Reaction Information'!$M$66*10000/(Calculations!$C$12+Calculations!$M98))/(Calculations!$O98-Calculations!$C$13)-calculateOmega(Calculations!M98,Calculations!N98,Calculations!Q98,'Reaction Information'!$C$66,'Reaction Information'!$P$66*10^5,'Reaction Information'!$Q$66)*Calculations!$U98*10^-6 + (1/$S98 - 1)*calculate_domegadP(Calculations!M98,Calculations!N98,Calculations!Q98,'Reaction Information'!$C$66,'Reaction Information'!$P$66*10^5,'Reaction Information'!$Q$66,$D$20,$D$19=3))*41.84)</f>
        <v>#N/A</v>
      </c>
      <c r="CF98" s="31">
        <f>(BS98*Input!$AO$4+BT98*Input!$AR$4+BU98*Input!$AU$4+BV98*Input!$AX$4+IF(ISNA(BW98),0,BW98*Input!$BA$4)+IF(ISNA(BX98),0,BX98*Input!$BD$4)+IF(ISNA(BY98),0,BY98*Input!$BG$4)+IF(ISNA(BZ98),0,BZ98*Input!$BJ$4)+IF(ISNA(CA98),0,CA98*Input!$BM$4)+IF(ISNA(CB98),0,CB98*Input!$BP$4)+IF(ISNA(CC98),0,CC98*Input!$BS$4)+IF(ISNA(CD98),0,CD98*Input!$BV$4)+IF(ISNA(CE98),0,CE98*Input!$BY$4))-(BF98*Input!$B$4+BG98*Input!$E$4+BH98*Input!$H$4+BI98*Input!$K$4+IF(ISNA(BJ98),0,BJ98*Input!$N$4)+IF(ISNA(BK98),0,BK98*Input!$Q$4)+IF(ISNA(BL98),0,BL98*Input!$T$4)+IF(ISNA(BM98),0,BM98*Input!$W$4)+IF(ISNA(BN98),0,BN98*Input!$Z$4)+IF(ISNA(BO98),0,BO98*Input!$AC$4)+IF(ISNA(BP98),0,BP98*Input!$AF$4)+IF(ISNA(BQ98),0,BQ98*Input!$AI$4)+IF(ISNA(BR98),0,BR98*Input!$AL$4))</f>
        <v>-12.162233115999129</v>
      </c>
      <c r="CG98" s="1">
        <f t="shared" si="31"/>
        <v>400</v>
      </c>
      <c r="CH98" s="46">
        <f t="shared" si="32"/>
        <v>35000</v>
      </c>
      <c r="CI98" s="1"/>
    </row>
    <row r="99" spans="1:87" x14ac:dyDescent="0.2">
      <c r="A99" s="1"/>
      <c r="B99" s="1"/>
      <c r="C99" s="1"/>
      <c r="D99" s="1"/>
      <c r="E99" s="1"/>
      <c r="F99" s="2">
        <v>94</v>
      </c>
      <c r="G99" s="1" t="str">
        <f>IF(ISBLANK(Input!CB99), "", Input!CB99*1000)</f>
        <v/>
      </c>
      <c r="H99" s="1" t="str">
        <f>IF(ISBLANK(Input!CC99), "", Input!CC99)</f>
        <v/>
      </c>
      <c r="I99" s="1">
        <f>IF(Input!$CF$5 + Input!$CF$6*(FLOOR((Calculations!$F99-1)/(FLOOR((Input!$CF$12-Input!$CF$10)/Input!$CF$11,1)+1),1)) &gt; Input!$CF$7, "", (Input!$CF$5 + Input!$CF$6*(FLOOR((Calculations!$F99-1)/(FLOOR((Input!$CF$12-Input!$CF$10)/Input!$CF$11,1)+1),1)))*1000)</f>
        <v>35000</v>
      </c>
      <c r="J99" s="1">
        <f>IF(Calculations!I99 = "", "", Input!$CF$10 + Input!$CF$11*(Calculations!$F99-1) - (FLOOR((Input!$CF$12-Input!$CF$10)/Input!$CF$11,1)+1)*Input!$CF$11*FLOOR((Calculations!$F99-1)/(FLOOR((Input!$CF$12-Input!$CF$10)/Input!$CF$11,1)+1),1))</f>
        <v>450</v>
      </c>
      <c r="K99" s="8" t="str">
        <f t="shared" si="33"/>
        <v/>
      </c>
      <c r="L99" s="117" t="str">
        <f>IF(OR(Input!$CJ$5 + Input!$CJ$6*(Calculations!F99-1) &gt; Input!$CJ$7, Input!$CJ$5 + Input!$CJ$6*(Calculations!F99-1) &gt; 350), "", Input!$CJ$5 + Input!$CJ$6*(Calculations!F99-1))</f>
        <v/>
      </c>
      <c r="M99" s="1">
        <f t="shared" si="23"/>
        <v>35000</v>
      </c>
      <c r="N99" s="1">
        <f t="shared" si="24"/>
        <v>450</v>
      </c>
      <c r="O99" s="1">
        <f t="shared" si="19"/>
        <v>723.15</v>
      </c>
      <c r="P99" s="1" t="e">
        <f>IF(OR($D$20=3,AND($D$21=TRUE,M99&lt;1000)),INDEX('Water Density'!$C$6:$CX$120,MATCH(Calculations!N99,'Water Density'!$B$6:$B$120),MATCH(Calculations!M99/1000,'Water Density'!$C$5:$CX$5)),NA())</f>
        <v>#N/A</v>
      </c>
      <c r="Q99" s="182">
        <f>IF(OR($D$20=3,AND($D$21=TRUE,M99&lt;1000)), IF(P99&lt;&gt;0,P99,NA()), calculateDensity(M99,N99,$D$20,0.01,$D$19 = 3))</f>
        <v>1.326643451627493</v>
      </c>
      <c r="R99" s="1" t="e">
        <f>IF($D$22=5,INDEX('Dielectric Constant'!$C$6:$CX$120,MATCH(Calculations!N99,'Dielectric Constant'!$B$6:$B$120),MATCH(Calculations!M99/1000,'Dielectric Constant'!$C$5:$CX$5)),NA())</f>
        <v>#N/A</v>
      </c>
      <c r="S99" s="58">
        <f>IF($D$22=5, IF(R99&lt;&gt;0,R99,NA()), IF(AND($D$23,M99&lt;=5000,$D$19 &lt;&gt; 3),calculateEpsilon(Q99,N99,1,FALSE),calculateEpsilon(Q99,N99,$D$22,$D$19 = 3)))</f>
        <v>39.464900388434508</v>
      </c>
      <c r="T99" s="1" t="e">
        <f>IF($D$24=3,INDEX('Water Free Energy'!$C$6:$CX$120,MATCH(Calculations!N99,'Water Free Energy'!$B$6:$B$120),MATCH(Calculations!M99/1000,'Water Free Energy'!$C$5:$CX$5)),NA())</f>
        <v>#N/A</v>
      </c>
      <c r="U99" s="179">
        <f>IF($D$27,calculateQ(M99,N99,Q99,$D$20,$D$22,$D$19=3)*10^6,NA())</f>
        <v>0.15831547118332803</v>
      </c>
      <c r="V99"/>
      <c r="W99" s="2">
        <f t="shared" si="25"/>
        <v>35000</v>
      </c>
      <c r="X99" s="1">
        <f t="shared" si="26"/>
        <v>450</v>
      </c>
      <c r="Y99" s="1">
        <f>Results!F101</f>
        <v>0</v>
      </c>
      <c r="Z99" s="1">
        <f>Results!G101</f>
        <v>0</v>
      </c>
      <c r="AA99" s="1">
        <f>Results!H101</f>
        <v>0</v>
      </c>
      <c r="AB99" s="1">
        <f>Results!I101</f>
        <v>0</v>
      </c>
      <c r="AC99" s="1" t="e">
        <f>IF(ISBLANK(Input!$O$4),NA(),'Reaction Information'!$E$5-'Reaction Information'!$G$5*(Calculations!$O99-Calculations!$C$8)+'Reaction Information'!$I$5*(Calculations!$O99-Calculations!$C$8-Calculations!$O99*LN(Calculations!$O99/Calculations!$C$8))+'Reaction Information'!$J$5*0.001/2*(2*Calculations!$O99*Calculations!$C$8-Calculations!$O99^2-Calculations!$C$8^2) + 'Reaction Information'!$K$5*100000*(Calculations!$O99^2 + Calculations!$C$8^2 - 2*Calculations!$O99*Calculations!$C$8)/(2*Calculations!$O99*Calculations!$C$8^2))</f>
        <v>#N/A</v>
      </c>
      <c r="AD99" s="8" t="e">
        <f>IF(ISBLANK(Input!$R$4),NA(),'Reaction Information'!$E$9-'Reaction Information'!$G$9*(Calculations!$O99-Calculations!$C$8)+'Reaction Information'!$I$9*(Calculations!$O99-Calculations!$C$8-Calculations!$O99*LN(Calculations!$O99/Calculations!$C$8))+'Reaction Information'!$J$9*0.001/2*(2*Calculations!$O99*Calculations!$C$8-Calculations!$O99^2-Calculations!$C$8^2) + 'Reaction Information'!$K$9*100000*(Calculations!$O99^2 + Calculations!$C$8^2 - 2*Calculations!$O99*Calculations!$C$8)/(2*Calculations!$O99*Calculations!$C$8^2))</f>
        <v>#N/A</v>
      </c>
      <c r="AE99" s="8">
        <f>IF(AE$5="H2O",IF($D$24=3,IF(T99=0,NA(),T99),calculateGibbsOfWater(M99,N99,$D$24,$D$20,$D$19=3)),NA())</f>
        <v>-53706.590139753302</v>
      </c>
      <c r="AF99" s="8">
        <f>IF(ISBLANK(Input!$X$4),NA(),'Reaction Information'!$E$13-'Reaction Information'!$G$13*(Calculations!O99-Calculations!$C$8)-'Reaction Information'!$N$13*(Calculations!O99*LN(Calculations!O99/Calculations!$C$8)-Calculations!O99+Calculations!$C$8)-'Reaction Information'!$O$13*10^4*(((1/(Calculations!O99-Calculations!$C$13))-(1/(Calculations!$C$8-Calculations!$C$13)))*((Calculations!$C$13-Calculations!O99)/(Calculations!$C$13))-(Calculations!O99/(Calculations!$C$13*Calculations!$C$13))*LN((Calculations!$C$8*(Calculations!O99-Calculations!$C$13))/(Calculations!O99*(Calculations!$C$8-Calculations!$C$13))))+'Reaction Information'!$J$13*10^-1*(Calculations!M99-Calculations!$C$9)+'Reaction Information'!$K$13*10^2*LN((Calculations!$C$12+Calculations!M99)/(Calculations!$C$12+Calculations!$C$9))+(1/(Calculations!O99-Calculations!$C$13))*('Reaction Information'!$L$13*(Calculations!M99-Calculations!$C$9)+'Reaction Information'!$M$13*10^4*LN((Calculations!$C$12+Calculations!M99)/(Calculations!$C$12+Calculations!$C$9)))+calculateOmega(Calculations!M99,Calculations!N99,Calculations!Q99,'Reaction Information'!$C$13,'Reaction Information'!$P$13*10^5,'Reaction Information'!$Q$13)*((1/Calculations!S99)-1)-'Reaction Information'!$P$13*10^5*((1/Calculations!$C$10)-1)+'Reaction Information'!$P$13*10^5*Calculations!$C$14*(Calculations!O99-Calculations!$C$8))</f>
        <v>-83331.622972304249</v>
      </c>
      <c r="AG99" s="8" t="e">
        <f>IF(ISBLANK(Input!$AA$4),NA(),'Reaction Information'!$E$17-'Reaction Information'!$G$17*(Calculations!$O99-Calculations!$C$8)-'Reaction Information'!$N$17*(Calculations!$O99*LN(Calculations!$O99/Calculations!$C$8)-Calculations!$O99+Calculations!$C$8)-'Reaction Information'!$O$17*10^4*(((1/(Calculations!$O99-Calculations!$C$13))-(1/(Calculations!$C$8-Calculations!$C$13)))*((Calculations!$C$13-Calculations!$O99)/(Calculations!$C$13))-(Calculations!$O99/(Calculations!$C$13*Calculations!$C$13))*LN((Calculations!$C$8*(Calculations!$O99-Calculations!$C$13))/(Calculations!$O99*(Calculations!$C$8-Calculations!$C$13))))+'Reaction Information'!$J$17*10^-1*(Calculations!$M99-Calculations!$C$9)+'Reaction Information'!$K$17*10^2*LN((Calculations!$C$12+Calculations!$M99)/(Calculations!$C$12+Calculations!$C$9))+(1/(Calculations!$O99-Calculations!$C$13))*('Reaction Information'!$L$17*(Calculations!$M99-Calculations!$C$9)+'Reaction Information'!$M$17*10^4*LN((Calculations!$C$12+Calculations!$M99)/(Calculations!$C$12+Calculations!$C$9)))+calculateOmega(Calculations!M99,Calculations!N99,Calculations!Q99,'Reaction Information'!$C$17,'Reaction Information'!$P$17*10^5,'Reaction Information'!$Q$17)*((1/Calculations!$S99)-1)-'Reaction Information'!$P$17*10^5*((1/Calculations!$C$10)-1)+'Reaction Information'!$P$17*10^5*Calculations!$C$14*(Calculations!$O99-Calculations!$C$8))</f>
        <v>#N/A</v>
      </c>
      <c r="AH99" s="8" t="e">
        <f>IF(ISBLANK(Input!$AD$4),NA(),'Reaction Information'!$E$21-'Reaction Information'!$G$21*(Calculations!$O99-Calculations!$C$8)-'Reaction Information'!$N$21*(Calculations!$O99*LN(Calculations!$O99/Calculations!$C$8)-Calculations!$O99+Calculations!$C$8)-'Reaction Information'!$O$21*10^4*(((1/(Calculations!$O99-Calculations!$C$13))-(1/(Calculations!$C$8-Calculations!$C$13)))*((Calculations!$C$13-Calculations!$O99)/(Calculations!$C$13))-(Calculations!$O99/(Calculations!$C$13*Calculations!$C$13))*LN((Calculations!$C$8*(Calculations!$O99-Calculations!$C$13))/(Calculations!$O99*(Calculations!$C$8-Calculations!$C$13))))+'Reaction Information'!$J$21*10^-1*(Calculations!$M99-Calculations!$C$9)+'Reaction Information'!$K$21*10^2*LN((Calculations!$C$12+Calculations!$M99)/(Calculations!$C$12+Calculations!$C$9))+(1/(Calculations!$O99-Calculations!$C$13))*('Reaction Information'!$L$21*(Calculations!$M99-Calculations!$C$9)+'Reaction Information'!$M$21*10^4*LN((Calculations!$C$12+Calculations!$M99)/(Calculations!$C$12+Calculations!$C$9)))+calculateOmega(Calculations!M99,Calculations!N99,Calculations!Q99,'Reaction Information'!$C$21,'Reaction Information'!$P$21*10^5,'Reaction Information'!$Q$21)*((1/Calculations!$S99)-1)-'Reaction Information'!$P$21*10^5*((1/Calculations!$C$10)-1)+'Reaction Information'!$P$21*10^5*Calculations!$C$14*(Calculations!$O99-Calculations!$C$8))</f>
        <v>#N/A</v>
      </c>
      <c r="AI99" s="8" t="e">
        <f>IF(ISBLANK(Input!$AG$4),NA(),'Reaction Information'!$E$25-'Reaction Information'!$G$25*(Calculations!$O99-Calculations!$C$8)-'Reaction Information'!$N$25*(Calculations!$O99*LN(Calculations!$O99/Calculations!$C$8)-Calculations!$O99+Calculations!$C$8)-'Reaction Information'!$O$25*10^4*(((1/(Calculations!$O99-Calculations!$C$13))-(1/(Calculations!$C$8-Calculations!$C$13)))*((Calculations!$C$13-Calculations!$O99)/(Calculations!$C$13))-(Calculations!$O99/(Calculations!$C$13*Calculations!$C$13))*LN((Calculations!$C$8*(Calculations!$O99-Calculations!$C$13))/(Calculations!$O99*(Calculations!$C$8-Calculations!$C$13))))+'Reaction Information'!$J$25*10^-1*(Calculations!$M99-Calculations!$C$9)+'Reaction Information'!$K$25*10^2*LN((Calculations!$C$12+Calculations!$M99)/(Calculations!$C$12+Calculations!$C$9))+(1/(Calculations!$O99-Calculations!$C$13))*('Reaction Information'!$L$25*(Calculations!$M99-Calculations!$C$9)+'Reaction Information'!$M$25*10^4*LN((Calculations!$C$12+Calculations!$M99)/(Calculations!$C$12+Calculations!$C$9)))+calculateOmega(Calculations!M99,Calculations!N99,Calculations!Q99,'Reaction Information'!$C$25,'Reaction Information'!$P$25*10^5,'Reaction Information'!$Q$25)*((1/Calculations!$S99)-1)-'Reaction Information'!$P$25*10^5*((1/Calculations!$C$10)-1)+'Reaction Information'!$P$25*10^5*Calculations!$C$14*(Calculations!$O99-Calculations!$C$8))</f>
        <v>#N/A</v>
      </c>
      <c r="AJ99" s="8" t="e">
        <f>IF(ISBLANK(Input!$AJ$4),NA(),'Reaction Information'!$E$29-'Reaction Information'!$G$29*(Calculations!$O99-Calculations!$C$8)-'Reaction Information'!$N$29*(Calculations!$O99*LN(Calculations!$O99/Calculations!$C$8)-Calculations!$O99+Calculations!$C$8)-'Reaction Information'!$O$29*10^4*(((1/(Calculations!$O99-Calculations!$C$13))-(1/(Calculations!$C$8-Calculations!$C$13)))*((Calculations!$C$13-Calculations!$O99)/(Calculations!$C$13))-(Calculations!$O99/(Calculations!$C$13*Calculations!$C$13))*LN((Calculations!$C$8*(Calculations!$O99-Calculations!$C$13))/(Calculations!$O99*(Calculations!$C$8-Calculations!$C$13))))+'Reaction Information'!$J$29*10^-1*(Calculations!$M99-Calculations!$C$9)+'Reaction Information'!$K$29*10^2*LN((Calculations!$C$12+Calculations!$M99)/(Calculations!$C$12+Calculations!$C$9))+(1/(Calculations!$O99-Calculations!$C$13))*('Reaction Information'!$L$29*(Calculations!$M99-Calculations!$C$9)+'Reaction Information'!$M$29*10^4*LN((Calculations!$C$12+Calculations!$M99)/(Calculations!$C$12+Calculations!$C$9)))+calculateOmega(Calculations!M99,Calculations!N99,Calculations!Q99,'Reaction Information'!$C$29,'Reaction Information'!$P$29*10^5,'Reaction Information'!$Q$29)*((1/Calculations!$S99)-1)-'Reaction Information'!$P$29*10^5*((1/Calculations!$C$10)-1)+'Reaction Information'!$P$29*10^5*Calculations!$C$14*(Calculations!$O99-Calculations!$C$8))</f>
        <v>#N/A</v>
      </c>
      <c r="AK99" s="8" t="e">
        <f>IF(ISBLANK(Input!$AM$4),NA(),'Reaction Information'!$E$33-'Reaction Information'!$G$33*(Calculations!$O99-Calculations!$C$8)-'Reaction Information'!$N$33*(Calculations!$O99*LN(Calculations!$O99/Calculations!$C$8)-Calculations!$O99+Calculations!$C$8)-'Reaction Information'!$O$33*10^4*(((1/(Calculations!$O99-Calculations!$C$13))-(1/(Calculations!$C$8-Calculations!$C$13)))*((Calculations!$C$13-Calculations!$O99)/(Calculations!$C$13))-(Calculations!$O99/(Calculations!$C$13*Calculations!$C$13))*LN((Calculations!$C$8*(Calculations!$O99-Calculations!$C$13))/(Calculations!$O99*(Calculations!$C$8-Calculations!$C$13))))+'Reaction Information'!$J$33*10^-1*(Calculations!$M99-Calculations!$C$9)+'Reaction Information'!$K$33*10^2*LN((Calculations!$C$12+Calculations!$M99)/(Calculations!$C$12+Calculations!$C$9))+(1/(Calculations!$O99-Calculations!$C$13))*('Reaction Information'!$L$33*(Calculations!$M99-Calculations!$C$9)+'Reaction Information'!$M$33*10^4*LN((Calculations!$C$12+Calculations!$M99)/(Calculations!$C$12+Calculations!$C$9)))+calculateOmega(Calculations!M99,Calculations!N99,Calculations!Q99,'Reaction Information'!$C$33,'Reaction Information'!$P$33*10^5,'Reaction Information'!$Q$33)*((1/Calculations!$S99)-1)-'Reaction Information'!$P$33*10^5*((1/Calculations!$C$10)-1)+'Reaction Information'!$P$33*10^5*Calculations!$C$14*(Calculations!$O99-Calculations!$C$8))</f>
        <v>#N/A</v>
      </c>
      <c r="AL99" s="1">
        <f>Results!S101</f>
        <v>0</v>
      </c>
      <c r="AM99" s="1">
        <f>Results!T101</f>
        <v>0</v>
      </c>
      <c r="AN99" s="1">
        <f>Results!U101</f>
        <v>0</v>
      </c>
      <c r="AO99" s="1">
        <f>Results!V101</f>
        <v>0</v>
      </c>
      <c r="AP99" s="8" t="e">
        <f>IF(ISBLANK(Input!$BB$4),NA(),'Reaction Information'!$E$38-'Reaction Information'!$G$38*(Calculations!$O99-Calculations!$C$8)+'Reaction Information'!$I$38*(Calculations!$O99-Calculations!$C$8-Calculations!$O99*LN(Calculations!$O99/Calculations!$C$8))+'Reaction Information'!$J$38*0.001/2*(2*Calculations!$O99*Calculations!$C$8-Calculations!$O99^2-Calculations!$C$8^2) + 'Reaction Information'!$K$38*100000*(Calculations!$O99^2 + Calculations!$C$8^2 - 2*Calculations!$O99*Calculations!$C$8)/(2*Calculations!$O99*Calculations!$C$8^2))</f>
        <v>#N/A</v>
      </c>
      <c r="AQ99" s="8" t="e">
        <f>IF(ISBLANK(Input!$BE$4),NA(),'Reaction Information'!$E$42-'Reaction Information'!$G$42*(Calculations!$O99-Calculations!$C$8)+'Reaction Information'!$I$42*(Calculations!$O99-Calculations!$C$8-Calculations!$O99*LN(Calculations!$O99/Calculations!$C$8))+'Reaction Information'!$J$42*0.001/2*(2*Calculations!$O99*Calculations!$C$8-Calculations!$O99^2-Calculations!$C$8^2) + 'Reaction Information'!$K$42*100000*(Calculations!$O99^2 + Calculations!$C$8^2 - 2*Calculations!$O99*Calculations!$C$8)/(2*Calculations!$O99*Calculations!$C$8^2))</f>
        <v>#N/A</v>
      </c>
      <c r="AR99" s="8" t="e">
        <f>IF(AR$5="H2O", IF($D$24=3,IF(T99=0,NA(),T99),calculateGibbsOfWater(M99,N99,$D$24,$D$20,$D$19=3)),NA())</f>
        <v>#N/A</v>
      </c>
      <c r="AS99" s="8">
        <f>IF(ISBLANK(Input!$BK$4),NA(),'Reaction Information'!$E$46-'Reaction Information'!$G$46*(Calculations!O99-Calculations!$C$8)-'Reaction Information'!$N$46*(Calculations!O99*LN(Calculations!O99/Calculations!$C$8)-Calculations!O99+Calculations!$C$8)-'Reaction Information'!$O$46*10^4*(((1/(Calculations!O99-Calculations!$C$13))-(1/(Calculations!$C$8-Calculations!$C$13)))*((Calculations!$C$13-Calculations!O99)/(Calculations!$C$13))-(Calculations!O99/(Calculations!$C$13*Calculations!$C$13))*LN((Calculations!$C$8*(Calculations!O99-Calculations!$C$13))/(Calculations!O99*(Calculations!$C$8-Calculations!$C$13))))+'Reaction Information'!$J$46*10^-1*(Calculations!$M99-Calculations!$C$9)+'Reaction Information'!$K$46*10^2*LN((Calculations!$C$12+Calculations!$M99)/(Calculations!$C$12+Calculations!$C$9))+(1/(Calculations!O99-Calculations!$C$13))*('Reaction Information'!$L$46*(Calculations!$M99-Calculations!$C$9)+'Reaction Information'!$M$46*10^4*LN((Calculations!$C$12+Calculations!$M99)/(Calculations!$C$12+Calculations!$C$9)))+calculateOmega(Calculations!M99,Calculations!N99,Calculations!Q99,'Reaction Information'!$C$46,'Reaction Information'!$P$46*10^5,'Reaction Information'!$Q$46)*((1/Calculations!S99)-1)-'Reaction Information'!$P$46*10^5*((1/Calculations!$C$10)-1)+'Reaction Information'!$P$46*10^5*Calculations!$C$14*(Calculations!O99-Calculations!$C$8))</f>
        <v>0</v>
      </c>
      <c r="AT99" s="8">
        <f>IF(ISBLANK(Input!$BN$4),NA(),'Reaction Information'!$E$50-'Reaction Information'!$G$50*(Calculations!O99-Calculations!$C$8)-'Reaction Information'!$N$50*(Calculations!O99*LN(Calculations!O99/Calculations!$C$8)-Calculations!O99+Calculations!$C$8)-'Reaction Information'!$O$50*10^4*(((1/(Calculations!O99-Calculations!$C$13))-(1/(Calculations!$C$8-Calculations!$C$13)))*((Calculations!$C$13-Calculations!O99)/(Calculations!$C$13))-(Calculations!O99/(Calculations!$C$13*Calculations!$C$13))*LN((Calculations!$C$8*(Calculations!O99-Calculations!$C$13))/(Calculations!O99*(Calculations!$C$8-Calculations!$C$13))))+'Reaction Information'!$J$50*10^-1*(Calculations!$M99-Calculations!$C$9)+'Reaction Information'!$K$50*10^2*LN((Calculations!$C$12+Calculations!$M99)/(Calculations!$C$12+Calculations!$C$9))+(1/(Calculations!O99-Calculations!$C$13))*('Reaction Information'!$L$50*(Calculations!$M99-Calculations!$C$9)+'Reaction Information'!$M$50*10^4*LN((Calculations!$C$12+Calculations!$M99)/(Calculations!$C$12+Calculations!$C$9)))+calculateOmega(Calculations!M99,Calculations!N99,Calculations!Q99,'Reaction Information'!$C$50,'Reaction Information'!$P$50*10^5,'Reaction Information'!$Q$50)*((1/Calculations!S99)-1)-'Reaction Information'!$P$50*10^5*((1/Calculations!$C$10)-1)+'Reaction Information'!$P$50*10^5*Calculations!$C$14*(Calculations!O99-Calculations!$C$8))</f>
        <v>-126834.10042566311</v>
      </c>
      <c r="AU99" s="8" t="e">
        <f>IF(ISBLANK(Input!$BQ$4),NA(),'Reaction Information'!$E$54-'Reaction Information'!$G$54*(Calculations!$O99-Calculations!$C$8)-'Reaction Information'!$N$54*(Calculations!$O99*LN(Calculations!$O99/Calculations!$C$8)-Calculations!$O99+Calculations!$C$8)-'Reaction Information'!$O$54*10^4*(((1/(Calculations!$O99-Calculations!$C$13))-(1/(Calculations!$C$8-Calculations!$C$13)))*((Calculations!$C$13-Calculations!$O99)/(Calculations!$C$13))-(Calculations!$O99/(Calculations!$C$13*Calculations!$C$13))*LN((Calculations!$C$8*(Calculations!$O99-Calculations!$C$13))/(Calculations!$O99*(Calculations!$C$8-Calculations!$C$13))))+'Reaction Information'!$J$54*10^-1*(Calculations!$M99-Calculations!$C$9)+'Reaction Information'!$K$54*10^2*LN((Calculations!$C$12+Calculations!$M99)/(Calculations!$C$12+Calculations!$C$9))+(1/(Calculations!$O99-Calculations!$C$13))*('Reaction Information'!$L$54*(Calculations!$M99-Calculations!$C$9)+'Reaction Information'!$M$54*10^4*LN((Calculations!$C$12+Calculations!$M99)/(Calculations!$C$12+Calculations!$C$9)))+calculateOmega(Calculations!M99,Calculations!N99,Calculations!Q99,'Reaction Information'!$C$54,'Reaction Information'!$P$54*10^5,'Reaction Information'!$Q$54)*((1/Calculations!$S99)-1)-'Reaction Information'!$P$54*10^5*((1/Calculations!$C$10)-1)+'Reaction Information'!$P$54*10^5*Calculations!$C$14*(Calculations!$O99-Calculations!$C$8))</f>
        <v>#N/A</v>
      </c>
      <c r="AV99" s="8" t="e">
        <f>IF(ISBLANK(Input!$BT$4),NA(),'Reaction Information'!$E$58-'Reaction Information'!$G$58*(Calculations!$O99-Calculations!$C$8)-'Reaction Information'!$N$58*(Calculations!$O99*LN(Calculations!$O99/Calculations!$C$8)-Calculations!$O99+Calculations!$C$8)-'Reaction Information'!$O$58*10^4*(((1/(Calculations!$O99-Calculations!$C$13))-(1/(Calculations!$C$8-Calculations!$C$13)))*((Calculations!$C$13-Calculations!$O99)/(Calculations!$C$13))-(Calculations!$O99/(Calculations!$C$13*Calculations!$C$13))*LN((Calculations!$C$8*(Calculations!$O99-Calculations!$C$13))/(Calculations!$O99*(Calculations!$C$8-Calculations!$C$13))))+'Reaction Information'!$J$58*10^-1*(Calculations!$M99-Calculations!$C$9)+'Reaction Information'!$K$58*10^2*LN((Calculations!$C$12+Calculations!$M99)/(Calculations!$C$12+Calculations!$C$9))+(1/(Calculations!$O99-Calculations!$C$13))*('Reaction Information'!$L$58*(Calculations!$M99-Calculations!$C$9)+'Reaction Information'!$M$58*10^4*LN((Calculations!$C$12+Calculations!$M99)/(Calculations!$C$12+Calculations!$C$9)))+calculateOmega(Calculations!M99,Calculations!N99,Calculations!Q99,'Reaction Information'!$C$58,'Reaction Information'!$P$58*10^5,'Reaction Information'!$Q$58)*((1/Calculations!$S99)-1)-'Reaction Information'!$P$58*10^5*((1/Calculations!$C$10)-1)+'Reaction Information'!$P$58*10^5*Calculations!$C$14*(Calculations!$O99-Calculations!$C$8))</f>
        <v>#N/A</v>
      </c>
      <c r="AW99" s="8" t="e">
        <f>IF(ISBLANK(Input!$BW$4),NA(),'Reaction Information'!$E$62-'Reaction Information'!$G$62*(Calculations!$O99-Calculations!$C$8)-'Reaction Information'!$N$62*(Calculations!$O99*LN(Calculations!$O99/Calculations!$C$8)-Calculations!$O99+Calculations!$C$8)-'Reaction Information'!$O$62*10^4*(((1/(Calculations!$O99-Calculations!$C$13))-(1/(Calculations!$C$8-Calculations!$C$13)))*((Calculations!$C$13-Calculations!$O99)/(Calculations!$C$13))-(Calculations!$O99/(Calculations!$C$13*Calculations!$C$13))*LN((Calculations!$C$8*(Calculations!$O99-Calculations!$C$13))/(Calculations!$O99*(Calculations!$C$8-Calculations!$C$13))))+'Reaction Information'!$J$62*10^-1*(Calculations!$M99-Calculations!$C$9)+'Reaction Information'!$K$62*10^2*LN((Calculations!$C$12+Calculations!$M99)/(Calculations!$C$12+Calculations!$C$9))+(1/(Calculations!$O99-Calculations!$C$13))*('Reaction Information'!$L$62*(Calculations!$M99-Calculations!$C$9)+'Reaction Information'!$M$62*10^4*LN((Calculations!$C$12+Calculations!$M99)/(Calculations!$C$12+Calculations!$C$9)))+calculateOmega(Calculations!M99,Calculations!N99,Calculations!Q99,'Reaction Information'!$C$62,'Reaction Information'!$P$62*10^5,'Reaction Information'!$Q$62)*((1/Calculations!$S99)-1)-'Reaction Information'!$P$62*10^5*((1/Calculations!$C$10)-1)+'Reaction Information'!$P$62*10^5*Calculations!$C$14*(Calculations!$O99-Calculations!$C$8))</f>
        <v>#N/A</v>
      </c>
      <c r="AX99" s="8" t="e">
        <f>IF(ISBLANK(Input!$BZ$4),NA(),'Reaction Information'!$E$66-'Reaction Information'!$G$66*(Calculations!$O99-Calculations!$C$8)-'Reaction Information'!$N$66*(Calculations!$O99*LN(Calculations!$O99/Calculations!$C$8)-Calculations!$O99+Calculations!$C$8)-'Reaction Information'!$O$66*10^4*(((1/(Calculations!$O99-Calculations!$C$13))-(1/(Calculations!$C$8-Calculations!$C$13)))*((Calculations!$C$13-Calculations!$O99)/(Calculations!$C$13))-(Calculations!$O99/(Calculations!$C$13*Calculations!$C$13))*LN((Calculations!$C$8*(Calculations!$O99-Calculations!$C$13))/(Calculations!$O99*(Calculations!$C$8-Calculations!$C$13))))+'Reaction Information'!$J$66*10^-1*(Calculations!$M99-Calculations!$C$9)+'Reaction Information'!$K$66*10^2*LN((Calculations!$C$12+Calculations!$M99)/(Calculations!$C$12+Calculations!$C$9))+(1/(Calculations!$O99-Calculations!$C$13))*('Reaction Information'!$L$66*(Calculations!$M99-Calculations!$C$9)+'Reaction Information'!$M$66*10^4*LN((Calculations!$C$12+Calculations!$M99)/(Calculations!$C$12+Calculations!$C$9)))+calculateOmega(Calculations!M99,Calculations!N99,Calculations!Q99,'Reaction Information'!$C$66,'Reaction Information'!$P$66*10^5,'Reaction Information'!$Q$66)*((1/Calculations!$S99)-1)-'Reaction Information'!$P$66*10^5*((1/Calculations!$C$10)-1)+'Reaction Information'!$P$66*10^5*Calculations!$C$14*(Calculations!$O99-Calculations!$C$8))</f>
        <v>#N/A</v>
      </c>
      <c r="AY99" s="31">
        <f>(AL99*Input!$AO$4+AM99*Input!$AR$4+AN99*Input!$AU$4+AO99*Input!$AX$4+IF(ISNA(AP99),0,AP99*Input!$BA$4)+IF(ISNA(AQ99),0,AQ99*Input!$BD$4)+IF(ISNA(AR99),0,AR99*Input!$BG$4)+IF(ISNA(AS99),0,AS99*Input!$BJ$4)+IF(ISNA(AT99),0,AT99*Input!$BM$4)+IF(ISNA(AU99),0,AU99*Input!$BP$4)+IF(ISNA(AV99),0,AV99*Input!$BS$4)+IF(ISNA(AW99),0,AW99*Input!$BV$4)+IF(ISNA(AX99),0,AX99*Input!$BY$4))-(Y99*Input!$B$4+Z99*Input!$E$4+AA99*Input!$H$4+AB99*Input!$K$4+IF(ISNA(AC99),0,AC99*Input!$N$4)+IF(ISNA(AD99),0,AD99*Input!$Q$4)+IF(ISNA(AE99),0,AE99*Input!$T$4)+IF(ISNA(AF99),0,AF99*Input!$W$4)+IF(ISNA(AG99),0,AG99*Input!$Z$4)+IF(ISNA(AH99),0,AH99*Input!$AC$4)+IF(ISNA(AI99),0,AI99*Input!$AF$4)+IF(ISNA(AJ99),0,AJ99*Input!$AI$4)+IF(ISNA(AK99),0,AK99*Input!$AL$4))</f>
        <v>10204.112686394423</v>
      </c>
      <c r="AZ99" s="42">
        <f t="shared" si="20"/>
        <v>-3.0858778347317632</v>
      </c>
      <c r="BA99" s="1">
        <f t="shared" si="27"/>
        <v>450</v>
      </c>
      <c r="BB99" s="46">
        <f t="shared" si="28"/>
        <v>35000</v>
      </c>
      <c r="BC99" s="1"/>
      <c r="BD99" s="2">
        <f t="shared" si="29"/>
        <v>35000</v>
      </c>
      <c r="BE99" s="46">
        <f t="shared" si="30"/>
        <v>450</v>
      </c>
      <c r="BF99" s="1">
        <f>Results!AJ101</f>
        <v>0</v>
      </c>
      <c r="BG99" s="1">
        <f>Results!AK101</f>
        <v>0</v>
      </c>
      <c r="BH99" s="1">
        <f>Results!AL101</f>
        <v>0</v>
      </c>
      <c r="BI99" s="1">
        <f>Results!AM101</f>
        <v>0</v>
      </c>
      <c r="BJ99" s="1" t="e">
        <f>IF(OR(ISNA('Reaction Information'!$D$5), $N99 = "", $D$27 = FALSE, 'Reaction Information'!$D$5 = ""), NA(), 24.465)</f>
        <v>#N/A</v>
      </c>
      <c r="BK99" s="1" t="e">
        <f>IF(OR(ISNA('Reaction Information'!$D$9), $N99 = "", $D$27 = FALSE, 'Reaction Information'!$D$9 = ""), NA(), 24.465)</f>
        <v>#N/A</v>
      </c>
      <c r="BL99" s="8">
        <f t="shared" si="21"/>
        <v>13.579594410162962</v>
      </c>
      <c r="BM99" s="8">
        <f>IF(OR(ISBLANK(Input!$X$4),$D$27=FALSE),NA(),('Reaction Information'!$J$13/10+'Reaction Information'!$K$13*100/(Calculations!$C$12+Calculations!$M99)+('Reaction Information'!$L$13+'Reaction Information'!$M$13*10^4/(Calculations!$C$12+Calculations!$M99))/(Calculations!$O99-Calculations!$C$13) -calculateOmega(Calculations!$M99,Calculations!$N99,Calculations!$Q99,'Reaction Information'!$C$13,'Reaction Information'!$P$13*10^5,'Reaction Information'!$Q$13)*Calculations!$U99*10^-6 + (1/$S99 - 1)*calculate_domegadP(Calculations!$M99,Calculations!$N99,Calculations!$Q99,'Reaction Information'!$C$13,'Reaction Information'!$P$13*10^5,'Reaction Information'!$Q$13,$D$20,$D$19=3))*41.84)</f>
        <v>30.102038678918653</v>
      </c>
      <c r="BN99" s="8" t="e">
        <f>IF(OR(ISBLANK(Input!$AA$4),$D$27=FALSE),NA(),('Reaction Information'!$J$17/10+'Reaction Information'!$K$17*100/(Calculations!$C$12+Calculations!$M99)+('Reaction Information'!$L$17+'Reaction Information'!$M$17*10000/(Calculations!$C$12+Calculations!$M99))/(Calculations!$O99-Calculations!$C$13)-calculateOmega(Calculations!M99,Calculations!N99,Calculations!Q99,'Reaction Information'!$C$17,'Reaction Information'!$P$17*10^5,'Reaction Information'!$Q$17)*Calculations!$U99*10^-6 + (1/$S99 - 1)*calculate_domegadP(Calculations!M99,Calculations!N99,Calculations!Q99,'Reaction Information'!$C$17,'Reaction Information'!$P$17*10^5,'Reaction Information'!$Q$17,$D$20,$D$19=3))*41.84)</f>
        <v>#N/A</v>
      </c>
      <c r="BO99" s="8" t="e">
        <f>IF(OR(ISBLANK(Input!$AD$4),$D$27=FALSE),NA(),('Reaction Information'!$J$21/10+'Reaction Information'!$K$21*100/(Calculations!$C$12+Calculations!$M99)+('Reaction Information'!$L$21+'Reaction Information'!$M$21*10000/(Calculations!$C$12+Calculations!$M99))/(Calculations!$O99-Calculations!$C$13)-calculateOmega(Calculations!M99,Calculations!N99,Calculations!Q99,'Reaction Information'!$C$21,'Reaction Information'!$P$21*10^5,'Reaction Information'!$Q$21)*Calculations!$U99*10^-6 + (1/$S99 - 1)*calculate_domegadP(Calculations!M99,Calculations!N99,Calculations!Q99,'Reaction Information'!$C$21,'Reaction Information'!$P$21*10^5,'Reaction Information'!$Q$21,$D$20,$D$19=3))*41.84)</f>
        <v>#N/A</v>
      </c>
      <c r="BP99" s="8" t="e">
        <f>IF(OR(ISBLANK(Input!$AG$4),$D$27=FALSE),NA(),('Reaction Information'!$J$25/10+'Reaction Information'!$K$25*100/(Calculations!$C$12+Calculations!$M99)+('Reaction Information'!$L$25+'Reaction Information'!$M$25*10000/(Calculations!$C$12+Calculations!$M99))/(Calculations!$O99-Calculations!$C$13)-calculateOmega(Calculations!M99,Calculations!N99,Calculations!Q99,'Reaction Information'!$C$25,'Reaction Information'!$P$25*10^5,'Reaction Information'!$Q$25)*Calculations!$U99*10^-6 + (1/$S99 - 1)*calculate_domegadP(Calculations!M99,Calculations!N99,Calculations!Q99,'Reaction Information'!$C$25,'Reaction Information'!$P$25*10^5,'Reaction Information'!$Q$25,$D$20,$D$19=3))*41.84)</f>
        <v>#N/A</v>
      </c>
      <c r="BQ99" s="8" t="e">
        <f>IF(OR(ISBLANK(Input!$AJ$4),$D$27=FALSE),NA(),('Reaction Information'!$J$29/10+'Reaction Information'!$K$29*100/(Calculations!$C$12+Calculations!$M99)+('Reaction Information'!$L$29+'Reaction Information'!$M$29*10000/(Calculations!$C$12+Calculations!$M99))/(Calculations!$O99-Calculations!$C$13)-calculateOmega(Calculations!M99,Calculations!N99,Calculations!Q99,'Reaction Information'!$C$29,'Reaction Information'!$P$29*10^5,'Reaction Information'!$Q$29)*Calculations!$U99*10^-6 + (1/$S99 - 1)*calculate_domegadP(Calculations!M99,Calculations!N99,Calculations!Q99,'Reaction Information'!$C$29,'Reaction Information'!$P$29*10^5,'Reaction Information'!$Q$29,$D$20,$D$19=3))*41.84)</f>
        <v>#N/A</v>
      </c>
      <c r="BR99" s="8" t="e">
        <f>IF(OR(ISBLANK(Input!$AM$4),$D$27=FALSE),NA(),('Reaction Information'!$J$33/10+'Reaction Information'!$K$33*100/(Calculations!$C$12+Calculations!$M99)+('Reaction Information'!$L$33+'Reaction Information'!$M$33*10000/(Calculations!$C$12+Calculations!$M99))/(Calculations!$O99-Calculations!$C$13)-calculateOmega(Calculations!M99,Calculations!N99,Calculations!Q99,'Reaction Information'!$C$33,'Reaction Information'!$P$33*10^5,'Reaction Information'!$Q$33)*Calculations!$U99*10^-6 + (1/$S99 - 1)*calculate_domegadP(Calculations!M99,Calculations!N99,Calculations!Q99,'Reaction Information'!$C$33,'Reaction Information'!$P$33*10^5,'Reaction Information'!$Q$33,$D$20,$D$19=3))*41.84)</f>
        <v>#N/A</v>
      </c>
      <c r="BS99" s="1">
        <f>Results!AW101</f>
        <v>0</v>
      </c>
      <c r="BT99" s="1">
        <f>Results!AX101</f>
        <v>0</v>
      </c>
      <c r="BU99" s="1">
        <f>Results!AY101</f>
        <v>0</v>
      </c>
      <c r="BV99" s="1">
        <f>Results!AZ101</f>
        <v>0</v>
      </c>
      <c r="BW99" s="1" t="e">
        <f>IF(OR(ISNA('Reaction Information'!$D$38), $N99 = "", $D$27 = FALSE, 'Reaction Information'!$D$38 = ""), NA(), 24.465)</f>
        <v>#N/A</v>
      </c>
      <c r="BX99" s="1" t="e">
        <f>IF(OR(ISNA('Reaction Information'!$D$42), $N99 = "", $D$27 = FALSE, 'Reaction Information'!$D$42 = ""), NA(), 24.465)</f>
        <v>#N/A</v>
      </c>
      <c r="BY99" s="8" t="e">
        <f t="shared" si="22"/>
        <v>#N/A</v>
      </c>
      <c r="BZ99" s="8">
        <f>IF(OR(ISBLANK(Input!$BK$4),$D$27=FALSE),NA(),('Reaction Information'!$J$46/10+'Reaction Information'!$K$46*100/(Calculations!$C$12+Calculations!$M99)+('Reaction Information'!$L$46+'Reaction Information'!$M$46*10000/(Calculations!$C$12+Calculations!$M99))/(Calculations!$O99-Calculations!$C$13)-calculateOmega(Calculations!M99,Calculations!N99,Calculations!Q99,'Reaction Information'!$C$46,'Reaction Information'!$P$46*10^5,'Reaction Information'!$Q$46)*Calculations!$U99*10^-6 + (1/$S99 - 1)*calculate_domegadP(Calculations!M99,Calculations!N99,Calculations!Q99,'Reaction Information'!$C$46,'Reaction Information'!$P$46*10^5,'Reaction Information'!$Q$46,$D$20,$D$19=3))*41.84)</f>
        <v>0</v>
      </c>
      <c r="CA99" s="8">
        <f>IF(OR(ISBLANK(Input!$BN$4),$D$27=FALSE),NA(),('Reaction Information'!$J$50/10+'Reaction Information'!$K$50*100/(Calculations!$C$12+Calculations!$M99)+('Reaction Information'!$L$50+'Reaction Information'!$M$50*10000/(Calculations!$C$12+Calculations!$M99))/(Calculations!$O99-Calculations!$C$13)-calculateOmega(Calculations!M99,Calculations!N99,Calculations!Q99,'Reaction Information'!$C$50,'Reaction Information'!$P$50*10^5,'Reaction Information'!$Q$50)*Calculations!$U99*10^-6 + (1/$S99 - 1)*calculate_domegadP(Calculations!M99,Calculations!N99,Calculations!Q99,'Reaction Information'!$C$50,'Reaction Information'!$P$50*10^5,'Reaction Information'!$Q$50,$D$20,$D$19=3))*41.84)</f>
        <v>31.253875874808195</v>
      </c>
      <c r="CB99" s="8" t="e">
        <f>IF(OR(ISBLANK(Input!$BQ$4),$D$27=FALSE),NA(),('Reaction Information'!$J$54/10+'Reaction Information'!$K$54*100/(Calculations!$C$12+Calculations!$M99)+('Reaction Information'!$L$54+'Reaction Information'!$M$54*10000/(Calculations!$C$12+Calculations!$M99))/(Calculations!$O99-Calculations!$C$13)-calculateOmega(Calculations!M99,Calculations!N99,Calculations!Q99,'Reaction Information'!$C$54,'Reaction Information'!$P$54*10^5,'Reaction Information'!$Q$54)*Calculations!$U99*10^-6 + (1/$S99 - 1)*calculate_domegadP(Calculations!M99,Calculations!N99,Calculations!Q99,'Reaction Information'!$C$54,'Reaction Information'!$P$54*10^5,'Reaction Information'!$Q$54,$D$20,$D$19=3))*41.84)</f>
        <v>#N/A</v>
      </c>
      <c r="CC99" s="8" t="e">
        <f>IF(OR(ISBLANK(Input!$BT$4),$D$27=FALSE),NA(),('Reaction Information'!$J$58/10+'Reaction Information'!$K$58*100/(Calculations!$C$12+Calculations!$M99)+('Reaction Information'!$L$58+'Reaction Information'!$M$58*10000/(Calculations!$C$12+Calculations!$M99))/(Calculations!$O99-Calculations!$C$13)-calculateOmega(Calculations!M99,Calculations!N99,Calculations!Q99,'Reaction Information'!$C$58,'Reaction Information'!$P$58*10^5,'Reaction Information'!$Q$58)*Calculations!$U99*10^-6 + (1/$S99 - 1)*calculate_domegadP(Calculations!M99,Calculations!N99,Calculations!Q99,'Reaction Information'!$C$58,'Reaction Information'!$P$58*10^5,'Reaction Information'!$Q$58,$D$20,$D$19=3))*41.84)</f>
        <v>#N/A</v>
      </c>
      <c r="CD99" s="8" t="e">
        <f>IF(OR(ISBLANK(Input!$BW$4),$D$27=FALSE),NA(),('Reaction Information'!$J$62/10+'Reaction Information'!$K$62*100/(Calculations!$C$12+Calculations!$M99)+('Reaction Information'!$L$62+'Reaction Information'!$M$62*10000/(Calculations!$C$12+Calculations!$M99))/(Calculations!$O99-Calculations!$C$13)-calculateOmega(Calculations!M99,Calculations!N99,Calculations!Q99,'Reaction Information'!$C$62,'Reaction Information'!$P$62*10^5,'Reaction Information'!$Q$62)*Calculations!$U99*10^-6 + (1/$S99 - 1)*calculate_domegadP(Calculations!M99,Calculations!N99,Calculations!Q99,'Reaction Information'!$C$62,'Reaction Information'!$P$62*10^5,'Reaction Information'!$Q$62,$D$20,$D$19=3))*41.84)</f>
        <v>#N/A</v>
      </c>
      <c r="CE99" s="8" t="e">
        <f>IF(OR(ISBLANK(Input!$BZ$4),$D$27=FALSE),NA(),('Reaction Information'!$J$66/10+'Reaction Information'!$K$66*100/(Calculations!$C$12+Calculations!$M99)+('Reaction Information'!$L$66+'Reaction Information'!$M$66*10000/(Calculations!$C$12+Calculations!$M99))/(Calculations!$O99-Calculations!$C$13)-calculateOmega(Calculations!M99,Calculations!N99,Calculations!Q99,'Reaction Information'!$C$66,'Reaction Information'!$P$66*10^5,'Reaction Information'!$Q$66)*Calculations!$U99*10^-6 + (1/$S99 - 1)*calculate_domegadP(Calculations!M99,Calculations!N99,Calculations!Q99,'Reaction Information'!$C$66,'Reaction Information'!$P$66*10^5,'Reaction Information'!$Q$66,$D$20,$D$19=3))*41.84)</f>
        <v>#N/A</v>
      </c>
      <c r="CF99" s="31">
        <f>(BS99*Input!$AO$4+BT99*Input!$AR$4+BU99*Input!$AU$4+BV99*Input!$AX$4+IF(ISNA(BW99),0,BW99*Input!$BA$4)+IF(ISNA(BX99),0,BX99*Input!$BD$4)+IF(ISNA(BY99),0,BY99*Input!$BG$4)+IF(ISNA(BZ99),0,BZ99*Input!$BJ$4)+IF(ISNA(CA99),0,CA99*Input!$BM$4)+IF(ISNA(CB99),0,CB99*Input!$BP$4)+IF(ISNA(CC99),0,CC99*Input!$BS$4)+IF(ISNA(CD99),0,CD99*Input!$BV$4)+IF(ISNA(CE99),0,CE99*Input!$BY$4))-(BF99*Input!$B$4+BG99*Input!$E$4+BH99*Input!$H$4+BI99*Input!$K$4+IF(ISNA(BJ99),0,BJ99*Input!$N$4)+IF(ISNA(BK99),0,BK99*Input!$Q$4)+IF(ISNA(BL99),0,BL99*Input!$T$4)+IF(ISNA(BM99),0,BM99*Input!$W$4)+IF(ISNA(BN99),0,BN99*Input!$Z$4)+IF(ISNA(BO99),0,BO99*Input!$AC$4)+IF(ISNA(BP99),0,BP99*Input!$AF$4)+IF(ISNA(BQ99),0,BQ99*Input!$AI$4)+IF(ISNA(BR99),0,BR99*Input!$AL$4))</f>
        <v>-12.42775721427342</v>
      </c>
      <c r="CG99" s="1">
        <f t="shared" si="31"/>
        <v>450</v>
      </c>
      <c r="CH99" s="46">
        <f t="shared" si="32"/>
        <v>35000</v>
      </c>
      <c r="CI99" s="1"/>
    </row>
    <row r="100" spans="1:87" x14ac:dyDescent="0.2">
      <c r="A100" s="1"/>
      <c r="B100" s="1"/>
      <c r="C100" s="1"/>
      <c r="D100" s="1"/>
      <c r="E100" s="1"/>
      <c r="F100" s="2">
        <v>95</v>
      </c>
      <c r="G100" s="1" t="str">
        <f>IF(ISBLANK(Input!CB100), "", Input!CB100*1000)</f>
        <v/>
      </c>
      <c r="H100" s="1" t="str">
        <f>IF(ISBLANK(Input!CC100), "", Input!CC100)</f>
        <v/>
      </c>
      <c r="I100" s="1">
        <f>IF(Input!$CF$5 + Input!$CF$6*(FLOOR((Calculations!$F100-1)/(FLOOR((Input!$CF$12-Input!$CF$10)/Input!$CF$11,1)+1),1)) &gt; Input!$CF$7, "", (Input!$CF$5 + Input!$CF$6*(FLOOR((Calculations!$F100-1)/(FLOOR((Input!$CF$12-Input!$CF$10)/Input!$CF$11,1)+1),1)))*1000)</f>
        <v>35000</v>
      </c>
      <c r="J100" s="1">
        <f>IF(Calculations!I100 = "", "", Input!$CF$10 + Input!$CF$11*(Calculations!$F100-1) - (FLOOR((Input!$CF$12-Input!$CF$10)/Input!$CF$11,1)+1)*Input!$CF$11*FLOOR((Calculations!$F100-1)/(FLOOR((Input!$CF$12-Input!$CF$10)/Input!$CF$11,1)+1),1))</f>
        <v>500</v>
      </c>
      <c r="K100" s="8" t="str">
        <f t="shared" si="33"/>
        <v/>
      </c>
      <c r="L100" s="117" t="str">
        <f>IF(OR(Input!$CJ$5 + Input!$CJ$6*(Calculations!F100-1) &gt; Input!$CJ$7, Input!$CJ$5 + Input!$CJ$6*(Calculations!F100-1) &gt; 350), "", Input!$CJ$5 + Input!$CJ$6*(Calculations!F100-1))</f>
        <v/>
      </c>
      <c r="M100" s="1">
        <f t="shared" si="23"/>
        <v>35000</v>
      </c>
      <c r="N100" s="1">
        <f t="shared" si="24"/>
        <v>500</v>
      </c>
      <c r="O100" s="1">
        <f t="shared" si="19"/>
        <v>773.15</v>
      </c>
      <c r="P100" s="1" t="e">
        <f>IF(OR($D$20=3,AND($D$21=TRUE,M100&lt;1000)),INDEX('Water Density'!$C$6:$CX$120,MATCH(Calculations!N100,'Water Density'!$B$6:$B$120),MATCH(Calculations!M100/1000,'Water Density'!$C$5:$CX$5)),NA())</f>
        <v>#N/A</v>
      </c>
      <c r="Q100" s="182">
        <f>IF(OR($D$20=3,AND($D$21=TRUE,M100&lt;1000)), IF(P100&lt;&gt;0,P100,NA()), calculateDensity(M100,N100,$D$20,0.01,$D$19 = 3))</f>
        <v>1.3114239134973289</v>
      </c>
      <c r="R100" s="1" t="e">
        <f>IF($D$22=5,INDEX('Dielectric Constant'!$C$6:$CX$120,MATCH(Calculations!N100,'Dielectric Constant'!$B$6:$B$120),MATCH(Calculations!M100/1000,'Dielectric Constant'!$C$5:$CX$5)),NA())</f>
        <v>#N/A</v>
      </c>
      <c r="S100" s="58">
        <f>IF($D$22=5, IF(R100&lt;&gt;0,R100,NA()), IF(AND($D$23,M100&lt;=5000,$D$19 &lt;&gt; 3),calculateEpsilon(Q100,N100,1,FALSE),calculateEpsilon(Q100,N100,$D$22,$D$19 = 3)))</f>
        <v>35.700914864534433</v>
      </c>
      <c r="T100" s="1" t="e">
        <f>IF($D$24=3,INDEX('Water Free Energy'!$C$6:$CX$120,MATCH(Calculations!N100,'Water Free Energy'!$B$6:$B$120),MATCH(Calculations!M100/1000,'Water Free Energy'!$C$5:$CX$5)),NA())</f>
        <v>#N/A</v>
      </c>
      <c r="U100" s="179">
        <f>IF($D$27,calculateQ(M100,N100,Q100,$D$20,$D$22,$D$19=3)*10^6,NA())</f>
        <v>0.17395832436413883</v>
      </c>
      <c r="V100"/>
      <c r="W100" s="2">
        <f t="shared" si="25"/>
        <v>35000</v>
      </c>
      <c r="X100" s="1">
        <f t="shared" si="26"/>
        <v>500</v>
      </c>
      <c r="Y100" s="1">
        <f>Results!F102</f>
        <v>0</v>
      </c>
      <c r="Z100" s="1">
        <f>Results!G102</f>
        <v>0</v>
      </c>
      <c r="AA100" s="1">
        <f>Results!H102</f>
        <v>0</v>
      </c>
      <c r="AB100" s="1">
        <f>Results!I102</f>
        <v>0</v>
      </c>
      <c r="AC100" s="1" t="e">
        <f>IF(ISBLANK(Input!$O$4),NA(),'Reaction Information'!$E$5-'Reaction Information'!$G$5*(Calculations!$O100-Calculations!$C$8)+'Reaction Information'!$I$5*(Calculations!$O100-Calculations!$C$8-Calculations!$O100*LN(Calculations!$O100/Calculations!$C$8))+'Reaction Information'!$J$5*0.001/2*(2*Calculations!$O100*Calculations!$C$8-Calculations!$O100^2-Calculations!$C$8^2) + 'Reaction Information'!$K$5*100000*(Calculations!$O100^2 + Calculations!$C$8^2 - 2*Calculations!$O100*Calculations!$C$8)/(2*Calculations!$O100*Calculations!$C$8^2))</f>
        <v>#N/A</v>
      </c>
      <c r="AD100" s="8" t="e">
        <f>IF(ISBLANK(Input!$R$4),NA(),'Reaction Information'!$E$9-'Reaction Information'!$G$9*(Calculations!$O100-Calculations!$C$8)+'Reaction Information'!$I$9*(Calculations!$O100-Calculations!$C$8-Calculations!$O100*LN(Calculations!$O100/Calculations!$C$8))+'Reaction Information'!$J$9*0.001/2*(2*Calculations!$O100*Calculations!$C$8-Calculations!$O100^2-Calculations!$C$8^2) + 'Reaction Information'!$K$9*100000*(Calculations!$O100^2 + Calculations!$C$8^2 - 2*Calculations!$O100*Calculations!$C$8)/(2*Calculations!$O100*Calculations!$C$8^2))</f>
        <v>#N/A</v>
      </c>
      <c r="AE100" s="8">
        <f>IF(AE$5="H2O",IF($D$24=3,IF(T100=0,NA(),T100),calculateGibbsOfWater(M100,N100,$D$24,$D$20,$D$19=3)),NA())</f>
        <v>-55038.833192360151</v>
      </c>
      <c r="AF100" s="8">
        <f>IF(ISBLANK(Input!$X$4),NA(),'Reaction Information'!$E$13-'Reaction Information'!$G$13*(Calculations!O100-Calculations!$C$8)-'Reaction Information'!$N$13*(Calculations!O100*LN(Calculations!O100/Calculations!$C$8)-Calculations!O100+Calculations!$C$8)-'Reaction Information'!$O$13*10^4*(((1/(Calculations!O100-Calculations!$C$13))-(1/(Calculations!$C$8-Calculations!$C$13)))*((Calculations!$C$13-Calculations!O100)/(Calculations!$C$13))-(Calculations!O100/(Calculations!$C$13*Calculations!$C$13))*LN((Calculations!$C$8*(Calculations!O100-Calculations!$C$13))/(Calculations!O100*(Calculations!$C$8-Calculations!$C$13))))+'Reaction Information'!$J$13*10^-1*(Calculations!M100-Calculations!$C$9)+'Reaction Information'!$K$13*10^2*LN((Calculations!$C$12+Calculations!M100)/(Calculations!$C$12+Calculations!$C$9))+(1/(Calculations!O100-Calculations!$C$13))*('Reaction Information'!$L$13*(Calculations!M100-Calculations!$C$9)+'Reaction Information'!$M$13*10^4*LN((Calculations!$C$12+Calculations!M100)/(Calculations!$C$12+Calculations!$C$9)))+calculateOmega(Calculations!M100,Calculations!N100,Calculations!Q100,'Reaction Information'!$C$13,'Reaction Information'!$P$13*10^5,'Reaction Information'!$Q$13)*((1/Calculations!S100)-1)-'Reaction Information'!$P$13*10^5*((1/Calculations!$C$10)-1)+'Reaction Information'!$P$13*10^5*Calculations!$C$14*(Calculations!O100-Calculations!$C$8))</f>
        <v>-85514.717973648672</v>
      </c>
      <c r="AG100" s="8" t="e">
        <f>IF(ISBLANK(Input!$AA$4),NA(),'Reaction Information'!$E$17-'Reaction Information'!$G$17*(Calculations!$O100-Calculations!$C$8)-'Reaction Information'!$N$17*(Calculations!$O100*LN(Calculations!$O100/Calculations!$C$8)-Calculations!$O100+Calculations!$C$8)-'Reaction Information'!$O$17*10^4*(((1/(Calculations!$O100-Calculations!$C$13))-(1/(Calculations!$C$8-Calculations!$C$13)))*((Calculations!$C$13-Calculations!$O100)/(Calculations!$C$13))-(Calculations!$O100/(Calculations!$C$13*Calculations!$C$13))*LN((Calculations!$C$8*(Calculations!$O100-Calculations!$C$13))/(Calculations!$O100*(Calculations!$C$8-Calculations!$C$13))))+'Reaction Information'!$J$17*10^-1*(Calculations!$M100-Calculations!$C$9)+'Reaction Information'!$K$17*10^2*LN((Calculations!$C$12+Calculations!$M100)/(Calculations!$C$12+Calculations!$C$9))+(1/(Calculations!$O100-Calculations!$C$13))*('Reaction Information'!$L$17*(Calculations!$M100-Calculations!$C$9)+'Reaction Information'!$M$17*10^4*LN((Calculations!$C$12+Calculations!$M100)/(Calculations!$C$12+Calculations!$C$9)))+calculateOmega(Calculations!M100,Calculations!N100,Calculations!Q100,'Reaction Information'!$C$17,'Reaction Information'!$P$17*10^5,'Reaction Information'!$Q$17)*((1/Calculations!$S100)-1)-'Reaction Information'!$P$17*10^5*((1/Calculations!$C$10)-1)+'Reaction Information'!$P$17*10^5*Calculations!$C$14*(Calculations!$O100-Calculations!$C$8))</f>
        <v>#N/A</v>
      </c>
      <c r="AH100" s="8" t="e">
        <f>IF(ISBLANK(Input!$AD$4),NA(),'Reaction Information'!$E$21-'Reaction Information'!$G$21*(Calculations!$O100-Calculations!$C$8)-'Reaction Information'!$N$21*(Calculations!$O100*LN(Calculations!$O100/Calculations!$C$8)-Calculations!$O100+Calculations!$C$8)-'Reaction Information'!$O$21*10^4*(((1/(Calculations!$O100-Calculations!$C$13))-(1/(Calculations!$C$8-Calculations!$C$13)))*((Calculations!$C$13-Calculations!$O100)/(Calculations!$C$13))-(Calculations!$O100/(Calculations!$C$13*Calculations!$C$13))*LN((Calculations!$C$8*(Calculations!$O100-Calculations!$C$13))/(Calculations!$O100*(Calculations!$C$8-Calculations!$C$13))))+'Reaction Information'!$J$21*10^-1*(Calculations!$M100-Calculations!$C$9)+'Reaction Information'!$K$21*10^2*LN((Calculations!$C$12+Calculations!$M100)/(Calculations!$C$12+Calculations!$C$9))+(1/(Calculations!$O100-Calculations!$C$13))*('Reaction Information'!$L$21*(Calculations!$M100-Calculations!$C$9)+'Reaction Information'!$M$21*10^4*LN((Calculations!$C$12+Calculations!$M100)/(Calculations!$C$12+Calculations!$C$9)))+calculateOmega(Calculations!M100,Calculations!N100,Calculations!Q100,'Reaction Information'!$C$21,'Reaction Information'!$P$21*10^5,'Reaction Information'!$Q$21)*((1/Calculations!$S100)-1)-'Reaction Information'!$P$21*10^5*((1/Calculations!$C$10)-1)+'Reaction Information'!$P$21*10^5*Calculations!$C$14*(Calculations!$O100-Calculations!$C$8))</f>
        <v>#N/A</v>
      </c>
      <c r="AI100" s="8" t="e">
        <f>IF(ISBLANK(Input!$AG$4),NA(),'Reaction Information'!$E$25-'Reaction Information'!$G$25*(Calculations!$O100-Calculations!$C$8)-'Reaction Information'!$N$25*(Calculations!$O100*LN(Calculations!$O100/Calculations!$C$8)-Calculations!$O100+Calculations!$C$8)-'Reaction Information'!$O$25*10^4*(((1/(Calculations!$O100-Calculations!$C$13))-(1/(Calculations!$C$8-Calculations!$C$13)))*((Calculations!$C$13-Calculations!$O100)/(Calculations!$C$13))-(Calculations!$O100/(Calculations!$C$13*Calculations!$C$13))*LN((Calculations!$C$8*(Calculations!$O100-Calculations!$C$13))/(Calculations!$O100*(Calculations!$C$8-Calculations!$C$13))))+'Reaction Information'!$J$25*10^-1*(Calculations!$M100-Calculations!$C$9)+'Reaction Information'!$K$25*10^2*LN((Calculations!$C$12+Calculations!$M100)/(Calculations!$C$12+Calculations!$C$9))+(1/(Calculations!$O100-Calculations!$C$13))*('Reaction Information'!$L$25*(Calculations!$M100-Calculations!$C$9)+'Reaction Information'!$M$25*10^4*LN((Calculations!$C$12+Calculations!$M100)/(Calculations!$C$12+Calculations!$C$9)))+calculateOmega(Calculations!M100,Calculations!N100,Calculations!Q100,'Reaction Information'!$C$25,'Reaction Information'!$P$25*10^5,'Reaction Information'!$Q$25)*((1/Calculations!$S100)-1)-'Reaction Information'!$P$25*10^5*((1/Calculations!$C$10)-1)+'Reaction Information'!$P$25*10^5*Calculations!$C$14*(Calculations!$O100-Calculations!$C$8))</f>
        <v>#N/A</v>
      </c>
      <c r="AJ100" s="8" t="e">
        <f>IF(ISBLANK(Input!$AJ$4),NA(),'Reaction Information'!$E$29-'Reaction Information'!$G$29*(Calculations!$O100-Calculations!$C$8)-'Reaction Information'!$N$29*(Calculations!$O100*LN(Calculations!$O100/Calculations!$C$8)-Calculations!$O100+Calculations!$C$8)-'Reaction Information'!$O$29*10^4*(((1/(Calculations!$O100-Calculations!$C$13))-(1/(Calculations!$C$8-Calculations!$C$13)))*((Calculations!$C$13-Calculations!$O100)/(Calculations!$C$13))-(Calculations!$O100/(Calculations!$C$13*Calculations!$C$13))*LN((Calculations!$C$8*(Calculations!$O100-Calculations!$C$13))/(Calculations!$O100*(Calculations!$C$8-Calculations!$C$13))))+'Reaction Information'!$J$29*10^-1*(Calculations!$M100-Calculations!$C$9)+'Reaction Information'!$K$29*10^2*LN((Calculations!$C$12+Calculations!$M100)/(Calculations!$C$12+Calculations!$C$9))+(1/(Calculations!$O100-Calculations!$C$13))*('Reaction Information'!$L$29*(Calculations!$M100-Calculations!$C$9)+'Reaction Information'!$M$29*10^4*LN((Calculations!$C$12+Calculations!$M100)/(Calculations!$C$12+Calculations!$C$9)))+calculateOmega(Calculations!M100,Calculations!N100,Calculations!Q100,'Reaction Information'!$C$29,'Reaction Information'!$P$29*10^5,'Reaction Information'!$Q$29)*((1/Calculations!$S100)-1)-'Reaction Information'!$P$29*10^5*((1/Calculations!$C$10)-1)+'Reaction Information'!$P$29*10^5*Calculations!$C$14*(Calculations!$O100-Calculations!$C$8))</f>
        <v>#N/A</v>
      </c>
      <c r="AK100" s="8" t="e">
        <f>IF(ISBLANK(Input!$AM$4),NA(),'Reaction Information'!$E$33-'Reaction Information'!$G$33*(Calculations!$O100-Calculations!$C$8)-'Reaction Information'!$N$33*(Calculations!$O100*LN(Calculations!$O100/Calculations!$C$8)-Calculations!$O100+Calculations!$C$8)-'Reaction Information'!$O$33*10^4*(((1/(Calculations!$O100-Calculations!$C$13))-(1/(Calculations!$C$8-Calculations!$C$13)))*((Calculations!$C$13-Calculations!$O100)/(Calculations!$C$13))-(Calculations!$O100/(Calculations!$C$13*Calculations!$C$13))*LN((Calculations!$C$8*(Calculations!$O100-Calculations!$C$13))/(Calculations!$O100*(Calculations!$C$8-Calculations!$C$13))))+'Reaction Information'!$J$33*10^-1*(Calculations!$M100-Calculations!$C$9)+'Reaction Information'!$K$33*10^2*LN((Calculations!$C$12+Calculations!$M100)/(Calculations!$C$12+Calculations!$C$9))+(1/(Calculations!$O100-Calculations!$C$13))*('Reaction Information'!$L$33*(Calculations!$M100-Calculations!$C$9)+'Reaction Information'!$M$33*10^4*LN((Calculations!$C$12+Calculations!$M100)/(Calculations!$C$12+Calculations!$C$9)))+calculateOmega(Calculations!M100,Calculations!N100,Calculations!Q100,'Reaction Information'!$C$33,'Reaction Information'!$P$33*10^5,'Reaction Information'!$Q$33)*((1/Calculations!$S100)-1)-'Reaction Information'!$P$33*10^5*((1/Calculations!$C$10)-1)+'Reaction Information'!$P$33*10^5*Calculations!$C$14*(Calculations!$O100-Calculations!$C$8))</f>
        <v>#N/A</v>
      </c>
      <c r="AL100" s="1">
        <f>Results!S102</f>
        <v>0</v>
      </c>
      <c r="AM100" s="1">
        <f>Results!T102</f>
        <v>0</v>
      </c>
      <c r="AN100" s="1">
        <f>Results!U102</f>
        <v>0</v>
      </c>
      <c r="AO100" s="1">
        <f>Results!V102</f>
        <v>0</v>
      </c>
      <c r="AP100" s="8" t="e">
        <f>IF(ISBLANK(Input!$BB$4),NA(),'Reaction Information'!$E$38-'Reaction Information'!$G$38*(Calculations!$O100-Calculations!$C$8)+'Reaction Information'!$I$38*(Calculations!$O100-Calculations!$C$8-Calculations!$O100*LN(Calculations!$O100/Calculations!$C$8))+'Reaction Information'!$J$38*0.001/2*(2*Calculations!$O100*Calculations!$C$8-Calculations!$O100^2-Calculations!$C$8^2) + 'Reaction Information'!$K$38*100000*(Calculations!$O100^2 + Calculations!$C$8^2 - 2*Calculations!$O100*Calculations!$C$8)/(2*Calculations!$O100*Calculations!$C$8^2))</f>
        <v>#N/A</v>
      </c>
      <c r="AQ100" s="8" t="e">
        <f>IF(ISBLANK(Input!$BE$4),NA(),'Reaction Information'!$E$42-'Reaction Information'!$G$42*(Calculations!$O100-Calculations!$C$8)+'Reaction Information'!$I$42*(Calculations!$O100-Calculations!$C$8-Calculations!$O100*LN(Calculations!$O100/Calculations!$C$8))+'Reaction Information'!$J$42*0.001/2*(2*Calculations!$O100*Calculations!$C$8-Calculations!$O100^2-Calculations!$C$8^2) + 'Reaction Information'!$K$42*100000*(Calculations!$O100^2 + Calculations!$C$8^2 - 2*Calculations!$O100*Calculations!$C$8)/(2*Calculations!$O100*Calculations!$C$8^2))</f>
        <v>#N/A</v>
      </c>
      <c r="AR100" s="8" t="e">
        <f>IF(AR$5="H2O", IF($D$24=3,IF(T100=0,NA(),T100),calculateGibbsOfWater(M100,N100,$D$24,$D$20,$D$19=3)),NA())</f>
        <v>#N/A</v>
      </c>
      <c r="AS100" s="8">
        <f>IF(ISBLANK(Input!$BK$4),NA(),'Reaction Information'!$E$46-'Reaction Information'!$G$46*(Calculations!O100-Calculations!$C$8)-'Reaction Information'!$N$46*(Calculations!O100*LN(Calculations!O100/Calculations!$C$8)-Calculations!O100+Calculations!$C$8)-'Reaction Information'!$O$46*10^4*(((1/(Calculations!O100-Calculations!$C$13))-(1/(Calculations!$C$8-Calculations!$C$13)))*((Calculations!$C$13-Calculations!O100)/(Calculations!$C$13))-(Calculations!O100/(Calculations!$C$13*Calculations!$C$13))*LN((Calculations!$C$8*(Calculations!O100-Calculations!$C$13))/(Calculations!O100*(Calculations!$C$8-Calculations!$C$13))))+'Reaction Information'!$J$46*10^-1*(Calculations!$M100-Calculations!$C$9)+'Reaction Information'!$K$46*10^2*LN((Calculations!$C$12+Calculations!$M100)/(Calculations!$C$12+Calculations!$C$9))+(1/(Calculations!O100-Calculations!$C$13))*('Reaction Information'!$L$46*(Calculations!$M100-Calculations!$C$9)+'Reaction Information'!$M$46*10^4*LN((Calculations!$C$12+Calculations!$M100)/(Calculations!$C$12+Calculations!$C$9)))+calculateOmega(Calculations!M100,Calculations!N100,Calculations!Q100,'Reaction Information'!$C$46,'Reaction Information'!$P$46*10^5,'Reaction Information'!$Q$46)*((1/Calculations!S100)-1)-'Reaction Information'!$P$46*10^5*((1/Calculations!$C$10)-1)+'Reaction Information'!$P$46*10^5*Calculations!$C$14*(Calculations!O100-Calculations!$C$8))</f>
        <v>0</v>
      </c>
      <c r="AT100" s="8">
        <f>IF(ISBLANK(Input!$BN$4),NA(),'Reaction Information'!$E$50-'Reaction Information'!$G$50*(Calculations!O100-Calculations!$C$8)-'Reaction Information'!$N$50*(Calculations!O100*LN(Calculations!O100/Calculations!$C$8)-Calculations!O100+Calculations!$C$8)-'Reaction Information'!$O$50*10^4*(((1/(Calculations!O100-Calculations!$C$13))-(1/(Calculations!$C$8-Calculations!$C$13)))*((Calculations!$C$13-Calculations!O100)/(Calculations!$C$13))-(Calculations!O100/(Calculations!$C$13*Calculations!$C$13))*LN((Calculations!$C$8*(Calculations!O100-Calculations!$C$13))/(Calculations!O100*(Calculations!$C$8-Calculations!$C$13))))+'Reaction Information'!$J$50*10^-1*(Calculations!$M100-Calculations!$C$9)+'Reaction Information'!$K$50*10^2*LN((Calculations!$C$12+Calculations!$M100)/(Calculations!$C$12+Calculations!$C$9))+(1/(Calculations!O100-Calculations!$C$13))*('Reaction Information'!$L$50*(Calculations!$M100-Calculations!$C$9)+'Reaction Information'!$M$50*10^4*LN((Calculations!$C$12+Calculations!$M100)/(Calculations!$C$12+Calculations!$C$9)))+calculateOmega(Calculations!M100,Calculations!N100,Calculations!Q100,'Reaction Information'!$C$50,'Reaction Information'!$P$50*10^5,'Reaction Information'!$Q$50)*((1/Calculations!S100)-1)-'Reaction Information'!$P$50*10^5*((1/Calculations!$C$10)-1)+'Reaction Information'!$P$50*10^5*Calculations!$C$14*(Calculations!O100-Calculations!$C$8))</f>
        <v>-128472.27963435913</v>
      </c>
      <c r="AU100" s="8" t="e">
        <f>IF(ISBLANK(Input!$BQ$4),NA(),'Reaction Information'!$E$54-'Reaction Information'!$G$54*(Calculations!$O100-Calculations!$C$8)-'Reaction Information'!$N$54*(Calculations!$O100*LN(Calculations!$O100/Calculations!$C$8)-Calculations!$O100+Calculations!$C$8)-'Reaction Information'!$O$54*10^4*(((1/(Calculations!$O100-Calculations!$C$13))-(1/(Calculations!$C$8-Calculations!$C$13)))*((Calculations!$C$13-Calculations!$O100)/(Calculations!$C$13))-(Calculations!$O100/(Calculations!$C$13*Calculations!$C$13))*LN((Calculations!$C$8*(Calculations!$O100-Calculations!$C$13))/(Calculations!$O100*(Calculations!$C$8-Calculations!$C$13))))+'Reaction Information'!$J$54*10^-1*(Calculations!$M100-Calculations!$C$9)+'Reaction Information'!$K$54*10^2*LN((Calculations!$C$12+Calculations!$M100)/(Calculations!$C$12+Calculations!$C$9))+(1/(Calculations!$O100-Calculations!$C$13))*('Reaction Information'!$L$54*(Calculations!$M100-Calculations!$C$9)+'Reaction Information'!$M$54*10^4*LN((Calculations!$C$12+Calculations!$M100)/(Calculations!$C$12+Calculations!$C$9)))+calculateOmega(Calculations!M100,Calculations!N100,Calculations!Q100,'Reaction Information'!$C$54,'Reaction Information'!$P$54*10^5,'Reaction Information'!$Q$54)*((1/Calculations!$S100)-1)-'Reaction Information'!$P$54*10^5*((1/Calculations!$C$10)-1)+'Reaction Information'!$P$54*10^5*Calculations!$C$14*(Calculations!$O100-Calculations!$C$8))</f>
        <v>#N/A</v>
      </c>
      <c r="AV100" s="8" t="e">
        <f>IF(ISBLANK(Input!$BT$4),NA(),'Reaction Information'!$E$58-'Reaction Information'!$G$58*(Calculations!$O100-Calculations!$C$8)-'Reaction Information'!$N$58*(Calculations!$O100*LN(Calculations!$O100/Calculations!$C$8)-Calculations!$O100+Calculations!$C$8)-'Reaction Information'!$O$58*10^4*(((1/(Calculations!$O100-Calculations!$C$13))-(1/(Calculations!$C$8-Calculations!$C$13)))*((Calculations!$C$13-Calculations!$O100)/(Calculations!$C$13))-(Calculations!$O100/(Calculations!$C$13*Calculations!$C$13))*LN((Calculations!$C$8*(Calculations!$O100-Calculations!$C$13))/(Calculations!$O100*(Calculations!$C$8-Calculations!$C$13))))+'Reaction Information'!$J$58*10^-1*(Calculations!$M100-Calculations!$C$9)+'Reaction Information'!$K$58*10^2*LN((Calculations!$C$12+Calculations!$M100)/(Calculations!$C$12+Calculations!$C$9))+(1/(Calculations!$O100-Calculations!$C$13))*('Reaction Information'!$L$58*(Calculations!$M100-Calculations!$C$9)+'Reaction Information'!$M$58*10^4*LN((Calculations!$C$12+Calculations!$M100)/(Calculations!$C$12+Calculations!$C$9)))+calculateOmega(Calculations!M100,Calculations!N100,Calculations!Q100,'Reaction Information'!$C$58,'Reaction Information'!$P$58*10^5,'Reaction Information'!$Q$58)*((1/Calculations!$S100)-1)-'Reaction Information'!$P$58*10^5*((1/Calculations!$C$10)-1)+'Reaction Information'!$P$58*10^5*Calculations!$C$14*(Calculations!$O100-Calculations!$C$8))</f>
        <v>#N/A</v>
      </c>
      <c r="AW100" s="8" t="e">
        <f>IF(ISBLANK(Input!$BW$4),NA(),'Reaction Information'!$E$62-'Reaction Information'!$G$62*(Calculations!$O100-Calculations!$C$8)-'Reaction Information'!$N$62*(Calculations!$O100*LN(Calculations!$O100/Calculations!$C$8)-Calculations!$O100+Calculations!$C$8)-'Reaction Information'!$O$62*10^4*(((1/(Calculations!$O100-Calculations!$C$13))-(1/(Calculations!$C$8-Calculations!$C$13)))*((Calculations!$C$13-Calculations!$O100)/(Calculations!$C$13))-(Calculations!$O100/(Calculations!$C$13*Calculations!$C$13))*LN((Calculations!$C$8*(Calculations!$O100-Calculations!$C$13))/(Calculations!$O100*(Calculations!$C$8-Calculations!$C$13))))+'Reaction Information'!$J$62*10^-1*(Calculations!$M100-Calculations!$C$9)+'Reaction Information'!$K$62*10^2*LN((Calculations!$C$12+Calculations!$M100)/(Calculations!$C$12+Calculations!$C$9))+(1/(Calculations!$O100-Calculations!$C$13))*('Reaction Information'!$L$62*(Calculations!$M100-Calculations!$C$9)+'Reaction Information'!$M$62*10^4*LN((Calculations!$C$12+Calculations!$M100)/(Calculations!$C$12+Calculations!$C$9)))+calculateOmega(Calculations!M100,Calculations!N100,Calculations!Q100,'Reaction Information'!$C$62,'Reaction Information'!$P$62*10^5,'Reaction Information'!$Q$62)*((1/Calculations!$S100)-1)-'Reaction Information'!$P$62*10^5*((1/Calculations!$C$10)-1)+'Reaction Information'!$P$62*10^5*Calculations!$C$14*(Calculations!$O100-Calculations!$C$8))</f>
        <v>#N/A</v>
      </c>
      <c r="AX100" s="8" t="e">
        <f>IF(ISBLANK(Input!$BZ$4),NA(),'Reaction Information'!$E$66-'Reaction Information'!$G$66*(Calculations!$O100-Calculations!$C$8)-'Reaction Information'!$N$66*(Calculations!$O100*LN(Calculations!$O100/Calculations!$C$8)-Calculations!$O100+Calculations!$C$8)-'Reaction Information'!$O$66*10^4*(((1/(Calculations!$O100-Calculations!$C$13))-(1/(Calculations!$C$8-Calculations!$C$13)))*((Calculations!$C$13-Calculations!$O100)/(Calculations!$C$13))-(Calculations!$O100/(Calculations!$C$13*Calculations!$C$13))*LN((Calculations!$C$8*(Calculations!$O100-Calculations!$C$13))/(Calculations!$O100*(Calculations!$C$8-Calculations!$C$13))))+'Reaction Information'!$J$66*10^-1*(Calculations!$M100-Calculations!$C$9)+'Reaction Information'!$K$66*10^2*LN((Calculations!$C$12+Calculations!$M100)/(Calculations!$C$12+Calculations!$C$9))+(1/(Calculations!$O100-Calculations!$C$13))*('Reaction Information'!$L$66*(Calculations!$M100-Calculations!$C$9)+'Reaction Information'!$M$66*10^4*LN((Calculations!$C$12+Calculations!$M100)/(Calculations!$C$12+Calculations!$C$9)))+calculateOmega(Calculations!M100,Calculations!N100,Calculations!Q100,'Reaction Information'!$C$66,'Reaction Information'!$P$66*10^5,'Reaction Information'!$Q$66)*((1/Calculations!$S100)-1)-'Reaction Information'!$P$66*10^5*((1/Calculations!$C$10)-1)+'Reaction Information'!$P$66*10^5*Calculations!$C$14*(Calculations!$O100-Calculations!$C$8))</f>
        <v>#N/A</v>
      </c>
      <c r="AY100" s="31">
        <f>(AL100*Input!$AO$4+AM100*Input!$AR$4+AN100*Input!$AU$4+AO100*Input!$AX$4+IF(ISNA(AP100),0,AP100*Input!$BA$4)+IF(ISNA(AQ100),0,AQ100*Input!$BD$4)+IF(ISNA(AR100),0,AR100*Input!$BG$4)+IF(ISNA(AS100),0,AS100*Input!$BJ$4)+IF(ISNA(AT100),0,AT100*Input!$BM$4)+IF(ISNA(AU100),0,AU100*Input!$BP$4)+IF(ISNA(AV100),0,AV100*Input!$BS$4)+IF(ISNA(AW100),0,AW100*Input!$BV$4)+IF(ISNA(AX100),0,AX100*Input!$BY$4))-(Y100*Input!$B$4+Z100*Input!$E$4+AA100*Input!$H$4+AB100*Input!$K$4+IF(ISNA(AC100),0,AC100*Input!$N$4)+IF(ISNA(AD100),0,AD100*Input!$Q$4)+IF(ISNA(AE100),0,AE100*Input!$T$4)+IF(ISNA(AF100),0,AF100*Input!$W$4)+IF(ISNA(AG100),0,AG100*Input!$Z$4)+IF(ISNA(AH100),0,AH100*Input!$AC$4)+IF(ISNA(AI100),0,AI100*Input!$AF$4)+IF(ISNA(AJ100),0,AJ100*Input!$AI$4)+IF(ISNA(AK100),0,AK100*Input!$AL$4))</f>
        <v>12081.271531649676</v>
      </c>
      <c r="AZ100" s="42">
        <f t="shared" si="20"/>
        <v>-3.4172815256796865</v>
      </c>
      <c r="BA100" s="1">
        <f t="shared" si="27"/>
        <v>500</v>
      </c>
      <c r="BB100" s="46">
        <f t="shared" si="28"/>
        <v>35000</v>
      </c>
      <c r="BC100" s="1"/>
      <c r="BD100" s="2">
        <f t="shared" si="29"/>
        <v>35000</v>
      </c>
      <c r="BE100" s="46">
        <f t="shared" si="30"/>
        <v>500</v>
      </c>
      <c r="BF100" s="1">
        <f>Results!AJ102</f>
        <v>0</v>
      </c>
      <c r="BG100" s="1">
        <f>Results!AK102</f>
        <v>0</v>
      </c>
      <c r="BH100" s="1">
        <f>Results!AL102</f>
        <v>0</v>
      </c>
      <c r="BI100" s="1">
        <f>Results!AM102</f>
        <v>0</v>
      </c>
      <c r="BJ100" s="1" t="e">
        <f>IF(OR(ISNA('Reaction Information'!$D$5), $N100 = "", $D$27 = FALSE, 'Reaction Information'!$D$5 = ""), NA(), 24.465)</f>
        <v>#N/A</v>
      </c>
      <c r="BK100" s="1" t="e">
        <f>IF(OR(ISNA('Reaction Information'!$D$9), $N100 = "", $D$27 = FALSE, 'Reaction Information'!$D$9 = ""), NA(), 24.465)</f>
        <v>#N/A</v>
      </c>
      <c r="BL100" s="8">
        <f t="shared" si="21"/>
        <v>13.737190403945378</v>
      </c>
      <c r="BM100" s="8">
        <f>IF(OR(ISBLANK(Input!$X$4),$D$27=FALSE),NA(),('Reaction Information'!$J$13/10+'Reaction Information'!$K$13*100/(Calculations!$C$12+Calculations!$M100)+('Reaction Information'!$L$13+'Reaction Information'!$M$13*10^4/(Calculations!$C$12+Calculations!$M100))/(Calculations!$O100-Calculations!$C$13) -calculateOmega(Calculations!$M100,Calculations!$N100,Calculations!$Q100,'Reaction Information'!$C$13,'Reaction Information'!$P$13*10^5,'Reaction Information'!$Q$13)*Calculations!$U100*10^-6 + (1/$S100 - 1)*calculate_domegadP(Calculations!$M100,Calculations!$N100,Calculations!$Q100,'Reaction Information'!$C$13,'Reaction Information'!$P$13*10^5,'Reaction Information'!$Q$13,$D$20,$D$19=3))*41.84)</f>
        <v>30.138077820176161</v>
      </c>
      <c r="BN100" s="8" t="e">
        <f>IF(OR(ISBLANK(Input!$AA$4),$D$27=FALSE),NA(),('Reaction Information'!$J$17/10+'Reaction Information'!$K$17*100/(Calculations!$C$12+Calculations!$M100)+('Reaction Information'!$L$17+'Reaction Information'!$M$17*10000/(Calculations!$C$12+Calculations!$M100))/(Calculations!$O100-Calculations!$C$13)-calculateOmega(Calculations!M100,Calculations!N100,Calculations!Q100,'Reaction Information'!$C$17,'Reaction Information'!$P$17*10^5,'Reaction Information'!$Q$17)*Calculations!$U100*10^-6 + (1/$S100 - 1)*calculate_domegadP(Calculations!M100,Calculations!N100,Calculations!Q100,'Reaction Information'!$C$17,'Reaction Information'!$P$17*10^5,'Reaction Information'!$Q$17,$D$20,$D$19=3))*41.84)</f>
        <v>#N/A</v>
      </c>
      <c r="BO100" s="8" t="e">
        <f>IF(OR(ISBLANK(Input!$AD$4),$D$27=FALSE),NA(),('Reaction Information'!$J$21/10+'Reaction Information'!$K$21*100/(Calculations!$C$12+Calculations!$M100)+('Reaction Information'!$L$21+'Reaction Information'!$M$21*10000/(Calculations!$C$12+Calculations!$M100))/(Calculations!$O100-Calculations!$C$13)-calculateOmega(Calculations!M100,Calculations!N100,Calculations!Q100,'Reaction Information'!$C$21,'Reaction Information'!$P$21*10^5,'Reaction Information'!$Q$21)*Calculations!$U100*10^-6 + (1/$S100 - 1)*calculate_domegadP(Calculations!M100,Calculations!N100,Calculations!Q100,'Reaction Information'!$C$21,'Reaction Information'!$P$21*10^5,'Reaction Information'!$Q$21,$D$20,$D$19=3))*41.84)</f>
        <v>#N/A</v>
      </c>
      <c r="BP100" s="8" t="e">
        <f>IF(OR(ISBLANK(Input!$AG$4),$D$27=FALSE),NA(),('Reaction Information'!$J$25/10+'Reaction Information'!$K$25*100/(Calculations!$C$12+Calculations!$M100)+('Reaction Information'!$L$25+'Reaction Information'!$M$25*10000/(Calculations!$C$12+Calculations!$M100))/(Calculations!$O100-Calculations!$C$13)-calculateOmega(Calculations!M100,Calculations!N100,Calculations!Q100,'Reaction Information'!$C$25,'Reaction Information'!$P$25*10^5,'Reaction Information'!$Q$25)*Calculations!$U100*10^-6 + (1/$S100 - 1)*calculate_domegadP(Calculations!M100,Calculations!N100,Calculations!Q100,'Reaction Information'!$C$25,'Reaction Information'!$P$25*10^5,'Reaction Information'!$Q$25,$D$20,$D$19=3))*41.84)</f>
        <v>#N/A</v>
      </c>
      <c r="BQ100" s="8" t="e">
        <f>IF(OR(ISBLANK(Input!$AJ$4),$D$27=FALSE),NA(),('Reaction Information'!$J$29/10+'Reaction Information'!$K$29*100/(Calculations!$C$12+Calculations!$M100)+('Reaction Information'!$L$29+'Reaction Information'!$M$29*10000/(Calculations!$C$12+Calculations!$M100))/(Calculations!$O100-Calculations!$C$13)-calculateOmega(Calculations!M100,Calculations!N100,Calculations!Q100,'Reaction Information'!$C$29,'Reaction Information'!$P$29*10^5,'Reaction Information'!$Q$29)*Calculations!$U100*10^-6 + (1/$S100 - 1)*calculate_domegadP(Calculations!M100,Calculations!N100,Calculations!Q100,'Reaction Information'!$C$29,'Reaction Information'!$P$29*10^5,'Reaction Information'!$Q$29,$D$20,$D$19=3))*41.84)</f>
        <v>#N/A</v>
      </c>
      <c r="BR100" s="8" t="e">
        <f>IF(OR(ISBLANK(Input!$AM$4),$D$27=FALSE),NA(),('Reaction Information'!$J$33/10+'Reaction Information'!$K$33*100/(Calculations!$C$12+Calculations!$M100)+('Reaction Information'!$L$33+'Reaction Information'!$M$33*10000/(Calculations!$C$12+Calculations!$M100))/(Calculations!$O100-Calculations!$C$13)-calculateOmega(Calculations!M100,Calculations!N100,Calculations!Q100,'Reaction Information'!$C$33,'Reaction Information'!$P$33*10^5,'Reaction Information'!$Q$33)*Calculations!$U100*10^-6 + (1/$S100 - 1)*calculate_domegadP(Calculations!M100,Calculations!N100,Calculations!Q100,'Reaction Information'!$C$33,'Reaction Information'!$P$33*10^5,'Reaction Information'!$Q$33,$D$20,$D$19=3))*41.84)</f>
        <v>#N/A</v>
      </c>
      <c r="BS100" s="1">
        <f>Results!AW102</f>
        <v>0</v>
      </c>
      <c r="BT100" s="1">
        <f>Results!AX102</f>
        <v>0</v>
      </c>
      <c r="BU100" s="1">
        <f>Results!AY102</f>
        <v>0</v>
      </c>
      <c r="BV100" s="1">
        <f>Results!AZ102</f>
        <v>0</v>
      </c>
      <c r="BW100" s="1" t="e">
        <f>IF(OR(ISNA('Reaction Information'!$D$38), $N100 = "", $D$27 = FALSE, 'Reaction Information'!$D$38 = ""), NA(), 24.465)</f>
        <v>#N/A</v>
      </c>
      <c r="BX100" s="1" t="e">
        <f>IF(OR(ISNA('Reaction Information'!$D$42), $N100 = "", $D$27 = FALSE, 'Reaction Information'!$D$42 = ""), NA(), 24.465)</f>
        <v>#N/A</v>
      </c>
      <c r="BY100" s="8" t="e">
        <f t="shared" si="22"/>
        <v>#N/A</v>
      </c>
      <c r="BZ100" s="8">
        <f>IF(OR(ISBLANK(Input!$BK$4),$D$27=FALSE),NA(),('Reaction Information'!$J$46/10+'Reaction Information'!$K$46*100/(Calculations!$C$12+Calculations!$M100)+('Reaction Information'!$L$46+'Reaction Information'!$M$46*10000/(Calculations!$C$12+Calculations!$M100))/(Calculations!$O100-Calculations!$C$13)-calculateOmega(Calculations!M100,Calculations!N100,Calculations!Q100,'Reaction Information'!$C$46,'Reaction Information'!$P$46*10^5,'Reaction Information'!$Q$46)*Calculations!$U100*10^-6 + (1/$S100 - 1)*calculate_domegadP(Calculations!M100,Calculations!N100,Calculations!Q100,'Reaction Information'!$C$46,'Reaction Information'!$P$46*10^5,'Reaction Information'!$Q$46,$D$20,$D$19=3))*41.84)</f>
        <v>0</v>
      </c>
      <c r="CA100" s="8">
        <f>IF(OR(ISBLANK(Input!$BN$4),$D$27=FALSE),NA(),('Reaction Information'!$J$50/10+'Reaction Information'!$K$50*100/(Calculations!$C$12+Calculations!$M100)+('Reaction Information'!$L$50+'Reaction Information'!$M$50*10000/(Calculations!$C$12+Calculations!$M100))/(Calculations!$O100-Calculations!$C$13)-calculateOmega(Calculations!M100,Calculations!N100,Calculations!Q100,'Reaction Information'!$C$50,'Reaction Information'!$P$50*10^5,'Reaction Information'!$Q$50)*Calculations!$U100*10^-6 + (1/$S100 - 1)*calculate_domegadP(Calculations!M100,Calculations!N100,Calculations!Q100,'Reaction Information'!$C$50,'Reaction Information'!$P$50*10^5,'Reaction Information'!$Q$50,$D$20,$D$19=3))*41.84)</f>
        <v>31.171701293929537</v>
      </c>
      <c r="CB100" s="8" t="e">
        <f>IF(OR(ISBLANK(Input!$BQ$4),$D$27=FALSE),NA(),('Reaction Information'!$J$54/10+'Reaction Information'!$K$54*100/(Calculations!$C$12+Calculations!$M100)+('Reaction Information'!$L$54+'Reaction Information'!$M$54*10000/(Calculations!$C$12+Calculations!$M100))/(Calculations!$O100-Calculations!$C$13)-calculateOmega(Calculations!M100,Calculations!N100,Calculations!Q100,'Reaction Information'!$C$54,'Reaction Information'!$P$54*10^5,'Reaction Information'!$Q$54)*Calculations!$U100*10^-6 + (1/$S100 - 1)*calculate_domegadP(Calculations!M100,Calculations!N100,Calculations!Q100,'Reaction Information'!$C$54,'Reaction Information'!$P$54*10^5,'Reaction Information'!$Q$54,$D$20,$D$19=3))*41.84)</f>
        <v>#N/A</v>
      </c>
      <c r="CC100" s="8" t="e">
        <f>IF(OR(ISBLANK(Input!$BT$4),$D$27=FALSE),NA(),('Reaction Information'!$J$58/10+'Reaction Information'!$K$58*100/(Calculations!$C$12+Calculations!$M100)+('Reaction Information'!$L$58+'Reaction Information'!$M$58*10000/(Calculations!$C$12+Calculations!$M100))/(Calculations!$O100-Calculations!$C$13)-calculateOmega(Calculations!M100,Calculations!N100,Calculations!Q100,'Reaction Information'!$C$58,'Reaction Information'!$P$58*10^5,'Reaction Information'!$Q$58)*Calculations!$U100*10^-6 + (1/$S100 - 1)*calculate_domegadP(Calculations!M100,Calculations!N100,Calculations!Q100,'Reaction Information'!$C$58,'Reaction Information'!$P$58*10^5,'Reaction Information'!$Q$58,$D$20,$D$19=3))*41.84)</f>
        <v>#N/A</v>
      </c>
      <c r="CD100" s="8" t="e">
        <f>IF(OR(ISBLANK(Input!$BW$4),$D$27=FALSE),NA(),('Reaction Information'!$J$62/10+'Reaction Information'!$K$62*100/(Calculations!$C$12+Calculations!$M100)+('Reaction Information'!$L$62+'Reaction Information'!$M$62*10000/(Calculations!$C$12+Calculations!$M100))/(Calculations!$O100-Calculations!$C$13)-calculateOmega(Calculations!M100,Calculations!N100,Calculations!Q100,'Reaction Information'!$C$62,'Reaction Information'!$P$62*10^5,'Reaction Information'!$Q$62)*Calculations!$U100*10^-6 + (1/$S100 - 1)*calculate_domegadP(Calculations!M100,Calculations!N100,Calculations!Q100,'Reaction Information'!$C$62,'Reaction Information'!$P$62*10^5,'Reaction Information'!$Q$62,$D$20,$D$19=3))*41.84)</f>
        <v>#N/A</v>
      </c>
      <c r="CE100" s="8" t="e">
        <f>IF(OR(ISBLANK(Input!$BZ$4),$D$27=FALSE),NA(),('Reaction Information'!$J$66/10+'Reaction Information'!$K$66*100/(Calculations!$C$12+Calculations!$M100)+('Reaction Information'!$L$66+'Reaction Information'!$M$66*10000/(Calculations!$C$12+Calculations!$M100))/(Calculations!$O100-Calculations!$C$13)-calculateOmega(Calculations!M100,Calculations!N100,Calculations!Q100,'Reaction Information'!$C$66,'Reaction Information'!$P$66*10^5,'Reaction Information'!$Q$66)*Calculations!$U100*10^-6 + (1/$S100 - 1)*calculate_domegadP(Calculations!M100,Calculations!N100,Calculations!Q100,'Reaction Information'!$C$66,'Reaction Information'!$P$66*10^5,'Reaction Information'!$Q$66,$D$20,$D$19=3))*41.84)</f>
        <v>#N/A</v>
      </c>
      <c r="CF100" s="31">
        <f>(BS100*Input!$AO$4+BT100*Input!$AR$4+BU100*Input!$AU$4+BV100*Input!$AX$4+IF(ISNA(BW100),0,BW100*Input!$BA$4)+IF(ISNA(BX100),0,BX100*Input!$BD$4)+IF(ISNA(BY100),0,BY100*Input!$BG$4)+IF(ISNA(BZ100),0,BZ100*Input!$BJ$4)+IF(ISNA(CA100),0,CA100*Input!$BM$4)+IF(ISNA(CB100),0,CB100*Input!$BP$4)+IF(ISNA(CC100),0,CC100*Input!$BS$4)+IF(ISNA(CD100),0,CD100*Input!$BV$4)+IF(ISNA(CE100),0,CE100*Input!$BY$4))-(BF100*Input!$B$4+BG100*Input!$E$4+BH100*Input!$H$4+BI100*Input!$K$4+IF(ISNA(BJ100),0,BJ100*Input!$N$4)+IF(ISNA(BK100),0,BK100*Input!$Q$4)+IF(ISNA(BL100),0,BL100*Input!$T$4)+IF(ISNA(BM100),0,BM100*Input!$W$4)+IF(ISNA(BN100),0,BN100*Input!$Z$4)+IF(ISNA(BO100),0,BO100*Input!$AC$4)+IF(ISNA(BP100),0,BP100*Input!$AF$4)+IF(ISNA(BQ100),0,BQ100*Input!$AI$4)+IF(ISNA(BR100),0,BR100*Input!$AL$4))</f>
        <v>-12.703566930192004</v>
      </c>
      <c r="CG100" s="1">
        <f t="shared" si="31"/>
        <v>500</v>
      </c>
      <c r="CH100" s="46">
        <f t="shared" si="32"/>
        <v>35000</v>
      </c>
      <c r="CI100" s="1"/>
    </row>
    <row r="101" spans="1:87" x14ac:dyDescent="0.2">
      <c r="A101" s="1"/>
      <c r="B101" s="1"/>
      <c r="C101" s="1"/>
      <c r="D101" s="1"/>
      <c r="E101" s="1"/>
      <c r="F101" s="2">
        <v>96</v>
      </c>
      <c r="G101" s="1" t="str">
        <f>IF(ISBLANK(Input!CB101), "", Input!CB101*1000)</f>
        <v/>
      </c>
      <c r="H101" s="1" t="str">
        <f>IF(ISBLANK(Input!CC101), "", Input!CC101)</f>
        <v/>
      </c>
      <c r="I101" s="1">
        <f>IF(Input!$CF$5 + Input!$CF$6*(FLOOR((Calculations!$F101-1)/(FLOOR((Input!$CF$12-Input!$CF$10)/Input!$CF$11,1)+1),1)) &gt; Input!$CF$7, "", (Input!$CF$5 + Input!$CF$6*(FLOOR((Calculations!$F101-1)/(FLOOR((Input!$CF$12-Input!$CF$10)/Input!$CF$11,1)+1),1)))*1000)</f>
        <v>35000</v>
      </c>
      <c r="J101" s="1">
        <f>IF(Calculations!I101 = "", "", Input!$CF$10 + Input!$CF$11*(Calculations!$F101-1) - (FLOOR((Input!$CF$12-Input!$CF$10)/Input!$CF$11,1)+1)*Input!$CF$11*FLOOR((Calculations!$F101-1)/(FLOOR((Input!$CF$12-Input!$CF$10)/Input!$CF$11,1)+1),1))</f>
        <v>550</v>
      </c>
      <c r="K101" s="8" t="str">
        <f t="shared" si="33"/>
        <v/>
      </c>
      <c r="L101" s="117" t="str">
        <f>IF(OR(Input!$CJ$5 + Input!$CJ$6*(Calculations!F101-1) &gt; Input!$CJ$7, Input!$CJ$5 + Input!$CJ$6*(Calculations!F101-1) &gt; 350), "", Input!$CJ$5 + Input!$CJ$6*(Calculations!F101-1))</f>
        <v/>
      </c>
      <c r="M101" s="1">
        <f t="shared" si="23"/>
        <v>35000</v>
      </c>
      <c r="N101" s="1">
        <f t="shared" si="24"/>
        <v>550</v>
      </c>
      <c r="O101" s="1">
        <f t="shared" si="19"/>
        <v>823.15</v>
      </c>
      <c r="P101" s="1" t="e">
        <f>IF(OR($D$20=3,AND($D$21=TRUE,M101&lt;1000)),INDEX('Water Density'!$C$6:$CX$120,MATCH(Calculations!N101,'Water Density'!$B$6:$B$120),MATCH(Calculations!M101/1000,'Water Density'!$C$5:$CX$5)),NA())</f>
        <v>#N/A</v>
      </c>
      <c r="Q101" s="182">
        <f>IF(OR($D$20=3,AND($D$21=TRUE,M101&lt;1000)), IF(P101&lt;&gt;0,P101,NA()), calculateDensity(M101,N101,$D$20,0.01,$D$19 = 3))</f>
        <v>1.2964061362826826</v>
      </c>
      <c r="R101" s="1" t="e">
        <f>IF($D$22=5,INDEX('Dielectric Constant'!$C$6:$CX$120,MATCH(Calculations!N101,'Dielectric Constant'!$B$6:$B$120),MATCH(Calculations!M101/1000,'Dielectric Constant'!$C$5:$CX$5)),NA())</f>
        <v>#N/A</v>
      </c>
      <c r="S101" s="58">
        <f>IF($D$22=5, IF(R101&lt;&gt;0,R101,NA()), IF(AND($D$23,M101&lt;=5000,$D$19 &lt;&gt; 3),calculateEpsilon(Q101,N101,1,FALSE),calculateEpsilon(Q101,N101,$D$22,$D$19 = 3)))</f>
        <v>32.389998074552203</v>
      </c>
      <c r="T101" s="1" t="e">
        <f>IF($D$24=3,INDEX('Water Free Energy'!$C$6:$CX$120,MATCH(Calculations!N101,'Water Free Energy'!$B$6:$B$120),MATCH(Calculations!M101/1000,'Water Free Energy'!$C$5:$CX$5)),NA())</f>
        <v>#N/A</v>
      </c>
      <c r="U101" s="179">
        <f>IF($D$27,calculateQ(M101,N101,Q101,$D$20,$D$22,$D$19=3)*10^6,NA())</f>
        <v>0.19014966975250863</v>
      </c>
      <c r="V101"/>
      <c r="W101" s="2">
        <f t="shared" si="25"/>
        <v>35000</v>
      </c>
      <c r="X101" s="1">
        <f t="shared" si="26"/>
        <v>550</v>
      </c>
      <c r="Y101" s="1">
        <f>Results!F103</f>
        <v>0</v>
      </c>
      <c r="Z101" s="1">
        <f>Results!G103</f>
        <v>0</v>
      </c>
      <c r="AA101" s="1">
        <f>Results!H103</f>
        <v>0</v>
      </c>
      <c r="AB101" s="1">
        <f>Results!I103</f>
        <v>0</v>
      </c>
      <c r="AC101" s="1" t="e">
        <f>IF(ISBLANK(Input!$O$4),NA(),'Reaction Information'!$E$5-'Reaction Information'!$G$5*(Calculations!$O101-Calculations!$C$8)+'Reaction Information'!$I$5*(Calculations!$O101-Calculations!$C$8-Calculations!$O101*LN(Calculations!$O101/Calculations!$C$8))+'Reaction Information'!$J$5*0.001/2*(2*Calculations!$O101*Calculations!$C$8-Calculations!$O101^2-Calculations!$C$8^2) + 'Reaction Information'!$K$5*100000*(Calculations!$O101^2 + Calculations!$C$8^2 - 2*Calculations!$O101*Calculations!$C$8)/(2*Calculations!$O101*Calculations!$C$8^2))</f>
        <v>#N/A</v>
      </c>
      <c r="AD101" s="8" t="e">
        <f>IF(ISBLANK(Input!$R$4),NA(),'Reaction Information'!$E$9-'Reaction Information'!$G$9*(Calculations!$O101-Calculations!$C$8)+'Reaction Information'!$I$9*(Calculations!$O101-Calculations!$C$8-Calculations!$O101*LN(Calculations!$O101/Calculations!$C$8))+'Reaction Information'!$J$9*0.001/2*(2*Calculations!$O101*Calculations!$C$8-Calculations!$O101^2-Calculations!$C$8^2) + 'Reaction Information'!$K$9*100000*(Calculations!$O101^2 + Calculations!$C$8^2 - 2*Calculations!$O101*Calculations!$C$8)/(2*Calculations!$O101*Calculations!$C$8^2))</f>
        <v>#N/A</v>
      </c>
      <c r="AE101" s="8">
        <f>IF(AE$5="H2O",IF($D$24=3,IF(T101=0,NA(),T101),calculateGibbsOfWater(M101,N101,$D$24,$D$20,$D$19=3)),NA())</f>
        <v>-56411.660857241703</v>
      </c>
      <c r="AF101" s="8">
        <f>IF(ISBLANK(Input!$X$4),NA(),'Reaction Information'!$E$13-'Reaction Information'!$G$13*(Calculations!O101-Calculations!$C$8)-'Reaction Information'!$N$13*(Calculations!O101*LN(Calculations!O101/Calculations!$C$8)-Calculations!O101+Calculations!$C$8)-'Reaction Information'!$O$13*10^4*(((1/(Calculations!O101-Calculations!$C$13))-(1/(Calculations!$C$8-Calculations!$C$13)))*((Calculations!$C$13-Calculations!O101)/(Calculations!$C$13))-(Calculations!O101/(Calculations!$C$13*Calculations!$C$13))*LN((Calculations!$C$8*(Calculations!O101-Calculations!$C$13))/(Calculations!O101*(Calculations!$C$8-Calculations!$C$13))))+'Reaction Information'!$J$13*10^-1*(Calculations!M101-Calculations!$C$9)+'Reaction Information'!$K$13*10^2*LN((Calculations!$C$12+Calculations!M101)/(Calculations!$C$12+Calculations!$C$9))+(1/(Calculations!O101-Calculations!$C$13))*('Reaction Information'!$L$13*(Calculations!M101-Calculations!$C$9)+'Reaction Information'!$M$13*10^4*LN((Calculations!$C$12+Calculations!M101)/(Calculations!$C$12+Calculations!$C$9)))+calculateOmega(Calculations!M101,Calculations!N101,Calculations!Q101,'Reaction Information'!$C$13,'Reaction Information'!$P$13*10^5,'Reaction Information'!$Q$13)*((1/Calculations!S101)-1)-'Reaction Information'!$P$13*10^5*((1/Calculations!$C$10)-1)+'Reaction Information'!$P$13*10^5*Calculations!$C$14*(Calculations!O101-Calculations!$C$8))</f>
        <v>-87740.613497158512</v>
      </c>
      <c r="AG101" s="8" t="e">
        <f>IF(ISBLANK(Input!$AA$4),NA(),'Reaction Information'!$E$17-'Reaction Information'!$G$17*(Calculations!$O101-Calculations!$C$8)-'Reaction Information'!$N$17*(Calculations!$O101*LN(Calculations!$O101/Calculations!$C$8)-Calculations!$O101+Calculations!$C$8)-'Reaction Information'!$O$17*10^4*(((1/(Calculations!$O101-Calculations!$C$13))-(1/(Calculations!$C$8-Calculations!$C$13)))*((Calculations!$C$13-Calculations!$O101)/(Calculations!$C$13))-(Calculations!$O101/(Calculations!$C$13*Calculations!$C$13))*LN((Calculations!$C$8*(Calculations!$O101-Calculations!$C$13))/(Calculations!$O101*(Calculations!$C$8-Calculations!$C$13))))+'Reaction Information'!$J$17*10^-1*(Calculations!$M101-Calculations!$C$9)+'Reaction Information'!$K$17*10^2*LN((Calculations!$C$12+Calculations!$M101)/(Calculations!$C$12+Calculations!$C$9))+(1/(Calculations!$O101-Calculations!$C$13))*('Reaction Information'!$L$17*(Calculations!$M101-Calculations!$C$9)+'Reaction Information'!$M$17*10^4*LN((Calculations!$C$12+Calculations!$M101)/(Calculations!$C$12+Calculations!$C$9)))+calculateOmega(Calculations!M101,Calculations!N101,Calculations!Q101,'Reaction Information'!$C$17,'Reaction Information'!$P$17*10^5,'Reaction Information'!$Q$17)*((1/Calculations!$S101)-1)-'Reaction Information'!$P$17*10^5*((1/Calculations!$C$10)-1)+'Reaction Information'!$P$17*10^5*Calculations!$C$14*(Calculations!$O101-Calculations!$C$8))</f>
        <v>#N/A</v>
      </c>
      <c r="AH101" s="8" t="e">
        <f>IF(ISBLANK(Input!$AD$4),NA(),'Reaction Information'!$E$21-'Reaction Information'!$G$21*(Calculations!$O101-Calculations!$C$8)-'Reaction Information'!$N$21*(Calculations!$O101*LN(Calculations!$O101/Calculations!$C$8)-Calculations!$O101+Calculations!$C$8)-'Reaction Information'!$O$21*10^4*(((1/(Calculations!$O101-Calculations!$C$13))-(1/(Calculations!$C$8-Calculations!$C$13)))*((Calculations!$C$13-Calculations!$O101)/(Calculations!$C$13))-(Calculations!$O101/(Calculations!$C$13*Calculations!$C$13))*LN((Calculations!$C$8*(Calculations!$O101-Calculations!$C$13))/(Calculations!$O101*(Calculations!$C$8-Calculations!$C$13))))+'Reaction Information'!$J$21*10^-1*(Calculations!$M101-Calculations!$C$9)+'Reaction Information'!$K$21*10^2*LN((Calculations!$C$12+Calculations!$M101)/(Calculations!$C$12+Calculations!$C$9))+(1/(Calculations!$O101-Calculations!$C$13))*('Reaction Information'!$L$21*(Calculations!$M101-Calculations!$C$9)+'Reaction Information'!$M$21*10^4*LN((Calculations!$C$12+Calculations!$M101)/(Calculations!$C$12+Calculations!$C$9)))+calculateOmega(Calculations!M101,Calculations!N101,Calculations!Q101,'Reaction Information'!$C$21,'Reaction Information'!$P$21*10^5,'Reaction Information'!$Q$21)*((1/Calculations!$S101)-1)-'Reaction Information'!$P$21*10^5*((1/Calculations!$C$10)-1)+'Reaction Information'!$P$21*10^5*Calculations!$C$14*(Calculations!$O101-Calculations!$C$8))</f>
        <v>#N/A</v>
      </c>
      <c r="AI101" s="8" t="e">
        <f>IF(ISBLANK(Input!$AG$4),NA(),'Reaction Information'!$E$25-'Reaction Information'!$G$25*(Calculations!$O101-Calculations!$C$8)-'Reaction Information'!$N$25*(Calculations!$O101*LN(Calculations!$O101/Calculations!$C$8)-Calculations!$O101+Calculations!$C$8)-'Reaction Information'!$O$25*10^4*(((1/(Calculations!$O101-Calculations!$C$13))-(1/(Calculations!$C$8-Calculations!$C$13)))*((Calculations!$C$13-Calculations!$O101)/(Calculations!$C$13))-(Calculations!$O101/(Calculations!$C$13*Calculations!$C$13))*LN((Calculations!$C$8*(Calculations!$O101-Calculations!$C$13))/(Calculations!$O101*(Calculations!$C$8-Calculations!$C$13))))+'Reaction Information'!$J$25*10^-1*(Calculations!$M101-Calculations!$C$9)+'Reaction Information'!$K$25*10^2*LN((Calculations!$C$12+Calculations!$M101)/(Calculations!$C$12+Calculations!$C$9))+(1/(Calculations!$O101-Calculations!$C$13))*('Reaction Information'!$L$25*(Calculations!$M101-Calculations!$C$9)+'Reaction Information'!$M$25*10^4*LN((Calculations!$C$12+Calculations!$M101)/(Calculations!$C$12+Calculations!$C$9)))+calculateOmega(Calculations!M101,Calculations!N101,Calculations!Q101,'Reaction Information'!$C$25,'Reaction Information'!$P$25*10^5,'Reaction Information'!$Q$25)*((1/Calculations!$S101)-1)-'Reaction Information'!$P$25*10^5*((1/Calculations!$C$10)-1)+'Reaction Information'!$P$25*10^5*Calculations!$C$14*(Calculations!$O101-Calculations!$C$8))</f>
        <v>#N/A</v>
      </c>
      <c r="AJ101" s="8" t="e">
        <f>IF(ISBLANK(Input!$AJ$4),NA(),'Reaction Information'!$E$29-'Reaction Information'!$G$29*(Calculations!$O101-Calculations!$C$8)-'Reaction Information'!$N$29*(Calculations!$O101*LN(Calculations!$O101/Calculations!$C$8)-Calculations!$O101+Calculations!$C$8)-'Reaction Information'!$O$29*10^4*(((1/(Calculations!$O101-Calculations!$C$13))-(1/(Calculations!$C$8-Calculations!$C$13)))*((Calculations!$C$13-Calculations!$O101)/(Calculations!$C$13))-(Calculations!$O101/(Calculations!$C$13*Calculations!$C$13))*LN((Calculations!$C$8*(Calculations!$O101-Calculations!$C$13))/(Calculations!$O101*(Calculations!$C$8-Calculations!$C$13))))+'Reaction Information'!$J$29*10^-1*(Calculations!$M101-Calculations!$C$9)+'Reaction Information'!$K$29*10^2*LN((Calculations!$C$12+Calculations!$M101)/(Calculations!$C$12+Calculations!$C$9))+(1/(Calculations!$O101-Calculations!$C$13))*('Reaction Information'!$L$29*(Calculations!$M101-Calculations!$C$9)+'Reaction Information'!$M$29*10^4*LN((Calculations!$C$12+Calculations!$M101)/(Calculations!$C$12+Calculations!$C$9)))+calculateOmega(Calculations!M101,Calculations!N101,Calculations!Q101,'Reaction Information'!$C$29,'Reaction Information'!$P$29*10^5,'Reaction Information'!$Q$29)*((1/Calculations!$S101)-1)-'Reaction Information'!$P$29*10^5*((1/Calculations!$C$10)-1)+'Reaction Information'!$P$29*10^5*Calculations!$C$14*(Calculations!$O101-Calculations!$C$8))</f>
        <v>#N/A</v>
      </c>
      <c r="AK101" s="8" t="e">
        <f>IF(ISBLANK(Input!$AM$4),NA(),'Reaction Information'!$E$33-'Reaction Information'!$G$33*(Calculations!$O101-Calculations!$C$8)-'Reaction Information'!$N$33*(Calculations!$O101*LN(Calculations!$O101/Calculations!$C$8)-Calculations!$O101+Calculations!$C$8)-'Reaction Information'!$O$33*10^4*(((1/(Calculations!$O101-Calculations!$C$13))-(1/(Calculations!$C$8-Calculations!$C$13)))*((Calculations!$C$13-Calculations!$O101)/(Calculations!$C$13))-(Calculations!$O101/(Calculations!$C$13*Calculations!$C$13))*LN((Calculations!$C$8*(Calculations!$O101-Calculations!$C$13))/(Calculations!$O101*(Calculations!$C$8-Calculations!$C$13))))+'Reaction Information'!$J$33*10^-1*(Calculations!$M101-Calculations!$C$9)+'Reaction Information'!$K$33*10^2*LN((Calculations!$C$12+Calculations!$M101)/(Calculations!$C$12+Calculations!$C$9))+(1/(Calculations!$O101-Calculations!$C$13))*('Reaction Information'!$L$33*(Calculations!$M101-Calculations!$C$9)+'Reaction Information'!$M$33*10^4*LN((Calculations!$C$12+Calculations!$M101)/(Calculations!$C$12+Calculations!$C$9)))+calculateOmega(Calculations!M101,Calculations!N101,Calculations!Q101,'Reaction Information'!$C$33,'Reaction Information'!$P$33*10^5,'Reaction Information'!$Q$33)*((1/Calculations!$S101)-1)-'Reaction Information'!$P$33*10^5*((1/Calculations!$C$10)-1)+'Reaction Information'!$P$33*10^5*Calculations!$C$14*(Calculations!$O101-Calculations!$C$8))</f>
        <v>#N/A</v>
      </c>
      <c r="AL101" s="1">
        <f>Results!S103</f>
        <v>0</v>
      </c>
      <c r="AM101" s="1">
        <f>Results!T103</f>
        <v>0</v>
      </c>
      <c r="AN101" s="1">
        <f>Results!U103</f>
        <v>0</v>
      </c>
      <c r="AO101" s="1">
        <f>Results!V103</f>
        <v>0</v>
      </c>
      <c r="AP101" s="8" t="e">
        <f>IF(ISBLANK(Input!$BB$4),NA(),'Reaction Information'!$E$38-'Reaction Information'!$G$38*(Calculations!$O101-Calculations!$C$8)+'Reaction Information'!$I$38*(Calculations!$O101-Calculations!$C$8-Calculations!$O101*LN(Calculations!$O101/Calculations!$C$8))+'Reaction Information'!$J$38*0.001/2*(2*Calculations!$O101*Calculations!$C$8-Calculations!$O101^2-Calculations!$C$8^2) + 'Reaction Information'!$K$38*100000*(Calculations!$O101^2 + Calculations!$C$8^2 - 2*Calculations!$O101*Calculations!$C$8)/(2*Calculations!$O101*Calculations!$C$8^2))</f>
        <v>#N/A</v>
      </c>
      <c r="AQ101" s="8" t="e">
        <f>IF(ISBLANK(Input!$BE$4),NA(),'Reaction Information'!$E$42-'Reaction Information'!$G$42*(Calculations!$O101-Calculations!$C$8)+'Reaction Information'!$I$42*(Calculations!$O101-Calculations!$C$8-Calculations!$O101*LN(Calculations!$O101/Calculations!$C$8))+'Reaction Information'!$J$42*0.001/2*(2*Calculations!$O101*Calculations!$C$8-Calculations!$O101^2-Calculations!$C$8^2) + 'Reaction Information'!$K$42*100000*(Calculations!$O101^2 + Calculations!$C$8^2 - 2*Calculations!$O101*Calculations!$C$8)/(2*Calculations!$O101*Calculations!$C$8^2))</f>
        <v>#N/A</v>
      </c>
      <c r="AR101" s="8" t="e">
        <f>IF(AR$5="H2O", IF($D$24=3,IF(T101=0,NA(),T101),calculateGibbsOfWater(M101,N101,$D$24,$D$20,$D$19=3)),NA())</f>
        <v>#N/A</v>
      </c>
      <c r="AS101" s="8">
        <f>IF(ISBLANK(Input!$BK$4),NA(),'Reaction Information'!$E$46-'Reaction Information'!$G$46*(Calculations!O101-Calculations!$C$8)-'Reaction Information'!$N$46*(Calculations!O101*LN(Calculations!O101/Calculations!$C$8)-Calculations!O101+Calculations!$C$8)-'Reaction Information'!$O$46*10^4*(((1/(Calculations!O101-Calculations!$C$13))-(1/(Calculations!$C$8-Calculations!$C$13)))*((Calculations!$C$13-Calculations!O101)/(Calculations!$C$13))-(Calculations!O101/(Calculations!$C$13*Calculations!$C$13))*LN((Calculations!$C$8*(Calculations!O101-Calculations!$C$13))/(Calculations!O101*(Calculations!$C$8-Calculations!$C$13))))+'Reaction Information'!$J$46*10^-1*(Calculations!$M101-Calculations!$C$9)+'Reaction Information'!$K$46*10^2*LN((Calculations!$C$12+Calculations!$M101)/(Calculations!$C$12+Calculations!$C$9))+(1/(Calculations!O101-Calculations!$C$13))*('Reaction Information'!$L$46*(Calculations!$M101-Calculations!$C$9)+'Reaction Information'!$M$46*10^4*LN((Calculations!$C$12+Calculations!$M101)/(Calculations!$C$12+Calculations!$C$9)))+calculateOmega(Calculations!M101,Calculations!N101,Calculations!Q101,'Reaction Information'!$C$46,'Reaction Information'!$P$46*10^5,'Reaction Information'!$Q$46)*((1/Calculations!S101)-1)-'Reaction Information'!$P$46*10^5*((1/Calculations!$C$10)-1)+'Reaction Information'!$P$46*10^5*Calculations!$C$14*(Calculations!O101-Calculations!$C$8))</f>
        <v>0</v>
      </c>
      <c r="AT101" s="8">
        <f>IF(ISBLANK(Input!$BN$4),NA(),'Reaction Information'!$E$50-'Reaction Information'!$G$50*(Calculations!O101-Calculations!$C$8)-'Reaction Information'!$N$50*(Calculations!O101*LN(Calculations!O101/Calculations!$C$8)-Calculations!O101+Calculations!$C$8)-'Reaction Information'!$O$50*10^4*(((1/(Calculations!O101-Calculations!$C$13))-(1/(Calculations!$C$8-Calculations!$C$13)))*((Calculations!$C$13-Calculations!O101)/(Calculations!$C$13))-(Calculations!O101/(Calculations!$C$13*Calculations!$C$13))*LN((Calculations!$C$8*(Calculations!O101-Calculations!$C$13))/(Calculations!O101*(Calculations!$C$8-Calculations!$C$13))))+'Reaction Information'!$J$50*10^-1*(Calculations!$M101-Calculations!$C$9)+'Reaction Information'!$K$50*10^2*LN((Calculations!$C$12+Calculations!$M101)/(Calculations!$C$12+Calculations!$C$9))+(1/(Calculations!O101-Calculations!$C$13))*('Reaction Information'!$L$50*(Calculations!$M101-Calculations!$C$9)+'Reaction Information'!$M$50*10^4*LN((Calculations!$C$12+Calculations!$M101)/(Calculations!$C$12+Calculations!$C$9)))+calculateOmega(Calculations!M101,Calculations!N101,Calculations!Q101,'Reaction Information'!$C$50,'Reaction Information'!$P$50*10^5,'Reaction Information'!$Q$50)*((1/Calculations!S101)-1)-'Reaction Information'!$P$50*10^5*((1/Calculations!$C$10)-1)+'Reaction Information'!$P$50*10^5*Calculations!$C$14*(Calculations!O101-Calculations!$C$8))</f>
        <v>-130122.91438157739</v>
      </c>
      <c r="AU101" s="8" t="e">
        <f>IF(ISBLANK(Input!$BQ$4),NA(),'Reaction Information'!$E$54-'Reaction Information'!$G$54*(Calculations!$O101-Calculations!$C$8)-'Reaction Information'!$N$54*(Calculations!$O101*LN(Calculations!$O101/Calculations!$C$8)-Calculations!$O101+Calculations!$C$8)-'Reaction Information'!$O$54*10^4*(((1/(Calculations!$O101-Calculations!$C$13))-(1/(Calculations!$C$8-Calculations!$C$13)))*((Calculations!$C$13-Calculations!$O101)/(Calculations!$C$13))-(Calculations!$O101/(Calculations!$C$13*Calculations!$C$13))*LN((Calculations!$C$8*(Calculations!$O101-Calculations!$C$13))/(Calculations!$O101*(Calculations!$C$8-Calculations!$C$13))))+'Reaction Information'!$J$54*10^-1*(Calculations!$M101-Calculations!$C$9)+'Reaction Information'!$K$54*10^2*LN((Calculations!$C$12+Calculations!$M101)/(Calculations!$C$12+Calculations!$C$9))+(1/(Calculations!$O101-Calculations!$C$13))*('Reaction Information'!$L$54*(Calculations!$M101-Calculations!$C$9)+'Reaction Information'!$M$54*10^4*LN((Calculations!$C$12+Calculations!$M101)/(Calculations!$C$12+Calculations!$C$9)))+calculateOmega(Calculations!M101,Calculations!N101,Calculations!Q101,'Reaction Information'!$C$54,'Reaction Information'!$P$54*10^5,'Reaction Information'!$Q$54)*((1/Calculations!$S101)-1)-'Reaction Information'!$P$54*10^5*((1/Calculations!$C$10)-1)+'Reaction Information'!$P$54*10^5*Calculations!$C$14*(Calculations!$O101-Calculations!$C$8))</f>
        <v>#N/A</v>
      </c>
      <c r="AV101" s="8" t="e">
        <f>IF(ISBLANK(Input!$BT$4),NA(),'Reaction Information'!$E$58-'Reaction Information'!$G$58*(Calculations!$O101-Calculations!$C$8)-'Reaction Information'!$N$58*(Calculations!$O101*LN(Calculations!$O101/Calculations!$C$8)-Calculations!$O101+Calculations!$C$8)-'Reaction Information'!$O$58*10^4*(((1/(Calculations!$O101-Calculations!$C$13))-(1/(Calculations!$C$8-Calculations!$C$13)))*((Calculations!$C$13-Calculations!$O101)/(Calculations!$C$13))-(Calculations!$O101/(Calculations!$C$13*Calculations!$C$13))*LN((Calculations!$C$8*(Calculations!$O101-Calculations!$C$13))/(Calculations!$O101*(Calculations!$C$8-Calculations!$C$13))))+'Reaction Information'!$J$58*10^-1*(Calculations!$M101-Calculations!$C$9)+'Reaction Information'!$K$58*10^2*LN((Calculations!$C$12+Calculations!$M101)/(Calculations!$C$12+Calculations!$C$9))+(1/(Calculations!$O101-Calculations!$C$13))*('Reaction Information'!$L$58*(Calculations!$M101-Calculations!$C$9)+'Reaction Information'!$M$58*10^4*LN((Calculations!$C$12+Calculations!$M101)/(Calculations!$C$12+Calculations!$C$9)))+calculateOmega(Calculations!M101,Calculations!N101,Calculations!Q101,'Reaction Information'!$C$58,'Reaction Information'!$P$58*10^5,'Reaction Information'!$Q$58)*((1/Calculations!$S101)-1)-'Reaction Information'!$P$58*10^5*((1/Calculations!$C$10)-1)+'Reaction Information'!$P$58*10^5*Calculations!$C$14*(Calculations!$O101-Calculations!$C$8))</f>
        <v>#N/A</v>
      </c>
      <c r="AW101" s="8" t="e">
        <f>IF(ISBLANK(Input!$BW$4),NA(),'Reaction Information'!$E$62-'Reaction Information'!$G$62*(Calculations!$O101-Calculations!$C$8)-'Reaction Information'!$N$62*(Calculations!$O101*LN(Calculations!$O101/Calculations!$C$8)-Calculations!$O101+Calculations!$C$8)-'Reaction Information'!$O$62*10^4*(((1/(Calculations!$O101-Calculations!$C$13))-(1/(Calculations!$C$8-Calculations!$C$13)))*((Calculations!$C$13-Calculations!$O101)/(Calculations!$C$13))-(Calculations!$O101/(Calculations!$C$13*Calculations!$C$13))*LN((Calculations!$C$8*(Calculations!$O101-Calculations!$C$13))/(Calculations!$O101*(Calculations!$C$8-Calculations!$C$13))))+'Reaction Information'!$J$62*10^-1*(Calculations!$M101-Calculations!$C$9)+'Reaction Information'!$K$62*10^2*LN((Calculations!$C$12+Calculations!$M101)/(Calculations!$C$12+Calculations!$C$9))+(1/(Calculations!$O101-Calculations!$C$13))*('Reaction Information'!$L$62*(Calculations!$M101-Calculations!$C$9)+'Reaction Information'!$M$62*10^4*LN((Calculations!$C$12+Calculations!$M101)/(Calculations!$C$12+Calculations!$C$9)))+calculateOmega(Calculations!M101,Calculations!N101,Calculations!Q101,'Reaction Information'!$C$62,'Reaction Information'!$P$62*10^5,'Reaction Information'!$Q$62)*((1/Calculations!$S101)-1)-'Reaction Information'!$P$62*10^5*((1/Calculations!$C$10)-1)+'Reaction Information'!$P$62*10^5*Calculations!$C$14*(Calculations!$O101-Calculations!$C$8))</f>
        <v>#N/A</v>
      </c>
      <c r="AX101" s="8" t="e">
        <f>IF(ISBLANK(Input!$BZ$4),NA(),'Reaction Information'!$E$66-'Reaction Information'!$G$66*(Calculations!$O101-Calculations!$C$8)-'Reaction Information'!$N$66*(Calculations!$O101*LN(Calculations!$O101/Calculations!$C$8)-Calculations!$O101+Calculations!$C$8)-'Reaction Information'!$O$66*10^4*(((1/(Calculations!$O101-Calculations!$C$13))-(1/(Calculations!$C$8-Calculations!$C$13)))*((Calculations!$C$13-Calculations!$O101)/(Calculations!$C$13))-(Calculations!$O101/(Calculations!$C$13*Calculations!$C$13))*LN((Calculations!$C$8*(Calculations!$O101-Calculations!$C$13))/(Calculations!$O101*(Calculations!$C$8-Calculations!$C$13))))+'Reaction Information'!$J$66*10^-1*(Calculations!$M101-Calculations!$C$9)+'Reaction Information'!$K$66*10^2*LN((Calculations!$C$12+Calculations!$M101)/(Calculations!$C$12+Calculations!$C$9))+(1/(Calculations!$O101-Calculations!$C$13))*('Reaction Information'!$L$66*(Calculations!$M101-Calculations!$C$9)+'Reaction Information'!$M$66*10^4*LN((Calculations!$C$12+Calculations!$M101)/(Calculations!$C$12+Calculations!$C$9)))+calculateOmega(Calculations!M101,Calculations!N101,Calculations!Q101,'Reaction Information'!$C$66,'Reaction Information'!$P$66*10^5,'Reaction Information'!$Q$66)*((1/Calculations!$S101)-1)-'Reaction Information'!$P$66*10^5*((1/Calculations!$C$10)-1)+'Reaction Information'!$P$66*10^5*Calculations!$C$14*(Calculations!$O101-Calculations!$C$8))</f>
        <v>#N/A</v>
      </c>
      <c r="AY101" s="31">
        <f>(AL101*Input!$AO$4+AM101*Input!$AR$4+AN101*Input!$AU$4+AO101*Input!$AX$4+IF(ISNA(AP101),0,AP101*Input!$BA$4)+IF(ISNA(AQ101),0,AQ101*Input!$BD$4)+IF(ISNA(AR101),0,AR101*Input!$BG$4)+IF(ISNA(AS101),0,AS101*Input!$BJ$4)+IF(ISNA(AT101),0,AT101*Input!$BM$4)+IF(ISNA(AU101),0,AU101*Input!$BP$4)+IF(ISNA(AV101),0,AV101*Input!$BS$4)+IF(ISNA(AW101),0,AW101*Input!$BV$4)+IF(ISNA(AX101),0,AX101*Input!$BY$4))-(Y101*Input!$B$4+Z101*Input!$E$4+AA101*Input!$H$4+AB101*Input!$K$4+IF(ISNA(AC101),0,AC101*Input!$N$4)+IF(ISNA(AD101),0,AD101*Input!$Q$4)+IF(ISNA(AE101),0,AE101*Input!$T$4)+IF(ISNA(AF101),0,AF101*Input!$W$4)+IF(ISNA(AG101),0,AG101*Input!$Z$4)+IF(ISNA(AH101),0,AH101*Input!$AC$4)+IF(ISNA(AI101),0,AI101*Input!$AF$4)+IF(ISNA(AJ101),0,AJ101*Input!$AI$4)+IF(ISNA(AK101),0,AK101*Input!$AL$4))</f>
        <v>14029.359972822844</v>
      </c>
      <c r="AZ101" s="42">
        <f t="shared" si="20"/>
        <v>-3.7272691072487607</v>
      </c>
      <c r="BA101" s="1">
        <f t="shared" si="27"/>
        <v>550</v>
      </c>
      <c r="BB101" s="46">
        <f t="shared" si="28"/>
        <v>35000</v>
      </c>
      <c r="BC101" s="1"/>
      <c r="BD101" s="2">
        <f t="shared" si="29"/>
        <v>35000</v>
      </c>
      <c r="BE101" s="46">
        <f t="shared" si="30"/>
        <v>550</v>
      </c>
      <c r="BF101" s="1">
        <f>Results!AJ103</f>
        <v>0</v>
      </c>
      <c r="BG101" s="1">
        <f>Results!AK103</f>
        <v>0</v>
      </c>
      <c r="BH101" s="1">
        <f>Results!AL103</f>
        <v>0</v>
      </c>
      <c r="BI101" s="1">
        <f>Results!AM103</f>
        <v>0</v>
      </c>
      <c r="BJ101" s="1" t="e">
        <f>IF(OR(ISNA('Reaction Information'!$D$5), $N101 = "", $D$27 = FALSE, 'Reaction Information'!$D$5 = ""), NA(), 24.465)</f>
        <v>#N/A</v>
      </c>
      <c r="BK101" s="1" t="e">
        <f>IF(OR(ISNA('Reaction Information'!$D$9), $N101 = "", $D$27 = FALSE, 'Reaction Information'!$D$9 = ""), NA(), 24.465)</f>
        <v>#N/A</v>
      </c>
      <c r="BL101" s="8">
        <f t="shared" si="21"/>
        <v>13.896324227264959</v>
      </c>
      <c r="BM101" s="8">
        <f>IF(OR(ISBLANK(Input!$X$4),$D$27=FALSE),NA(),('Reaction Information'!$J$13/10+'Reaction Information'!$K$13*100/(Calculations!$C$12+Calculations!$M101)+('Reaction Information'!$L$13+'Reaction Information'!$M$13*10^4/(Calculations!$C$12+Calculations!$M101))/(Calculations!$O101-Calculations!$C$13) -calculateOmega(Calculations!$M101,Calculations!$N101,Calculations!$Q101,'Reaction Information'!$C$13,'Reaction Information'!$P$13*10^5,'Reaction Information'!$Q$13)*Calculations!$U101*10^-6 + (1/$S101 - 1)*calculate_domegadP(Calculations!$M101,Calculations!$N101,Calculations!$Q101,'Reaction Information'!$C$13,'Reaction Information'!$P$13*10^5,'Reaction Information'!$Q$13,$D$20,$D$19=3))*41.84)</f>
        <v>30.178695144047452</v>
      </c>
      <c r="BN101" s="8" t="e">
        <f>IF(OR(ISBLANK(Input!$AA$4),$D$27=FALSE),NA(),('Reaction Information'!$J$17/10+'Reaction Information'!$K$17*100/(Calculations!$C$12+Calculations!$M101)+('Reaction Information'!$L$17+'Reaction Information'!$M$17*10000/(Calculations!$C$12+Calculations!$M101))/(Calculations!$O101-Calculations!$C$13)-calculateOmega(Calculations!M101,Calculations!N101,Calculations!Q101,'Reaction Information'!$C$17,'Reaction Information'!$P$17*10^5,'Reaction Information'!$Q$17)*Calculations!$U101*10^-6 + (1/$S101 - 1)*calculate_domegadP(Calculations!M101,Calculations!N101,Calculations!Q101,'Reaction Information'!$C$17,'Reaction Information'!$P$17*10^5,'Reaction Information'!$Q$17,$D$20,$D$19=3))*41.84)</f>
        <v>#N/A</v>
      </c>
      <c r="BO101" s="8" t="e">
        <f>IF(OR(ISBLANK(Input!$AD$4),$D$27=FALSE),NA(),('Reaction Information'!$J$21/10+'Reaction Information'!$K$21*100/(Calculations!$C$12+Calculations!$M101)+('Reaction Information'!$L$21+'Reaction Information'!$M$21*10000/(Calculations!$C$12+Calculations!$M101))/(Calculations!$O101-Calculations!$C$13)-calculateOmega(Calculations!M101,Calculations!N101,Calculations!Q101,'Reaction Information'!$C$21,'Reaction Information'!$P$21*10^5,'Reaction Information'!$Q$21)*Calculations!$U101*10^-6 + (1/$S101 - 1)*calculate_domegadP(Calculations!M101,Calculations!N101,Calculations!Q101,'Reaction Information'!$C$21,'Reaction Information'!$P$21*10^5,'Reaction Information'!$Q$21,$D$20,$D$19=3))*41.84)</f>
        <v>#N/A</v>
      </c>
      <c r="BP101" s="8" t="e">
        <f>IF(OR(ISBLANK(Input!$AG$4),$D$27=FALSE),NA(),('Reaction Information'!$J$25/10+'Reaction Information'!$K$25*100/(Calculations!$C$12+Calculations!$M101)+('Reaction Information'!$L$25+'Reaction Information'!$M$25*10000/(Calculations!$C$12+Calculations!$M101))/(Calculations!$O101-Calculations!$C$13)-calculateOmega(Calculations!M101,Calculations!N101,Calculations!Q101,'Reaction Information'!$C$25,'Reaction Information'!$P$25*10^5,'Reaction Information'!$Q$25)*Calculations!$U101*10^-6 + (1/$S101 - 1)*calculate_domegadP(Calculations!M101,Calculations!N101,Calculations!Q101,'Reaction Information'!$C$25,'Reaction Information'!$P$25*10^5,'Reaction Information'!$Q$25,$D$20,$D$19=3))*41.84)</f>
        <v>#N/A</v>
      </c>
      <c r="BQ101" s="8" t="e">
        <f>IF(OR(ISBLANK(Input!$AJ$4),$D$27=FALSE),NA(),('Reaction Information'!$J$29/10+'Reaction Information'!$K$29*100/(Calculations!$C$12+Calculations!$M101)+('Reaction Information'!$L$29+'Reaction Information'!$M$29*10000/(Calculations!$C$12+Calculations!$M101))/(Calculations!$O101-Calculations!$C$13)-calculateOmega(Calculations!M101,Calculations!N101,Calculations!Q101,'Reaction Information'!$C$29,'Reaction Information'!$P$29*10^5,'Reaction Information'!$Q$29)*Calculations!$U101*10^-6 + (1/$S101 - 1)*calculate_domegadP(Calculations!M101,Calculations!N101,Calculations!Q101,'Reaction Information'!$C$29,'Reaction Information'!$P$29*10^5,'Reaction Information'!$Q$29,$D$20,$D$19=3))*41.84)</f>
        <v>#N/A</v>
      </c>
      <c r="BR101" s="8" t="e">
        <f>IF(OR(ISBLANK(Input!$AM$4),$D$27=FALSE),NA(),('Reaction Information'!$J$33/10+'Reaction Information'!$K$33*100/(Calculations!$C$12+Calculations!$M101)+('Reaction Information'!$L$33+'Reaction Information'!$M$33*10000/(Calculations!$C$12+Calculations!$M101))/(Calculations!$O101-Calculations!$C$13)-calculateOmega(Calculations!M101,Calculations!N101,Calculations!Q101,'Reaction Information'!$C$33,'Reaction Information'!$P$33*10^5,'Reaction Information'!$Q$33)*Calculations!$U101*10^-6 + (1/$S101 - 1)*calculate_domegadP(Calculations!M101,Calculations!N101,Calculations!Q101,'Reaction Information'!$C$33,'Reaction Information'!$P$33*10^5,'Reaction Information'!$Q$33,$D$20,$D$19=3))*41.84)</f>
        <v>#N/A</v>
      </c>
      <c r="BS101" s="1">
        <f>Results!AW103</f>
        <v>0</v>
      </c>
      <c r="BT101" s="1">
        <f>Results!AX103</f>
        <v>0</v>
      </c>
      <c r="BU101" s="1">
        <f>Results!AY103</f>
        <v>0</v>
      </c>
      <c r="BV101" s="1">
        <f>Results!AZ103</f>
        <v>0</v>
      </c>
      <c r="BW101" s="1" t="e">
        <f>IF(OR(ISNA('Reaction Information'!$D$38), $N101 = "", $D$27 = FALSE, 'Reaction Information'!$D$38 = ""), NA(), 24.465)</f>
        <v>#N/A</v>
      </c>
      <c r="BX101" s="1" t="e">
        <f>IF(OR(ISNA('Reaction Information'!$D$42), $N101 = "", $D$27 = FALSE, 'Reaction Information'!$D$42 = ""), NA(), 24.465)</f>
        <v>#N/A</v>
      </c>
      <c r="BY101" s="8" t="e">
        <f t="shared" si="22"/>
        <v>#N/A</v>
      </c>
      <c r="BZ101" s="8">
        <f>IF(OR(ISBLANK(Input!$BK$4),$D$27=FALSE),NA(),('Reaction Information'!$J$46/10+'Reaction Information'!$K$46*100/(Calculations!$C$12+Calculations!$M101)+('Reaction Information'!$L$46+'Reaction Information'!$M$46*10000/(Calculations!$C$12+Calculations!$M101))/(Calculations!$O101-Calculations!$C$13)-calculateOmega(Calculations!M101,Calculations!N101,Calculations!Q101,'Reaction Information'!$C$46,'Reaction Information'!$P$46*10^5,'Reaction Information'!$Q$46)*Calculations!$U101*10^-6 + (1/$S101 - 1)*calculate_domegadP(Calculations!M101,Calculations!N101,Calculations!Q101,'Reaction Information'!$C$46,'Reaction Information'!$P$46*10^5,'Reaction Information'!$Q$46,$D$20,$D$19=3))*41.84)</f>
        <v>0</v>
      </c>
      <c r="CA101" s="8">
        <f>IF(OR(ISBLANK(Input!$BN$4),$D$27=FALSE),NA(),('Reaction Information'!$J$50/10+'Reaction Information'!$K$50*100/(Calculations!$C$12+Calculations!$M101)+('Reaction Information'!$L$50+'Reaction Information'!$M$50*10000/(Calculations!$C$12+Calculations!$M101))/(Calculations!$O101-Calculations!$C$13)-calculateOmega(Calculations!M101,Calculations!N101,Calculations!Q101,'Reaction Information'!$C$50,'Reaction Information'!$P$50*10^5,'Reaction Information'!$Q$50)*Calculations!$U101*10^-6 + (1/$S101 - 1)*calculate_domegadP(Calculations!M101,Calculations!N101,Calculations!Q101,'Reaction Information'!$C$50,'Reaction Information'!$P$50*10^5,'Reaction Information'!$Q$50,$D$20,$D$19=3))*41.84)</f>
        <v>31.086409295698765</v>
      </c>
      <c r="CB101" s="8" t="e">
        <f>IF(OR(ISBLANK(Input!$BQ$4),$D$27=FALSE),NA(),('Reaction Information'!$J$54/10+'Reaction Information'!$K$54*100/(Calculations!$C$12+Calculations!$M101)+('Reaction Information'!$L$54+'Reaction Information'!$M$54*10000/(Calculations!$C$12+Calculations!$M101))/(Calculations!$O101-Calculations!$C$13)-calculateOmega(Calculations!M101,Calculations!N101,Calculations!Q101,'Reaction Information'!$C$54,'Reaction Information'!$P$54*10^5,'Reaction Information'!$Q$54)*Calculations!$U101*10^-6 + (1/$S101 - 1)*calculate_domegadP(Calculations!M101,Calculations!N101,Calculations!Q101,'Reaction Information'!$C$54,'Reaction Information'!$P$54*10^5,'Reaction Information'!$Q$54,$D$20,$D$19=3))*41.84)</f>
        <v>#N/A</v>
      </c>
      <c r="CC101" s="8" t="e">
        <f>IF(OR(ISBLANK(Input!$BT$4),$D$27=FALSE),NA(),('Reaction Information'!$J$58/10+'Reaction Information'!$K$58*100/(Calculations!$C$12+Calculations!$M101)+('Reaction Information'!$L$58+'Reaction Information'!$M$58*10000/(Calculations!$C$12+Calculations!$M101))/(Calculations!$O101-Calculations!$C$13)-calculateOmega(Calculations!M101,Calculations!N101,Calculations!Q101,'Reaction Information'!$C$58,'Reaction Information'!$P$58*10^5,'Reaction Information'!$Q$58)*Calculations!$U101*10^-6 + (1/$S101 - 1)*calculate_domegadP(Calculations!M101,Calculations!N101,Calculations!Q101,'Reaction Information'!$C$58,'Reaction Information'!$P$58*10^5,'Reaction Information'!$Q$58,$D$20,$D$19=3))*41.84)</f>
        <v>#N/A</v>
      </c>
      <c r="CD101" s="8" t="e">
        <f>IF(OR(ISBLANK(Input!$BW$4),$D$27=FALSE),NA(),('Reaction Information'!$J$62/10+'Reaction Information'!$K$62*100/(Calculations!$C$12+Calculations!$M101)+('Reaction Information'!$L$62+'Reaction Information'!$M$62*10000/(Calculations!$C$12+Calculations!$M101))/(Calculations!$O101-Calculations!$C$13)-calculateOmega(Calculations!M101,Calculations!N101,Calculations!Q101,'Reaction Information'!$C$62,'Reaction Information'!$P$62*10^5,'Reaction Information'!$Q$62)*Calculations!$U101*10^-6 + (1/$S101 - 1)*calculate_domegadP(Calculations!M101,Calculations!N101,Calculations!Q101,'Reaction Information'!$C$62,'Reaction Information'!$P$62*10^5,'Reaction Information'!$Q$62,$D$20,$D$19=3))*41.84)</f>
        <v>#N/A</v>
      </c>
      <c r="CE101" s="8" t="e">
        <f>IF(OR(ISBLANK(Input!$BZ$4),$D$27=FALSE),NA(),('Reaction Information'!$J$66/10+'Reaction Information'!$K$66*100/(Calculations!$C$12+Calculations!$M101)+('Reaction Information'!$L$66+'Reaction Information'!$M$66*10000/(Calculations!$C$12+Calculations!$M101))/(Calculations!$O101-Calculations!$C$13)-calculateOmega(Calculations!M101,Calculations!N101,Calculations!Q101,'Reaction Information'!$C$66,'Reaction Information'!$P$66*10^5,'Reaction Information'!$Q$66)*Calculations!$U101*10^-6 + (1/$S101 - 1)*calculate_domegadP(Calculations!M101,Calculations!N101,Calculations!Q101,'Reaction Information'!$C$66,'Reaction Information'!$P$66*10^5,'Reaction Information'!$Q$66,$D$20,$D$19=3))*41.84)</f>
        <v>#N/A</v>
      </c>
      <c r="CF101" s="31">
        <f>(BS101*Input!$AO$4+BT101*Input!$AR$4+BU101*Input!$AU$4+BV101*Input!$AX$4+IF(ISNA(BW101),0,BW101*Input!$BA$4)+IF(ISNA(BX101),0,BX101*Input!$BD$4)+IF(ISNA(BY101),0,BY101*Input!$BG$4)+IF(ISNA(BZ101),0,BZ101*Input!$BJ$4)+IF(ISNA(CA101),0,CA101*Input!$BM$4)+IF(ISNA(CB101),0,CB101*Input!$BP$4)+IF(ISNA(CC101),0,CC101*Input!$BS$4)+IF(ISNA(CD101),0,CD101*Input!$BV$4)+IF(ISNA(CE101),0,CE101*Input!$BY$4))-(BF101*Input!$B$4+BG101*Input!$E$4+BH101*Input!$H$4+BI101*Input!$K$4+IF(ISNA(BJ101),0,BJ101*Input!$N$4)+IF(ISNA(BK101),0,BK101*Input!$Q$4)+IF(ISNA(BL101),0,BL101*Input!$T$4)+IF(ISNA(BM101),0,BM101*Input!$W$4)+IF(ISNA(BN101),0,BN101*Input!$Z$4)+IF(ISNA(BO101),0,BO101*Input!$AC$4)+IF(ISNA(BP101),0,BP101*Input!$AF$4)+IF(ISNA(BQ101),0,BQ101*Input!$AI$4)+IF(ISNA(BR101),0,BR101*Input!$AL$4))</f>
        <v>-12.988610075613643</v>
      </c>
      <c r="CG101" s="1">
        <f t="shared" si="31"/>
        <v>550</v>
      </c>
      <c r="CH101" s="46">
        <f t="shared" si="32"/>
        <v>35000</v>
      </c>
      <c r="CI101" s="1"/>
    </row>
    <row r="102" spans="1:87" x14ac:dyDescent="0.2">
      <c r="A102" s="1"/>
      <c r="B102" s="1"/>
      <c r="C102" s="1"/>
      <c r="D102" s="1"/>
      <c r="E102" s="1"/>
      <c r="F102" s="2">
        <v>97</v>
      </c>
      <c r="G102" s="1" t="str">
        <f>IF(ISBLANK(Input!CB102), "", Input!CB102*1000)</f>
        <v/>
      </c>
      <c r="H102" s="1" t="str">
        <f>IF(ISBLANK(Input!CC102), "", Input!CC102)</f>
        <v/>
      </c>
      <c r="I102" s="1">
        <f>IF(Input!$CF$5 + Input!$CF$6*(FLOOR((Calculations!$F102-1)/(FLOOR((Input!$CF$12-Input!$CF$10)/Input!$CF$11,1)+1),1)) &gt; Input!$CF$7, "", (Input!$CF$5 + Input!$CF$6*(FLOOR((Calculations!$F102-1)/(FLOOR((Input!$CF$12-Input!$CF$10)/Input!$CF$11,1)+1),1)))*1000)</f>
        <v>35000</v>
      </c>
      <c r="J102" s="1">
        <f>IF(Calculations!I102 = "", "", Input!$CF$10 + Input!$CF$11*(Calculations!$F102-1) - (FLOOR((Input!$CF$12-Input!$CF$10)/Input!$CF$11,1)+1)*Input!$CF$11*FLOOR((Calculations!$F102-1)/(FLOOR((Input!$CF$12-Input!$CF$10)/Input!$CF$11,1)+1),1))</f>
        <v>600</v>
      </c>
      <c r="K102" s="8" t="str">
        <f t="shared" si="33"/>
        <v/>
      </c>
      <c r="L102" s="117" t="str">
        <f>IF(OR(Input!$CJ$5 + Input!$CJ$6*(Calculations!F102-1) &gt; Input!$CJ$7, Input!$CJ$5 + Input!$CJ$6*(Calculations!F102-1) &gt; 350), "", Input!$CJ$5 + Input!$CJ$6*(Calculations!F102-1))</f>
        <v/>
      </c>
      <c r="M102" s="1">
        <f t="shared" si="23"/>
        <v>35000</v>
      </c>
      <c r="N102" s="1">
        <f t="shared" si="24"/>
        <v>600</v>
      </c>
      <c r="O102" s="1">
        <f t="shared" ref="O102:O133" si="34">N102+273.15</f>
        <v>873.15</v>
      </c>
      <c r="P102" s="1" t="e">
        <f>IF(OR($D$20=3,AND($D$21=TRUE,M102&lt;1000)),INDEX('Water Density'!$C$6:$CX$120,MATCH(Calculations!N102,'Water Density'!$B$6:$B$120),MATCH(Calculations!M102/1000,'Water Density'!$C$5:$CX$5)),NA())</f>
        <v>#N/A</v>
      </c>
      <c r="Q102" s="182">
        <f>IF(OR($D$20=3,AND($D$21=TRUE,M102&lt;1000)), IF(P102&lt;&gt;0,P102,NA()), calculateDensity(M102,N102,$D$20,0.01,$D$19 = 3))</f>
        <v>1.2815956333911418</v>
      </c>
      <c r="R102" s="1" t="e">
        <f>IF($D$22=5,INDEX('Dielectric Constant'!$C$6:$CX$120,MATCH(Calculations!N102,'Dielectric Constant'!$B$6:$B$120),MATCH(Calculations!M102/1000,'Dielectric Constant'!$C$5:$CX$5)),NA())</f>
        <v>#N/A</v>
      </c>
      <c r="S102" s="58">
        <f>IF($D$22=5, IF(R102&lt;&gt;0,R102,NA()), IF(AND($D$23,M102&lt;=5000,$D$19 &lt;&gt; 3),calculateEpsilon(Q102,N102,1,FALSE),calculateEpsilon(Q102,N102,$D$22,$D$19 = 3)))</f>
        <v>29.46445674360379</v>
      </c>
      <c r="T102" s="1" t="e">
        <f>IF($D$24=3,INDEX('Water Free Energy'!$C$6:$CX$120,MATCH(Calculations!N102,'Water Free Energy'!$B$6:$B$120),MATCH(Calculations!M102/1000,'Water Free Energy'!$C$5:$CX$5)),NA())</f>
        <v>#N/A</v>
      </c>
      <c r="U102" s="179">
        <f>IF($D$27,calculateQ(M102,N102,Q102,$D$20,$D$22,$D$19=3)*10^6,NA())</f>
        <v>0.20686344225696332</v>
      </c>
      <c r="V102"/>
      <c r="W102" s="2">
        <f t="shared" si="25"/>
        <v>35000</v>
      </c>
      <c r="X102" s="1">
        <f t="shared" si="26"/>
        <v>600</v>
      </c>
      <c r="Y102" s="1">
        <f>Results!F104</f>
        <v>0</v>
      </c>
      <c r="Z102" s="1">
        <f>Results!G104</f>
        <v>0</v>
      </c>
      <c r="AA102" s="1">
        <f>Results!H104</f>
        <v>0</v>
      </c>
      <c r="AB102" s="1">
        <f>Results!I104</f>
        <v>0</v>
      </c>
      <c r="AC102" s="1" t="e">
        <f>IF(ISBLANK(Input!$O$4),NA(),'Reaction Information'!$E$5-'Reaction Information'!$G$5*(Calculations!$O102-Calculations!$C$8)+'Reaction Information'!$I$5*(Calculations!$O102-Calculations!$C$8-Calculations!$O102*LN(Calculations!$O102/Calculations!$C$8))+'Reaction Information'!$J$5*0.001/2*(2*Calculations!$O102*Calculations!$C$8-Calculations!$O102^2-Calculations!$C$8^2) + 'Reaction Information'!$K$5*100000*(Calculations!$O102^2 + Calculations!$C$8^2 - 2*Calculations!$O102*Calculations!$C$8)/(2*Calculations!$O102*Calculations!$C$8^2))</f>
        <v>#N/A</v>
      </c>
      <c r="AD102" s="8" t="e">
        <f>IF(ISBLANK(Input!$R$4),NA(),'Reaction Information'!$E$9-'Reaction Information'!$G$9*(Calculations!$O102-Calculations!$C$8)+'Reaction Information'!$I$9*(Calculations!$O102-Calculations!$C$8-Calculations!$O102*LN(Calculations!$O102/Calculations!$C$8))+'Reaction Information'!$J$9*0.001/2*(2*Calculations!$O102*Calculations!$C$8-Calculations!$O102^2-Calculations!$C$8^2) + 'Reaction Information'!$K$9*100000*(Calculations!$O102^2 + Calculations!$C$8^2 - 2*Calculations!$O102*Calculations!$C$8)/(2*Calculations!$O102*Calculations!$C$8^2))</f>
        <v>#N/A</v>
      </c>
      <c r="AE102" s="8">
        <f>IF(AE$5="H2O",IF($D$24=3,IF(T102=0,NA(),T102),calculateGibbsOfWater(M102,N102,$D$24,$D$20,$D$19=3)),NA())</f>
        <v>-57821.499327965968</v>
      </c>
      <c r="AF102" s="8">
        <f>IF(ISBLANK(Input!$X$4),NA(),'Reaction Information'!$E$13-'Reaction Information'!$G$13*(Calculations!O102-Calculations!$C$8)-'Reaction Information'!$N$13*(Calculations!O102*LN(Calculations!O102/Calculations!$C$8)-Calculations!O102+Calculations!$C$8)-'Reaction Information'!$O$13*10^4*(((1/(Calculations!O102-Calculations!$C$13))-(1/(Calculations!$C$8-Calculations!$C$13)))*((Calculations!$C$13-Calculations!O102)/(Calculations!$C$13))-(Calculations!O102/(Calculations!$C$13*Calculations!$C$13))*LN((Calculations!$C$8*(Calculations!O102-Calculations!$C$13))/(Calculations!O102*(Calculations!$C$8-Calculations!$C$13))))+'Reaction Information'!$J$13*10^-1*(Calculations!M102-Calculations!$C$9)+'Reaction Information'!$K$13*10^2*LN((Calculations!$C$12+Calculations!M102)/(Calculations!$C$12+Calculations!$C$9))+(1/(Calculations!O102-Calculations!$C$13))*('Reaction Information'!$L$13*(Calculations!M102-Calculations!$C$9)+'Reaction Information'!$M$13*10^4*LN((Calculations!$C$12+Calculations!M102)/(Calculations!$C$12+Calculations!$C$9)))+calculateOmega(Calculations!M102,Calculations!N102,Calculations!Q102,'Reaction Information'!$C$13,'Reaction Information'!$P$13*10^5,'Reaction Information'!$Q$13)*((1/Calculations!S102)-1)-'Reaction Information'!$P$13*10^5*((1/Calculations!$C$10)-1)+'Reaction Information'!$P$13*10^5*Calculations!$C$14*(Calculations!O102-Calculations!$C$8))</f>
        <v>-90008.598904221406</v>
      </c>
      <c r="AG102" s="8" t="e">
        <f>IF(ISBLANK(Input!$AA$4),NA(),'Reaction Information'!$E$17-'Reaction Information'!$G$17*(Calculations!$O102-Calculations!$C$8)-'Reaction Information'!$N$17*(Calculations!$O102*LN(Calculations!$O102/Calculations!$C$8)-Calculations!$O102+Calculations!$C$8)-'Reaction Information'!$O$17*10^4*(((1/(Calculations!$O102-Calculations!$C$13))-(1/(Calculations!$C$8-Calculations!$C$13)))*((Calculations!$C$13-Calculations!$O102)/(Calculations!$C$13))-(Calculations!$O102/(Calculations!$C$13*Calculations!$C$13))*LN((Calculations!$C$8*(Calculations!$O102-Calculations!$C$13))/(Calculations!$O102*(Calculations!$C$8-Calculations!$C$13))))+'Reaction Information'!$J$17*10^-1*(Calculations!$M102-Calculations!$C$9)+'Reaction Information'!$K$17*10^2*LN((Calculations!$C$12+Calculations!$M102)/(Calculations!$C$12+Calculations!$C$9))+(1/(Calculations!$O102-Calculations!$C$13))*('Reaction Information'!$L$17*(Calculations!$M102-Calculations!$C$9)+'Reaction Information'!$M$17*10^4*LN((Calculations!$C$12+Calculations!$M102)/(Calculations!$C$12+Calculations!$C$9)))+calculateOmega(Calculations!M102,Calculations!N102,Calculations!Q102,'Reaction Information'!$C$17,'Reaction Information'!$P$17*10^5,'Reaction Information'!$Q$17)*((1/Calculations!$S102)-1)-'Reaction Information'!$P$17*10^5*((1/Calculations!$C$10)-1)+'Reaction Information'!$P$17*10^5*Calculations!$C$14*(Calculations!$O102-Calculations!$C$8))</f>
        <v>#N/A</v>
      </c>
      <c r="AH102" s="8" t="e">
        <f>IF(ISBLANK(Input!$AD$4),NA(),'Reaction Information'!$E$21-'Reaction Information'!$G$21*(Calculations!$O102-Calculations!$C$8)-'Reaction Information'!$N$21*(Calculations!$O102*LN(Calculations!$O102/Calculations!$C$8)-Calculations!$O102+Calculations!$C$8)-'Reaction Information'!$O$21*10^4*(((1/(Calculations!$O102-Calculations!$C$13))-(1/(Calculations!$C$8-Calculations!$C$13)))*((Calculations!$C$13-Calculations!$O102)/(Calculations!$C$13))-(Calculations!$O102/(Calculations!$C$13*Calculations!$C$13))*LN((Calculations!$C$8*(Calculations!$O102-Calculations!$C$13))/(Calculations!$O102*(Calculations!$C$8-Calculations!$C$13))))+'Reaction Information'!$J$21*10^-1*(Calculations!$M102-Calculations!$C$9)+'Reaction Information'!$K$21*10^2*LN((Calculations!$C$12+Calculations!$M102)/(Calculations!$C$12+Calculations!$C$9))+(1/(Calculations!$O102-Calculations!$C$13))*('Reaction Information'!$L$21*(Calculations!$M102-Calculations!$C$9)+'Reaction Information'!$M$21*10^4*LN((Calculations!$C$12+Calculations!$M102)/(Calculations!$C$12+Calculations!$C$9)))+calculateOmega(Calculations!M102,Calculations!N102,Calculations!Q102,'Reaction Information'!$C$21,'Reaction Information'!$P$21*10^5,'Reaction Information'!$Q$21)*((1/Calculations!$S102)-1)-'Reaction Information'!$P$21*10^5*((1/Calculations!$C$10)-1)+'Reaction Information'!$P$21*10^5*Calculations!$C$14*(Calculations!$O102-Calculations!$C$8))</f>
        <v>#N/A</v>
      </c>
      <c r="AI102" s="8" t="e">
        <f>IF(ISBLANK(Input!$AG$4),NA(),'Reaction Information'!$E$25-'Reaction Information'!$G$25*(Calculations!$O102-Calculations!$C$8)-'Reaction Information'!$N$25*(Calculations!$O102*LN(Calculations!$O102/Calculations!$C$8)-Calculations!$O102+Calculations!$C$8)-'Reaction Information'!$O$25*10^4*(((1/(Calculations!$O102-Calculations!$C$13))-(1/(Calculations!$C$8-Calculations!$C$13)))*((Calculations!$C$13-Calculations!$O102)/(Calculations!$C$13))-(Calculations!$O102/(Calculations!$C$13*Calculations!$C$13))*LN((Calculations!$C$8*(Calculations!$O102-Calculations!$C$13))/(Calculations!$O102*(Calculations!$C$8-Calculations!$C$13))))+'Reaction Information'!$J$25*10^-1*(Calculations!$M102-Calculations!$C$9)+'Reaction Information'!$K$25*10^2*LN((Calculations!$C$12+Calculations!$M102)/(Calculations!$C$12+Calculations!$C$9))+(1/(Calculations!$O102-Calculations!$C$13))*('Reaction Information'!$L$25*(Calculations!$M102-Calculations!$C$9)+'Reaction Information'!$M$25*10^4*LN((Calculations!$C$12+Calculations!$M102)/(Calculations!$C$12+Calculations!$C$9)))+calculateOmega(Calculations!M102,Calculations!N102,Calculations!Q102,'Reaction Information'!$C$25,'Reaction Information'!$P$25*10^5,'Reaction Information'!$Q$25)*((1/Calculations!$S102)-1)-'Reaction Information'!$P$25*10^5*((1/Calculations!$C$10)-1)+'Reaction Information'!$P$25*10^5*Calculations!$C$14*(Calculations!$O102-Calculations!$C$8))</f>
        <v>#N/A</v>
      </c>
      <c r="AJ102" s="8" t="e">
        <f>IF(ISBLANK(Input!$AJ$4),NA(),'Reaction Information'!$E$29-'Reaction Information'!$G$29*(Calculations!$O102-Calculations!$C$8)-'Reaction Information'!$N$29*(Calculations!$O102*LN(Calculations!$O102/Calculations!$C$8)-Calculations!$O102+Calculations!$C$8)-'Reaction Information'!$O$29*10^4*(((1/(Calculations!$O102-Calculations!$C$13))-(1/(Calculations!$C$8-Calculations!$C$13)))*((Calculations!$C$13-Calculations!$O102)/(Calculations!$C$13))-(Calculations!$O102/(Calculations!$C$13*Calculations!$C$13))*LN((Calculations!$C$8*(Calculations!$O102-Calculations!$C$13))/(Calculations!$O102*(Calculations!$C$8-Calculations!$C$13))))+'Reaction Information'!$J$29*10^-1*(Calculations!$M102-Calculations!$C$9)+'Reaction Information'!$K$29*10^2*LN((Calculations!$C$12+Calculations!$M102)/(Calculations!$C$12+Calculations!$C$9))+(1/(Calculations!$O102-Calculations!$C$13))*('Reaction Information'!$L$29*(Calculations!$M102-Calculations!$C$9)+'Reaction Information'!$M$29*10^4*LN((Calculations!$C$12+Calculations!$M102)/(Calculations!$C$12+Calculations!$C$9)))+calculateOmega(Calculations!M102,Calculations!N102,Calculations!Q102,'Reaction Information'!$C$29,'Reaction Information'!$P$29*10^5,'Reaction Information'!$Q$29)*((1/Calculations!$S102)-1)-'Reaction Information'!$P$29*10^5*((1/Calculations!$C$10)-1)+'Reaction Information'!$P$29*10^5*Calculations!$C$14*(Calculations!$O102-Calculations!$C$8))</f>
        <v>#N/A</v>
      </c>
      <c r="AK102" s="8" t="e">
        <f>IF(ISBLANK(Input!$AM$4),NA(),'Reaction Information'!$E$33-'Reaction Information'!$G$33*(Calculations!$O102-Calculations!$C$8)-'Reaction Information'!$N$33*(Calculations!$O102*LN(Calculations!$O102/Calculations!$C$8)-Calculations!$O102+Calculations!$C$8)-'Reaction Information'!$O$33*10^4*(((1/(Calculations!$O102-Calculations!$C$13))-(1/(Calculations!$C$8-Calculations!$C$13)))*((Calculations!$C$13-Calculations!$O102)/(Calculations!$C$13))-(Calculations!$O102/(Calculations!$C$13*Calculations!$C$13))*LN((Calculations!$C$8*(Calculations!$O102-Calculations!$C$13))/(Calculations!$O102*(Calculations!$C$8-Calculations!$C$13))))+'Reaction Information'!$J$33*10^-1*(Calculations!$M102-Calculations!$C$9)+'Reaction Information'!$K$33*10^2*LN((Calculations!$C$12+Calculations!$M102)/(Calculations!$C$12+Calculations!$C$9))+(1/(Calculations!$O102-Calculations!$C$13))*('Reaction Information'!$L$33*(Calculations!$M102-Calculations!$C$9)+'Reaction Information'!$M$33*10^4*LN((Calculations!$C$12+Calculations!$M102)/(Calculations!$C$12+Calculations!$C$9)))+calculateOmega(Calculations!M102,Calculations!N102,Calculations!Q102,'Reaction Information'!$C$33,'Reaction Information'!$P$33*10^5,'Reaction Information'!$Q$33)*((1/Calculations!$S102)-1)-'Reaction Information'!$P$33*10^5*((1/Calculations!$C$10)-1)+'Reaction Information'!$P$33*10^5*Calculations!$C$14*(Calculations!$O102-Calculations!$C$8))</f>
        <v>#N/A</v>
      </c>
      <c r="AL102" s="1">
        <f>Results!S104</f>
        <v>0</v>
      </c>
      <c r="AM102" s="1">
        <f>Results!T104</f>
        <v>0</v>
      </c>
      <c r="AN102" s="1">
        <f>Results!U104</f>
        <v>0</v>
      </c>
      <c r="AO102" s="1">
        <f>Results!V104</f>
        <v>0</v>
      </c>
      <c r="AP102" s="8" t="e">
        <f>IF(ISBLANK(Input!$BB$4),NA(),'Reaction Information'!$E$38-'Reaction Information'!$G$38*(Calculations!$O102-Calculations!$C$8)+'Reaction Information'!$I$38*(Calculations!$O102-Calculations!$C$8-Calculations!$O102*LN(Calculations!$O102/Calculations!$C$8))+'Reaction Information'!$J$38*0.001/2*(2*Calculations!$O102*Calculations!$C$8-Calculations!$O102^2-Calculations!$C$8^2) + 'Reaction Information'!$K$38*100000*(Calculations!$O102^2 + Calculations!$C$8^2 - 2*Calculations!$O102*Calculations!$C$8)/(2*Calculations!$O102*Calculations!$C$8^2))</f>
        <v>#N/A</v>
      </c>
      <c r="AQ102" s="8" t="e">
        <f>IF(ISBLANK(Input!$BE$4),NA(),'Reaction Information'!$E$42-'Reaction Information'!$G$42*(Calculations!$O102-Calculations!$C$8)+'Reaction Information'!$I$42*(Calculations!$O102-Calculations!$C$8-Calculations!$O102*LN(Calculations!$O102/Calculations!$C$8))+'Reaction Information'!$J$42*0.001/2*(2*Calculations!$O102*Calculations!$C$8-Calculations!$O102^2-Calculations!$C$8^2) + 'Reaction Information'!$K$42*100000*(Calculations!$O102^2 + Calculations!$C$8^2 - 2*Calculations!$O102*Calculations!$C$8)/(2*Calculations!$O102*Calculations!$C$8^2))</f>
        <v>#N/A</v>
      </c>
      <c r="AR102" s="8" t="e">
        <f>IF(AR$5="H2O", IF($D$24=3,IF(T102=0,NA(),T102),calculateGibbsOfWater(M102,N102,$D$24,$D$20,$D$19=3)),NA())</f>
        <v>#N/A</v>
      </c>
      <c r="AS102" s="8">
        <f>IF(ISBLANK(Input!$BK$4),NA(),'Reaction Information'!$E$46-'Reaction Information'!$G$46*(Calculations!O102-Calculations!$C$8)-'Reaction Information'!$N$46*(Calculations!O102*LN(Calculations!O102/Calculations!$C$8)-Calculations!O102+Calculations!$C$8)-'Reaction Information'!$O$46*10^4*(((1/(Calculations!O102-Calculations!$C$13))-(1/(Calculations!$C$8-Calculations!$C$13)))*((Calculations!$C$13-Calculations!O102)/(Calculations!$C$13))-(Calculations!O102/(Calculations!$C$13*Calculations!$C$13))*LN((Calculations!$C$8*(Calculations!O102-Calculations!$C$13))/(Calculations!O102*(Calculations!$C$8-Calculations!$C$13))))+'Reaction Information'!$J$46*10^-1*(Calculations!$M102-Calculations!$C$9)+'Reaction Information'!$K$46*10^2*LN((Calculations!$C$12+Calculations!$M102)/(Calculations!$C$12+Calculations!$C$9))+(1/(Calculations!O102-Calculations!$C$13))*('Reaction Information'!$L$46*(Calculations!$M102-Calculations!$C$9)+'Reaction Information'!$M$46*10^4*LN((Calculations!$C$12+Calculations!$M102)/(Calculations!$C$12+Calculations!$C$9)))+calculateOmega(Calculations!M102,Calculations!N102,Calculations!Q102,'Reaction Information'!$C$46,'Reaction Information'!$P$46*10^5,'Reaction Information'!$Q$46)*((1/Calculations!S102)-1)-'Reaction Information'!$P$46*10^5*((1/Calculations!$C$10)-1)+'Reaction Information'!$P$46*10^5*Calculations!$C$14*(Calculations!O102-Calculations!$C$8))</f>
        <v>0</v>
      </c>
      <c r="AT102" s="8">
        <f>IF(ISBLANK(Input!$BN$4),NA(),'Reaction Information'!$E$50-'Reaction Information'!$G$50*(Calculations!O102-Calculations!$C$8)-'Reaction Information'!$N$50*(Calculations!O102*LN(Calculations!O102/Calculations!$C$8)-Calculations!O102+Calculations!$C$8)-'Reaction Information'!$O$50*10^4*(((1/(Calculations!O102-Calculations!$C$13))-(1/(Calculations!$C$8-Calculations!$C$13)))*((Calculations!$C$13-Calculations!O102)/(Calculations!$C$13))-(Calculations!O102/(Calculations!$C$13*Calculations!$C$13))*LN((Calculations!$C$8*(Calculations!O102-Calculations!$C$13))/(Calculations!O102*(Calculations!$C$8-Calculations!$C$13))))+'Reaction Information'!$J$50*10^-1*(Calculations!$M102-Calculations!$C$9)+'Reaction Information'!$K$50*10^2*LN((Calculations!$C$12+Calculations!$M102)/(Calculations!$C$12+Calculations!$C$9))+(1/(Calculations!O102-Calculations!$C$13))*('Reaction Information'!$L$50*(Calculations!$M102-Calculations!$C$9)+'Reaction Information'!$M$50*10^4*LN((Calculations!$C$12+Calculations!$M102)/(Calculations!$C$12+Calculations!$C$9)))+calculateOmega(Calculations!M102,Calculations!N102,Calculations!Q102,'Reaction Information'!$C$50,'Reaction Information'!$P$50*10^5,'Reaction Information'!$Q$50)*((1/Calculations!S102)-1)-'Reaction Information'!$P$50*10^5*((1/Calculations!$C$10)-1)+'Reaction Information'!$P$50*10^5*Calculations!$C$14*(Calculations!O102-Calculations!$C$8))</f>
        <v>-131782.1983363897</v>
      </c>
      <c r="AU102" s="8" t="e">
        <f>IF(ISBLANK(Input!$BQ$4),NA(),'Reaction Information'!$E$54-'Reaction Information'!$G$54*(Calculations!$O102-Calculations!$C$8)-'Reaction Information'!$N$54*(Calculations!$O102*LN(Calculations!$O102/Calculations!$C$8)-Calculations!$O102+Calculations!$C$8)-'Reaction Information'!$O$54*10^4*(((1/(Calculations!$O102-Calculations!$C$13))-(1/(Calculations!$C$8-Calculations!$C$13)))*((Calculations!$C$13-Calculations!$O102)/(Calculations!$C$13))-(Calculations!$O102/(Calculations!$C$13*Calculations!$C$13))*LN((Calculations!$C$8*(Calculations!$O102-Calculations!$C$13))/(Calculations!$O102*(Calculations!$C$8-Calculations!$C$13))))+'Reaction Information'!$J$54*10^-1*(Calculations!$M102-Calculations!$C$9)+'Reaction Information'!$K$54*10^2*LN((Calculations!$C$12+Calculations!$M102)/(Calculations!$C$12+Calculations!$C$9))+(1/(Calculations!$O102-Calculations!$C$13))*('Reaction Information'!$L$54*(Calculations!$M102-Calculations!$C$9)+'Reaction Information'!$M$54*10^4*LN((Calculations!$C$12+Calculations!$M102)/(Calculations!$C$12+Calculations!$C$9)))+calculateOmega(Calculations!M102,Calculations!N102,Calculations!Q102,'Reaction Information'!$C$54,'Reaction Information'!$P$54*10^5,'Reaction Information'!$Q$54)*((1/Calculations!$S102)-1)-'Reaction Information'!$P$54*10^5*((1/Calculations!$C$10)-1)+'Reaction Information'!$P$54*10^5*Calculations!$C$14*(Calculations!$O102-Calculations!$C$8))</f>
        <v>#N/A</v>
      </c>
      <c r="AV102" s="8" t="e">
        <f>IF(ISBLANK(Input!$BT$4),NA(),'Reaction Information'!$E$58-'Reaction Information'!$G$58*(Calculations!$O102-Calculations!$C$8)-'Reaction Information'!$N$58*(Calculations!$O102*LN(Calculations!$O102/Calculations!$C$8)-Calculations!$O102+Calculations!$C$8)-'Reaction Information'!$O$58*10^4*(((1/(Calculations!$O102-Calculations!$C$13))-(1/(Calculations!$C$8-Calculations!$C$13)))*((Calculations!$C$13-Calculations!$O102)/(Calculations!$C$13))-(Calculations!$O102/(Calculations!$C$13*Calculations!$C$13))*LN((Calculations!$C$8*(Calculations!$O102-Calculations!$C$13))/(Calculations!$O102*(Calculations!$C$8-Calculations!$C$13))))+'Reaction Information'!$J$58*10^-1*(Calculations!$M102-Calculations!$C$9)+'Reaction Information'!$K$58*10^2*LN((Calculations!$C$12+Calculations!$M102)/(Calculations!$C$12+Calculations!$C$9))+(1/(Calculations!$O102-Calculations!$C$13))*('Reaction Information'!$L$58*(Calculations!$M102-Calculations!$C$9)+'Reaction Information'!$M$58*10^4*LN((Calculations!$C$12+Calculations!$M102)/(Calculations!$C$12+Calculations!$C$9)))+calculateOmega(Calculations!M102,Calculations!N102,Calculations!Q102,'Reaction Information'!$C$58,'Reaction Information'!$P$58*10^5,'Reaction Information'!$Q$58)*((1/Calculations!$S102)-1)-'Reaction Information'!$P$58*10^5*((1/Calculations!$C$10)-1)+'Reaction Information'!$P$58*10^5*Calculations!$C$14*(Calculations!$O102-Calculations!$C$8))</f>
        <v>#N/A</v>
      </c>
      <c r="AW102" s="8" t="e">
        <f>IF(ISBLANK(Input!$BW$4),NA(),'Reaction Information'!$E$62-'Reaction Information'!$G$62*(Calculations!$O102-Calculations!$C$8)-'Reaction Information'!$N$62*(Calculations!$O102*LN(Calculations!$O102/Calculations!$C$8)-Calculations!$O102+Calculations!$C$8)-'Reaction Information'!$O$62*10^4*(((1/(Calculations!$O102-Calculations!$C$13))-(1/(Calculations!$C$8-Calculations!$C$13)))*((Calculations!$C$13-Calculations!$O102)/(Calculations!$C$13))-(Calculations!$O102/(Calculations!$C$13*Calculations!$C$13))*LN((Calculations!$C$8*(Calculations!$O102-Calculations!$C$13))/(Calculations!$O102*(Calculations!$C$8-Calculations!$C$13))))+'Reaction Information'!$J$62*10^-1*(Calculations!$M102-Calculations!$C$9)+'Reaction Information'!$K$62*10^2*LN((Calculations!$C$12+Calculations!$M102)/(Calculations!$C$12+Calculations!$C$9))+(1/(Calculations!$O102-Calculations!$C$13))*('Reaction Information'!$L$62*(Calculations!$M102-Calculations!$C$9)+'Reaction Information'!$M$62*10^4*LN((Calculations!$C$12+Calculations!$M102)/(Calculations!$C$12+Calculations!$C$9)))+calculateOmega(Calculations!M102,Calculations!N102,Calculations!Q102,'Reaction Information'!$C$62,'Reaction Information'!$P$62*10^5,'Reaction Information'!$Q$62)*((1/Calculations!$S102)-1)-'Reaction Information'!$P$62*10^5*((1/Calculations!$C$10)-1)+'Reaction Information'!$P$62*10^5*Calculations!$C$14*(Calculations!$O102-Calculations!$C$8))</f>
        <v>#N/A</v>
      </c>
      <c r="AX102" s="8" t="e">
        <f>IF(ISBLANK(Input!$BZ$4),NA(),'Reaction Information'!$E$66-'Reaction Information'!$G$66*(Calculations!$O102-Calculations!$C$8)-'Reaction Information'!$N$66*(Calculations!$O102*LN(Calculations!$O102/Calculations!$C$8)-Calculations!$O102+Calculations!$C$8)-'Reaction Information'!$O$66*10^4*(((1/(Calculations!$O102-Calculations!$C$13))-(1/(Calculations!$C$8-Calculations!$C$13)))*((Calculations!$C$13-Calculations!$O102)/(Calculations!$C$13))-(Calculations!$O102/(Calculations!$C$13*Calculations!$C$13))*LN((Calculations!$C$8*(Calculations!$O102-Calculations!$C$13))/(Calculations!$O102*(Calculations!$C$8-Calculations!$C$13))))+'Reaction Information'!$J$66*10^-1*(Calculations!$M102-Calculations!$C$9)+'Reaction Information'!$K$66*10^2*LN((Calculations!$C$12+Calculations!$M102)/(Calculations!$C$12+Calculations!$C$9))+(1/(Calculations!$O102-Calculations!$C$13))*('Reaction Information'!$L$66*(Calculations!$M102-Calculations!$C$9)+'Reaction Information'!$M$66*10^4*LN((Calculations!$C$12+Calculations!$M102)/(Calculations!$C$12+Calculations!$C$9)))+calculateOmega(Calculations!M102,Calculations!N102,Calculations!Q102,'Reaction Information'!$C$66,'Reaction Information'!$P$66*10^5,'Reaction Information'!$Q$66)*((1/Calculations!$S102)-1)-'Reaction Information'!$P$66*10^5*((1/Calculations!$C$10)-1)+'Reaction Information'!$P$66*10^5*Calculations!$C$14*(Calculations!$O102-Calculations!$C$8))</f>
        <v>#N/A</v>
      </c>
      <c r="AY102" s="31">
        <f>(AL102*Input!$AO$4+AM102*Input!$AR$4+AN102*Input!$AU$4+AO102*Input!$AX$4+IF(ISNA(AP102),0,AP102*Input!$BA$4)+IF(ISNA(AQ102),0,AQ102*Input!$BD$4)+IF(ISNA(AR102),0,AR102*Input!$BG$4)+IF(ISNA(AS102),0,AS102*Input!$BJ$4)+IF(ISNA(AT102),0,AT102*Input!$BM$4)+IF(ISNA(AU102),0,AU102*Input!$BP$4)+IF(ISNA(AV102),0,AV102*Input!$BS$4)+IF(ISNA(AW102),0,AW102*Input!$BV$4)+IF(ISNA(AX102),0,AX102*Input!$BY$4))-(Y102*Input!$B$4+Z102*Input!$E$4+AA102*Input!$H$4+AB102*Input!$K$4+IF(ISNA(AC102),0,AC102*Input!$N$4)+IF(ISNA(AD102),0,AD102*Input!$Q$4)+IF(ISNA(AE102),0,AE102*Input!$T$4)+IF(ISNA(AF102),0,AF102*Input!$W$4)+IF(ISNA(AG102),0,AG102*Input!$Z$4)+IF(ISNA(AH102),0,AH102*Input!$AC$4)+IF(ISNA(AI102),0,AI102*Input!$AF$4)+IF(ISNA(AJ102),0,AJ102*Input!$AI$4)+IF(ISNA(AK102),0,AK102*Input!$AL$4))</f>
        <v>16047.899895797687</v>
      </c>
      <c r="AZ102" s="42">
        <f t="shared" ref="AZ102:AZ133" si="35">-AY102/(2.302585*O102*$C$11)</f>
        <v>-4.0193999414280634</v>
      </c>
      <c r="BA102" s="1">
        <f t="shared" si="27"/>
        <v>600</v>
      </c>
      <c r="BB102" s="46">
        <f t="shared" si="28"/>
        <v>35000</v>
      </c>
      <c r="BC102" s="1"/>
      <c r="BD102" s="2">
        <f t="shared" si="29"/>
        <v>35000</v>
      </c>
      <c r="BE102" s="46">
        <f t="shared" si="30"/>
        <v>600</v>
      </c>
      <c r="BF102" s="1">
        <f>Results!AJ104</f>
        <v>0</v>
      </c>
      <c r="BG102" s="1">
        <f>Results!AK104</f>
        <v>0</v>
      </c>
      <c r="BH102" s="1">
        <f>Results!AL104</f>
        <v>0</v>
      </c>
      <c r="BI102" s="1">
        <f>Results!AM104</f>
        <v>0</v>
      </c>
      <c r="BJ102" s="1" t="e">
        <f>IF(OR(ISNA('Reaction Information'!$D$5), $N102 = "", $D$27 = FALSE, 'Reaction Information'!$D$5 = ""), NA(), 24.465)</f>
        <v>#N/A</v>
      </c>
      <c r="BK102" s="1" t="e">
        <f>IF(OR(ISNA('Reaction Information'!$D$9), $N102 = "", $D$27 = FALSE, 'Reaction Information'!$D$9 = ""), NA(), 24.465)</f>
        <v>#N/A</v>
      </c>
      <c r="BL102" s="8">
        <f t="shared" ref="BL102:BL133" si="36">IF(AND(BL$5="H2O",$D$27),18.01528/$Q102,NA())</f>
        <v>14.0569143110538</v>
      </c>
      <c r="BM102" s="8">
        <f>IF(OR(ISBLANK(Input!$X$4),$D$27=FALSE),NA(),('Reaction Information'!$J$13/10+'Reaction Information'!$K$13*100/(Calculations!$C$12+Calculations!$M102)+('Reaction Information'!$L$13+'Reaction Information'!$M$13*10^4/(Calculations!$C$12+Calculations!$M102))/(Calculations!$O102-Calculations!$C$13) -calculateOmega(Calculations!$M102,Calculations!$N102,Calculations!$Q102,'Reaction Information'!$C$13,'Reaction Information'!$P$13*10^5,'Reaction Information'!$Q$13)*Calculations!$U102*10^-6 + (1/$S102 - 1)*calculate_domegadP(Calculations!$M102,Calculations!$N102,Calculations!$Q102,'Reaction Information'!$C$13,'Reaction Information'!$P$13*10^5,'Reaction Information'!$Q$13,$D$20,$D$19=3))*41.84)</f>
        <v>30.223165816642585</v>
      </c>
      <c r="BN102" s="8" t="e">
        <f>IF(OR(ISBLANK(Input!$AA$4),$D$27=FALSE),NA(),('Reaction Information'!$J$17/10+'Reaction Information'!$K$17*100/(Calculations!$C$12+Calculations!$M102)+('Reaction Information'!$L$17+'Reaction Information'!$M$17*10000/(Calculations!$C$12+Calculations!$M102))/(Calculations!$O102-Calculations!$C$13)-calculateOmega(Calculations!M102,Calculations!N102,Calculations!Q102,'Reaction Information'!$C$17,'Reaction Information'!$P$17*10^5,'Reaction Information'!$Q$17)*Calculations!$U102*10^-6 + (1/$S102 - 1)*calculate_domegadP(Calculations!M102,Calculations!N102,Calculations!Q102,'Reaction Information'!$C$17,'Reaction Information'!$P$17*10^5,'Reaction Information'!$Q$17,$D$20,$D$19=3))*41.84)</f>
        <v>#N/A</v>
      </c>
      <c r="BO102" s="8" t="e">
        <f>IF(OR(ISBLANK(Input!$AD$4),$D$27=FALSE),NA(),('Reaction Information'!$J$21/10+'Reaction Information'!$K$21*100/(Calculations!$C$12+Calculations!$M102)+('Reaction Information'!$L$21+'Reaction Information'!$M$21*10000/(Calculations!$C$12+Calculations!$M102))/(Calculations!$O102-Calculations!$C$13)-calculateOmega(Calculations!M102,Calculations!N102,Calculations!Q102,'Reaction Information'!$C$21,'Reaction Information'!$P$21*10^5,'Reaction Information'!$Q$21)*Calculations!$U102*10^-6 + (1/$S102 - 1)*calculate_domegadP(Calculations!M102,Calculations!N102,Calculations!Q102,'Reaction Information'!$C$21,'Reaction Information'!$P$21*10^5,'Reaction Information'!$Q$21,$D$20,$D$19=3))*41.84)</f>
        <v>#N/A</v>
      </c>
      <c r="BP102" s="8" t="e">
        <f>IF(OR(ISBLANK(Input!$AG$4),$D$27=FALSE),NA(),('Reaction Information'!$J$25/10+'Reaction Information'!$K$25*100/(Calculations!$C$12+Calculations!$M102)+('Reaction Information'!$L$25+'Reaction Information'!$M$25*10000/(Calculations!$C$12+Calculations!$M102))/(Calculations!$O102-Calculations!$C$13)-calculateOmega(Calculations!M102,Calculations!N102,Calculations!Q102,'Reaction Information'!$C$25,'Reaction Information'!$P$25*10^5,'Reaction Information'!$Q$25)*Calculations!$U102*10^-6 + (1/$S102 - 1)*calculate_domegadP(Calculations!M102,Calculations!N102,Calculations!Q102,'Reaction Information'!$C$25,'Reaction Information'!$P$25*10^5,'Reaction Information'!$Q$25,$D$20,$D$19=3))*41.84)</f>
        <v>#N/A</v>
      </c>
      <c r="BQ102" s="8" t="e">
        <f>IF(OR(ISBLANK(Input!$AJ$4),$D$27=FALSE),NA(),('Reaction Information'!$J$29/10+'Reaction Information'!$K$29*100/(Calculations!$C$12+Calculations!$M102)+('Reaction Information'!$L$29+'Reaction Information'!$M$29*10000/(Calculations!$C$12+Calculations!$M102))/(Calculations!$O102-Calculations!$C$13)-calculateOmega(Calculations!M102,Calculations!N102,Calculations!Q102,'Reaction Information'!$C$29,'Reaction Information'!$P$29*10^5,'Reaction Information'!$Q$29)*Calculations!$U102*10^-6 + (1/$S102 - 1)*calculate_domegadP(Calculations!M102,Calculations!N102,Calculations!Q102,'Reaction Information'!$C$29,'Reaction Information'!$P$29*10^5,'Reaction Information'!$Q$29,$D$20,$D$19=3))*41.84)</f>
        <v>#N/A</v>
      </c>
      <c r="BR102" s="8" t="e">
        <f>IF(OR(ISBLANK(Input!$AM$4),$D$27=FALSE),NA(),('Reaction Information'!$J$33/10+'Reaction Information'!$K$33*100/(Calculations!$C$12+Calculations!$M102)+('Reaction Information'!$L$33+'Reaction Information'!$M$33*10000/(Calculations!$C$12+Calculations!$M102))/(Calculations!$O102-Calculations!$C$13)-calculateOmega(Calculations!M102,Calculations!N102,Calculations!Q102,'Reaction Information'!$C$33,'Reaction Information'!$P$33*10^5,'Reaction Information'!$Q$33)*Calculations!$U102*10^-6 + (1/$S102 - 1)*calculate_domegadP(Calculations!M102,Calculations!N102,Calculations!Q102,'Reaction Information'!$C$33,'Reaction Information'!$P$33*10^5,'Reaction Information'!$Q$33,$D$20,$D$19=3))*41.84)</f>
        <v>#N/A</v>
      </c>
      <c r="BS102" s="1">
        <f>Results!AW104</f>
        <v>0</v>
      </c>
      <c r="BT102" s="1">
        <f>Results!AX104</f>
        <v>0</v>
      </c>
      <c r="BU102" s="1">
        <f>Results!AY104</f>
        <v>0</v>
      </c>
      <c r="BV102" s="1">
        <f>Results!AZ104</f>
        <v>0</v>
      </c>
      <c r="BW102" s="1" t="e">
        <f>IF(OR(ISNA('Reaction Information'!$D$38), $N102 = "", $D$27 = FALSE, 'Reaction Information'!$D$38 = ""), NA(), 24.465)</f>
        <v>#N/A</v>
      </c>
      <c r="BX102" s="1" t="e">
        <f>IF(OR(ISNA('Reaction Information'!$D$42), $N102 = "", $D$27 = FALSE, 'Reaction Information'!$D$42 = ""), NA(), 24.465)</f>
        <v>#N/A</v>
      </c>
      <c r="BY102" s="8" t="e">
        <f t="shared" ref="BY102:BY133" si="37">IF(AND(BY$5="H2O",$D$27),18.01528/$Q102,NA())</f>
        <v>#N/A</v>
      </c>
      <c r="BZ102" s="8">
        <f>IF(OR(ISBLANK(Input!$BK$4),$D$27=FALSE),NA(),('Reaction Information'!$J$46/10+'Reaction Information'!$K$46*100/(Calculations!$C$12+Calculations!$M102)+('Reaction Information'!$L$46+'Reaction Information'!$M$46*10000/(Calculations!$C$12+Calculations!$M102))/(Calculations!$O102-Calculations!$C$13)-calculateOmega(Calculations!M102,Calculations!N102,Calculations!Q102,'Reaction Information'!$C$46,'Reaction Information'!$P$46*10^5,'Reaction Information'!$Q$46)*Calculations!$U102*10^-6 + (1/$S102 - 1)*calculate_domegadP(Calculations!M102,Calculations!N102,Calculations!Q102,'Reaction Information'!$C$46,'Reaction Information'!$P$46*10^5,'Reaction Information'!$Q$46,$D$20,$D$19=3))*41.84)</f>
        <v>0</v>
      </c>
      <c r="CA102" s="8">
        <f>IF(OR(ISBLANK(Input!$BN$4),$D$27=FALSE),NA(),('Reaction Information'!$J$50/10+'Reaction Information'!$K$50*100/(Calculations!$C$12+Calculations!$M102)+('Reaction Information'!$L$50+'Reaction Information'!$M$50*10000/(Calculations!$C$12+Calculations!$M102))/(Calculations!$O102-Calculations!$C$13)-calculateOmega(Calculations!M102,Calculations!N102,Calculations!Q102,'Reaction Information'!$C$50,'Reaction Information'!$P$50*10^5,'Reaction Information'!$Q$50)*Calculations!$U102*10^-6 + (1/$S102 - 1)*calculate_domegadP(Calculations!M102,Calculations!N102,Calculations!Q102,'Reaction Information'!$C$50,'Reaction Information'!$P$50*10^5,'Reaction Information'!$Q$50,$D$20,$D$19=3))*41.84)</f>
        <v>30.998184157073716</v>
      </c>
      <c r="CB102" s="8" t="e">
        <f>IF(OR(ISBLANK(Input!$BQ$4),$D$27=FALSE),NA(),('Reaction Information'!$J$54/10+'Reaction Information'!$K$54*100/(Calculations!$C$12+Calculations!$M102)+('Reaction Information'!$L$54+'Reaction Information'!$M$54*10000/(Calculations!$C$12+Calculations!$M102))/(Calculations!$O102-Calculations!$C$13)-calculateOmega(Calculations!M102,Calculations!N102,Calculations!Q102,'Reaction Information'!$C$54,'Reaction Information'!$P$54*10^5,'Reaction Information'!$Q$54)*Calculations!$U102*10^-6 + (1/$S102 - 1)*calculate_domegadP(Calculations!M102,Calculations!N102,Calculations!Q102,'Reaction Information'!$C$54,'Reaction Information'!$P$54*10^5,'Reaction Information'!$Q$54,$D$20,$D$19=3))*41.84)</f>
        <v>#N/A</v>
      </c>
      <c r="CC102" s="8" t="e">
        <f>IF(OR(ISBLANK(Input!$BT$4),$D$27=FALSE),NA(),('Reaction Information'!$J$58/10+'Reaction Information'!$K$58*100/(Calculations!$C$12+Calculations!$M102)+('Reaction Information'!$L$58+'Reaction Information'!$M$58*10000/(Calculations!$C$12+Calculations!$M102))/(Calculations!$O102-Calculations!$C$13)-calculateOmega(Calculations!M102,Calculations!N102,Calculations!Q102,'Reaction Information'!$C$58,'Reaction Information'!$P$58*10^5,'Reaction Information'!$Q$58)*Calculations!$U102*10^-6 + (1/$S102 - 1)*calculate_domegadP(Calculations!M102,Calculations!N102,Calculations!Q102,'Reaction Information'!$C$58,'Reaction Information'!$P$58*10^5,'Reaction Information'!$Q$58,$D$20,$D$19=3))*41.84)</f>
        <v>#N/A</v>
      </c>
      <c r="CD102" s="8" t="e">
        <f>IF(OR(ISBLANK(Input!$BW$4),$D$27=FALSE),NA(),('Reaction Information'!$J$62/10+'Reaction Information'!$K$62*100/(Calculations!$C$12+Calculations!$M102)+('Reaction Information'!$L$62+'Reaction Information'!$M$62*10000/(Calculations!$C$12+Calculations!$M102))/(Calculations!$O102-Calculations!$C$13)-calculateOmega(Calculations!M102,Calculations!N102,Calculations!Q102,'Reaction Information'!$C$62,'Reaction Information'!$P$62*10^5,'Reaction Information'!$Q$62)*Calculations!$U102*10^-6 + (1/$S102 - 1)*calculate_domegadP(Calculations!M102,Calculations!N102,Calculations!Q102,'Reaction Information'!$C$62,'Reaction Information'!$P$62*10^5,'Reaction Information'!$Q$62,$D$20,$D$19=3))*41.84)</f>
        <v>#N/A</v>
      </c>
      <c r="CE102" s="8" t="e">
        <f>IF(OR(ISBLANK(Input!$BZ$4),$D$27=FALSE),NA(),('Reaction Information'!$J$66/10+'Reaction Information'!$K$66*100/(Calculations!$C$12+Calculations!$M102)+('Reaction Information'!$L$66+'Reaction Information'!$M$66*10000/(Calculations!$C$12+Calculations!$M102))/(Calculations!$O102-Calculations!$C$13)-calculateOmega(Calculations!M102,Calculations!N102,Calculations!Q102,'Reaction Information'!$C$66,'Reaction Information'!$P$66*10^5,'Reaction Information'!$Q$66)*Calculations!$U102*10^-6 + (1/$S102 - 1)*calculate_domegadP(Calculations!M102,Calculations!N102,Calculations!Q102,'Reaction Information'!$C$66,'Reaction Information'!$P$66*10^5,'Reaction Information'!$Q$66,$D$20,$D$19=3))*41.84)</f>
        <v>#N/A</v>
      </c>
      <c r="CF102" s="31">
        <f>(BS102*Input!$AO$4+BT102*Input!$AR$4+BU102*Input!$AU$4+BV102*Input!$AX$4+IF(ISNA(BW102),0,BW102*Input!$BA$4)+IF(ISNA(BX102),0,BX102*Input!$BD$4)+IF(ISNA(BY102),0,BY102*Input!$BG$4)+IF(ISNA(BZ102),0,BZ102*Input!$BJ$4)+IF(ISNA(CA102),0,CA102*Input!$BM$4)+IF(ISNA(CB102),0,CB102*Input!$BP$4)+IF(ISNA(CC102),0,CC102*Input!$BS$4)+IF(ISNA(CD102),0,CD102*Input!$BV$4)+IF(ISNA(CE102),0,CE102*Input!$BY$4))-(BF102*Input!$B$4+BG102*Input!$E$4+BH102*Input!$H$4+BI102*Input!$K$4+IF(ISNA(BJ102),0,BJ102*Input!$N$4)+IF(ISNA(BK102),0,BK102*Input!$Q$4)+IF(ISNA(BL102),0,BL102*Input!$T$4)+IF(ISNA(BM102),0,BM102*Input!$W$4)+IF(ISNA(BN102),0,BN102*Input!$Z$4)+IF(ISNA(BO102),0,BO102*Input!$AC$4)+IF(ISNA(BP102),0,BP102*Input!$AF$4)+IF(ISNA(BQ102),0,BQ102*Input!$AI$4)+IF(ISNA(BR102),0,BR102*Input!$AL$4))</f>
        <v>-13.281895970622671</v>
      </c>
      <c r="CG102" s="1">
        <f t="shared" si="31"/>
        <v>600</v>
      </c>
      <c r="CH102" s="46">
        <f t="shared" si="32"/>
        <v>35000</v>
      </c>
      <c r="CI102" s="1"/>
    </row>
    <row r="103" spans="1:87" x14ac:dyDescent="0.2">
      <c r="A103" s="1"/>
      <c r="B103" s="1"/>
      <c r="C103" s="1"/>
      <c r="D103" s="1"/>
      <c r="E103" s="1"/>
      <c r="F103" s="2">
        <v>98</v>
      </c>
      <c r="G103" s="1" t="str">
        <f>IF(ISBLANK(Input!CB103), "", Input!CB103*1000)</f>
        <v/>
      </c>
      <c r="H103" s="1" t="str">
        <f>IF(ISBLANK(Input!CC103), "", Input!CC103)</f>
        <v/>
      </c>
      <c r="I103" s="1">
        <f>IF(Input!$CF$5 + Input!$CF$6*(FLOOR((Calculations!$F103-1)/(FLOOR((Input!$CF$12-Input!$CF$10)/Input!$CF$11,1)+1),1)) &gt; Input!$CF$7, "", (Input!$CF$5 + Input!$CF$6*(FLOOR((Calculations!$F103-1)/(FLOOR((Input!$CF$12-Input!$CF$10)/Input!$CF$11,1)+1),1)))*1000)</f>
        <v>35000</v>
      </c>
      <c r="J103" s="1">
        <f>IF(Calculations!I103 = "", "", Input!$CF$10 + Input!$CF$11*(Calculations!$F103-1) - (FLOOR((Input!$CF$12-Input!$CF$10)/Input!$CF$11,1)+1)*Input!$CF$11*FLOOR((Calculations!$F103-1)/(FLOOR((Input!$CF$12-Input!$CF$10)/Input!$CF$11,1)+1),1))</f>
        <v>650</v>
      </c>
      <c r="K103" s="8" t="str">
        <f t="shared" si="33"/>
        <v/>
      </c>
      <c r="L103" s="117" t="str">
        <f>IF(OR(Input!$CJ$5 + Input!$CJ$6*(Calculations!F103-1) &gt; Input!$CJ$7, Input!$CJ$5 + Input!$CJ$6*(Calculations!F103-1) &gt; 350), "", Input!$CJ$5 + Input!$CJ$6*(Calculations!F103-1))</f>
        <v/>
      </c>
      <c r="M103" s="1">
        <f t="shared" si="23"/>
        <v>35000</v>
      </c>
      <c r="N103" s="1">
        <f t="shared" si="24"/>
        <v>650</v>
      </c>
      <c r="O103" s="1">
        <f t="shared" si="34"/>
        <v>923.15</v>
      </c>
      <c r="P103" s="1" t="e">
        <f>IF(OR($D$20=3,AND($D$21=TRUE,M103&lt;1000)),INDEX('Water Density'!$C$6:$CX$120,MATCH(Calculations!N103,'Water Density'!$B$6:$B$120),MATCH(Calculations!M103/1000,'Water Density'!$C$5:$CX$5)),NA())</f>
        <v>#N/A</v>
      </c>
      <c r="Q103" s="182">
        <f>IF(OR($D$20=3,AND($D$21=TRUE,M103&lt;1000)), IF(P103&lt;&gt;0,P103,NA()), calculateDensity(M103,N103,$D$20,0.01,$D$19 = 3))</f>
        <v>1.2670064118582007</v>
      </c>
      <c r="R103" s="1" t="e">
        <f>IF($D$22=5,INDEX('Dielectric Constant'!$C$6:$CX$120,MATCH(Calculations!N103,'Dielectric Constant'!$B$6:$B$120),MATCH(Calculations!M103/1000,'Dielectric Constant'!$C$5:$CX$5)),NA())</f>
        <v>#N/A</v>
      </c>
      <c r="S103" s="58">
        <f>IF($D$22=5, IF(R103&lt;&gt;0,R103,NA()), IF(AND($D$23,M103&lt;=5000,$D$19 &lt;&gt; 3),calculateEpsilon(Q103,N103,1,FALSE),calculateEpsilon(Q103,N103,$D$22,$D$19 = 3)))</f>
        <v>26.86974763465761</v>
      </c>
      <c r="T103" s="1" t="e">
        <f>IF($D$24=3,INDEX('Water Free Energy'!$C$6:$CX$120,MATCH(Calculations!N103,'Water Free Energy'!$B$6:$B$120),MATCH(Calculations!M103/1000,'Water Free Energy'!$C$5:$CX$5)),NA())</f>
        <v>#N/A</v>
      </c>
      <c r="U103" s="179">
        <f>IF($D$27,calculateQ(M103,N103,Q103,$D$20,$D$22,$D$19=3)*10^6,NA())</f>
        <v>0.22406878838102562</v>
      </c>
      <c r="V103"/>
      <c r="W103" s="2">
        <f t="shared" si="25"/>
        <v>35000</v>
      </c>
      <c r="X103" s="1">
        <f t="shared" si="26"/>
        <v>650</v>
      </c>
      <c r="Y103" s="1">
        <f>Results!F105</f>
        <v>0</v>
      </c>
      <c r="Z103" s="1">
        <f>Results!G105</f>
        <v>0</v>
      </c>
      <c r="AA103" s="1">
        <f>Results!H105</f>
        <v>0</v>
      </c>
      <c r="AB103" s="1">
        <f>Results!I105</f>
        <v>0</v>
      </c>
      <c r="AC103" s="1" t="e">
        <f>IF(ISBLANK(Input!$O$4),NA(),'Reaction Information'!$E$5-'Reaction Information'!$G$5*(Calculations!$O103-Calculations!$C$8)+'Reaction Information'!$I$5*(Calculations!$O103-Calculations!$C$8-Calculations!$O103*LN(Calculations!$O103/Calculations!$C$8))+'Reaction Information'!$J$5*0.001/2*(2*Calculations!$O103*Calculations!$C$8-Calculations!$O103^2-Calculations!$C$8^2) + 'Reaction Information'!$K$5*100000*(Calculations!$O103^2 + Calculations!$C$8^2 - 2*Calculations!$O103*Calculations!$C$8)/(2*Calculations!$O103*Calculations!$C$8^2))</f>
        <v>#N/A</v>
      </c>
      <c r="AD103" s="8" t="e">
        <f>IF(ISBLANK(Input!$R$4),NA(),'Reaction Information'!$E$9-'Reaction Information'!$G$9*(Calculations!$O103-Calculations!$C$8)+'Reaction Information'!$I$9*(Calculations!$O103-Calculations!$C$8-Calculations!$O103*LN(Calculations!$O103/Calculations!$C$8))+'Reaction Information'!$J$9*0.001/2*(2*Calculations!$O103*Calculations!$C$8-Calculations!$O103^2-Calculations!$C$8^2) + 'Reaction Information'!$K$9*100000*(Calculations!$O103^2 + Calculations!$C$8^2 - 2*Calculations!$O103*Calculations!$C$8)/(2*Calculations!$O103*Calculations!$C$8^2))</f>
        <v>#N/A</v>
      </c>
      <c r="AE103" s="8">
        <f>IF(AE$5="H2O",IF($D$24=3,IF(T103=0,NA(),T103),calculateGibbsOfWater(M103,N103,$D$24,$D$20,$D$19=3)),NA())</f>
        <v>-59260.043818943486</v>
      </c>
      <c r="AF103" s="8">
        <f>IF(ISBLANK(Input!$X$4),NA(),'Reaction Information'!$E$13-'Reaction Information'!$G$13*(Calculations!O103-Calculations!$C$8)-'Reaction Information'!$N$13*(Calculations!O103*LN(Calculations!O103/Calculations!$C$8)-Calculations!O103+Calculations!$C$8)-'Reaction Information'!$O$13*10^4*(((1/(Calculations!O103-Calculations!$C$13))-(1/(Calculations!$C$8-Calculations!$C$13)))*((Calculations!$C$13-Calculations!O103)/(Calculations!$C$13))-(Calculations!O103/(Calculations!$C$13*Calculations!$C$13))*LN((Calculations!$C$8*(Calculations!O103-Calculations!$C$13))/(Calculations!O103*(Calculations!$C$8-Calculations!$C$13))))+'Reaction Information'!$J$13*10^-1*(Calculations!M103-Calculations!$C$9)+'Reaction Information'!$K$13*10^2*LN((Calculations!$C$12+Calculations!M103)/(Calculations!$C$12+Calculations!$C$9))+(1/(Calculations!O103-Calculations!$C$13))*('Reaction Information'!$L$13*(Calculations!M103-Calculations!$C$9)+'Reaction Information'!$M$13*10^4*LN((Calculations!$C$12+Calculations!M103)/(Calculations!$C$12+Calculations!$C$9)))+calculateOmega(Calculations!M103,Calculations!N103,Calculations!Q103,'Reaction Information'!$C$13,'Reaction Information'!$P$13*10^5,'Reaction Information'!$Q$13)*((1/Calculations!S103)-1)-'Reaction Information'!$P$13*10^5*((1/Calculations!$C$10)-1)+'Reaction Information'!$P$13*10^5*Calculations!$C$14*(Calculations!O103-Calculations!$C$8))</f>
        <v>-92318.047931238441</v>
      </c>
      <c r="AG103" s="8" t="e">
        <f>IF(ISBLANK(Input!$AA$4),NA(),'Reaction Information'!$E$17-'Reaction Information'!$G$17*(Calculations!$O103-Calculations!$C$8)-'Reaction Information'!$N$17*(Calculations!$O103*LN(Calculations!$O103/Calculations!$C$8)-Calculations!$O103+Calculations!$C$8)-'Reaction Information'!$O$17*10^4*(((1/(Calculations!$O103-Calculations!$C$13))-(1/(Calculations!$C$8-Calculations!$C$13)))*((Calculations!$C$13-Calculations!$O103)/(Calculations!$C$13))-(Calculations!$O103/(Calculations!$C$13*Calculations!$C$13))*LN((Calculations!$C$8*(Calculations!$O103-Calculations!$C$13))/(Calculations!$O103*(Calculations!$C$8-Calculations!$C$13))))+'Reaction Information'!$J$17*10^-1*(Calculations!$M103-Calculations!$C$9)+'Reaction Information'!$K$17*10^2*LN((Calculations!$C$12+Calculations!$M103)/(Calculations!$C$12+Calculations!$C$9))+(1/(Calculations!$O103-Calculations!$C$13))*('Reaction Information'!$L$17*(Calculations!$M103-Calculations!$C$9)+'Reaction Information'!$M$17*10^4*LN((Calculations!$C$12+Calculations!$M103)/(Calculations!$C$12+Calculations!$C$9)))+calculateOmega(Calculations!M103,Calculations!N103,Calculations!Q103,'Reaction Information'!$C$17,'Reaction Information'!$P$17*10^5,'Reaction Information'!$Q$17)*((1/Calculations!$S103)-1)-'Reaction Information'!$P$17*10^5*((1/Calculations!$C$10)-1)+'Reaction Information'!$P$17*10^5*Calculations!$C$14*(Calculations!$O103-Calculations!$C$8))</f>
        <v>#N/A</v>
      </c>
      <c r="AH103" s="8" t="e">
        <f>IF(ISBLANK(Input!$AD$4),NA(),'Reaction Information'!$E$21-'Reaction Information'!$G$21*(Calculations!$O103-Calculations!$C$8)-'Reaction Information'!$N$21*(Calculations!$O103*LN(Calculations!$O103/Calculations!$C$8)-Calculations!$O103+Calculations!$C$8)-'Reaction Information'!$O$21*10^4*(((1/(Calculations!$O103-Calculations!$C$13))-(1/(Calculations!$C$8-Calculations!$C$13)))*((Calculations!$C$13-Calculations!$O103)/(Calculations!$C$13))-(Calculations!$O103/(Calculations!$C$13*Calculations!$C$13))*LN((Calculations!$C$8*(Calculations!$O103-Calculations!$C$13))/(Calculations!$O103*(Calculations!$C$8-Calculations!$C$13))))+'Reaction Information'!$J$21*10^-1*(Calculations!$M103-Calculations!$C$9)+'Reaction Information'!$K$21*10^2*LN((Calculations!$C$12+Calculations!$M103)/(Calculations!$C$12+Calculations!$C$9))+(1/(Calculations!$O103-Calculations!$C$13))*('Reaction Information'!$L$21*(Calculations!$M103-Calculations!$C$9)+'Reaction Information'!$M$21*10^4*LN((Calculations!$C$12+Calculations!$M103)/(Calculations!$C$12+Calculations!$C$9)))+calculateOmega(Calculations!M103,Calculations!N103,Calculations!Q103,'Reaction Information'!$C$21,'Reaction Information'!$P$21*10^5,'Reaction Information'!$Q$21)*((1/Calculations!$S103)-1)-'Reaction Information'!$P$21*10^5*((1/Calculations!$C$10)-1)+'Reaction Information'!$P$21*10^5*Calculations!$C$14*(Calculations!$O103-Calculations!$C$8))</f>
        <v>#N/A</v>
      </c>
      <c r="AI103" s="8" t="e">
        <f>IF(ISBLANK(Input!$AG$4),NA(),'Reaction Information'!$E$25-'Reaction Information'!$G$25*(Calculations!$O103-Calculations!$C$8)-'Reaction Information'!$N$25*(Calculations!$O103*LN(Calculations!$O103/Calculations!$C$8)-Calculations!$O103+Calculations!$C$8)-'Reaction Information'!$O$25*10^4*(((1/(Calculations!$O103-Calculations!$C$13))-(1/(Calculations!$C$8-Calculations!$C$13)))*((Calculations!$C$13-Calculations!$O103)/(Calculations!$C$13))-(Calculations!$O103/(Calculations!$C$13*Calculations!$C$13))*LN((Calculations!$C$8*(Calculations!$O103-Calculations!$C$13))/(Calculations!$O103*(Calculations!$C$8-Calculations!$C$13))))+'Reaction Information'!$J$25*10^-1*(Calculations!$M103-Calculations!$C$9)+'Reaction Information'!$K$25*10^2*LN((Calculations!$C$12+Calculations!$M103)/(Calculations!$C$12+Calculations!$C$9))+(1/(Calculations!$O103-Calculations!$C$13))*('Reaction Information'!$L$25*(Calculations!$M103-Calculations!$C$9)+'Reaction Information'!$M$25*10^4*LN((Calculations!$C$12+Calculations!$M103)/(Calculations!$C$12+Calculations!$C$9)))+calculateOmega(Calculations!M103,Calculations!N103,Calculations!Q103,'Reaction Information'!$C$25,'Reaction Information'!$P$25*10^5,'Reaction Information'!$Q$25)*((1/Calculations!$S103)-1)-'Reaction Information'!$P$25*10^5*((1/Calculations!$C$10)-1)+'Reaction Information'!$P$25*10^5*Calculations!$C$14*(Calculations!$O103-Calculations!$C$8))</f>
        <v>#N/A</v>
      </c>
      <c r="AJ103" s="8" t="e">
        <f>IF(ISBLANK(Input!$AJ$4),NA(),'Reaction Information'!$E$29-'Reaction Information'!$G$29*(Calculations!$O103-Calculations!$C$8)-'Reaction Information'!$N$29*(Calculations!$O103*LN(Calculations!$O103/Calculations!$C$8)-Calculations!$O103+Calculations!$C$8)-'Reaction Information'!$O$29*10^4*(((1/(Calculations!$O103-Calculations!$C$13))-(1/(Calculations!$C$8-Calculations!$C$13)))*((Calculations!$C$13-Calculations!$O103)/(Calculations!$C$13))-(Calculations!$O103/(Calculations!$C$13*Calculations!$C$13))*LN((Calculations!$C$8*(Calculations!$O103-Calculations!$C$13))/(Calculations!$O103*(Calculations!$C$8-Calculations!$C$13))))+'Reaction Information'!$J$29*10^-1*(Calculations!$M103-Calculations!$C$9)+'Reaction Information'!$K$29*10^2*LN((Calculations!$C$12+Calculations!$M103)/(Calculations!$C$12+Calculations!$C$9))+(1/(Calculations!$O103-Calculations!$C$13))*('Reaction Information'!$L$29*(Calculations!$M103-Calculations!$C$9)+'Reaction Information'!$M$29*10^4*LN((Calculations!$C$12+Calculations!$M103)/(Calculations!$C$12+Calculations!$C$9)))+calculateOmega(Calculations!M103,Calculations!N103,Calculations!Q103,'Reaction Information'!$C$29,'Reaction Information'!$P$29*10^5,'Reaction Information'!$Q$29)*((1/Calculations!$S103)-1)-'Reaction Information'!$P$29*10^5*((1/Calculations!$C$10)-1)+'Reaction Information'!$P$29*10^5*Calculations!$C$14*(Calculations!$O103-Calculations!$C$8))</f>
        <v>#N/A</v>
      </c>
      <c r="AK103" s="8" t="e">
        <f>IF(ISBLANK(Input!$AM$4),NA(),'Reaction Information'!$E$33-'Reaction Information'!$G$33*(Calculations!$O103-Calculations!$C$8)-'Reaction Information'!$N$33*(Calculations!$O103*LN(Calculations!$O103/Calculations!$C$8)-Calculations!$O103+Calculations!$C$8)-'Reaction Information'!$O$33*10^4*(((1/(Calculations!$O103-Calculations!$C$13))-(1/(Calculations!$C$8-Calculations!$C$13)))*((Calculations!$C$13-Calculations!$O103)/(Calculations!$C$13))-(Calculations!$O103/(Calculations!$C$13*Calculations!$C$13))*LN((Calculations!$C$8*(Calculations!$O103-Calculations!$C$13))/(Calculations!$O103*(Calculations!$C$8-Calculations!$C$13))))+'Reaction Information'!$J$33*10^-1*(Calculations!$M103-Calculations!$C$9)+'Reaction Information'!$K$33*10^2*LN((Calculations!$C$12+Calculations!$M103)/(Calculations!$C$12+Calculations!$C$9))+(1/(Calculations!$O103-Calculations!$C$13))*('Reaction Information'!$L$33*(Calculations!$M103-Calculations!$C$9)+'Reaction Information'!$M$33*10^4*LN((Calculations!$C$12+Calculations!$M103)/(Calculations!$C$12+Calculations!$C$9)))+calculateOmega(Calculations!M103,Calculations!N103,Calculations!Q103,'Reaction Information'!$C$33,'Reaction Information'!$P$33*10^5,'Reaction Information'!$Q$33)*((1/Calculations!$S103)-1)-'Reaction Information'!$P$33*10^5*((1/Calculations!$C$10)-1)+'Reaction Information'!$P$33*10^5*Calculations!$C$14*(Calculations!$O103-Calculations!$C$8))</f>
        <v>#N/A</v>
      </c>
      <c r="AL103" s="1">
        <f>Results!S105</f>
        <v>0</v>
      </c>
      <c r="AM103" s="1">
        <f>Results!T105</f>
        <v>0</v>
      </c>
      <c r="AN103" s="1">
        <f>Results!U105</f>
        <v>0</v>
      </c>
      <c r="AO103" s="1">
        <f>Results!V105</f>
        <v>0</v>
      </c>
      <c r="AP103" s="8" t="e">
        <f>IF(ISBLANK(Input!$BB$4),NA(),'Reaction Information'!$E$38-'Reaction Information'!$G$38*(Calculations!$O103-Calculations!$C$8)+'Reaction Information'!$I$38*(Calculations!$O103-Calculations!$C$8-Calculations!$O103*LN(Calculations!$O103/Calculations!$C$8))+'Reaction Information'!$J$38*0.001/2*(2*Calculations!$O103*Calculations!$C$8-Calculations!$O103^2-Calculations!$C$8^2) + 'Reaction Information'!$K$38*100000*(Calculations!$O103^2 + Calculations!$C$8^2 - 2*Calculations!$O103*Calculations!$C$8)/(2*Calculations!$O103*Calculations!$C$8^2))</f>
        <v>#N/A</v>
      </c>
      <c r="AQ103" s="8" t="e">
        <f>IF(ISBLANK(Input!$BE$4),NA(),'Reaction Information'!$E$42-'Reaction Information'!$G$42*(Calculations!$O103-Calculations!$C$8)+'Reaction Information'!$I$42*(Calculations!$O103-Calculations!$C$8-Calculations!$O103*LN(Calculations!$O103/Calculations!$C$8))+'Reaction Information'!$J$42*0.001/2*(2*Calculations!$O103*Calculations!$C$8-Calculations!$O103^2-Calculations!$C$8^2) + 'Reaction Information'!$K$42*100000*(Calculations!$O103^2 + Calculations!$C$8^2 - 2*Calculations!$O103*Calculations!$C$8)/(2*Calculations!$O103*Calculations!$C$8^2))</f>
        <v>#N/A</v>
      </c>
      <c r="AR103" s="8" t="e">
        <f>IF(AR$5="H2O", IF($D$24=3,IF(T103=0,NA(),T103),calculateGibbsOfWater(M103,N103,$D$24,$D$20,$D$19=3)),NA())</f>
        <v>#N/A</v>
      </c>
      <c r="AS103" s="8">
        <f>IF(ISBLANK(Input!$BK$4),NA(),'Reaction Information'!$E$46-'Reaction Information'!$G$46*(Calculations!O103-Calculations!$C$8)-'Reaction Information'!$N$46*(Calculations!O103*LN(Calculations!O103/Calculations!$C$8)-Calculations!O103+Calculations!$C$8)-'Reaction Information'!$O$46*10^4*(((1/(Calculations!O103-Calculations!$C$13))-(1/(Calculations!$C$8-Calculations!$C$13)))*((Calculations!$C$13-Calculations!O103)/(Calculations!$C$13))-(Calculations!O103/(Calculations!$C$13*Calculations!$C$13))*LN((Calculations!$C$8*(Calculations!O103-Calculations!$C$13))/(Calculations!O103*(Calculations!$C$8-Calculations!$C$13))))+'Reaction Information'!$J$46*10^-1*(Calculations!$M103-Calculations!$C$9)+'Reaction Information'!$K$46*10^2*LN((Calculations!$C$12+Calculations!$M103)/(Calculations!$C$12+Calculations!$C$9))+(1/(Calculations!O103-Calculations!$C$13))*('Reaction Information'!$L$46*(Calculations!$M103-Calculations!$C$9)+'Reaction Information'!$M$46*10^4*LN((Calculations!$C$12+Calculations!$M103)/(Calculations!$C$12+Calculations!$C$9)))+calculateOmega(Calculations!M103,Calculations!N103,Calculations!Q103,'Reaction Information'!$C$46,'Reaction Information'!$P$46*10^5,'Reaction Information'!$Q$46)*((1/Calculations!S103)-1)-'Reaction Information'!$P$46*10^5*((1/Calculations!$C$10)-1)+'Reaction Information'!$P$46*10^5*Calculations!$C$14*(Calculations!O103-Calculations!$C$8))</f>
        <v>0</v>
      </c>
      <c r="AT103" s="8">
        <f>IF(ISBLANK(Input!$BN$4),NA(),'Reaction Information'!$E$50-'Reaction Information'!$G$50*(Calculations!O103-Calculations!$C$8)-'Reaction Information'!$N$50*(Calculations!O103*LN(Calculations!O103/Calculations!$C$8)-Calculations!O103+Calculations!$C$8)-'Reaction Information'!$O$50*10^4*(((1/(Calculations!O103-Calculations!$C$13))-(1/(Calculations!$C$8-Calculations!$C$13)))*((Calculations!$C$13-Calculations!O103)/(Calculations!$C$13))-(Calculations!O103/(Calculations!$C$13*Calculations!$C$13))*LN((Calculations!$C$8*(Calculations!O103-Calculations!$C$13))/(Calculations!O103*(Calculations!$C$8-Calculations!$C$13))))+'Reaction Information'!$J$50*10^-1*(Calculations!$M103-Calculations!$C$9)+'Reaction Information'!$K$50*10^2*LN((Calculations!$C$12+Calculations!$M103)/(Calculations!$C$12+Calculations!$C$9))+(1/(Calculations!O103-Calculations!$C$13))*('Reaction Information'!$L$50*(Calculations!$M103-Calculations!$C$9)+'Reaction Information'!$M$50*10^4*LN((Calculations!$C$12+Calculations!$M103)/(Calculations!$C$12+Calculations!$C$9)))+calculateOmega(Calculations!M103,Calculations!N103,Calculations!Q103,'Reaction Information'!$C$50,'Reaction Information'!$P$50*10^5,'Reaction Information'!$Q$50)*((1/Calculations!S103)-1)-'Reaction Information'!$P$50*10^5*((1/Calculations!$C$10)-1)+'Reaction Information'!$P$50*10^5*Calculations!$C$14*(Calculations!O103-Calculations!$C$8))</f>
        <v>-133446.76711007176</v>
      </c>
      <c r="AU103" s="8" t="e">
        <f>IF(ISBLANK(Input!$BQ$4),NA(),'Reaction Information'!$E$54-'Reaction Information'!$G$54*(Calculations!$O103-Calculations!$C$8)-'Reaction Information'!$N$54*(Calculations!$O103*LN(Calculations!$O103/Calculations!$C$8)-Calculations!$O103+Calculations!$C$8)-'Reaction Information'!$O$54*10^4*(((1/(Calculations!$O103-Calculations!$C$13))-(1/(Calculations!$C$8-Calculations!$C$13)))*((Calculations!$C$13-Calculations!$O103)/(Calculations!$C$13))-(Calculations!$O103/(Calculations!$C$13*Calculations!$C$13))*LN((Calculations!$C$8*(Calculations!$O103-Calculations!$C$13))/(Calculations!$O103*(Calculations!$C$8-Calculations!$C$13))))+'Reaction Information'!$J$54*10^-1*(Calculations!$M103-Calculations!$C$9)+'Reaction Information'!$K$54*10^2*LN((Calculations!$C$12+Calculations!$M103)/(Calculations!$C$12+Calculations!$C$9))+(1/(Calculations!$O103-Calculations!$C$13))*('Reaction Information'!$L$54*(Calculations!$M103-Calculations!$C$9)+'Reaction Information'!$M$54*10^4*LN((Calculations!$C$12+Calculations!$M103)/(Calculations!$C$12+Calculations!$C$9)))+calculateOmega(Calculations!M103,Calculations!N103,Calculations!Q103,'Reaction Information'!$C$54,'Reaction Information'!$P$54*10^5,'Reaction Information'!$Q$54)*((1/Calculations!$S103)-1)-'Reaction Information'!$P$54*10^5*((1/Calculations!$C$10)-1)+'Reaction Information'!$P$54*10^5*Calculations!$C$14*(Calculations!$O103-Calculations!$C$8))</f>
        <v>#N/A</v>
      </c>
      <c r="AV103" s="8" t="e">
        <f>IF(ISBLANK(Input!$BT$4),NA(),'Reaction Information'!$E$58-'Reaction Information'!$G$58*(Calculations!$O103-Calculations!$C$8)-'Reaction Information'!$N$58*(Calculations!$O103*LN(Calculations!$O103/Calculations!$C$8)-Calculations!$O103+Calculations!$C$8)-'Reaction Information'!$O$58*10^4*(((1/(Calculations!$O103-Calculations!$C$13))-(1/(Calculations!$C$8-Calculations!$C$13)))*((Calculations!$C$13-Calculations!$O103)/(Calculations!$C$13))-(Calculations!$O103/(Calculations!$C$13*Calculations!$C$13))*LN((Calculations!$C$8*(Calculations!$O103-Calculations!$C$13))/(Calculations!$O103*(Calculations!$C$8-Calculations!$C$13))))+'Reaction Information'!$J$58*10^-1*(Calculations!$M103-Calculations!$C$9)+'Reaction Information'!$K$58*10^2*LN((Calculations!$C$12+Calculations!$M103)/(Calculations!$C$12+Calculations!$C$9))+(1/(Calculations!$O103-Calculations!$C$13))*('Reaction Information'!$L$58*(Calculations!$M103-Calculations!$C$9)+'Reaction Information'!$M$58*10^4*LN((Calculations!$C$12+Calculations!$M103)/(Calculations!$C$12+Calculations!$C$9)))+calculateOmega(Calculations!M103,Calculations!N103,Calculations!Q103,'Reaction Information'!$C$58,'Reaction Information'!$P$58*10^5,'Reaction Information'!$Q$58)*((1/Calculations!$S103)-1)-'Reaction Information'!$P$58*10^5*((1/Calculations!$C$10)-1)+'Reaction Information'!$P$58*10^5*Calculations!$C$14*(Calculations!$O103-Calculations!$C$8))</f>
        <v>#N/A</v>
      </c>
      <c r="AW103" s="8" t="e">
        <f>IF(ISBLANK(Input!$BW$4),NA(),'Reaction Information'!$E$62-'Reaction Information'!$G$62*(Calculations!$O103-Calculations!$C$8)-'Reaction Information'!$N$62*(Calculations!$O103*LN(Calculations!$O103/Calculations!$C$8)-Calculations!$O103+Calculations!$C$8)-'Reaction Information'!$O$62*10^4*(((1/(Calculations!$O103-Calculations!$C$13))-(1/(Calculations!$C$8-Calculations!$C$13)))*((Calculations!$C$13-Calculations!$O103)/(Calculations!$C$13))-(Calculations!$O103/(Calculations!$C$13*Calculations!$C$13))*LN((Calculations!$C$8*(Calculations!$O103-Calculations!$C$13))/(Calculations!$O103*(Calculations!$C$8-Calculations!$C$13))))+'Reaction Information'!$J$62*10^-1*(Calculations!$M103-Calculations!$C$9)+'Reaction Information'!$K$62*10^2*LN((Calculations!$C$12+Calculations!$M103)/(Calculations!$C$12+Calculations!$C$9))+(1/(Calculations!$O103-Calculations!$C$13))*('Reaction Information'!$L$62*(Calculations!$M103-Calculations!$C$9)+'Reaction Information'!$M$62*10^4*LN((Calculations!$C$12+Calculations!$M103)/(Calculations!$C$12+Calculations!$C$9)))+calculateOmega(Calculations!M103,Calculations!N103,Calculations!Q103,'Reaction Information'!$C$62,'Reaction Information'!$P$62*10^5,'Reaction Information'!$Q$62)*((1/Calculations!$S103)-1)-'Reaction Information'!$P$62*10^5*((1/Calculations!$C$10)-1)+'Reaction Information'!$P$62*10^5*Calculations!$C$14*(Calculations!$O103-Calculations!$C$8))</f>
        <v>#N/A</v>
      </c>
      <c r="AX103" s="8" t="e">
        <f>IF(ISBLANK(Input!$BZ$4),NA(),'Reaction Information'!$E$66-'Reaction Information'!$G$66*(Calculations!$O103-Calculations!$C$8)-'Reaction Information'!$N$66*(Calculations!$O103*LN(Calculations!$O103/Calculations!$C$8)-Calculations!$O103+Calculations!$C$8)-'Reaction Information'!$O$66*10^4*(((1/(Calculations!$O103-Calculations!$C$13))-(1/(Calculations!$C$8-Calculations!$C$13)))*((Calculations!$C$13-Calculations!$O103)/(Calculations!$C$13))-(Calculations!$O103/(Calculations!$C$13*Calculations!$C$13))*LN((Calculations!$C$8*(Calculations!$O103-Calculations!$C$13))/(Calculations!$O103*(Calculations!$C$8-Calculations!$C$13))))+'Reaction Information'!$J$66*10^-1*(Calculations!$M103-Calculations!$C$9)+'Reaction Information'!$K$66*10^2*LN((Calculations!$C$12+Calculations!$M103)/(Calculations!$C$12+Calculations!$C$9))+(1/(Calculations!$O103-Calculations!$C$13))*('Reaction Information'!$L$66*(Calculations!$M103-Calculations!$C$9)+'Reaction Information'!$M$66*10^4*LN((Calculations!$C$12+Calculations!$M103)/(Calculations!$C$12+Calculations!$C$9)))+calculateOmega(Calculations!M103,Calculations!N103,Calculations!Q103,'Reaction Information'!$C$66,'Reaction Information'!$P$66*10^5,'Reaction Information'!$Q$66)*((1/Calculations!$S103)-1)-'Reaction Information'!$P$66*10^5*((1/Calculations!$C$10)-1)+'Reaction Information'!$P$66*10^5*Calculations!$C$14*(Calculations!$O103-Calculations!$C$8))</f>
        <v>#N/A</v>
      </c>
      <c r="AY103" s="31">
        <f>(AL103*Input!$AO$4+AM103*Input!$AR$4+AN103*Input!$AU$4+AO103*Input!$AX$4+IF(ISNA(AP103),0,AP103*Input!$BA$4)+IF(ISNA(AQ103),0,AQ103*Input!$BD$4)+IF(ISNA(AR103),0,AR103*Input!$BG$4)+IF(ISNA(AS103),0,AS103*Input!$BJ$4)+IF(ISNA(AT103),0,AT103*Input!$BM$4)+IF(ISNA(AU103),0,AU103*Input!$BP$4)+IF(ISNA(AV103),0,AV103*Input!$BS$4)+IF(ISNA(AW103),0,AW103*Input!$BV$4)+IF(ISNA(AX103),0,AX103*Input!$BY$4))-(Y103*Input!$B$4+Z103*Input!$E$4+AA103*Input!$H$4+AB103*Input!$K$4+IF(ISNA(AC103),0,AC103*Input!$N$4)+IF(ISNA(AD103),0,AD103*Input!$Q$4)+IF(ISNA(AE103),0,AE103*Input!$T$4)+IF(ISNA(AF103),0,AF103*Input!$W$4)+IF(ISNA(AG103),0,AG103*Input!$Z$4)+IF(ISNA(AH103),0,AH103*Input!$AC$4)+IF(ISNA(AI103),0,AI103*Input!$AF$4)+IF(ISNA(AJ103),0,AJ103*Input!$AI$4)+IF(ISNA(AK103),0,AK103*Input!$AL$4))</f>
        <v>18131.324640110164</v>
      </c>
      <c r="AZ103" s="42">
        <f t="shared" si="35"/>
        <v>-4.2952567946859492</v>
      </c>
      <c r="BA103" s="1">
        <f t="shared" si="27"/>
        <v>650</v>
      </c>
      <c r="BB103" s="46">
        <f t="shared" si="28"/>
        <v>35000</v>
      </c>
      <c r="BC103" s="1"/>
      <c r="BD103" s="2">
        <f t="shared" si="29"/>
        <v>35000</v>
      </c>
      <c r="BE103" s="46">
        <f t="shared" si="30"/>
        <v>650</v>
      </c>
      <c r="BF103" s="1">
        <f>Results!AJ105</f>
        <v>0</v>
      </c>
      <c r="BG103" s="1">
        <f>Results!AK105</f>
        <v>0</v>
      </c>
      <c r="BH103" s="1">
        <f>Results!AL105</f>
        <v>0</v>
      </c>
      <c r="BI103" s="1">
        <f>Results!AM105</f>
        <v>0</v>
      </c>
      <c r="BJ103" s="1" t="e">
        <f>IF(OR(ISNA('Reaction Information'!$D$5), $N103 = "", $D$27 = FALSE, 'Reaction Information'!$D$5 = ""), NA(), 24.465)</f>
        <v>#N/A</v>
      </c>
      <c r="BK103" s="1" t="e">
        <f>IF(OR(ISNA('Reaction Information'!$D$9), $N103 = "", $D$27 = FALSE, 'Reaction Information'!$D$9 = ""), NA(), 24.465)</f>
        <v>#N/A</v>
      </c>
      <c r="BL103" s="8">
        <f t="shared" si="36"/>
        <v>14.218775715253612</v>
      </c>
      <c r="BM103" s="8">
        <f>IF(OR(ISBLANK(Input!$X$4),$D$27=FALSE),NA(),('Reaction Information'!$J$13/10+'Reaction Information'!$K$13*100/(Calculations!$C$12+Calculations!$M103)+('Reaction Information'!$L$13+'Reaction Information'!$M$13*10^4/(Calculations!$C$12+Calculations!$M103))/(Calculations!$O103-Calculations!$C$13) -calculateOmega(Calculations!$M103,Calculations!$N103,Calculations!$Q103,'Reaction Information'!$C$13,'Reaction Information'!$P$13*10^5,'Reaction Information'!$Q$13)*Calculations!$U103*10^-6 + (1/$S103 - 1)*calculate_domegadP(Calculations!$M103,Calculations!$N103,Calculations!$Q103,'Reaction Information'!$C$13,'Reaction Information'!$P$13*10^5,'Reaction Information'!$Q$13,$D$20,$D$19=3))*41.84)</f>
        <v>30.270932415527071</v>
      </c>
      <c r="BN103" s="8" t="e">
        <f>IF(OR(ISBLANK(Input!$AA$4),$D$27=FALSE),NA(),('Reaction Information'!$J$17/10+'Reaction Information'!$K$17*100/(Calculations!$C$12+Calculations!$M103)+('Reaction Information'!$L$17+'Reaction Information'!$M$17*10000/(Calculations!$C$12+Calculations!$M103))/(Calculations!$O103-Calculations!$C$13)-calculateOmega(Calculations!M103,Calculations!N103,Calculations!Q103,'Reaction Information'!$C$17,'Reaction Information'!$P$17*10^5,'Reaction Information'!$Q$17)*Calculations!$U103*10^-6 + (1/$S103 - 1)*calculate_domegadP(Calculations!M103,Calculations!N103,Calculations!Q103,'Reaction Information'!$C$17,'Reaction Information'!$P$17*10^5,'Reaction Information'!$Q$17,$D$20,$D$19=3))*41.84)</f>
        <v>#N/A</v>
      </c>
      <c r="BO103" s="8" t="e">
        <f>IF(OR(ISBLANK(Input!$AD$4),$D$27=FALSE),NA(),('Reaction Information'!$J$21/10+'Reaction Information'!$K$21*100/(Calculations!$C$12+Calculations!$M103)+('Reaction Information'!$L$21+'Reaction Information'!$M$21*10000/(Calculations!$C$12+Calculations!$M103))/(Calculations!$O103-Calculations!$C$13)-calculateOmega(Calculations!M103,Calculations!N103,Calculations!Q103,'Reaction Information'!$C$21,'Reaction Information'!$P$21*10^5,'Reaction Information'!$Q$21)*Calculations!$U103*10^-6 + (1/$S103 - 1)*calculate_domegadP(Calculations!M103,Calculations!N103,Calculations!Q103,'Reaction Information'!$C$21,'Reaction Information'!$P$21*10^5,'Reaction Information'!$Q$21,$D$20,$D$19=3))*41.84)</f>
        <v>#N/A</v>
      </c>
      <c r="BP103" s="8" t="e">
        <f>IF(OR(ISBLANK(Input!$AG$4),$D$27=FALSE),NA(),('Reaction Information'!$J$25/10+'Reaction Information'!$K$25*100/(Calculations!$C$12+Calculations!$M103)+('Reaction Information'!$L$25+'Reaction Information'!$M$25*10000/(Calculations!$C$12+Calculations!$M103))/(Calculations!$O103-Calculations!$C$13)-calculateOmega(Calculations!M103,Calculations!N103,Calculations!Q103,'Reaction Information'!$C$25,'Reaction Information'!$P$25*10^5,'Reaction Information'!$Q$25)*Calculations!$U103*10^-6 + (1/$S103 - 1)*calculate_domegadP(Calculations!M103,Calculations!N103,Calculations!Q103,'Reaction Information'!$C$25,'Reaction Information'!$P$25*10^5,'Reaction Information'!$Q$25,$D$20,$D$19=3))*41.84)</f>
        <v>#N/A</v>
      </c>
      <c r="BQ103" s="8" t="e">
        <f>IF(OR(ISBLANK(Input!$AJ$4),$D$27=FALSE),NA(),('Reaction Information'!$J$29/10+'Reaction Information'!$K$29*100/(Calculations!$C$12+Calculations!$M103)+('Reaction Information'!$L$29+'Reaction Information'!$M$29*10000/(Calculations!$C$12+Calculations!$M103))/(Calculations!$O103-Calculations!$C$13)-calculateOmega(Calculations!M103,Calculations!N103,Calculations!Q103,'Reaction Information'!$C$29,'Reaction Information'!$P$29*10^5,'Reaction Information'!$Q$29)*Calculations!$U103*10^-6 + (1/$S103 - 1)*calculate_domegadP(Calculations!M103,Calculations!N103,Calculations!Q103,'Reaction Information'!$C$29,'Reaction Information'!$P$29*10^5,'Reaction Information'!$Q$29,$D$20,$D$19=3))*41.84)</f>
        <v>#N/A</v>
      </c>
      <c r="BR103" s="8" t="e">
        <f>IF(OR(ISBLANK(Input!$AM$4),$D$27=FALSE),NA(),('Reaction Information'!$J$33/10+'Reaction Information'!$K$33*100/(Calculations!$C$12+Calculations!$M103)+('Reaction Information'!$L$33+'Reaction Information'!$M$33*10000/(Calculations!$C$12+Calculations!$M103))/(Calculations!$O103-Calculations!$C$13)-calculateOmega(Calculations!M103,Calculations!N103,Calculations!Q103,'Reaction Information'!$C$33,'Reaction Information'!$P$33*10^5,'Reaction Information'!$Q$33)*Calculations!$U103*10^-6 + (1/$S103 - 1)*calculate_domegadP(Calculations!M103,Calculations!N103,Calculations!Q103,'Reaction Information'!$C$33,'Reaction Information'!$P$33*10^5,'Reaction Information'!$Q$33,$D$20,$D$19=3))*41.84)</f>
        <v>#N/A</v>
      </c>
      <c r="BS103" s="1">
        <f>Results!AW105</f>
        <v>0</v>
      </c>
      <c r="BT103" s="1">
        <f>Results!AX105</f>
        <v>0</v>
      </c>
      <c r="BU103" s="1">
        <f>Results!AY105</f>
        <v>0</v>
      </c>
      <c r="BV103" s="1">
        <f>Results!AZ105</f>
        <v>0</v>
      </c>
      <c r="BW103" s="1" t="e">
        <f>IF(OR(ISNA('Reaction Information'!$D$38), $N103 = "", $D$27 = FALSE, 'Reaction Information'!$D$38 = ""), NA(), 24.465)</f>
        <v>#N/A</v>
      </c>
      <c r="BX103" s="1" t="e">
        <f>IF(OR(ISNA('Reaction Information'!$D$42), $N103 = "", $D$27 = FALSE, 'Reaction Information'!$D$42 = ""), NA(), 24.465)</f>
        <v>#N/A</v>
      </c>
      <c r="BY103" s="8" t="e">
        <f t="shared" si="37"/>
        <v>#N/A</v>
      </c>
      <c r="BZ103" s="8">
        <f>IF(OR(ISBLANK(Input!$BK$4),$D$27=FALSE),NA(),('Reaction Information'!$J$46/10+'Reaction Information'!$K$46*100/(Calculations!$C$12+Calculations!$M103)+('Reaction Information'!$L$46+'Reaction Information'!$M$46*10000/(Calculations!$C$12+Calculations!$M103))/(Calculations!$O103-Calculations!$C$13)-calculateOmega(Calculations!M103,Calculations!N103,Calculations!Q103,'Reaction Information'!$C$46,'Reaction Information'!$P$46*10^5,'Reaction Information'!$Q$46)*Calculations!$U103*10^-6 + (1/$S103 - 1)*calculate_domegadP(Calculations!M103,Calculations!N103,Calculations!Q103,'Reaction Information'!$C$46,'Reaction Information'!$P$46*10^5,'Reaction Information'!$Q$46,$D$20,$D$19=3))*41.84)</f>
        <v>0</v>
      </c>
      <c r="CA103" s="8">
        <f>IF(OR(ISBLANK(Input!$BN$4),$D$27=FALSE),NA(),('Reaction Information'!$J$50/10+'Reaction Information'!$K$50*100/(Calculations!$C$12+Calculations!$M103)+('Reaction Information'!$L$50+'Reaction Information'!$M$50*10000/(Calculations!$C$12+Calculations!$M103))/(Calculations!$O103-Calculations!$C$13)-calculateOmega(Calculations!M103,Calculations!N103,Calculations!Q103,'Reaction Information'!$C$50,'Reaction Information'!$P$50*10^5,'Reaction Information'!$Q$50)*Calculations!$U103*10^-6 + (1/$S103 - 1)*calculate_domegadP(Calculations!M103,Calculations!N103,Calculations!Q103,'Reaction Information'!$C$50,'Reaction Information'!$P$50*10^5,'Reaction Information'!$Q$50,$D$20,$D$19=3))*41.84)</f>
        <v>30.907222598785243</v>
      </c>
      <c r="CB103" s="8" t="e">
        <f>IF(OR(ISBLANK(Input!$BQ$4),$D$27=FALSE),NA(),('Reaction Information'!$J$54/10+'Reaction Information'!$K$54*100/(Calculations!$C$12+Calculations!$M103)+('Reaction Information'!$L$54+'Reaction Information'!$M$54*10000/(Calculations!$C$12+Calculations!$M103))/(Calculations!$O103-Calculations!$C$13)-calculateOmega(Calculations!M103,Calculations!N103,Calculations!Q103,'Reaction Information'!$C$54,'Reaction Information'!$P$54*10^5,'Reaction Information'!$Q$54)*Calculations!$U103*10^-6 + (1/$S103 - 1)*calculate_domegadP(Calculations!M103,Calculations!N103,Calculations!Q103,'Reaction Information'!$C$54,'Reaction Information'!$P$54*10^5,'Reaction Information'!$Q$54,$D$20,$D$19=3))*41.84)</f>
        <v>#N/A</v>
      </c>
      <c r="CC103" s="8" t="e">
        <f>IF(OR(ISBLANK(Input!$BT$4),$D$27=FALSE),NA(),('Reaction Information'!$J$58/10+'Reaction Information'!$K$58*100/(Calculations!$C$12+Calculations!$M103)+('Reaction Information'!$L$58+'Reaction Information'!$M$58*10000/(Calculations!$C$12+Calculations!$M103))/(Calculations!$O103-Calculations!$C$13)-calculateOmega(Calculations!M103,Calculations!N103,Calculations!Q103,'Reaction Information'!$C$58,'Reaction Information'!$P$58*10^5,'Reaction Information'!$Q$58)*Calculations!$U103*10^-6 + (1/$S103 - 1)*calculate_domegadP(Calculations!M103,Calculations!N103,Calculations!Q103,'Reaction Information'!$C$58,'Reaction Information'!$P$58*10^5,'Reaction Information'!$Q$58,$D$20,$D$19=3))*41.84)</f>
        <v>#N/A</v>
      </c>
      <c r="CD103" s="8" t="e">
        <f>IF(OR(ISBLANK(Input!$BW$4),$D$27=FALSE),NA(),('Reaction Information'!$J$62/10+'Reaction Information'!$K$62*100/(Calculations!$C$12+Calculations!$M103)+('Reaction Information'!$L$62+'Reaction Information'!$M$62*10000/(Calculations!$C$12+Calculations!$M103))/(Calculations!$O103-Calculations!$C$13)-calculateOmega(Calculations!M103,Calculations!N103,Calculations!Q103,'Reaction Information'!$C$62,'Reaction Information'!$P$62*10^5,'Reaction Information'!$Q$62)*Calculations!$U103*10^-6 + (1/$S103 - 1)*calculate_domegadP(Calculations!M103,Calculations!N103,Calculations!Q103,'Reaction Information'!$C$62,'Reaction Information'!$P$62*10^5,'Reaction Information'!$Q$62,$D$20,$D$19=3))*41.84)</f>
        <v>#N/A</v>
      </c>
      <c r="CE103" s="8" t="e">
        <f>IF(OR(ISBLANK(Input!$BZ$4),$D$27=FALSE),NA(),('Reaction Information'!$J$66/10+'Reaction Information'!$K$66*100/(Calculations!$C$12+Calculations!$M103)+('Reaction Information'!$L$66+'Reaction Information'!$M$66*10000/(Calculations!$C$12+Calculations!$M103))/(Calculations!$O103-Calculations!$C$13)-calculateOmega(Calculations!M103,Calculations!N103,Calculations!Q103,'Reaction Information'!$C$66,'Reaction Information'!$P$66*10^5,'Reaction Information'!$Q$66)*Calculations!$U103*10^-6 + (1/$S103 - 1)*calculate_domegadP(Calculations!M103,Calculations!N103,Calculations!Q103,'Reaction Information'!$C$66,'Reaction Information'!$P$66*10^5,'Reaction Information'!$Q$66,$D$20,$D$19=3))*41.84)</f>
        <v>#N/A</v>
      </c>
      <c r="CF103" s="31">
        <f>(BS103*Input!$AO$4+BT103*Input!$AR$4+BU103*Input!$AU$4+BV103*Input!$AX$4+IF(ISNA(BW103),0,BW103*Input!$BA$4)+IF(ISNA(BX103),0,BX103*Input!$BD$4)+IF(ISNA(BY103),0,BY103*Input!$BG$4)+IF(ISNA(BZ103),0,BZ103*Input!$BJ$4)+IF(ISNA(CA103),0,CA103*Input!$BM$4)+IF(ISNA(CB103),0,CB103*Input!$BP$4)+IF(ISNA(CC103),0,CC103*Input!$BS$4)+IF(ISNA(CD103),0,CD103*Input!$BV$4)+IF(ISNA(CE103),0,CE103*Input!$BY$4))-(BF103*Input!$B$4+BG103*Input!$E$4+BH103*Input!$H$4+BI103*Input!$K$4+IF(ISNA(BJ103),0,BJ103*Input!$N$4)+IF(ISNA(BK103),0,BK103*Input!$Q$4)+IF(ISNA(BL103),0,BL103*Input!$T$4)+IF(ISNA(BM103),0,BM103*Input!$W$4)+IF(ISNA(BN103),0,BN103*Input!$Z$4)+IF(ISNA(BO103),0,BO103*Input!$AC$4)+IF(ISNA(BP103),0,BP103*Input!$AF$4)+IF(ISNA(BQ103),0,BQ103*Input!$AI$4)+IF(ISNA(BR103),0,BR103*Input!$AL$4))</f>
        <v>-13.582485531995442</v>
      </c>
      <c r="CG103" s="1">
        <f t="shared" si="31"/>
        <v>650</v>
      </c>
      <c r="CH103" s="46">
        <f t="shared" si="32"/>
        <v>35000</v>
      </c>
      <c r="CI103" s="1"/>
    </row>
    <row r="104" spans="1:87" x14ac:dyDescent="0.2">
      <c r="A104" s="1"/>
      <c r="B104" s="1"/>
      <c r="C104" s="1"/>
      <c r="D104" s="1"/>
      <c r="E104" s="1"/>
      <c r="F104" s="2">
        <v>99</v>
      </c>
      <c r="G104" s="1" t="str">
        <f>IF(ISBLANK(Input!CB104), "", Input!CB104*1000)</f>
        <v/>
      </c>
      <c r="H104" s="1" t="str">
        <f>IF(ISBLANK(Input!CC104), "", Input!CC104)</f>
        <v/>
      </c>
      <c r="I104" s="1">
        <f>IF(Input!$CF$5 + Input!$CF$6*(FLOOR((Calculations!$F104-1)/(FLOOR((Input!$CF$12-Input!$CF$10)/Input!$CF$11,1)+1),1)) &gt; Input!$CF$7, "", (Input!$CF$5 + Input!$CF$6*(FLOOR((Calculations!$F104-1)/(FLOOR((Input!$CF$12-Input!$CF$10)/Input!$CF$11,1)+1),1)))*1000)</f>
        <v>35000</v>
      </c>
      <c r="J104" s="1">
        <f>IF(Calculations!I104 = "", "", Input!$CF$10 + Input!$CF$11*(Calculations!$F104-1) - (FLOOR((Input!$CF$12-Input!$CF$10)/Input!$CF$11,1)+1)*Input!$CF$11*FLOOR((Calculations!$F104-1)/(FLOOR((Input!$CF$12-Input!$CF$10)/Input!$CF$11,1)+1),1))</f>
        <v>700</v>
      </c>
      <c r="K104" s="8" t="str">
        <f t="shared" si="33"/>
        <v/>
      </c>
      <c r="L104" s="117" t="str">
        <f>IF(OR(Input!$CJ$5 + Input!$CJ$6*(Calculations!F104-1) &gt; Input!$CJ$7, Input!$CJ$5 + Input!$CJ$6*(Calculations!F104-1) &gt; 350), "", Input!$CJ$5 + Input!$CJ$6*(Calculations!F104-1))</f>
        <v/>
      </c>
      <c r="M104" s="1">
        <f t="shared" si="23"/>
        <v>35000</v>
      </c>
      <c r="N104" s="1">
        <f t="shared" si="24"/>
        <v>700</v>
      </c>
      <c r="O104" s="1">
        <f t="shared" si="34"/>
        <v>973.15</v>
      </c>
      <c r="P104" s="1" t="e">
        <f>IF(OR($D$20=3,AND($D$21=TRUE,M104&lt;1000)),INDEX('Water Density'!$C$6:$CX$120,MATCH(Calculations!N104,'Water Density'!$B$6:$B$120),MATCH(Calculations!M104/1000,'Water Density'!$C$5:$CX$5)),NA())</f>
        <v>#N/A</v>
      </c>
      <c r="Q104" s="182">
        <f>IF(OR($D$20=3,AND($D$21=TRUE,M104&lt;1000)), IF(P104&lt;&gt;0,P104,NA()), calculateDensity(M104,N104,$D$20,0.01,$D$19 = 3))</f>
        <v>1.25265516091764</v>
      </c>
      <c r="R104" s="1" t="e">
        <f>IF($D$22=5,INDEX('Dielectric Constant'!$C$6:$CX$120,MATCH(Calculations!N104,'Dielectric Constant'!$B$6:$B$120),MATCH(Calculations!M104/1000,'Dielectric Constant'!$C$5:$CX$5)),NA())</f>
        <v>#N/A</v>
      </c>
      <c r="S104" s="58">
        <f>IF($D$22=5, IF(R104&lt;&gt;0,R104,NA()), IF(AND($D$23,M104&lt;=5000,$D$19 &lt;&gt; 3),calculateEpsilon(Q104,N104,1,FALSE),calculateEpsilon(Q104,N104,$D$22,$D$19 = 3)))</f>
        <v>24.561071898942298</v>
      </c>
      <c r="T104" s="1" t="e">
        <f>IF($D$24=3,INDEX('Water Free Energy'!$C$6:$CX$120,MATCH(Calculations!N104,'Water Free Energy'!$B$6:$B$120),MATCH(Calculations!M104/1000,'Water Free Energy'!$C$5:$CX$5)),NA())</f>
        <v>#N/A</v>
      </c>
      <c r="U104" s="179">
        <f>IF($D$27,calculateQ(M104,N104,Q104,$D$20,$D$22,$D$19=3)*10^6,NA())</f>
        <v>0.24172869765551089</v>
      </c>
      <c r="V104"/>
      <c r="W104" s="2">
        <f t="shared" si="25"/>
        <v>35000</v>
      </c>
      <c r="X104" s="1">
        <f t="shared" si="26"/>
        <v>700</v>
      </c>
      <c r="Y104" s="1">
        <f>Results!F106</f>
        <v>0</v>
      </c>
      <c r="Z104" s="1">
        <f>Results!G106</f>
        <v>0</v>
      </c>
      <c r="AA104" s="1">
        <f>Results!H106</f>
        <v>0</v>
      </c>
      <c r="AB104" s="1">
        <f>Results!I106</f>
        <v>0</v>
      </c>
      <c r="AC104" s="1" t="e">
        <f>IF(ISBLANK(Input!$O$4),NA(),'Reaction Information'!$E$5-'Reaction Information'!$G$5*(Calculations!$O104-Calculations!$C$8)+'Reaction Information'!$I$5*(Calculations!$O104-Calculations!$C$8-Calculations!$O104*LN(Calculations!$O104/Calculations!$C$8))+'Reaction Information'!$J$5*0.001/2*(2*Calculations!$O104*Calculations!$C$8-Calculations!$O104^2-Calculations!$C$8^2) + 'Reaction Information'!$K$5*100000*(Calculations!$O104^2 + Calculations!$C$8^2 - 2*Calculations!$O104*Calculations!$C$8)/(2*Calculations!$O104*Calculations!$C$8^2))</f>
        <v>#N/A</v>
      </c>
      <c r="AD104" s="8" t="e">
        <f>IF(ISBLANK(Input!$R$4),NA(),'Reaction Information'!$E$9-'Reaction Information'!$G$9*(Calculations!$O104-Calculations!$C$8)+'Reaction Information'!$I$9*(Calculations!$O104-Calculations!$C$8-Calculations!$O104*LN(Calculations!$O104/Calculations!$C$8))+'Reaction Information'!$J$9*0.001/2*(2*Calculations!$O104*Calculations!$C$8-Calculations!$O104^2-Calculations!$C$8^2) + 'Reaction Information'!$K$9*100000*(Calculations!$O104^2 + Calculations!$C$8^2 - 2*Calculations!$O104*Calculations!$C$8)/(2*Calculations!$O104*Calculations!$C$8^2))</f>
        <v>#N/A</v>
      </c>
      <c r="AE104" s="8">
        <f>IF(AE$5="H2O",IF($D$24=3,IF(T104=0,NA(),T104),calculateGibbsOfWater(M104,N104,$D$24,$D$20,$D$19=3)),NA())</f>
        <v>-60759.729184864758</v>
      </c>
      <c r="AF104" s="8">
        <f>IF(ISBLANK(Input!$X$4),NA(),'Reaction Information'!$E$13-'Reaction Information'!$G$13*(Calculations!O104-Calculations!$C$8)-'Reaction Information'!$N$13*(Calculations!O104*LN(Calculations!O104/Calculations!$C$8)-Calculations!O104+Calculations!$C$8)-'Reaction Information'!$O$13*10^4*(((1/(Calculations!O104-Calculations!$C$13))-(1/(Calculations!$C$8-Calculations!$C$13)))*((Calculations!$C$13-Calculations!O104)/(Calculations!$C$13))-(Calculations!O104/(Calculations!$C$13*Calculations!$C$13))*LN((Calculations!$C$8*(Calculations!O104-Calculations!$C$13))/(Calculations!O104*(Calculations!$C$8-Calculations!$C$13))))+'Reaction Information'!$J$13*10^-1*(Calculations!M104-Calculations!$C$9)+'Reaction Information'!$K$13*10^2*LN((Calculations!$C$12+Calculations!M104)/(Calculations!$C$12+Calculations!$C$9))+(1/(Calculations!O104-Calculations!$C$13))*('Reaction Information'!$L$13*(Calculations!M104-Calculations!$C$9)+'Reaction Information'!$M$13*10^4*LN((Calculations!$C$12+Calculations!M104)/(Calculations!$C$12+Calculations!$C$9)))+calculateOmega(Calculations!M104,Calculations!N104,Calculations!Q104,'Reaction Information'!$C$13,'Reaction Information'!$P$13*10^5,'Reaction Information'!$Q$13)*((1/Calculations!S104)-1)-'Reaction Information'!$P$13*10^5*((1/Calculations!$C$10)-1)+'Reaction Information'!$P$13*10^5*Calculations!$C$14*(Calculations!O104-Calculations!$C$8))</f>
        <v>-94668.410771637107</v>
      </c>
      <c r="AG104" s="8" t="e">
        <f>IF(ISBLANK(Input!$AA$4),NA(),'Reaction Information'!$E$17-'Reaction Information'!$G$17*(Calculations!$O104-Calculations!$C$8)-'Reaction Information'!$N$17*(Calculations!$O104*LN(Calculations!$O104/Calculations!$C$8)-Calculations!$O104+Calculations!$C$8)-'Reaction Information'!$O$17*10^4*(((1/(Calculations!$O104-Calculations!$C$13))-(1/(Calculations!$C$8-Calculations!$C$13)))*((Calculations!$C$13-Calculations!$O104)/(Calculations!$C$13))-(Calculations!$O104/(Calculations!$C$13*Calculations!$C$13))*LN((Calculations!$C$8*(Calculations!$O104-Calculations!$C$13))/(Calculations!$O104*(Calculations!$C$8-Calculations!$C$13))))+'Reaction Information'!$J$17*10^-1*(Calculations!$M104-Calculations!$C$9)+'Reaction Information'!$K$17*10^2*LN((Calculations!$C$12+Calculations!$M104)/(Calculations!$C$12+Calculations!$C$9))+(1/(Calculations!$O104-Calculations!$C$13))*('Reaction Information'!$L$17*(Calculations!$M104-Calculations!$C$9)+'Reaction Information'!$M$17*10^4*LN((Calculations!$C$12+Calculations!$M104)/(Calculations!$C$12+Calculations!$C$9)))+calculateOmega(Calculations!M104,Calculations!N104,Calculations!Q104,'Reaction Information'!$C$17,'Reaction Information'!$P$17*10^5,'Reaction Information'!$Q$17)*((1/Calculations!$S104)-1)-'Reaction Information'!$P$17*10^5*((1/Calculations!$C$10)-1)+'Reaction Information'!$P$17*10^5*Calculations!$C$14*(Calculations!$O104-Calculations!$C$8))</f>
        <v>#N/A</v>
      </c>
      <c r="AH104" s="8" t="e">
        <f>IF(ISBLANK(Input!$AD$4),NA(),'Reaction Information'!$E$21-'Reaction Information'!$G$21*(Calculations!$O104-Calculations!$C$8)-'Reaction Information'!$N$21*(Calculations!$O104*LN(Calculations!$O104/Calculations!$C$8)-Calculations!$O104+Calculations!$C$8)-'Reaction Information'!$O$21*10^4*(((1/(Calculations!$O104-Calculations!$C$13))-(1/(Calculations!$C$8-Calculations!$C$13)))*((Calculations!$C$13-Calculations!$O104)/(Calculations!$C$13))-(Calculations!$O104/(Calculations!$C$13*Calculations!$C$13))*LN((Calculations!$C$8*(Calculations!$O104-Calculations!$C$13))/(Calculations!$O104*(Calculations!$C$8-Calculations!$C$13))))+'Reaction Information'!$J$21*10^-1*(Calculations!$M104-Calculations!$C$9)+'Reaction Information'!$K$21*10^2*LN((Calculations!$C$12+Calculations!$M104)/(Calculations!$C$12+Calculations!$C$9))+(1/(Calculations!$O104-Calculations!$C$13))*('Reaction Information'!$L$21*(Calculations!$M104-Calculations!$C$9)+'Reaction Information'!$M$21*10^4*LN((Calculations!$C$12+Calculations!$M104)/(Calculations!$C$12+Calculations!$C$9)))+calculateOmega(Calculations!M104,Calculations!N104,Calculations!Q104,'Reaction Information'!$C$21,'Reaction Information'!$P$21*10^5,'Reaction Information'!$Q$21)*((1/Calculations!$S104)-1)-'Reaction Information'!$P$21*10^5*((1/Calculations!$C$10)-1)+'Reaction Information'!$P$21*10^5*Calculations!$C$14*(Calculations!$O104-Calculations!$C$8))</f>
        <v>#N/A</v>
      </c>
      <c r="AI104" s="8" t="e">
        <f>IF(ISBLANK(Input!$AG$4),NA(),'Reaction Information'!$E$25-'Reaction Information'!$G$25*(Calculations!$O104-Calculations!$C$8)-'Reaction Information'!$N$25*(Calculations!$O104*LN(Calculations!$O104/Calculations!$C$8)-Calculations!$O104+Calculations!$C$8)-'Reaction Information'!$O$25*10^4*(((1/(Calculations!$O104-Calculations!$C$13))-(1/(Calculations!$C$8-Calculations!$C$13)))*((Calculations!$C$13-Calculations!$O104)/(Calculations!$C$13))-(Calculations!$O104/(Calculations!$C$13*Calculations!$C$13))*LN((Calculations!$C$8*(Calculations!$O104-Calculations!$C$13))/(Calculations!$O104*(Calculations!$C$8-Calculations!$C$13))))+'Reaction Information'!$J$25*10^-1*(Calculations!$M104-Calculations!$C$9)+'Reaction Information'!$K$25*10^2*LN((Calculations!$C$12+Calculations!$M104)/(Calculations!$C$12+Calculations!$C$9))+(1/(Calculations!$O104-Calculations!$C$13))*('Reaction Information'!$L$25*(Calculations!$M104-Calculations!$C$9)+'Reaction Information'!$M$25*10^4*LN((Calculations!$C$12+Calculations!$M104)/(Calculations!$C$12+Calculations!$C$9)))+calculateOmega(Calculations!M104,Calculations!N104,Calculations!Q104,'Reaction Information'!$C$25,'Reaction Information'!$P$25*10^5,'Reaction Information'!$Q$25)*((1/Calculations!$S104)-1)-'Reaction Information'!$P$25*10^5*((1/Calculations!$C$10)-1)+'Reaction Information'!$P$25*10^5*Calculations!$C$14*(Calculations!$O104-Calculations!$C$8))</f>
        <v>#N/A</v>
      </c>
      <c r="AJ104" s="8" t="e">
        <f>IF(ISBLANK(Input!$AJ$4),NA(),'Reaction Information'!$E$29-'Reaction Information'!$G$29*(Calculations!$O104-Calculations!$C$8)-'Reaction Information'!$N$29*(Calculations!$O104*LN(Calculations!$O104/Calculations!$C$8)-Calculations!$O104+Calculations!$C$8)-'Reaction Information'!$O$29*10^4*(((1/(Calculations!$O104-Calculations!$C$13))-(1/(Calculations!$C$8-Calculations!$C$13)))*((Calculations!$C$13-Calculations!$O104)/(Calculations!$C$13))-(Calculations!$O104/(Calculations!$C$13*Calculations!$C$13))*LN((Calculations!$C$8*(Calculations!$O104-Calculations!$C$13))/(Calculations!$O104*(Calculations!$C$8-Calculations!$C$13))))+'Reaction Information'!$J$29*10^-1*(Calculations!$M104-Calculations!$C$9)+'Reaction Information'!$K$29*10^2*LN((Calculations!$C$12+Calculations!$M104)/(Calculations!$C$12+Calculations!$C$9))+(1/(Calculations!$O104-Calculations!$C$13))*('Reaction Information'!$L$29*(Calculations!$M104-Calculations!$C$9)+'Reaction Information'!$M$29*10^4*LN((Calculations!$C$12+Calculations!$M104)/(Calculations!$C$12+Calculations!$C$9)))+calculateOmega(Calculations!M104,Calculations!N104,Calculations!Q104,'Reaction Information'!$C$29,'Reaction Information'!$P$29*10^5,'Reaction Information'!$Q$29)*((1/Calculations!$S104)-1)-'Reaction Information'!$P$29*10^5*((1/Calculations!$C$10)-1)+'Reaction Information'!$P$29*10^5*Calculations!$C$14*(Calculations!$O104-Calculations!$C$8))</f>
        <v>#N/A</v>
      </c>
      <c r="AK104" s="8" t="e">
        <f>IF(ISBLANK(Input!$AM$4),NA(),'Reaction Information'!$E$33-'Reaction Information'!$G$33*(Calculations!$O104-Calculations!$C$8)-'Reaction Information'!$N$33*(Calculations!$O104*LN(Calculations!$O104/Calculations!$C$8)-Calculations!$O104+Calculations!$C$8)-'Reaction Information'!$O$33*10^4*(((1/(Calculations!$O104-Calculations!$C$13))-(1/(Calculations!$C$8-Calculations!$C$13)))*((Calculations!$C$13-Calculations!$O104)/(Calculations!$C$13))-(Calculations!$O104/(Calculations!$C$13*Calculations!$C$13))*LN((Calculations!$C$8*(Calculations!$O104-Calculations!$C$13))/(Calculations!$O104*(Calculations!$C$8-Calculations!$C$13))))+'Reaction Information'!$J$33*10^-1*(Calculations!$M104-Calculations!$C$9)+'Reaction Information'!$K$33*10^2*LN((Calculations!$C$12+Calculations!$M104)/(Calculations!$C$12+Calculations!$C$9))+(1/(Calculations!$O104-Calculations!$C$13))*('Reaction Information'!$L$33*(Calculations!$M104-Calculations!$C$9)+'Reaction Information'!$M$33*10^4*LN((Calculations!$C$12+Calculations!$M104)/(Calculations!$C$12+Calculations!$C$9)))+calculateOmega(Calculations!M104,Calculations!N104,Calculations!Q104,'Reaction Information'!$C$33,'Reaction Information'!$P$33*10^5,'Reaction Information'!$Q$33)*((1/Calculations!$S104)-1)-'Reaction Information'!$P$33*10^5*((1/Calculations!$C$10)-1)+'Reaction Information'!$P$33*10^5*Calculations!$C$14*(Calculations!$O104-Calculations!$C$8))</f>
        <v>#N/A</v>
      </c>
      <c r="AL104" s="1">
        <f>Results!S106</f>
        <v>0</v>
      </c>
      <c r="AM104" s="1">
        <f>Results!T106</f>
        <v>0</v>
      </c>
      <c r="AN104" s="1">
        <f>Results!U106</f>
        <v>0</v>
      </c>
      <c r="AO104" s="1">
        <f>Results!V106</f>
        <v>0</v>
      </c>
      <c r="AP104" s="8" t="e">
        <f>IF(ISBLANK(Input!$BB$4),NA(),'Reaction Information'!$E$38-'Reaction Information'!$G$38*(Calculations!$O104-Calculations!$C$8)+'Reaction Information'!$I$38*(Calculations!$O104-Calculations!$C$8-Calculations!$O104*LN(Calculations!$O104/Calculations!$C$8))+'Reaction Information'!$J$38*0.001/2*(2*Calculations!$O104*Calculations!$C$8-Calculations!$O104^2-Calculations!$C$8^2) + 'Reaction Information'!$K$38*100000*(Calculations!$O104^2 + Calculations!$C$8^2 - 2*Calculations!$O104*Calculations!$C$8)/(2*Calculations!$O104*Calculations!$C$8^2))</f>
        <v>#N/A</v>
      </c>
      <c r="AQ104" s="8" t="e">
        <f>IF(ISBLANK(Input!$BE$4),NA(),'Reaction Information'!$E$42-'Reaction Information'!$G$42*(Calculations!$O104-Calculations!$C$8)+'Reaction Information'!$I$42*(Calculations!$O104-Calculations!$C$8-Calculations!$O104*LN(Calculations!$O104/Calculations!$C$8))+'Reaction Information'!$J$42*0.001/2*(2*Calculations!$O104*Calculations!$C$8-Calculations!$O104^2-Calculations!$C$8^2) + 'Reaction Information'!$K$42*100000*(Calculations!$O104^2 + Calculations!$C$8^2 - 2*Calculations!$O104*Calculations!$C$8)/(2*Calculations!$O104*Calculations!$C$8^2))</f>
        <v>#N/A</v>
      </c>
      <c r="AR104" s="8" t="e">
        <f>IF(AR$5="H2O", IF($D$24=3,IF(T104=0,NA(),T104),calculateGibbsOfWater(M104,N104,$D$24,$D$20,$D$19=3)),NA())</f>
        <v>#N/A</v>
      </c>
      <c r="AS104" s="8">
        <f>IF(ISBLANK(Input!$BK$4),NA(),'Reaction Information'!$E$46-'Reaction Information'!$G$46*(Calculations!O104-Calculations!$C$8)-'Reaction Information'!$N$46*(Calculations!O104*LN(Calculations!O104/Calculations!$C$8)-Calculations!O104+Calculations!$C$8)-'Reaction Information'!$O$46*10^4*(((1/(Calculations!O104-Calculations!$C$13))-(1/(Calculations!$C$8-Calculations!$C$13)))*((Calculations!$C$13-Calculations!O104)/(Calculations!$C$13))-(Calculations!O104/(Calculations!$C$13*Calculations!$C$13))*LN((Calculations!$C$8*(Calculations!O104-Calculations!$C$13))/(Calculations!O104*(Calculations!$C$8-Calculations!$C$13))))+'Reaction Information'!$J$46*10^-1*(Calculations!$M104-Calculations!$C$9)+'Reaction Information'!$K$46*10^2*LN((Calculations!$C$12+Calculations!$M104)/(Calculations!$C$12+Calculations!$C$9))+(1/(Calculations!O104-Calculations!$C$13))*('Reaction Information'!$L$46*(Calculations!$M104-Calculations!$C$9)+'Reaction Information'!$M$46*10^4*LN((Calculations!$C$12+Calculations!$M104)/(Calculations!$C$12+Calculations!$C$9)))+calculateOmega(Calculations!M104,Calculations!N104,Calculations!Q104,'Reaction Information'!$C$46,'Reaction Information'!$P$46*10^5,'Reaction Information'!$Q$46)*((1/Calculations!S104)-1)-'Reaction Information'!$P$46*10^5*((1/Calculations!$C$10)-1)+'Reaction Information'!$P$46*10^5*Calculations!$C$14*(Calculations!O104-Calculations!$C$8))</f>
        <v>0</v>
      </c>
      <c r="AT104" s="8">
        <f>IF(ISBLANK(Input!$BN$4),NA(),'Reaction Information'!$E$50-'Reaction Information'!$G$50*(Calculations!O104-Calculations!$C$8)-'Reaction Information'!$N$50*(Calculations!O104*LN(Calculations!O104/Calculations!$C$8)-Calculations!O104+Calculations!$C$8)-'Reaction Information'!$O$50*10^4*(((1/(Calculations!O104-Calculations!$C$13))-(1/(Calculations!$C$8-Calculations!$C$13)))*((Calculations!$C$13-Calculations!O104)/(Calculations!$C$13))-(Calculations!O104/(Calculations!$C$13*Calculations!$C$13))*LN((Calculations!$C$8*(Calculations!O104-Calculations!$C$13))/(Calculations!O104*(Calculations!$C$8-Calculations!$C$13))))+'Reaction Information'!$J$50*10^-1*(Calculations!$M104-Calculations!$C$9)+'Reaction Information'!$K$50*10^2*LN((Calculations!$C$12+Calculations!$M104)/(Calculations!$C$12+Calculations!$C$9))+(1/(Calculations!O104-Calculations!$C$13))*('Reaction Information'!$L$50*(Calculations!$M104-Calculations!$C$9)+'Reaction Information'!$M$50*10^4*LN((Calculations!$C$12+Calculations!$M104)/(Calculations!$C$12+Calculations!$C$9)))+calculateOmega(Calculations!M104,Calculations!N104,Calculations!Q104,'Reaction Information'!$C$50,'Reaction Information'!$P$50*10^5,'Reaction Information'!$Q$50)*((1/Calculations!S104)-1)-'Reaction Information'!$P$50*10^5*((1/Calculations!$C$10)-1)+'Reaction Information'!$P$50*10^5*Calculations!$C$14*(Calculations!O104-Calculations!$C$8))</f>
        <v>-135113.61395675573</v>
      </c>
      <c r="AU104" s="8" t="e">
        <f>IF(ISBLANK(Input!$BQ$4),NA(),'Reaction Information'!$E$54-'Reaction Information'!$G$54*(Calculations!$O104-Calculations!$C$8)-'Reaction Information'!$N$54*(Calculations!$O104*LN(Calculations!$O104/Calculations!$C$8)-Calculations!$O104+Calculations!$C$8)-'Reaction Information'!$O$54*10^4*(((1/(Calculations!$O104-Calculations!$C$13))-(1/(Calculations!$C$8-Calculations!$C$13)))*((Calculations!$C$13-Calculations!$O104)/(Calculations!$C$13))-(Calculations!$O104/(Calculations!$C$13*Calculations!$C$13))*LN((Calculations!$C$8*(Calculations!$O104-Calculations!$C$13))/(Calculations!$O104*(Calculations!$C$8-Calculations!$C$13))))+'Reaction Information'!$J$54*10^-1*(Calculations!$M104-Calculations!$C$9)+'Reaction Information'!$K$54*10^2*LN((Calculations!$C$12+Calculations!$M104)/(Calculations!$C$12+Calculations!$C$9))+(1/(Calculations!$O104-Calculations!$C$13))*('Reaction Information'!$L$54*(Calculations!$M104-Calculations!$C$9)+'Reaction Information'!$M$54*10^4*LN((Calculations!$C$12+Calculations!$M104)/(Calculations!$C$12+Calculations!$C$9)))+calculateOmega(Calculations!M104,Calculations!N104,Calculations!Q104,'Reaction Information'!$C$54,'Reaction Information'!$P$54*10^5,'Reaction Information'!$Q$54)*((1/Calculations!$S104)-1)-'Reaction Information'!$P$54*10^5*((1/Calculations!$C$10)-1)+'Reaction Information'!$P$54*10^5*Calculations!$C$14*(Calculations!$O104-Calculations!$C$8))</f>
        <v>#N/A</v>
      </c>
      <c r="AV104" s="8" t="e">
        <f>IF(ISBLANK(Input!$BT$4),NA(),'Reaction Information'!$E$58-'Reaction Information'!$G$58*(Calculations!$O104-Calculations!$C$8)-'Reaction Information'!$N$58*(Calculations!$O104*LN(Calculations!$O104/Calculations!$C$8)-Calculations!$O104+Calculations!$C$8)-'Reaction Information'!$O$58*10^4*(((1/(Calculations!$O104-Calculations!$C$13))-(1/(Calculations!$C$8-Calculations!$C$13)))*((Calculations!$C$13-Calculations!$O104)/(Calculations!$C$13))-(Calculations!$O104/(Calculations!$C$13*Calculations!$C$13))*LN((Calculations!$C$8*(Calculations!$O104-Calculations!$C$13))/(Calculations!$O104*(Calculations!$C$8-Calculations!$C$13))))+'Reaction Information'!$J$58*10^-1*(Calculations!$M104-Calculations!$C$9)+'Reaction Information'!$K$58*10^2*LN((Calculations!$C$12+Calculations!$M104)/(Calculations!$C$12+Calculations!$C$9))+(1/(Calculations!$O104-Calculations!$C$13))*('Reaction Information'!$L$58*(Calculations!$M104-Calculations!$C$9)+'Reaction Information'!$M$58*10^4*LN((Calculations!$C$12+Calculations!$M104)/(Calculations!$C$12+Calculations!$C$9)))+calculateOmega(Calculations!M104,Calculations!N104,Calculations!Q104,'Reaction Information'!$C$58,'Reaction Information'!$P$58*10^5,'Reaction Information'!$Q$58)*((1/Calculations!$S104)-1)-'Reaction Information'!$P$58*10^5*((1/Calculations!$C$10)-1)+'Reaction Information'!$P$58*10^5*Calculations!$C$14*(Calculations!$O104-Calculations!$C$8))</f>
        <v>#N/A</v>
      </c>
      <c r="AW104" s="8" t="e">
        <f>IF(ISBLANK(Input!$BW$4),NA(),'Reaction Information'!$E$62-'Reaction Information'!$G$62*(Calculations!$O104-Calculations!$C$8)-'Reaction Information'!$N$62*(Calculations!$O104*LN(Calculations!$O104/Calculations!$C$8)-Calculations!$O104+Calculations!$C$8)-'Reaction Information'!$O$62*10^4*(((1/(Calculations!$O104-Calculations!$C$13))-(1/(Calculations!$C$8-Calculations!$C$13)))*((Calculations!$C$13-Calculations!$O104)/(Calculations!$C$13))-(Calculations!$O104/(Calculations!$C$13*Calculations!$C$13))*LN((Calculations!$C$8*(Calculations!$O104-Calculations!$C$13))/(Calculations!$O104*(Calculations!$C$8-Calculations!$C$13))))+'Reaction Information'!$J$62*10^-1*(Calculations!$M104-Calculations!$C$9)+'Reaction Information'!$K$62*10^2*LN((Calculations!$C$12+Calculations!$M104)/(Calculations!$C$12+Calculations!$C$9))+(1/(Calculations!$O104-Calculations!$C$13))*('Reaction Information'!$L$62*(Calculations!$M104-Calculations!$C$9)+'Reaction Information'!$M$62*10^4*LN((Calculations!$C$12+Calculations!$M104)/(Calculations!$C$12+Calculations!$C$9)))+calculateOmega(Calculations!M104,Calculations!N104,Calculations!Q104,'Reaction Information'!$C$62,'Reaction Information'!$P$62*10^5,'Reaction Information'!$Q$62)*((1/Calculations!$S104)-1)-'Reaction Information'!$P$62*10^5*((1/Calculations!$C$10)-1)+'Reaction Information'!$P$62*10^5*Calculations!$C$14*(Calculations!$O104-Calculations!$C$8))</f>
        <v>#N/A</v>
      </c>
      <c r="AX104" s="8" t="e">
        <f>IF(ISBLANK(Input!$BZ$4),NA(),'Reaction Information'!$E$66-'Reaction Information'!$G$66*(Calculations!$O104-Calculations!$C$8)-'Reaction Information'!$N$66*(Calculations!$O104*LN(Calculations!$O104/Calculations!$C$8)-Calculations!$O104+Calculations!$C$8)-'Reaction Information'!$O$66*10^4*(((1/(Calculations!$O104-Calculations!$C$13))-(1/(Calculations!$C$8-Calculations!$C$13)))*((Calculations!$C$13-Calculations!$O104)/(Calculations!$C$13))-(Calculations!$O104/(Calculations!$C$13*Calculations!$C$13))*LN((Calculations!$C$8*(Calculations!$O104-Calculations!$C$13))/(Calculations!$O104*(Calculations!$C$8-Calculations!$C$13))))+'Reaction Information'!$J$66*10^-1*(Calculations!$M104-Calculations!$C$9)+'Reaction Information'!$K$66*10^2*LN((Calculations!$C$12+Calculations!$M104)/(Calculations!$C$12+Calculations!$C$9))+(1/(Calculations!$O104-Calculations!$C$13))*('Reaction Information'!$L$66*(Calculations!$M104-Calculations!$C$9)+'Reaction Information'!$M$66*10^4*LN((Calculations!$C$12+Calculations!$M104)/(Calculations!$C$12+Calculations!$C$9)))+calculateOmega(Calculations!M104,Calculations!N104,Calculations!Q104,'Reaction Information'!$C$66,'Reaction Information'!$P$66*10^5,'Reaction Information'!$Q$66)*((1/Calculations!$S104)-1)-'Reaction Information'!$P$66*10^5*((1/Calculations!$C$10)-1)+'Reaction Information'!$P$66*10^5*Calculations!$C$14*(Calculations!$O104-Calculations!$C$8))</f>
        <v>#N/A</v>
      </c>
      <c r="AY104" s="31">
        <f>(AL104*Input!$AO$4+AM104*Input!$AR$4+AN104*Input!$AU$4+AO104*Input!$AX$4+IF(ISNA(AP104),0,AP104*Input!$BA$4)+IF(ISNA(AQ104),0,AQ104*Input!$BD$4)+IF(ISNA(AR104),0,AR104*Input!$BG$4)+IF(ISNA(AS104),0,AS104*Input!$BJ$4)+IF(ISNA(AT104),0,AT104*Input!$BM$4)+IF(ISNA(AU104),0,AU104*Input!$BP$4)+IF(ISNA(AV104),0,AV104*Input!$BS$4)+IF(ISNA(AW104),0,AW104*Input!$BV$4)+IF(ISNA(AX104),0,AX104*Input!$BY$4))-(Y104*Input!$B$4+Z104*Input!$E$4+AA104*Input!$H$4+AB104*Input!$K$4+IF(ISNA(AC104),0,AC104*Input!$N$4)+IF(ISNA(AD104),0,AD104*Input!$Q$4)+IF(ISNA(AE104),0,AE104*Input!$T$4)+IF(ISNA(AF104),0,AF104*Input!$W$4)+IF(ISNA(AG104),0,AG104*Input!$Z$4)+IF(ISNA(AH104),0,AH104*Input!$AC$4)+IF(ISNA(AI104),0,AI104*Input!$AF$4)+IF(ISNA(AJ104),0,AJ104*Input!$AI$4)+IF(ISNA(AK104),0,AK104*Input!$AL$4))</f>
        <v>20314.52599974614</v>
      </c>
      <c r="AZ104" s="42">
        <f t="shared" si="35"/>
        <v>-4.565189187012388</v>
      </c>
      <c r="BA104" s="1">
        <f t="shared" si="27"/>
        <v>700</v>
      </c>
      <c r="BB104" s="46">
        <f t="shared" si="28"/>
        <v>35000</v>
      </c>
      <c r="BC104" s="1"/>
      <c r="BD104" s="2">
        <f t="shared" si="29"/>
        <v>35000</v>
      </c>
      <c r="BE104" s="46">
        <f t="shared" si="30"/>
        <v>700</v>
      </c>
      <c r="BF104" s="1">
        <f>Results!AJ106</f>
        <v>0</v>
      </c>
      <c r="BG104" s="1">
        <f>Results!AK106</f>
        <v>0</v>
      </c>
      <c r="BH104" s="1">
        <f>Results!AL106</f>
        <v>0</v>
      </c>
      <c r="BI104" s="1">
        <f>Results!AM106</f>
        <v>0</v>
      </c>
      <c r="BJ104" s="1" t="e">
        <f>IF(OR(ISNA('Reaction Information'!$D$5), $N104 = "", $D$27 = FALSE, 'Reaction Information'!$D$5 = ""), NA(), 24.465)</f>
        <v>#N/A</v>
      </c>
      <c r="BK104" s="1" t="e">
        <f>IF(OR(ISNA('Reaction Information'!$D$9), $N104 = "", $D$27 = FALSE, 'Reaction Information'!$D$9 = ""), NA(), 24.465)</f>
        <v>#N/A</v>
      </c>
      <c r="BL104" s="8">
        <f t="shared" si="36"/>
        <v>14.381675469889734</v>
      </c>
      <c r="BM104" s="8">
        <f>IF(OR(ISBLANK(Input!$X$4),$D$27=FALSE),NA(),('Reaction Information'!$J$13/10+'Reaction Information'!$K$13*100/(Calculations!$C$12+Calculations!$M104)+('Reaction Information'!$L$13+'Reaction Information'!$M$13*10^4/(Calculations!$C$12+Calculations!$M104))/(Calculations!$O104-Calculations!$C$13) -calculateOmega(Calculations!$M104,Calculations!$N104,Calculations!$Q104,'Reaction Information'!$C$13,'Reaction Information'!$P$13*10^5,'Reaction Information'!$Q$13)*Calculations!$U104*10^-6 + (1/$S104 - 1)*calculate_domegadP(Calculations!$M104,Calculations!$N104,Calculations!$Q104,'Reaction Information'!$C$13,'Reaction Information'!$P$13*10^5,'Reaction Information'!$Q$13,$D$20,$D$19=3))*41.84)</f>
        <v>30.321538804463493</v>
      </c>
      <c r="BN104" s="8" t="e">
        <f>IF(OR(ISBLANK(Input!$AA$4),$D$27=FALSE),NA(),('Reaction Information'!$J$17/10+'Reaction Information'!$K$17*100/(Calculations!$C$12+Calculations!$M104)+('Reaction Information'!$L$17+'Reaction Information'!$M$17*10000/(Calculations!$C$12+Calculations!$M104))/(Calculations!$O104-Calculations!$C$13)-calculateOmega(Calculations!M104,Calculations!N104,Calculations!Q104,'Reaction Information'!$C$17,'Reaction Information'!$P$17*10^5,'Reaction Information'!$Q$17)*Calculations!$U104*10^-6 + (1/$S104 - 1)*calculate_domegadP(Calculations!M104,Calculations!N104,Calculations!Q104,'Reaction Information'!$C$17,'Reaction Information'!$P$17*10^5,'Reaction Information'!$Q$17,$D$20,$D$19=3))*41.84)</f>
        <v>#N/A</v>
      </c>
      <c r="BO104" s="8" t="e">
        <f>IF(OR(ISBLANK(Input!$AD$4),$D$27=FALSE),NA(),('Reaction Information'!$J$21/10+'Reaction Information'!$K$21*100/(Calculations!$C$12+Calculations!$M104)+('Reaction Information'!$L$21+'Reaction Information'!$M$21*10000/(Calculations!$C$12+Calculations!$M104))/(Calculations!$O104-Calculations!$C$13)-calculateOmega(Calculations!M104,Calculations!N104,Calculations!Q104,'Reaction Information'!$C$21,'Reaction Information'!$P$21*10^5,'Reaction Information'!$Q$21)*Calculations!$U104*10^-6 + (1/$S104 - 1)*calculate_domegadP(Calculations!M104,Calculations!N104,Calculations!Q104,'Reaction Information'!$C$21,'Reaction Information'!$P$21*10^5,'Reaction Information'!$Q$21,$D$20,$D$19=3))*41.84)</f>
        <v>#N/A</v>
      </c>
      <c r="BP104" s="8" t="e">
        <f>IF(OR(ISBLANK(Input!$AG$4),$D$27=FALSE),NA(),('Reaction Information'!$J$25/10+'Reaction Information'!$K$25*100/(Calculations!$C$12+Calculations!$M104)+('Reaction Information'!$L$25+'Reaction Information'!$M$25*10000/(Calculations!$C$12+Calculations!$M104))/(Calculations!$O104-Calculations!$C$13)-calculateOmega(Calculations!M104,Calculations!N104,Calculations!Q104,'Reaction Information'!$C$25,'Reaction Information'!$P$25*10^5,'Reaction Information'!$Q$25)*Calculations!$U104*10^-6 + (1/$S104 - 1)*calculate_domegadP(Calculations!M104,Calculations!N104,Calculations!Q104,'Reaction Information'!$C$25,'Reaction Information'!$P$25*10^5,'Reaction Information'!$Q$25,$D$20,$D$19=3))*41.84)</f>
        <v>#N/A</v>
      </c>
      <c r="BQ104" s="8" t="e">
        <f>IF(OR(ISBLANK(Input!$AJ$4),$D$27=FALSE),NA(),('Reaction Information'!$J$29/10+'Reaction Information'!$K$29*100/(Calculations!$C$12+Calculations!$M104)+('Reaction Information'!$L$29+'Reaction Information'!$M$29*10000/(Calculations!$C$12+Calculations!$M104))/(Calculations!$O104-Calculations!$C$13)-calculateOmega(Calculations!M104,Calculations!N104,Calculations!Q104,'Reaction Information'!$C$29,'Reaction Information'!$P$29*10^5,'Reaction Information'!$Q$29)*Calculations!$U104*10^-6 + (1/$S104 - 1)*calculate_domegadP(Calculations!M104,Calculations!N104,Calculations!Q104,'Reaction Information'!$C$29,'Reaction Information'!$P$29*10^5,'Reaction Information'!$Q$29,$D$20,$D$19=3))*41.84)</f>
        <v>#N/A</v>
      </c>
      <c r="BR104" s="8" t="e">
        <f>IF(OR(ISBLANK(Input!$AM$4),$D$27=FALSE),NA(),('Reaction Information'!$J$33/10+'Reaction Information'!$K$33*100/(Calculations!$C$12+Calculations!$M104)+('Reaction Information'!$L$33+'Reaction Information'!$M$33*10000/(Calculations!$C$12+Calculations!$M104))/(Calculations!$O104-Calculations!$C$13)-calculateOmega(Calculations!M104,Calculations!N104,Calculations!Q104,'Reaction Information'!$C$33,'Reaction Information'!$P$33*10^5,'Reaction Information'!$Q$33)*Calculations!$U104*10^-6 + (1/$S104 - 1)*calculate_domegadP(Calculations!M104,Calculations!N104,Calculations!Q104,'Reaction Information'!$C$33,'Reaction Information'!$P$33*10^5,'Reaction Information'!$Q$33,$D$20,$D$19=3))*41.84)</f>
        <v>#N/A</v>
      </c>
      <c r="BS104" s="1">
        <f>Results!AW106</f>
        <v>0</v>
      </c>
      <c r="BT104" s="1">
        <f>Results!AX106</f>
        <v>0</v>
      </c>
      <c r="BU104" s="1">
        <f>Results!AY106</f>
        <v>0</v>
      </c>
      <c r="BV104" s="1">
        <f>Results!AZ106</f>
        <v>0</v>
      </c>
      <c r="BW104" s="1" t="e">
        <f>IF(OR(ISNA('Reaction Information'!$D$38), $N104 = "", $D$27 = FALSE, 'Reaction Information'!$D$38 = ""), NA(), 24.465)</f>
        <v>#N/A</v>
      </c>
      <c r="BX104" s="1" t="e">
        <f>IF(OR(ISNA('Reaction Information'!$D$42), $N104 = "", $D$27 = FALSE, 'Reaction Information'!$D$42 = ""), NA(), 24.465)</f>
        <v>#N/A</v>
      </c>
      <c r="BY104" s="8" t="e">
        <f t="shared" si="37"/>
        <v>#N/A</v>
      </c>
      <c r="BZ104" s="8">
        <f>IF(OR(ISBLANK(Input!$BK$4),$D$27=FALSE),NA(),('Reaction Information'!$J$46/10+'Reaction Information'!$K$46*100/(Calculations!$C$12+Calculations!$M104)+('Reaction Information'!$L$46+'Reaction Information'!$M$46*10000/(Calculations!$C$12+Calculations!$M104))/(Calculations!$O104-Calculations!$C$13)-calculateOmega(Calculations!M104,Calculations!N104,Calculations!Q104,'Reaction Information'!$C$46,'Reaction Information'!$P$46*10^5,'Reaction Information'!$Q$46)*Calculations!$U104*10^-6 + (1/$S104 - 1)*calculate_domegadP(Calculations!M104,Calculations!N104,Calculations!Q104,'Reaction Information'!$C$46,'Reaction Information'!$P$46*10^5,'Reaction Information'!$Q$46,$D$20,$D$19=3))*41.84)</f>
        <v>0</v>
      </c>
      <c r="CA104" s="8">
        <f>IF(OR(ISBLANK(Input!$BN$4),$D$27=FALSE),NA(),('Reaction Information'!$J$50/10+'Reaction Information'!$K$50*100/(Calculations!$C$12+Calculations!$M104)+('Reaction Information'!$L$50+'Reaction Information'!$M$50*10000/(Calculations!$C$12+Calculations!$M104))/(Calculations!$O104-Calculations!$C$13)-calculateOmega(Calculations!M104,Calculations!N104,Calculations!Q104,'Reaction Information'!$C$50,'Reaction Information'!$P$50*10^5,'Reaction Information'!$Q$50)*Calculations!$U104*10^-6 + (1/$S104 - 1)*calculate_domegadP(Calculations!M104,Calculations!N104,Calculations!Q104,'Reaction Information'!$C$50,'Reaction Information'!$P$50*10^5,'Reaction Information'!$Q$50,$D$20,$D$19=3))*41.84)</f>
        <v>30.813745460177255</v>
      </c>
      <c r="CB104" s="8" t="e">
        <f>IF(OR(ISBLANK(Input!$BQ$4),$D$27=FALSE),NA(),('Reaction Information'!$J$54/10+'Reaction Information'!$K$54*100/(Calculations!$C$12+Calculations!$M104)+('Reaction Information'!$L$54+'Reaction Information'!$M$54*10000/(Calculations!$C$12+Calculations!$M104))/(Calculations!$O104-Calculations!$C$13)-calculateOmega(Calculations!M104,Calculations!N104,Calculations!Q104,'Reaction Information'!$C$54,'Reaction Information'!$P$54*10^5,'Reaction Information'!$Q$54)*Calculations!$U104*10^-6 + (1/$S104 - 1)*calculate_domegadP(Calculations!M104,Calculations!N104,Calculations!Q104,'Reaction Information'!$C$54,'Reaction Information'!$P$54*10^5,'Reaction Information'!$Q$54,$D$20,$D$19=3))*41.84)</f>
        <v>#N/A</v>
      </c>
      <c r="CC104" s="8" t="e">
        <f>IF(OR(ISBLANK(Input!$BT$4),$D$27=FALSE),NA(),('Reaction Information'!$J$58/10+'Reaction Information'!$K$58*100/(Calculations!$C$12+Calculations!$M104)+('Reaction Information'!$L$58+'Reaction Information'!$M$58*10000/(Calculations!$C$12+Calculations!$M104))/(Calculations!$O104-Calculations!$C$13)-calculateOmega(Calculations!M104,Calculations!N104,Calculations!Q104,'Reaction Information'!$C$58,'Reaction Information'!$P$58*10^5,'Reaction Information'!$Q$58)*Calculations!$U104*10^-6 + (1/$S104 - 1)*calculate_domegadP(Calculations!M104,Calculations!N104,Calculations!Q104,'Reaction Information'!$C$58,'Reaction Information'!$P$58*10^5,'Reaction Information'!$Q$58,$D$20,$D$19=3))*41.84)</f>
        <v>#N/A</v>
      </c>
      <c r="CD104" s="8" t="e">
        <f>IF(OR(ISBLANK(Input!$BW$4),$D$27=FALSE),NA(),('Reaction Information'!$J$62/10+'Reaction Information'!$K$62*100/(Calculations!$C$12+Calculations!$M104)+('Reaction Information'!$L$62+'Reaction Information'!$M$62*10000/(Calculations!$C$12+Calculations!$M104))/(Calculations!$O104-Calculations!$C$13)-calculateOmega(Calculations!M104,Calculations!N104,Calculations!Q104,'Reaction Information'!$C$62,'Reaction Information'!$P$62*10^5,'Reaction Information'!$Q$62)*Calculations!$U104*10^-6 + (1/$S104 - 1)*calculate_domegadP(Calculations!M104,Calculations!N104,Calculations!Q104,'Reaction Information'!$C$62,'Reaction Information'!$P$62*10^5,'Reaction Information'!$Q$62,$D$20,$D$19=3))*41.84)</f>
        <v>#N/A</v>
      </c>
      <c r="CE104" s="8" t="e">
        <f>IF(OR(ISBLANK(Input!$BZ$4),$D$27=FALSE),NA(),('Reaction Information'!$J$66/10+'Reaction Information'!$K$66*100/(Calculations!$C$12+Calculations!$M104)+('Reaction Information'!$L$66+'Reaction Information'!$M$66*10000/(Calculations!$C$12+Calculations!$M104))/(Calculations!$O104-Calculations!$C$13)-calculateOmega(Calculations!M104,Calculations!N104,Calculations!Q104,'Reaction Information'!$C$66,'Reaction Information'!$P$66*10^5,'Reaction Information'!$Q$66)*Calculations!$U104*10^-6 + (1/$S104 - 1)*calculate_domegadP(Calculations!M104,Calculations!N104,Calculations!Q104,'Reaction Information'!$C$66,'Reaction Information'!$P$66*10^5,'Reaction Information'!$Q$66,$D$20,$D$19=3))*41.84)</f>
        <v>#N/A</v>
      </c>
      <c r="CF104" s="31">
        <f>(BS104*Input!$AO$4+BT104*Input!$AR$4+BU104*Input!$AU$4+BV104*Input!$AX$4+IF(ISNA(BW104),0,BW104*Input!$BA$4)+IF(ISNA(BX104),0,BX104*Input!$BD$4)+IF(ISNA(BY104),0,BY104*Input!$BG$4)+IF(ISNA(BZ104),0,BZ104*Input!$BJ$4)+IF(ISNA(CA104),0,CA104*Input!$BM$4)+IF(ISNA(CB104),0,CB104*Input!$BP$4)+IF(ISNA(CC104),0,CC104*Input!$BS$4)+IF(ISNA(CD104),0,CD104*Input!$BV$4)+IF(ISNA(CE104),0,CE104*Input!$BY$4))-(BF104*Input!$B$4+BG104*Input!$E$4+BH104*Input!$H$4+BI104*Input!$K$4+IF(ISNA(BJ104),0,BJ104*Input!$N$4)+IF(ISNA(BK104),0,BK104*Input!$Q$4)+IF(ISNA(BL104),0,BL104*Input!$T$4)+IF(ISNA(BM104),0,BM104*Input!$W$4)+IF(ISNA(BN104),0,BN104*Input!$Z$4)+IF(ISNA(BO104),0,BO104*Input!$AC$4)+IF(ISNA(BP104),0,BP104*Input!$AF$4)+IF(ISNA(BQ104),0,BQ104*Input!$AI$4)+IF(ISNA(BR104),0,BR104*Input!$AL$4))</f>
        <v>-13.889468814175974</v>
      </c>
      <c r="CG104" s="1">
        <f t="shared" si="31"/>
        <v>700</v>
      </c>
      <c r="CH104" s="46">
        <f t="shared" si="32"/>
        <v>35000</v>
      </c>
      <c r="CI104" s="1"/>
    </row>
    <row r="105" spans="1:87" x14ac:dyDescent="0.2">
      <c r="A105" s="1"/>
      <c r="B105" s="1"/>
      <c r="C105" s="1"/>
      <c r="D105" s="1"/>
      <c r="E105" s="1"/>
      <c r="F105" s="2">
        <v>100</v>
      </c>
      <c r="G105" s="1" t="str">
        <f>IF(ISBLANK(Input!CB105), "", Input!CB105*1000)</f>
        <v/>
      </c>
      <c r="H105" s="1" t="str">
        <f>IF(ISBLANK(Input!CC105), "", Input!CC105)</f>
        <v/>
      </c>
      <c r="I105" s="1">
        <f>IF(Input!$CF$5 + Input!$CF$6*(FLOOR((Calculations!$F105-1)/(FLOOR((Input!$CF$12-Input!$CF$10)/Input!$CF$11,1)+1),1)) &gt; Input!$CF$7, "", (Input!$CF$5 + Input!$CF$6*(FLOOR((Calculations!$F105-1)/(FLOOR((Input!$CF$12-Input!$CF$10)/Input!$CF$11,1)+1),1)))*1000)</f>
        <v>35000</v>
      </c>
      <c r="J105" s="1">
        <f>IF(Calculations!I105 = "", "", Input!$CF$10 + Input!$CF$11*(Calculations!$F105-1) - (FLOOR((Input!$CF$12-Input!$CF$10)/Input!$CF$11,1)+1)*Input!$CF$11*FLOOR((Calculations!$F105-1)/(FLOOR((Input!$CF$12-Input!$CF$10)/Input!$CF$11,1)+1),1))</f>
        <v>750</v>
      </c>
      <c r="K105" s="8" t="str">
        <f t="shared" si="33"/>
        <v/>
      </c>
      <c r="L105" s="117" t="str">
        <f>IF(OR(Input!$CJ$5 + Input!$CJ$6*(Calculations!F105-1) &gt; Input!$CJ$7, Input!$CJ$5 + Input!$CJ$6*(Calculations!F105-1) &gt; 350), "", Input!$CJ$5 + Input!$CJ$6*(Calculations!F105-1))</f>
        <v/>
      </c>
      <c r="M105" s="1">
        <f t="shared" si="23"/>
        <v>35000</v>
      </c>
      <c r="N105" s="1">
        <f t="shared" si="24"/>
        <v>750</v>
      </c>
      <c r="O105" s="1">
        <f t="shared" si="34"/>
        <v>1023.15</v>
      </c>
      <c r="P105" s="1" t="e">
        <f>IF(OR($D$20=3,AND($D$21=TRUE,M105&lt;1000)),INDEX('Water Density'!$C$6:$CX$120,MATCH(Calculations!N105,'Water Density'!$B$6:$B$120),MATCH(Calculations!M105/1000,'Water Density'!$C$5:$CX$5)),NA())</f>
        <v>#N/A</v>
      </c>
      <c r="Q105" s="182">
        <f>IF(OR($D$20=3,AND($D$21=TRUE,M105&lt;1000)), IF(P105&lt;&gt;0,P105,NA()), calculateDensity(M105,N105,$D$20,0.01,$D$19 = 3))</f>
        <v>1.2385573777151107</v>
      </c>
      <c r="R105" s="1" t="e">
        <f>IF($D$22=5,INDEX('Dielectric Constant'!$C$6:$CX$120,MATCH(Calculations!N105,'Dielectric Constant'!$B$6:$B$120),MATCH(Calculations!M105/1000,'Dielectric Constant'!$C$5:$CX$5)),NA())</f>
        <v>#N/A</v>
      </c>
      <c r="S105" s="58">
        <f>IF($D$22=5, IF(R105&lt;&gt;0,R105,NA()), IF(AND($D$23,M105&lt;=5000,$D$19 &lt;&gt; 3),calculateEpsilon(Q105,N105,1,FALSE),calculateEpsilon(Q105,N105,$D$22,$D$19 = 3)))</f>
        <v>22.501068338269015</v>
      </c>
      <c r="T105" s="1" t="e">
        <f>IF($D$24=3,INDEX('Water Free Energy'!$C$6:$CX$120,MATCH(Calculations!N105,'Water Free Energy'!$B$6:$B$120),MATCH(Calculations!M105/1000,'Water Free Energy'!$C$5:$CX$5)),NA())</f>
        <v>#N/A</v>
      </c>
      <c r="U105" s="179">
        <f>IF($D$27,calculateQ(M105,N105,Q105,$D$20,$D$22,$D$19=3)*10^6,NA())</f>
        <v>0.25980000496528727</v>
      </c>
      <c r="V105"/>
      <c r="W105" s="2">
        <f t="shared" si="25"/>
        <v>35000</v>
      </c>
      <c r="X105" s="1">
        <f t="shared" si="26"/>
        <v>750</v>
      </c>
      <c r="Y105" s="1">
        <f>Results!F107</f>
        <v>0</v>
      </c>
      <c r="Z105" s="1">
        <f>Results!G107</f>
        <v>0</v>
      </c>
      <c r="AA105" s="1">
        <f>Results!H107</f>
        <v>0</v>
      </c>
      <c r="AB105" s="1">
        <f>Results!I107</f>
        <v>0</v>
      </c>
      <c r="AC105" s="1" t="e">
        <f>IF(ISBLANK(Input!$O$4),NA(),'Reaction Information'!$E$5-'Reaction Information'!$G$5*(Calculations!$O105-Calculations!$C$8)+'Reaction Information'!$I$5*(Calculations!$O105-Calculations!$C$8-Calculations!$O105*LN(Calculations!$O105/Calculations!$C$8))+'Reaction Information'!$J$5*0.001/2*(2*Calculations!$O105*Calculations!$C$8-Calculations!$O105^2-Calculations!$C$8^2) + 'Reaction Information'!$K$5*100000*(Calculations!$O105^2 + Calculations!$C$8^2 - 2*Calculations!$O105*Calculations!$C$8)/(2*Calculations!$O105*Calculations!$C$8^2))</f>
        <v>#N/A</v>
      </c>
      <c r="AD105" s="8" t="e">
        <f>IF(ISBLANK(Input!$R$4),NA(),'Reaction Information'!$E$9-'Reaction Information'!$G$9*(Calculations!$O105-Calculations!$C$8)+'Reaction Information'!$I$9*(Calculations!$O105-Calculations!$C$8-Calculations!$O105*LN(Calculations!$O105/Calculations!$C$8))+'Reaction Information'!$J$9*0.001/2*(2*Calculations!$O105*Calculations!$C$8-Calculations!$O105^2-Calculations!$C$8^2) + 'Reaction Information'!$K$9*100000*(Calculations!$O105^2 + Calculations!$C$8^2 - 2*Calculations!$O105*Calculations!$C$8)/(2*Calculations!$O105*Calculations!$C$8^2))</f>
        <v>#N/A</v>
      </c>
      <c r="AE105" s="8">
        <f>IF(AE$5="H2O",IF($D$24=3,IF(T105=0,NA(),T105),calculateGibbsOfWater(M105,N105,$D$24,$D$20,$D$19=3)),NA())</f>
        <v>-62283.805255176485</v>
      </c>
      <c r="AF105" s="8">
        <f>IF(ISBLANK(Input!$X$4),NA(),'Reaction Information'!$E$13-'Reaction Information'!$G$13*(Calculations!O105-Calculations!$C$8)-'Reaction Information'!$N$13*(Calculations!O105*LN(Calculations!O105/Calculations!$C$8)-Calculations!O105+Calculations!$C$8)-'Reaction Information'!$O$13*10^4*(((1/(Calculations!O105-Calculations!$C$13))-(1/(Calculations!$C$8-Calculations!$C$13)))*((Calculations!$C$13-Calculations!O105)/(Calculations!$C$13))-(Calculations!O105/(Calculations!$C$13*Calculations!$C$13))*LN((Calculations!$C$8*(Calculations!O105-Calculations!$C$13))/(Calculations!O105*(Calculations!$C$8-Calculations!$C$13))))+'Reaction Information'!$J$13*10^-1*(Calculations!M105-Calculations!$C$9)+'Reaction Information'!$K$13*10^2*LN((Calculations!$C$12+Calculations!M105)/(Calculations!$C$12+Calculations!$C$9))+(1/(Calculations!O105-Calculations!$C$13))*('Reaction Information'!$L$13*(Calculations!M105-Calculations!$C$9)+'Reaction Information'!$M$13*10^4*LN((Calculations!$C$12+Calculations!M105)/(Calculations!$C$12+Calculations!$C$9)))+calculateOmega(Calculations!M105,Calculations!N105,Calculations!Q105,'Reaction Information'!$C$13,'Reaction Information'!$P$13*10^5,'Reaction Information'!$Q$13)*((1/Calculations!S105)-1)-'Reaction Information'!$P$13*10^5*((1/Calculations!$C$10)-1)+'Reaction Information'!$P$13*10^5*Calculations!$C$14*(Calculations!O105-Calculations!$C$8))</f>
        <v>-97059.206516941689</v>
      </c>
      <c r="AG105" s="8" t="e">
        <f>IF(ISBLANK(Input!$AA$4),NA(),'Reaction Information'!$E$17-'Reaction Information'!$G$17*(Calculations!$O105-Calculations!$C$8)-'Reaction Information'!$N$17*(Calculations!$O105*LN(Calculations!$O105/Calculations!$C$8)-Calculations!$O105+Calculations!$C$8)-'Reaction Information'!$O$17*10^4*(((1/(Calculations!$O105-Calculations!$C$13))-(1/(Calculations!$C$8-Calculations!$C$13)))*((Calculations!$C$13-Calculations!$O105)/(Calculations!$C$13))-(Calculations!$O105/(Calculations!$C$13*Calculations!$C$13))*LN((Calculations!$C$8*(Calculations!$O105-Calculations!$C$13))/(Calculations!$O105*(Calculations!$C$8-Calculations!$C$13))))+'Reaction Information'!$J$17*10^-1*(Calculations!$M105-Calculations!$C$9)+'Reaction Information'!$K$17*10^2*LN((Calculations!$C$12+Calculations!$M105)/(Calculations!$C$12+Calculations!$C$9))+(1/(Calculations!$O105-Calculations!$C$13))*('Reaction Information'!$L$17*(Calculations!$M105-Calculations!$C$9)+'Reaction Information'!$M$17*10^4*LN((Calculations!$C$12+Calculations!$M105)/(Calculations!$C$12+Calculations!$C$9)))+calculateOmega(Calculations!M105,Calculations!N105,Calculations!Q105,'Reaction Information'!$C$17,'Reaction Information'!$P$17*10^5,'Reaction Information'!$Q$17)*((1/Calculations!$S105)-1)-'Reaction Information'!$P$17*10^5*((1/Calculations!$C$10)-1)+'Reaction Information'!$P$17*10^5*Calculations!$C$14*(Calculations!$O105-Calculations!$C$8))</f>
        <v>#N/A</v>
      </c>
      <c r="AH105" s="8" t="e">
        <f>IF(ISBLANK(Input!$AD$4),NA(),'Reaction Information'!$E$21-'Reaction Information'!$G$21*(Calculations!$O105-Calculations!$C$8)-'Reaction Information'!$N$21*(Calculations!$O105*LN(Calculations!$O105/Calculations!$C$8)-Calculations!$O105+Calculations!$C$8)-'Reaction Information'!$O$21*10^4*(((1/(Calculations!$O105-Calculations!$C$13))-(1/(Calculations!$C$8-Calculations!$C$13)))*((Calculations!$C$13-Calculations!$O105)/(Calculations!$C$13))-(Calculations!$O105/(Calculations!$C$13*Calculations!$C$13))*LN((Calculations!$C$8*(Calculations!$O105-Calculations!$C$13))/(Calculations!$O105*(Calculations!$C$8-Calculations!$C$13))))+'Reaction Information'!$J$21*10^-1*(Calculations!$M105-Calculations!$C$9)+'Reaction Information'!$K$21*10^2*LN((Calculations!$C$12+Calculations!$M105)/(Calculations!$C$12+Calculations!$C$9))+(1/(Calculations!$O105-Calculations!$C$13))*('Reaction Information'!$L$21*(Calculations!$M105-Calculations!$C$9)+'Reaction Information'!$M$21*10^4*LN((Calculations!$C$12+Calculations!$M105)/(Calculations!$C$12+Calculations!$C$9)))+calculateOmega(Calculations!M105,Calculations!N105,Calculations!Q105,'Reaction Information'!$C$21,'Reaction Information'!$P$21*10^5,'Reaction Information'!$Q$21)*((1/Calculations!$S105)-1)-'Reaction Information'!$P$21*10^5*((1/Calculations!$C$10)-1)+'Reaction Information'!$P$21*10^5*Calculations!$C$14*(Calculations!$O105-Calculations!$C$8))</f>
        <v>#N/A</v>
      </c>
      <c r="AI105" s="8" t="e">
        <f>IF(ISBLANK(Input!$AG$4),NA(),'Reaction Information'!$E$25-'Reaction Information'!$G$25*(Calculations!$O105-Calculations!$C$8)-'Reaction Information'!$N$25*(Calculations!$O105*LN(Calculations!$O105/Calculations!$C$8)-Calculations!$O105+Calculations!$C$8)-'Reaction Information'!$O$25*10^4*(((1/(Calculations!$O105-Calculations!$C$13))-(1/(Calculations!$C$8-Calculations!$C$13)))*((Calculations!$C$13-Calculations!$O105)/(Calculations!$C$13))-(Calculations!$O105/(Calculations!$C$13*Calculations!$C$13))*LN((Calculations!$C$8*(Calculations!$O105-Calculations!$C$13))/(Calculations!$O105*(Calculations!$C$8-Calculations!$C$13))))+'Reaction Information'!$J$25*10^-1*(Calculations!$M105-Calculations!$C$9)+'Reaction Information'!$K$25*10^2*LN((Calculations!$C$12+Calculations!$M105)/(Calculations!$C$12+Calculations!$C$9))+(1/(Calculations!$O105-Calculations!$C$13))*('Reaction Information'!$L$25*(Calculations!$M105-Calculations!$C$9)+'Reaction Information'!$M$25*10^4*LN((Calculations!$C$12+Calculations!$M105)/(Calculations!$C$12+Calculations!$C$9)))+calculateOmega(Calculations!M105,Calculations!N105,Calculations!Q105,'Reaction Information'!$C$25,'Reaction Information'!$P$25*10^5,'Reaction Information'!$Q$25)*((1/Calculations!$S105)-1)-'Reaction Information'!$P$25*10^5*((1/Calculations!$C$10)-1)+'Reaction Information'!$P$25*10^5*Calculations!$C$14*(Calculations!$O105-Calculations!$C$8))</f>
        <v>#N/A</v>
      </c>
      <c r="AJ105" s="8" t="e">
        <f>IF(ISBLANK(Input!$AJ$4),NA(),'Reaction Information'!$E$29-'Reaction Information'!$G$29*(Calculations!$O105-Calculations!$C$8)-'Reaction Information'!$N$29*(Calculations!$O105*LN(Calculations!$O105/Calculations!$C$8)-Calculations!$O105+Calculations!$C$8)-'Reaction Information'!$O$29*10^4*(((1/(Calculations!$O105-Calculations!$C$13))-(1/(Calculations!$C$8-Calculations!$C$13)))*((Calculations!$C$13-Calculations!$O105)/(Calculations!$C$13))-(Calculations!$O105/(Calculations!$C$13*Calculations!$C$13))*LN((Calculations!$C$8*(Calculations!$O105-Calculations!$C$13))/(Calculations!$O105*(Calculations!$C$8-Calculations!$C$13))))+'Reaction Information'!$J$29*10^-1*(Calculations!$M105-Calculations!$C$9)+'Reaction Information'!$K$29*10^2*LN((Calculations!$C$12+Calculations!$M105)/(Calculations!$C$12+Calculations!$C$9))+(1/(Calculations!$O105-Calculations!$C$13))*('Reaction Information'!$L$29*(Calculations!$M105-Calculations!$C$9)+'Reaction Information'!$M$29*10^4*LN((Calculations!$C$12+Calculations!$M105)/(Calculations!$C$12+Calculations!$C$9)))+calculateOmega(Calculations!M105,Calculations!N105,Calculations!Q105,'Reaction Information'!$C$29,'Reaction Information'!$P$29*10^5,'Reaction Information'!$Q$29)*((1/Calculations!$S105)-1)-'Reaction Information'!$P$29*10^5*((1/Calculations!$C$10)-1)+'Reaction Information'!$P$29*10^5*Calculations!$C$14*(Calculations!$O105-Calculations!$C$8))</f>
        <v>#N/A</v>
      </c>
      <c r="AK105" s="8" t="e">
        <f>IF(ISBLANK(Input!$AM$4),NA(),'Reaction Information'!$E$33-'Reaction Information'!$G$33*(Calculations!$O105-Calculations!$C$8)-'Reaction Information'!$N$33*(Calculations!$O105*LN(Calculations!$O105/Calculations!$C$8)-Calculations!$O105+Calculations!$C$8)-'Reaction Information'!$O$33*10^4*(((1/(Calculations!$O105-Calculations!$C$13))-(1/(Calculations!$C$8-Calculations!$C$13)))*((Calculations!$C$13-Calculations!$O105)/(Calculations!$C$13))-(Calculations!$O105/(Calculations!$C$13*Calculations!$C$13))*LN((Calculations!$C$8*(Calculations!$O105-Calculations!$C$13))/(Calculations!$O105*(Calculations!$C$8-Calculations!$C$13))))+'Reaction Information'!$J$33*10^-1*(Calculations!$M105-Calculations!$C$9)+'Reaction Information'!$K$33*10^2*LN((Calculations!$C$12+Calculations!$M105)/(Calculations!$C$12+Calculations!$C$9))+(1/(Calculations!$O105-Calculations!$C$13))*('Reaction Information'!$L$33*(Calculations!$M105-Calculations!$C$9)+'Reaction Information'!$M$33*10^4*LN((Calculations!$C$12+Calculations!$M105)/(Calculations!$C$12+Calculations!$C$9)))+calculateOmega(Calculations!M105,Calculations!N105,Calculations!Q105,'Reaction Information'!$C$33,'Reaction Information'!$P$33*10^5,'Reaction Information'!$Q$33)*((1/Calculations!$S105)-1)-'Reaction Information'!$P$33*10^5*((1/Calculations!$C$10)-1)+'Reaction Information'!$P$33*10^5*Calculations!$C$14*(Calculations!$O105-Calculations!$C$8))</f>
        <v>#N/A</v>
      </c>
      <c r="AL105" s="1">
        <f>Results!S107</f>
        <v>0</v>
      </c>
      <c r="AM105" s="1">
        <f>Results!T107</f>
        <v>0</v>
      </c>
      <c r="AN105" s="1">
        <f>Results!U107</f>
        <v>0</v>
      </c>
      <c r="AO105" s="1">
        <f>Results!V107</f>
        <v>0</v>
      </c>
      <c r="AP105" s="8" t="e">
        <f>IF(ISBLANK(Input!$BB$4),NA(),'Reaction Information'!$E$38-'Reaction Information'!$G$38*(Calculations!$O105-Calculations!$C$8)+'Reaction Information'!$I$38*(Calculations!$O105-Calculations!$C$8-Calculations!$O105*LN(Calculations!$O105/Calculations!$C$8))+'Reaction Information'!$J$38*0.001/2*(2*Calculations!$O105*Calculations!$C$8-Calculations!$O105^2-Calculations!$C$8^2) + 'Reaction Information'!$K$38*100000*(Calculations!$O105^2 + Calculations!$C$8^2 - 2*Calculations!$O105*Calculations!$C$8)/(2*Calculations!$O105*Calculations!$C$8^2))</f>
        <v>#N/A</v>
      </c>
      <c r="AQ105" s="8" t="e">
        <f>IF(ISBLANK(Input!$BE$4),NA(),'Reaction Information'!$E$42-'Reaction Information'!$G$42*(Calculations!$O105-Calculations!$C$8)+'Reaction Information'!$I$42*(Calculations!$O105-Calculations!$C$8-Calculations!$O105*LN(Calculations!$O105/Calculations!$C$8))+'Reaction Information'!$J$42*0.001/2*(2*Calculations!$O105*Calculations!$C$8-Calculations!$O105^2-Calculations!$C$8^2) + 'Reaction Information'!$K$42*100000*(Calculations!$O105^2 + Calculations!$C$8^2 - 2*Calculations!$O105*Calculations!$C$8)/(2*Calculations!$O105*Calculations!$C$8^2))</f>
        <v>#N/A</v>
      </c>
      <c r="AR105" s="8" t="e">
        <f>IF(AR$5="H2O", IF($D$24=3,IF(T105=0,NA(),T105),calculateGibbsOfWater(M105,N105,$D$24,$D$20,$D$19=3)),NA())</f>
        <v>#N/A</v>
      </c>
      <c r="AS105" s="8">
        <f>IF(ISBLANK(Input!$BK$4),NA(),'Reaction Information'!$E$46-'Reaction Information'!$G$46*(Calculations!O105-Calculations!$C$8)-'Reaction Information'!$N$46*(Calculations!O105*LN(Calculations!O105/Calculations!$C$8)-Calculations!O105+Calculations!$C$8)-'Reaction Information'!$O$46*10^4*(((1/(Calculations!O105-Calculations!$C$13))-(1/(Calculations!$C$8-Calculations!$C$13)))*((Calculations!$C$13-Calculations!O105)/(Calculations!$C$13))-(Calculations!O105/(Calculations!$C$13*Calculations!$C$13))*LN((Calculations!$C$8*(Calculations!O105-Calculations!$C$13))/(Calculations!O105*(Calculations!$C$8-Calculations!$C$13))))+'Reaction Information'!$J$46*10^-1*(Calculations!$M105-Calculations!$C$9)+'Reaction Information'!$K$46*10^2*LN((Calculations!$C$12+Calculations!$M105)/(Calculations!$C$12+Calculations!$C$9))+(1/(Calculations!O105-Calculations!$C$13))*('Reaction Information'!$L$46*(Calculations!$M105-Calculations!$C$9)+'Reaction Information'!$M$46*10^4*LN((Calculations!$C$12+Calculations!$M105)/(Calculations!$C$12+Calculations!$C$9)))+calculateOmega(Calculations!M105,Calculations!N105,Calculations!Q105,'Reaction Information'!$C$46,'Reaction Information'!$P$46*10^5,'Reaction Information'!$Q$46)*((1/Calculations!S105)-1)-'Reaction Information'!$P$46*10^5*((1/Calculations!$C$10)-1)+'Reaction Information'!$P$46*10^5*Calculations!$C$14*(Calculations!O105-Calculations!$C$8))</f>
        <v>0</v>
      </c>
      <c r="AT105" s="8">
        <f>IF(ISBLANK(Input!$BN$4),NA(),'Reaction Information'!$E$50-'Reaction Information'!$G$50*(Calculations!O105-Calculations!$C$8)-'Reaction Information'!$N$50*(Calculations!O105*LN(Calculations!O105/Calculations!$C$8)-Calculations!O105+Calculations!$C$8)-'Reaction Information'!$O$50*10^4*(((1/(Calculations!O105-Calculations!$C$13))-(1/(Calculations!$C$8-Calculations!$C$13)))*((Calculations!$C$13-Calculations!O105)/(Calculations!$C$13))-(Calculations!O105/(Calculations!$C$13*Calculations!$C$13))*LN((Calculations!$C$8*(Calculations!O105-Calculations!$C$13))/(Calculations!O105*(Calculations!$C$8-Calculations!$C$13))))+'Reaction Information'!$J$50*10^-1*(Calculations!$M105-Calculations!$C$9)+'Reaction Information'!$K$50*10^2*LN((Calculations!$C$12+Calculations!$M105)/(Calculations!$C$12+Calculations!$C$9))+(1/(Calculations!O105-Calculations!$C$13))*('Reaction Information'!$L$50*(Calculations!$M105-Calculations!$C$9)+'Reaction Information'!$M$50*10^4*LN((Calculations!$C$12+Calculations!$M105)/(Calculations!$C$12+Calculations!$C$9)))+calculateOmega(Calculations!M105,Calculations!N105,Calculations!Q105,'Reaction Information'!$C$50,'Reaction Information'!$P$50*10^5,'Reaction Information'!$Q$50)*((1/Calculations!S105)-1)-'Reaction Information'!$P$50*10^5*((1/Calculations!$C$10)-1)+'Reaction Information'!$P$50*10^5*Calculations!$C$14*(Calculations!O105-Calculations!$C$8))</f>
        <v>-136780.02595822734</v>
      </c>
      <c r="AU105" s="8" t="e">
        <f>IF(ISBLANK(Input!$BQ$4),NA(),'Reaction Information'!$E$54-'Reaction Information'!$G$54*(Calculations!$O105-Calculations!$C$8)-'Reaction Information'!$N$54*(Calculations!$O105*LN(Calculations!$O105/Calculations!$C$8)-Calculations!$O105+Calculations!$C$8)-'Reaction Information'!$O$54*10^4*(((1/(Calculations!$O105-Calculations!$C$13))-(1/(Calculations!$C$8-Calculations!$C$13)))*((Calculations!$C$13-Calculations!$O105)/(Calculations!$C$13))-(Calculations!$O105/(Calculations!$C$13*Calculations!$C$13))*LN((Calculations!$C$8*(Calculations!$O105-Calculations!$C$13))/(Calculations!$O105*(Calculations!$C$8-Calculations!$C$13))))+'Reaction Information'!$J$54*10^-1*(Calculations!$M105-Calculations!$C$9)+'Reaction Information'!$K$54*10^2*LN((Calculations!$C$12+Calculations!$M105)/(Calculations!$C$12+Calculations!$C$9))+(1/(Calculations!$O105-Calculations!$C$13))*('Reaction Information'!$L$54*(Calculations!$M105-Calculations!$C$9)+'Reaction Information'!$M$54*10^4*LN((Calculations!$C$12+Calculations!$M105)/(Calculations!$C$12+Calculations!$C$9)))+calculateOmega(Calculations!M105,Calculations!N105,Calculations!Q105,'Reaction Information'!$C$54,'Reaction Information'!$P$54*10^5,'Reaction Information'!$Q$54)*((1/Calculations!$S105)-1)-'Reaction Information'!$P$54*10^5*((1/Calculations!$C$10)-1)+'Reaction Information'!$P$54*10^5*Calculations!$C$14*(Calculations!$O105-Calculations!$C$8))</f>
        <v>#N/A</v>
      </c>
      <c r="AV105" s="8" t="e">
        <f>IF(ISBLANK(Input!$BT$4),NA(),'Reaction Information'!$E$58-'Reaction Information'!$G$58*(Calculations!$O105-Calculations!$C$8)-'Reaction Information'!$N$58*(Calculations!$O105*LN(Calculations!$O105/Calculations!$C$8)-Calculations!$O105+Calculations!$C$8)-'Reaction Information'!$O$58*10^4*(((1/(Calculations!$O105-Calculations!$C$13))-(1/(Calculations!$C$8-Calculations!$C$13)))*((Calculations!$C$13-Calculations!$O105)/(Calculations!$C$13))-(Calculations!$O105/(Calculations!$C$13*Calculations!$C$13))*LN((Calculations!$C$8*(Calculations!$O105-Calculations!$C$13))/(Calculations!$O105*(Calculations!$C$8-Calculations!$C$13))))+'Reaction Information'!$J$58*10^-1*(Calculations!$M105-Calculations!$C$9)+'Reaction Information'!$K$58*10^2*LN((Calculations!$C$12+Calculations!$M105)/(Calculations!$C$12+Calculations!$C$9))+(1/(Calculations!$O105-Calculations!$C$13))*('Reaction Information'!$L$58*(Calculations!$M105-Calculations!$C$9)+'Reaction Information'!$M$58*10^4*LN((Calculations!$C$12+Calculations!$M105)/(Calculations!$C$12+Calculations!$C$9)))+calculateOmega(Calculations!M105,Calculations!N105,Calculations!Q105,'Reaction Information'!$C$58,'Reaction Information'!$P$58*10^5,'Reaction Information'!$Q$58)*((1/Calculations!$S105)-1)-'Reaction Information'!$P$58*10^5*((1/Calculations!$C$10)-1)+'Reaction Information'!$P$58*10^5*Calculations!$C$14*(Calculations!$O105-Calculations!$C$8))</f>
        <v>#N/A</v>
      </c>
      <c r="AW105" s="8" t="e">
        <f>IF(ISBLANK(Input!$BW$4),NA(),'Reaction Information'!$E$62-'Reaction Information'!$G$62*(Calculations!$O105-Calculations!$C$8)-'Reaction Information'!$N$62*(Calculations!$O105*LN(Calculations!$O105/Calculations!$C$8)-Calculations!$O105+Calculations!$C$8)-'Reaction Information'!$O$62*10^4*(((1/(Calculations!$O105-Calculations!$C$13))-(1/(Calculations!$C$8-Calculations!$C$13)))*((Calculations!$C$13-Calculations!$O105)/(Calculations!$C$13))-(Calculations!$O105/(Calculations!$C$13*Calculations!$C$13))*LN((Calculations!$C$8*(Calculations!$O105-Calculations!$C$13))/(Calculations!$O105*(Calculations!$C$8-Calculations!$C$13))))+'Reaction Information'!$J$62*10^-1*(Calculations!$M105-Calculations!$C$9)+'Reaction Information'!$K$62*10^2*LN((Calculations!$C$12+Calculations!$M105)/(Calculations!$C$12+Calculations!$C$9))+(1/(Calculations!$O105-Calculations!$C$13))*('Reaction Information'!$L$62*(Calculations!$M105-Calculations!$C$9)+'Reaction Information'!$M$62*10^4*LN((Calculations!$C$12+Calculations!$M105)/(Calculations!$C$12+Calculations!$C$9)))+calculateOmega(Calculations!M105,Calculations!N105,Calculations!Q105,'Reaction Information'!$C$62,'Reaction Information'!$P$62*10^5,'Reaction Information'!$Q$62)*((1/Calculations!$S105)-1)-'Reaction Information'!$P$62*10^5*((1/Calculations!$C$10)-1)+'Reaction Information'!$P$62*10^5*Calculations!$C$14*(Calculations!$O105-Calculations!$C$8))</f>
        <v>#N/A</v>
      </c>
      <c r="AX105" s="8" t="e">
        <f>IF(ISBLANK(Input!$BZ$4),NA(),'Reaction Information'!$E$66-'Reaction Information'!$G$66*(Calculations!$O105-Calculations!$C$8)-'Reaction Information'!$N$66*(Calculations!$O105*LN(Calculations!$O105/Calculations!$C$8)-Calculations!$O105+Calculations!$C$8)-'Reaction Information'!$O$66*10^4*(((1/(Calculations!$O105-Calculations!$C$13))-(1/(Calculations!$C$8-Calculations!$C$13)))*((Calculations!$C$13-Calculations!$O105)/(Calculations!$C$13))-(Calculations!$O105/(Calculations!$C$13*Calculations!$C$13))*LN((Calculations!$C$8*(Calculations!$O105-Calculations!$C$13))/(Calculations!$O105*(Calculations!$C$8-Calculations!$C$13))))+'Reaction Information'!$J$66*10^-1*(Calculations!$M105-Calculations!$C$9)+'Reaction Information'!$K$66*10^2*LN((Calculations!$C$12+Calculations!$M105)/(Calculations!$C$12+Calculations!$C$9))+(1/(Calculations!$O105-Calculations!$C$13))*('Reaction Information'!$L$66*(Calculations!$M105-Calculations!$C$9)+'Reaction Information'!$M$66*10^4*LN((Calculations!$C$12+Calculations!$M105)/(Calculations!$C$12+Calculations!$C$9)))+calculateOmega(Calculations!M105,Calculations!N105,Calculations!Q105,'Reaction Information'!$C$66,'Reaction Information'!$P$66*10^5,'Reaction Information'!$Q$66)*((1/Calculations!$S105)-1)-'Reaction Information'!$P$66*10^5*((1/Calculations!$C$10)-1)+'Reaction Information'!$P$66*10^5*Calculations!$C$14*(Calculations!$O105-Calculations!$C$8))</f>
        <v>#N/A</v>
      </c>
      <c r="AY105" s="31">
        <f>(AL105*Input!$AO$4+AM105*Input!$AR$4+AN105*Input!$AU$4+AO105*Input!$AX$4+IF(ISNA(AP105),0,AP105*Input!$BA$4)+IF(ISNA(AQ105),0,AQ105*Input!$BD$4)+IF(ISNA(AR105),0,AR105*Input!$BG$4)+IF(ISNA(AS105),0,AS105*Input!$BJ$4)+IF(ISNA(AT105),0,AT105*Input!$BM$4)+IF(ISNA(AU105),0,AU105*Input!$BP$4)+IF(ISNA(AV105),0,AV105*Input!$BS$4)+IF(ISNA(AW105),0,AW105*Input!$BV$4)+IF(ISNA(AX105),0,AX105*Input!$BY$4))-(Y105*Input!$B$4+Z105*Input!$E$4+AA105*Input!$H$4+AB105*Input!$K$4+IF(ISNA(AC105),0,AC105*Input!$N$4)+IF(ISNA(AD105),0,AD105*Input!$Q$4)+IF(ISNA(AE105),0,AE105*Input!$T$4)+IF(ISNA(AF105),0,AF105*Input!$W$4)+IF(ISNA(AG105),0,AG105*Input!$Z$4)+IF(ISNA(AH105),0,AH105*Input!$AC$4)+IF(ISNA(AI105),0,AI105*Input!$AF$4)+IF(ISNA(AJ105),0,AJ105*Input!$AI$4)+IF(ISNA(AK105),0,AK105*Input!$AL$4))</f>
        <v>22562.985813890817</v>
      </c>
      <c r="AZ105" s="42">
        <f t="shared" si="35"/>
        <v>-4.822687653805616</v>
      </c>
      <c r="BA105" s="1">
        <f t="shared" si="27"/>
        <v>750</v>
      </c>
      <c r="BB105" s="46">
        <f t="shared" si="28"/>
        <v>35000</v>
      </c>
      <c r="BC105" s="1"/>
      <c r="BD105" s="2">
        <f t="shared" si="29"/>
        <v>35000</v>
      </c>
      <c r="BE105" s="46">
        <f t="shared" si="30"/>
        <v>750</v>
      </c>
      <c r="BF105" s="1">
        <f>Results!AJ107</f>
        <v>0</v>
      </c>
      <c r="BG105" s="1">
        <f>Results!AK107</f>
        <v>0</v>
      </c>
      <c r="BH105" s="1">
        <f>Results!AL107</f>
        <v>0</v>
      </c>
      <c r="BI105" s="1">
        <f>Results!AM107</f>
        <v>0</v>
      </c>
      <c r="BJ105" s="1" t="e">
        <f>IF(OR(ISNA('Reaction Information'!$D$5), $N105 = "", $D$27 = FALSE, 'Reaction Information'!$D$5 = ""), NA(), 24.465)</f>
        <v>#N/A</v>
      </c>
      <c r="BK105" s="1" t="e">
        <f>IF(OR(ISNA('Reaction Information'!$D$9), $N105 = "", $D$27 = FALSE, 'Reaction Information'!$D$9 = ""), NA(), 24.465)</f>
        <v>#N/A</v>
      </c>
      <c r="BL105" s="8">
        <f t="shared" si="36"/>
        <v>14.545373774475083</v>
      </c>
      <c r="BM105" s="8">
        <f>IF(OR(ISBLANK(Input!$X$4),$D$27=FALSE),NA(),('Reaction Information'!$J$13/10+'Reaction Information'!$K$13*100/(Calculations!$C$12+Calculations!$M105)+('Reaction Information'!$L$13+'Reaction Information'!$M$13*10^4/(Calculations!$C$12+Calculations!$M105))/(Calculations!$O105-Calculations!$C$13) -calculateOmega(Calculations!$M105,Calculations!$N105,Calculations!$Q105,'Reaction Information'!$C$13,'Reaction Information'!$P$13*10^5,'Reaction Information'!$Q$13)*Calculations!$U105*10^-6 + (1/$S105 - 1)*calculate_domegadP(Calculations!$M105,Calculations!$N105,Calculations!$Q105,'Reaction Information'!$C$13,'Reaction Information'!$P$13*10^5,'Reaction Information'!$Q$13,$D$20,$D$19=3))*41.84)</f>
        <v>30.37459181672747</v>
      </c>
      <c r="BN105" s="8" t="e">
        <f>IF(OR(ISBLANK(Input!$AA$4),$D$27=FALSE),NA(),('Reaction Information'!$J$17/10+'Reaction Information'!$K$17*100/(Calculations!$C$12+Calculations!$M105)+('Reaction Information'!$L$17+'Reaction Information'!$M$17*10000/(Calculations!$C$12+Calculations!$M105))/(Calculations!$O105-Calculations!$C$13)-calculateOmega(Calculations!M105,Calculations!N105,Calculations!Q105,'Reaction Information'!$C$17,'Reaction Information'!$P$17*10^5,'Reaction Information'!$Q$17)*Calculations!$U105*10^-6 + (1/$S105 - 1)*calculate_domegadP(Calculations!M105,Calculations!N105,Calculations!Q105,'Reaction Information'!$C$17,'Reaction Information'!$P$17*10^5,'Reaction Information'!$Q$17,$D$20,$D$19=3))*41.84)</f>
        <v>#N/A</v>
      </c>
      <c r="BO105" s="8" t="e">
        <f>IF(OR(ISBLANK(Input!$AD$4),$D$27=FALSE),NA(),('Reaction Information'!$J$21/10+'Reaction Information'!$K$21*100/(Calculations!$C$12+Calculations!$M105)+('Reaction Information'!$L$21+'Reaction Information'!$M$21*10000/(Calculations!$C$12+Calculations!$M105))/(Calculations!$O105-Calculations!$C$13)-calculateOmega(Calculations!M105,Calculations!N105,Calculations!Q105,'Reaction Information'!$C$21,'Reaction Information'!$P$21*10^5,'Reaction Information'!$Q$21)*Calculations!$U105*10^-6 + (1/$S105 - 1)*calculate_domegadP(Calculations!M105,Calculations!N105,Calculations!Q105,'Reaction Information'!$C$21,'Reaction Information'!$P$21*10^5,'Reaction Information'!$Q$21,$D$20,$D$19=3))*41.84)</f>
        <v>#N/A</v>
      </c>
      <c r="BP105" s="8" t="e">
        <f>IF(OR(ISBLANK(Input!$AG$4),$D$27=FALSE),NA(),('Reaction Information'!$J$25/10+'Reaction Information'!$K$25*100/(Calculations!$C$12+Calculations!$M105)+('Reaction Information'!$L$25+'Reaction Information'!$M$25*10000/(Calculations!$C$12+Calculations!$M105))/(Calculations!$O105-Calculations!$C$13)-calculateOmega(Calculations!M105,Calculations!N105,Calculations!Q105,'Reaction Information'!$C$25,'Reaction Information'!$P$25*10^5,'Reaction Information'!$Q$25)*Calculations!$U105*10^-6 + (1/$S105 - 1)*calculate_domegadP(Calculations!M105,Calculations!N105,Calculations!Q105,'Reaction Information'!$C$25,'Reaction Information'!$P$25*10^5,'Reaction Information'!$Q$25,$D$20,$D$19=3))*41.84)</f>
        <v>#N/A</v>
      </c>
      <c r="BQ105" s="8" t="e">
        <f>IF(OR(ISBLANK(Input!$AJ$4),$D$27=FALSE),NA(),('Reaction Information'!$J$29/10+'Reaction Information'!$K$29*100/(Calculations!$C$12+Calculations!$M105)+('Reaction Information'!$L$29+'Reaction Information'!$M$29*10000/(Calculations!$C$12+Calculations!$M105))/(Calculations!$O105-Calculations!$C$13)-calculateOmega(Calculations!M105,Calculations!N105,Calculations!Q105,'Reaction Information'!$C$29,'Reaction Information'!$P$29*10^5,'Reaction Information'!$Q$29)*Calculations!$U105*10^-6 + (1/$S105 - 1)*calculate_domegadP(Calculations!M105,Calculations!N105,Calculations!Q105,'Reaction Information'!$C$29,'Reaction Information'!$P$29*10^5,'Reaction Information'!$Q$29,$D$20,$D$19=3))*41.84)</f>
        <v>#N/A</v>
      </c>
      <c r="BR105" s="8" t="e">
        <f>IF(OR(ISBLANK(Input!$AM$4),$D$27=FALSE),NA(),('Reaction Information'!$J$33/10+'Reaction Information'!$K$33*100/(Calculations!$C$12+Calculations!$M105)+('Reaction Information'!$L$33+'Reaction Information'!$M$33*10000/(Calculations!$C$12+Calculations!$M105))/(Calculations!$O105-Calculations!$C$13)-calculateOmega(Calculations!M105,Calculations!N105,Calculations!Q105,'Reaction Information'!$C$33,'Reaction Information'!$P$33*10^5,'Reaction Information'!$Q$33)*Calculations!$U105*10^-6 + (1/$S105 - 1)*calculate_domegadP(Calculations!M105,Calculations!N105,Calculations!Q105,'Reaction Information'!$C$33,'Reaction Information'!$P$33*10^5,'Reaction Information'!$Q$33,$D$20,$D$19=3))*41.84)</f>
        <v>#N/A</v>
      </c>
      <c r="BS105" s="1">
        <f>Results!AW107</f>
        <v>0</v>
      </c>
      <c r="BT105" s="1">
        <f>Results!AX107</f>
        <v>0</v>
      </c>
      <c r="BU105" s="1">
        <f>Results!AY107</f>
        <v>0</v>
      </c>
      <c r="BV105" s="1">
        <f>Results!AZ107</f>
        <v>0</v>
      </c>
      <c r="BW105" s="1" t="e">
        <f>IF(OR(ISNA('Reaction Information'!$D$38), $N105 = "", $D$27 = FALSE, 'Reaction Information'!$D$38 = ""), NA(), 24.465)</f>
        <v>#N/A</v>
      </c>
      <c r="BX105" s="1" t="e">
        <f>IF(OR(ISNA('Reaction Information'!$D$42), $N105 = "", $D$27 = FALSE, 'Reaction Information'!$D$42 = ""), NA(), 24.465)</f>
        <v>#N/A</v>
      </c>
      <c r="BY105" s="8" t="e">
        <f t="shared" si="37"/>
        <v>#N/A</v>
      </c>
      <c r="BZ105" s="8">
        <f>IF(OR(ISBLANK(Input!$BK$4),$D$27=FALSE),NA(),('Reaction Information'!$J$46/10+'Reaction Information'!$K$46*100/(Calculations!$C$12+Calculations!$M105)+('Reaction Information'!$L$46+'Reaction Information'!$M$46*10000/(Calculations!$C$12+Calculations!$M105))/(Calculations!$O105-Calculations!$C$13)-calculateOmega(Calculations!M105,Calculations!N105,Calculations!Q105,'Reaction Information'!$C$46,'Reaction Information'!$P$46*10^5,'Reaction Information'!$Q$46)*Calculations!$U105*10^-6 + (1/$S105 - 1)*calculate_domegadP(Calculations!M105,Calculations!N105,Calculations!Q105,'Reaction Information'!$C$46,'Reaction Information'!$P$46*10^5,'Reaction Information'!$Q$46,$D$20,$D$19=3))*41.84)</f>
        <v>0</v>
      </c>
      <c r="CA105" s="8">
        <f>IF(OR(ISBLANK(Input!$BN$4),$D$27=FALSE),NA(),('Reaction Information'!$J$50/10+'Reaction Information'!$K$50*100/(Calculations!$C$12+Calculations!$M105)+('Reaction Information'!$L$50+'Reaction Information'!$M$50*10000/(Calculations!$C$12+Calculations!$M105))/(Calculations!$O105-Calculations!$C$13)-calculateOmega(Calculations!M105,Calculations!N105,Calculations!Q105,'Reaction Information'!$C$50,'Reaction Information'!$P$50*10^5,'Reaction Information'!$Q$50)*Calculations!$U105*10^-6 + (1/$S105 - 1)*calculate_domegadP(Calculations!M105,Calculations!N105,Calculations!Q105,'Reaction Information'!$C$50,'Reaction Information'!$P$50*10^5,'Reaction Information'!$Q$50,$D$20,$D$19=3))*41.84)</f>
        <v>30.718000416667021</v>
      </c>
      <c r="CB105" s="8" t="e">
        <f>IF(OR(ISBLANK(Input!$BQ$4),$D$27=FALSE),NA(),('Reaction Information'!$J$54/10+'Reaction Information'!$K$54*100/(Calculations!$C$12+Calculations!$M105)+('Reaction Information'!$L$54+'Reaction Information'!$M$54*10000/(Calculations!$C$12+Calculations!$M105))/(Calculations!$O105-Calculations!$C$13)-calculateOmega(Calculations!M105,Calculations!N105,Calculations!Q105,'Reaction Information'!$C$54,'Reaction Information'!$P$54*10^5,'Reaction Information'!$Q$54)*Calculations!$U105*10^-6 + (1/$S105 - 1)*calculate_domegadP(Calculations!M105,Calculations!N105,Calculations!Q105,'Reaction Information'!$C$54,'Reaction Information'!$P$54*10^5,'Reaction Information'!$Q$54,$D$20,$D$19=3))*41.84)</f>
        <v>#N/A</v>
      </c>
      <c r="CC105" s="8" t="e">
        <f>IF(OR(ISBLANK(Input!$BT$4),$D$27=FALSE),NA(),('Reaction Information'!$J$58/10+'Reaction Information'!$K$58*100/(Calculations!$C$12+Calculations!$M105)+('Reaction Information'!$L$58+'Reaction Information'!$M$58*10000/(Calculations!$C$12+Calculations!$M105))/(Calculations!$O105-Calculations!$C$13)-calculateOmega(Calculations!M105,Calculations!N105,Calculations!Q105,'Reaction Information'!$C$58,'Reaction Information'!$P$58*10^5,'Reaction Information'!$Q$58)*Calculations!$U105*10^-6 + (1/$S105 - 1)*calculate_domegadP(Calculations!M105,Calculations!N105,Calculations!Q105,'Reaction Information'!$C$58,'Reaction Information'!$P$58*10^5,'Reaction Information'!$Q$58,$D$20,$D$19=3))*41.84)</f>
        <v>#N/A</v>
      </c>
      <c r="CD105" s="8" t="e">
        <f>IF(OR(ISBLANK(Input!$BW$4),$D$27=FALSE),NA(),('Reaction Information'!$J$62/10+'Reaction Information'!$K$62*100/(Calculations!$C$12+Calculations!$M105)+('Reaction Information'!$L$62+'Reaction Information'!$M$62*10000/(Calculations!$C$12+Calculations!$M105))/(Calculations!$O105-Calculations!$C$13)-calculateOmega(Calculations!M105,Calculations!N105,Calculations!Q105,'Reaction Information'!$C$62,'Reaction Information'!$P$62*10^5,'Reaction Information'!$Q$62)*Calculations!$U105*10^-6 + (1/$S105 - 1)*calculate_domegadP(Calculations!M105,Calculations!N105,Calculations!Q105,'Reaction Information'!$C$62,'Reaction Information'!$P$62*10^5,'Reaction Information'!$Q$62,$D$20,$D$19=3))*41.84)</f>
        <v>#N/A</v>
      </c>
      <c r="CE105" s="8" t="e">
        <f>IF(OR(ISBLANK(Input!$BZ$4),$D$27=FALSE),NA(),('Reaction Information'!$J$66/10+'Reaction Information'!$K$66*100/(Calculations!$C$12+Calculations!$M105)+('Reaction Information'!$L$66+'Reaction Information'!$M$66*10000/(Calculations!$C$12+Calculations!$M105))/(Calculations!$O105-Calculations!$C$13)-calculateOmega(Calculations!M105,Calculations!N105,Calculations!Q105,'Reaction Information'!$C$66,'Reaction Information'!$P$66*10^5,'Reaction Information'!$Q$66)*Calculations!$U105*10^-6 + (1/$S105 - 1)*calculate_domegadP(Calculations!M105,Calculations!N105,Calculations!Q105,'Reaction Information'!$C$66,'Reaction Information'!$P$66*10^5,'Reaction Information'!$Q$66,$D$20,$D$19=3))*41.84)</f>
        <v>#N/A</v>
      </c>
      <c r="CF105" s="31">
        <f>(BS105*Input!$AO$4+BT105*Input!$AR$4+BU105*Input!$AU$4+BV105*Input!$AX$4+IF(ISNA(BW105),0,BW105*Input!$BA$4)+IF(ISNA(BX105),0,BX105*Input!$BD$4)+IF(ISNA(BY105),0,BY105*Input!$BG$4)+IF(ISNA(BZ105),0,BZ105*Input!$BJ$4)+IF(ISNA(CA105),0,CA105*Input!$BM$4)+IF(ISNA(CB105),0,CB105*Input!$BP$4)+IF(ISNA(CC105),0,CC105*Input!$BS$4)+IF(ISNA(CD105),0,CD105*Input!$BV$4)+IF(ISNA(CE105),0,CE105*Input!$BY$4))-(BF105*Input!$B$4+BG105*Input!$E$4+BH105*Input!$H$4+BI105*Input!$K$4+IF(ISNA(BJ105),0,BJ105*Input!$N$4)+IF(ISNA(BK105),0,BK105*Input!$Q$4)+IF(ISNA(BL105),0,BL105*Input!$T$4)+IF(ISNA(BM105),0,BM105*Input!$W$4)+IF(ISNA(BN105),0,BN105*Input!$Z$4)+IF(ISNA(BO105),0,BO105*Input!$AC$4)+IF(ISNA(BP105),0,BP105*Input!$AF$4)+IF(ISNA(BQ105),0,BQ105*Input!$AI$4)+IF(ISNA(BR105),0,BR105*Input!$AL$4))</f>
        <v>-14.201965174535534</v>
      </c>
      <c r="CG105" s="1">
        <f t="shared" si="31"/>
        <v>750</v>
      </c>
      <c r="CH105" s="46">
        <f t="shared" si="32"/>
        <v>35000</v>
      </c>
      <c r="CI105" s="1"/>
    </row>
    <row r="106" spans="1:87" x14ac:dyDescent="0.2">
      <c r="A106" s="1"/>
      <c r="B106" s="1"/>
      <c r="C106" s="1"/>
      <c r="D106" s="1"/>
      <c r="E106" s="1"/>
      <c r="F106" s="2">
        <v>101</v>
      </c>
      <c r="G106" s="1" t="str">
        <f>IF(ISBLANK(Input!CB106), "", Input!CB106*1000)</f>
        <v/>
      </c>
      <c r="H106" s="1" t="str">
        <f>IF(ISBLANK(Input!CC106), "", Input!CC106)</f>
        <v/>
      </c>
      <c r="I106" s="1">
        <f>IF(Input!$CF$5 + Input!$CF$6*(FLOOR((Calculations!$F106-1)/(FLOOR((Input!$CF$12-Input!$CF$10)/Input!$CF$11,1)+1),1)) &gt; Input!$CF$7, "", (Input!$CF$5 + Input!$CF$6*(FLOOR((Calculations!$F106-1)/(FLOOR((Input!$CF$12-Input!$CF$10)/Input!$CF$11,1)+1),1)))*1000)</f>
        <v>35000</v>
      </c>
      <c r="J106" s="1">
        <f>IF(Calculations!I106 = "", "", Input!$CF$10 + Input!$CF$11*(Calculations!$F106-1) - (FLOOR((Input!$CF$12-Input!$CF$10)/Input!$CF$11,1)+1)*Input!$CF$11*FLOOR((Calculations!$F106-1)/(FLOOR((Input!$CF$12-Input!$CF$10)/Input!$CF$11,1)+1),1))</f>
        <v>800</v>
      </c>
      <c r="K106" s="8" t="str">
        <f t="shared" si="33"/>
        <v/>
      </c>
      <c r="L106" s="117" t="str">
        <f>IF(OR(Input!$CJ$5 + Input!$CJ$6*(Calculations!F106-1) &gt; Input!$CJ$7, Input!$CJ$5 + Input!$CJ$6*(Calculations!F106-1) &gt; 350), "", Input!$CJ$5 + Input!$CJ$6*(Calculations!F106-1))</f>
        <v/>
      </c>
      <c r="M106" s="1">
        <f t="shared" si="23"/>
        <v>35000</v>
      </c>
      <c r="N106" s="1">
        <f t="shared" si="24"/>
        <v>800</v>
      </c>
      <c r="O106" s="1">
        <f t="shared" si="34"/>
        <v>1073.1500000000001</v>
      </c>
      <c r="P106" s="1" t="e">
        <f>IF(OR($D$20=3,AND($D$21=TRUE,M106&lt;1000)),INDEX('Water Density'!$C$6:$CX$120,MATCH(Calculations!N106,'Water Density'!$B$6:$B$120),MATCH(Calculations!M106/1000,'Water Density'!$C$5:$CX$5)),NA())</f>
        <v>#N/A</v>
      </c>
      <c r="Q106" s="182">
        <f>IF(OR($D$20=3,AND($D$21=TRUE,M106&lt;1000)), IF(P106&lt;&gt;0,P106,NA()), calculateDensity(M106,N106,$D$20,0.01,$D$19 = 3))</f>
        <v>1.2247267712640761</v>
      </c>
      <c r="R106" s="1" t="e">
        <f>IF($D$22=5,INDEX('Dielectric Constant'!$C$6:$CX$120,MATCH(Calculations!N106,'Dielectric Constant'!$B$6:$B$120),MATCH(Calculations!M106/1000,'Dielectric Constant'!$C$5:$CX$5)),NA())</f>
        <v>#N/A</v>
      </c>
      <c r="S106" s="58">
        <f>IF($D$22=5, IF(R106&lt;&gt;0,R106,NA()), IF(AND($D$23,M106&lt;=5000,$D$19 &lt;&gt; 3),calculateEpsilon(Q106,N106,1,FALSE),calculateEpsilon(Q106,N106,$D$22,$D$19 = 3)))</f>
        <v>20.658247988905657</v>
      </c>
      <c r="T106" s="1" t="e">
        <f>IF($D$24=3,INDEX('Water Free Energy'!$C$6:$CX$120,MATCH(Calculations!N106,'Water Free Energy'!$B$6:$B$120),MATCH(Calculations!M106/1000,'Water Free Energy'!$C$5:$CX$5)),NA())</f>
        <v>#N/A</v>
      </c>
      <c r="U106" s="179">
        <f>IF($D$27,calculateQ(M106,N106,Q106,$D$20,$D$22,$D$19=3)*10^6,NA())</f>
        <v>0.27823179421994582</v>
      </c>
      <c r="V106"/>
      <c r="W106" s="2">
        <f t="shared" si="25"/>
        <v>35000</v>
      </c>
      <c r="X106" s="1">
        <f t="shared" si="26"/>
        <v>800</v>
      </c>
      <c r="Y106" s="1">
        <f>Results!F108</f>
        <v>0</v>
      </c>
      <c r="Z106" s="1">
        <f>Results!G108</f>
        <v>0</v>
      </c>
      <c r="AA106" s="1">
        <f>Results!H108</f>
        <v>0</v>
      </c>
      <c r="AB106" s="1">
        <f>Results!I108</f>
        <v>0</v>
      </c>
      <c r="AC106" s="1" t="e">
        <f>IF(ISBLANK(Input!$O$4),NA(),'Reaction Information'!$E$5-'Reaction Information'!$G$5*(Calculations!$O106-Calculations!$C$8)+'Reaction Information'!$I$5*(Calculations!$O106-Calculations!$C$8-Calculations!$O106*LN(Calculations!$O106/Calculations!$C$8))+'Reaction Information'!$J$5*0.001/2*(2*Calculations!$O106*Calculations!$C$8-Calculations!$O106^2-Calculations!$C$8^2) + 'Reaction Information'!$K$5*100000*(Calculations!$O106^2 + Calculations!$C$8^2 - 2*Calculations!$O106*Calculations!$C$8)/(2*Calculations!$O106*Calculations!$C$8^2))</f>
        <v>#N/A</v>
      </c>
      <c r="AD106" s="8" t="e">
        <f>IF(ISBLANK(Input!$R$4),NA(),'Reaction Information'!$E$9-'Reaction Information'!$G$9*(Calculations!$O106-Calculations!$C$8)+'Reaction Information'!$I$9*(Calculations!$O106-Calculations!$C$8-Calculations!$O106*LN(Calculations!$O106/Calculations!$C$8))+'Reaction Information'!$J$9*0.001/2*(2*Calculations!$O106*Calculations!$C$8-Calculations!$O106^2-Calculations!$C$8^2) + 'Reaction Information'!$K$9*100000*(Calculations!$O106^2 + Calculations!$C$8^2 - 2*Calculations!$O106*Calculations!$C$8)/(2*Calculations!$O106*Calculations!$C$8^2))</f>
        <v>#N/A</v>
      </c>
      <c r="AE106" s="8">
        <f>IF(AE$5="H2O",IF($D$24=3,IF(T106=0,NA(),T106),calculateGibbsOfWater(M106,N106,$D$24,$D$20,$D$19=3)),NA())</f>
        <v>-63886.709038369059</v>
      </c>
      <c r="AF106" s="8">
        <f>IF(ISBLANK(Input!$X$4),NA(),'Reaction Information'!$E$13-'Reaction Information'!$G$13*(Calculations!O106-Calculations!$C$8)-'Reaction Information'!$N$13*(Calculations!O106*LN(Calculations!O106/Calculations!$C$8)-Calculations!O106+Calculations!$C$8)-'Reaction Information'!$O$13*10^4*(((1/(Calculations!O106-Calculations!$C$13))-(1/(Calculations!$C$8-Calculations!$C$13)))*((Calculations!$C$13-Calculations!O106)/(Calculations!$C$13))-(Calculations!O106/(Calculations!$C$13*Calculations!$C$13))*LN((Calculations!$C$8*(Calculations!O106-Calculations!$C$13))/(Calculations!O106*(Calculations!$C$8-Calculations!$C$13))))+'Reaction Information'!$J$13*10^-1*(Calculations!M106-Calculations!$C$9)+'Reaction Information'!$K$13*10^2*LN((Calculations!$C$12+Calculations!M106)/(Calculations!$C$12+Calculations!$C$9))+(1/(Calculations!O106-Calculations!$C$13))*('Reaction Information'!$L$13*(Calculations!M106-Calculations!$C$9)+'Reaction Information'!$M$13*10^4*LN((Calculations!$C$12+Calculations!M106)/(Calculations!$C$12+Calculations!$C$9)))+calculateOmega(Calculations!M106,Calculations!N106,Calculations!Q106,'Reaction Information'!$C$13,'Reaction Information'!$P$13*10^5,'Reaction Information'!$Q$13)*((1/Calculations!S106)-1)-'Reaction Information'!$P$13*10^5*((1/Calculations!$C$10)-1)+'Reaction Information'!$P$13*10^5*Calculations!$C$14*(Calculations!O106-Calculations!$C$8))</f>
        <v>-99490.008765711304</v>
      </c>
      <c r="AG106" s="8" t="e">
        <f>IF(ISBLANK(Input!$AA$4),NA(),'Reaction Information'!$E$17-'Reaction Information'!$G$17*(Calculations!$O106-Calculations!$C$8)-'Reaction Information'!$N$17*(Calculations!$O106*LN(Calculations!$O106/Calculations!$C$8)-Calculations!$O106+Calculations!$C$8)-'Reaction Information'!$O$17*10^4*(((1/(Calculations!$O106-Calculations!$C$13))-(1/(Calculations!$C$8-Calculations!$C$13)))*((Calculations!$C$13-Calculations!$O106)/(Calculations!$C$13))-(Calculations!$O106/(Calculations!$C$13*Calculations!$C$13))*LN((Calculations!$C$8*(Calculations!$O106-Calculations!$C$13))/(Calculations!$O106*(Calculations!$C$8-Calculations!$C$13))))+'Reaction Information'!$J$17*10^-1*(Calculations!$M106-Calculations!$C$9)+'Reaction Information'!$K$17*10^2*LN((Calculations!$C$12+Calculations!$M106)/(Calculations!$C$12+Calculations!$C$9))+(1/(Calculations!$O106-Calculations!$C$13))*('Reaction Information'!$L$17*(Calculations!$M106-Calculations!$C$9)+'Reaction Information'!$M$17*10^4*LN((Calculations!$C$12+Calculations!$M106)/(Calculations!$C$12+Calculations!$C$9)))+calculateOmega(Calculations!M106,Calculations!N106,Calculations!Q106,'Reaction Information'!$C$17,'Reaction Information'!$P$17*10^5,'Reaction Information'!$Q$17)*((1/Calculations!$S106)-1)-'Reaction Information'!$P$17*10^5*((1/Calculations!$C$10)-1)+'Reaction Information'!$P$17*10^5*Calculations!$C$14*(Calculations!$O106-Calculations!$C$8))</f>
        <v>#N/A</v>
      </c>
      <c r="AH106" s="8" t="e">
        <f>IF(ISBLANK(Input!$AD$4),NA(),'Reaction Information'!$E$21-'Reaction Information'!$G$21*(Calculations!$O106-Calculations!$C$8)-'Reaction Information'!$N$21*(Calculations!$O106*LN(Calculations!$O106/Calculations!$C$8)-Calculations!$O106+Calculations!$C$8)-'Reaction Information'!$O$21*10^4*(((1/(Calculations!$O106-Calculations!$C$13))-(1/(Calculations!$C$8-Calculations!$C$13)))*((Calculations!$C$13-Calculations!$O106)/(Calculations!$C$13))-(Calculations!$O106/(Calculations!$C$13*Calculations!$C$13))*LN((Calculations!$C$8*(Calculations!$O106-Calculations!$C$13))/(Calculations!$O106*(Calculations!$C$8-Calculations!$C$13))))+'Reaction Information'!$J$21*10^-1*(Calculations!$M106-Calculations!$C$9)+'Reaction Information'!$K$21*10^2*LN((Calculations!$C$12+Calculations!$M106)/(Calculations!$C$12+Calculations!$C$9))+(1/(Calculations!$O106-Calculations!$C$13))*('Reaction Information'!$L$21*(Calculations!$M106-Calculations!$C$9)+'Reaction Information'!$M$21*10^4*LN((Calculations!$C$12+Calculations!$M106)/(Calculations!$C$12+Calculations!$C$9)))+calculateOmega(Calculations!M106,Calculations!N106,Calculations!Q106,'Reaction Information'!$C$21,'Reaction Information'!$P$21*10^5,'Reaction Information'!$Q$21)*((1/Calculations!$S106)-1)-'Reaction Information'!$P$21*10^5*((1/Calculations!$C$10)-1)+'Reaction Information'!$P$21*10^5*Calculations!$C$14*(Calculations!$O106-Calculations!$C$8))</f>
        <v>#N/A</v>
      </c>
      <c r="AI106" s="8" t="e">
        <f>IF(ISBLANK(Input!$AG$4),NA(),'Reaction Information'!$E$25-'Reaction Information'!$G$25*(Calculations!$O106-Calculations!$C$8)-'Reaction Information'!$N$25*(Calculations!$O106*LN(Calculations!$O106/Calculations!$C$8)-Calculations!$O106+Calculations!$C$8)-'Reaction Information'!$O$25*10^4*(((1/(Calculations!$O106-Calculations!$C$13))-(1/(Calculations!$C$8-Calculations!$C$13)))*((Calculations!$C$13-Calculations!$O106)/(Calculations!$C$13))-(Calculations!$O106/(Calculations!$C$13*Calculations!$C$13))*LN((Calculations!$C$8*(Calculations!$O106-Calculations!$C$13))/(Calculations!$O106*(Calculations!$C$8-Calculations!$C$13))))+'Reaction Information'!$J$25*10^-1*(Calculations!$M106-Calculations!$C$9)+'Reaction Information'!$K$25*10^2*LN((Calculations!$C$12+Calculations!$M106)/(Calculations!$C$12+Calculations!$C$9))+(1/(Calculations!$O106-Calculations!$C$13))*('Reaction Information'!$L$25*(Calculations!$M106-Calculations!$C$9)+'Reaction Information'!$M$25*10^4*LN((Calculations!$C$12+Calculations!$M106)/(Calculations!$C$12+Calculations!$C$9)))+calculateOmega(Calculations!M106,Calculations!N106,Calculations!Q106,'Reaction Information'!$C$25,'Reaction Information'!$P$25*10^5,'Reaction Information'!$Q$25)*((1/Calculations!$S106)-1)-'Reaction Information'!$P$25*10^5*((1/Calculations!$C$10)-1)+'Reaction Information'!$P$25*10^5*Calculations!$C$14*(Calculations!$O106-Calculations!$C$8))</f>
        <v>#N/A</v>
      </c>
      <c r="AJ106" s="8" t="e">
        <f>IF(ISBLANK(Input!$AJ$4),NA(),'Reaction Information'!$E$29-'Reaction Information'!$G$29*(Calculations!$O106-Calculations!$C$8)-'Reaction Information'!$N$29*(Calculations!$O106*LN(Calculations!$O106/Calculations!$C$8)-Calculations!$O106+Calculations!$C$8)-'Reaction Information'!$O$29*10^4*(((1/(Calculations!$O106-Calculations!$C$13))-(1/(Calculations!$C$8-Calculations!$C$13)))*((Calculations!$C$13-Calculations!$O106)/(Calculations!$C$13))-(Calculations!$O106/(Calculations!$C$13*Calculations!$C$13))*LN((Calculations!$C$8*(Calculations!$O106-Calculations!$C$13))/(Calculations!$O106*(Calculations!$C$8-Calculations!$C$13))))+'Reaction Information'!$J$29*10^-1*(Calculations!$M106-Calculations!$C$9)+'Reaction Information'!$K$29*10^2*LN((Calculations!$C$12+Calculations!$M106)/(Calculations!$C$12+Calculations!$C$9))+(1/(Calculations!$O106-Calculations!$C$13))*('Reaction Information'!$L$29*(Calculations!$M106-Calculations!$C$9)+'Reaction Information'!$M$29*10^4*LN((Calculations!$C$12+Calculations!$M106)/(Calculations!$C$12+Calculations!$C$9)))+calculateOmega(Calculations!M106,Calculations!N106,Calculations!Q106,'Reaction Information'!$C$29,'Reaction Information'!$P$29*10^5,'Reaction Information'!$Q$29)*((1/Calculations!$S106)-1)-'Reaction Information'!$P$29*10^5*((1/Calculations!$C$10)-1)+'Reaction Information'!$P$29*10^5*Calculations!$C$14*(Calculations!$O106-Calculations!$C$8))</f>
        <v>#N/A</v>
      </c>
      <c r="AK106" s="8" t="e">
        <f>IF(ISBLANK(Input!$AM$4),NA(),'Reaction Information'!$E$33-'Reaction Information'!$G$33*(Calculations!$O106-Calculations!$C$8)-'Reaction Information'!$N$33*(Calculations!$O106*LN(Calculations!$O106/Calculations!$C$8)-Calculations!$O106+Calculations!$C$8)-'Reaction Information'!$O$33*10^4*(((1/(Calculations!$O106-Calculations!$C$13))-(1/(Calculations!$C$8-Calculations!$C$13)))*((Calculations!$C$13-Calculations!$O106)/(Calculations!$C$13))-(Calculations!$O106/(Calculations!$C$13*Calculations!$C$13))*LN((Calculations!$C$8*(Calculations!$O106-Calculations!$C$13))/(Calculations!$O106*(Calculations!$C$8-Calculations!$C$13))))+'Reaction Information'!$J$33*10^-1*(Calculations!$M106-Calculations!$C$9)+'Reaction Information'!$K$33*10^2*LN((Calculations!$C$12+Calculations!$M106)/(Calculations!$C$12+Calculations!$C$9))+(1/(Calculations!$O106-Calculations!$C$13))*('Reaction Information'!$L$33*(Calculations!$M106-Calculations!$C$9)+'Reaction Information'!$M$33*10^4*LN((Calculations!$C$12+Calculations!$M106)/(Calculations!$C$12+Calculations!$C$9)))+calculateOmega(Calculations!M106,Calculations!N106,Calculations!Q106,'Reaction Information'!$C$33,'Reaction Information'!$P$33*10^5,'Reaction Information'!$Q$33)*((1/Calculations!$S106)-1)-'Reaction Information'!$P$33*10^5*((1/Calculations!$C$10)-1)+'Reaction Information'!$P$33*10^5*Calculations!$C$14*(Calculations!$O106-Calculations!$C$8))</f>
        <v>#N/A</v>
      </c>
      <c r="AL106" s="1">
        <f>Results!S108</f>
        <v>0</v>
      </c>
      <c r="AM106" s="1">
        <f>Results!T108</f>
        <v>0</v>
      </c>
      <c r="AN106" s="1">
        <f>Results!U108</f>
        <v>0</v>
      </c>
      <c r="AO106" s="1">
        <f>Results!V108</f>
        <v>0</v>
      </c>
      <c r="AP106" s="8" t="e">
        <f>IF(ISBLANK(Input!$BB$4),NA(),'Reaction Information'!$E$38-'Reaction Information'!$G$38*(Calculations!$O106-Calculations!$C$8)+'Reaction Information'!$I$38*(Calculations!$O106-Calculations!$C$8-Calculations!$O106*LN(Calculations!$O106/Calculations!$C$8))+'Reaction Information'!$J$38*0.001/2*(2*Calculations!$O106*Calculations!$C$8-Calculations!$O106^2-Calculations!$C$8^2) + 'Reaction Information'!$K$38*100000*(Calculations!$O106^2 + Calculations!$C$8^2 - 2*Calculations!$O106*Calculations!$C$8)/(2*Calculations!$O106*Calculations!$C$8^2))</f>
        <v>#N/A</v>
      </c>
      <c r="AQ106" s="8" t="e">
        <f>IF(ISBLANK(Input!$BE$4),NA(),'Reaction Information'!$E$42-'Reaction Information'!$G$42*(Calculations!$O106-Calculations!$C$8)+'Reaction Information'!$I$42*(Calculations!$O106-Calculations!$C$8-Calculations!$O106*LN(Calculations!$O106/Calculations!$C$8))+'Reaction Information'!$J$42*0.001/2*(2*Calculations!$O106*Calculations!$C$8-Calculations!$O106^2-Calculations!$C$8^2) + 'Reaction Information'!$K$42*100000*(Calculations!$O106^2 + Calculations!$C$8^2 - 2*Calculations!$O106*Calculations!$C$8)/(2*Calculations!$O106*Calculations!$C$8^2))</f>
        <v>#N/A</v>
      </c>
      <c r="AR106" s="8" t="e">
        <f>IF(AR$5="H2O", IF($D$24=3,IF(T106=0,NA(),T106),calculateGibbsOfWater(M106,N106,$D$24,$D$20,$D$19=3)),NA())</f>
        <v>#N/A</v>
      </c>
      <c r="AS106" s="8">
        <f>IF(ISBLANK(Input!$BK$4),NA(),'Reaction Information'!$E$46-'Reaction Information'!$G$46*(Calculations!O106-Calculations!$C$8)-'Reaction Information'!$N$46*(Calculations!O106*LN(Calculations!O106/Calculations!$C$8)-Calculations!O106+Calculations!$C$8)-'Reaction Information'!$O$46*10^4*(((1/(Calculations!O106-Calculations!$C$13))-(1/(Calculations!$C$8-Calculations!$C$13)))*((Calculations!$C$13-Calculations!O106)/(Calculations!$C$13))-(Calculations!O106/(Calculations!$C$13*Calculations!$C$13))*LN((Calculations!$C$8*(Calculations!O106-Calculations!$C$13))/(Calculations!O106*(Calculations!$C$8-Calculations!$C$13))))+'Reaction Information'!$J$46*10^-1*(Calculations!$M106-Calculations!$C$9)+'Reaction Information'!$K$46*10^2*LN((Calculations!$C$12+Calculations!$M106)/(Calculations!$C$12+Calculations!$C$9))+(1/(Calculations!O106-Calculations!$C$13))*('Reaction Information'!$L$46*(Calculations!$M106-Calculations!$C$9)+'Reaction Information'!$M$46*10^4*LN((Calculations!$C$12+Calculations!$M106)/(Calculations!$C$12+Calculations!$C$9)))+calculateOmega(Calculations!M106,Calculations!N106,Calculations!Q106,'Reaction Information'!$C$46,'Reaction Information'!$P$46*10^5,'Reaction Information'!$Q$46)*((1/Calculations!S106)-1)-'Reaction Information'!$P$46*10^5*((1/Calculations!$C$10)-1)+'Reaction Information'!$P$46*10^5*Calculations!$C$14*(Calculations!O106-Calculations!$C$8))</f>
        <v>0</v>
      </c>
      <c r="AT106" s="8">
        <f>IF(ISBLANK(Input!$BN$4),NA(),'Reaction Information'!$E$50-'Reaction Information'!$G$50*(Calculations!O106-Calculations!$C$8)-'Reaction Information'!$N$50*(Calculations!O106*LN(Calculations!O106/Calculations!$C$8)-Calculations!O106+Calculations!$C$8)-'Reaction Information'!$O$50*10^4*(((1/(Calculations!O106-Calculations!$C$13))-(1/(Calculations!$C$8-Calculations!$C$13)))*((Calculations!$C$13-Calculations!O106)/(Calculations!$C$13))-(Calculations!O106/(Calculations!$C$13*Calculations!$C$13))*LN((Calculations!$C$8*(Calculations!O106-Calculations!$C$13))/(Calculations!O106*(Calculations!$C$8-Calculations!$C$13))))+'Reaction Information'!$J$50*10^-1*(Calculations!$M106-Calculations!$C$9)+'Reaction Information'!$K$50*10^2*LN((Calculations!$C$12+Calculations!$M106)/(Calculations!$C$12+Calculations!$C$9))+(1/(Calculations!O106-Calculations!$C$13))*('Reaction Information'!$L$50*(Calculations!$M106-Calculations!$C$9)+'Reaction Information'!$M$50*10^4*LN((Calculations!$C$12+Calculations!$M106)/(Calculations!$C$12+Calculations!$C$9)))+calculateOmega(Calculations!M106,Calculations!N106,Calculations!Q106,'Reaction Information'!$C$50,'Reaction Information'!$P$50*10^5,'Reaction Information'!$Q$50)*((1/Calculations!S106)-1)-'Reaction Information'!$P$50*10^5*((1/Calculations!$C$10)-1)+'Reaction Information'!$P$50*10^5*Calculations!$C$14*(Calculations!O106-Calculations!$C$8))</f>
        <v>-138443.54655183438</v>
      </c>
      <c r="AU106" s="8" t="e">
        <f>IF(ISBLANK(Input!$BQ$4),NA(),'Reaction Information'!$E$54-'Reaction Information'!$G$54*(Calculations!$O106-Calculations!$C$8)-'Reaction Information'!$N$54*(Calculations!$O106*LN(Calculations!$O106/Calculations!$C$8)-Calculations!$O106+Calculations!$C$8)-'Reaction Information'!$O$54*10^4*(((1/(Calculations!$O106-Calculations!$C$13))-(1/(Calculations!$C$8-Calculations!$C$13)))*((Calculations!$C$13-Calculations!$O106)/(Calculations!$C$13))-(Calculations!$O106/(Calculations!$C$13*Calculations!$C$13))*LN((Calculations!$C$8*(Calculations!$O106-Calculations!$C$13))/(Calculations!$O106*(Calculations!$C$8-Calculations!$C$13))))+'Reaction Information'!$J$54*10^-1*(Calculations!$M106-Calculations!$C$9)+'Reaction Information'!$K$54*10^2*LN((Calculations!$C$12+Calculations!$M106)/(Calculations!$C$12+Calculations!$C$9))+(1/(Calculations!$O106-Calculations!$C$13))*('Reaction Information'!$L$54*(Calculations!$M106-Calculations!$C$9)+'Reaction Information'!$M$54*10^4*LN((Calculations!$C$12+Calculations!$M106)/(Calculations!$C$12+Calculations!$C$9)))+calculateOmega(Calculations!M106,Calculations!N106,Calculations!Q106,'Reaction Information'!$C$54,'Reaction Information'!$P$54*10^5,'Reaction Information'!$Q$54)*((1/Calculations!$S106)-1)-'Reaction Information'!$P$54*10^5*((1/Calculations!$C$10)-1)+'Reaction Information'!$P$54*10^5*Calculations!$C$14*(Calculations!$O106-Calculations!$C$8))</f>
        <v>#N/A</v>
      </c>
      <c r="AV106" s="8" t="e">
        <f>IF(ISBLANK(Input!$BT$4),NA(),'Reaction Information'!$E$58-'Reaction Information'!$G$58*(Calculations!$O106-Calculations!$C$8)-'Reaction Information'!$N$58*(Calculations!$O106*LN(Calculations!$O106/Calculations!$C$8)-Calculations!$O106+Calculations!$C$8)-'Reaction Information'!$O$58*10^4*(((1/(Calculations!$O106-Calculations!$C$13))-(1/(Calculations!$C$8-Calculations!$C$13)))*((Calculations!$C$13-Calculations!$O106)/(Calculations!$C$13))-(Calculations!$O106/(Calculations!$C$13*Calculations!$C$13))*LN((Calculations!$C$8*(Calculations!$O106-Calculations!$C$13))/(Calculations!$O106*(Calculations!$C$8-Calculations!$C$13))))+'Reaction Information'!$J$58*10^-1*(Calculations!$M106-Calculations!$C$9)+'Reaction Information'!$K$58*10^2*LN((Calculations!$C$12+Calculations!$M106)/(Calculations!$C$12+Calculations!$C$9))+(1/(Calculations!$O106-Calculations!$C$13))*('Reaction Information'!$L$58*(Calculations!$M106-Calculations!$C$9)+'Reaction Information'!$M$58*10^4*LN((Calculations!$C$12+Calculations!$M106)/(Calculations!$C$12+Calculations!$C$9)))+calculateOmega(Calculations!M106,Calculations!N106,Calculations!Q106,'Reaction Information'!$C$58,'Reaction Information'!$P$58*10^5,'Reaction Information'!$Q$58)*((1/Calculations!$S106)-1)-'Reaction Information'!$P$58*10^5*((1/Calculations!$C$10)-1)+'Reaction Information'!$P$58*10^5*Calculations!$C$14*(Calculations!$O106-Calculations!$C$8))</f>
        <v>#N/A</v>
      </c>
      <c r="AW106" s="8" t="e">
        <f>IF(ISBLANK(Input!$BW$4),NA(),'Reaction Information'!$E$62-'Reaction Information'!$G$62*(Calculations!$O106-Calculations!$C$8)-'Reaction Information'!$N$62*(Calculations!$O106*LN(Calculations!$O106/Calculations!$C$8)-Calculations!$O106+Calculations!$C$8)-'Reaction Information'!$O$62*10^4*(((1/(Calculations!$O106-Calculations!$C$13))-(1/(Calculations!$C$8-Calculations!$C$13)))*((Calculations!$C$13-Calculations!$O106)/(Calculations!$C$13))-(Calculations!$O106/(Calculations!$C$13*Calculations!$C$13))*LN((Calculations!$C$8*(Calculations!$O106-Calculations!$C$13))/(Calculations!$O106*(Calculations!$C$8-Calculations!$C$13))))+'Reaction Information'!$J$62*10^-1*(Calculations!$M106-Calculations!$C$9)+'Reaction Information'!$K$62*10^2*LN((Calculations!$C$12+Calculations!$M106)/(Calculations!$C$12+Calculations!$C$9))+(1/(Calculations!$O106-Calculations!$C$13))*('Reaction Information'!$L$62*(Calculations!$M106-Calculations!$C$9)+'Reaction Information'!$M$62*10^4*LN((Calculations!$C$12+Calculations!$M106)/(Calculations!$C$12+Calculations!$C$9)))+calculateOmega(Calculations!M106,Calculations!N106,Calculations!Q106,'Reaction Information'!$C$62,'Reaction Information'!$P$62*10^5,'Reaction Information'!$Q$62)*((1/Calculations!$S106)-1)-'Reaction Information'!$P$62*10^5*((1/Calculations!$C$10)-1)+'Reaction Information'!$P$62*10^5*Calculations!$C$14*(Calculations!$O106-Calculations!$C$8))</f>
        <v>#N/A</v>
      </c>
      <c r="AX106" s="8" t="e">
        <f>IF(ISBLANK(Input!$BZ$4),NA(),'Reaction Information'!$E$66-'Reaction Information'!$G$66*(Calculations!$O106-Calculations!$C$8)-'Reaction Information'!$N$66*(Calculations!$O106*LN(Calculations!$O106/Calculations!$C$8)-Calculations!$O106+Calculations!$C$8)-'Reaction Information'!$O$66*10^4*(((1/(Calculations!$O106-Calculations!$C$13))-(1/(Calculations!$C$8-Calculations!$C$13)))*((Calculations!$C$13-Calculations!$O106)/(Calculations!$C$13))-(Calculations!$O106/(Calculations!$C$13*Calculations!$C$13))*LN((Calculations!$C$8*(Calculations!$O106-Calculations!$C$13))/(Calculations!$O106*(Calculations!$C$8-Calculations!$C$13))))+'Reaction Information'!$J$66*10^-1*(Calculations!$M106-Calculations!$C$9)+'Reaction Information'!$K$66*10^2*LN((Calculations!$C$12+Calculations!$M106)/(Calculations!$C$12+Calculations!$C$9))+(1/(Calculations!$O106-Calculations!$C$13))*('Reaction Information'!$L$66*(Calculations!$M106-Calculations!$C$9)+'Reaction Information'!$M$66*10^4*LN((Calculations!$C$12+Calculations!$M106)/(Calculations!$C$12+Calculations!$C$9)))+calculateOmega(Calculations!M106,Calculations!N106,Calculations!Q106,'Reaction Information'!$C$66,'Reaction Information'!$P$66*10^5,'Reaction Information'!$Q$66)*((1/Calculations!$S106)-1)-'Reaction Information'!$P$66*10^5*((1/Calculations!$C$10)-1)+'Reaction Information'!$P$66*10^5*Calculations!$C$14*(Calculations!$O106-Calculations!$C$8))</f>
        <v>#N/A</v>
      </c>
      <c r="AY106" s="31">
        <f>(AL106*Input!$AO$4+AM106*Input!$AR$4+AN106*Input!$AU$4+AO106*Input!$AX$4+IF(ISNA(AP106),0,AP106*Input!$BA$4)+IF(ISNA(AQ106),0,AQ106*Input!$BD$4)+IF(ISNA(AR106),0,AR106*Input!$BG$4)+IF(ISNA(AS106),0,AS106*Input!$BJ$4)+IF(ISNA(AT106),0,AT106*Input!$BM$4)+IF(ISNA(AU106),0,AU106*Input!$BP$4)+IF(ISNA(AV106),0,AV106*Input!$BS$4)+IF(ISNA(AW106),0,AW106*Input!$BV$4)+IF(ISNA(AX106),0,AX106*Input!$BY$4))-(Y106*Input!$B$4+Z106*Input!$E$4+AA106*Input!$H$4+AB106*Input!$K$4+IF(ISNA(AC106),0,AC106*Input!$N$4)+IF(ISNA(AD106),0,AD106*Input!$Q$4)+IF(ISNA(AE106),0,AE106*Input!$T$4)+IF(ISNA(AF106),0,AF106*Input!$W$4)+IF(ISNA(AG106),0,AG106*Input!$Z$4)+IF(ISNA(AH106),0,AH106*Input!$AC$4)+IF(ISNA(AI106),0,AI106*Input!$AF$4)+IF(ISNA(AJ106),0,AJ106*Input!$AI$4)+IF(ISNA(AK106),0,AK106*Input!$AL$4))</f>
        <v>24933.171252245986</v>
      </c>
      <c r="AZ106" s="42">
        <f t="shared" si="35"/>
        <v>-5.0809972940956882</v>
      </c>
      <c r="BA106" s="1">
        <f t="shared" si="27"/>
        <v>800</v>
      </c>
      <c r="BB106" s="46">
        <f t="shared" si="28"/>
        <v>35000</v>
      </c>
      <c r="BC106" s="1"/>
      <c r="BD106" s="2">
        <f t="shared" si="29"/>
        <v>35000</v>
      </c>
      <c r="BE106" s="46">
        <f t="shared" si="30"/>
        <v>800</v>
      </c>
      <c r="BF106" s="1">
        <f>Results!AJ108</f>
        <v>0</v>
      </c>
      <c r="BG106" s="1">
        <f>Results!AK108</f>
        <v>0</v>
      </c>
      <c r="BH106" s="1">
        <f>Results!AL108</f>
        <v>0</v>
      </c>
      <c r="BI106" s="1">
        <f>Results!AM108</f>
        <v>0</v>
      </c>
      <c r="BJ106" s="1" t="e">
        <f>IF(OR(ISNA('Reaction Information'!$D$5), $N106 = "", $D$27 = FALSE, 'Reaction Information'!$D$5 = ""), NA(), 24.465)</f>
        <v>#N/A</v>
      </c>
      <c r="BK106" s="1" t="e">
        <f>IF(OR(ISNA('Reaction Information'!$D$9), $N106 = "", $D$27 = FALSE, 'Reaction Information'!$D$9 = ""), NA(), 24.465)</f>
        <v>#N/A</v>
      </c>
      <c r="BL106" s="8">
        <f t="shared" si="36"/>
        <v>14.709631913578493</v>
      </c>
      <c r="BM106" s="8">
        <f>IF(OR(ISBLANK(Input!$X$4),$D$27=FALSE),NA(),('Reaction Information'!$J$13/10+'Reaction Information'!$K$13*100/(Calculations!$C$12+Calculations!$M106)+('Reaction Information'!$L$13+'Reaction Information'!$M$13*10^4/(Calculations!$C$12+Calculations!$M106))/(Calculations!$O106-Calculations!$C$13) -calculateOmega(Calculations!$M106,Calculations!$N106,Calculations!$Q106,'Reaction Information'!$C$13,'Reaction Information'!$P$13*10^5,'Reaction Information'!$Q$13)*Calculations!$U106*10^-6 + (1/$S106 - 1)*calculate_domegadP(Calculations!$M106,Calculations!$N106,Calculations!$Q106,'Reaction Information'!$C$13,'Reaction Information'!$P$13*10^5,'Reaction Information'!$Q$13,$D$20,$D$19=3))*41.84)</f>
        <v>30.429731191308552</v>
      </c>
      <c r="BN106" s="8" t="e">
        <f>IF(OR(ISBLANK(Input!$AA$4),$D$27=FALSE),NA(),('Reaction Information'!$J$17/10+'Reaction Information'!$K$17*100/(Calculations!$C$12+Calculations!$M106)+('Reaction Information'!$L$17+'Reaction Information'!$M$17*10000/(Calculations!$C$12+Calculations!$M106))/(Calculations!$O106-Calculations!$C$13)-calculateOmega(Calculations!M106,Calculations!N106,Calculations!Q106,'Reaction Information'!$C$17,'Reaction Information'!$P$17*10^5,'Reaction Information'!$Q$17)*Calculations!$U106*10^-6 + (1/$S106 - 1)*calculate_domegadP(Calculations!M106,Calculations!N106,Calculations!Q106,'Reaction Information'!$C$17,'Reaction Information'!$P$17*10^5,'Reaction Information'!$Q$17,$D$20,$D$19=3))*41.84)</f>
        <v>#N/A</v>
      </c>
      <c r="BO106" s="8" t="e">
        <f>IF(OR(ISBLANK(Input!$AD$4),$D$27=FALSE),NA(),('Reaction Information'!$J$21/10+'Reaction Information'!$K$21*100/(Calculations!$C$12+Calculations!$M106)+('Reaction Information'!$L$21+'Reaction Information'!$M$21*10000/(Calculations!$C$12+Calculations!$M106))/(Calculations!$O106-Calculations!$C$13)-calculateOmega(Calculations!M106,Calculations!N106,Calculations!Q106,'Reaction Information'!$C$21,'Reaction Information'!$P$21*10^5,'Reaction Information'!$Q$21)*Calculations!$U106*10^-6 + (1/$S106 - 1)*calculate_domegadP(Calculations!M106,Calculations!N106,Calculations!Q106,'Reaction Information'!$C$21,'Reaction Information'!$P$21*10^5,'Reaction Information'!$Q$21,$D$20,$D$19=3))*41.84)</f>
        <v>#N/A</v>
      </c>
      <c r="BP106" s="8" t="e">
        <f>IF(OR(ISBLANK(Input!$AG$4),$D$27=FALSE),NA(),('Reaction Information'!$J$25/10+'Reaction Information'!$K$25*100/(Calculations!$C$12+Calculations!$M106)+('Reaction Information'!$L$25+'Reaction Information'!$M$25*10000/(Calculations!$C$12+Calculations!$M106))/(Calculations!$O106-Calculations!$C$13)-calculateOmega(Calculations!M106,Calculations!N106,Calculations!Q106,'Reaction Information'!$C$25,'Reaction Information'!$P$25*10^5,'Reaction Information'!$Q$25)*Calculations!$U106*10^-6 + (1/$S106 - 1)*calculate_domegadP(Calculations!M106,Calculations!N106,Calculations!Q106,'Reaction Information'!$C$25,'Reaction Information'!$P$25*10^5,'Reaction Information'!$Q$25,$D$20,$D$19=3))*41.84)</f>
        <v>#N/A</v>
      </c>
      <c r="BQ106" s="8" t="e">
        <f>IF(OR(ISBLANK(Input!$AJ$4),$D$27=FALSE),NA(),('Reaction Information'!$J$29/10+'Reaction Information'!$K$29*100/(Calculations!$C$12+Calculations!$M106)+('Reaction Information'!$L$29+'Reaction Information'!$M$29*10000/(Calculations!$C$12+Calculations!$M106))/(Calculations!$O106-Calculations!$C$13)-calculateOmega(Calculations!M106,Calculations!N106,Calculations!Q106,'Reaction Information'!$C$29,'Reaction Information'!$P$29*10^5,'Reaction Information'!$Q$29)*Calculations!$U106*10^-6 + (1/$S106 - 1)*calculate_domegadP(Calculations!M106,Calculations!N106,Calculations!Q106,'Reaction Information'!$C$29,'Reaction Information'!$P$29*10^5,'Reaction Information'!$Q$29,$D$20,$D$19=3))*41.84)</f>
        <v>#N/A</v>
      </c>
      <c r="BR106" s="8" t="e">
        <f>IF(OR(ISBLANK(Input!$AM$4),$D$27=FALSE),NA(),('Reaction Information'!$J$33/10+'Reaction Information'!$K$33*100/(Calculations!$C$12+Calculations!$M106)+('Reaction Information'!$L$33+'Reaction Information'!$M$33*10000/(Calculations!$C$12+Calculations!$M106))/(Calculations!$O106-Calculations!$C$13)-calculateOmega(Calculations!M106,Calculations!N106,Calculations!Q106,'Reaction Information'!$C$33,'Reaction Information'!$P$33*10^5,'Reaction Information'!$Q$33)*Calculations!$U106*10^-6 + (1/$S106 - 1)*calculate_domegadP(Calculations!M106,Calculations!N106,Calculations!Q106,'Reaction Information'!$C$33,'Reaction Information'!$P$33*10^5,'Reaction Information'!$Q$33,$D$20,$D$19=3))*41.84)</f>
        <v>#N/A</v>
      </c>
      <c r="BS106" s="1">
        <f>Results!AW108</f>
        <v>0</v>
      </c>
      <c r="BT106" s="1">
        <f>Results!AX108</f>
        <v>0</v>
      </c>
      <c r="BU106" s="1">
        <f>Results!AY108</f>
        <v>0</v>
      </c>
      <c r="BV106" s="1">
        <f>Results!AZ108</f>
        <v>0</v>
      </c>
      <c r="BW106" s="1" t="e">
        <f>IF(OR(ISNA('Reaction Information'!$D$38), $N106 = "", $D$27 = FALSE, 'Reaction Information'!$D$38 = ""), NA(), 24.465)</f>
        <v>#N/A</v>
      </c>
      <c r="BX106" s="1" t="e">
        <f>IF(OR(ISNA('Reaction Information'!$D$42), $N106 = "", $D$27 = FALSE, 'Reaction Information'!$D$42 = ""), NA(), 24.465)</f>
        <v>#N/A</v>
      </c>
      <c r="BY106" s="8" t="e">
        <f t="shared" si="37"/>
        <v>#N/A</v>
      </c>
      <c r="BZ106" s="8">
        <f>IF(OR(ISBLANK(Input!$BK$4),$D$27=FALSE),NA(),('Reaction Information'!$J$46/10+'Reaction Information'!$K$46*100/(Calculations!$C$12+Calculations!$M106)+('Reaction Information'!$L$46+'Reaction Information'!$M$46*10000/(Calculations!$C$12+Calculations!$M106))/(Calculations!$O106-Calculations!$C$13)-calculateOmega(Calculations!M106,Calculations!N106,Calculations!Q106,'Reaction Information'!$C$46,'Reaction Information'!$P$46*10^5,'Reaction Information'!$Q$46)*Calculations!$U106*10^-6 + (1/$S106 - 1)*calculate_domegadP(Calculations!M106,Calculations!N106,Calculations!Q106,'Reaction Information'!$C$46,'Reaction Information'!$P$46*10^5,'Reaction Information'!$Q$46,$D$20,$D$19=3))*41.84)</f>
        <v>0</v>
      </c>
      <c r="CA106" s="8">
        <f>IF(OR(ISBLANK(Input!$BN$4),$D$27=FALSE),NA(),('Reaction Information'!$J$50/10+'Reaction Information'!$K$50*100/(Calculations!$C$12+Calculations!$M106)+('Reaction Information'!$L$50+'Reaction Information'!$M$50*10000/(Calculations!$C$12+Calculations!$M106))/(Calculations!$O106-Calculations!$C$13)-calculateOmega(Calculations!M106,Calculations!N106,Calculations!Q106,'Reaction Information'!$C$50,'Reaction Information'!$P$50*10^5,'Reaction Information'!$Q$50)*Calculations!$U106*10^-6 + (1/$S106 - 1)*calculate_domegadP(Calculations!M106,Calculations!N106,Calculations!Q106,'Reaction Information'!$C$50,'Reaction Information'!$P$50*10^5,'Reaction Information'!$Q$50,$D$20,$D$19=3))*41.84)</f>
        <v>30.620272245017627</v>
      </c>
      <c r="CB106" s="8" t="e">
        <f>IF(OR(ISBLANK(Input!$BQ$4),$D$27=FALSE),NA(),('Reaction Information'!$J$54/10+'Reaction Information'!$K$54*100/(Calculations!$C$12+Calculations!$M106)+('Reaction Information'!$L$54+'Reaction Information'!$M$54*10000/(Calculations!$C$12+Calculations!$M106))/(Calculations!$O106-Calculations!$C$13)-calculateOmega(Calculations!M106,Calculations!N106,Calculations!Q106,'Reaction Information'!$C$54,'Reaction Information'!$P$54*10^5,'Reaction Information'!$Q$54)*Calculations!$U106*10^-6 + (1/$S106 - 1)*calculate_domegadP(Calculations!M106,Calculations!N106,Calculations!Q106,'Reaction Information'!$C$54,'Reaction Information'!$P$54*10^5,'Reaction Information'!$Q$54,$D$20,$D$19=3))*41.84)</f>
        <v>#N/A</v>
      </c>
      <c r="CC106" s="8" t="e">
        <f>IF(OR(ISBLANK(Input!$BT$4),$D$27=FALSE),NA(),('Reaction Information'!$J$58/10+'Reaction Information'!$K$58*100/(Calculations!$C$12+Calculations!$M106)+('Reaction Information'!$L$58+'Reaction Information'!$M$58*10000/(Calculations!$C$12+Calculations!$M106))/(Calculations!$O106-Calculations!$C$13)-calculateOmega(Calculations!M106,Calculations!N106,Calculations!Q106,'Reaction Information'!$C$58,'Reaction Information'!$P$58*10^5,'Reaction Information'!$Q$58)*Calculations!$U106*10^-6 + (1/$S106 - 1)*calculate_domegadP(Calculations!M106,Calculations!N106,Calculations!Q106,'Reaction Information'!$C$58,'Reaction Information'!$P$58*10^5,'Reaction Information'!$Q$58,$D$20,$D$19=3))*41.84)</f>
        <v>#N/A</v>
      </c>
      <c r="CD106" s="8" t="e">
        <f>IF(OR(ISBLANK(Input!$BW$4),$D$27=FALSE),NA(),('Reaction Information'!$J$62/10+'Reaction Information'!$K$62*100/(Calculations!$C$12+Calculations!$M106)+('Reaction Information'!$L$62+'Reaction Information'!$M$62*10000/(Calculations!$C$12+Calculations!$M106))/(Calculations!$O106-Calculations!$C$13)-calculateOmega(Calculations!M106,Calculations!N106,Calculations!Q106,'Reaction Information'!$C$62,'Reaction Information'!$P$62*10^5,'Reaction Information'!$Q$62)*Calculations!$U106*10^-6 + (1/$S106 - 1)*calculate_domegadP(Calculations!M106,Calculations!N106,Calculations!Q106,'Reaction Information'!$C$62,'Reaction Information'!$P$62*10^5,'Reaction Information'!$Q$62,$D$20,$D$19=3))*41.84)</f>
        <v>#N/A</v>
      </c>
      <c r="CE106" s="8" t="e">
        <f>IF(OR(ISBLANK(Input!$BZ$4),$D$27=FALSE),NA(),('Reaction Information'!$J$66/10+'Reaction Information'!$K$66*100/(Calculations!$C$12+Calculations!$M106)+('Reaction Information'!$L$66+'Reaction Information'!$M$66*10000/(Calculations!$C$12+Calculations!$M106))/(Calculations!$O106-Calculations!$C$13)-calculateOmega(Calculations!M106,Calculations!N106,Calculations!Q106,'Reaction Information'!$C$66,'Reaction Information'!$P$66*10^5,'Reaction Information'!$Q$66)*Calculations!$U106*10^-6 + (1/$S106 - 1)*calculate_domegadP(Calculations!M106,Calculations!N106,Calculations!Q106,'Reaction Information'!$C$66,'Reaction Information'!$P$66*10^5,'Reaction Information'!$Q$66,$D$20,$D$19=3))*41.84)</f>
        <v>#N/A</v>
      </c>
      <c r="CF106" s="31">
        <f>(BS106*Input!$AO$4+BT106*Input!$AR$4+BU106*Input!$AU$4+BV106*Input!$AX$4+IF(ISNA(BW106),0,BW106*Input!$BA$4)+IF(ISNA(BX106),0,BX106*Input!$BD$4)+IF(ISNA(BY106),0,BY106*Input!$BG$4)+IF(ISNA(BZ106),0,BZ106*Input!$BJ$4)+IF(ISNA(CA106),0,CA106*Input!$BM$4)+IF(ISNA(CB106),0,CB106*Input!$BP$4)+IF(ISNA(CC106),0,CC106*Input!$BS$4)+IF(ISNA(CD106),0,CD106*Input!$BV$4)+IF(ISNA(CE106),0,CE106*Input!$BY$4))-(BF106*Input!$B$4+BG106*Input!$E$4+BH106*Input!$H$4+BI106*Input!$K$4+IF(ISNA(BJ106),0,BJ106*Input!$N$4)+IF(ISNA(BK106),0,BK106*Input!$Q$4)+IF(ISNA(BL106),0,BL106*Input!$T$4)+IF(ISNA(BM106),0,BM106*Input!$W$4)+IF(ISNA(BN106),0,BN106*Input!$Z$4)+IF(ISNA(BO106),0,BO106*Input!$AC$4)+IF(ISNA(BP106),0,BP106*Input!$AF$4)+IF(ISNA(BQ106),0,BQ106*Input!$AI$4)+IF(ISNA(BR106),0,BR106*Input!$AL$4))</f>
        <v>-14.519090859869419</v>
      </c>
      <c r="CG106" s="1">
        <f t="shared" si="31"/>
        <v>800</v>
      </c>
      <c r="CH106" s="46">
        <f t="shared" si="32"/>
        <v>35000</v>
      </c>
      <c r="CI106" s="1"/>
    </row>
    <row r="107" spans="1:87" x14ac:dyDescent="0.2">
      <c r="A107" s="1"/>
      <c r="B107" s="1"/>
      <c r="C107" s="1"/>
      <c r="D107" s="1"/>
      <c r="E107" s="1"/>
      <c r="F107" s="2">
        <v>102</v>
      </c>
      <c r="G107" s="1" t="str">
        <f>IF(ISBLANK(Input!CB107), "", Input!CB107*1000)</f>
        <v/>
      </c>
      <c r="H107" s="1" t="str">
        <f>IF(ISBLANK(Input!CC107), "", Input!CC107)</f>
        <v/>
      </c>
      <c r="I107" s="1">
        <f>IF(Input!$CF$5 + Input!$CF$6*(FLOOR((Calculations!$F107-1)/(FLOOR((Input!$CF$12-Input!$CF$10)/Input!$CF$11,1)+1),1)) &gt; Input!$CF$7, "", (Input!$CF$5 + Input!$CF$6*(FLOOR((Calculations!$F107-1)/(FLOOR((Input!$CF$12-Input!$CF$10)/Input!$CF$11,1)+1),1)))*1000)</f>
        <v>35000</v>
      </c>
      <c r="J107" s="1">
        <f>IF(Calculations!I107 = "", "", Input!$CF$10 + Input!$CF$11*(Calculations!$F107-1) - (FLOOR((Input!$CF$12-Input!$CF$10)/Input!$CF$11,1)+1)*Input!$CF$11*FLOOR((Calculations!$F107-1)/(FLOOR((Input!$CF$12-Input!$CF$10)/Input!$CF$11,1)+1),1))</f>
        <v>850</v>
      </c>
      <c r="K107" s="8" t="str">
        <f t="shared" si="33"/>
        <v/>
      </c>
      <c r="L107" s="117" t="str">
        <f>IF(OR(Input!$CJ$5 + Input!$CJ$6*(Calculations!F107-1) &gt; Input!$CJ$7, Input!$CJ$5 + Input!$CJ$6*(Calculations!F107-1) &gt; 350), "", Input!$CJ$5 + Input!$CJ$6*(Calculations!F107-1))</f>
        <v/>
      </c>
      <c r="M107" s="1">
        <f t="shared" si="23"/>
        <v>35000</v>
      </c>
      <c r="N107" s="1">
        <f t="shared" si="24"/>
        <v>850</v>
      </c>
      <c r="O107" s="1">
        <f t="shared" si="34"/>
        <v>1123.1500000000001</v>
      </c>
      <c r="P107" s="1" t="e">
        <f>IF(OR($D$20=3,AND($D$21=TRUE,M107&lt;1000)),INDEX('Water Density'!$C$6:$CX$120,MATCH(Calculations!N107,'Water Density'!$B$6:$B$120),MATCH(Calculations!M107/1000,'Water Density'!$C$5:$CX$5)),NA())</f>
        <v>#N/A</v>
      </c>
      <c r="Q107" s="182">
        <f>IF(OR($D$20=3,AND($D$21=TRUE,M107&lt;1000)), IF(P107&lt;&gt;0,P107,NA()), calculateDensity(M107,N107,$D$20,0.01,$D$19 = 3))</f>
        <v>1.2111740703576803</v>
      </c>
      <c r="R107" s="1" t="e">
        <f>IF($D$22=5,INDEX('Dielectric Constant'!$C$6:$CX$120,MATCH(Calculations!N107,'Dielectric Constant'!$B$6:$B$120),MATCH(Calculations!M107/1000,'Dielectric Constant'!$C$5:$CX$5)),NA())</f>
        <v>#N/A</v>
      </c>
      <c r="S107" s="58">
        <f>IF($D$22=5, IF(R107&lt;&gt;0,R107,NA()), IF(AND($D$23,M107&lt;=5000,$D$19 &lt;&gt; 3),calculateEpsilon(Q107,N107,1,FALSE),calculateEpsilon(Q107,N107,$D$22,$D$19 = 3)))</f>
        <v>19.005824112098193</v>
      </c>
      <c r="T107" s="1" t="e">
        <f>IF($D$24=3,INDEX('Water Free Energy'!$C$6:$CX$120,MATCH(Calculations!N107,'Water Free Energy'!$B$6:$B$120),MATCH(Calculations!M107/1000,'Water Free Energy'!$C$5:$CX$5)),NA())</f>
        <v>#N/A</v>
      </c>
      <c r="U107" s="179">
        <f>IF($D$27,calculateQ(M107,N107,Q107,$D$20,$D$22,$D$19=3)*10^6,NA())</f>
        <v>0.29696560633958002</v>
      </c>
      <c r="V107"/>
      <c r="W107" s="2">
        <f t="shared" si="25"/>
        <v>35000</v>
      </c>
      <c r="X107" s="1">
        <f t="shared" si="26"/>
        <v>850</v>
      </c>
      <c r="Y107" s="1">
        <f>Results!F109</f>
        <v>0</v>
      </c>
      <c r="Z107" s="1">
        <f>Results!G109</f>
        <v>0</v>
      </c>
      <c r="AA107" s="1">
        <f>Results!H109</f>
        <v>0</v>
      </c>
      <c r="AB107" s="1">
        <f>Results!I109</f>
        <v>0</v>
      </c>
      <c r="AC107" s="1" t="e">
        <f>IF(ISBLANK(Input!$O$4),NA(),'Reaction Information'!$E$5-'Reaction Information'!$G$5*(Calculations!$O107-Calculations!$C$8)+'Reaction Information'!$I$5*(Calculations!$O107-Calculations!$C$8-Calculations!$O107*LN(Calculations!$O107/Calculations!$C$8))+'Reaction Information'!$J$5*0.001/2*(2*Calculations!$O107*Calculations!$C$8-Calculations!$O107^2-Calculations!$C$8^2) + 'Reaction Information'!$K$5*100000*(Calculations!$O107^2 + Calculations!$C$8^2 - 2*Calculations!$O107*Calculations!$C$8)/(2*Calculations!$O107*Calculations!$C$8^2))</f>
        <v>#N/A</v>
      </c>
      <c r="AD107" s="8" t="e">
        <f>IF(ISBLANK(Input!$R$4),NA(),'Reaction Information'!$E$9-'Reaction Information'!$G$9*(Calculations!$O107-Calculations!$C$8)+'Reaction Information'!$I$9*(Calculations!$O107-Calculations!$C$8-Calculations!$O107*LN(Calculations!$O107/Calculations!$C$8))+'Reaction Information'!$J$9*0.001/2*(2*Calculations!$O107*Calculations!$C$8-Calculations!$O107^2-Calculations!$C$8^2) + 'Reaction Information'!$K$9*100000*(Calculations!$O107^2 + Calculations!$C$8^2 - 2*Calculations!$O107*Calculations!$C$8)/(2*Calculations!$O107*Calculations!$C$8^2))</f>
        <v>#N/A</v>
      </c>
      <c r="AE107" s="8">
        <f>IF(AE$5="H2O",IF($D$24=3,IF(T107=0,NA(),T107),calculateGibbsOfWater(M107,N107,$D$24,$D$20,$D$19=3)),NA())</f>
        <v>-65468.774195428748</v>
      </c>
      <c r="AF107" s="8">
        <f>IF(ISBLANK(Input!$X$4),NA(),'Reaction Information'!$E$13-'Reaction Information'!$G$13*(Calculations!O107-Calculations!$C$8)-'Reaction Information'!$N$13*(Calculations!O107*LN(Calculations!O107/Calculations!$C$8)-Calculations!O107+Calculations!$C$8)-'Reaction Information'!$O$13*10^4*(((1/(Calculations!O107-Calculations!$C$13))-(1/(Calculations!$C$8-Calculations!$C$13)))*((Calculations!$C$13-Calculations!O107)/(Calculations!$C$13))-(Calculations!O107/(Calculations!$C$13*Calculations!$C$13))*LN((Calculations!$C$8*(Calculations!O107-Calculations!$C$13))/(Calculations!O107*(Calculations!$C$8-Calculations!$C$13))))+'Reaction Information'!$J$13*10^-1*(Calculations!M107-Calculations!$C$9)+'Reaction Information'!$K$13*10^2*LN((Calculations!$C$12+Calculations!M107)/(Calculations!$C$12+Calculations!$C$9))+(1/(Calculations!O107-Calculations!$C$13))*('Reaction Information'!$L$13*(Calculations!M107-Calculations!$C$9)+'Reaction Information'!$M$13*10^4*LN((Calculations!$C$12+Calculations!M107)/(Calculations!$C$12+Calculations!$C$9)))+calculateOmega(Calculations!M107,Calculations!N107,Calculations!Q107,'Reaction Information'!$C$13,'Reaction Information'!$P$13*10^5,'Reaction Information'!$Q$13)*((1/Calculations!S107)-1)-'Reaction Information'!$P$13*10^5*((1/Calculations!$C$10)-1)+'Reaction Information'!$P$13*10^5*Calculations!$C$14*(Calculations!O107-Calculations!$C$8))</f>
        <v>-101960.43665954463</v>
      </c>
      <c r="AG107" s="8" t="e">
        <f>IF(ISBLANK(Input!$AA$4),NA(),'Reaction Information'!$E$17-'Reaction Information'!$G$17*(Calculations!$O107-Calculations!$C$8)-'Reaction Information'!$N$17*(Calculations!$O107*LN(Calculations!$O107/Calculations!$C$8)-Calculations!$O107+Calculations!$C$8)-'Reaction Information'!$O$17*10^4*(((1/(Calculations!$O107-Calculations!$C$13))-(1/(Calculations!$C$8-Calculations!$C$13)))*((Calculations!$C$13-Calculations!$O107)/(Calculations!$C$13))-(Calculations!$O107/(Calculations!$C$13*Calculations!$C$13))*LN((Calculations!$C$8*(Calculations!$O107-Calculations!$C$13))/(Calculations!$O107*(Calculations!$C$8-Calculations!$C$13))))+'Reaction Information'!$J$17*10^-1*(Calculations!$M107-Calculations!$C$9)+'Reaction Information'!$K$17*10^2*LN((Calculations!$C$12+Calculations!$M107)/(Calculations!$C$12+Calculations!$C$9))+(1/(Calculations!$O107-Calculations!$C$13))*('Reaction Information'!$L$17*(Calculations!$M107-Calculations!$C$9)+'Reaction Information'!$M$17*10^4*LN((Calculations!$C$12+Calculations!$M107)/(Calculations!$C$12+Calculations!$C$9)))+calculateOmega(Calculations!M107,Calculations!N107,Calculations!Q107,'Reaction Information'!$C$17,'Reaction Information'!$P$17*10^5,'Reaction Information'!$Q$17)*((1/Calculations!$S107)-1)-'Reaction Information'!$P$17*10^5*((1/Calculations!$C$10)-1)+'Reaction Information'!$P$17*10^5*Calculations!$C$14*(Calculations!$O107-Calculations!$C$8))</f>
        <v>#N/A</v>
      </c>
      <c r="AH107" s="8" t="e">
        <f>IF(ISBLANK(Input!$AD$4),NA(),'Reaction Information'!$E$21-'Reaction Information'!$G$21*(Calculations!$O107-Calculations!$C$8)-'Reaction Information'!$N$21*(Calculations!$O107*LN(Calculations!$O107/Calculations!$C$8)-Calculations!$O107+Calculations!$C$8)-'Reaction Information'!$O$21*10^4*(((1/(Calculations!$O107-Calculations!$C$13))-(1/(Calculations!$C$8-Calculations!$C$13)))*((Calculations!$C$13-Calculations!$O107)/(Calculations!$C$13))-(Calculations!$O107/(Calculations!$C$13*Calculations!$C$13))*LN((Calculations!$C$8*(Calculations!$O107-Calculations!$C$13))/(Calculations!$O107*(Calculations!$C$8-Calculations!$C$13))))+'Reaction Information'!$J$21*10^-1*(Calculations!$M107-Calculations!$C$9)+'Reaction Information'!$K$21*10^2*LN((Calculations!$C$12+Calculations!$M107)/(Calculations!$C$12+Calculations!$C$9))+(1/(Calculations!$O107-Calculations!$C$13))*('Reaction Information'!$L$21*(Calculations!$M107-Calculations!$C$9)+'Reaction Information'!$M$21*10^4*LN((Calculations!$C$12+Calculations!$M107)/(Calculations!$C$12+Calculations!$C$9)))+calculateOmega(Calculations!M107,Calculations!N107,Calculations!Q107,'Reaction Information'!$C$21,'Reaction Information'!$P$21*10^5,'Reaction Information'!$Q$21)*((1/Calculations!$S107)-1)-'Reaction Information'!$P$21*10^5*((1/Calculations!$C$10)-1)+'Reaction Information'!$P$21*10^5*Calculations!$C$14*(Calculations!$O107-Calculations!$C$8))</f>
        <v>#N/A</v>
      </c>
      <c r="AI107" s="8" t="e">
        <f>IF(ISBLANK(Input!$AG$4),NA(),'Reaction Information'!$E$25-'Reaction Information'!$G$25*(Calculations!$O107-Calculations!$C$8)-'Reaction Information'!$N$25*(Calculations!$O107*LN(Calculations!$O107/Calculations!$C$8)-Calculations!$O107+Calculations!$C$8)-'Reaction Information'!$O$25*10^4*(((1/(Calculations!$O107-Calculations!$C$13))-(1/(Calculations!$C$8-Calculations!$C$13)))*((Calculations!$C$13-Calculations!$O107)/(Calculations!$C$13))-(Calculations!$O107/(Calculations!$C$13*Calculations!$C$13))*LN((Calculations!$C$8*(Calculations!$O107-Calculations!$C$13))/(Calculations!$O107*(Calculations!$C$8-Calculations!$C$13))))+'Reaction Information'!$J$25*10^-1*(Calculations!$M107-Calculations!$C$9)+'Reaction Information'!$K$25*10^2*LN((Calculations!$C$12+Calculations!$M107)/(Calculations!$C$12+Calculations!$C$9))+(1/(Calculations!$O107-Calculations!$C$13))*('Reaction Information'!$L$25*(Calculations!$M107-Calculations!$C$9)+'Reaction Information'!$M$25*10^4*LN((Calculations!$C$12+Calculations!$M107)/(Calculations!$C$12+Calculations!$C$9)))+calculateOmega(Calculations!M107,Calculations!N107,Calculations!Q107,'Reaction Information'!$C$25,'Reaction Information'!$P$25*10^5,'Reaction Information'!$Q$25)*((1/Calculations!$S107)-1)-'Reaction Information'!$P$25*10^5*((1/Calculations!$C$10)-1)+'Reaction Information'!$P$25*10^5*Calculations!$C$14*(Calculations!$O107-Calculations!$C$8))</f>
        <v>#N/A</v>
      </c>
      <c r="AJ107" s="8" t="e">
        <f>IF(ISBLANK(Input!$AJ$4),NA(),'Reaction Information'!$E$29-'Reaction Information'!$G$29*(Calculations!$O107-Calculations!$C$8)-'Reaction Information'!$N$29*(Calculations!$O107*LN(Calculations!$O107/Calculations!$C$8)-Calculations!$O107+Calculations!$C$8)-'Reaction Information'!$O$29*10^4*(((1/(Calculations!$O107-Calculations!$C$13))-(1/(Calculations!$C$8-Calculations!$C$13)))*((Calculations!$C$13-Calculations!$O107)/(Calculations!$C$13))-(Calculations!$O107/(Calculations!$C$13*Calculations!$C$13))*LN((Calculations!$C$8*(Calculations!$O107-Calculations!$C$13))/(Calculations!$O107*(Calculations!$C$8-Calculations!$C$13))))+'Reaction Information'!$J$29*10^-1*(Calculations!$M107-Calculations!$C$9)+'Reaction Information'!$K$29*10^2*LN((Calculations!$C$12+Calculations!$M107)/(Calculations!$C$12+Calculations!$C$9))+(1/(Calculations!$O107-Calculations!$C$13))*('Reaction Information'!$L$29*(Calculations!$M107-Calculations!$C$9)+'Reaction Information'!$M$29*10^4*LN((Calculations!$C$12+Calculations!$M107)/(Calculations!$C$12+Calculations!$C$9)))+calculateOmega(Calculations!M107,Calculations!N107,Calculations!Q107,'Reaction Information'!$C$29,'Reaction Information'!$P$29*10^5,'Reaction Information'!$Q$29)*((1/Calculations!$S107)-1)-'Reaction Information'!$P$29*10^5*((1/Calculations!$C$10)-1)+'Reaction Information'!$P$29*10^5*Calculations!$C$14*(Calculations!$O107-Calculations!$C$8))</f>
        <v>#N/A</v>
      </c>
      <c r="AK107" s="8" t="e">
        <f>IF(ISBLANK(Input!$AM$4),NA(),'Reaction Information'!$E$33-'Reaction Information'!$G$33*(Calculations!$O107-Calculations!$C$8)-'Reaction Information'!$N$33*(Calculations!$O107*LN(Calculations!$O107/Calculations!$C$8)-Calculations!$O107+Calculations!$C$8)-'Reaction Information'!$O$33*10^4*(((1/(Calculations!$O107-Calculations!$C$13))-(1/(Calculations!$C$8-Calculations!$C$13)))*((Calculations!$C$13-Calculations!$O107)/(Calculations!$C$13))-(Calculations!$O107/(Calculations!$C$13*Calculations!$C$13))*LN((Calculations!$C$8*(Calculations!$O107-Calculations!$C$13))/(Calculations!$O107*(Calculations!$C$8-Calculations!$C$13))))+'Reaction Information'!$J$33*10^-1*(Calculations!$M107-Calculations!$C$9)+'Reaction Information'!$K$33*10^2*LN((Calculations!$C$12+Calculations!$M107)/(Calculations!$C$12+Calculations!$C$9))+(1/(Calculations!$O107-Calculations!$C$13))*('Reaction Information'!$L$33*(Calculations!$M107-Calculations!$C$9)+'Reaction Information'!$M$33*10^4*LN((Calculations!$C$12+Calculations!$M107)/(Calculations!$C$12+Calculations!$C$9)))+calculateOmega(Calculations!M107,Calculations!N107,Calculations!Q107,'Reaction Information'!$C$33,'Reaction Information'!$P$33*10^5,'Reaction Information'!$Q$33)*((1/Calculations!$S107)-1)-'Reaction Information'!$P$33*10^5*((1/Calculations!$C$10)-1)+'Reaction Information'!$P$33*10^5*Calculations!$C$14*(Calculations!$O107-Calculations!$C$8))</f>
        <v>#N/A</v>
      </c>
      <c r="AL107" s="1">
        <f>Results!S109</f>
        <v>0</v>
      </c>
      <c r="AM107" s="1">
        <f>Results!T109</f>
        <v>0</v>
      </c>
      <c r="AN107" s="1">
        <f>Results!U109</f>
        <v>0</v>
      </c>
      <c r="AO107" s="1">
        <f>Results!V109</f>
        <v>0</v>
      </c>
      <c r="AP107" s="8" t="e">
        <f>IF(ISBLANK(Input!$BB$4),NA(),'Reaction Information'!$E$38-'Reaction Information'!$G$38*(Calculations!$O107-Calculations!$C$8)+'Reaction Information'!$I$38*(Calculations!$O107-Calculations!$C$8-Calculations!$O107*LN(Calculations!$O107/Calculations!$C$8))+'Reaction Information'!$J$38*0.001/2*(2*Calculations!$O107*Calculations!$C$8-Calculations!$O107^2-Calculations!$C$8^2) + 'Reaction Information'!$K$38*100000*(Calculations!$O107^2 + Calculations!$C$8^2 - 2*Calculations!$O107*Calculations!$C$8)/(2*Calculations!$O107*Calculations!$C$8^2))</f>
        <v>#N/A</v>
      </c>
      <c r="AQ107" s="8" t="e">
        <f>IF(ISBLANK(Input!$BE$4),NA(),'Reaction Information'!$E$42-'Reaction Information'!$G$42*(Calculations!$O107-Calculations!$C$8)+'Reaction Information'!$I$42*(Calculations!$O107-Calculations!$C$8-Calculations!$O107*LN(Calculations!$O107/Calculations!$C$8))+'Reaction Information'!$J$42*0.001/2*(2*Calculations!$O107*Calculations!$C$8-Calculations!$O107^2-Calculations!$C$8^2) + 'Reaction Information'!$K$42*100000*(Calculations!$O107^2 + Calculations!$C$8^2 - 2*Calculations!$O107*Calculations!$C$8)/(2*Calculations!$O107*Calculations!$C$8^2))</f>
        <v>#N/A</v>
      </c>
      <c r="AR107" s="8" t="e">
        <f>IF(AR$5="H2O", IF($D$24=3,IF(T107=0,NA(),T107),calculateGibbsOfWater(M107,N107,$D$24,$D$20,$D$19=3)),NA())</f>
        <v>#N/A</v>
      </c>
      <c r="AS107" s="8">
        <f>IF(ISBLANK(Input!$BK$4),NA(),'Reaction Information'!$E$46-'Reaction Information'!$G$46*(Calculations!O107-Calculations!$C$8)-'Reaction Information'!$N$46*(Calculations!O107*LN(Calculations!O107/Calculations!$C$8)-Calculations!O107+Calculations!$C$8)-'Reaction Information'!$O$46*10^4*(((1/(Calculations!O107-Calculations!$C$13))-(1/(Calculations!$C$8-Calculations!$C$13)))*((Calculations!$C$13-Calculations!O107)/(Calculations!$C$13))-(Calculations!O107/(Calculations!$C$13*Calculations!$C$13))*LN((Calculations!$C$8*(Calculations!O107-Calculations!$C$13))/(Calculations!O107*(Calculations!$C$8-Calculations!$C$13))))+'Reaction Information'!$J$46*10^-1*(Calculations!$M107-Calculations!$C$9)+'Reaction Information'!$K$46*10^2*LN((Calculations!$C$12+Calculations!$M107)/(Calculations!$C$12+Calculations!$C$9))+(1/(Calculations!O107-Calculations!$C$13))*('Reaction Information'!$L$46*(Calculations!$M107-Calculations!$C$9)+'Reaction Information'!$M$46*10^4*LN((Calculations!$C$12+Calculations!$M107)/(Calculations!$C$12+Calculations!$C$9)))+calculateOmega(Calculations!M107,Calculations!N107,Calculations!Q107,'Reaction Information'!$C$46,'Reaction Information'!$P$46*10^5,'Reaction Information'!$Q$46)*((1/Calculations!S107)-1)-'Reaction Information'!$P$46*10^5*((1/Calculations!$C$10)-1)+'Reaction Information'!$P$46*10^5*Calculations!$C$14*(Calculations!O107-Calculations!$C$8))</f>
        <v>0</v>
      </c>
      <c r="AT107" s="8">
        <f>IF(ISBLANK(Input!$BN$4),NA(),'Reaction Information'!$E$50-'Reaction Information'!$G$50*(Calculations!O107-Calculations!$C$8)-'Reaction Information'!$N$50*(Calculations!O107*LN(Calculations!O107/Calculations!$C$8)-Calculations!O107+Calculations!$C$8)-'Reaction Information'!$O$50*10^4*(((1/(Calculations!O107-Calculations!$C$13))-(1/(Calculations!$C$8-Calculations!$C$13)))*((Calculations!$C$13-Calculations!O107)/(Calculations!$C$13))-(Calculations!O107/(Calculations!$C$13*Calculations!$C$13))*LN((Calculations!$C$8*(Calculations!O107-Calculations!$C$13))/(Calculations!O107*(Calculations!$C$8-Calculations!$C$13))))+'Reaction Information'!$J$50*10^-1*(Calculations!$M107-Calculations!$C$9)+'Reaction Information'!$K$50*10^2*LN((Calculations!$C$12+Calculations!$M107)/(Calculations!$C$12+Calculations!$C$9))+(1/(Calculations!O107-Calculations!$C$13))*('Reaction Information'!$L$50*(Calculations!$M107-Calculations!$C$9)+'Reaction Information'!$M$50*10^4*LN((Calculations!$C$12+Calculations!$M107)/(Calculations!$C$12+Calculations!$C$9)))+calculateOmega(Calculations!M107,Calculations!N107,Calculations!Q107,'Reaction Information'!$C$50,'Reaction Information'!$P$50*10^5,'Reaction Information'!$Q$50)*((1/Calculations!S107)-1)-'Reaction Information'!$P$50*10^5*((1/Calculations!$C$10)-1)+'Reaction Information'!$P$50*10^5*Calculations!$C$14*(Calculations!O107-Calculations!$C$8))</f>
        <v>-140101.94105075879</v>
      </c>
      <c r="AU107" s="8" t="e">
        <f>IF(ISBLANK(Input!$BQ$4),NA(),'Reaction Information'!$E$54-'Reaction Information'!$G$54*(Calculations!$O107-Calculations!$C$8)-'Reaction Information'!$N$54*(Calculations!$O107*LN(Calculations!$O107/Calculations!$C$8)-Calculations!$O107+Calculations!$C$8)-'Reaction Information'!$O$54*10^4*(((1/(Calculations!$O107-Calculations!$C$13))-(1/(Calculations!$C$8-Calculations!$C$13)))*((Calculations!$C$13-Calculations!$O107)/(Calculations!$C$13))-(Calculations!$O107/(Calculations!$C$13*Calculations!$C$13))*LN((Calculations!$C$8*(Calculations!$O107-Calculations!$C$13))/(Calculations!$O107*(Calculations!$C$8-Calculations!$C$13))))+'Reaction Information'!$J$54*10^-1*(Calculations!$M107-Calculations!$C$9)+'Reaction Information'!$K$54*10^2*LN((Calculations!$C$12+Calculations!$M107)/(Calculations!$C$12+Calculations!$C$9))+(1/(Calculations!$O107-Calculations!$C$13))*('Reaction Information'!$L$54*(Calculations!$M107-Calculations!$C$9)+'Reaction Information'!$M$54*10^4*LN((Calculations!$C$12+Calculations!$M107)/(Calculations!$C$12+Calculations!$C$9)))+calculateOmega(Calculations!M107,Calculations!N107,Calculations!Q107,'Reaction Information'!$C$54,'Reaction Information'!$P$54*10^5,'Reaction Information'!$Q$54)*((1/Calculations!$S107)-1)-'Reaction Information'!$P$54*10^5*((1/Calculations!$C$10)-1)+'Reaction Information'!$P$54*10^5*Calculations!$C$14*(Calculations!$O107-Calculations!$C$8))</f>
        <v>#N/A</v>
      </c>
      <c r="AV107" s="8" t="e">
        <f>IF(ISBLANK(Input!$BT$4),NA(),'Reaction Information'!$E$58-'Reaction Information'!$G$58*(Calculations!$O107-Calculations!$C$8)-'Reaction Information'!$N$58*(Calculations!$O107*LN(Calculations!$O107/Calculations!$C$8)-Calculations!$O107+Calculations!$C$8)-'Reaction Information'!$O$58*10^4*(((1/(Calculations!$O107-Calculations!$C$13))-(1/(Calculations!$C$8-Calculations!$C$13)))*((Calculations!$C$13-Calculations!$O107)/(Calculations!$C$13))-(Calculations!$O107/(Calculations!$C$13*Calculations!$C$13))*LN((Calculations!$C$8*(Calculations!$O107-Calculations!$C$13))/(Calculations!$O107*(Calculations!$C$8-Calculations!$C$13))))+'Reaction Information'!$J$58*10^-1*(Calculations!$M107-Calculations!$C$9)+'Reaction Information'!$K$58*10^2*LN((Calculations!$C$12+Calculations!$M107)/(Calculations!$C$12+Calculations!$C$9))+(1/(Calculations!$O107-Calculations!$C$13))*('Reaction Information'!$L$58*(Calculations!$M107-Calculations!$C$9)+'Reaction Information'!$M$58*10^4*LN((Calculations!$C$12+Calculations!$M107)/(Calculations!$C$12+Calculations!$C$9)))+calculateOmega(Calculations!M107,Calculations!N107,Calculations!Q107,'Reaction Information'!$C$58,'Reaction Information'!$P$58*10^5,'Reaction Information'!$Q$58)*((1/Calculations!$S107)-1)-'Reaction Information'!$P$58*10^5*((1/Calculations!$C$10)-1)+'Reaction Information'!$P$58*10^5*Calculations!$C$14*(Calculations!$O107-Calculations!$C$8))</f>
        <v>#N/A</v>
      </c>
      <c r="AW107" s="8" t="e">
        <f>IF(ISBLANK(Input!$BW$4),NA(),'Reaction Information'!$E$62-'Reaction Information'!$G$62*(Calculations!$O107-Calculations!$C$8)-'Reaction Information'!$N$62*(Calculations!$O107*LN(Calculations!$O107/Calculations!$C$8)-Calculations!$O107+Calculations!$C$8)-'Reaction Information'!$O$62*10^4*(((1/(Calculations!$O107-Calculations!$C$13))-(1/(Calculations!$C$8-Calculations!$C$13)))*((Calculations!$C$13-Calculations!$O107)/(Calculations!$C$13))-(Calculations!$O107/(Calculations!$C$13*Calculations!$C$13))*LN((Calculations!$C$8*(Calculations!$O107-Calculations!$C$13))/(Calculations!$O107*(Calculations!$C$8-Calculations!$C$13))))+'Reaction Information'!$J$62*10^-1*(Calculations!$M107-Calculations!$C$9)+'Reaction Information'!$K$62*10^2*LN((Calculations!$C$12+Calculations!$M107)/(Calculations!$C$12+Calculations!$C$9))+(1/(Calculations!$O107-Calculations!$C$13))*('Reaction Information'!$L$62*(Calculations!$M107-Calculations!$C$9)+'Reaction Information'!$M$62*10^4*LN((Calculations!$C$12+Calculations!$M107)/(Calculations!$C$12+Calculations!$C$9)))+calculateOmega(Calculations!M107,Calculations!N107,Calculations!Q107,'Reaction Information'!$C$62,'Reaction Information'!$P$62*10^5,'Reaction Information'!$Q$62)*((1/Calculations!$S107)-1)-'Reaction Information'!$P$62*10^5*((1/Calculations!$C$10)-1)+'Reaction Information'!$P$62*10^5*Calculations!$C$14*(Calculations!$O107-Calculations!$C$8))</f>
        <v>#N/A</v>
      </c>
      <c r="AX107" s="8" t="e">
        <f>IF(ISBLANK(Input!$BZ$4),NA(),'Reaction Information'!$E$66-'Reaction Information'!$G$66*(Calculations!$O107-Calculations!$C$8)-'Reaction Information'!$N$66*(Calculations!$O107*LN(Calculations!$O107/Calculations!$C$8)-Calculations!$O107+Calculations!$C$8)-'Reaction Information'!$O$66*10^4*(((1/(Calculations!$O107-Calculations!$C$13))-(1/(Calculations!$C$8-Calculations!$C$13)))*((Calculations!$C$13-Calculations!$O107)/(Calculations!$C$13))-(Calculations!$O107/(Calculations!$C$13*Calculations!$C$13))*LN((Calculations!$C$8*(Calculations!$O107-Calculations!$C$13))/(Calculations!$O107*(Calculations!$C$8-Calculations!$C$13))))+'Reaction Information'!$J$66*10^-1*(Calculations!$M107-Calculations!$C$9)+'Reaction Information'!$K$66*10^2*LN((Calculations!$C$12+Calculations!$M107)/(Calculations!$C$12+Calculations!$C$9))+(1/(Calculations!$O107-Calculations!$C$13))*('Reaction Information'!$L$66*(Calculations!$M107-Calculations!$C$9)+'Reaction Information'!$M$66*10^4*LN((Calculations!$C$12+Calculations!$M107)/(Calculations!$C$12+Calculations!$C$9)))+calculateOmega(Calculations!M107,Calculations!N107,Calculations!Q107,'Reaction Information'!$C$66,'Reaction Information'!$P$66*10^5,'Reaction Information'!$Q$66)*((1/Calculations!$S107)-1)-'Reaction Information'!$P$66*10^5*((1/Calculations!$C$10)-1)+'Reaction Information'!$P$66*10^5*Calculations!$C$14*(Calculations!$O107-Calculations!$C$8))</f>
        <v>#N/A</v>
      </c>
      <c r="AY107" s="31">
        <f>(AL107*Input!$AO$4+AM107*Input!$AR$4+AN107*Input!$AU$4+AO107*Input!$AX$4+IF(ISNA(AP107),0,AP107*Input!$BA$4)+IF(ISNA(AQ107),0,AQ107*Input!$BD$4)+IF(ISNA(AR107),0,AR107*Input!$BG$4)+IF(ISNA(AS107),0,AS107*Input!$BJ$4)+IF(ISNA(AT107),0,AT107*Input!$BM$4)+IF(ISNA(AU107),0,AU107*Input!$BP$4)+IF(ISNA(AV107),0,AV107*Input!$BS$4)+IF(ISNA(AW107),0,AW107*Input!$BV$4)+IF(ISNA(AX107),0,AX107*Input!$BY$4))-(Y107*Input!$B$4+Z107*Input!$E$4+AA107*Input!$H$4+AB107*Input!$K$4+IF(ISNA(AC107),0,AC107*Input!$N$4)+IF(ISNA(AD107),0,AD107*Input!$Q$4)+IF(ISNA(AE107),0,AE107*Input!$T$4)+IF(ISNA(AF107),0,AF107*Input!$W$4)+IF(ISNA(AG107),0,AG107*Input!$Z$4)+IF(ISNA(AH107),0,AH107*Input!$AC$4)+IF(ISNA(AI107),0,AI107*Input!$AF$4)+IF(ISNA(AJ107),0,AJ107*Input!$AI$4)+IF(ISNA(AK107),0,AK107*Input!$AL$4))</f>
        <v>27327.269804214593</v>
      </c>
      <c r="AZ107" s="42">
        <f t="shared" si="35"/>
        <v>-5.3209644425524054</v>
      </c>
      <c r="BA107" s="1">
        <f t="shared" si="27"/>
        <v>850</v>
      </c>
      <c r="BB107" s="46">
        <f t="shared" si="28"/>
        <v>35000</v>
      </c>
      <c r="BC107" s="1"/>
      <c r="BD107" s="2">
        <f t="shared" si="29"/>
        <v>35000</v>
      </c>
      <c r="BE107" s="46">
        <f t="shared" si="30"/>
        <v>850</v>
      </c>
      <c r="BF107" s="1">
        <f>Results!AJ109</f>
        <v>0</v>
      </c>
      <c r="BG107" s="1">
        <f>Results!AK109</f>
        <v>0</v>
      </c>
      <c r="BH107" s="1">
        <f>Results!AL109</f>
        <v>0</v>
      </c>
      <c r="BI107" s="1">
        <f>Results!AM109</f>
        <v>0</v>
      </c>
      <c r="BJ107" s="1" t="e">
        <f>IF(OR(ISNA('Reaction Information'!$D$5), $N107 = "", $D$27 = FALSE, 'Reaction Information'!$D$5 = ""), NA(), 24.465)</f>
        <v>#N/A</v>
      </c>
      <c r="BK107" s="1" t="e">
        <f>IF(OR(ISNA('Reaction Information'!$D$9), $N107 = "", $D$27 = FALSE, 'Reaction Information'!$D$9 = ""), NA(), 24.465)</f>
        <v>#N/A</v>
      </c>
      <c r="BL107" s="8">
        <f t="shared" si="36"/>
        <v>14.874228602565593</v>
      </c>
      <c r="BM107" s="8">
        <f>IF(OR(ISBLANK(Input!$X$4),$D$27=FALSE),NA(),('Reaction Information'!$J$13/10+'Reaction Information'!$K$13*100/(Calculations!$C$12+Calculations!$M107)+('Reaction Information'!$L$13+'Reaction Information'!$M$13*10^4/(Calculations!$C$12+Calculations!$M107))/(Calculations!$O107-Calculations!$C$13) -calculateOmega(Calculations!$M107,Calculations!$N107,Calculations!$Q107,'Reaction Information'!$C$13,'Reaction Information'!$P$13*10^5,'Reaction Information'!$Q$13)*Calculations!$U107*10^-6 + (1/$S107 - 1)*calculate_domegadP(Calculations!$M107,Calculations!$N107,Calculations!$Q107,'Reaction Information'!$C$13,'Reaction Information'!$P$13*10^5,'Reaction Information'!$Q$13,$D$20,$D$19=3))*41.84)</f>
        <v>30.486613833349232</v>
      </c>
      <c r="BN107" s="8" t="e">
        <f>IF(OR(ISBLANK(Input!$AA$4),$D$27=FALSE),NA(),('Reaction Information'!$J$17/10+'Reaction Information'!$K$17*100/(Calculations!$C$12+Calculations!$M107)+('Reaction Information'!$L$17+'Reaction Information'!$M$17*10000/(Calculations!$C$12+Calculations!$M107))/(Calculations!$O107-Calculations!$C$13)-calculateOmega(Calculations!M107,Calculations!N107,Calculations!Q107,'Reaction Information'!$C$17,'Reaction Information'!$P$17*10^5,'Reaction Information'!$Q$17)*Calculations!$U107*10^-6 + (1/$S107 - 1)*calculate_domegadP(Calculations!M107,Calculations!N107,Calculations!Q107,'Reaction Information'!$C$17,'Reaction Information'!$P$17*10^5,'Reaction Information'!$Q$17,$D$20,$D$19=3))*41.84)</f>
        <v>#N/A</v>
      </c>
      <c r="BO107" s="8" t="e">
        <f>IF(OR(ISBLANK(Input!$AD$4),$D$27=FALSE),NA(),('Reaction Information'!$J$21/10+'Reaction Information'!$K$21*100/(Calculations!$C$12+Calculations!$M107)+('Reaction Information'!$L$21+'Reaction Information'!$M$21*10000/(Calculations!$C$12+Calculations!$M107))/(Calculations!$O107-Calculations!$C$13)-calculateOmega(Calculations!M107,Calculations!N107,Calculations!Q107,'Reaction Information'!$C$21,'Reaction Information'!$P$21*10^5,'Reaction Information'!$Q$21)*Calculations!$U107*10^-6 + (1/$S107 - 1)*calculate_domegadP(Calculations!M107,Calculations!N107,Calculations!Q107,'Reaction Information'!$C$21,'Reaction Information'!$P$21*10^5,'Reaction Information'!$Q$21,$D$20,$D$19=3))*41.84)</f>
        <v>#N/A</v>
      </c>
      <c r="BP107" s="8" t="e">
        <f>IF(OR(ISBLANK(Input!$AG$4),$D$27=FALSE),NA(),('Reaction Information'!$J$25/10+'Reaction Information'!$K$25*100/(Calculations!$C$12+Calculations!$M107)+('Reaction Information'!$L$25+'Reaction Information'!$M$25*10000/(Calculations!$C$12+Calculations!$M107))/(Calculations!$O107-Calculations!$C$13)-calculateOmega(Calculations!M107,Calculations!N107,Calculations!Q107,'Reaction Information'!$C$25,'Reaction Information'!$P$25*10^5,'Reaction Information'!$Q$25)*Calculations!$U107*10^-6 + (1/$S107 - 1)*calculate_domegadP(Calculations!M107,Calculations!N107,Calculations!Q107,'Reaction Information'!$C$25,'Reaction Information'!$P$25*10^5,'Reaction Information'!$Q$25,$D$20,$D$19=3))*41.84)</f>
        <v>#N/A</v>
      </c>
      <c r="BQ107" s="8" t="e">
        <f>IF(OR(ISBLANK(Input!$AJ$4),$D$27=FALSE),NA(),('Reaction Information'!$J$29/10+'Reaction Information'!$K$29*100/(Calculations!$C$12+Calculations!$M107)+('Reaction Information'!$L$29+'Reaction Information'!$M$29*10000/(Calculations!$C$12+Calculations!$M107))/(Calculations!$O107-Calculations!$C$13)-calculateOmega(Calculations!M107,Calculations!N107,Calculations!Q107,'Reaction Information'!$C$29,'Reaction Information'!$P$29*10^5,'Reaction Information'!$Q$29)*Calculations!$U107*10^-6 + (1/$S107 - 1)*calculate_domegadP(Calculations!M107,Calculations!N107,Calculations!Q107,'Reaction Information'!$C$29,'Reaction Information'!$P$29*10^5,'Reaction Information'!$Q$29,$D$20,$D$19=3))*41.84)</f>
        <v>#N/A</v>
      </c>
      <c r="BR107" s="8" t="e">
        <f>IF(OR(ISBLANK(Input!$AM$4),$D$27=FALSE),NA(),('Reaction Information'!$J$33/10+'Reaction Information'!$K$33*100/(Calculations!$C$12+Calculations!$M107)+('Reaction Information'!$L$33+'Reaction Information'!$M$33*10000/(Calculations!$C$12+Calculations!$M107))/(Calculations!$O107-Calculations!$C$13)-calculateOmega(Calculations!M107,Calculations!N107,Calculations!Q107,'Reaction Information'!$C$33,'Reaction Information'!$P$33*10^5,'Reaction Information'!$Q$33)*Calculations!$U107*10^-6 + (1/$S107 - 1)*calculate_domegadP(Calculations!M107,Calculations!N107,Calculations!Q107,'Reaction Information'!$C$33,'Reaction Information'!$P$33*10^5,'Reaction Information'!$Q$33,$D$20,$D$19=3))*41.84)</f>
        <v>#N/A</v>
      </c>
      <c r="BS107" s="1">
        <f>Results!AW109</f>
        <v>0</v>
      </c>
      <c r="BT107" s="1">
        <f>Results!AX109</f>
        <v>0</v>
      </c>
      <c r="BU107" s="1">
        <f>Results!AY109</f>
        <v>0</v>
      </c>
      <c r="BV107" s="1">
        <f>Results!AZ109</f>
        <v>0</v>
      </c>
      <c r="BW107" s="1" t="e">
        <f>IF(OR(ISNA('Reaction Information'!$D$38), $N107 = "", $D$27 = FALSE, 'Reaction Information'!$D$38 = ""), NA(), 24.465)</f>
        <v>#N/A</v>
      </c>
      <c r="BX107" s="1" t="e">
        <f>IF(OR(ISNA('Reaction Information'!$D$42), $N107 = "", $D$27 = FALSE, 'Reaction Information'!$D$42 = ""), NA(), 24.465)</f>
        <v>#N/A</v>
      </c>
      <c r="BY107" s="8" t="e">
        <f t="shared" si="37"/>
        <v>#N/A</v>
      </c>
      <c r="BZ107" s="8">
        <f>IF(OR(ISBLANK(Input!$BK$4),$D$27=FALSE),NA(),('Reaction Information'!$J$46/10+'Reaction Information'!$K$46*100/(Calculations!$C$12+Calculations!$M107)+('Reaction Information'!$L$46+'Reaction Information'!$M$46*10000/(Calculations!$C$12+Calculations!$M107))/(Calculations!$O107-Calculations!$C$13)-calculateOmega(Calculations!M107,Calculations!N107,Calculations!Q107,'Reaction Information'!$C$46,'Reaction Information'!$P$46*10^5,'Reaction Information'!$Q$46)*Calculations!$U107*10^-6 + (1/$S107 - 1)*calculate_domegadP(Calculations!M107,Calculations!N107,Calculations!Q107,'Reaction Information'!$C$46,'Reaction Information'!$P$46*10^5,'Reaction Information'!$Q$46,$D$20,$D$19=3))*41.84)</f>
        <v>0</v>
      </c>
      <c r="CA107" s="8">
        <f>IF(OR(ISBLANK(Input!$BN$4),$D$27=FALSE),NA(),('Reaction Information'!$J$50/10+'Reaction Information'!$K$50*100/(Calculations!$C$12+Calculations!$M107)+('Reaction Information'!$L$50+'Reaction Information'!$M$50*10000/(Calculations!$C$12+Calculations!$M107))/(Calculations!$O107-Calculations!$C$13)-calculateOmega(Calculations!M107,Calculations!N107,Calculations!Q107,'Reaction Information'!$C$50,'Reaction Information'!$P$50*10^5,'Reaction Information'!$Q$50)*Calculations!$U107*10^-6 + (1/$S107 - 1)*calculate_domegadP(Calculations!M107,Calculations!N107,Calculations!Q107,'Reaction Information'!$C$50,'Reaction Information'!$P$50*10^5,'Reaction Information'!$Q$50,$D$20,$D$19=3))*41.84)</f>
        <v>30.520882886015251</v>
      </c>
      <c r="CB107" s="8" t="e">
        <f>IF(OR(ISBLANK(Input!$BQ$4),$D$27=FALSE),NA(),('Reaction Information'!$J$54/10+'Reaction Information'!$K$54*100/(Calculations!$C$12+Calculations!$M107)+('Reaction Information'!$L$54+'Reaction Information'!$M$54*10000/(Calculations!$C$12+Calculations!$M107))/(Calculations!$O107-Calculations!$C$13)-calculateOmega(Calculations!M107,Calculations!N107,Calculations!Q107,'Reaction Information'!$C$54,'Reaction Information'!$P$54*10^5,'Reaction Information'!$Q$54)*Calculations!$U107*10^-6 + (1/$S107 - 1)*calculate_domegadP(Calculations!M107,Calculations!N107,Calculations!Q107,'Reaction Information'!$C$54,'Reaction Information'!$P$54*10^5,'Reaction Information'!$Q$54,$D$20,$D$19=3))*41.84)</f>
        <v>#N/A</v>
      </c>
      <c r="CC107" s="8" t="e">
        <f>IF(OR(ISBLANK(Input!$BT$4),$D$27=FALSE),NA(),('Reaction Information'!$J$58/10+'Reaction Information'!$K$58*100/(Calculations!$C$12+Calculations!$M107)+('Reaction Information'!$L$58+'Reaction Information'!$M$58*10000/(Calculations!$C$12+Calculations!$M107))/(Calculations!$O107-Calculations!$C$13)-calculateOmega(Calculations!M107,Calculations!N107,Calculations!Q107,'Reaction Information'!$C$58,'Reaction Information'!$P$58*10^5,'Reaction Information'!$Q$58)*Calculations!$U107*10^-6 + (1/$S107 - 1)*calculate_domegadP(Calculations!M107,Calculations!N107,Calculations!Q107,'Reaction Information'!$C$58,'Reaction Information'!$P$58*10^5,'Reaction Information'!$Q$58,$D$20,$D$19=3))*41.84)</f>
        <v>#N/A</v>
      </c>
      <c r="CD107" s="8" t="e">
        <f>IF(OR(ISBLANK(Input!$BW$4),$D$27=FALSE),NA(),('Reaction Information'!$J$62/10+'Reaction Information'!$K$62*100/(Calculations!$C$12+Calculations!$M107)+('Reaction Information'!$L$62+'Reaction Information'!$M$62*10000/(Calculations!$C$12+Calculations!$M107))/(Calculations!$O107-Calculations!$C$13)-calculateOmega(Calculations!M107,Calculations!N107,Calculations!Q107,'Reaction Information'!$C$62,'Reaction Information'!$P$62*10^5,'Reaction Information'!$Q$62)*Calculations!$U107*10^-6 + (1/$S107 - 1)*calculate_domegadP(Calculations!M107,Calculations!N107,Calculations!Q107,'Reaction Information'!$C$62,'Reaction Information'!$P$62*10^5,'Reaction Information'!$Q$62,$D$20,$D$19=3))*41.84)</f>
        <v>#N/A</v>
      </c>
      <c r="CE107" s="8" t="e">
        <f>IF(OR(ISBLANK(Input!$BZ$4),$D$27=FALSE),NA(),('Reaction Information'!$J$66/10+'Reaction Information'!$K$66*100/(Calculations!$C$12+Calculations!$M107)+('Reaction Information'!$L$66+'Reaction Information'!$M$66*10000/(Calculations!$C$12+Calculations!$M107))/(Calculations!$O107-Calculations!$C$13)-calculateOmega(Calculations!M107,Calculations!N107,Calculations!Q107,'Reaction Information'!$C$66,'Reaction Information'!$P$66*10^5,'Reaction Information'!$Q$66)*Calculations!$U107*10^-6 + (1/$S107 - 1)*calculate_domegadP(Calculations!M107,Calculations!N107,Calculations!Q107,'Reaction Information'!$C$66,'Reaction Information'!$P$66*10^5,'Reaction Information'!$Q$66,$D$20,$D$19=3))*41.84)</f>
        <v>#N/A</v>
      </c>
      <c r="CF107" s="31">
        <f>(BS107*Input!$AO$4+BT107*Input!$AR$4+BU107*Input!$AU$4+BV107*Input!$AX$4+IF(ISNA(BW107),0,BW107*Input!$BA$4)+IF(ISNA(BX107),0,BX107*Input!$BD$4)+IF(ISNA(BY107),0,BY107*Input!$BG$4)+IF(ISNA(BZ107),0,BZ107*Input!$BJ$4)+IF(ISNA(CA107),0,CA107*Input!$BM$4)+IF(ISNA(CB107),0,CB107*Input!$BP$4)+IF(ISNA(CC107),0,CC107*Input!$BS$4)+IF(ISNA(CD107),0,CD107*Input!$BV$4)+IF(ISNA(CE107),0,CE107*Input!$BY$4))-(BF107*Input!$B$4+BG107*Input!$E$4+BH107*Input!$H$4+BI107*Input!$K$4+IF(ISNA(BJ107),0,BJ107*Input!$N$4)+IF(ISNA(BK107),0,BK107*Input!$Q$4)+IF(ISNA(BL107),0,BL107*Input!$T$4)+IF(ISNA(BM107),0,BM107*Input!$W$4)+IF(ISNA(BN107),0,BN107*Input!$Z$4)+IF(ISNA(BO107),0,BO107*Input!$AC$4)+IF(ISNA(BP107),0,BP107*Input!$AF$4)+IF(ISNA(BQ107),0,BQ107*Input!$AI$4)+IF(ISNA(BR107),0,BR107*Input!$AL$4))</f>
        <v>-14.839959549899575</v>
      </c>
      <c r="CG107" s="1">
        <f t="shared" si="31"/>
        <v>850</v>
      </c>
      <c r="CH107" s="46">
        <f t="shared" si="32"/>
        <v>35000</v>
      </c>
      <c r="CI107" s="1"/>
    </row>
    <row r="108" spans="1:87" x14ac:dyDescent="0.2">
      <c r="A108" s="1"/>
      <c r="B108" s="1"/>
      <c r="C108" s="1"/>
      <c r="D108" s="1"/>
      <c r="E108" s="1"/>
      <c r="F108" s="2">
        <v>103</v>
      </c>
      <c r="G108" s="1" t="str">
        <f>IF(ISBLANK(Input!CB108), "", Input!CB108*1000)</f>
        <v/>
      </c>
      <c r="H108" s="1" t="str">
        <f>IF(ISBLANK(Input!CC108), "", Input!CC108)</f>
        <v/>
      </c>
      <c r="I108" s="1">
        <f>IF(Input!$CF$5 + Input!$CF$6*(FLOOR((Calculations!$F108-1)/(FLOOR((Input!$CF$12-Input!$CF$10)/Input!$CF$11,1)+1),1)) &gt; Input!$CF$7, "", (Input!$CF$5 + Input!$CF$6*(FLOOR((Calculations!$F108-1)/(FLOOR((Input!$CF$12-Input!$CF$10)/Input!$CF$11,1)+1),1)))*1000)</f>
        <v>35000</v>
      </c>
      <c r="J108" s="1">
        <f>IF(Calculations!I108 = "", "", Input!$CF$10 + Input!$CF$11*(Calculations!$F108-1) - (FLOOR((Input!$CF$12-Input!$CF$10)/Input!$CF$11,1)+1)*Input!$CF$11*FLOOR((Calculations!$F108-1)/(FLOOR((Input!$CF$12-Input!$CF$10)/Input!$CF$11,1)+1),1))</f>
        <v>900</v>
      </c>
      <c r="K108" s="8" t="str">
        <f t="shared" si="33"/>
        <v/>
      </c>
      <c r="L108" s="117" t="str">
        <f>IF(OR(Input!$CJ$5 + Input!$CJ$6*(Calculations!F108-1) &gt; Input!$CJ$7, Input!$CJ$5 + Input!$CJ$6*(Calculations!F108-1) &gt; 350), "", Input!$CJ$5 + Input!$CJ$6*(Calculations!F108-1))</f>
        <v/>
      </c>
      <c r="M108" s="1">
        <f t="shared" si="23"/>
        <v>35000</v>
      </c>
      <c r="N108" s="1">
        <f t="shared" si="24"/>
        <v>900</v>
      </c>
      <c r="O108" s="1">
        <f t="shared" si="34"/>
        <v>1173.1500000000001</v>
      </c>
      <c r="P108" s="1" t="e">
        <f>IF(OR($D$20=3,AND($D$21=TRUE,M108&lt;1000)),INDEX('Water Density'!$C$6:$CX$120,MATCH(Calculations!N108,'Water Density'!$B$6:$B$120),MATCH(Calculations!M108/1000,'Water Density'!$C$5:$CX$5)),NA())</f>
        <v>#N/A</v>
      </c>
      <c r="Q108" s="182">
        <f>IF(OR($D$20=3,AND($D$21=TRUE,M108&lt;1000)), IF(P108&lt;&gt;0,P108,NA()), calculateDensity(M108,N108,$D$20,0.01,$D$19 = 3))</f>
        <v>1.1979065765357015</v>
      </c>
      <c r="R108" s="1" t="e">
        <f>IF($D$22=5,INDEX('Dielectric Constant'!$C$6:$CX$120,MATCH(Calculations!N108,'Dielectric Constant'!$B$6:$B$120),MATCH(Calculations!M108/1000,'Dielectric Constant'!$C$5:$CX$5)),NA())</f>
        <v>#N/A</v>
      </c>
      <c r="S108" s="58">
        <f>IF($D$22=5, IF(R108&lt;&gt;0,R108,NA()), IF(AND($D$23,M108&lt;=5000,$D$19 &lt;&gt; 3),calculateEpsilon(Q108,N108,1,FALSE),calculateEpsilon(Q108,N108,$D$22,$D$19 = 3)))</f>
        <v>17.520846361124445</v>
      </c>
      <c r="T108" s="1" t="e">
        <f>IF($D$24=3,INDEX('Water Free Energy'!$C$6:$CX$120,MATCH(Calculations!N108,'Water Free Energy'!$B$6:$B$120),MATCH(Calculations!M108/1000,'Water Free Energy'!$C$5:$CX$5)),NA())</f>
        <v>#N/A</v>
      </c>
      <c r="U108" s="179">
        <f>IF($D$27,calculateQ(M108,N108,Q108,$D$20,$D$22,$D$19=3)*10^6,NA())</f>
        <v>0.3159357374243017</v>
      </c>
      <c r="V108"/>
      <c r="W108" s="2">
        <f t="shared" si="25"/>
        <v>35000</v>
      </c>
      <c r="X108" s="1">
        <f t="shared" si="26"/>
        <v>900</v>
      </c>
      <c r="Y108" s="1">
        <f>Results!F110</f>
        <v>0</v>
      </c>
      <c r="Z108" s="1">
        <f>Results!G110</f>
        <v>0</v>
      </c>
      <c r="AA108" s="1">
        <f>Results!H110</f>
        <v>0</v>
      </c>
      <c r="AB108" s="1">
        <f>Results!I110</f>
        <v>0</v>
      </c>
      <c r="AC108" s="1" t="e">
        <f>IF(ISBLANK(Input!$O$4),NA(),'Reaction Information'!$E$5-'Reaction Information'!$G$5*(Calculations!$O108-Calculations!$C$8)+'Reaction Information'!$I$5*(Calculations!$O108-Calculations!$C$8-Calculations!$O108*LN(Calculations!$O108/Calculations!$C$8))+'Reaction Information'!$J$5*0.001/2*(2*Calculations!$O108*Calculations!$C$8-Calculations!$O108^2-Calculations!$C$8^2) + 'Reaction Information'!$K$5*100000*(Calculations!$O108^2 + Calculations!$C$8^2 - 2*Calculations!$O108*Calculations!$C$8)/(2*Calculations!$O108*Calculations!$C$8^2))</f>
        <v>#N/A</v>
      </c>
      <c r="AD108" s="8" t="e">
        <f>IF(ISBLANK(Input!$R$4),NA(),'Reaction Information'!$E$9-'Reaction Information'!$G$9*(Calculations!$O108-Calculations!$C$8)+'Reaction Information'!$I$9*(Calculations!$O108-Calculations!$C$8-Calculations!$O108*LN(Calculations!$O108/Calculations!$C$8))+'Reaction Information'!$J$9*0.001/2*(2*Calculations!$O108*Calculations!$C$8-Calculations!$O108^2-Calculations!$C$8^2) + 'Reaction Information'!$K$9*100000*(Calculations!$O108^2 + Calculations!$C$8^2 - 2*Calculations!$O108*Calculations!$C$8)/(2*Calculations!$O108*Calculations!$C$8^2))</f>
        <v>#N/A</v>
      </c>
      <c r="AE108" s="8">
        <f>IF(AE$5="H2O",IF($D$24=3,IF(T108=0,NA(),T108),calculateGibbsOfWater(M108,N108,$D$24,$D$20,$D$19=3)),NA())</f>
        <v>-67099.892125431114</v>
      </c>
      <c r="AF108" s="8">
        <f>IF(ISBLANK(Input!$X$4),NA(),'Reaction Information'!$E$13-'Reaction Information'!$G$13*(Calculations!O108-Calculations!$C$8)-'Reaction Information'!$N$13*(Calculations!O108*LN(Calculations!O108/Calculations!$C$8)-Calculations!O108+Calculations!$C$8)-'Reaction Information'!$O$13*10^4*(((1/(Calculations!O108-Calculations!$C$13))-(1/(Calculations!$C$8-Calculations!$C$13)))*((Calculations!$C$13-Calculations!O108)/(Calculations!$C$13))-(Calculations!O108/(Calculations!$C$13*Calculations!$C$13))*LN((Calculations!$C$8*(Calculations!O108-Calculations!$C$13))/(Calculations!O108*(Calculations!$C$8-Calculations!$C$13))))+'Reaction Information'!$J$13*10^-1*(Calculations!M108-Calculations!$C$9)+'Reaction Information'!$K$13*10^2*LN((Calculations!$C$12+Calculations!M108)/(Calculations!$C$12+Calculations!$C$9))+(1/(Calculations!O108-Calculations!$C$13))*('Reaction Information'!$L$13*(Calculations!M108-Calculations!$C$9)+'Reaction Information'!$M$13*10^4*LN((Calculations!$C$12+Calculations!M108)/(Calculations!$C$12+Calculations!$C$9)))+calculateOmega(Calculations!M108,Calculations!N108,Calculations!Q108,'Reaction Information'!$C$13,'Reaction Information'!$P$13*10^5,'Reaction Information'!$Q$13)*((1/Calculations!S108)-1)-'Reaction Information'!$P$13*10^5*((1/Calculations!$C$10)-1)+'Reaction Information'!$P$13*10^5*Calculations!$C$14*(Calculations!O108-Calculations!$C$8))</f>
        <v>-104470.14645387986</v>
      </c>
      <c r="AG108" s="8" t="e">
        <f>IF(ISBLANK(Input!$AA$4),NA(),'Reaction Information'!$E$17-'Reaction Information'!$G$17*(Calculations!$O108-Calculations!$C$8)-'Reaction Information'!$N$17*(Calculations!$O108*LN(Calculations!$O108/Calculations!$C$8)-Calculations!$O108+Calculations!$C$8)-'Reaction Information'!$O$17*10^4*(((1/(Calculations!$O108-Calculations!$C$13))-(1/(Calculations!$C$8-Calculations!$C$13)))*((Calculations!$C$13-Calculations!$O108)/(Calculations!$C$13))-(Calculations!$O108/(Calculations!$C$13*Calculations!$C$13))*LN((Calculations!$C$8*(Calculations!$O108-Calculations!$C$13))/(Calculations!$O108*(Calculations!$C$8-Calculations!$C$13))))+'Reaction Information'!$J$17*10^-1*(Calculations!$M108-Calculations!$C$9)+'Reaction Information'!$K$17*10^2*LN((Calculations!$C$12+Calculations!$M108)/(Calculations!$C$12+Calculations!$C$9))+(1/(Calculations!$O108-Calculations!$C$13))*('Reaction Information'!$L$17*(Calculations!$M108-Calculations!$C$9)+'Reaction Information'!$M$17*10^4*LN((Calculations!$C$12+Calculations!$M108)/(Calculations!$C$12+Calculations!$C$9)))+calculateOmega(Calculations!M108,Calculations!N108,Calculations!Q108,'Reaction Information'!$C$17,'Reaction Information'!$P$17*10^5,'Reaction Information'!$Q$17)*((1/Calculations!$S108)-1)-'Reaction Information'!$P$17*10^5*((1/Calculations!$C$10)-1)+'Reaction Information'!$P$17*10^5*Calculations!$C$14*(Calculations!$O108-Calculations!$C$8))</f>
        <v>#N/A</v>
      </c>
      <c r="AH108" s="8" t="e">
        <f>IF(ISBLANK(Input!$AD$4),NA(),'Reaction Information'!$E$21-'Reaction Information'!$G$21*(Calculations!$O108-Calculations!$C$8)-'Reaction Information'!$N$21*(Calculations!$O108*LN(Calculations!$O108/Calculations!$C$8)-Calculations!$O108+Calculations!$C$8)-'Reaction Information'!$O$21*10^4*(((1/(Calculations!$O108-Calculations!$C$13))-(1/(Calculations!$C$8-Calculations!$C$13)))*((Calculations!$C$13-Calculations!$O108)/(Calculations!$C$13))-(Calculations!$O108/(Calculations!$C$13*Calculations!$C$13))*LN((Calculations!$C$8*(Calculations!$O108-Calculations!$C$13))/(Calculations!$O108*(Calculations!$C$8-Calculations!$C$13))))+'Reaction Information'!$J$21*10^-1*(Calculations!$M108-Calculations!$C$9)+'Reaction Information'!$K$21*10^2*LN((Calculations!$C$12+Calculations!$M108)/(Calculations!$C$12+Calculations!$C$9))+(1/(Calculations!$O108-Calculations!$C$13))*('Reaction Information'!$L$21*(Calculations!$M108-Calculations!$C$9)+'Reaction Information'!$M$21*10^4*LN((Calculations!$C$12+Calculations!$M108)/(Calculations!$C$12+Calculations!$C$9)))+calculateOmega(Calculations!M108,Calculations!N108,Calculations!Q108,'Reaction Information'!$C$21,'Reaction Information'!$P$21*10^5,'Reaction Information'!$Q$21)*((1/Calculations!$S108)-1)-'Reaction Information'!$P$21*10^5*((1/Calculations!$C$10)-1)+'Reaction Information'!$P$21*10^5*Calculations!$C$14*(Calculations!$O108-Calculations!$C$8))</f>
        <v>#N/A</v>
      </c>
      <c r="AI108" s="8" t="e">
        <f>IF(ISBLANK(Input!$AG$4),NA(),'Reaction Information'!$E$25-'Reaction Information'!$G$25*(Calculations!$O108-Calculations!$C$8)-'Reaction Information'!$N$25*(Calculations!$O108*LN(Calculations!$O108/Calculations!$C$8)-Calculations!$O108+Calculations!$C$8)-'Reaction Information'!$O$25*10^4*(((1/(Calculations!$O108-Calculations!$C$13))-(1/(Calculations!$C$8-Calculations!$C$13)))*((Calculations!$C$13-Calculations!$O108)/(Calculations!$C$13))-(Calculations!$O108/(Calculations!$C$13*Calculations!$C$13))*LN((Calculations!$C$8*(Calculations!$O108-Calculations!$C$13))/(Calculations!$O108*(Calculations!$C$8-Calculations!$C$13))))+'Reaction Information'!$J$25*10^-1*(Calculations!$M108-Calculations!$C$9)+'Reaction Information'!$K$25*10^2*LN((Calculations!$C$12+Calculations!$M108)/(Calculations!$C$12+Calculations!$C$9))+(1/(Calculations!$O108-Calculations!$C$13))*('Reaction Information'!$L$25*(Calculations!$M108-Calculations!$C$9)+'Reaction Information'!$M$25*10^4*LN((Calculations!$C$12+Calculations!$M108)/(Calculations!$C$12+Calculations!$C$9)))+calculateOmega(Calculations!M108,Calculations!N108,Calculations!Q108,'Reaction Information'!$C$25,'Reaction Information'!$P$25*10^5,'Reaction Information'!$Q$25)*((1/Calculations!$S108)-1)-'Reaction Information'!$P$25*10^5*((1/Calculations!$C$10)-1)+'Reaction Information'!$P$25*10^5*Calculations!$C$14*(Calculations!$O108-Calculations!$C$8))</f>
        <v>#N/A</v>
      </c>
      <c r="AJ108" s="8" t="e">
        <f>IF(ISBLANK(Input!$AJ$4),NA(),'Reaction Information'!$E$29-'Reaction Information'!$G$29*(Calculations!$O108-Calculations!$C$8)-'Reaction Information'!$N$29*(Calculations!$O108*LN(Calculations!$O108/Calculations!$C$8)-Calculations!$O108+Calculations!$C$8)-'Reaction Information'!$O$29*10^4*(((1/(Calculations!$O108-Calculations!$C$13))-(1/(Calculations!$C$8-Calculations!$C$13)))*((Calculations!$C$13-Calculations!$O108)/(Calculations!$C$13))-(Calculations!$O108/(Calculations!$C$13*Calculations!$C$13))*LN((Calculations!$C$8*(Calculations!$O108-Calculations!$C$13))/(Calculations!$O108*(Calculations!$C$8-Calculations!$C$13))))+'Reaction Information'!$J$29*10^-1*(Calculations!$M108-Calculations!$C$9)+'Reaction Information'!$K$29*10^2*LN((Calculations!$C$12+Calculations!$M108)/(Calculations!$C$12+Calculations!$C$9))+(1/(Calculations!$O108-Calculations!$C$13))*('Reaction Information'!$L$29*(Calculations!$M108-Calculations!$C$9)+'Reaction Information'!$M$29*10^4*LN((Calculations!$C$12+Calculations!$M108)/(Calculations!$C$12+Calculations!$C$9)))+calculateOmega(Calculations!M108,Calculations!N108,Calculations!Q108,'Reaction Information'!$C$29,'Reaction Information'!$P$29*10^5,'Reaction Information'!$Q$29)*((1/Calculations!$S108)-1)-'Reaction Information'!$P$29*10^5*((1/Calculations!$C$10)-1)+'Reaction Information'!$P$29*10^5*Calculations!$C$14*(Calculations!$O108-Calculations!$C$8))</f>
        <v>#N/A</v>
      </c>
      <c r="AK108" s="8" t="e">
        <f>IF(ISBLANK(Input!$AM$4),NA(),'Reaction Information'!$E$33-'Reaction Information'!$G$33*(Calculations!$O108-Calculations!$C$8)-'Reaction Information'!$N$33*(Calculations!$O108*LN(Calculations!$O108/Calculations!$C$8)-Calculations!$O108+Calculations!$C$8)-'Reaction Information'!$O$33*10^4*(((1/(Calculations!$O108-Calculations!$C$13))-(1/(Calculations!$C$8-Calculations!$C$13)))*((Calculations!$C$13-Calculations!$O108)/(Calculations!$C$13))-(Calculations!$O108/(Calculations!$C$13*Calculations!$C$13))*LN((Calculations!$C$8*(Calculations!$O108-Calculations!$C$13))/(Calculations!$O108*(Calculations!$C$8-Calculations!$C$13))))+'Reaction Information'!$J$33*10^-1*(Calculations!$M108-Calculations!$C$9)+'Reaction Information'!$K$33*10^2*LN((Calculations!$C$12+Calculations!$M108)/(Calculations!$C$12+Calculations!$C$9))+(1/(Calculations!$O108-Calculations!$C$13))*('Reaction Information'!$L$33*(Calculations!$M108-Calculations!$C$9)+'Reaction Information'!$M$33*10^4*LN((Calculations!$C$12+Calculations!$M108)/(Calculations!$C$12+Calculations!$C$9)))+calculateOmega(Calculations!M108,Calculations!N108,Calculations!Q108,'Reaction Information'!$C$33,'Reaction Information'!$P$33*10^5,'Reaction Information'!$Q$33)*((1/Calculations!$S108)-1)-'Reaction Information'!$P$33*10^5*((1/Calculations!$C$10)-1)+'Reaction Information'!$P$33*10^5*Calculations!$C$14*(Calculations!$O108-Calculations!$C$8))</f>
        <v>#N/A</v>
      </c>
      <c r="AL108" s="1">
        <f>Results!S110</f>
        <v>0</v>
      </c>
      <c r="AM108" s="1">
        <f>Results!T110</f>
        <v>0</v>
      </c>
      <c r="AN108" s="1">
        <f>Results!U110</f>
        <v>0</v>
      </c>
      <c r="AO108" s="1">
        <f>Results!V110</f>
        <v>0</v>
      </c>
      <c r="AP108" s="8" t="e">
        <f>IF(ISBLANK(Input!$BB$4),NA(),'Reaction Information'!$E$38-'Reaction Information'!$G$38*(Calculations!$O108-Calculations!$C$8)+'Reaction Information'!$I$38*(Calculations!$O108-Calculations!$C$8-Calculations!$O108*LN(Calculations!$O108/Calculations!$C$8))+'Reaction Information'!$J$38*0.001/2*(2*Calculations!$O108*Calculations!$C$8-Calculations!$O108^2-Calculations!$C$8^2) + 'Reaction Information'!$K$38*100000*(Calculations!$O108^2 + Calculations!$C$8^2 - 2*Calculations!$O108*Calculations!$C$8)/(2*Calculations!$O108*Calculations!$C$8^2))</f>
        <v>#N/A</v>
      </c>
      <c r="AQ108" s="8" t="e">
        <f>IF(ISBLANK(Input!$BE$4),NA(),'Reaction Information'!$E$42-'Reaction Information'!$G$42*(Calculations!$O108-Calculations!$C$8)+'Reaction Information'!$I$42*(Calculations!$O108-Calculations!$C$8-Calculations!$O108*LN(Calculations!$O108/Calculations!$C$8))+'Reaction Information'!$J$42*0.001/2*(2*Calculations!$O108*Calculations!$C$8-Calculations!$O108^2-Calculations!$C$8^2) + 'Reaction Information'!$K$42*100000*(Calculations!$O108^2 + Calculations!$C$8^2 - 2*Calculations!$O108*Calculations!$C$8)/(2*Calculations!$O108*Calculations!$C$8^2))</f>
        <v>#N/A</v>
      </c>
      <c r="AR108" s="8" t="e">
        <f>IF(AR$5="H2O", IF($D$24=3,IF(T108=0,NA(),T108),calculateGibbsOfWater(M108,N108,$D$24,$D$20,$D$19=3)),NA())</f>
        <v>#N/A</v>
      </c>
      <c r="AS108" s="8">
        <f>IF(ISBLANK(Input!$BK$4),NA(),'Reaction Information'!$E$46-'Reaction Information'!$G$46*(Calculations!O108-Calculations!$C$8)-'Reaction Information'!$N$46*(Calculations!O108*LN(Calculations!O108/Calculations!$C$8)-Calculations!O108+Calculations!$C$8)-'Reaction Information'!$O$46*10^4*(((1/(Calculations!O108-Calculations!$C$13))-(1/(Calculations!$C$8-Calculations!$C$13)))*((Calculations!$C$13-Calculations!O108)/(Calculations!$C$13))-(Calculations!O108/(Calculations!$C$13*Calculations!$C$13))*LN((Calculations!$C$8*(Calculations!O108-Calculations!$C$13))/(Calculations!O108*(Calculations!$C$8-Calculations!$C$13))))+'Reaction Information'!$J$46*10^-1*(Calculations!$M108-Calculations!$C$9)+'Reaction Information'!$K$46*10^2*LN((Calculations!$C$12+Calculations!$M108)/(Calculations!$C$12+Calculations!$C$9))+(1/(Calculations!O108-Calculations!$C$13))*('Reaction Information'!$L$46*(Calculations!$M108-Calculations!$C$9)+'Reaction Information'!$M$46*10^4*LN((Calculations!$C$12+Calculations!$M108)/(Calculations!$C$12+Calculations!$C$9)))+calculateOmega(Calculations!M108,Calculations!N108,Calculations!Q108,'Reaction Information'!$C$46,'Reaction Information'!$P$46*10^5,'Reaction Information'!$Q$46)*((1/Calculations!S108)-1)-'Reaction Information'!$P$46*10^5*((1/Calculations!$C$10)-1)+'Reaction Information'!$P$46*10^5*Calculations!$C$14*(Calculations!O108-Calculations!$C$8))</f>
        <v>0</v>
      </c>
      <c r="AT108" s="8">
        <f>IF(ISBLANK(Input!$BN$4),NA(),'Reaction Information'!$E$50-'Reaction Information'!$G$50*(Calculations!O108-Calculations!$C$8)-'Reaction Information'!$N$50*(Calculations!O108*LN(Calculations!O108/Calculations!$C$8)-Calculations!O108+Calculations!$C$8)-'Reaction Information'!$O$50*10^4*(((1/(Calculations!O108-Calculations!$C$13))-(1/(Calculations!$C$8-Calculations!$C$13)))*((Calculations!$C$13-Calculations!O108)/(Calculations!$C$13))-(Calculations!O108/(Calculations!$C$13*Calculations!$C$13))*LN((Calculations!$C$8*(Calculations!O108-Calculations!$C$13))/(Calculations!O108*(Calculations!$C$8-Calculations!$C$13))))+'Reaction Information'!$J$50*10^-1*(Calculations!$M108-Calculations!$C$9)+'Reaction Information'!$K$50*10^2*LN((Calculations!$C$12+Calculations!$M108)/(Calculations!$C$12+Calculations!$C$9))+(1/(Calculations!O108-Calculations!$C$13))*('Reaction Information'!$L$50*(Calculations!$M108-Calculations!$C$9)+'Reaction Information'!$M$50*10^4*LN((Calculations!$C$12+Calculations!$M108)/(Calculations!$C$12+Calculations!$C$9)))+calculateOmega(Calculations!M108,Calculations!N108,Calculations!Q108,'Reaction Information'!$C$50,'Reaction Information'!$P$50*10^5,'Reaction Information'!$Q$50)*((1/Calculations!S108)-1)-'Reaction Information'!$P$50*10^5*((1/Calculations!$C$10)-1)+'Reaction Information'!$P$50*10^5*Calculations!$C$14*(Calculations!O108-Calculations!$C$8))</f>
        <v>-141753.17022379307</v>
      </c>
      <c r="AU108" s="8" t="e">
        <f>IF(ISBLANK(Input!$BQ$4),NA(),'Reaction Information'!$E$54-'Reaction Information'!$G$54*(Calculations!$O108-Calculations!$C$8)-'Reaction Information'!$N$54*(Calculations!$O108*LN(Calculations!$O108/Calculations!$C$8)-Calculations!$O108+Calculations!$C$8)-'Reaction Information'!$O$54*10^4*(((1/(Calculations!$O108-Calculations!$C$13))-(1/(Calculations!$C$8-Calculations!$C$13)))*((Calculations!$C$13-Calculations!$O108)/(Calculations!$C$13))-(Calculations!$O108/(Calculations!$C$13*Calculations!$C$13))*LN((Calculations!$C$8*(Calculations!$O108-Calculations!$C$13))/(Calculations!$O108*(Calculations!$C$8-Calculations!$C$13))))+'Reaction Information'!$J$54*10^-1*(Calculations!$M108-Calculations!$C$9)+'Reaction Information'!$K$54*10^2*LN((Calculations!$C$12+Calculations!$M108)/(Calculations!$C$12+Calculations!$C$9))+(1/(Calculations!$O108-Calculations!$C$13))*('Reaction Information'!$L$54*(Calculations!$M108-Calculations!$C$9)+'Reaction Information'!$M$54*10^4*LN((Calculations!$C$12+Calculations!$M108)/(Calculations!$C$12+Calculations!$C$9)))+calculateOmega(Calculations!M108,Calculations!N108,Calculations!Q108,'Reaction Information'!$C$54,'Reaction Information'!$P$54*10^5,'Reaction Information'!$Q$54)*((1/Calculations!$S108)-1)-'Reaction Information'!$P$54*10^5*((1/Calculations!$C$10)-1)+'Reaction Information'!$P$54*10^5*Calculations!$C$14*(Calculations!$O108-Calculations!$C$8))</f>
        <v>#N/A</v>
      </c>
      <c r="AV108" s="8" t="e">
        <f>IF(ISBLANK(Input!$BT$4),NA(),'Reaction Information'!$E$58-'Reaction Information'!$G$58*(Calculations!$O108-Calculations!$C$8)-'Reaction Information'!$N$58*(Calculations!$O108*LN(Calculations!$O108/Calculations!$C$8)-Calculations!$O108+Calculations!$C$8)-'Reaction Information'!$O$58*10^4*(((1/(Calculations!$O108-Calculations!$C$13))-(1/(Calculations!$C$8-Calculations!$C$13)))*((Calculations!$C$13-Calculations!$O108)/(Calculations!$C$13))-(Calculations!$O108/(Calculations!$C$13*Calculations!$C$13))*LN((Calculations!$C$8*(Calculations!$O108-Calculations!$C$13))/(Calculations!$O108*(Calculations!$C$8-Calculations!$C$13))))+'Reaction Information'!$J$58*10^-1*(Calculations!$M108-Calculations!$C$9)+'Reaction Information'!$K$58*10^2*LN((Calculations!$C$12+Calculations!$M108)/(Calculations!$C$12+Calculations!$C$9))+(1/(Calculations!$O108-Calculations!$C$13))*('Reaction Information'!$L$58*(Calculations!$M108-Calculations!$C$9)+'Reaction Information'!$M$58*10^4*LN((Calculations!$C$12+Calculations!$M108)/(Calculations!$C$12+Calculations!$C$9)))+calculateOmega(Calculations!M108,Calculations!N108,Calculations!Q108,'Reaction Information'!$C$58,'Reaction Information'!$P$58*10^5,'Reaction Information'!$Q$58)*((1/Calculations!$S108)-1)-'Reaction Information'!$P$58*10^5*((1/Calculations!$C$10)-1)+'Reaction Information'!$P$58*10^5*Calculations!$C$14*(Calculations!$O108-Calculations!$C$8))</f>
        <v>#N/A</v>
      </c>
      <c r="AW108" s="8" t="e">
        <f>IF(ISBLANK(Input!$BW$4),NA(),'Reaction Information'!$E$62-'Reaction Information'!$G$62*(Calculations!$O108-Calculations!$C$8)-'Reaction Information'!$N$62*(Calculations!$O108*LN(Calculations!$O108/Calculations!$C$8)-Calculations!$O108+Calculations!$C$8)-'Reaction Information'!$O$62*10^4*(((1/(Calculations!$O108-Calculations!$C$13))-(1/(Calculations!$C$8-Calculations!$C$13)))*((Calculations!$C$13-Calculations!$O108)/(Calculations!$C$13))-(Calculations!$O108/(Calculations!$C$13*Calculations!$C$13))*LN((Calculations!$C$8*(Calculations!$O108-Calculations!$C$13))/(Calculations!$O108*(Calculations!$C$8-Calculations!$C$13))))+'Reaction Information'!$J$62*10^-1*(Calculations!$M108-Calculations!$C$9)+'Reaction Information'!$K$62*10^2*LN((Calculations!$C$12+Calculations!$M108)/(Calculations!$C$12+Calculations!$C$9))+(1/(Calculations!$O108-Calculations!$C$13))*('Reaction Information'!$L$62*(Calculations!$M108-Calculations!$C$9)+'Reaction Information'!$M$62*10^4*LN((Calculations!$C$12+Calculations!$M108)/(Calculations!$C$12+Calculations!$C$9)))+calculateOmega(Calculations!M108,Calculations!N108,Calculations!Q108,'Reaction Information'!$C$62,'Reaction Information'!$P$62*10^5,'Reaction Information'!$Q$62)*((1/Calculations!$S108)-1)-'Reaction Information'!$P$62*10^5*((1/Calculations!$C$10)-1)+'Reaction Information'!$P$62*10^5*Calculations!$C$14*(Calculations!$O108-Calculations!$C$8))</f>
        <v>#N/A</v>
      </c>
      <c r="AX108" s="8" t="e">
        <f>IF(ISBLANK(Input!$BZ$4),NA(),'Reaction Information'!$E$66-'Reaction Information'!$G$66*(Calculations!$O108-Calculations!$C$8)-'Reaction Information'!$N$66*(Calculations!$O108*LN(Calculations!$O108/Calculations!$C$8)-Calculations!$O108+Calculations!$C$8)-'Reaction Information'!$O$66*10^4*(((1/(Calculations!$O108-Calculations!$C$13))-(1/(Calculations!$C$8-Calculations!$C$13)))*((Calculations!$C$13-Calculations!$O108)/(Calculations!$C$13))-(Calculations!$O108/(Calculations!$C$13*Calculations!$C$13))*LN((Calculations!$C$8*(Calculations!$O108-Calculations!$C$13))/(Calculations!$O108*(Calculations!$C$8-Calculations!$C$13))))+'Reaction Information'!$J$66*10^-1*(Calculations!$M108-Calculations!$C$9)+'Reaction Information'!$K$66*10^2*LN((Calculations!$C$12+Calculations!$M108)/(Calculations!$C$12+Calculations!$C$9))+(1/(Calculations!$O108-Calculations!$C$13))*('Reaction Information'!$L$66*(Calculations!$M108-Calculations!$C$9)+'Reaction Information'!$M$66*10^4*LN((Calculations!$C$12+Calculations!$M108)/(Calculations!$C$12+Calculations!$C$9)))+calculateOmega(Calculations!M108,Calculations!N108,Calculations!Q108,'Reaction Information'!$C$66,'Reaction Information'!$P$66*10^5,'Reaction Information'!$Q$66)*((1/Calculations!$S108)-1)-'Reaction Information'!$P$66*10^5*((1/Calculations!$C$10)-1)+'Reaction Information'!$P$66*10^5*Calculations!$C$14*(Calculations!$O108-Calculations!$C$8))</f>
        <v>#N/A</v>
      </c>
      <c r="AY108" s="31">
        <f>(AL108*Input!$AO$4+AM108*Input!$AR$4+AN108*Input!$AU$4+AO108*Input!$AX$4+IF(ISNA(AP108),0,AP108*Input!$BA$4)+IF(ISNA(AQ108),0,AQ108*Input!$BD$4)+IF(ISNA(AR108),0,AR108*Input!$BG$4)+IF(ISNA(AS108),0,AS108*Input!$BJ$4)+IF(ISNA(AT108),0,AT108*Input!$BM$4)+IF(ISNA(AU108),0,AU108*Input!$BP$4)+IF(ISNA(AV108),0,AV108*Input!$BS$4)+IF(ISNA(AW108),0,AW108*Input!$BV$4)+IF(ISNA(AX108),0,AX108*Input!$BY$4))-(Y108*Input!$B$4+Z108*Input!$E$4+AA108*Input!$H$4+AB108*Input!$K$4+IF(ISNA(AC108),0,AC108*Input!$N$4)+IF(ISNA(AD108),0,AD108*Input!$Q$4)+IF(ISNA(AE108),0,AE108*Input!$T$4)+IF(ISNA(AF108),0,AF108*Input!$W$4)+IF(ISNA(AG108),0,AG108*Input!$Z$4)+IF(ISNA(AH108),0,AH108*Input!$AC$4)+IF(ISNA(AI108),0,AI108*Input!$AF$4)+IF(ISNA(AJ108),0,AJ108*Input!$AI$4)+IF(ISNA(AK108),0,AK108*Input!$AL$4))</f>
        <v>29816.868355517916</v>
      </c>
      <c r="AZ108" s="42">
        <f t="shared" si="35"/>
        <v>-5.5582791781236836</v>
      </c>
      <c r="BA108" s="1">
        <f t="shared" si="27"/>
        <v>900</v>
      </c>
      <c r="BB108" s="46">
        <f t="shared" si="28"/>
        <v>35000</v>
      </c>
      <c r="BC108" s="1"/>
      <c r="BD108" s="2">
        <f t="shared" si="29"/>
        <v>35000</v>
      </c>
      <c r="BE108" s="46">
        <f t="shared" si="30"/>
        <v>900</v>
      </c>
      <c r="BF108" s="1">
        <f>Results!AJ110</f>
        <v>0</v>
      </c>
      <c r="BG108" s="1">
        <f>Results!AK110</f>
        <v>0</v>
      </c>
      <c r="BH108" s="1">
        <f>Results!AL110</f>
        <v>0</v>
      </c>
      <c r="BI108" s="1">
        <f>Results!AM110</f>
        <v>0</v>
      </c>
      <c r="BJ108" s="1" t="e">
        <f>IF(OR(ISNA('Reaction Information'!$D$5), $N108 = "", $D$27 = FALSE, 'Reaction Information'!$D$5 = ""), NA(), 24.465)</f>
        <v>#N/A</v>
      </c>
      <c r="BK108" s="1" t="e">
        <f>IF(OR(ISNA('Reaction Information'!$D$9), $N108 = "", $D$27 = FALSE, 'Reaction Information'!$D$9 = ""), NA(), 24.465)</f>
        <v>#N/A</v>
      </c>
      <c r="BL108" s="8">
        <f t="shared" si="36"/>
        <v>15.038969109009718</v>
      </c>
      <c r="BM108" s="8">
        <f>IF(OR(ISBLANK(Input!$X$4),$D$27=FALSE),NA(),('Reaction Information'!$J$13/10+'Reaction Information'!$K$13*100/(Calculations!$C$12+Calculations!$M108)+('Reaction Information'!$L$13+'Reaction Information'!$M$13*10^4/(Calculations!$C$12+Calculations!$M108))/(Calculations!$O108-Calculations!$C$13) -calculateOmega(Calculations!$M108,Calculations!$N108,Calculations!$Q108,'Reaction Information'!$C$13,'Reaction Information'!$P$13*10^5,'Reaction Information'!$Q$13)*Calculations!$U108*10^-6 + (1/$S108 - 1)*calculate_domegadP(Calculations!$M108,Calculations!$N108,Calculations!$Q108,'Reaction Information'!$C$13,'Reaction Information'!$P$13*10^5,'Reaction Information'!$Q$13,$D$20,$D$19=3))*41.84)</f>
        <v>30.544903593311286</v>
      </c>
      <c r="BN108" s="8" t="e">
        <f>IF(OR(ISBLANK(Input!$AA$4),$D$27=FALSE),NA(),('Reaction Information'!$J$17/10+'Reaction Information'!$K$17*100/(Calculations!$C$12+Calculations!$M108)+('Reaction Information'!$L$17+'Reaction Information'!$M$17*10000/(Calculations!$C$12+Calculations!$M108))/(Calculations!$O108-Calculations!$C$13)-calculateOmega(Calculations!M108,Calculations!N108,Calculations!Q108,'Reaction Information'!$C$17,'Reaction Information'!$P$17*10^5,'Reaction Information'!$Q$17)*Calculations!$U108*10^-6 + (1/$S108 - 1)*calculate_domegadP(Calculations!M108,Calculations!N108,Calculations!Q108,'Reaction Information'!$C$17,'Reaction Information'!$P$17*10^5,'Reaction Information'!$Q$17,$D$20,$D$19=3))*41.84)</f>
        <v>#N/A</v>
      </c>
      <c r="BO108" s="8" t="e">
        <f>IF(OR(ISBLANK(Input!$AD$4),$D$27=FALSE),NA(),('Reaction Information'!$J$21/10+'Reaction Information'!$K$21*100/(Calculations!$C$12+Calculations!$M108)+('Reaction Information'!$L$21+'Reaction Information'!$M$21*10000/(Calculations!$C$12+Calculations!$M108))/(Calculations!$O108-Calculations!$C$13)-calculateOmega(Calculations!M108,Calculations!N108,Calculations!Q108,'Reaction Information'!$C$21,'Reaction Information'!$P$21*10^5,'Reaction Information'!$Q$21)*Calculations!$U108*10^-6 + (1/$S108 - 1)*calculate_domegadP(Calculations!M108,Calculations!N108,Calculations!Q108,'Reaction Information'!$C$21,'Reaction Information'!$P$21*10^5,'Reaction Information'!$Q$21,$D$20,$D$19=3))*41.84)</f>
        <v>#N/A</v>
      </c>
      <c r="BP108" s="8" t="e">
        <f>IF(OR(ISBLANK(Input!$AG$4),$D$27=FALSE),NA(),('Reaction Information'!$J$25/10+'Reaction Information'!$K$25*100/(Calculations!$C$12+Calculations!$M108)+('Reaction Information'!$L$25+'Reaction Information'!$M$25*10000/(Calculations!$C$12+Calculations!$M108))/(Calculations!$O108-Calculations!$C$13)-calculateOmega(Calculations!M108,Calculations!N108,Calculations!Q108,'Reaction Information'!$C$25,'Reaction Information'!$P$25*10^5,'Reaction Information'!$Q$25)*Calculations!$U108*10^-6 + (1/$S108 - 1)*calculate_domegadP(Calculations!M108,Calculations!N108,Calculations!Q108,'Reaction Information'!$C$25,'Reaction Information'!$P$25*10^5,'Reaction Information'!$Q$25,$D$20,$D$19=3))*41.84)</f>
        <v>#N/A</v>
      </c>
      <c r="BQ108" s="8" t="e">
        <f>IF(OR(ISBLANK(Input!$AJ$4),$D$27=FALSE),NA(),('Reaction Information'!$J$29/10+'Reaction Information'!$K$29*100/(Calculations!$C$12+Calculations!$M108)+('Reaction Information'!$L$29+'Reaction Information'!$M$29*10000/(Calculations!$C$12+Calculations!$M108))/(Calculations!$O108-Calculations!$C$13)-calculateOmega(Calculations!M108,Calculations!N108,Calculations!Q108,'Reaction Information'!$C$29,'Reaction Information'!$P$29*10^5,'Reaction Information'!$Q$29)*Calculations!$U108*10^-6 + (1/$S108 - 1)*calculate_domegadP(Calculations!M108,Calculations!N108,Calculations!Q108,'Reaction Information'!$C$29,'Reaction Information'!$P$29*10^5,'Reaction Information'!$Q$29,$D$20,$D$19=3))*41.84)</f>
        <v>#N/A</v>
      </c>
      <c r="BR108" s="8" t="e">
        <f>IF(OR(ISBLANK(Input!$AM$4),$D$27=FALSE),NA(),('Reaction Information'!$J$33/10+'Reaction Information'!$K$33*100/(Calculations!$C$12+Calculations!$M108)+('Reaction Information'!$L$33+'Reaction Information'!$M$33*10000/(Calculations!$C$12+Calculations!$M108))/(Calculations!$O108-Calculations!$C$13)-calculateOmega(Calculations!M108,Calculations!N108,Calculations!Q108,'Reaction Information'!$C$33,'Reaction Information'!$P$33*10^5,'Reaction Information'!$Q$33)*Calculations!$U108*10^-6 + (1/$S108 - 1)*calculate_domegadP(Calculations!M108,Calculations!N108,Calculations!Q108,'Reaction Information'!$C$33,'Reaction Information'!$P$33*10^5,'Reaction Information'!$Q$33,$D$20,$D$19=3))*41.84)</f>
        <v>#N/A</v>
      </c>
      <c r="BS108" s="1">
        <f>Results!AW110</f>
        <v>0</v>
      </c>
      <c r="BT108" s="1">
        <f>Results!AX110</f>
        <v>0</v>
      </c>
      <c r="BU108" s="1">
        <f>Results!AY110</f>
        <v>0</v>
      </c>
      <c r="BV108" s="1">
        <f>Results!AZ110</f>
        <v>0</v>
      </c>
      <c r="BW108" s="1" t="e">
        <f>IF(OR(ISNA('Reaction Information'!$D$38), $N108 = "", $D$27 = FALSE, 'Reaction Information'!$D$38 = ""), NA(), 24.465)</f>
        <v>#N/A</v>
      </c>
      <c r="BX108" s="1" t="e">
        <f>IF(OR(ISNA('Reaction Information'!$D$42), $N108 = "", $D$27 = FALSE, 'Reaction Information'!$D$42 = ""), NA(), 24.465)</f>
        <v>#N/A</v>
      </c>
      <c r="BY108" s="8" t="e">
        <f t="shared" si="37"/>
        <v>#N/A</v>
      </c>
      <c r="BZ108" s="8">
        <f>IF(OR(ISBLANK(Input!$BK$4),$D$27=FALSE),NA(),('Reaction Information'!$J$46/10+'Reaction Information'!$K$46*100/(Calculations!$C$12+Calculations!$M108)+('Reaction Information'!$L$46+'Reaction Information'!$M$46*10000/(Calculations!$C$12+Calculations!$M108))/(Calculations!$O108-Calculations!$C$13)-calculateOmega(Calculations!M108,Calculations!N108,Calculations!Q108,'Reaction Information'!$C$46,'Reaction Information'!$P$46*10^5,'Reaction Information'!$Q$46)*Calculations!$U108*10^-6 + (1/$S108 - 1)*calculate_domegadP(Calculations!M108,Calculations!N108,Calculations!Q108,'Reaction Information'!$C$46,'Reaction Information'!$P$46*10^5,'Reaction Information'!$Q$46,$D$20,$D$19=3))*41.84)</f>
        <v>0</v>
      </c>
      <c r="CA108" s="8">
        <f>IF(OR(ISBLANK(Input!$BN$4),$D$27=FALSE),NA(),('Reaction Information'!$J$50/10+'Reaction Information'!$K$50*100/(Calculations!$C$12+Calculations!$M108)+('Reaction Information'!$L$50+'Reaction Information'!$M$50*10000/(Calculations!$C$12+Calculations!$M108))/(Calculations!$O108-Calculations!$C$13)-calculateOmega(Calculations!M108,Calculations!N108,Calculations!Q108,'Reaction Information'!$C$50,'Reaction Information'!$P$50*10^5,'Reaction Information'!$Q$50)*Calculations!$U108*10^-6 + (1/$S108 - 1)*calculate_domegadP(Calculations!M108,Calculations!N108,Calculations!Q108,'Reaction Information'!$C$50,'Reaction Information'!$P$50*10^5,'Reaction Information'!$Q$50,$D$20,$D$19=3))*41.84)</f>
        <v>30.420190655095823</v>
      </c>
      <c r="CB108" s="8" t="e">
        <f>IF(OR(ISBLANK(Input!$BQ$4),$D$27=FALSE),NA(),('Reaction Information'!$J$54/10+'Reaction Information'!$K$54*100/(Calculations!$C$12+Calculations!$M108)+('Reaction Information'!$L$54+'Reaction Information'!$M$54*10000/(Calculations!$C$12+Calculations!$M108))/(Calculations!$O108-Calculations!$C$13)-calculateOmega(Calculations!M108,Calculations!N108,Calculations!Q108,'Reaction Information'!$C$54,'Reaction Information'!$P$54*10^5,'Reaction Information'!$Q$54)*Calculations!$U108*10^-6 + (1/$S108 - 1)*calculate_domegadP(Calculations!M108,Calculations!N108,Calculations!Q108,'Reaction Information'!$C$54,'Reaction Information'!$P$54*10^5,'Reaction Information'!$Q$54,$D$20,$D$19=3))*41.84)</f>
        <v>#N/A</v>
      </c>
      <c r="CC108" s="8" t="e">
        <f>IF(OR(ISBLANK(Input!$BT$4),$D$27=FALSE),NA(),('Reaction Information'!$J$58/10+'Reaction Information'!$K$58*100/(Calculations!$C$12+Calculations!$M108)+('Reaction Information'!$L$58+'Reaction Information'!$M$58*10000/(Calculations!$C$12+Calculations!$M108))/(Calculations!$O108-Calculations!$C$13)-calculateOmega(Calculations!M108,Calculations!N108,Calculations!Q108,'Reaction Information'!$C$58,'Reaction Information'!$P$58*10^5,'Reaction Information'!$Q$58)*Calculations!$U108*10^-6 + (1/$S108 - 1)*calculate_domegadP(Calculations!M108,Calculations!N108,Calculations!Q108,'Reaction Information'!$C$58,'Reaction Information'!$P$58*10^5,'Reaction Information'!$Q$58,$D$20,$D$19=3))*41.84)</f>
        <v>#N/A</v>
      </c>
      <c r="CD108" s="8" t="e">
        <f>IF(OR(ISBLANK(Input!$BW$4),$D$27=FALSE),NA(),('Reaction Information'!$J$62/10+'Reaction Information'!$K$62*100/(Calculations!$C$12+Calculations!$M108)+('Reaction Information'!$L$62+'Reaction Information'!$M$62*10000/(Calculations!$C$12+Calculations!$M108))/(Calculations!$O108-Calculations!$C$13)-calculateOmega(Calculations!M108,Calculations!N108,Calculations!Q108,'Reaction Information'!$C$62,'Reaction Information'!$P$62*10^5,'Reaction Information'!$Q$62)*Calculations!$U108*10^-6 + (1/$S108 - 1)*calculate_domegadP(Calculations!M108,Calculations!N108,Calculations!Q108,'Reaction Information'!$C$62,'Reaction Information'!$P$62*10^5,'Reaction Information'!$Q$62,$D$20,$D$19=3))*41.84)</f>
        <v>#N/A</v>
      </c>
      <c r="CE108" s="8" t="e">
        <f>IF(OR(ISBLANK(Input!$BZ$4),$D$27=FALSE),NA(),('Reaction Information'!$J$66/10+'Reaction Information'!$K$66*100/(Calculations!$C$12+Calculations!$M108)+('Reaction Information'!$L$66+'Reaction Information'!$M$66*10000/(Calculations!$C$12+Calculations!$M108))/(Calculations!$O108-Calculations!$C$13)-calculateOmega(Calculations!M108,Calculations!N108,Calculations!Q108,'Reaction Information'!$C$66,'Reaction Information'!$P$66*10^5,'Reaction Information'!$Q$66)*Calculations!$U108*10^-6 + (1/$S108 - 1)*calculate_domegadP(Calculations!M108,Calculations!N108,Calculations!Q108,'Reaction Information'!$C$66,'Reaction Information'!$P$66*10^5,'Reaction Information'!$Q$66,$D$20,$D$19=3))*41.84)</f>
        <v>#N/A</v>
      </c>
      <c r="CF108" s="31">
        <f>(BS108*Input!$AO$4+BT108*Input!$AR$4+BU108*Input!$AU$4+BV108*Input!$AX$4+IF(ISNA(BW108),0,BW108*Input!$BA$4)+IF(ISNA(BX108),0,BX108*Input!$BD$4)+IF(ISNA(BY108),0,BY108*Input!$BG$4)+IF(ISNA(BZ108),0,BZ108*Input!$BJ$4)+IF(ISNA(CA108),0,CA108*Input!$BM$4)+IF(ISNA(CB108),0,CB108*Input!$BP$4)+IF(ISNA(CC108),0,CC108*Input!$BS$4)+IF(ISNA(CD108),0,CD108*Input!$BV$4)+IF(ISNA(CE108),0,CE108*Input!$BY$4))-(BF108*Input!$B$4+BG108*Input!$E$4+BH108*Input!$H$4+BI108*Input!$K$4+IF(ISNA(BJ108),0,BJ108*Input!$N$4)+IF(ISNA(BK108),0,BK108*Input!$Q$4)+IF(ISNA(BL108),0,BL108*Input!$T$4)+IF(ISNA(BM108),0,BM108*Input!$W$4)+IF(ISNA(BN108),0,BN108*Input!$Z$4)+IF(ISNA(BO108),0,BO108*Input!$AC$4)+IF(ISNA(BP108),0,BP108*Input!$AF$4)+IF(ISNA(BQ108),0,BQ108*Input!$AI$4)+IF(ISNA(BR108),0,BR108*Input!$AL$4))</f>
        <v>-15.16368204722518</v>
      </c>
      <c r="CG108" s="1">
        <f t="shared" si="31"/>
        <v>900</v>
      </c>
      <c r="CH108" s="46">
        <f t="shared" si="32"/>
        <v>35000</v>
      </c>
      <c r="CI108" s="1"/>
    </row>
    <row r="109" spans="1:87" x14ac:dyDescent="0.2">
      <c r="A109" s="1"/>
      <c r="B109" s="1"/>
      <c r="C109" s="1"/>
      <c r="D109" s="1"/>
      <c r="E109" s="1"/>
      <c r="F109" s="2">
        <v>104</v>
      </c>
      <c r="G109" s="1" t="str">
        <f>IF(ISBLANK(Input!CB109), "", Input!CB109*1000)</f>
        <v/>
      </c>
      <c r="H109" s="1" t="str">
        <f>IF(ISBLANK(Input!CC109), "", Input!CC109)</f>
        <v/>
      </c>
      <c r="I109" s="1">
        <f>IF(Input!$CF$5 + Input!$CF$6*(FLOOR((Calculations!$F109-1)/(FLOOR((Input!$CF$12-Input!$CF$10)/Input!$CF$11,1)+1),1)) &gt; Input!$CF$7, "", (Input!$CF$5 + Input!$CF$6*(FLOOR((Calculations!$F109-1)/(FLOOR((Input!$CF$12-Input!$CF$10)/Input!$CF$11,1)+1),1)))*1000)</f>
        <v>35000</v>
      </c>
      <c r="J109" s="1">
        <f>IF(Calculations!I109 = "", "", Input!$CF$10 + Input!$CF$11*(Calculations!$F109-1) - (FLOOR((Input!$CF$12-Input!$CF$10)/Input!$CF$11,1)+1)*Input!$CF$11*FLOOR((Calculations!$F109-1)/(FLOOR((Input!$CF$12-Input!$CF$10)/Input!$CF$11,1)+1),1))</f>
        <v>950</v>
      </c>
      <c r="K109" s="8" t="str">
        <f t="shared" si="33"/>
        <v/>
      </c>
      <c r="L109" s="117" t="str">
        <f>IF(OR(Input!$CJ$5 + Input!$CJ$6*(Calculations!F109-1) &gt; Input!$CJ$7, Input!$CJ$5 + Input!$CJ$6*(Calculations!F109-1) &gt; 350), "", Input!$CJ$5 + Input!$CJ$6*(Calculations!F109-1))</f>
        <v/>
      </c>
      <c r="M109" s="1">
        <f t="shared" si="23"/>
        <v>35000</v>
      </c>
      <c r="N109" s="1">
        <f t="shared" si="24"/>
        <v>950</v>
      </c>
      <c r="O109" s="1">
        <f t="shared" si="34"/>
        <v>1223.1500000000001</v>
      </c>
      <c r="P109" s="1" t="e">
        <f>IF(OR($D$20=3,AND($D$21=TRUE,M109&lt;1000)),INDEX('Water Density'!$C$6:$CX$120,MATCH(Calculations!N109,'Water Density'!$B$6:$B$120),MATCH(Calculations!M109/1000,'Water Density'!$C$5:$CX$5)),NA())</f>
        <v>#N/A</v>
      </c>
      <c r="Q109" s="182">
        <f>IF(OR($D$20=3,AND($D$21=TRUE,M109&lt;1000)), IF(P109&lt;&gt;0,P109,NA()), calculateDensity(M109,N109,$D$20,0.01,$D$19 = 3))</f>
        <v>1.1849290581506491</v>
      </c>
      <c r="R109" s="1" t="e">
        <f>IF($D$22=5,INDEX('Dielectric Constant'!$C$6:$CX$120,MATCH(Calculations!N109,'Dielectric Constant'!$B$6:$B$120),MATCH(Calculations!M109/1000,'Dielectric Constant'!$C$5:$CX$5)),NA())</f>
        <v>#N/A</v>
      </c>
      <c r="S109" s="58">
        <f>IF($D$22=5, IF(R109&lt;&gt;0,R109,NA()), IF(AND($D$23,M109&lt;=5000,$D$19 &lt;&gt; 3),calculateEpsilon(Q109,N109,1,FALSE),calculateEpsilon(Q109,N109,$D$22,$D$19 = 3)))</f>
        <v>16.183557733047547</v>
      </c>
      <c r="T109" s="1" t="e">
        <f>IF($D$24=3,INDEX('Water Free Energy'!$C$6:$CX$120,MATCH(Calculations!N109,'Water Free Energy'!$B$6:$B$120),MATCH(Calculations!M109/1000,'Water Free Energy'!$C$5:$CX$5)),NA())</f>
        <v>#N/A</v>
      </c>
      <c r="U109" s="179">
        <f>IF($D$27,calculateQ(M109,N109,Q109,$D$20,$D$22,$D$19=3)*10^6,NA())</f>
        <v>0.33506809280524014</v>
      </c>
      <c r="V109"/>
      <c r="W109" s="2">
        <f t="shared" si="25"/>
        <v>35000</v>
      </c>
      <c r="X109" s="1">
        <f t="shared" si="26"/>
        <v>950</v>
      </c>
      <c r="Y109" s="1">
        <f>Results!F111</f>
        <v>0</v>
      </c>
      <c r="Z109" s="1">
        <f>Results!G111</f>
        <v>0</v>
      </c>
      <c r="AA109" s="1">
        <f>Results!H111</f>
        <v>0</v>
      </c>
      <c r="AB109" s="1">
        <f>Results!I111</f>
        <v>0</v>
      </c>
      <c r="AC109" s="1" t="e">
        <f>IF(ISBLANK(Input!$O$4),NA(),'Reaction Information'!$E$5-'Reaction Information'!$G$5*(Calculations!$O109-Calculations!$C$8)+'Reaction Information'!$I$5*(Calculations!$O109-Calculations!$C$8-Calculations!$O109*LN(Calculations!$O109/Calculations!$C$8))+'Reaction Information'!$J$5*0.001/2*(2*Calculations!$O109*Calculations!$C$8-Calculations!$O109^2-Calculations!$C$8^2) + 'Reaction Information'!$K$5*100000*(Calculations!$O109^2 + Calculations!$C$8^2 - 2*Calculations!$O109*Calculations!$C$8)/(2*Calculations!$O109*Calculations!$C$8^2))</f>
        <v>#N/A</v>
      </c>
      <c r="AD109" s="8" t="e">
        <f>IF(ISBLANK(Input!$R$4),NA(),'Reaction Information'!$E$9-'Reaction Information'!$G$9*(Calculations!$O109-Calculations!$C$8)+'Reaction Information'!$I$9*(Calculations!$O109-Calculations!$C$8-Calculations!$O109*LN(Calculations!$O109/Calculations!$C$8))+'Reaction Information'!$J$9*0.001/2*(2*Calculations!$O109*Calculations!$C$8-Calculations!$O109^2-Calculations!$C$8^2) + 'Reaction Information'!$K$9*100000*(Calculations!$O109^2 + Calculations!$C$8^2 - 2*Calculations!$O109*Calculations!$C$8)/(2*Calculations!$O109*Calculations!$C$8^2))</f>
        <v>#N/A</v>
      </c>
      <c r="AE109" s="8">
        <f>IF(AE$5="H2O",IF($D$24=3,IF(T109=0,NA(),T109),calculateGibbsOfWater(M109,N109,$D$24,$D$20,$D$19=3)),NA())</f>
        <v>-68788.281008642953</v>
      </c>
      <c r="AF109" s="8">
        <f>IF(ISBLANK(Input!$X$4),NA(),'Reaction Information'!$E$13-'Reaction Information'!$G$13*(Calculations!O109-Calculations!$C$8)-'Reaction Information'!$N$13*(Calculations!O109*LN(Calculations!O109/Calculations!$C$8)-Calculations!O109+Calculations!$C$8)-'Reaction Information'!$O$13*10^4*(((1/(Calculations!O109-Calculations!$C$13))-(1/(Calculations!$C$8-Calculations!$C$13)))*((Calculations!$C$13-Calculations!O109)/(Calculations!$C$13))-(Calculations!O109/(Calculations!$C$13*Calculations!$C$13))*LN((Calculations!$C$8*(Calculations!O109-Calculations!$C$13))/(Calculations!O109*(Calculations!$C$8-Calculations!$C$13))))+'Reaction Information'!$J$13*10^-1*(Calculations!M109-Calculations!$C$9)+'Reaction Information'!$K$13*10^2*LN((Calculations!$C$12+Calculations!M109)/(Calculations!$C$12+Calculations!$C$9))+(1/(Calculations!O109-Calculations!$C$13))*('Reaction Information'!$L$13*(Calculations!M109-Calculations!$C$9)+'Reaction Information'!$M$13*10^4*LN((Calculations!$C$12+Calculations!M109)/(Calculations!$C$12+Calculations!$C$9)))+calculateOmega(Calculations!M109,Calculations!N109,Calculations!Q109,'Reaction Information'!$C$13,'Reaction Information'!$P$13*10^5,'Reaction Information'!$Q$13)*((1/Calculations!S109)-1)-'Reaction Information'!$P$13*10^5*((1/Calculations!$C$10)-1)+'Reaction Information'!$P$13*10^5*Calculations!$C$14*(Calculations!O109-Calculations!$C$8))</f>
        <v>-107018.8185745378</v>
      </c>
      <c r="AG109" s="8" t="e">
        <f>IF(ISBLANK(Input!$AA$4),NA(),'Reaction Information'!$E$17-'Reaction Information'!$G$17*(Calculations!$O109-Calculations!$C$8)-'Reaction Information'!$N$17*(Calculations!$O109*LN(Calculations!$O109/Calculations!$C$8)-Calculations!$O109+Calculations!$C$8)-'Reaction Information'!$O$17*10^4*(((1/(Calculations!$O109-Calculations!$C$13))-(1/(Calculations!$C$8-Calculations!$C$13)))*((Calculations!$C$13-Calculations!$O109)/(Calculations!$C$13))-(Calculations!$O109/(Calculations!$C$13*Calculations!$C$13))*LN((Calculations!$C$8*(Calculations!$O109-Calculations!$C$13))/(Calculations!$O109*(Calculations!$C$8-Calculations!$C$13))))+'Reaction Information'!$J$17*10^-1*(Calculations!$M109-Calculations!$C$9)+'Reaction Information'!$K$17*10^2*LN((Calculations!$C$12+Calculations!$M109)/(Calculations!$C$12+Calculations!$C$9))+(1/(Calculations!$O109-Calculations!$C$13))*('Reaction Information'!$L$17*(Calculations!$M109-Calculations!$C$9)+'Reaction Information'!$M$17*10^4*LN((Calculations!$C$12+Calculations!$M109)/(Calculations!$C$12+Calculations!$C$9)))+calculateOmega(Calculations!M109,Calculations!N109,Calculations!Q109,'Reaction Information'!$C$17,'Reaction Information'!$P$17*10^5,'Reaction Information'!$Q$17)*((1/Calculations!$S109)-1)-'Reaction Information'!$P$17*10^5*((1/Calculations!$C$10)-1)+'Reaction Information'!$P$17*10^5*Calculations!$C$14*(Calculations!$O109-Calculations!$C$8))</f>
        <v>#N/A</v>
      </c>
      <c r="AH109" s="8" t="e">
        <f>IF(ISBLANK(Input!$AD$4),NA(),'Reaction Information'!$E$21-'Reaction Information'!$G$21*(Calculations!$O109-Calculations!$C$8)-'Reaction Information'!$N$21*(Calculations!$O109*LN(Calculations!$O109/Calculations!$C$8)-Calculations!$O109+Calculations!$C$8)-'Reaction Information'!$O$21*10^4*(((1/(Calculations!$O109-Calculations!$C$13))-(1/(Calculations!$C$8-Calculations!$C$13)))*((Calculations!$C$13-Calculations!$O109)/(Calculations!$C$13))-(Calculations!$O109/(Calculations!$C$13*Calculations!$C$13))*LN((Calculations!$C$8*(Calculations!$O109-Calculations!$C$13))/(Calculations!$O109*(Calculations!$C$8-Calculations!$C$13))))+'Reaction Information'!$J$21*10^-1*(Calculations!$M109-Calculations!$C$9)+'Reaction Information'!$K$21*10^2*LN((Calculations!$C$12+Calculations!$M109)/(Calculations!$C$12+Calculations!$C$9))+(1/(Calculations!$O109-Calculations!$C$13))*('Reaction Information'!$L$21*(Calculations!$M109-Calculations!$C$9)+'Reaction Information'!$M$21*10^4*LN((Calculations!$C$12+Calculations!$M109)/(Calculations!$C$12+Calculations!$C$9)))+calculateOmega(Calculations!M109,Calculations!N109,Calculations!Q109,'Reaction Information'!$C$21,'Reaction Information'!$P$21*10^5,'Reaction Information'!$Q$21)*((1/Calculations!$S109)-1)-'Reaction Information'!$P$21*10^5*((1/Calculations!$C$10)-1)+'Reaction Information'!$P$21*10^5*Calculations!$C$14*(Calculations!$O109-Calculations!$C$8))</f>
        <v>#N/A</v>
      </c>
      <c r="AI109" s="8" t="e">
        <f>IF(ISBLANK(Input!$AG$4),NA(),'Reaction Information'!$E$25-'Reaction Information'!$G$25*(Calculations!$O109-Calculations!$C$8)-'Reaction Information'!$N$25*(Calculations!$O109*LN(Calculations!$O109/Calculations!$C$8)-Calculations!$O109+Calculations!$C$8)-'Reaction Information'!$O$25*10^4*(((1/(Calculations!$O109-Calculations!$C$13))-(1/(Calculations!$C$8-Calculations!$C$13)))*((Calculations!$C$13-Calculations!$O109)/(Calculations!$C$13))-(Calculations!$O109/(Calculations!$C$13*Calculations!$C$13))*LN((Calculations!$C$8*(Calculations!$O109-Calculations!$C$13))/(Calculations!$O109*(Calculations!$C$8-Calculations!$C$13))))+'Reaction Information'!$J$25*10^-1*(Calculations!$M109-Calculations!$C$9)+'Reaction Information'!$K$25*10^2*LN((Calculations!$C$12+Calculations!$M109)/(Calculations!$C$12+Calculations!$C$9))+(1/(Calculations!$O109-Calculations!$C$13))*('Reaction Information'!$L$25*(Calculations!$M109-Calculations!$C$9)+'Reaction Information'!$M$25*10^4*LN((Calculations!$C$12+Calculations!$M109)/(Calculations!$C$12+Calculations!$C$9)))+calculateOmega(Calculations!M109,Calculations!N109,Calculations!Q109,'Reaction Information'!$C$25,'Reaction Information'!$P$25*10^5,'Reaction Information'!$Q$25)*((1/Calculations!$S109)-1)-'Reaction Information'!$P$25*10^5*((1/Calculations!$C$10)-1)+'Reaction Information'!$P$25*10^5*Calculations!$C$14*(Calculations!$O109-Calculations!$C$8))</f>
        <v>#N/A</v>
      </c>
      <c r="AJ109" s="8" t="e">
        <f>IF(ISBLANK(Input!$AJ$4),NA(),'Reaction Information'!$E$29-'Reaction Information'!$G$29*(Calculations!$O109-Calculations!$C$8)-'Reaction Information'!$N$29*(Calculations!$O109*LN(Calculations!$O109/Calculations!$C$8)-Calculations!$O109+Calculations!$C$8)-'Reaction Information'!$O$29*10^4*(((1/(Calculations!$O109-Calculations!$C$13))-(1/(Calculations!$C$8-Calculations!$C$13)))*((Calculations!$C$13-Calculations!$O109)/(Calculations!$C$13))-(Calculations!$O109/(Calculations!$C$13*Calculations!$C$13))*LN((Calculations!$C$8*(Calculations!$O109-Calculations!$C$13))/(Calculations!$O109*(Calculations!$C$8-Calculations!$C$13))))+'Reaction Information'!$J$29*10^-1*(Calculations!$M109-Calculations!$C$9)+'Reaction Information'!$K$29*10^2*LN((Calculations!$C$12+Calculations!$M109)/(Calculations!$C$12+Calculations!$C$9))+(1/(Calculations!$O109-Calculations!$C$13))*('Reaction Information'!$L$29*(Calculations!$M109-Calculations!$C$9)+'Reaction Information'!$M$29*10^4*LN((Calculations!$C$12+Calculations!$M109)/(Calculations!$C$12+Calculations!$C$9)))+calculateOmega(Calculations!M109,Calculations!N109,Calculations!Q109,'Reaction Information'!$C$29,'Reaction Information'!$P$29*10^5,'Reaction Information'!$Q$29)*((1/Calculations!$S109)-1)-'Reaction Information'!$P$29*10^5*((1/Calculations!$C$10)-1)+'Reaction Information'!$P$29*10^5*Calculations!$C$14*(Calculations!$O109-Calculations!$C$8))</f>
        <v>#N/A</v>
      </c>
      <c r="AK109" s="8" t="e">
        <f>IF(ISBLANK(Input!$AM$4),NA(),'Reaction Information'!$E$33-'Reaction Information'!$G$33*(Calculations!$O109-Calculations!$C$8)-'Reaction Information'!$N$33*(Calculations!$O109*LN(Calculations!$O109/Calculations!$C$8)-Calculations!$O109+Calculations!$C$8)-'Reaction Information'!$O$33*10^4*(((1/(Calculations!$O109-Calculations!$C$13))-(1/(Calculations!$C$8-Calculations!$C$13)))*((Calculations!$C$13-Calculations!$O109)/(Calculations!$C$13))-(Calculations!$O109/(Calculations!$C$13*Calculations!$C$13))*LN((Calculations!$C$8*(Calculations!$O109-Calculations!$C$13))/(Calculations!$O109*(Calculations!$C$8-Calculations!$C$13))))+'Reaction Information'!$J$33*10^-1*(Calculations!$M109-Calculations!$C$9)+'Reaction Information'!$K$33*10^2*LN((Calculations!$C$12+Calculations!$M109)/(Calculations!$C$12+Calculations!$C$9))+(1/(Calculations!$O109-Calculations!$C$13))*('Reaction Information'!$L$33*(Calculations!$M109-Calculations!$C$9)+'Reaction Information'!$M$33*10^4*LN((Calculations!$C$12+Calculations!$M109)/(Calculations!$C$12+Calculations!$C$9)))+calculateOmega(Calculations!M109,Calculations!N109,Calculations!Q109,'Reaction Information'!$C$33,'Reaction Information'!$P$33*10^5,'Reaction Information'!$Q$33)*((1/Calculations!$S109)-1)-'Reaction Information'!$P$33*10^5*((1/Calculations!$C$10)-1)+'Reaction Information'!$P$33*10^5*Calculations!$C$14*(Calculations!$O109-Calculations!$C$8))</f>
        <v>#N/A</v>
      </c>
      <c r="AL109" s="1">
        <f>Results!S111</f>
        <v>0</v>
      </c>
      <c r="AM109" s="1">
        <f>Results!T111</f>
        <v>0</v>
      </c>
      <c r="AN109" s="1">
        <f>Results!U111</f>
        <v>0</v>
      </c>
      <c r="AO109" s="1">
        <f>Results!V111</f>
        <v>0</v>
      </c>
      <c r="AP109" s="8" t="e">
        <f>IF(ISBLANK(Input!$BB$4),NA(),'Reaction Information'!$E$38-'Reaction Information'!$G$38*(Calculations!$O109-Calculations!$C$8)+'Reaction Information'!$I$38*(Calculations!$O109-Calculations!$C$8-Calculations!$O109*LN(Calculations!$O109/Calculations!$C$8))+'Reaction Information'!$J$38*0.001/2*(2*Calculations!$O109*Calculations!$C$8-Calculations!$O109^2-Calculations!$C$8^2) + 'Reaction Information'!$K$38*100000*(Calculations!$O109^2 + Calculations!$C$8^2 - 2*Calculations!$O109*Calculations!$C$8)/(2*Calculations!$O109*Calculations!$C$8^2))</f>
        <v>#N/A</v>
      </c>
      <c r="AQ109" s="8" t="e">
        <f>IF(ISBLANK(Input!$BE$4),NA(),'Reaction Information'!$E$42-'Reaction Information'!$G$42*(Calculations!$O109-Calculations!$C$8)+'Reaction Information'!$I$42*(Calculations!$O109-Calculations!$C$8-Calculations!$O109*LN(Calculations!$O109/Calculations!$C$8))+'Reaction Information'!$J$42*0.001/2*(2*Calculations!$O109*Calculations!$C$8-Calculations!$O109^2-Calculations!$C$8^2) + 'Reaction Information'!$K$42*100000*(Calculations!$O109^2 + Calculations!$C$8^2 - 2*Calculations!$O109*Calculations!$C$8)/(2*Calculations!$O109*Calculations!$C$8^2))</f>
        <v>#N/A</v>
      </c>
      <c r="AR109" s="8" t="e">
        <f>IF(AR$5="H2O", IF($D$24=3,IF(T109=0,NA(),T109),calculateGibbsOfWater(M109,N109,$D$24,$D$20,$D$19=3)),NA())</f>
        <v>#N/A</v>
      </c>
      <c r="AS109" s="8">
        <f>IF(ISBLANK(Input!$BK$4),NA(),'Reaction Information'!$E$46-'Reaction Information'!$G$46*(Calculations!O109-Calculations!$C$8)-'Reaction Information'!$N$46*(Calculations!O109*LN(Calculations!O109/Calculations!$C$8)-Calculations!O109+Calculations!$C$8)-'Reaction Information'!$O$46*10^4*(((1/(Calculations!O109-Calculations!$C$13))-(1/(Calculations!$C$8-Calculations!$C$13)))*((Calculations!$C$13-Calculations!O109)/(Calculations!$C$13))-(Calculations!O109/(Calculations!$C$13*Calculations!$C$13))*LN((Calculations!$C$8*(Calculations!O109-Calculations!$C$13))/(Calculations!O109*(Calculations!$C$8-Calculations!$C$13))))+'Reaction Information'!$J$46*10^-1*(Calculations!$M109-Calculations!$C$9)+'Reaction Information'!$K$46*10^2*LN((Calculations!$C$12+Calculations!$M109)/(Calculations!$C$12+Calculations!$C$9))+(1/(Calculations!O109-Calculations!$C$13))*('Reaction Information'!$L$46*(Calculations!$M109-Calculations!$C$9)+'Reaction Information'!$M$46*10^4*LN((Calculations!$C$12+Calculations!$M109)/(Calculations!$C$12+Calculations!$C$9)))+calculateOmega(Calculations!M109,Calculations!N109,Calculations!Q109,'Reaction Information'!$C$46,'Reaction Information'!$P$46*10^5,'Reaction Information'!$Q$46)*((1/Calculations!S109)-1)-'Reaction Information'!$P$46*10^5*((1/Calculations!$C$10)-1)+'Reaction Information'!$P$46*10^5*Calculations!$C$14*(Calculations!O109-Calculations!$C$8))</f>
        <v>0</v>
      </c>
      <c r="AT109" s="8">
        <f>IF(ISBLANK(Input!$BN$4),NA(),'Reaction Information'!$E$50-'Reaction Information'!$G$50*(Calculations!O109-Calculations!$C$8)-'Reaction Information'!$N$50*(Calculations!O109*LN(Calculations!O109/Calculations!$C$8)-Calculations!O109+Calculations!$C$8)-'Reaction Information'!$O$50*10^4*(((1/(Calculations!O109-Calculations!$C$13))-(1/(Calculations!$C$8-Calculations!$C$13)))*((Calculations!$C$13-Calculations!O109)/(Calculations!$C$13))-(Calculations!O109/(Calculations!$C$13*Calculations!$C$13))*LN((Calculations!$C$8*(Calculations!O109-Calculations!$C$13))/(Calculations!O109*(Calculations!$C$8-Calculations!$C$13))))+'Reaction Information'!$J$50*10^-1*(Calculations!$M109-Calculations!$C$9)+'Reaction Information'!$K$50*10^2*LN((Calculations!$C$12+Calculations!$M109)/(Calculations!$C$12+Calculations!$C$9))+(1/(Calculations!O109-Calculations!$C$13))*('Reaction Information'!$L$50*(Calculations!$M109-Calculations!$C$9)+'Reaction Information'!$M$50*10^4*LN((Calculations!$C$12+Calculations!$M109)/(Calculations!$C$12+Calculations!$C$9)))+calculateOmega(Calculations!M109,Calculations!N109,Calculations!Q109,'Reaction Information'!$C$50,'Reaction Information'!$P$50*10^5,'Reaction Information'!$Q$50)*((1/Calculations!S109)-1)-'Reaction Information'!$P$50*10^5*((1/Calculations!$C$10)-1)+'Reaction Information'!$P$50*10^5*Calculations!$C$14*(Calculations!O109-Calculations!$C$8))</f>
        <v>-143395.37799631202</v>
      </c>
      <c r="AU109" s="8" t="e">
        <f>IF(ISBLANK(Input!$BQ$4),NA(),'Reaction Information'!$E$54-'Reaction Information'!$G$54*(Calculations!$O109-Calculations!$C$8)-'Reaction Information'!$N$54*(Calculations!$O109*LN(Calculations!$O109/Calculations!$C$8)-Calculations!$O109+Calculations!$C$8)-'Reaction Information'!$O$54*10^4*(((1/(Calculations!$O109-Calculations!$C$13))-(1/(Calculations!$C$8-Calculations!$C$13)))*((Calculations!$C$13-Calculations!$O109)/(Calculations!$C$13))-(Calculations!$O109/(Calculations!$C$13*Calculations!$C$13))*LN((Calculations!$C$8*(Calculations!$O109-Calculations!$C$13))/(Calculations!$O109*(Calculations!$C$8-Calculations!$C$13))))+'Reaction Information'!$J$54*10^-1*(Calculations!$M109-Calculations!$C$9)+'Reaction Information'!$K$54*10^2*LN((Calculations!$C$12+Calculations!$M109)/(Calculations!$C$12+Calculations!$C$9))+(1/(Calculations!$O109-Calculations!$C$13))*('Reaction Information'!$L$54*(Calculations!$M109-Calculations!$C$9)+'Reaction Information'!$M$54*10^4*LN((Calculations!$C$12+Calculations!$M109)/(Calculations!$C$12+Calculations!$C$9)))+calculateOmega(Calculations!M109,Calculations!N109,Calculations!Q109,'Reaction Information'!$C$54,'Reaction Information'!$P$54*10^5,'Reaction Information'!$Q$54)*((1/Calculations!$S109)-1)-'Reaction Information'!$P$54*10^5*((1/Calculations!$C$10)-1)+'Reaction Information'!$P$54*10^5*Calculations!$C$14*(Calculations!$O109-Calculations!$C$8))</f>
        <v>#N/A</v>
      </c>
      <c r="AV109" s="8" t="e">
        <f>IF(ISBLANK(Input!$BT$4),NA(),'Reaction Information'!$E$58-'Reaction Information'!$G$58*(Calculations!$O109-Calculations!$C$8)-'Reaction Information'!$N$58*(Calculations!$O109*LN(Calculations!$O109/Calculations!$C$8)-Calculations!$O109+Calculations!$C$8)-'Reaction Information'!$O$58*10^4*(((1/(Calculations!$O109-Calculations!$C$13))-(1/(Calculations!$C$8-Calculations!$C$13)))*((Calculations!$C$13-Calculations!$O109)/(Calculations!$C$13))-(Calculations!$O109/(Calculations!$C$13*Calculations!$C$13))*LN((Calculations!$C$8*(Calculations!$O109-Calculations!$C$13))/(Calculations!$O109*(Calculations!$C$8-Calculations!$C$13))))+'Reaction Information'!$J$58*10^-1*(Calculations!$M109-Calculations!$C$9)+'Reaction Information'!$K$58*10^2*LN((Calculations!$C$12+Calculations!$M109)/(Calculations!$C$12+Calculations!$C$9))+(1/(Calculations!$O109-Calculations!$C$13))*('Reaction Information'!$L$58*(Calculations!$M109-Calculations!$C$9)+'Reaction Information'!$M$58*10^4*LN((Calculations!$C$12+Calculations!$M109)/(Calculations!$C$12+Calculations!$C$9)))+calculateOmega(Calculations!M109,Calculations!N109,Calculations!Q109,'Reaction Information'!$C$58,'Reaction Information'!$P$58*10^5,'Reaction Information'!$Q$58)*((1/Calculations!$S109)-1)-'Reaction Information'!$P$58*10^5*((1/Calculations!$C$10)-1)+'Reaction Information'!$P$58*10^5*Calculations!$C$14*(Calculations!$O109-Calculations!$C$8))</f>
        <v>#N/A</v>
      </c>
      <c r="AW109" s="8" t="e">
        <f>IF(ISBLANK(Input!$BW$4),NA(),'Reaction Information'!$E$62-'Reaction Information'!$G$62*(Calculations!$O109-Calculations!$C$8)-'Reaction Information'!$N$62*(Calculations!$O109*LN(Calculations!$O109/Calculations!$C$8)-Calculations!$O109+Calculations!$C$8)-'Reaction Information'!$O$62*10^4*(((1/(Calculations!$O109-Calculations!$C$13))-(1/(Calculations!$C$8-Calculations!$C$13)))*((Calculations!$C$13-Calculations!$O109)/(Calculations!$C$13))-(Calculations!$O109/(Calculations!$C$13*Calculations!$C$13))*LN((Calculations!$C$8*(Calculations!$O109-Calculations!$C$13))/(Calculations!$O109*(Calculations!$C$8-Calculations!$C$13))))+'Reaction Information'!$J$62*10^-1*(Calculations!$M109-Calculations!$C$9)+'Reaction Information'!$K$62*10^2*LN((Calculations!$C$12+Calculations!$M109)/(Calculations!$C$12+Calculations!$C$9))+(1/(Calculations!$O109-Calculations!$C$13))*('Reaction Information'!$L$62*(Calculations!$M109-Calculations!$C$9)+'Reaction Information'!$M$62*10^4*LN((Calculations!$C$12+Calculations!$M109)/(Calculations!$C$12+Calculations!$C$9)))+calculateOmega(Calculations!M109,Calculations!N109,Calculations!Q109,'Reaction Information'!$C$62,'Reaction Information'!$P$62*10^5,'Reaction Information'!$Q$62)*((1/Calculations!$S109)-1)-'Reaction Information'!$P$62*10^5*((1/Calculations!$C$10)-1)+'Reaction Information'!$P$62*10^5*Calculations!$C$14*(Calculations!$O109-Calculations!$C$8))</f>
        <v>#N/A</v>
      </c>
      <c r="AX109" s="8" t="e">
        <f>IF(ISBLANK(Input!$BZ$4),NA(),'Reaction Information'!$E$66-'Reaction Information'!$G$66*(Calculations!$O109-Calculations!$C$8)-'Reaction Information'!$N$66*(Calculations!$O109*LN(Calculations!$O109/Calculations!$C$8)-Calculations!$O109+Calculations!$C$8)-'Reaction Information'!$O$66*10^4*(((1/(Calculations!$O109-Calculations!$C$13))-(1/(Calculations!$C$8-Calculations!$C$13)))*((Calculations!$C$13-Calculations!$O109)/(Calculations!$C$13))-(Calculations!$O109/(Calculations!$C$13*Calculations!$C$13))*LN((Calculations!$C$8*(Calculations!$O109-Calculations!$C$13))/(Calculations!$O109*(Calculations!$C$8-Calculations!$C$13))))+'Reaction Information'!$J$66*10^-1*(Calculations!$M109-Calculations!$C$9)+'Reaction Information'!$K$66*10^2*LN((Calculations!$C$12+Calculations!$M109)/(Calculations!$C$12+Calculations!$C$9))+(1/(Calculations!$O109-Calculations!$C$13))*('Reaction Information'!$L$66*(Calculations!$M109-Calculations!$C$9)+'Reaction Information'!$M$66*10^4*LN((Calculations!$C$12+Calculations!$M109)/(Calculations!$C$12+Calculations!$C$9)))+calculateOmega(Calculations!M109,Calculations!N109,Calculations!Q109,'Reaction Information'!$C$66,'Reaction Information'!$P$66*10^5,'Reaction Information'!$Q$66)*((1/Calculations!$S109)-1)-'Reaction Information'!$P$66*10^5*((1/Calculations!$C$10)-1)+'Reaction Information'!$P$66*10^5*Calculations!$C$14*(Calculations!$O109-Calculations!$C$8))</f>
        <v>#N/A</v>
      </c>
      <c r="AY109" s="31">
        <f>(AL109*Input!$AO$4+AM109*Input!$AR$4+AN109*Input!$AU$4+AO109*Input!$AX$4+IF(ISNA(AP109),0,AP109*Input!$BA$4)+IF(ISNA(AQ109),0,AQ109*Input!$BD$4)+IF(ISNA(AR109),0,AR109*Input!$BG$4)+IF(ISNA(AS109),0,AS109*Input!$BJ$4)+IF(ISNA(AT109),0,AT109*Input!$BM$4)+IF(ISNA(AU109),0,AU109*Input!$BP$4)+IF(ISNA(AV109),0,AV109*Input!$BS$4)+IF(ISNA(AW109),0,AW109*Input!$BV$4)+IF(ISNA(AX109),0,AX109*Input!$BY$4))-(Y109*Input!$B$4+Z109*Input!$E$4+AA109*Input!$H$4+AB109*Input!$K$4+IF(ISNA(AC109),0,AC109*Input!$N$4)+IF(ISNA(AD109),0,AD109*Input!$Q$4)+IF(ISNA(AE109),0,AE109*Input!$T$4)+IF(ISNA(AF109),0,AF109*Input!$W$4)+IF(ISNA(AG109),0,AG109*Input!$Z$4)+IF(ISNA(AH109),0,AH109*Input!$AC$4)+IF(ISNA(AI109),0,AI109*Input!$AF$4)+IF(ISNA(AJ109),0,AJ109*Input!$AI$4)+IF(ISNA(AK109),0,AK109*Input!$AL$4))</f>
        <v>32411.72158686872</v>
      </c>
      <c r="AZ109" s="42">
        <f t="shared" si="35"/>
        <v>-5.7950108525188773</v>
      </c>
      <c r="BA109" s="1">
        <f t="shared" si="27"/>
        <v>950</v>
      </c>
      <c r="BB109" s="46">
        <f t="shared" si="28"/>
        <v>35000</v>
      </c>
      <c r="BC109" s="1"/>
      <c r="BD109" s="2">
        <f t="shared" si="29"/>
        <v>35000</v>
      </c>
      <c r="BE109" s="46">
        <f t="shared" si="30"/>
        <v>950</v>
      </c>
      <c r="BF109" s="1">
        <f>Results!AJ111</f>
        <v>0</v>
      </c>
      <c r="BG109" s="1">
        <f>Results!AK111</f>
        <v>0</v>
      </c>
      <c r="BH109" s="1">
        <f>Results!AL111</f>
        <v>0</v>
      </c>
      <c r="BI109" s="1">
        <f>Results!AM111</f>
        <v>0</v>
      </c>
      <c r="BJ109" s="1" t="e">
        <f>IF(OR(ISNA('Reaction Information'!$D$5), $N109 = "", $D$27 = FALSE, 'Reaction Information'!$D$5 = ""), NA(), 24.465)</f>
        <v>#N/A</v>
      </c>
      <c r="BK109" s="1" t="e">
        <f>IF(OR(ISNA('Reaction Information'!$D$9), $N109 = "", $D$27 = FALSE, 'Reaction Information'!$D$9 = ""), NA(), 24.465)</f>
        <v>#N/A</v>
      </c>
      <c r="BL109" s="8">
        <f t="shared" si="36"/>
        <v>15.20367812408697</v>
      </c>
      <c r="BM109" s="8">
        <f>IF(OR(ISBLANK(Input!$X$4),$D$27=FALSE),NA(),('Reaction Information'!$J$13/10+'Reaction Information'!$K$13*100/(Calculations!$C$12+Calculations!$M109)+('Reaction Information'!$L$13+'Reaction Information'!$M$13*10^4/(Calculations!$C$12+Calculations!$M109))/(Calculations!$O109-Calculations!$C$13) -calculateOmega(Calculations!$M109,Calculations!$N109,Calculations!$Q109,'Reaction Information'!$C$13,'Reaction Information'!$P$13*10^5,'Reaction Information'!$Q$13)*Calculations!$U109*10^-6 + (1/$S109 - 1)*calculate_domegadP(Calculations!$M109,Calculations!$N109,Calculations!$Q109,'Reaction Information'!$C$13,'Reaction Information'!$P$13*10^5,'Reaction Information'!$Q$13,$D$20,$D$19=3))*41.84)</f>
        <v>30.60425959445158</v>
      </c>
      <c r="BN109" s="8" t="e">
        <f>IF(OR(ISBLANK(Input!$AA$4),$D$27=FALSE),NA(),('Reaction Information'!$J$17/10+'Reaction Information'!$K$17*100/(Calculations!$C$12+Calculations!$M109)+('Reaction Information'!$L$17+'Reaction Information'!$M$17*10000/(Calculations!$C$12+Calculations!$M109))/(Calculations!$O109-Calculations!$C$13)-calculateOmega(Calculations!M109,Calculations!N109,Calculations!Q109,'Reaction Information'!$C$17,'Reaction Information'!$P$17*10^5,'Reaction Information'!$Q$17)*Calculations!$U109*10^-6 + (1/$S109 - 1)*calculate_domegadP(Calculations!M109,Calculations!N109,Calculations!Q109,'Reaction Information'!$C$17,'Reaction Information'!$P$17*10^5,'Reaction Information'!$Q$17,$D$20,$D$19=3))*41.84)</f>
        <v>#N/A</v>
      </c>
      <c r="BO109" s="8" t="e">
        <f>IF(OR(ISBLANK(Input!$AD$4),$D$27=FALSE),NA(),('Reaction Information'!$J$21/10+'Reaction Information'!$K$21*100/(Calculations!$C$12+Calculations!$M109)+('Reaction Information'!$L$21+'Reaction Information'!$M$21*10000/(Calculations!$C$12+Calculations!$M109))/(Calculations!$O109-Calculations!$C$13)-calculateOmega(Calculations!M109,Calculations!N109,Calculations!Q109,'Reaction Information'!$C$21,'Reaction Information'!$P$21*10^5,'Reaction Information'!$Q$21)*Calculations!$U109*10^-6 + (1/$S109 - 1)*calculate_domegadP(Calculations!M109,Calculations!N109,Calculations!Q109,'Reaction Information'!$C$21,'Reaction Information'!$P$21*10^5,'Reaction Information'!$Q$21,$D$20,$D$19=3))*41.84)</f>
        <v>#N/A</v>
      </c>
      <c r="BP109" s="8" t="e">
        <f>IF(OR(ISBLANK(Input!$AG$4),$D$27=FALSE),NA(),('Reaction Information'!$J$25/10+'Reaction Information'!$K$25*100/(Calculations!$C$12+Calculations!$M109)+('Reaction Information'!$L$25+'Reaction Information'!$M$25*10000/(Calculations!$C$12+Calculations!$M109))/(Calculations!$O109-Calculations!$C$13)-calculateOmega(Calculations!M109,Calculations!N109,Calculations!Q109,'Reaction Information'!$C$25,'Reaction Information'!$P$25*10^5,'Reaction Information'!$Q$25)*Calculations!$U109*10^-6 + (1/$S109 - 1)*calculate_domegadP(Calculations!M109,Calculations!N109,Calculations!Q109,'Reaction Information'!$C$25,'Reaction Information'!$P$25*10^5,'Reaction Information'!$Q$25,$D$20,$D$19=3))*41.84)</f>
        <v>#N/A</v>
      </c>
      <c r="BQ109" s="8" t="e">
        <f>IF(OR(ISBLANK(Input!$AJ$4),$D$27=FALSE),NA(),('Reaction Information'!$J$29/10+'Reaction Information'!$K$29*100/(Calculations!$C$12+Calculations!$M109)+('Reaction Information'!$L$29+'Reaction Information'!$M$29*10000/(Calculations!$C$12+Calculations!$M109))/(Calculations!$O109-Calculations!$C$13)-calculateOmega(Calculations!M109,Calculations!N109,Calculations!Q109,'Reaction Information'!$C$29,'Reaction Information'!$P$29*10^5,'Reaction Information'!$Q$29)*Calculations!$U109*10^-6 + (1/$S109 - 1)*calculate_domegadP(Calculations!M109,Calculations!N109,Calculations!Q109,'Reaction Information'!$C$29,'Reaction Information'!$P$29*10^5,'Reaction Information'!$Q$29,$D$20,$D$19=3))*41.84)</f>
        <v>#N/A</v>
      </c>
      <c r="BR109" s="8" t="e">
        <f>IF(OR(ISBLANK(Input!$AM$4),$D$27=FALSE),NA(),('Reaction Information'!$J$33/10+'Reaction Information'!$K$33*100/(Calculations!$C$12+Calculations!$M109)+('Reaction Information'!$L$33+'Reaction Information'!$M$33*10000/(Calculations!$C$12+Calculations!$M109))/(Calculations!$O109-Calculations!$C$13)-calculateOmega(Calculations!M109,Calculations!N109,Calculations!Q109,'Reaction Information'!$C$33,'Reaction Information'!$P$33*10^5,'Reaction Information'!$Q$33)*Calculations!$U109*10^-6 + (1/$S109 - 1)*calculate_domegadP(Calculations!M109,Calculations!N109,Calculations!Q109,'Reaction Information'!$C$33,'Reaction Information'!$P$33*10^5,'Reaction Information'!$Q$33,$D$20,$D$19=3))*41.84)</f>
        <v>#N/A</v>
      </c>
      <c r="BS109" s="1">
        <f>Results!AW111</f>
        <v>0</v>
      </c>
      <c r="BT109" s="1">
        <f>Results!AX111</f>
        <v>0</v>
      </c>
      <c r="BU109" s="1">
        <f>Results!AY111</f>
        <v>0</v>
      </c>
      <c r="BV109" s="1">
        <f>Results!AZ111</f>
        <v>0</v>
      </c>
      <c r="BW109" s="1" t="e">
        <f>IF(OR(ISNA('Reaction Information'!$D$38), $N109 = "", $D$27 = FALSE, 'Reaction Information'!$D$38 = ""), NA(), 24.465)</f>
        <v>#N/A</v>
      </c>
      <c r="BX109" s="1" t="e">
        <f>IF(OR(ISNA('Reaction Information'!$D$42), $N109 = "", $D$27 = FALSE, 'Reaction Information'!$D$42 = ""), NA(), 24.465)</f>
        <v>#N/A</v>
      </c>
      <c r="BY109" s="8" t="e">
        <f t="shared" si="37"/>
        <v>#N/A</v>
      </c>
      <c r="BZ109" s="8">
        <f>IF(OR(ISBLANK(Input!$BK$4),$D$27=FALSE),NA(),('Reaction Information'!$J$46/10+'Reaction Information'!$K$46*100/(Calculations!$C$12+Calculations!$M109)+('Reaction Information'!$L$46+'Reaction Information'!$M$46*10000/(Calculations!$C$12+Calculations!$M109))/(Calculations!$O109-Calculations!$C$13)-calculateOmega(Calculations!M109,Calculations!N109,Calculations!Q109,'Reaction Information'!$C$46,'Reaction Information'!$P$46*10^5,'Reaction Information'!$Q$46)*Calculations!$U109*10^-6 + (1/$S109 - 1)*calculate_domegadP(Calculations!M109,Calculations!N109,Calculations!Q109,'Reaction Information'!$C$46,'Reaction Information'!$P$46*10^5,'Reaction Information'!$Q$46,$D$20,$D$19=3))*41.84)</f>
        <v>0</v>
      </c>
      <c r="CA109" s="8">
        <f>IF(OR(ISBLANK(Input!$BN$4),$D$27=FALSE),NA(),('Reaction Information'!$J$50/10+'Reaction Information'!$K$50*100/(Calculations!$C$12+Calculations!$M109)+('Reaction Information'!$L$50+'Reaction Information'!$M$50*10000/(Calculations!$C$12+Calculations!$M109))/(Calculations!$O109-Calculations!$C$13)-calculateOmega(Calculations!M109,Calculations!N109,Calculations!Q109,'Reaction Information'!$C$50,'Reaction Information'!$P$50*10^5,'Reaction Information'!$Q$50)*Calculations!$U109*10^-6 + (1/$S109 - 1)*calculate_domegadP(Calculations!M109,Calculations!N109,Calculations!Q109,'Reaction Information'!$C$50,'Reaction Information'!$P$50*10^5,'Reaction Information'!$Q$50,$D$20,$D$19=3))*41.84)</f>
        <v>30.318596905590088</v>
      </c>
      <c r="CB109" s="8" t="e">
        <f>IF(OR(ISBLANK(Input!$BQ$4),$D$27=FALSE),NA(),('Reaction Information'!$J$54/10+'Reaction Information'!$K$54*100/(Calculations!$C$12+Calculations!$M109)+('Reaction Information'!$L$54+'Reaction Information'!$M$54*10000/(Calculations!$C$12+Calculations!$M109))/(Calculations!$O109-Calculations!$C$13)-calculateOmega(Calculations!M109,Calculations!N109,Calculations!Q109,'Reaction Information'!$C$54,'Reaction Information'!$P$54*10^5,'Reaction Information'!$Q$54)*Calculations!$U109*10^-6 + (1/$S109 - 1)*calculate_domegadP(Calculations!M109,Calculations!N109,Calculations!Q109,'Reaction Information'!$C$54,'Reaction Information'!$P$54*10^5,'Reaction Information'!$Q$54,$D$20,$D$19=3))*41.84)</f>
        <v>#N/A</v>
      </c>
      <c r="CC109" s="8" t="e">
        <f>IF(OR(ISBLANK(Input!$BT$4),$D$27=FALSE),NA(),('Reaction Information'!$J$58/10+'Reaction Information'!$K$58*100/(Calculations!$C$12+Calculations!$M109)+('Reaction Information'!$L$58+'Reaction Information'!$M$58*10000/(Calculations!$C$12+Calculations!$M109))/(Calculations!$O109-Calculations!$C$13)-calculateOmega(Calculations!M109,Calculations!N109,Calculations!Q109,'Reaction Information'!$C$58,'Reaction Information'!$P$58*10^5,'Reaction Information'!$Q$58)*Calculations!$U109*10^-6 + (1/$S109 - 1)*calculate_domegadP(Calculations!M109,Calculations!N109,Calculations!Q109,'Reaction Information'!$C$58,'Reaction Information'!$P$58*10^5,'Reaction Information'!$Q$58,$D$20,$D$19=3))*41.84)</f>
        <v>#N/A</v>
      </c>
      <c r="CD109" s="8" t="e">
        <f>IF(OR(ISBLANK(Input!$BW$4),$D$27=FALSE),NA(),('Reaction Information'!$J$62/10+'Reaction Information'!$K$62*100/(Calculations!$C$12+Calculations!$M109)+('Reaction Information'!$L$62+'Reaction Information'!$M$62*10000/(Calculations!$C$12+Calculations!$M109))/(Calculations!$O109-Calculations!$C$13)-calculateOmega(Calculations!M109,Calculations!N109,Calculations!Q109,'Reaction Information'!$C$62,'Reaction Information'!$P$62*10^5,'Reaction Information'!$Q$62)*Calculations!$U109*10^-6 + (1/$S109 - 1)*calculate_domegadP(Calculations!M109,Calculations!N109,Calculations!Q109,'Reaction Information'!$C$62,'Reaction Information'!$P$62*10^5,'Reaction Information'!$Q$62,$D$20,$D$19=3))*41.84)</f>
        <v>#N/A</v>
      </c>
      <c r="CE109" s="8" t="e">
        <f>IF(OR(ISBLANK(Input!$BZ$4),$D$27=FALSE),NA(),('Reaction Information'!$J$66/10+'Reaction Information'!$K$66*100/(Calculations!$C$12+Calculations!$M109)+('Reaction Information'!$L$66+'Reaction Information'!$M$66*10000/(Calculations!$C$12+Calculations!$M109))/(Calculations!$O109-Calculations!$C$13)-calculateOmega(Calculations!M109,Calculations!N109,Calculations!Q109,'Reaction Information'!$C$66,'Reaction Information'!$P$66*10^5,'Reaction Information'!$Q$66)*Calculations!$U109*10^-6 + (1/$S109 - 1)*calculate_domegadP(Calculations!M109,Calculations!N109,Calculations!Q109,'Reaction Information'!$C$66,'Reaction Information'!$P$66*10^5,'Reaction Information'!$Q$66,$D$20,$D$19=3))*41.84)</f>
        <v>#N/A</v>
      </c>
      <c r="CF109" s="31">
        <f>(BS109*Input!$AO$4+BT109*Input!$AR$4+BU109*Input!$AU$4+BV109*Input!$AX$4+IF(ISNA(BW109),0,BW109*Input!$BA$4)+IF(ISNA(BX109),0,BX109*Input!$BD$4)+IF(ISNA(BY109),0,BY109*Input!$BG$4)+IF(ISNA(BZ109),0,BZ109*Input!$BJ$4)+IF(ISNA(CA109),0,CA109*Input!$BM$4)+IF(ISNA(CB109),0,CB109*Input!$BP$4)+IF(ISNA(CC109),0,CC109*Input!$BS$4)+IF(ISNA(CD109),0,CD109*Input!$BV$4)+IF(ISNA(CE109),0,CE109*Input!$BY$4))-(BF109*Input!$B$4+BG109*Input!$E$4+BH109*Input!$H$4+BI109*Input!$K$4+IF(ISNA(BJ109),0,BJ109*Input!$N$4)+IF(ISNA(BK109),0,BK109*Input!$Q$4)+IF(ISNA(BL109),0,BL109*Input!$T$4)+IF(ISNA(BM109),0,BM109*Input!$W$4)+IF(ISNA(BN109),0,BN109*Input!$Z$4)+IF(ISNA(BO109),0,BO109*Input!$AC$4)+IF(ISNA(BP109),0,BP109*Input!$AF$4)+IF(ISNA(BQ109),0,BQ109*Input!$AI$4)+IF(ISNA(BR109),0,BR109*Input!$AL$4))</f>
        <v>-15.489340812948466</v>
      </c>
      <c r="CG109" s="1">
        <f t="shared" si="31"/>
        <v>950</v>
      </c>
      <c r="CH109" s="46">
        <f t="shared" si="32"/>
        <v>35000</v>
      </c>
      <c r="CI109" s="1"/>
    </row>
    <row r="110" spans="1:87" x14ac:dyDescent="0.2">
      <c r="A110" s="1"/>
      <c r="B110" s="1"/>
      <c r="C110" s="1"/>
      <c r="D110" s="1"/>
      <c r="E110" s="1"/>
      <c r="F110" s="2">
        <v>105</v>
      </c>
      <c r="G110" s="1" t="str">
        <f>IF(ISBLANK(Input!CB110), "", Input!CB110*1000)</f>
        <v/>
      </c>
      <c r="H110" s="1" t="str">
        <f>IF(ISBLANK(Input!CC110), "", Input!CC110)</f>
        <v/>
      </c>
      <c r="I110" s="1">
        <f>IF(Input!$CF$5 + Input!$CF$6*(FLOOR((Calculations!$F110-1)/(FLOOR((Input!$CF$12-Input!$CF$10)/Input!$CF$11,1)+1),1)) &gt; Input!$CF$7, "", (Input!$CF$5 + Input!$CF$6*(FLOOR((Calculations!$F110-1)/(FLOOR((Input!$CF$12-Input!$CF$10)/Input!$CF$11,1)+1),1)))*1000)</f>
        <v>35000</v>
      </c>
      <c r="J110" s="1">
        <f>IF(Calculations!I110 = "", "", Input!$CF$10 + Input!$CF$11*(Calculations!$F110-1) - (FLOOR((Input!$CF$12-Input!$CF$10)/Input!$CF$11,1)+1)*Input!$CF$11*FLOOR((Calculations!$F110-1)/(FLOOR((Input!$CF$12-Input!$CF$10)/Input!$CF$11,1)+1),1))</f>
        <v>1000</v>
      </c>
      <c r="K110" s="8" t="str">
        <f t="shared" si="33"/>
        <v/>
      </c>
      <c r="L110" s="117" t="str">
        <f>IF(OR(Input!$CJ$5 + Input!$CJ$6*(Calculations!F110-1) &gt; Input!$CJ$7, Input!$CJ$5 + Input!$CJ$6*(Calculations!F110-1) &gt; 350), "", Input!$CJ$5 + Input!$CJ$6*(Calculations!F110-1))</f>
        <v/>
      </c>
      <c r="M110" s="1">
        <f t="shared" si="23"/>
        <v>35000</v>
      </c>
      <c r="N110" s="1">
        <f t="shared" si="24"/>
        <v>1000</v>
      </c>
      <c r="O110" s="1">
        <f t="shared" si="34"/>
        <v>1273.1500000000001</v>
      </c>
      <c r="P110" s="1" t="e">
        <f>IF(OR($D$20=3,AND($D$21=TRUE,M110&lt;1000)),INDEX('Water Density'!$C$6:$CX$120,MATCH(Calculations!N110,'Water Density'!$B$6:$B$120),MATCH(Calculations!M110/1000,'Water Density'!$C$5:$CX$5)),NA())</f>
        <v>#N/A</v>
      </c>
      <c r="Q110" s="182">
        <f>IF(OR($D$20=3,AND($D$21=TRUE,M110&lt;1000)), IF(P110&lt;&gt;0,P110,NA()), calculateDensity(M110,N110,$D$20,0.01,$D$19 = 3))</f>
        <v>1.1722437503677607</v>
      </c>
      <c r="R110" s="1" t="e">
        <f>IF($D$22=5,INDEX('Dielectric Constant'!$C$6:$CX$120,MATCH(Calculations!N110,'Dielectric Constant'!$B$6:$B$120),MATCH(Calculations!M110/1000,'Dielectric Constant'!$C$5:$CX$5)),NA())</f>
        <v>#N/A</v>
      </c>
      <c r="S110" s="58">
        <f>IF($D$22=5, IF(R110&lt;&gt;0,R110,NA()), IF(AND($D$23,M110&lt;=5000,$D$19 &lt;&gt; 3),calculateEpsilon(Q110,N110,1,FALSE),calculateEpsilon(Q110,N110,$D$22,$D$19 = 3)))</f>
        <v>14.976868003990123</v>
      </c>
      <c r="T110" s="1" t="e">
        <f>IF($D$24=3,INDEX('Water Free Energy'!$C$6:$CX$120,MATCH(Calculations!N110,'Water Free Energy'!$B$6:$B$120),MATCH(Calculations!M110/1000,'Water Free Energy'!$C$5:$CX$5)),NA())</f>
        <v>#N/A</v>
      </c>
      <c r="U110" s="179">
        <f>IF($D$27,calculateQ(M110,N110,Q110,$D$20,$D$22,$D$19=3)*10^6,NA())</f>
        <v>0.35428047111476679</v>
      </c>
      <c r="V110"/>
      <c r="W110" s="2">
        <f t="shared" si="25"/>
        <v>35000</v>
      </c>
      <c r="X110" s="1">
        <f t="shared" si="26"/>
        <v>1000</v>
      </c>
      <c r="Y110" s="1">
        <f>Results!F112</f>
        <v>0</v>
      </c>
      <c r="Z110" s="1">
        <f>Results!G112</f>
        <v>0</v>
      </c>
      <c r="AA110" s="1">
        <f>Results!H112</f>
        <v>0</v>
      </c>
      <c r="AB110" s="1">
        <f>Results!I112</f>
        <v>0</v>
      </c>
      <c r="AC110" s="1" t="e">
        <f>IF(ISBLANK(Input!$O$4),NA(),'Reaction Information'!$E$5-'Reaction Information'!$G$5*(Calculations!$O110-Calculations!$C$8)+'Reaction Information'!$I$5*(Calculations!$O110-Calculations!$C$8-Calculations!$O110*LN(Calculations!$O110/Calculations!$C$8))+'Reaction Information'!$J$5*0.001/2*(2*Calculations!$O110*Calculations!$C$8-Calculations!$O110^2-Calculations!$C$8^2) + 'Reaction Information'!$K$5*100000*(Calculations!$O110^2 + Calculations!$C$8^2 - 2*Calculations!$O110*Calculations!$C$8)/(2*Calculations!$O110*Calculations!$C$8^2))</f>
        <v>#N/A</v>
      </c>
      <c r="AD110" s="8" t="e">
        <f>IF(ISBLANK(Input!$R$4),NA(),'Reaction Information'!$E$9-'Reaction Information'!$G$9*(Calculations!$O110-Calculations!$C$8)+'Reaction Information'!$I$9*(Calculations!$O110-Calculations!$C$8-Calculations!$O110*LN(Calculations!$O110/Calculations!$C$8))+'Reaction Information'!$J$9*0.001/2*(2*Calculations!$O110*Calculations!$C$8-Calculations!$O110^2-Calculations!$C$8^2) + 'Reaction Information'!$K$9*100000*(Calculations!$O110^2 + Calculations!$C$8^2 - 2*Calculations!$O110*Calculations!$C$8)/(2*Calculations!$O110*Calculations!$C$8^2))</f>
        <v>#N/A</v>
      </c>
      <c r="AE110" s="8">
        <f>IF(AE$5="H2O",IF($D$24=3,IF(T110=0,NA(),T110),calculateGibbsOfWater(M110,N110,$D$24,$D$20,$D$19=3)),NA())</f>
        <v>-70457.525497750627</v>
      </c>
      <c r="AF110" s="8">
        <f>IF(ISBLANK(Input!$X$4),NA(),'Reaction Information'!$E$13-'Reaction Information'!$G$13*(Calculations!O110-Calculations!$C$8)-'Reaction Information'!$N$13*(Calculations!O110*LN(Calculations!O110/Calculations!$C$8)-Calculations!O110+Calculations!$C$8)-'Reaction Information'!$O$13*10^4*(((1/(Calculations!O110-Calculations!$C$13))-(1/(Calculations!$C$8-Calculations!$C$13)))*((Calculations!$C$13-Calculations!O110)/(Calculations!$C$13))-(Calculations!O110/(Calculations!$C$13*Calculations!$C$13))*LN((Calculations!$C$8*(Calculations!O110-Calculations!$C$13))/(Calculations!O110*(Calculations!$C$8-Calculations!$C$13))))+'Reaction Information'!$J$13*10^-1*(Calculations!M110-Calculations!$C$9)+'Reaction Information'!$K$13*10^2*LN((Calculations!$C$12+Calculations!M110)/(Calculations!$C$12+Calculations!$C$9))+(1/(Calculations!O110-Calculations!$C$13))*('Reaction Information'!$L$13*(Calculations!M110-Calculations!$C$9)+'Reaction Information'!$M$13*10^4*LN((Calculations!$C$12+Calculations!M110)/(Calculations!$C$12+Calculations!$C$9)))+calculateOmega(Calculations!M110,Calculations!N110,Calculations!Q110,'Reaction Information'!$C$13,'Reaction Information'!$P$13*10^5,'Reaction Information'!$Q$13)*((1/Calculations!S110)-1)-'Reaction Information'!$P$13*10^5*((1/Calculations!$C$10)-1)+'Reaction Information'!$P$13*10^5*Calculations!$C$14*(Calculations!O110-Calculations!$C$8))</f>
        <v>-109606.1499120829</v>
      </c>
      <c r="AG110" s="8" t="e">
        <f>IF(ISBLANK(Input!$AA$4),NA(),'Reaction Information'!$E$17-'Reaction Information'!$G$17*(Calculations!$O110-Calculations!$C$8)-'Reaction Information'!$N$17*(Calculations!$O110*LN(Calculations!$O110/Calculations!$C$8)-Calculations!$O110+Calculations!$C$8)-'Reaction Information'!$O$17*10^4*(((1/(Calculations!$O110-Calculations!$C$13))-(1/(Calculations!$C$8-Calculations!$C$13)))*((Calculations!$C$13-Calculations!$O110)/(Calculations!$C$13))-(Calculations!$O110/(Calculations!$C$13*Calculations!$C$13))*LN((Calculations!$C$8*(Calculations!$O110-Calculations!$C$13))/(Calculations!$O110*(Calculations!$C$8-Calculations!$C$13))))+'Reaction Information'!$J$17*10^-1*(Calculations!$M110-Calculations!$C$9)+'Reaction Information'!$K$17*10^2*LN((Calculations!$C$12+Calculations!$M110)/(Calculations!$C$12+Calculations!$C$9))+(1/(Calculations!$O110-Calculations!$C$13))*('Reaction Information'!$L$17*(Calculations!$M110-Calculations!$C$9)+'Reaction Information'!$M$17*10^4*LN((Calculations!$C$12+Calculations!$M110)/(Calculations!$C$12+Calculations!$C$9)))+calculateOmega(Calculations!M110,Calculations!N110,Calculations!Q110,'Reaction Information'!$C$17,'Reaction Information'!$P$17*10^5,'Reaction Information'!$Q$17)*((1/Calculations!$S110)-1)-'Reaction Information'!$P$17*10^5*((1/Calculations!$C$10)-1)+'Reaction Information'!$P$17*10^5*Calculations!$C$14*(Calculations!$O110-Calculations!$C$8))</f>
        <v>#N/A</v>
      </c>
      <c r="AH110" s="8" t="e">
        <f>IF(ISBLANK(Input!$AD$4),NA(),'Reaction Information'!$E$21-'Reaction Information'!$G$21*(Calculations!$O110-Calculations!$C$8)-'Reaction Information'!$N$21*(Calculations!$O110*LN(Calculations!$O110/Calculations!$C$8)-Calculations!$O110+Calculations!$C$8)-'Reaction Information'!$O$21*10^4*(((1/(Calculations!$O110-Calculations!$C$13))-(1/(Calculations!$C$8-Calculations!$C$13)))*((Calculations!$C$13-Calculations!$O110)/(Calculations!$C$13))-(Calculations!$O110/(Calculations!$C$13*Calculations!$C$13))*LN((Calculations!$C$8*(Calculations!$O110-Calculations!$C$13))/(Calculations!$O110*(Calculations!$C$8-Calculations!$C$13))))+'Reaction Information'!$J$21*10^-1*(Calculations!$M110-Calculations!$C$9)+'Reaction Information'!$K$21*10^2*LN((Calculations!$C$12+Calculations!$M110)/(Calculations!$C$12+Calculations!$C$9))+(1/(Calculations!$O110-Calculations!$C$13))*('Reaction Information'!$L$21*(Calculations!$M110-Calculations!$C$9)+'Reaction Information'!$M$21*10^4*LN((Calculations!$C$12+Calculations!$M110)/(Calculations!$C$12+Calculations!$C$9)))+calculateOmega(Calculations!M110,Calculations!N110,Calculations!Q110,'Reaction Information'!$C$21,'Reaction Information'!$P$21*10^5,'Reaction Information'!$Q$21)*((1/Calculations!$S110)-1)-'Reaction Information'!$P$21*10^5*((1/Calculations!$C$10)-1)+'Reaction Information'!$P$21*10^5*Calculations!$C$14*(Calculations!$O110-Calculations!$C$8))</f>
        <v>#N/A</v>
      </c>
      <c r="AI110" s="8" t="e">
        <f>IF(ISBLANK(Input!$AG$4),NA(),'Reaction Information'!$E$25-'Reaction Information'!$G$25*(Calculations!$O110-Calculations!$C$8)-'Reaction Information'!$N$25*(Calculations!$O110*LN(Calculations!$O110/Calculations!$C$8)-Calculations!$O110+Calculations!$C$8)-'Reaction Information'!$O$25*10^4*(((1/(Calculations!$O110-Calculations!$C$13))-(1/(Calculations!$C$8-Calculations!$C$13)))*((Calculations!$C$13-Calculations!$O110)/(Calculations!$C$13))-(Calculations!$O110/(Calculations!$C$13*Calculations!$C$13))*LN((Calculations!$C$8*(Calculations!$O110-Calculations!$C$13))/(Calculations!$O110*(Calculations!$C$8-Calculations!$C$13))))+'Reaction Information'!$J$25*10^-1*(Calculations!$M110-Calculations!$C$9)+'Reaction Information'!$K$25*10^2*LN((Calculations!$C$12+Calculations!$M110)/(Calculations!$C$12+Calculations!$C$9))+(1/(Calculations!$O110-Calculations!$C$13))*('Reaction Information'!$L$25*(Calculations!$M110-Calculations!$C$9)+'Reaction Information'!$M$25*10^4*LN((Calculations!$C$12+Calculations!$M110)/(Calculations!$C$12+Calculations!$C$9)))+calculateOmega(Calculations!M110,Calculations!N110,Calculations!Q110,'Reaction Information'!$C$25,'Reaction Information'!$P$25*10^5,'Reaction Information'!$Q$25)*((1/Calculations!$S110)-1)-'Reaction Information'!$P$25*10^5*((1/Calculations!$C$10)-1)+'Reaction Information'!$P$25*10^5*Calculations!$C$14*(Calculations!$O110-Calculations!$C$8))</f>
        <v>#N/A</v>
      </c>
      <c r="AJ110" s="8" t="e">
        <f>IF(ISBLANK(Input!$AJ$4),NA(),'Reaction Information'!$E$29-'Reaction Information'!$G$29*(Calculations!$O110-Calculations!$C$8)-'Reaction Information'!$N$29*(Calculations!$O110*LN(Calculations!$O110/Calculations!$C$8)-Calculations!$O110+Calculations!$C$8)-'Reaction Information'!$O$29*10^4*(((1/(Calculations!$O110-Calculations!$C$13))-(1/(Calculations!$C$8-Calculations!$C$13)))*((Calculations!$C$13-Calculations!$O110)/(Calculations!$C$13))-(Calculations!$O110/(Calculations!$C$13*Calculations!$C$13))*LN((Calculations!$C$8*(Calculations!$O110-Calculations!$C$13))/(Calculations!$O110*(Calculations!$C$8-Calculations!$C$13))))+'Reaction Information'!$J$29*10^-1*(Calculations!$M110-Calculations!$C$9)+'Reaction Information'!$K$29*10^2*LN((Calculations!$C$12+Calculations!$M110)/(Calculations!$C$12+Calculations!$C$9))+(1/(Calculations!$O110-Calculations!$C$13))*('Reaction Information'!$L$29*(Calculations!$M110-Calculations!$C$9)+'Reaction Information'!$M$29*10^4*LN((Calculations!$C$12+Calculations!$M110)/(Calculations!$C$12+Calculations!$C$9)))+calculateOmega(Calculations!M110,Calculations!N110,Calculations!Q110,'Reaction Information'!$C$29,'Reaction Information'!$P$29*10^5,'Reaction Information'!$Q$29)*((1/Calculations!$S110)-1)-'Reaction Information'!$P$29*10^5*((1/Calculations!$C$10)-1)+'Reaction Information'!$P$29*10^5*Calculations!$C$14*(Calculations!$O110-Calculations!$C$8))</f>
        <v>#N/A</v>
      </c>
      <c r="AK110" s="8" t="e">
        <f>IF(ISBLANK(Input!$AM$4),NA(),'Reaction Information'!$E$33-'Reaction Information'!$G$33*(Calculations!$O110-Calculations!$C$8)-'Reaction Information'!$N$33*(Calculations!$O110*LN(Calculations!$O110/Calculations!$C$8)-Calculations!$O110+Calculations!$C$8)-'Reaction Information'!$O$33*10^4*(((1/(Calculations!$O110-Calculations!$C$13))-(1/(Calculations!$C$8-Calculations!$C$13)))*((Calculations!$C$13-Calculations!$O110)/(Calculations!$C$13))-(Calculations!$O110/(Calculations!$C$13*Calculations!$C$13))*LN((Calculations!$C$8*(Calculations!$O110-Calculations!$C$13))/(Calculations!$O110*(Calculations!$C$8-Calculations!$C$13))))+'Reaction Information'!$J$33*10^-1*(Calculations!$M110-Calculations!$C$9)+'Reaction Information'!$K$33*10^2*LN((Calculations!$C$12+Calculations!$M110)/(Calculations!$C$12+Calculations!$C$9))+(1/(Calculations!$O110-Calculations!$C$13))*('Reaction Information'!$L$33*(Calculations!$M110-Calculations!$C$9)+'Reaction Information'!$M$33*10^4*LN((Calculations!$C$12+Calculations!$M110)/(Calculations!$C$12+Calculations!$C$9)))+calculateOmega(Calculations!M110,Calculations!N110,Calculations!Q110,'Reaction Information'!$C$33,'Reaction Information'!$P$33*10^5,'Reaction Information'!$Q$33)*((1/Calculations!$S110)-1)-'Reaction Information'!$P$33*10^5*((1/Calculations!$C$10)-1)+'Reaction Information'!$P$33*10^5*Calculations!$C$14*(Calculations!$O110-Calculations!$C$8))</f>
        <v>#N/A</v>
      </c>
      <c r="AL110" s="1">
        <f>Results!S112</f>
        <v>0</v>
      </c>
      <c r="AM110" s="1">
        <f>Results!T112</f>
        <v>0</v>
      </c>
      <c r="AN110" s="1">
        <f>Results!U112</f>
        <v>0</v>
      </c>
      <c r="AO110" s="1">
        <f>Results!V112</f>
        <v>0</v>
      </c>
      <c r="AP110" s="8" t="e">
        <f>IF(ISBLANK(Input!$BB$4),NA(),'Reaction Information'!$E$38-'Reaction Information'!$G$38*(Calculations!$O110-Calculations!$C$8)+'Reaction Information'!$I$38*(Calculations!$O110-Calculations!$C$8-Calculations!$O110*LN(Calculations!$O110/Calculations!$C$8))+'Reaction Information'!$J$38*0.001/2*(2*Calculations!$O110*Calculations!$C$8-Calculations!$O110^2-Calculations!$C$8^2) + 'Reaction Information'!$K$38*100000*(Calculations!$O110^2 + Calculations!$C$8^2 - 2*Calculations!$O110*Calculations!$C$8)/(2*Calculations!$O110*Calculations!$C$8^2))</f>
        <v>#N/A</v>
      </c>
      <c r="AQ110" s="8" t="e">
        <f>IF(ISBLANK(Input!$BE$4),NA(),'Reaction Information'!$E$42-'Reaction Information'!$G$42*(Calculations!$O110-Calculations!$C$8)+'Reaction Information'!$I$42*(Calculations!$O110-Calculations!$C$8-Calculations!$O110*LN(Calculations!$O110/Calculations!$C$8))+'Reaction Information'!$J$42*0.001/2*(2*Calculations!$O110*Calculations!$C$8-Calculations!$O110^2-Calculations!$C$8^2) + 'Reaction Information'!$K$42*100000*(Calculations!$O110^2 + Calculations!$C$8^2 - 2*Calculations!$O110*Calculations!$C$8)/(2*Calculations!$O110*Calculations!$C$8^2))</f>
        <v>#N/A</v>
      </c>
      <c r="AR110" s="8" t="e">
        <f>IF(AR$5="H2O", IF($D$24=3,IF(T110=0,NA(),T110),calculateGibbsOfWater(M110,N110,$D$24,$D$20,$D$19=3)),NA())</f>
        <v>#N/A</v>
      </c>
      <c r="AS110" s="8">
        <f>IF(ISBLANK(Input!$BK$4),NA(),'Reaction Information'!$E$46-'Reaction Information'!$G$46*(Calculations!O110-Calculations!$C$8)-'Reaction Information'!$N$46*(Calculations!O110*LN(Calculations!O110/Calculations!$C$8)-Calculations!O110+Calculations!$C$8)-'Reaction Information'!$O$46*10^4*(((1/(Calculations!O110-Calculations!$C$13))-(1/(Calculations!$C$8-Calculations!$C$13)))*((Calculations!$C$13-Calculations!O110)/(Calculations!$C$13))-(Calculations!O110/(Calculations!$C$13*Calculations!$C$13))*LN((Calculations!$C$8*(Calculations!O110-Calculations!$C$13))/(Calculations!O110*(Calculations!$C$8-Calculations!$C$13))))+'Reaction Information'!$J$46*10^-1*(Calculations!$M110-Calculations!$C$9)+'Reaction Information'!$K$46*10^2*LN((Calculations!$C$12+Calculations!$M110)/(Calculations!$C$12+Calculations!$C$9))+(1/(Calculations!O110-Calculations!$C$13))*('Reaction Information'!$L$46*(Calculations!$M110-Calculations!$C$9)+'Reaction Information'!$M$46*10^4*LN((Calculations!$C$12+Calculations!$M110)/(Calculations!$C$12+Calculations!$C$9)))+calculateOmega(Calculations!M110,Calculations!N110,Calculations!Q110,'Reaction Information'!$C$46,'Reaction Information'!$P$46*10^5,'Reaction Information'!$Q$46)*((1/Calculations!S110)-1)-'Reaction Information'!$P$46*10^5*((1/Calculations!$C$10)-1)+'Reaction Information'!$P$46*10^5*Calculations!$C$14*(Calculations!O110-Calculations!$C$8))</f>
        <v>0</v>
      </c>
      <c r="AT110" s="8">
        <f>IF(ISBLANK(Input!$BN$4),NA(),'Reaction Information'!$E$50-'Reaction Information'!$G$50*(Calculations!O110-Calculations!$C$8)-'Reaction Information'!$N$50*(Calculations!O110*LN(Calculations!O110/Calculations!$C$8)-Calculations!O110+Calculations!$C$8)-'Reaction Information'!$O$50*10^4*(((1/(Calculations!O110-Calculations!$C$13))-(1/(Calculations!$C$8-Calculations!$C$13)))*((Calculations!$C$13-Calculations!O110)/(Calculations!$C$13))-(Calculations!O110/(Calculations!$C$13*Calculations!$C$13))*LN((Calculations!$C$8*(Calculations!O110-Calculations!$C$13))/(Calculations!O110*(Calculations!$C$8-Calculations!$C$13))))+'Reaction Information'!$J$50*10^-1*(Calculations!$M110-Calculations!$C$9)+'Reaction Information'!$K$50*10^2*LN((Calculations!$C$12+Calculations!$M110)/(Calculations!$C$12+Calculations!$C$9))+(1/(Calculations!O110-Calculations!$C$13))*('Reaction Information'!$L$50*(Calculations!$M110-Calculations!$C$9)+'Reaction Information'!$M$50*10^4*LN((Calculations!$C$12+Calculations!$M110)/(Calculations!$C$12+Calculations!$C$9)))+calculateOmega(Calculations!M110,Calculations!N110,Calculations!Q110,'Reaction Information'!$C$50,'Reaction Information'!$P$50*10^5,'Reaction Information'!$Q$50)*((1/Calculations!S110)-1)-'Reaction Information'!$P$50*10^5*((1/Calculations!$C$10)-1)+'Reaction Information'!$P$50*10^5*Calculations!$C$14*(Calculations!O110-Calculations!$C$8))</f>
        <v>-145026.87628786053</v>
      </c>
      <c r="AU110" s="8" t="e">
        <f>IF(ISBLANK(Input!$BQ$4),NA(),'Reaction Information'!$E$54-'Reaction Information'!$G$54*(Calculations!$O110-Calculations!$C$8)-'Reaction Information'!$N$54*(Calculations!$O110*LN(Calculations!$O110/Calculations!$C$8)-Calculations!$O110+Calculations!$C$8)-'Reaction Information'!$O$54*10^4*(((1/(Calculations!$O110-Calculations!$C$13))-(1/(Calculations!$C$8-Calculations!$C$13)))*((Calculations!$C$13-Calculations!$O110)/(Calculations!$C$13))-(Calculations!$O110/(Calculations!$C$13*Calculations!$C$13))*LN((Calculations!$C$8*(Calculations!$O110-Calculations!$C$13))/(Calculations!$O110*(Calculations!$C$8-Calculations!$C$13))))+'Reaction Information'!$J$54*10^-1*(Calculations!$M110-Calculations!$C$9)+'Reaction Information'!$K$54*10^2*LN((Calculations!$C$12+Calculations!$M110)/(Calculations!$C$12+Calculations!$C$9))+(1/(Calculations!$O110-Calculations!$C$13))*('Reaction Information'!$L$54*(Calculations!$M110-Calculations!$C$9)+'Reaction Information'!$M$54*10^4*LN((Calculations!$C$12+Calculations!$M110)/(Calculations!$C$12+Calculations!$C$9)))+calculateOmega(Calculations!M110,Calculations!N110,Calculations!Q110,'Reaction Information'!$C$54,'Reaction Information'!$P$54*10^5,'Reaction Information'!$Q$54)*((1/Calculations!$S110)-1)-'Reaction Information'!$P$54*10^5*((1/Calculations!$C$10)-1)+'Reaction Information'!$P$54*10^5*Calculations!$C$14*(Calculations!$O110-Calculations!$C$8))</f>
        <v>#N/A</v>
      </c>
      <c r="AV110" s="8" t="e">
        <f>IF(ISBLANK(Input!$BT$4),NA(),'Reaction Information'!$E$58-'Reaction Information'!$G$58*(Calculations!$O110-Calculations!$C$8)-'Reaction Information'!$N$58*(Calculations!$O110*LN(Calculations!$O110/Calculations!$C$8)-Calculations!$O110+Calculations!$C$8)-'Reaction Information'!$O$58*10^4*(((1/(Calculations!$O110-Calculations!$C$13))-(1/(Calculations!$C$8-Calculations!$C$13)))*((Calculations!$C$13-Calculations!$O110)/(Calculations!$C$13))-(Calculations!$O110/(Calculations!$C$13*Calculations!$C$13))*LN((Calculations!$C$8*(Calculations!$O110-Calculations!$C$13))/(Calculations!$O110*(Calculations!$C$8-Calculations!$C$13))))+'Reaction Information'!$J$58*10^-1*(Calculations!$M110-Calculations!$C$9)+'Reaction Information'!$K$58*10^2*LN((Calculations!$C$12+Calculations!$M110)/(Calculations!$C$12+Calculations!$C$9))+(1/(Calculations!$O110-Calculations!$C$13))*('Reaction Information'!$L$58*(Calculations!$M110-Calculations!$C$9)+'Reaction Information'!$M$58*10^4*LN((Calculations!$C$12+Calculations!$M110)/(Calculations!$C$12+Calculations!$C$9)))+calculateOmega(Calculations!M110,Calculations!N110,Calculations!Q110,'Reaction Information'!$C$58,'Reaction Information'!$P$58*10^5,'Reaction Information'!$Q$58)*((1/Calculations!$S110)-1)-'Reaction Information'!$P$58*10^5*((1/Calculations!$C$10)-1)+'Reaction Information'!$P$58*10^5*Calculations!$C$14*(Calculations!$O110-Calculations!$C$8))</f>
        <v>#N/A</v>
      </c>
      <c r="AW110" s="8" t="e">
        <f>IF(ISBLANK(Input!$BW$4),NA(),'Reaction Information'!$E$62-'Reaction Information'!$G$62*(Calculations!$O110-Calculations!$C$8)-'Reaction Information'!$N$62*(Calculations!$O110*LN(Calculations!$O110/Calculations!$C$8)-Calculations!$O110+Calculations!$C$8)-'Reaction Information'!$O$62*10^4*(((1/(Calculations!$O110-Calculations!$C$13))-(1/(Calculations!$C$8-Calculations!$C$13)))*((Calculations!$C$13-Calculations!$O110)/(Calculations!$C$13))-(Calculations!$O110/(Calculations!$C$13*Calculations!$C$13))*LN((Calculations!$C$8*(Calculations!$O110-Calculations!$C$13))/(Calculations!$O110*(Calculations!$C$8-Calculations!$C$13))))+'Reaction Information'!$J$62*10^-1*(Calculations!$M110-Calculations!$C$9)+'Reaction Information'!$K$62*10^2*LN((Calculations!$C$12+Calculations!$M110)/(Calculations!$C$12+Calculations!$C$9))+(1/(Calculations!$O110-Calculations!$C$13))*('Reaction Information'!$L$62*(Calculations!$M110-Calculations!$C$9)+'Reaction Information'!$M$62*10^4*LN((Calculations!$C$12+Calculations!$M110)/(Calculations!$C$12+Calculations!$C$9)))+calculateOmega(Calculations!M110,Calculations!N110,Calculations!Q110,'Reaction Information'!$C$62,'Reaction Information'!$P$62*10^5,'Reaction Information'!$Q$62)*((1/Calculations!$S110)-1)-'Reaction Information'!$P$62*10^5*((1/Calculations!$C$10)-1)+'Reaction Information'!$P$62*10^5*Calculations!$C$14*(Calculations!$O110-Calculations!$C$8))</f>
        <v>#N/A</v>
      </c>
      <c r="AX110" s="8" t="e">
        <f>IF(ISBLANK(Input!$BZ$4),NA(),'Reaction Information'!$E$66-'Reaction Information'!$G$66*(Calculations!$O110-Calculations!$C$8)-'Reaction Information'!$N$66*(Calculations!$O110*LN(Calculations!$O110/Calculations!$C$8)-Calculations!$O110+Calculations!$C$8)-'Reaction Information'!$O$66*10^4*(((1/(Calculations!$O110-Calculations!$C$13))-(1/(Calculations!$C$8-Calculations!$C$13)))*((Calculations!$C$13-Calculations!$O110)/(Calculations!$C$13))-(Calculations!$O110/(Calculations!$C$13*Calculations!$C$13))*LN((Calculations!$C$8*(Calculations!$O110-Calculations!$C$13))/(Calculations!$O110*(Calculations!$C$8-Calculations!$C$13))))+'Reaction Information'!$J$66*10^-1*(Calculations!$M110-Calculations!$C$9)+'Reaction Information'!$K$66*10^2*LN((Calculations!$C$12+Calculations!$M110)/(Calculations!$C$12+Calculations!$C$9))+(1/(Calculations!$O110-Calculations!$C$13))*('Reaction Information'!$L$66*(Calculations!$M110-Calculations!$C$9)+'Reaction Information'!$M$66*10^4*LN((Calculations!$C$12+Calculations!$M110)/(Calculations!$C$12+Calculations!$C$9)))+calculateOmega(Calculations!M110,Calculations!N110,Calculations!Q110,'Reaction Information'!$C$66,'Reaction Information'!$P$66*10^5,'Reaction Information'!$Q$66)*((1/Calculations!$S110)-1)-'Reaction Information'!$P$66*10^5*((1/Calculations!$C$10)-1)+'Reaction Information'!$P$66*10^5*Calculations!$C$14*(Calculations!$O110-Calculations!$C$8))</f>
        <v>#N/A</v>
      </c>
      <c r="AY110" s="31">
        <f>(AL110*Input!$AO$4+AM110*Input!$AR$4+AN110*Input!$AU$4+AO110*Input!$AX$4+IF(ISNA(AP110),0,AP110*Input!$BA$4)+IF(ISNA(AQ110),0,AQ110*Input!$BD$4)+IF(ISNA(AR110),0,AR110*Input!$BG$4)+IF(ISNA(AS110),0,AS110*Input!$BJ$4)+IF(ISNA(AT110),0,AT110*Input!$BM$4)+IF(ISNA(AU110),0,AU110*Input!$BP$4)+IF(ISNA(AV110),0,AV110*Input!$BS$4)+IF(ISNA(AW110),0,AW110*Input!$BV$4)+IF(ISNA(AX110),0,AX110*Input!$BY$4))-(Y110*Input!$B$4+Z110*Input!$E$4+AA110*Input!$H$4+AB110*Input!$K$4+IF(ISNA(AC110),0,AC110*Input!$N$4)+IF(ISNA(AD110),0,AD110*Input!$Q$4)+IF(ISNA(AE110),0,AE110*Input!$T$4)+IF(ISNA(AF110),0,AF110*Input!$W$4)+IF(ISNA(AG110),0,AG110*Input!$Z$4)+IF(ISNA(AH110),0,AH110*Input!$AC$4)+IF(ISNA(AI110),0,AI110*Input!$AF$4)+IF(ISNA(AJ110),0,AJ110*Input!$AI$4)+IF(ISNA(AK110),0,AK110*Input!$AL$4))</f>
        <v>35036.799121972988</v>
      </c>
      <c r="AZ110" s="42">
        <f t="shared" si="35"/>
        <v>-6.018340045219456</v>
      </c>
      <c r="BA110" s="1">
        <f t="shared" si="27"/>
        <v>1000</v>
      </c>
      <c r="BB110" s="46">
        <f t="shared" si="28"/>
        <v>35000</v>
      </c>
      <c r="BC110" s="1"/>
      <c r="BD110" s="2">
        <f t="shared" si="29"/>
        <v>35000</v>
      </c>
      <c r="BE110" s="46">
        <f t="shared" si="30"/>
        <v>1000</v>
      </c>
      <c r="BF110" s="1">
        <f>Results!AJ112</f>
        <v>0</v>
      </c>
      <c r="BG110" s="1">
        <f>Results!AK112</f>
        <v>0</v>
      </c>
      <c r="BH110" s="1">
        <f>Results!AL112</f>
        <v>0</v>
      </c>
      <c r="BI110" s="1">
        <f>Results!AM112</f>
        <v>0</v>
      </c>
      <c r="BJ110" s="1" t="e">
        <f>IF(OR(ISNA('Reaction Information'!$D$5), $N110 = "", $D$27 = FALSE, 'Reaction Information'!$D$5 = ""), NA(), 24.465)</f>
        <v>#N/A</v>
      </c>
      <c r="BK110" s="1" t="e">
        <f>IF(OR(ISNA('Reaction Information'!$D$9), $N110 = "", $D$27 = FALSE, 'Reaction Information'!$D$9 = ""), NA(), 24.465)</f>
        <v>#N/A</v>
      </c>
      <c r="BL110" s="8">
        <f t="shared" si="36"/>
        <v>15.368203067278609</v>
      </c>
      <c r="BM110" s="8">
        <f>IF(OR(ISBLANK(Input!$X$4),$D$27=FALSE),NA(),('Reaction Information'!$J$13/10+'Reaction Information'!$K$13*100/(Calculations!$C$12+Calculations!$M110)+('Reaction Information'!$L$13+'Reaction Information'!$M$13*10^4/(Calculations!$C$12+Calculations!$M110))/(Calculations!$O110-Calculations!$C$13) -calculateOmega(Calculations!$M110,Calculations!$N110,Calculations!$Q110,'Reaction Information'!$C$13,'Reaction Information'!$P$13*10^5,'Reaction Information'!$Q$13)*Calculations!$U110*10^-6 + (1/$S110 - 1)*calculate_domegadP(Calculations!$M110,Calculations!$N110,Calculations!$Q110,'Reaction Information'!$C$13,'Reaction Information'!$P$13*10^5,'Reaction Information'!$Q$13,$D$20,$D$19=3))*41.84)</f>
        <v>30.664331596335455</v>
      </c>
      <c r="BN110" s="8" t="e">
        <f>IF(OR(ISBLANK(Input!$AA$4),$D$27=FALSE),NA(),('Reaction Information'!$J$17/10+'Reaction Information'!$K$17*100/(Calculations!$C$12+Calculations!$M110)+('Reaction Information'!$L$17+'Reaction Information'!$M$17*10000/(Calculations!$C$12+Calculations!$M110))/(Calculations!$O110-Calculations!$C$13)-calculateOmega(Calculations!M110,Calculations!N110,Calculations!Q110,'Reaction Information'!$C$17,'Reaction Information'!$P$17*10^5,'Reaction Information'!$Q$17)*Calculations!$U110*10^-6 + (1/$S110 - 1)*calculate_domegadP(Calculations!M110,Calculations!N110,Calculations!Q110,'Reaction Information'!$C$17,'Reaction Information'!$P$17*10^5,'Reaction Information'!$Q$17,$D$20,$D$19=3))*41.84)</f>
        <v>#N/A</v>
      </c>
      <c r="BO110" s="8" t="e">
        <f>IF(OR(ISBLANK(Input!$AD$4),$D$27=FALSE),NA(),('Reaction Information'!$J$21/10+'Reaction Information'!$K$21*100/(Calculations!$C$12+Calculations!$M110)+('Reaction Information'!$L$21+'Reaction Information'!$M$21*10000/(Calculations!$C$12+Calculations!$M110))/(Calculations!$O110-Calculations!$C$13)-calculateOmega(Calculations!M110,Calculations!N110,Calculations!Q110,'Reaction Information'!$C$21,'Reaction Information'!$P$21*10^5,'Reaction Information'!$Q$21)*Calculations!$U110*10^-6 + (1/$S110 - 1)*calculate_domegadP(Calculations!M110,Calculations!N110,Calculations!Q110,'Reaction Information'!$C$21,'Reaction Information'!$P$21*10^5,'Reaction Information'!$Q$21,$D$20,$D$19=3))*41.84)</f>
        <v>#N/A</v>
      </c>
      <c r="BP110" s="8" t="e">
        <f>IF(OR(ISBLANK(Input!$AG$4),$D$27=FALSE),NA(),('Reaction Information'!$J$25/10+'Reaction Information'!$K$25*100/(Calculations!$C$12+Calculations!$M110)+('Reaction Information'!$L$25+'Reaction Information'!$M$25*10000/(Calculations!$C$12+Calculations!$M110))/(Calculations!$O110-Calculations!$C$13)-calculateOmega(Calculations!M110,Calculations!N110,Calculations!Q110,'Reaction Information'!$C$25,'Reaction Information'!$P$25*10^5,'Reaction Information'!$Q$25)*Calculations!$U110*10^-6 + (1/$S110 - 1)*calculate_domegadP(Calculations!M110,Calculations!N110,Calculations!Q110,'Reaction Information'!$C$25,'Reaction Information'!$P$25*10^5,'Reaction Information'!$Q$25,$D$20,$D$19=3))*41.84)</f>
        <v>#N/A</v>
      </c>
      <c r="BQ110" s="8" t="e">
        <f>IF(OR(ISBLANK(Input!$AJ$4),$D$27=FALSE),NA(),('Reaction Information'!$J$29/10+'Reaction Information'!$K$29*100/(Calculations!$C$12+Calculations!$M110)+('Reaction Information'!$L$29+'Reaction Information'!$M$29*10000/(Calculations!$C$12+Calculations!$M110))/(Calculations!$O110-Calculations!$C$13)-calculateOmega(Calculations!M110,Calculations!N110,Calculations!Q110,'Reaction Information'!$C$29,'Reaction Information'!$P$29*10^5,'Reaction Information'!$Q$29)*Calculations!$U110*10^-6 + (1/$S110 - 1)*calculate_domegadP(Calculations!M110,Calculations!N110,Calculations!Q110,'Reaction Information'!$C$29,'Reaction Information'!$P$29*10^5,'Reaction Information'!$Q$29,$D$20,$D$19=3))*41.84)</f>
        <v>#N/A</v>
      </c>
      <c r="BR110" s="8" t="e">
        <f>IF(OR(ISBLANK(Input!$AM$4),$D$27=FALSE),NA(),('Reaction Information'!$J$33/10+'Reaction Information'!$K$33*100/(Calculations!$C$12+Calculations!$M110)+('Reaction Information'!$L$33+'Reaction Information'!$M$33*10000/(Calculations!$C$12+Calculations!$M110))/(Calculations!$O110-Calculations!$C$13)-calculateOmega(Calculations!M110,Calculations!N110,Calculations!Q110,'Reaction Information'!$C$33,'Reaction Information'!$P$33*10^5,'Reaction Information'!$Q$33)*Calculations!$U110*10^-6 + (1/$S110 - 1)*calculate_domegadP(Calculations!M110,Calculations!N110,Calculations!Q110,'Reaction Information'!$C$33,'Reaction Information'!$P$33*10^5,'Reaction Information'!$Q$33,$D$20,$D$19=3))*41.84)</f>
        <v>#N/A</v>
      </c>
      <c r="BS110" s="1">
        <f>Results!AW112</f>
        <v>0</v>
      </c>
      <c r="BT110" s="1">
        <f>Results!AX112</f>
        <v>0</v>
      </c>
      <c r="BU110" s="1">
        <f>Results!AY112</f>
        <v>0</v>
      </c>
      <c r="BV110" s="1">
        <f>Results!AZ112</f>
        <v>0</v>
      </c>
      <c r="BW110" s="1" t="e">
        <f>IF(OR(ISNA('Reaction Information'!$D$38), $N110 = "", $D$27 = FALSE, 'Reaction Information'!$D$38 = ""), NA(), 24.465)</f>
        <v>#N/A</v>
      </c>
      <c r="BX110" s="1" t="e">
        <f>IF(OR(ISNA('Reaction Information'!$D$42), $N110 = "", $D$27 = FALSE, 'Reaction Information'!$D$42 = ""), NA(), 24.465)</f>
        <v>#N/A</v>
      </c>
      <c r="BY110" s="8" t="e">
        <f t="shared" si="37"/>
        <v>#N/A</v>
      </c>
      <c r="BZ110" s="8">
        <f>IF(OR(ISBLANK(Input!$BK$4),$D$27=FALSE),NA(),('Reaction Information'!$J$46/10+'Reaction Information'!$K$46*100/(Calculations!$C$12+Calculations!$M110)+('Reaction Information'!$L$46+'Reaction Information'!$M$46*10000/(Calculations!$C$12+Calculations!$M110))/(Calculations!$O110-Calculations!$C$13)-calculateOmega(Calculations!M110,Calculations!N110,Calculations!Q110,'Reaction Information'!$C$46,'Reaction Information'!$P$46*10^5,'Reaction Information'!$Q$46)*Calculations!$U110*10^-6 + (1/$S110 - 1)*calculate_domegadP(Calculations!M110,Calculations!N110,Calculations!Q110,'Reaction Information'!$C$46,'Reaction Information'!$P$46*10^5,'Reaction Information'!$Q$46,$D$20,$D$19=3))*41.84)</f>
        <v>0</v>
      </c>
      <c r="CA110" s="8">
        <f>IF(OR(ISBLANK(Input!$BN$4),$D$27=FALSE),NA(),('Reaction Information'!$J$50/10+'Reaction Information'!$K$50*100/(Calculations!$C$12+Calculations!$M110)+('Reaction Information'!$L$50+'Reaction Information'!$M$50*10000/(Calculations!$C$12+Calculations!$M110))/(Calculations!$O110-Calculations!$C$13)-calculateOmega(Calculations!M110,Calculations!N110,Calculations!Q110,'Reaction Information'!$C$50,'Reaction Information'!$P$50*10^5,'Reaction Information'!$Q$50)*Calculations!$U110*10^-6 + (1/$S110 - 1)*calculate_domegadP(Calculations!M110,Calculations!N110,Calculations!Q110,'Reaction Information'!$C$50,'Reaction Information'!$P$50*10^5,'Reaction Information'!$Q$50,$D$20,$D$19=3))*41.84)</f>
        <v>30.216544913328878</v>
      </c>
      <c r="CB110" s="8" t="e">
        <f>IF(OR(ISBLANK(Input!$BQ$4),$D$27=FALSE),NA(),('Reaction Information'!$J$54/10+'Reaction Information'!$K$54*100/(Calculations!$C$12+Calculations!$M110)+('Reaction Information'!$L$54+'Reaction Information'!$M$54*10000/(Calculations!$C$12+Calculations!$M110))/(Calculations!$O110-Calculations!$C$13)-calculateOmega(Calculations!M110,Calculations!N110,Calculations!Q110,'Reaction Information'!$C$54,'Reaction Information'!$P$54*10^5,'Reaction Information'!$Q$54)*Calculations!$U110*10^-6 + (1/$S110 - 1)*calculate_domegadP(Calculations!M110,Calculations!N110,Calculations!Q110,'Reaction Information'!$C$54,'Reaction Information'!$P$54*10^5,'Reaction Information'!$Q$54,$D$20,$D$19=3))*41.84)</f>
        <v>#N/A</v>
      </c>
      <c r="CC110" s="8" t="e">
        <f>IF(OR(ISBLANK(Input!$BT$4),$D$27=FALSE),NA(),('Reaction Information'!$J$58/10+'Reaction Information'!$K$58*100/(Calculations!$C$12+Calculations!$M110)+('Reaction Information'!$L$58+'Reaction Information'!$M$58*10000/(Calculations!$C$12+Calculations!$M110))/(Calculations!$O110-Calculations!$C$13)-calculateOmega(Calculations!M110,Calculations!N110,Calculations!Q110,'Reaction Information'!$C$58,'Reaction Information'!$P$58*10^5,'Reaction Information'!$Q$58)*Calculations!$U110*10^-6 + (1/$S110 - 1)*calculate_domegadP(Calculations!M110,Calculations!N110,Calculations!Q110,'Reaction Information'!$C$58,'Reaction Information'!$P$58*10^5,'Reaction Information'!$Q$58,$D$20,$D$19=3))*41.84)</f>
        <v>#N/A</v>
      </c>
      <c r="CD110" s="8" t="e">
        <f>IF(OR(ISBLANK(Input!$BW$4),$D$27=FALSE),NA(),('Reaction Information'!$J$62/10+'Reaction Information'!$K$62*100/(Calculations!$C$12+Calculations!$M110)+('Reaction Information'!$L$62+'Reaction Information'!$M$62*10000/(Calculations!$C$12+Calculations!$M110))/(Calculations!$O110-Calculations!$C$13)-calculateOmega(Calculations!M110,Calculations!N110,Calculations!Q110,'Reaction Information'!$C$62,'Reaction Information'!$P$62*10^5,'Reaction Information'!$Q$62)*Calculations!$U110*10^-6 + (1/$S110 - 1)*calculate_domegadP(Calculations!M110,Calculations!N110,Calculations!Q110,'Reaction Information'!$C$62,'Reaction Information'!$P$62*10^5,'Reaction Information'!$Q$62,$D$20,$D$19=3))*41.84)</f>
        <v>#N/A</v>
      </c>
      <c r="CE110" s="8" t="e">
        <f>IF(OR(ISBLANK(Input!$BZ$4),$D$27=FALSE),NA(),('Reaction Information'!$J$66/10+'Reaction Information'!$K$66*100/(Calculations!$C$12+Calculations!$M110)+('Reaction Information'!$L$66+'Reaction Information'!$M$66*10000/(Calculations!$C$12+Calculations!$M110))/(Calculations!$O110-Calculations!$C$13)-calculateOmega(Calculations!M110,Calculations!N110,Calculations!Q110,'Reaction Information'!$C$66,'Reaction Information'!$P$66*10^5,'Reaction Information'!$Q$66)*Calculations!$U110*10^-6 + (1/$S110 - 1)*calculate_domegadP(Calculations!M110,Calculations!N110,Calculations!Q110,'Reaction Information'!$C$66,'Reaction Information'!$P$66*10^5,'Reaction Information'!$Q$66,$D$20,$D$19=3))*41.84)</f>
        <v>#N/A</v>
      </c>
      <c r="CF110" s="31">
        <f>(BS110*Input!$AO$4+BT110*Input!$AR$4+BU110*Input!$AU$4+BV110*Input!$AX$4+IF(ISNA(BW110),0,BW110*Input!$BA$4)+IF(ISNA(BX110),0,BX110*Input!$BD$4)+IF(ISNA(BY110),0,BY110*Input!$BG$4)+IF(ISNA(BZ110),0,BZ110*Input!$BJ$4)+IF(ISNA(CA110),0,CA110*Input!$BM$4)+IF(ISNA(CB110),0,CB110*Input!$BP$4)+IF(ISNA(CC110),0,CC110*Input!$BS$4)+IF(ISNA(CD110),0,CD110*Input!$BV$4)+IF(ISNA(CE110),0,CE110*Input!$BY$4))-(BF110*Input!$B$4+BG110*Input!$E$4+BH110*Input!$H$4+BI110*Input!$K$4+IF(ISNA(BJ110),0,BJ110*Input!$N$4)+IF(ISNA(BK110),0,BK110*Input!$Q$4)+IF(ISNA(BL110),0,BL110*Input!$T$4)+IF(ISNA(BM110),0,BM110*Input!$W$4)+IF(ISNA(BN110),0,BN110*Input!$Z$4)+IF(ISNA(BO110),0,BO110*Input!$AC$4)+IF(ISNA(BP110),0,BP110*Input!$AF$4)+IF(ISNA(BQ110),0,BQ110*Input!$AI$4)+IF(ISNA(BR110),0,BR110*Input!$AL$4))</f>
        <v>-15.815989750285187</v>
      </c>
      <c r="CG110" s="1">
        <f t="shared" si="31"/>
        <v>1000</v>
      </c>
      <c r="CH110" s="46">
        <f t="shared" si="32"/>
        <v>35000</v>
      </c>
      <c r="CI110" s="1"/>
    </row>
    <row r="111" spans="1:87" x14ac:dyDescent="0.2">
      <c r="A111" s="1"/>
      <c r="B111" s="1"/>
      <c r="C111" s="1"/>
      <c r="D111" s="1"/>
      <c r="E111" s="1"/>
      <c r="F111" s="2">
        <v>106</v>
      </c>
      <c r="G111" s="1" t="str">
        <f>IF(ISBLANK(Input!CB111), "", Input!CB111*1000)</f>
        <v/>
      </c>
      <c r="H111" s="1" t="str">
        <f>IF(ISBLANK(Input!CC111), "", Input!CC111)</f>
        <v/>
      </c>
      <c r="I111" s="1">
        <f>IF(Input!$CF$5 + Input!$CF$6*(FLOOR((Calculations!$F111-1)/(FLOOR((Input!$CF$12-Input!$CF$10)/Input!$CF$11,1)+1),1)) &gt; Input!$CF$7, "", (Input!$CF$5 + Input!$CF$6*(FLOOR((Calculations!$F111-1)/(FLOOR((Input!$CF$12-Input!$CF$10)/Input!$CF$11,1)+1),1)))*1000)</f>
        <v>40000</v>
      </c>
      <c r="J111" s="1">
        <f>IF(Calculations!I111 = "", "", Input!$CF$10 + Input!$CF$11*(Calculations!$F111-1) - (FLOOR((Input!$CF$12-Input!$CF$10)/Input!$CF$11,1)+1)*Input!$CF$11*FLOOR((Calculations!$F111-1)/(FLOOR((Input!$CF$12-Input!$CF$10)/Input!$CF$11,1)+1),1))</f>
        <v>300</v>
      </c>
      <c r="K111" s="8" t="str">
        <f t="shared" si="33"/>
        <v/>
      </c>
      <c r="L111" s="117" t="str">
        <f>IF(OR(Input!$CJ$5 + Input!$CJ$6*(Calculations!F111-1) &gt; Input!$CJ$7, Input!$CJ$5 + Input!$CJ$6*(Calculations!F111-1) &gt; 350), "", Input!$CJ$5 + Input!$CJ$6*(Calculations!F111-1))</f>
        <v/>
      </c>
      <c r="M111" s="1">
        <f t="shared" si="23"/>
        <v>40000</v>
      </c>
      <c r="N111" s="1">
        <f t="shared" si="24"/>
        <v>300</v>
      </c>
      <c r="O111" s="1">
        <f t="shared" si="34"/>
        <v>573.15</v>
      </c>
      <c r="P111" s="1" t="e">
        <f>IF(OR($D$20=3,AND($D$21=TRUE,M111&lt;1000)),INDEX('Water Density'!$C$6:$CX$120,MATCH(Calculations!N111,'Water Density'!$B$6:$B$120),MATCH(Calculations!M111/1000,'Water Density'!$C$5:$CX$5)),NA())</f>
        <v>#N/A</v>
      </c>
      <c r="Q111" s="182">
        <f>IF(OR($D$20=3,AND($D$21=TRUE,M111&lt;1000)), IF(P111&lt;&gt;0,P111,NA()), calculateDensity(M111,N111,$D$20,0.01,$D$19 = 3))</f>
        <v>1.4097822108012439</v>
      </c>
      <c r="R111" s="1" t="e">
        <f>IF($D$22=5,INDEX('Dielectric Constant'!$C$6:$CX$120,MATCH(Calculations!N111,'Dielectric Constant'!$B$6:$B$120),MATCH(Calculations!M111/1000,'Dielectric Constant'!$C$5:$CX$5)),NA())</f>
        <v>#N/A</v>
      </c>
      <c r="S111" s="58">
        <f>IF($D$22=5, IF(R111&lt;&gt;0,R111,NA()), IF(AND($D$23,M111&lt;=5000,$D$19 &lt;&gt; 3),calculateEpsilon(Q111,N111,1,FALSE),calculateEpsilon(Q111,N111,$D$22,$D$19 = 3)))</f>
        <v>56.58068158308631</v>
      </c>
      <c r="T111" s="1" t="e">
        <f>IF($D$24=3,INDEX('Water Free Energy'!$C$6:$CX$120,MATCH(Calculations!N111,'Water Free Energy'!$B$6:$B$120),MATCH(Calculations!M111/1000,'Water Free Energy'!$C$5:$CX$5)),NA())</f>
        <v>#N/A</v>
      </c>
      <c r="U111" s="179">
        <f>IF($D$27,calculateQ(M111,N111,Q111,$D$20,$D$22,$D$19=3)*10^6,NA())</f>
        <v>9.8602080760246388E-2</v>
      </c>
      <c r="V111"/>
      <c r="W111" s="2">
        <f t="shared" si="25"/>
        <v>40000</v>
      </c>
      <c r="X111" s="1">
        <f t="shared" si="26"/>
        <v>300</v>
      </c>
      <c r="Y111" s="1">
        <f>Results!F113</f>
        <v>0</v>
      </c>
      <c r="Z111" s="1">
        <f>Results!G113</f>
        <v>0</v>
      </c>
      <c r="AA111" s="1">
        <f>Results!H113</f>
        <v>0</v>
      </c>
      <c r="AB111" s="1">
        <f>Results!I113</f>
        <v>0</v>
      </c>
      <c r="AC111" s="1" t="e">
        <f>IF(ISBLANK(Input!$O$4),NA(),'Reaction Information'!$E$5-'Reaction Information'!$G$5*(Calculations!$O111-Calculations!$C$8)+'Reaction Information'!$I$5*(Calculations!$O111-Calculations!$C$8-Calculations!$O111*LN(Calculations!$O111/Calculations!$C$8))+'Reaction Information'!$J$5*0.001/2*(2*Calculations!$O111*Calculations!$C$8-Calculations!$O111^2-Calculations!$C$8^2) + 'Reaction Information'!$K$5*100000*(Calculations!$O111^2 + Calculations!$C$8^2 - 2*Calculations!$O111*Calculations!$C$8)/(2*Calculations!$O111*Calculations!$C$8^2))</f>
        <v>#N/A</v>
      </c>
      <c r="AD111" s="8" t="e">
        <f>IF(ISBLANK(Input!$R$4),NA(),'Reaction Information'!$E$9-'Reaction Information'!$G$9*(Calculations!$O111-Calculations!$C$8)+'Reaction Information'!$I$9*(Calculations!$O111-Calculations!$C$8-Calculations!$O111*LN(Calculations!$O111/Calculations!$C$8))+'Reaction Information'!$J$9*0.001/2*(2*Calculations!$O111*Calculations!$C$8-Calculations!$O111^2-Calculations!$C$8^2) + 'Reaction Information'!$K$9*100000*(Calculations!$O111^2 + Calculations!$C$8^2 - 2*Calculations!$O111*Calculations!$C$8)/(2*Calculations!$O111*Calculations!$C$8^2))</f>
        <v>#N/A</v>
      </c>
      <c r="AE111" s="8">
        <f>IF(AE$5="H2O",IF($D$24=3,IF(T111=0,NA(),T111),calculateGibbsOfWater(M111,N111,$D$24,$D$20,$D$19=3)),NA())</f>
        <v>-48461.558918658047</v>
      </c>
      <c r="AF111" s="8">
        <f>IF(ISBLANK(Input!$X$4),NA(),'Reaction Information'!$E$13-'Reaction Information'!$G$13*(Calculations!O111-Calculations!$C$8)-'Reaction Information'!$N$13*(Calculations!O111*LN(Calculations!O111/Calculations!$C$8)-Calculations!O111+Calculations!$C$8)-'Reaction Information'!$O$13*10^4*(((1/(Calculations!O111-Calculations!$C$13))-(1/(Calculations!$C$8-Calculations!$C$13)))*((Calculations!$C$13-Calculations!O111)/(Calculations!$C$13))-(Calculations!O111/(Calculations!$C$13*Calculations!$C$13))*LN((Calculations!$C$8*(Calculations!O111-Calculations!$C$13))/(Calculations!O111*(Calculations!$C$8-Calculations!$C$13))))+'Reaction Information'!$J$13*10^-1*(Calculations!M111-Calculations!$C$9)+'Reaction Information'!$K$13*10^2*LN((Calculations!$C$12+Calculations!M111)/(Calculations!$C$12+Calculations!$C$9))+(1/(Calculations!O111-Calculations!$C$13))*('Reaction Information'!$L$13*(Calculations!M111-Calculations!$C$9)+'Reaction Information'!$M$13*10^4*LN((Calculations!$C$12+Calculations!M111)/(Calculations!$C$12+Calculations!$C$9)))+calculateOmega(Calculations!M111,Calculations!N111,Calculations!Q111,'Reaction Information'!$C$13,'Reaction Information'!$P$13*10^5,'Reaction Information'!$Q$13)*((1/Calculations!S111)-1)-'Reaction Information'!$P$13*10^5*((1/Calculations!$C$10)-1)+'Reaction Information'!$P$13*10^5*Calculations!$C$14*(Calculations!O111-Calculations!$C$8))</f>
        <v>-73451.08823122886</v>
      </c>
      <c r="AG111" s="8" t="e">
        <f>IF(ISBLANK(Input!$AA$4),NA(),'Reaction Information'!$E$17-'Reaction Information'!$G$17*(Calculations!$O111-Calculations!$C$8)-'Reaction Information'!$N$17*(Calculations!$O111*LN(Calculations!$O111/Calculations!$C$8)-Calculations!$O111+Calculations!$C$8)-'Reaction Information'!$O$17*10^4*(((1/(Calculations!$O111-Calculations!$C$13))-(1/(Calculations!$C$8-Calculations!$C$13)))*((Calculations!$C$13-Calculations!$O111)/(Calculations!$C$13))-(Calculations!$O111/(Calculations!$C$13*Calculations!$C$13))*LN((Calculations!$C$8*(Calculations!$O111-Calculations!$C$13))/(Calculations!$O111*(Calculations!$C$8-Calculations!$C$13))))+'Reaction Information'!$J$17*10^-1*(Calculations!$M111-Calculations!$C$9)+'Reaction Information'!$K$17*10^2*LN((Calculations!$C$12+Calculations!$M111)/(Calculations!$C$12+Calculations!$C$9))+(1/(Calculations!$O111-Calculations!$C$13))*('Reaction Information'!$L$17*(Calculations!$M111-Calculations!$C$9)+'Reaction Information'!$M$17*10^4*LN((Calculations!$C$12+Calculations!$M111)/(Calculations!$C$12+Calculations!$C$9)))+calculateOmega(Calculations!M111,Calculations!N111,Calculations!Q111,'Reaction Information'!$C$17,'Reaction Information'!$P$17*10^5,'Reaction Information'!$Q$17)*((1/Calculations!$S111)-1)-'Reaction Information'!$P$17*10^5*((1/Calculations!$C$10)-1)+'Reaction Information'!$P$17*10^5*Calculations!$C$14*(Calculations!$O111-Calculations!$C$8))</f>
        <v>#N/A</v>
      </c>
      <c r="AH111" s="8" t="e">
        <f>IF(ISBLANK(Input!$AD$4),NA(),'Reaction Information'!$E$21-'Reaction Information'!$G$21*(Calculations!$O111-Calculations!$C$8)-'Reaction Information'!$N$21*(Calculations!$O111*LN(Calculations!$O111/Calculations!$C$8)-Calculations!$O111+Calculations!$C$8)-'Reaction Information'!$O$21*10^4*(((1/(Calculations!$O111-Calculations!$C$13))-(1/(Calculations!$C$8-Calculations!$C$13)))*((Calculations!$C$13-Calculations!$O111)/(Calculations!$C$13))-(Calculations!$O111/(Calculations!$C$13*Calculations!$C$13))*LN((Calculations!$C$8*(Calculations!$O111-Calculations!$C$13))/(Calculations!$O111*(Calculations!$C$8-Calculations!$C$13))))+'Reaction Information'!$J$21*10^-1*(Calculations!$M111-Calculations!$C$9)+'Reaction Information'!$K$21*10^2*LN((Calculations!$C$12+Calculations!$M111)/(Calculations!$C$12+Calculations!$C$9))+(1/(Calculations!$O111-Calculations!$C$13))*('Reaction Information'!$L$21*(Calculations!$M111-Calculations!$C$9)+'Reaction Information'!$M$21*10^4*LN((Calculations!$C$12+Calculations!$M111)/(Calculations!$C$12+Calculations!$C$9)))+calculateOmega(Calculations!M111,Calculations!N111,Calculations!Q111,'Reaction Information'!$C$21,'Reaction Information'!$P$21*10^5,'Reaction Information'!$Q$21)*((1/Calculations!$S111)-1)-'Reaction Information'!$P$21*10^5*((1/Calculations!$C$10)-1)+'Reaction Information'!$P$21*10^5*Calculations!$C$14*(Calculations!$O111-Calculations!$C$8))</f>
        <v>#N/A</v>
      </c>
      <c r="AI111" s="8" t="e">
        <f>IF(ISBLANK(Input!$AG$4),NA(),'Reaction Information'!$E$25-'Reaction Information'!$G$25*(Calculations!$O111-Calculations!$C$8)-'Reaction Information'!$N$25*(Calculations!$O111*LN(Calculations!$O111/Calculations!$C$8)-Calculations!$O111+Calculations!$C$8)-'Reaction Information'!$O$25*10^4*(((1/(Calculations!$O111-Calculations!$C$13))-(1/(Calculations!$C$8-Calculations!$C$13)))*((Calculations!$C$13-Calculations!$O111)/(Calculations!$C$13))-(Calculations!$O111/(Calculations!$C$13*Calculations!$C$13))*LN((Calculations!$C$8*(Calculations!$O111-Calculations!$C$13))/(Calculations!$O111*(Calculations!$C$8-Calculations!$C$13))))+'Reaction Information'!$J$25*10^-1*(Calculations!$M111-Calculations!$C$9)+'Reaction Information'!$K$25*10^2*LN((Calculations!$C$12+Calculations!$M111)/(Calculations!$C$12+Calculations!$C$9))+(1/(Calculations!$O111-Calculations!$C$13))*('Reaction Information'!$L$25*(Calculations!$M111-Calculations!$C$9)+'Reaction Information'!$M$25*10^4*LN((Calculations!$C$12+Calculations!$M111)/(Calculations!$C$12+Calculations!$C$9)))+calculateOmega(Calculations!M111,Calculations!N111,Calculations!Q111,'Reaction Information'!$C$25,'Reaction Information'!$P$25*10^5,'Reaction Information'!$Q$25)*((1/Calculations!$S111)-1)-'Reaction Information'!$P$25*10^5*((1/Calculations!$C$10)-1)+'Reaction Information'!$P$25*10^5*Calculations!$C$14*(Calculations!$O111-Calculations!$C$8))</f>
        <v>#N/A</v>
      </c>
      <c r="AJ111" s="8" t="e">
        <f>IF(ISBLANK(Input!$AJ$4),NA(),'Reaction Information'!$E$29-'Reaction Information'!$G$29*(Calculations!$O111-Calculations!$C$8)-'Reaction Information'!$N$29*(Calculations!$O111*LN(Calculations!$O111/Calculations!$C$8)-Calculations!$O111+Calculations!$C$8)-'Reaction Information'!$O$29*10^4*(((1/(Calculations!$O111-Calculations!$C$13))-(1/(Calculations!$C$8-Calculations!$C$13)))*((Calculations!$C$13-Calculations!$O111)/(Calculations!$C$13))-(Calculations!$O111/(Calculations!$C$13*Calculations!$C$13))*LN((Calculations!$C$8*(Calculations!$O111-Calculations!$C$13))/(Calculations!$O111*(Calculations!$C$8-Calculations!$C$13))))+'Reaction Information'!$J$29*10^-1*(Calculations!$M111-Calculations!$C$9)+'Reaction Information'!$K$29*10^2*LN((Calculations!$C$12+Calculations!$M111)/(Calculations!$C$12+Calculations!$C$9))+(1/(Calculations!$O111-Calculations!$C$13))*('Reaction Information'!$L$29*(Calculations!$M111-Calculations!$C$9)+'Reaction Information'!$M$29*10^4*LN((Calculations!$C$12+Calculations!$M111)/(Calculations!$C$12+Calculations!$C$9)))+calculateOmega(Calculations!M111,Calculations!N111,Calculations!Q111,'Reaction Information'!$C$29,'Reaction Information'!$P$29*10^5,'Reaction Information'!$Q$29)*((1/Calculations!$S111)-1)-'Reaction Information'!$P$29*10^5*((1/Calculations!$C$10)-1)+'Reaction Information'!$P$29*10^5*Calculations!$C$14*(Calculations!$O111-Calculations!$C$8))</f>
        <v>#N/A</v>
      </c>
      <c r="AK111" s="8" t="e">
        <f>IF(ISBLANK(Input!$AM$4),NA(),'Reaction Information'!$E$33-'Reaction Information'!$G$33*(Calculations!$O111-Calculations!$C$8)-'Reaction Information'!$N$33*(Calculations!$O111*LN(Calculations!$O111/Calculations!$C$8)-Calculations!$O111+Calculations!$C$8)-'Reaction Information'!$O$33*10^4*(((1/(Calculations!$O111-Calculations!$C$13))-(1/(Calculations!$C$8-Calculations!$C$13)))*((Calculations!$C$13-Calculations!$O111)/(Calculations!$C$13))-(Calculations!$O111/(Calculations!$C$13*Calculations!$C$13))*LN((Calculations!$C$8*(Calculations!$O111-Calculations!$C$13))/(Calculations!$O111*(Calculations!$C$8-Calculations!$C$13))))+'Reaction Information'!$J$33*10^-1*(Calculations!$M111-Calculations!$C$9)+'Reaction Information'!$K$33*10^2*LN((Calculations!$C$12+Calculations!$M111)/(Calculations!$C$12+Calculations!$C$9))+(1/(Calculations!$O111-Calculations!$C$13))*('Reaction Information'!$L$33*(Calculations!$M111-Calculations!$C$9)+'Reaction Information'!$M$33*10^4*LN((Calculations!$C$12+Calculations!$M111)/(Calculations!$C$12+Calculations!$C$9)))+calculateOmega(Calculations!M111,Calculations!N111,Calculations!Q111,'Reaction Information'!$C$33,'Reaction Information'!$P$33*10^5,'Reaction Information'!$Q$33)*((1/Calculations!$S111)-1)-'Reaction Information'!$P$33*10^5*((1/Calculations!$C$10)-1)+'Reaction Information'!$P$33*10^5*Calculations!$C$14*(Calculations!$O111-Calculations!$C$8))</f>
        <v>#N/A</v>
      </c>
      <c r="AL111" s="1">
        <f>Results!S113</f>
        <v>0</v>
      </c>
      <c r="AM111" s="1">
        <f>Results!T113</f>
        <v>0</v>
      </c>
      <c r="AN111" s="1">
        <f>Results!U113</f>
        <v>0</v>
      </c>
      <c r="AO111" s="1">
        <f>Results!V113</f>
        <v>0</v>
      </c>
      <c r="AP111" s="8" t="e">
        <f>IF(ISBLANK(Input!$BB$4),NA(),'Reaction Information'!$E$38-'Reaction Information'!$G$38*(Calculations!$O111-Calculations!$C$8)+'Reaction Information'!$I$38*(Calculations!$O111-Calculations!$C$8-Calculations!$O111*LN(Calculations!$O111/Calculations!$C$8))+'Reaction Information'!$J$38*0.001/2*(2*Calculations!$O111*Calculations!$C$8-Calculations!$O111^2-Calculations!$C$8^2) + 'Reaction Information'!$K$38*100000*(Calculations!$O111^2 + Calculations!$C$8^2 - 2*Calculations!$O111*Calculations!$C$8)/(2*Calculations!$O111*Calculations!$C$8^2))</f>
        <v>#N/A</v>
      </c>
      <c r="AQ111" s="8" t="e">
        <f>IF(ISBLANK(Input!$BE$4),NA(),'Reaction Information'!$E$42-'Reaction Information'!$G$42*(Calculations!$O111-Calculations!$C$8)+'Reaction Information'!$I$42*(Calculations!$O111-Calculations!$C$8-Calculations!$O111*LN(Calculations!$O111/Calculations!$C$8))+'Reaction Information'!$J$42*0.001/2*(2*Calculations!$O111*Calculations!$C$8-Calculations!$O111^2-Calculations!$C$8^2) + 'Reaction Information'!$K$42*100000*(Calculations!$O111^2 + Calculations!$C$8^2 - 2*Calculations!$O111*Calculations!$C$8)/(2*Calculations!$O111*Calculations!$C$8^2))</f>
        <v>#N/A</v>
      </c>
      <c r="AR111" s="8" t="e">
        <f>IF(AR$5="H2O", IF($D$24=3,IF(T111=0,NA(),T111),calculateGibbsOfWater(M111,N111,$D$24,$D$20,$D$19=3)),NA())</f>
        <v>#N/A</v>
      </c>
      <c r="AS111" s="8">
        <f>IF(ISBLANK(Input!$BK$4),NA(),'Reaction Information'!$E$46-'Reaction Information'!$G$46*(Calculations!O111-Calculations!$C$8)-'Reaction Information'!$N$46*(Calculations!O111*LN(Calculations!O111/Calculations!$C$8)-Calculations!O111+Calculations!$C$8)-'Reaction Information'!$O$46*10^4*(((1/(Calculations!O111-Calculations!$C$13))-(1/(Calculations!$C$8-Calculations!$C$13)))*((Calculations!$C$13-Calculations!O111)/(Calculations!$C$13))-(Calculations!O111/(Calculations!$C$13*Calculations!$C$13))*LN((Calculations!$C$8*(Calculations!O111-Calculations!$C$13))/(Calculations!O111*(Calculations!$C$8-Calculations!$C$13))))+'Reaction Information'!$J$46*10^-1*(Calculations!$M111-Calculations!$C$9)+'Reaction Information'!$K$46*10^2*LN((Calculations!$C$12+Calculations!$M111)/(Calculations!$C$12+Calculations!$C$9))+(1/(Calculations!O111-Calculations!$C$13))*('Reaction Information'!$L$46*(Calculations!$M111-Calculations!$C$9)+'Reaction Information'!$M$46*10^4*LN((Calculations!$C$12+Calculations!$M111)/(Calculations!$C$12+Calculations!$C$9)))+calculateOmega(Calculations!M111,Calculations!N111,Calculations!Q111,'Reaction Information'!$C$46,'Reaction Information'!$P$46*10^5,'Reaction Information'!$Q$46)*((1/Calculations!S111)-1)-'Reaction Information'!$P$46*10^5*((1/Calculations!$C$10)-1)+'Reaction Information'!$P$46*10^5*Calculations!$C$14*(Calculations!O111-Calculations!$C$8))</f>
        <v>0</v>
      </c>
      <c r="AT111" s="8">
        <f>IF(ISBLANK(Input!$BN$4),NA(),'Reaction Information'!$E$50-'Reaction Information'!$G$50*(Calculations!O111-Calculations!$C$8)-'Reaction Information'!$N$50*(Calculations!O111*LN(Calculations!O111/Calculations!$C$8)-Calculations!O111+Calculations!$C$8)-'Reaction Information'!$O$50*10^4*(((1/(Calculations!O111-Calculations!$C$13))-(1/(Calculations!$C$8-Calculations!$C$13)))*((Calculations!$C$13-Calculations!O111)/(Calculations!$C$13))-(Calculations!O111/(Calculations!$C$13*Calculations!$C$13))*LN((Calculations!$C$8*(Calculations!O111-Calculations!$C$13))/(Calculations!O111*(Calculations!$C$8-Calculations!$C$13))))+'Reaction Information'!$J$50*10^-1*(Calculations!$M111-Calculations!$C$9)+'Reaction Information'!$K$50*10^2*LN((Calculations!$C$12+Calculations!$M111)/(Calculations!$C$12+Calculations!$C$9))+(1/(Calculations!O111-Calculations!$C$13))*('Reaction Information'!$L$50*(Calculations!$M111-Calculations!$C$9)+'Reaction Information'!$M$50*10^4*LN((Calculations!$C$12+Calculations!$M111)/(Calculations!$C$12+Calculations!$C$9)))+calculateOmega(Calculations!M111,Calculations!N111,Calculations!Q111,'Reaction Information'!$C$50,'Reaction Information'!$P$50*10^5,'Reaction Information'!$Q$50)*((1/Calculations!S111)-1)-'Reaction Information'!$P$50*10^5*((1/Calculations!$C$10)-1)+'Reaction Information'!$P$50*10^5*Calculations!$C$14*(Calculations!O111-Calculations!$C$8))</f>
        <v>-118293.66895321825</v>
      </c>
      <c r="AU111" s="8" t="e">
        <f>IF(ISBLANK(Input!$BQ$4),NA(),'Reaction Information'!$E$54-'Reaction Information'!$G$54*(Calculations!$O111-Calculations!$C$8)-'Reaction Information'!$N$54*(Calculations!$O111*LN(Calculations!$O111/Calculations!$C$8)-Calculations!$O111+Calculations!$C$8)-'Reaction Information'!$O$54*10^4*(((1/(Calculations!$O111-Calculations!$C$13))-(1/(Calculations!$C$8-Calculations!$C$13)))*((Calculations!$C$13-Calculations!$O111)/(Calculations!$C$13))-(Calculations!$O111/(Calculations!$C$13*Calculations!$C$13))*LN((Calculations!$C$8*(Calculations!$O111-Calculations!$C$13))/(Calculations!$O111*(Calculations!$C$8-Calculations!$C$13))))+'Reaction Information'!$J$54*10^-1*(Calculations!$M111-Calculations!$C$9)+'Reaction Information'!$K$54*10^2*LN((Calculations!$C$12+Calculations!$M111)/(Calculations!$C$12+Calculations!$C$9))+(1/(Calculations!$O111-Calculations!$C$13))*('Reaction Information'!$L$54*(Calculations!$M111-Calculations!$C$9)+'Reaction Information'!$M$54*10^4*LN((Calculations!$C$12+Calculations!$M111)/(Calculations!$C$12+Calculations!$C$9)))+calculateOmega(Calculations!M111,Calculations!N111,Calculations!Q111,'Reaction Information'!$C$54,'Reaction Information'!$P$54*10^5,'Reaction Information'!$Q$54)*((1/Calculations!$S111)-1)-'Reaction Information'!$P$54*10^5*((1/Calculations!$C$10)-1)+'Reaction Information'!$P$54*10^5*Calculations!$C$14*(Calculations!$O111-Calculations!$C$8))</f>
        <v>#N/A</v>
      </c>
      <c r="AV111" s="8" t="e">
        <f>IF(ISBLANK(Input!$BT$4),NA(),'Reaction Information'!$E$58-'Reaction Information'!$G$58*(Calculations!$O111-Calculations!$C$8)-'Reaction Information'!$N$58*(Calculations!$O111*LN(Calculations!$O111/Calculations!$C$8)-Calculations!$O111+Calculations!$C$8)-'Reaction Information'!$O$58*10^4*(((1/(Calculations!$O111-Calculations!$C$13))-(1/(Calculations!$C$8-Calculations!$C$13)))*((Calculations!$C$13-Calculations!$O111)/(Calculations!$C$13))-(Calculations!$O111/(Calculations!$C$13*Calculations!$C$13))*LN((Calculations!$C$8*(Calculations!$O111-Calculations!$C$13))/(Calculations!$O111*(Calculations!$C$8-Calculations!$C$13))))+'Reaction Information'!$J$58*10^-1*(Calculations!$M111-Calculations!$C$9)+'Reaction Information'!$K$58*10^2*LN((Calculations!$C$12+Calculations!$M111)/(Calculations!$C$12+Calculations!$C$9))+(1/(Calculations!$O111-Calculations!$C$13))*('Reaction Information'!$L$58*(Calculations!$M111-Calculations!$C$9)+'Reaction Information'!$M$58*10^4*LN((Calculations!$C$12+Calculations!$M111)/(Calculations!$C$12+Calculations!$C$9)))+calculateOmega(Calculations!M111,Calculations!N111,Calculations!Q111,'Reaction Information'!$C$58,'Reaction Information'!$P$58*10^5,'Reaction Information'!$Q$58)*((1/Calculations!$S111)-1)-'Reaction Information'!$P$58*10^5*((1/Calculations!$C$10)-1)+'Reaction Information'!$P$58*10^5*Calculations!$C$14*(Calculations!$O111-Calculations!$C$8))</f>
        <v>#N/A</v>
      </c>
      <c r="AW111" s="8" t="e">
        <f>IF(ISBLANK(Input!$BW$4),NA(),'Reaction Information'!$E$62-'Reaction Information'!$G$62*(Calculations!$O111-Calculations!$C$8)-'Reaction Information'!$N$62*(Calculations!$O111*LN(Calculations!$O111/Calculations!$C$8)-Calculations!$O111+Calculations!$C$8)-'Reaction Information'!$O$62*10^4*(((1/(Calculations!$O111-Calculations!$C$13))-(1/(Calculations!$C$8-Calculations!$C$13)))*((Calculations!$C$13-Calculations!$O111)/(Calculations!$C$13))-(Calculations!$O111/(Calculations!$C$13*Calculations!$C$13))*LN((Calculations!$C$8*(Calculations!$O111-Calculations!$C$13))/(Calculations!$O111*(Calculations!$C$8-Calculations!$C$13))))+'Reaction Information'!$J$62*10^-1*(Calculations!$M111-Calculations!$C$9)+'Reaction Information'!$K$62*10^2*LN((Calculations!$C$12+Calculations!$M111)/(Calculations!$C$12+Calculations!$C$9))+(1/(Calculations!$O111-Calculations!$C$13))*('Reaction Information'!$L$62*(Calculations!$M111-Calculations!$C$9)+'Reaction Information'!$M$62*10^4*LN((Calculations!$C$12+Calculations!$M111)/(Calculations!$C$12+Calculations!$C$9)))+calculateOmega(Calculations!M111,Calculations!N111,Calculations!Q111,'Reaction Information'!$C$62,'Reaction Information'!$P$62*10^5,'Reaction Information'!$Q$62)*((1/Calculations!$S111)-1)-'Reaction Information'!$P$62*10^5*((1/Calculations!$C$10)-1)+'Reaction Information'!$P$62*10^5*Calculations!$C$14*(Calculations!$O111-Calculations!$C$8))</f>
        <v>#N/A</v>
      </c>
      <c r="AX111" s="8" t="e">
        <f>IF(ISBLANK(Input!$BZ$4),NA(),'Reaction Information'!$E$66-'Reaction Information'!$G$66*(Calculations!$O111-Calculations!$C$8)-'Reaction Information'!$N$66*(Calculations!$O111*LN(Calculations!$O111/Calculations!$C$8)-Calculations!$O111+Calculations!$C$8)-'Reaction Information'!$O$66*10^4*(((1/(Calculations!$O111-Calculations!$C$13))-(1/(Calculations!$C$8-Calculations!$C$13)))*((Calculations!$C$13-Calculations!$O111)/(Calculations!$C$13))-(Calculations!$O111/(Calculations!$C$13*Calculations!$C$13))*LN((Calculations!$C$8*(Calculations!$O111-Calculations!$C$13))/(Calculations!$O111*(Calculations!$C$8-Calculations!$C$13))))+'Reaction Information'!$J$66*10^-1*(Calculations!$M111-Calculations!$C$9)+'Reaction Information'!$K$66*10^2*LN((Calculations!$C$12+Calculations!$M111)/(Calculations!$C$12+Calculations!$C$9))+(1/(Calculations!$O111-Calculations!$C$13))*('Reaction Information'!$L$66*(Calculations!$M111-Calculations!$C$9)+'Reaction Information'!$M$66*10^4*LN((Calculations!$C$12+Calculations!$M111)/(Calculations!$C$12+Calculations!$C$9)))+calculateOmega(Calculations!M111,Calculations!N111,Calculations!Q111,'Reaction Information'!$C$66,'Reaction Information'!$P$66*10^5,'Reaction Information'!$Q$66)*((1/Calculations!$S111)-1)-'Reaction Information'!$P$66*10^5*((1/Calculations!$C$10)-1)+'Reaction Information'!$P$66*10^5*Calculations!$C$14*(Calculations!$O111-Calculations!$C$8))</f>
        <v>#N/A</v>
      </c>
      <c r="AY111" s="31">
        <f>(AL111*Input!$AO$4+AM111*Input!$AR$4+AN111*Input!$AU$4+AO111*Input!$AX$4+IF(ISNA(AP111),0,AP111*Input!$BA$4)+IF(ISNA(AQ111),0,AQ111*Input!$BD$4)+IF(ISNA(AR111),0,AR111*Input!$BG$4)+IF(ISNA(AS111),0,AS111*Input!$BJ$4)+IF(ISNA(AT111),0,AT111*Input!$BM$4)+IF(ISNA(AU111),0,AU111*Input!$BP$4)+IF(ISNA(AV111),0,AV111*Input!$BS$4)+IF(ISNA(AW111),0,AW111*Input!$BV$4)+IF(ISNA(AX111),0,AX111*Input!$BY$4))-(Y111*Input!$B$4+Z111*Input!$E$4+AA111*Input!$H$4+AB111*Input!$K$4+IF(ISNA(AC111),0,AC111*Input!$N$4)+IF(ISNA(AD111),0,AD111*Input!$Q$4)+IF(ISNA(AE111),0,AE111*Input!$T$4)+IF(ISNA(AF111),0,AF111*Input!$W$4)+IF(ISNA(AG111),0,AG111*Input!$Z$4)+IF(ISNA(AH111),0,AH111*Input!$AC$4)+IF(ISNA(AI111),0,AI111*Input!$AF$4)+IF(ISNA(AJ111),0,AJ111*Input!$AI$4)+IF(ISNA(AK111),0,AK111*Input!$AL$4))</f>
        <v>3618.9781966686569</v>
      </c>
      <c r="AZ111" s="42">
        <f t="shared" si="35"/>
        <v>-1.3808596630945151</v>
      </c>
      <c r="BA111" s="1">
        <f t="shared" si="27"/>
        <v>300</v>
      </c>
      <c r="BB111" s="46">
        <f t="shared" si="28"/>
        <v>40000</v>
      </c>
      <c r="BC111" s="1"/>
      <c r="BD111" s="2">
        <f t="shared" si="29"/>
        <v>40000</v>
      </c>
      <c r="BE111" s="46">
        <f t="shared" si="30"/>
        <v>300</v>
      </c>
      <c r="BF111" s="1">
        <f>Results!AJ113</f>
        <v>0</v>
      </c>
      <c r="BG111" s="1">
        <f>Results!AK113</f>
        <v>0</v>
      </c>
      <c r="BH111" s="1">
        <f>Results!AL113</f>
        <v>0</v>
      </c>
      <c r="BI111" s="1">
        <f>Results!AM113</f>
        <v>0</v>
      </c>
      <c r="BJ111" s="1" t="e">
        <f>IF(OR(ISNA('Reaction Information'!$D$5), $N111 = "", $D$27 = FALSE, 'Reaction Information'!$D$5 = ""), NA(), 24.465)</f>
        <v>#N/A</v>
      </c>
      <c r="BK111" s="1" t="e">
        <f>IF(OR(ISNA('Reaction Information'!$D$9), $N111 = "", $D$27 = FALSE, 'Reaction Information'!$D$9 = ""), NA(), 24.465)</f>
        <v>#N/A</v>
      </c>
      <c r="BL111" s="8">
        <f t="shared" si="36"/>
        <v>12.77876814019457</v>
      </c>
      <c r="BM111" s="8">
        <f>IF(OR(ISBLANK(Input!$X$4),$D$27=FALSE),NA(),('Reaction Information'!$J$13/10+'Reaction Information'!$K$13*100/(Calculations!$C$12+Calculations!$M111)+('Reaction Information'!$L$13+'Reaction Information'!$M$13*10^4/(Calculations!$C$12+Calculations!$M111))/(Calculations!$O111-Calculations!$C$13) -calculateOmega(Calculations!$M111,Calculations!$N111,Calculations!$Q111,'Reaction Information'!$C$13,'Reaction Information'!$P$13*10^5,'Reaction Information'!$Q$13)*Calculations!$U111*10^-6 + (1/$S111 - 1)*calculate_domegadP(Calculations!$M111,Calculations!$N111,Calculations!$Q111,'Reaction Information'!$C$13,'Reaction Information'!$P$13*10^5,'Reaction Information'!$Q$13,$D$20,$D$19=3))*41.84)</f>
        <v>29.95973785101355</v>
      </c>
      <c r="BN111" s="8" t="e">
        <f>IF(OR(ISBLANK(Input!$AA$4),$D$27=FALSE),NA(),('Reaction Information'!$J$17/10+'Reaction Information'!$K$17*100/(Calculations!$C$12+Calculations!$M111)+('Reaction Information'!$L$17+'Reaction Information'!$M$17*10000/(Calculations!$C$12+Calculations!$M111))/(Calculations!$O111-Calculations!$C$13)-calculateOmega(Calculations!M111,Calculations!N111,Calculations!Q111,'Reaction Information'!$C$17,'Reaction Information'!$P$17*10^5,'Reaction Information'!$Q$17)*Calculations!$U111*10^-6 + (1/$S111 - 1)*calculate_domegadP(Calculations!M111,Calculations!N111,Calculations!Q111,'Reaction Information'!$C$17,'Reaction Information'!$P$17*10^5,'Reaction Information'!$Q$17,$D$20,$D$19=3))*41.84)</f>
        <v>#N/A</v>
      </c>
      <c r="BO111" s="8" t="e">
        <f>IF(OR(ISBLANK(Input!$AD$4),$D$27=FALSE),NA(),('Reaction Information'!$J$21/10+'Reaction Information'!$K$21*100/(Calculations!$C$12+Calculations!$M111)+('Reaction Information'!$L$21+'Reaction Information'!$M$21*10000/(Calculations!$C$12+Calculations!$M111))/(Calculations!$O111-Calculations!$C$13)-calculateOmega(Calculations!M111,Calculations!N111,Calculations!Q111,'Reaction Information'!$C$21,'Reaction Information'!$P$21*10^5,'Reaction Information'!$Q$21)*Calculations!$U111*10^-6 + (1/$S111 - 1)*calculate_domegadP(Calculations!M111,Calculations!N111,Calculations!Q111,'Reaction Information'!$C$21,'Reaction Information'!$P$21*10^5,'Reaction Information'!$Q$21,$D$20,$D$19=3))*41.84)</f>
        <v>#N/A</v>
      </c>
      <c r="BP111" s="8" t="e">
        <f>IF(OR(ISBLANK(Input!$AG$4),$D$27=FALSE),NA(),('Reaction Information'!$J$25/10+'Reaction Information'!$K$25*100/(Calculations!$C$12+Calculations!$M111)+('Reaction Information'!$L$25+'Reaction Information'!$M$25*10000/(Calculations!$C$12+Calculations!$M111))/(Calculations!$O111-Calculations!$C$13)-calculateOmega(Calculations!M111,Calculations!N111,Calculations!Q111,'Reaction Information'!$C$25,'Reaction Information'!$P$25*10^5,'Reaction Information'!$Q$25)*Calculations!$U111*10^-6 + (1/$S111 - 1)*calculate_domegadP(Calculations!M111,Calculations!N111,Calculations!Q111,'Reaction Information'!$C$25,'Reaction Information'!$P$25*10^5,'Reaction Information'!$Q$25,$D$20,$D$19=3))*41.84)</f>
        <v>#N/A</v>
      </c>
      <c r="BQ111" s="8" t="e">
        <f>IF(OR(ISBLANK(Input!$AJ$4),$D$27=FALSE),NA(),('Reaction Information'!$J$29/10+'Reaction Information'!$K$29*100/(Calculations!$C$12+Calculations!$M111)+('Reaction Information'!$L$29+'Reaction Information'!$M$29*10000/(Calculations!$C$12+Calculations!$M111))/(Calculations!$O111-Calculations!$C$13)-calculateOmega(Calculations!M111,Calculations!N111,Calculations!Q111,'Reaction Information'!$C$29,'Reaction Information'!$P$29*10^5,'Reaction Information'!$Q$29)*Calculations!$U111*10^-6 + (1/$S111 - 1)*calculate_domegadP(Calculations!M111,Calculations!N111,Calculations!Q111,'Reaction Information'!$C$29,'Reaction Information'!$P$29*10^5,'Reaction Information'!$Q$29,$D$20,$D$19=3))*41.84)</f>
        <v>#N/A</v>
      </c>
      <c r="BR111" s="8" t="e">
        <f>IF(OR(ISBLANK(Input!$AM$4),$D$27=FALSE),NA(),('Reaction Information'!$J$33/10+'Reaction Information'!$K$33*100/(Calculations!$C$12+Calculations!$M111)+('Reaction Information'!$L$33+'Reaction Information'!$M$33*10000/(Calculations!$C$12+Calculations!$M111))/(Calculations!$O111-Calculations!$C$13)-calculateOmega(Calculations!M111,Calculations!N111,Calculations!Q111,'Reaction Information'!$C$33,'Reaction Information'!$P$33*10^5,'Reaction Information'!$Q$33)*Calculations!$U111*10^-6 + (1/$S111 - 1)*calculate_domegadP(Calculations!M111,Calculations!N111,Calculations!Q111,'Reaction Information'!$C$33,'Reaction Information'!$P$33*10^5,'Reaction Information'!$Q$33,$D$20,$D$19=3))*41.84)</f>
        <v>#N/A</v>
      </c>
      <c r="BS111" s="1">
        <f>Results!AW113</f>
        <v>0</v>
      </c>
      <c r="BT111" s="1">
        <f>Results!AX113</f>
        <v>0</v>
      </c>
      <c r="BU111" s="1">
        <f>Results!AY113</f>
        <v>0</v>
      </c>
      <c r="BV111" s="1">
        <f>Results!AZ113</f>
        <v>0</v>
      </c>
      <c r="BW111" s="1" t="e">
        <f>IF(OR(ISNA('Reaction Information'!$D$38), $N111 = "", $D$27 = FALSE, 'Reaction Information'!$D$38 = ""), NA(), 24.465)</f>
        <v>#N/A</v>
      </c>
      <c r="BX111" s="1" t="e">
        <f>IF(OR(ISNA('Reaction Information'!$D$42), $N111 = "", $D$27 = FALSE, 'Reaction Information'!$D$42 = ""), NA(), 24.465)</f>
        <v>#N/A</v>
      </c>
      <c r="BY111" s="8" t="e">
        <f t="shared" si="37"/>
        <v>#N/A</v>
      </c>
      <c r="BZ111" s="8">
        <f>IF(OR(ISBLANK(Input!$BK$4),$D$27=FALSE),NA(),('Reaction Information'!$J$46/10+'Reaction Information'!$K$46*100/(Calculations!$C$12+Calculations!$M111)+('Reaction Information'!$L$46+'Reaction Information'!$M$46*10000/(Calculations!$C$12+Calculations!$M111))/(Calculations!$O111-Calculations!$C$13)-calculateOmega(Calculations!M111,Calculations!N111,Calculations!Q111,'Reaction Information'!$C$46,'Reaction Information'!$P$46*10^5,'Reaction Information'!$Q$46)*Calculations!$U111*10^-6 + (1/$S111 - 1)*calculate_domegadP(Calculations!M111,Calculations!N111,Calculations!Q111,'Reaction Information'!$C$46,'Reaction Information'!$P$46*10^5,'Reaction Information'!$Q$46,$D$20,$D$19=3))*41.84)</f>
        <v>0</v>
      </c>
      <c r="CA111" s="8">
        <f>IF(OR(ISBLANK(Input!$BN$4),$D$27=FALSE),NA(),('Reaction Information'!$J$50/10+'Reaction Information'!$K$50*100/(Calculations!$C$12+Calculations!$M111)+('Reaction Information'!$L$50+'Reaction Information'!$M$50*10000/(Calculations!$C$12+Calculations!$M111))/(Calculations!$O111-Calculations!$C$13)-calculateOmega(Calculations!M111,Calculations!N111,Calculations!Q111,'Reaction Information'!$C$50,'Reaction Information'!$P$50*10^5,'Reaction Information'!$Q$50)*Calculations!$U111*10^-6 + (1/$S111 - 1)*calculate_domegadP(Calculations!M111,Calculations!N111,Calculations!Q111,'Reaction Information'!$C$50,'Reaction Information'!$P$50*10^5,'Reaction Information'!$Q$50,$D$20,$D$19=3))*41.84)</f>
        <v>31.565144972302576</v>
      </c>
      <c r="CB111" s="8" t="e">
        <f>IF(OR(ISBLANK(Input!$BQ$4),$D$27=FALSE),NA(),('Reaction Information'!$J$54/10+'Reaction Information'!$K$54*100/(Calculations!$C$12+Calculations!$M111)+('Reaction Information'!$L$54+'Reaction Information'!$M$54*10000/(Calculations!$C$12+Calculations!$M111))/(Calculations!$O111-Calculations!$C$13)-calculateOmega(Calculations!M111,Calculations!N111,Calculations!Q111,'Reaction Information'!$C$54,'Reaction Information'!$P$54*10^5,'Reaction Information'!$Q$54)*Calculations!$U111*10^-6 + (1/$S111 - 1)*calculate_domegadP(Calculations!M111,Calculations!N111,Calculations!Q111,'Reaction Information'!$C$54,'Reaction Information'!$P$54*10^5,'Reaction Information'!$Q$54,$D$20,$D$19=3))*41.84)</f>
        <v>#N/A</v>
      </c>
      <c r="CC111" s="8" t="e">
        <f>IF(OR(ISBLANK(Input!$BT$4),$D$27=FALSE),NA(),('Reaction Information'!$J$58/10+'Reaction Information'!$K$58*100/(Calculations!$C$12+Calculations!$M111)+('Reaction Information'!$L$58+'Reaction Information'!$M$58*10000/(Calculations!$C$12+Calculations!$M111))/(Calculations!$O111-Calculations!$C$13)-calculateOmega(Calculations!M111,Calculations!N111,Calculations!Q111,'Reaction Information'!$C$58,'Reaction Information'!$P$58*10^5,'Reaction Information'!$Q$58)*Calculations!$U111*10^-6 + (1/$S111 - 1)*calculate_domegadP(Calculations!M111,Calculations!N111,Calculations!Q111,'Reaction Information'!$C$58,'Reaction Information'!$P$58*10^5,'Reaction Information'!$Q$58,$D$20,$D$19=3))*41.84)</f>
        <v>#N/A</v>
      </c>
      <c r="CD111" s="8" t="e">
        <f>IF(OR(ISBLANK(Input!$BW$4),$D$27=FALSE),NA(),('Reaction Information'!$J$62/10+'Reaction Information'!$K$62*100/(Calculations!$C$12+Calculations!$M111)+('Reaction Information'!$L$62+'Reaction Information'!$M$62*10000/(Calculations!$C$12+Calculations!$M111))/(Calculations!$O111-Calculations!$C$13)-calculateOmega(Calculations!M111,Calculations!N111,Calculations!Q111,'Reaction Information'!$C$62,'Reaction Information'!$P$62*10^5,'Reaction Information'!$Q$62)*Calculations!$U111*10^-6 + (1/$S111 - 1)*calculate_domegadP(Calculations!M111,Calculations!N111,Calculations!Q111,'Reaction Information'!$C$62,'Reaction Information'!$P$62*10^5,'Reaction Information'!$Q$62,$D$20,$D$19=3))*41.84)</f>
        <v>#N/A</v>
      </c>
      <c r="CE111" s="8" t="e">
        <f>IF(OR(ISBLANK(Input!$BZ$4),$D$27=FALSE),NA(),('Reaction Information'!$J$66/10+'Reaction Information'!$K$66*100/(Calculations!$C$12+Calculations!$M111)+('Reaction Information'!$L$66+'Reaction Information'!$M$66*10000/(Calculations!$C$12+Calculations!$M111))/(Calculations!$O111-Calculations!$C$13)-calculateOmega(Calculations!M111,Calculations!N111,Calculations!Q111,'Reaction Information'!$C$66,'Reaction Information'!$P$66*10^5,'Reaction Information'!$Q$66)*Calculations!$U111*10^-6 + (1/$S111 - 1)*calculate_domegadP(Calculations!M111,Calculations!N111,Calculations!Q111,'Reaction Information'!$C$66,'Reaction Information'!$P$66*10^5,'Reaction Information'!$Q$66,$D$20,$D$19=3))*41.84)</f>
        <v>#N/A</v>
      </c>
      <c r="CF111" s="31">
        <f>(BS111*Input!$AO$4+BT111*Input!$AR$4+BU111*Input!$AU$4+BV111*Input!$AX$4+IF(ISNA(BW111),0,BW111*Input!$BA$4)+IF(ISNA(BX111),0,BX111*Input!$BD$4)+IF(ISNA(BY111),0,BY111*Input!$BG$4)+IF(ISNA(BZ111),0,BZ111*Input!$BJ$4)+IF(ISNA(CA111),0,CA111*Input!$BM$4)+IF(ISNA(CB111),0,CB111*Input!$BP$4)+IF(ISNA(CC111),0,CC111*Input!$BS$4)+IF(ISNA(CD111),0,CD111*Input!$BV$4)+IF(ISNA(CE111),0,CE111*Input!$BY$4))-(BF111*Input!$B$4+BG111*Input!$E$4+BH111*Input!$H$4+BI111*Input!$K$4+IF(ISNA(BJ111),0,BJ111*Input!$N$4)+IF(ISNA(BK111),0,BK111*Input!$Q$4)+IF(ISNA(BL111),0,BL111*Input!$T$4)+IF(ISNA(BM111),0,BM111*Input!$W$4)+IF(ISNA(BN111),0,BN111*Input!$Z$4)+IF(ISNA(BO111),0,BO111*Input!$AC$4)+IF(ISNA(BP111),0,BP111*Input!$AF$4)+IF(ISNA(BQ111),0,BQ111*Input!$AI$4)+IF(ISNA(BR111),0,BR111*Input!$AL$4))</f>
        <v>-11.173361018905545</v>
      </c>
      <c r="CG111" s="1">
        <f t="shared" si="31"/>
        <v>300</v>
      </c>
      <c r="CH111" s="46">
        <f t="shared" si="32"/>
        <v>40000</v>
      </c>
      <c r="CI111" s="1"/>
    </row>
    <row r="112" spans="1:87" x14ac:dyDescent="0.2">
      <c r="A112" s="1"/>
      <c r="B112" s="1"/>
      <c r="C112" s="1"/>
      <c r="D112" s="1"/>
      <c r="E112" s="1"/>
      <c r="F112" s="2">
        <v>107</v>
      </c>
      <c r="G112" s="1" t="str">
        <f>IF(ISBLANK(Input!CB112), "", Input!CB112*1000)</f>
        <v/>
      </c>
      <c r="H112" s="1" t="str">
        <f>IF(ISBLANK(Input!CC112), "", Input!CC112)</f>
        <v/>
      </c>
      <c r="I112" s="1">
        <f>IF(Input!$CF$5 + Input!$CF$6*(FLOOR((Calculations!$F112-1)/(FLOOR((Input!$CF$12-Input!$CF$10)/Input!$CF$11,1)+1),1)) &gt; Input!$CF$7, "", (Input!$CF$5 + Input!$CF$6*(FLOOR((Calculations!$F112-1)/(FLOOR((Input!$CF$12-Input!$CF$10)/Input!$CF$11,1)+1),1)))*1000)</f>
        <v>40000</v>
      </c>
      <c r="J112" s="1">
        <f>IF(Calculations!I112 = "", "", Input!$CF$10 + Input!$CF$11*(Calculations!$F112-1) - (FLOOR((Input!$CF$12-Input!$CF$10)/Input!$CF$11,1)+1)*Input!$CF$11*FLOOR((Calculations!$F112-1)/(FLOOR((Input!$CF$12-Input!$CF$10)/Input!$CF$11,1)+1),1))</f>
        <v>350</v>
      </c>
      <c r="K112" s="8" t="str">
        <f t="shared" si="33"/>
        <v/>
      </c>
      <c r="L112" s="117" t="str">
        <f>IF(OR(Input!$CJ$5 + Input!$CJ$6*(Calculations!F112-1) &gt; Input!$CJ$7, Input!$CJ$5 + Input!$CJ$6*(Calculations!F112-1) &gt; 350), "", Input!$CJ$5 + Input!$CJ$6*(Calculations!F112-1))</f>
        <v/>
      </c>
      <c r="M112" s="1">
        <f t="shared" si="23"/>
        <v>40000</v>
      </c>
      <c r="N112" s="1">
        <f t="shared" si="24"/>
        <v>350</v>
      </c>
      <c r="O112" s="1">
        <f t="shared" si="34"/>
        <v>623.15</v>
      </c>
      <c r="P112" s="1" t="e">
        <f>IF(OR($D$20=3,AND($D$21=TRUE,M112&lt;1000)),INDEX('Water Density'!$C$6:$CX$120,MATCH(Calculations!N112,'Water Density'!$B$6:$B$120),MATCH(Calculations!M112/1000,'Water Density'!$C$5:$CX$5)),NA())</f>
        <v>#N/A</v>
      </c>
      <c r="Q112" s="182">
        <f>IF(OR($D$20=3,AND($D$21=TRUE,M112&lt;1000)), IF(P112&lt;&gt;0,P112,NA()), calculateDensity(M112,N112,$D$20,0.01,$D$19 = 3))</f>
        <v>1.3939751222354171</v>
      </c>
      <c r="R112" s="1" t="e">
        <f>IF($D$22=5,INDEX('Dielectric Constant'!$C$6:$CX$120,MATCH(Calculations!N112,'Dielectric Constant'!$B$6:$B$120),MATCH(Calculations!M112/1000,'Dielectric Constant'!$C$5:$CX$5)),NA())</f>
        <v>#N/A</v>
      </c>
      <c r="S112" s="58">
        <f>IF($D$22=5, IF(R112&lt;&gt;0,R112,NA()), IF(AND($D$23,M112&lt;=5000,$D$19 &lt;&gt; 3),calculateEpsilon(Q112,N112,1,FALSE),calculateEpsilon(Q112,N112,$D$22,$D$19 = 3)))</f>
        <v>50.654547022962213</v>
      </c>
      <c r="T112" s="1" t="e">
        <f>IF($D$24=3,INDEX('Water Free Energy'!$C$6:$CX$120,MATCH(Calculations!N112,'Water Free Energy'!$B$6:$B$120),MATCH(Calculations!M112/1000,'Water Free Energy'!$C$5:$CX$5)),NA())</f>
        <v>#N/A</v>
      </c>
      <c r="U112" s="179">
        <f>IF($D$27,calculateQ(M112,N112,Q112,$D$20,$D$22,$D$19=3)*10^6,NA())</f>
        <v>0.10992801621623462</v>
      </c>
      <c r="V112"/>
      <c r="W112" s="2">
        <f t="shared" si="25"/>
        <v>40000</v>
      </c>
      <c r="X112" s="1">
        <f t="shared" si="26"/>
        <v>350</v>
      </c>
      <c r="Y112" s="1">
        <f>Results!F114</f>
        <v>0</v>
      </c>
      <c r="Z112" s="1">
        <f>Results!G114</f>
        <v>0</v>
      </c>
      <c r="AA112" s="1">
        <f>Results!H114</f>
        <v>0</v>
      </c>
      <c r="AB112" s="1">
        <f>Results!I114</f>
        <v>0</v>
      </c>
      <c r="AC112" s="1" t="e">
        <f>IF(ISBLANK(Input!$O$4),NA(),'Reaction Information'!$E$5-'Reaction Information'!$G$5*(Calculations!$O112-Calculations!$C$8)+'Reaction Information'!$I$5*(Calculations!$O112-Calculations!$C$8-Calculations!$O112*LN(Calculations!$O112/Calculations!$C$8))+'Reaction Information'!$J$5*0.001/2*(2*Calculations!$O112*Calculations!$C$8-Calculations!$O112^2-Calculations!$C$8^2) + 'Reaction Information'!$K$5*100000*(Calculations!$O112^2 + Calculations!$C$8^2 - 2*Calculations!$O112*Calculations!$C$8)/(2*Calculations!$O112*Calculations!$C$8^2))</f>
        <v>#N/A</v>
      </c>
      <c r="AD112" s="8" t="e">
        <f>IF(ISBLANK(Input!$R$4),NA(),'Reaction Information'!$E$9-'Reaction Information'!$G$9*(Calculations!$O112-Calculations!$C$8)+'Reaction Information'!$I$9*(Calculations!$O112-Calculations!$C$8-Calculations!$O112*LN(Calculations!$O112/Calculations!$C$8))+'Reaction Information'!$J$9*0.001/2*(2*Calculations!$O112*Calculations!$C$8-Calculations!$O112^2-Calculations!$C$8^2) + 'Reaction Information'!$K$9*100000*(Calculations!$O112^2 + Calculations!$C$8^2 - 2*Calculations!$O112*Calculations!$C$8)/(2*Calculations!$O112*Calculations!$C$8^2))</f>
        <v>#N/A</v>
      </c>
      <c r="AE112" s="8">
        <f>IF(AE$5="H2O",IF($D$24=3,IF(T112=0,NA(),T112),calculateGibbsOfWater(M112,N112,$D$24,$D$20,$D$19=3)),NA())</f>
        <v>-49614.623335611119</v>
      </c>
      <c r="AF112" s="8">
        <f>IF(ISBLANK(Input!$X$4),NA(),'Reaction Information'!$E$13-'Reaction Information'!$G$13*(Calculations!O112-Calculations!$C$8)-'Reaction Information'!$N$13*(Calculations!O112*LN(Calculations!O112/Calculations!$C$8)-Calculations!O112+Calculations!$C$8)-'Reaction Information'!$O$13*10^4*(((1/(Calculations!O112-Calculations!$C$13))-(1/(Calculations!$C$8-Calculations!$C$13)))*((Calculations!$C$13-Calculations!O112)/(Calculations!$C$13))-(Calculations!O112/(Calculations!$C$13*Calculations!$C$13))*LN((Calculations!$C$8*(Calculations!O112-Calculations!$C$13))/(Calculations!O112*(Calculations!$C$8-Calculations!$C$13))))+'Reaction Information'!$J$13*10^-1*(Calculations!M112-Calculations!$C$9)+'Reaction Information'!$K$13*10^2*LN((Calculations!$C$12+Calculations!M112)/(Calculations!$C$12+Calculations!$C$9))+(1/(Calculations!O112-Calculations!$C$13))*('Reaction Information'!$L$13*(Calculations!M112-Calculations!$C$9)+'Reaction Information'!$M$13*10^4*LN((Calculations!$C$12+Calculations!M112)/(Calculations!$C$12+Calculations!$C$9)))+calculateOmega(Calculations!M112,Calculations!N112,Calculations!Q112,'Reaction Information'!$C$13,'Reaction Information'!$P$13*10^5,'Reaction Information'!$Q$13)*((1/Calculations!S112)-1)-'Reaction Information'!$P$13*10^5*((1/Calculations!$C$10)-1)+'Reaction Information'!$P$13*10^5*Calculations!$C$14*(Calculations!O112-Calculations!$C$8))</f>
        <v>-75496.480489851936</v>
      </c>
      <c r="AG112" s="8" t="e">
        <f>IF(ISBLANK(Input!$AA$4),NA(),'Reaction Information'!$E$17-'Reaction Information'!$G$17*(Calculations!$O112-Calculations!$C$8)-'Reaction Information'!$N$17*(Calculations!$O112*LN(Calculations!$O112/Calculations!$C$8)-Calculations!$O112+Calculations!$C$8)-'Reaction Information'!$O$17*10^4*(((1/(Calculations!$O112-Calculations!$C$13))-(1/(Calculations!$C$8-Calculations!$C$13)))*((Calculations!$C$13-Calculations!$O112)/(Calculations!$C$13))-(Calculations!$O112/(Calculations!$C$13*Calculations!$C$13))*LN((Calculations!$C$8*(Calculations!$O112-Calculations!$C$13))/(Calculations!$O112*(Calculations!$C$8-Calculations!$C$13))))+'Reaction Information'!$J$17*10^-1*(Calculations!$M112-Calculations!$C$9)+'Reaction Information'!$K$17*10^2*LN((Calculations!$C$12+Calculations!$M112)/(Calculations!$C$12+Calculations!$C$9))+(1/(Calculations!$O112-Calculations!$C$13))*('Reaction Information'!$L$17*(Calculations!$M112-Calculations!$C$9)+'Reaction Information'!$M$17*10^4*LN((Calculations!$C$12+Calculations!$M112)/(Calculations!$C$12+Calculations!$C$9)))+calculateOmega(Calculations!M112,Calculations!N112,Calculations!Q112,'Reaction Information'!$C$17,'Reaction Information'!$P$17*10^5,'Reaction Information'!$Q$17)*((1/Calculations!$S112)-1)-'Reaction Information'!$P$17*10^5*((1/Calculations!$C$10)-1)+'Reaction Information'!$P$17*10^5*Calculations!$C$14*(Calculations!$O112-Calculations!$C$8))</f>
        <v>#N/A</v>
      </c>
      <c r="AH112" s="8" t="e">
        <f>IF(ISBLANK(Input!$AD$4),NA(),'Reaction Information'!$E$21-'Reaction Information'!$G$21*(Calculations!$O112-Calculations!$C$8)-'Reaction Information'!$N$21*(Calculations!$O112*LN(Calculations!$O112/Calculations!$C$8)-Calculations!$O112+Calculations!$C$8)-'Reaction Information'!$O$21*10^4*(((1/(Calculations!$O112-Calculations!$C$13))-(1/(Calculations!$C$8-Calculations!$C$13)))*((Calculations!$C$13-Calculations!$O112)/(Calculations!$C$13))-(Calculations!$O112/(Calculations!$C$13*Calculations!$C$13))*LN((Calculations!$C$8*(Calculations!$O112-Calculations!$C$13))/(Calculations!$O112*(Calculations!$C$8-Calculations!$C$13))))+'Reaction Information'!$J$21*10^-1*(Calculations!$M112-Calculations!$C$9)+'Reaction Information'!$K$21*10^2*LN((Calculations!$C$12+Calculations!$M112)/(Calculations!$C$12+Calculations!$C$9))+(1/(Calculations!$O112-Calculations!$C$13))*('Reaction Information'!$L$21*(Calculations!$M112-Calculations!$C$9)+'Reaction Information'!$M$21*10^4*LN((Calculations!$C$12+Calculations!$M112)/(Calculations!$C$12+Calculations!$C$9)))+calculateOmega(Calculations!M112,Calculations!N112,Calculations!Q112,'Reaction Information'!$C$21,'Reaction Information'!$P$21*10^5,'Reaction Information'!$Q$21)*((1/Calculations!$S112)-1)-'Reaction Information'!$P$21*10^5*((1/Calculations!$C$10)-1)+'Reaction Information'!$P$21*10^5*Calculations!$C$14*(Calculations!$O112-Calculations!$C$8))</f>
        <v>#N/A</v>
      </c>
      <c r="AI112" s="8" t="e">
        <f>IF(ISBLANK(Input!$AG$4),NA(),'Reaction Information'!$E$25-'Reaction Information'!$G$25*(Calculations!$O112-Calculations!$C$8)-'Reaction Information'!$N$25*(Calculations!$O112*LN(Calculations!$O112/Calculations!$C$8)-Calculations!$O112+Calculations!$C$8)-'Reaction Information'!$O$25*10^4*(((1/(Calculations!$O112-Calculations!$C$13))-(1/(Calculations!$C$8-Calculations!$C$13)))*((Calculations!$C$13-Calculations!$O112)/(Calculations!$C$13))-(Calculations!$O112/(Calculations!$C$13*Calculations!$C$13))*LN((Calculations!$C$8*(Calculations!$O112-Calculations!$C$13))/(Calculations!$O112*(Calculations!$C$8-Calculations!$C$13))))+'Reaction Information'!$J$25*10^-1*(Calculations!$M112-Calculations!$C$9)+'Reaction Information'!$K$25*10^2*LN((Calculations!$C$12+Calculations!$M112)/(Calculations!$C$12+Calculations!$C$9))+(1/(Calculations!$O112-Calculations!$C$13))*('Reaction Information'!$L$25*(Calculations!$M112-Calculations!$C$9)+'Reaction Information'!$M$25*10^4*LN((Calculations!$C$12+Calculations!$M112)/(Calculations!$C$12+Calculations!$C$9)))+calculateOmega(Calculations!M112,Calculations!N112,Calculations!Q112,'Reaction Information'!$C$25,'Reaction Information'!$P$25*10^5,'Reaction Information'!$Q$25)*((1/Calculations!$S112)-1)-'Reaction Information'!$P$25*10^5*((1/Calculations!$C$10)-1)+'Reaction Information'!$P$25*10^5*Calculations!$C$14*(Calculations!$O112-Calculations!$C$8))</f>
        <v>#N/A</v>
      </c>
      <c r="AJ112" s="8" t="e">
        <f>IF(ISBLANK(Input!$AJ$4),NA(),'Reaction Information'!$E$29-'Reaction Information'!$G$29*(Calculations!$O112-Calculations!$C$8)-'Reaction Information'!$N$29*(Calculations!$O112*LN(Calculations!$O112/Calculations!$C$8)-Calculations!$O112+Calculations!$C$8)-'Reaction Information'!$O$29*10^4*(((1/(Calculations!$O112-Calculations!$C$13))-(1/(Calculations!$C$8-Calculations!$C$13)))*((Calculations!$C$13-Calculations!$O112)/(Calculations!$C$13))-(Calculations!$O112/(Calculations!$C$13*Calculations!$C$13))*LN((Calculations!$C$8*(Calculations!$O112-Calculations!$C$13))/(Calculations!$O112*(Calculations!$C$8-Calculations!$C$13))))+'Reaction Information'!$J$29*10^-1*(Calculations!$M112-Calculations!$C$9)+'Reaction Information'!$K$29*10^2*LN((Calculations!$C$12+Calculations!$M112)/(Calculations!$C$12+Calculations!$C$9))+(1/(Calculations!$O112-Calculations!$C$13))*('Reaction Information'!$L$29*(Calculations!$M112-Calculations!$C$9)+'Reaction Information'!$M$29*10^4*LN((Calculations!$C$12+Calculations!$M112)/(Calculations!$C$12+Calculations!$C$9)))+calculateOmega(Calculations!M112,Calculations!N112,Calculations!Q112,'Reaction Information'!$C$29,'Reaction Information'!$P$29*10^5,'Reaction Information'!$Q$29)*((1/Calculations!$S112)-1)-'Reaction Information'!$P$29*10^5*((1/Calculations!$C$10)-1)+'Reaction Information'!$P$29*10^5*Calculations!$C$14*(Calculations!$O112-Calculations!$C$8))</f>
        <v>#N/A</v>
      </c>
      <c r="AK112" s="8" t="e">
        <f>IF(ISBLANK(Input!$AM$4),NA(),'Reaction Information'!$E$33-'Reaction Information'!$G$33*(Calculations!$O112-Calculations!$C$8)-'Reaction Information'!$N$33*(Calculations!$O112*LN(Calculations!$O112/Calculations!$C$8)-Calculations!$O112+Calculations!$C$8)-'Reaction Information'!$O$33*10^4*(((1/(Calculations!$O112-Calculations!$C$13))-(1/(Calculations!$C$8-Calculations!$C$13)))*((Calculations!$C$13-Calculations!$O112)/(Calculations!$C$13))-(Calculations!$O112/(Calculations!$C$13*Calculations!$C$13))*LN((Calculations!$C$8*(Calculations!$O112-Calculations!$C$13))/(Calculations!$O112*(Calculations!$C$8-Calculations!$C$13))))+'Reaction Information'!$J$33*10^-1*(Calculations!$M112-Calculations!$C$9)+'Reaction Information'!$K$33*10^2*LN((Calculations!$C$12+Calculations!$M112)/(Calculations!$C$12+Calculations!$C$9))+(1/(Calculations!$O112-Calculations!$C$13))*('Reaction Information'!$L$33*(Calculations!$M112-Calculations!$C$9)+'Reaction Information'!$M$33*10^4*LN((Calculations!$C$12+Calculations!$M112)/(Calculations!$C$12+Calculations!$C$9)))+calculateOmega(Calculations!M112,Calculations!N112,Calculations!Q112,'Reaction Information'!$C$33,'Reaction Information'!$P$33*10^5,'Reaction Information'!$Q$33)*((1/Calculations!$S112)-1)-'Reaction Information'!$P$33*10^5*((1/Calculations!$C$10)-1)+'Reaction Information'!$P$33*10^5*Calculations!$C$14*(Calculations!$O112-Calculations!$C$8))</f>
        <v>#N/A</v>
      </c>
      <c r="AL112" s="1">
        <f>Results!S114</f>
        <v>0</v>
      </c>
      <c r="AM112" s="1">
        <f>Results!T114</f>
        <v>0</v>
      </c>
      <c r="AN112" s="1">
        <f>Results!U114</f>
        <v>0</v>
      </c>
      <c r="AO112" s="1">
        <f>Results!V114</f>
        <v>0</v>
      </c>
      <c r="AP112" s="8" t="e">
        <f>IF(ISBLANK(Input!$BB$4),NA(),'Reaction Information'!$E$38-'Reaction Information'!$G$38*(Calculations!$O112-Calculations!$C$8)+'Reaction Information'!$I$38*(Calculations!$O112-Calculations!$C$8-Calculations!$O112*LN(Calculations!$O112/Calculations!$C$8))+'Reaction Information'!$J$38*0.001/2*(2*Calculations!$O112*Calculations!$C$8-Calculations!$O112^2-Calculations!$C$8^2) + 'Reaction Information'!$K$38*100000*(Calculations!$O112^2 + Calculations!$C$8^2 - 2*Calculations!$O112*Calculations!$C$8)/(2*Calculations!$O112*Calculations!$C$8^2))</f>
        <v>#N/A</v>
      </c>
      <c r="AQ112" s="8" t="e">
        <f>IF(ISBLANK(Input!$BE$4),NA(),'Reaction Information'!$E$42-'Reaction Information'!$G$42*(Calculations!$O112-Calculations!$C$8)+'Reaction Information'!$I$42*(Calculations!$O112-Calculations!$C$8-Calculations!$O112*LN(Calculations!$O112/Calculations!$C$8))+'Reaction Information'!$J$42*0.001/2*(2*Calculations!$O112*Calculations!$C$8-Calculations!$O112^2-Calculations!$C$8^2) + 'Reaction Information'!$K$42*100000*(Calculations!$O112^2 + Calculations!$C$8^2 - 2*Calculations!$O112*Calculations!$C$8)/(2*Calculations!$O112*Calculations!$C$8^2))</f>
        <v>#N/A</v>
      </c>
      <c r="AR112" s="8" t="e">
        <f>IF(AR$5="H2O", IF($D$24=3,IF(T112=0,NA(),T112),calculateGibbsOfWater(M112,N112,$D$24,$D$20,$D$19=3)),NA())</f>
        <v>#N/A</v>
      </c>
      <c r="AS112" s="8">
        <f>IF(ISBLANK(Input!$BK$4),NA(),'Reaction Information'!$E$46-'Reaction Information'!$G$46*(Calculations!O112-Calculations!$C$8)-'Reaction Information'!$N$46*(Calculations!O112*LN(Calculations!O112/Calculations!$C$8)-Calculations!O112+Calculations!$C$8)-'Reaction Information'!$O$46*10^4*(((1/(Calculations!O112-Calculations!$C$13))-(1/(Calculations!$C$8-Calculations!$C$13)))*((Calculations!$C$13-Calculations!O112)/(Calculations!$C$13))-(Calculations!O112/(Calculations!$C$13*Calculations!$C$13))*LN((Calculations!$C$8*(Calculations!O112-Calculations!$C$13))/(Calculations!O112*(Calculations!$C$8-Calculations!$C$13))))+'Reaction Information'!$J$46*10^-1*(Calculations!$M112-Calculations!$C$9)+'Reaction Information'!$K$46*10^2*LN((Calculations!$C$12+Calculations!$M112)/(Calculations!$C$12+Calculations!$C$9))+(1/(Calculations!O112-Calculations!$C$13))*('Reaction Information'!$L$46*(Calculations!$M112-Calculations!$C$9)+'Reaction Information'!$M$46*10^4*LN((Calculations!$C$12+Calculations!$M112)/(Calculations!$C$12+Calculations!$C$9)))+calculateOmega(Calculations!M112,Calculations!N112,Calculations!Q112,'Reaction Information'!$C$46,'Reaction Information'!$P$46*10^5,'Reaction Information'!$Q$46)*((1/Calculations!S112)-1)-'Reaction Information'!$P$46*10^5*((1/Calculations!$C$10)-1)+'Reaction Information'!$P$46*10^5*Calculations!$C$14*(Calculations!O112-Calculations!$C$8))</f>
        <v>0</v>
      </c>
      <c r="AT112" s="8">
        <f>IF(ISBLANK(Input!$BN$4),NA(),'Reaction Information'!$E$50-'Reaction Information'!$G$50*(Calculations!O112-Calculations!$C$8)-'Reaction Information'!$N$50*(Calculations!O112*LN(Calculations!O112/Calculations!$C$8)-Calculations!O112+Calculations!$C$8)-'Reaction Information'!$O$50*10^4*(((1/(Calculations!O112-Calculations!$C$13))-(1/(Calculations!$C$8-Calculations!$C$13)))*((Calculations!$C$13-Calculations!O112)/(Calculations!$C$13))-(Calculations!O112/(Calculations!$C$13*Calculations!$C$13))*LN((Calculations!$C$8*(Calculations!O112-Calculations!$C$13))/(Calculations!O112*(Calculations!$C$8-Calculations!$C$13))))+'Reaction Information'!$J$50*10^-1*(Calculations!$M112-Calculations!$C$9)+'Reaction Information'!$K$50*10^2*LN((Calculations!$C$12+Calculations!$M112)/(Calculations!$C$12+Calculations!$C$9))+(1/(Calculations!O112-Calculations!$C$13))*('Reaction Information'!$L$50*(Calculations!$M112-Calculations!$C$9)+'Reaction Information'!$M$50*10^4*LN((Calculations!$C$12+Calculations!$M112)/(Calculations!$C$12+Calculations!$C$9)))+calculateOmega(Calculations!M112,Calculations!N112,Calculations!Q112,'Reaction Information'!$C$50,'Reaction Information'!$P$50*10^5,'Reaction Information'!$Q$50)*((1/Calculations!S112)-1)-'Reaction Information'!$P$50*10^5*((1/Calculations!$C$10)-1)+'Reaction Information'!$P$50*10^5*Calculations!$C$14*(Calculations!O112-Calculations!$C$8))</f>
        <v>-119877.81074111276</v>
      </c>
      <c r="AU112" s="8" t="e">
        <f>IF(ISBLANK(Input!$BQ$4),NA(),'Reaction Information'!$E$54-'Reaction Information'!$G$54*(Calculations!$O112-Calculations!$C$8)-'Reaction Information'!$N$54*(Calculations!$O112*LN(Calculations!$O112/Calculations!$C$8)-Calculations!$O112+Calculations!$C$8)-'Reaction Information'!$O$54*10^4*(((1/(Calculations!$O112-Calculations!$C$13))-(1/(Calculations!$C$8-Calculations!$C$13)))*((Calculations!$C$13-Calculations!$O112)/(Calculations!$C$13))-(Calculations!$O112/(Calculations!$C$13*Calculations!$C$13))*LN((Calculations!$C$8*(Calculations!$O112-Calculations!$C$13))/(Calculations!$O112*(Calculations!$C$8-Calculations!$C$13))))+'Reaction Information'!$J$54*10^-1*(Calculations!$M112-Calculations!$C$9)+'Reaction Information'!$K$54*10^2*LN((Calculations!$C$12+Calculations!$M112)/(Calculations!$C$12+Calculations!$C$9))+(1/(Calculations!$O112-Calculations!$C$13))*('Reaction Information'!$L$54*(Calculations!$M112-Calculations!$C$9)+'Reaction Information'!$M$54*10^4*LN((Calculations!$C$12+Calculations!$M112)/(Calculations!$C$12+Calculations!$C$9)))+calculateOmega(Calculations!M112,Calculations!N112,Calculations!Q112,'Reaction Information'!$C$54,'Reaction Information'!$P$54*10^5,'Reaction Information'!$Q$54)*((1/Calculations!$S112)-1)-'Reaction Information'!$P$54*10^5*((1/Calculations!$C$10)-1)+'Reaction Information'!$P$54*10^5*Calculations!$C$14*(Calculations!$O112-Calculations!$C$8))</f>
        <v>#N/A</v>
      </c>
      <c r="AV112" s="8" t="e">
        <f>IF(ISBLANK(Input!$BT$4),NA(),'Reaction Information'!$E$58-'Reaction Information'!$G$58*(Calculations!$O112-Calculations!$C$8)-'Reaction Information'!$N$58*(Calculations!$O112*LN(Calculations!$O112/Calculations!$C$8)-Calculations!$O112+Calculations!$C$8)-'Reaction Information'!$O$58*10^4*(((1/(Calculations!$O112-Calculations!$C$13))-(1/(Calculations!$C$8-Calculations!$C$13)))*((Calculations!$C$13-Calculations!$O112)/(Calculations!$C$13))-(Calculations!$O112/(Calculations!$C$13*Calculations!$C$13))*LN((Calculations!$C$8*(Calculations!$O112-Calculations!$C$13))/(Calculations!$O112*(Calculations!$C$8-Calculations!$C$13))))+'Reaction Information'!$J$58*10^-1*(Calculations!$M112-Calculations!$C$9)+'Reaction Information'!$K$58*10^2*LN((Calculations!$C$12+Calculations!$M112)/(Calculations!$C$12+Calculations!$C$9))+(1/(Calculations!$O112-Calculations!$C$13))*('Reaction Information'!$L$58*(Calculations!$M112-Calculations!$C$9)+'Reaction Information'!$M$58*10^4*LN((Calculations!$C$12+Calculations!$M112)/(Calculations!$C$12+Calculations!$C$9)))+calculateOmega(Calculations!M112,Calculations!N112,Calculations!Q112,'Reaction Information'!$C$58,'Reaction Information'!$P$58*10^5,'Reaction Information'!$Q$58)*((1/Calculations!$S112)-1)-'Reaction Information'!$P$58*10^5*((1/Calculations!$C$10)-1)+'Reaction Information'!$P$58*10^5*Calculations!$C$14*(Calculations!$O112-Calculations!$C$8))</f>
        <v>#N/A</v>
      </c>
      <c r="AW112" s="8" t="e">
        <f>IF(ISBLANK(Input!$BW$4),NA(),'Reaction Information'!$E$62-'Reaction Information'!$G$62*(Calculations!$O112-Calculations!$C$8)-'Reaction Information'!$N$62*(Calculations!$O112*LN(Calculations!$O112/Calculations!$C$8)-Calculations!$O112+Calculations!$C$8)-'Reaction Information'!$O$62*10^4*(((1/(Calculations!$O112-Calculations!$C$13))-(1/(Calculations!$C$8-Calculations!$C$13)))*((Calculations!$C$13-Calculations!$O112)/(Calculations!$C$13))-(Calculations!$O112/(Calculations!$C$13*Calculations!$C$13))*LN((Calculations!$C$8*(Calculations!$O112-Calculations!$C$13))/(Calculations!$O112*(Calculations!$C$8-Calculations!$C$13))))+'Reaction Information'!$J$62*10^-1*(Calculations!$M112-Calculations!$C$9)+'Reaction Information'!$K$62*10^2*LN((Calculations!$C$12+Calculations!$M112)/(Calculations!$C$12+Calculations!$C$9))+(1/(Calculations!$O112-Calculations!$C$13))*('Reaction Information'!$L$62*(Calculations!$M112-Calculations!$C$9)+'Reaction Information'!$M$62*10^4*LN((Calculations!$C$12+Calculations!$M112)/(Calculations!$C$12+Calculations!$C$9)))+calculateOmega(Calculations!M112,Calculations!N112,Calculations!Q112,'Reaction Information'!$C$62,'Reaction Information'!$P$62*10^5,'Reaction Information'!$Q$62)*((1/Calculations!$S112)-1)-'Reaction Information'!$P$62*10^5*((1/Calculations!$C$10)-1)+'Reaction Information'!$P$62*10^5*Calculations!$C$14*(Calculations!$O112-Calculations!$C$8))</f>
        <v>#N/A</v>
      </c>
      <c r="AX112" s="8" t="e">
        <f>IF(ISBLANK(Input!$BZ$4),NA(),'Reaction Information'!$E$66-'Reaction Information'!$G$66*(Calculations!$O112-Calculations!$C$8)-'Reaction Information'!$N$66*(Calculations!$O112*LN(Calculations!$O112/Calculations!$C$8)-Calculations!$O112+Calculations!$C$8)-'Reaction Information'!$O$66*10^4*(((1/(Calculations!$O112-Calculations!$C$13))-(1/(Calculations!$C$8-Calculations!$C$13)))*((Calculations!$C$13-Calculations!$O112)/(Calculations!$C$13))-(Calculations!$O112/(Calculations!$C$13*Calculations!$C$13))*LN((Calculations!$C$8*(Calculations!$O112-Calculations!$C$13))/(Calculations!$O112*(Calculations!$C$8-Calculations!$C$13))))+'Reaction Information'!$J$66*10^-1*(Calculations!$M112-Calculations!$C$9)+'Reaction Information'!$K$66*10^2*LN((Calculations!$C$12+Calculations!$M112)/(Calculations!$C$12+Calculations!$C$9))+(1/(Calculations!$O112-Calculations!$C$13))*('Reaction Information'!$L$66*(Calculations!$M112-Calculations!$C$9)+'Reaction Information'!$M$66*10^4*LN((Calculations!$C$12+Calculations!$M112)/(Calculations!$C$12+Calculations!$C$9)))+calculateOmega(Calculations!M112,Calculations!N112,Calculations!Q112,'Reaction Information'!$C$66,'Reaction Information'!$P$66*10^5,'Reaction Information'!$Q$66)*((1/Calculations!$S112)-1)-'Reaction Information'!$P$66*10^5*((1/Calculations!$C$10)-1)+'Reaction Information'!$P$66*10^5*Calculations!$C$14*(Calculations!$O112-Calculations!$C$8))</f>
        <v>#N/A</v>
      </c>
      <c r="AY112" s="31">
        <f>(AL112*Input!$AO$4+AM112*Input!$AR$4+AN112*Input!$AU$4+AO112*Input!$AX$4+IF(ISNA(AP112),0,AP112*Input!$BA$4)+IF(ISNA(AQ112),0,AQ112*Input!$BD$4)+IF(ISNA(AR112),0,AR112*Input!$BG$4)+IF(ISNA(AS112),0,AS112*Input!$BJ$4)+IF(ISNA(AT112),0,AT112*Input!$BM$4)+IF(ISNA(AU112),0,AU112*Input!$BP$4)+IF(ISNA(AV112),0,AV112*Input!$BS$4)+IF(ISNA(AW112),0,AW112*Input!$BV$4)+IF(ISNA(AX112),0,AX112*Input!$BY$4))-(Y112*Input!$B$4+Z112*Input!$E$4+AA112*Input!$H$4+AB112*Input!$K$4+IF(ISNA(AC112),0,AC112*Input!$N$4)+IF(ISNA(AD112),0,AD112*Input!$Q$4)+IF(ISNA(AE112),0,AE112*Input!$T$4)+IF(ISNA(AF112),0,AF112*Input!$W$4)+IF(ISNA(AG112),0,AG112*Input!$Z$4)+IF(ISNA(AH112),0,AH112*Input!$AC$4)+IF(ISNA(AI112),0,AI112*Input!$AF$4)+IF(ISNA(AJ112),0,AJ112*Input!$AI$4)+IF(ISNA(AK112),0,AK112*Input!$AL$4))</f>
        <v>5233.2930843502982</v>
      </c>
      <c r="AZ112" s="42">
        <f t="shared" si="35"/>
        <v>-1.8365989503305733</v>
      </c>
      <c r="BA112" s="1">
        <f t="shared" si="27"/>
        <v>350</v>
      </c>
      <c r="BB112" s="46">
        <f t="shared" si="28"/>
        <v>40000</v>
      </c>
      <c r="BC112" s="1"/>
      <c r="BD112" s="2">
        <f t="shared" si="29"/>
        <v>40000</v>
      </c>
      <c r="BE112" s="46">
        <f t="shared" si="30"/>
        <v>350</v>
      </c>
      <c r="BF112" s="1">
        <f>Results!AJ114</f>
        <v>0</v>
      </c>
      <c r="BG112" s="1">
        <f>Results!AK114</f>
        <v>0</v>
      </c>
      <c r="BH112" s="1">
        <f>Results!AL114</f>
        <v>0</v>
      </c>
      <c r="BI112" s="1">
        <f>Results!AM114</f>
        <v>0</v>
      </c>
      <c r="BJ112" s="1" t="e">
        <f>IF(OR(ISNA('Reaction Information'!$D$5), $N112 = "", $D$27 = FALSE, 'Reaction Information'!$D$5 = ""), NA(), 24.465)</f>
        <v>#N/A</v>
      </c>
      <c r="BK112" s="1" t="e">
        <f>IF(OR(ISNA('Reaction Information'!$D$9), $N112 = "", $D$27 = FALSE, 'Reaction Information'!$D$9 = ""), NA(), 24.465)</f>
        <v>#N/A</v>
      </c>
      <c r="BL112" s="8">
        <f t="shared" si="36"/>
        <v>12.923673968521188</v>
      </c>
      <c r="BM112" s="8">
        <f>IF(OR(ISBLANK(Input!$X$4),$D$27=FALSE),NA(),('Reaction Information'!$J$13/10+'Reaction Information'!$K$13*100/(Calculations!$C$12+Calculations!$M112)+('Reaction Information'!$L$13+'Reaction Information'!$M$13*10^4/(Calculations!$C$12+Calculations!$M112))/(Calculations!$O112-Calculations!$C$13) -calculateOmega(Calculations!$M112,Calculations!$N112,Calculations!$Q112,'Reaction Information'!$C$13,'Reaction Information'!$P$13*10^5,'Reaction Information'!$Q$13)*Calculations!$U112*10^-6 + (1/$S112 - 1)*calculate_domegadP(Calculations!$M112,Calculations!$N112,Calculations!$Q112,'Reaction Information'!$C$13,'Reaction Information'!$P$13*10^5,'Reaction Information'!$Q$13,$D$20,$D$19=3))*41.84)</f>
        <v>29.963969699456342</v>
      </c>
      <c r="BN112" s="8" t="e">
        <f>IF(OR(ISBLANK(Input!$AA$4),$D$27=FALSE),NA(),('Reaction Information'!$J$17/10+'Reaction Information'!$K$17*100/(Calculations!$C$12+Calculations!$M112)+('Reaction Information'!$L$17+'Reaction Information'!$M$17*10000/(Calculations!$C$12+Calculations!$M112))/(Calculations!$O112-Calculations!$C$13)-calculateOmega(Calculations!M112,Calculations!N112,Calculations!Q112,'Reaction Information'!$C$17,'Reaction Information'!$P$17*10^5,'Reaction Information'!$Q$17)*Calculations!$U112*10^-6 + (1/$S112 - 1)*calculate_domegadP(Calculations!M112,Calculations!N112,Calculations!Q112,'Reaction Information'!$C$17,'Reaction Information'!$P$17*10^5,'Reaction Information'!$Q$17,$D$20,$D$19=3))*41.84)</f>
        <v>#N/A</v>
      </c>
      <c r="BO112" s="8" t="e">
        <f>IF(OR(ISBLANK(Input!$AD$4),$D$27=FALSE),NA(),('Reaction Information'!$J$21/10+'Reaction Information'!$K$21*100/(Calculations!$C$12+Calculations!$M112)+('Reaction Information'!$L$21+'Reaction Information'!$M$21*10000/(Calculations!$C$12+Calculations!$M112))/(Calculations!$O112-Calculations!$C$13)-calculateOmega(Calculations!M112,Calculations!N112,Calculations!Q112,'Reaction Information'!$C$21,'Reaction Information'!$P$21*10^5,'Reaction Information'!$Q$21)*Calculations!$U112*10^-6 + (1/$S112 - 1)*calculate_domegadP(Calculations!M112,Calculations!N112,Calculations!Q112,'Reaction Information'!$C$21,'Reaction Information'!$P$21*10^5,'Reaction Information'!$Q$21,$D$20,$D$19=3))*41.84)</f>
        <v>#N/A</v>
      </c>
      <c r="BP112" s="8" t="e">
        <f>IF(OR(ISBLANK(Input!$AG$4),$D$27=FALSE),NA(),('Reaction Information'!$J$25/10+'Reaction Information'!$K$25*100/(Calculations!$C$12+Calculations!$M112)+('Reaction Information'!$L$25+'Reaction Information'!$M$25*10000/(Calculations!$C$12+Calculations!$M112))/(Calculations!$O112-Calculations!$C$13)-calculateOmega(Calculations!M112,Calculations!N112,Calculations!Q112,'Reaction Information'!$C$25,'Reaction Information'!$P$25*10^5,'Reaction Information'!$Q$25)*Calculations!$U112*10^-6 + (1/$S112 - 1)*calculate_domegadP(Calculations!M112,Calculations!N112,Calculations!Q112,'Reaction Information'!$C$25,'Reaction Information'!$P$25*10^5,'Reaction Information'!$Q$25,$D$20,$D$19=3))*41.84)</f>
        <v>#N/A</v>
      </c>
      <c r="BQ112" s="8" t="e">
        <f>IF(OR(ISBLANK(Input!$AJ$4),$D$27=FALSE),NA(),('Reaction Information'!$J$29/10+'Reaction Information'!$K$29*100/(Calculations!$C$12+Calculations!$M112)+('Reaction Information'!$L$29+'Reaction Information'!$M$29*10000/(Calculations!$C$12+Calculations!$M112))/(Calculations!$O112-Calculations!$C$13)-calculateOmega(Calculations!M112,Calculations!N112,Calculations!Q112,'Reaction Information'!$C$29,'Reaction Information'!$P$29*10^5,'Reaction Information'!$Q$29)*Calculations!$U112*10^-6 + (1/$S112 - 1)*calculate_domegadP(Calculations!M112,Calculations!N112,Calculations!Q112,'Reaction Information'!$C$29,'Reaction Information'!$P$29*10^5,'Reaction Information'!$Q$29,$D$20,$D$19=3))*41.84)</f>
        <v>#N/A</v>
      </c>
      <c r="BR112" s="8" t="e">
        <f>IF(OR(ISBLANK(Input!$AM$4),$D$27=FALSE),NA(),('Reaction Information'!$J$33/10+'Reaction Information'!$K$33*100/(Calculations!$C$12+Calculations!$M112)+('Reaction Information'!$L$33+'Reaction Information'!$M$33*10000/(Calculations!$C$12+Calculations!$M112))/(Calculations!$O112-Calculations!$C$13)-calculateOmega(Calculations!M112,Calculations!N112,Calculations!Q112,'Reaction Information'!$C$33,'Reaction Information'!$P$33*10^5,'Reaction Information'!$Q$33)*Calculations!$U112*10^-6 + (1/$S112 - 1)*calculate_domegadP(Calculations!M112,Calculations!N112,Calculations!Q112,'Reaction Information'!$C$33,'Reaction Information'!$P$33*10^5,'Reaction Information'!$Q$33,$D$20,$D$19=3))*41.84)</f>
        <v>#N/A</v>
      </c>
      <c r="BS112" s="1">
        <f>Results!AW114</f>
        <v>0</v>
      </c>
      <c r="BT112" s="1">
        <f>Results!AX114</f>
        <v>0</v>
      </c>
      <c r="BU112" s="1">
        <f>Results!AY114</f>
        <v>0</v>
      </c>
      <c r="BV112" s="1">
        <f>Results!AZ114</f>
        <v>0</v>
      </c>
      <c r="BW112" s="1" t="e">
        <f>IF(OR(ISNA('Reaction Information'!$D$38), $N112 = "", $D$27 = FALSE, 'Reaction Information'!$D$38 = ""), NA(), 24.465)</f>
        <v>#N/A</v>
      </c>
      <c r="BX112" s="1" t="e">
        <f>IF(OR(ISNA('Reaction Information'!$D$42), $N112 = "", $D$27 = FALSE, 'Reaction Information'!$D$42 = ""), NA(), 24.465)</f>
        <v>#N/A</v>
      </c>
      <c r="BY112" s="8" t="e">
        <f t="shared" si="37"/>
        <v>#N/A</v>
      </c>
      <c r="BZ112" s="8">
        <f>IF(OR(ISBLANK(Input!$BK$4),$D$27=FALSE),NA(),('Reaction Information'!$J$46/10+'Reaction Information'!$K$46*100/(Calculations!$C$12+Calculations!$M112)+('Reaction Information'!$L$46+'Reaction Information'!$M$46*10000/(Calculations!$C$12+Calculations!$M112))/(Calculations!$O112-Calculations!$C$13)-calculateOmega(Calculations!M112,Calculations!N112,Calculations!Q112,'Reaction Information'!$C$46,'Reaction Information'!$P$46*10^5,'Reaction Information'!$Q$46)*Calculations!$U112*10^-6 + (1/$S112 - 1)*calculate_domegadP(Calculations!M112,Calculations!N112,Calculations!Q112,'Reaction Information'!$C$46,'Reaction Information'!$P$46*10^5,'Reaction Information'!$Q$46,$D$20,$D$19=3))*41.84)</f>
        <v>0</v>
      </c>
      <c r="CA112" s="8">
        <f>IF(OR(ISBLANK(Input!$BN$4),$D$27=FALSE),NA(),('Reaction Information'!$J$50/10+'Reaction Information'!$K$50*100/(Calculations!$C$12+Calculations!$M112)+('Reaction Information'!$L$50+'Reaction Information'!$M$50*10000/(Calculations!$C$12+Calculations!$M112))/(Calculations!$O112-Calculations!$C$13)-calculateOmega(Calculations!M112,Calculations!N112,Calculations!Q112,'Reaction Information'!$C$50,'Reaction Information'!$P$50*10^5,'Reaction Information'!$Q$50)*Calculations!$U112*10^-6 + (1/$S112 - 1)*calculate_domegadP(Calculations!M112,Calculations!N112,Calculations!Q112,'Reaction Information'!$C$50,'Reaction Information'!$P$50*10^5,'Reaction Information'!$Q$50,$D$20,$D$19=3))*41.84)</f>
        <v>31.505756770598147</v>
      </c>
      <c r="CB112" s="8" t="e">
        <f>IF(OR(ISBLANK(Input!$BQ$4),$D$27=FALSE),NA(),('Reaction Information'!$J$54/10+'Reaction Information'!$K$54*100/(Calculations!$C$12+Calculations!$M112)+('Reaction Information'!$L$54+'Reaction Information'!$M$54*10000/(Calculations!$C$12+Calculations!$M112))/(Calculations!$O112-Calculations!$C$13)-calculateOmega(Calculations!M112,Calculations!N112,Calculations!Q112,'Reaction Information'!$C$54,'Reaction Information'!$P$54*10^5,'Reaction Information'!$Q$54)*Calculations!$U112*10^-6 + (1/$S112 - 1)*calculate_domegadP(Calculations!M112,Calculations!N112,Calculations!Q112,'Reaction Information'!$C$54,'Reaction Information'!$P$54*10^5,'Reaction Information'!$Q$54,$D$20,$D$19=3))*41.84)</f>
        <v>#N/A</v>
      </c>
      <c r="CC112" s="8" t="e">
        <f>IF(OR(ISBLANK(Input!$BT$4),$D$27=FALSE),NA(),('Reaction Information'!$J$58/10+'Reaction Information'!$K$58*100/(Calculations!$C$12+Calculations!$M112)+('Reaction Information'!$L$58+'Reaction Information'!$M$58*10000/(Calculations!$C$12+Calculations!$M112))/(Calculations!$O112-Calculations!$C$13)-calculateOmega(Calculations!M112,Calculations!N112,Calculations!Q112,'Reaction Information'!$C$58,'Reaction Information'!$P$58*10^5,'Reaction Information'!$Q$58)*Calculations!$U112*10^-6 + (1/$S112 - 1)*calculate_domegadP(Calculations!M112,Calculations!N112,Calculations!Q112,'Reaction Information'!$C$58,'Reaction Information'!$P$58*10^5,'Reaction Information'!$Q$58,$D$20,$D$19=3))*41.84)</f>
        <v>#N/A</v>
      </c>
      <c r="CD112" s="8" t="e">
        <f>IF(OR(ISBLANK(Input!$BW$4),$D$27=FALSE),NA(),('Reaction Information'!$J$62/10+'Reaction Information'!$K$62*100/(Calculations!$C$12+Calculations!$M112)+('Reaction Information'!$L$62+'Reaction Information'!$M$62*10000/(Calculations!$C$12+Calculations!$M112))/(Calculations!$O112-Calculations!$C$13)-calculateOmega(Calculations!M112,Calculations!N112,Calculations!Q112,'Reaction Information'!$C$62,'Reaction Information'!$P$62*10^5,'Reaction Information'!$Q$62)*Calculations!$U112*10^-6 + (1/$S112 - 1)*calculate_domegadP(Calculations!M112,Calculations!N112,Calculations!Q112,'Reaction Information'!$C$62,'Reaction Information'!$P$62*10^5,'Reaction Information'!$Q$62,$D$20,$D$19=3))*41.84)</f>
        <v>#N/A</v>
      </c>
      <c r="CE112" s="8" t="e">
        <f>IF(OR(ISBLANK(Input!$BZ$4),$D$27=FALSE),NA(),('Reaction Information'!$J$66/10+'Reaction Information'!$K$66*100/(Calculations!$C$12+Calculations!$M112)+('Reaction Information'!$L$66+'Reaction Information'!$M$66*10000/(Calculations!$C$12+Calculations!$M112))/(Calculations!$O112-Calculations!$C$13)-calculateOmega(Calculations!M112,Calculations!N112,Calculations!Q112,'Reaction Information'!$C$66,'Reaction Information'!$P$66*10^5,'Reaction Information'!$Q$66)*Calculations!$U112*10^-6 + (1/$S112 - 1)*calculate_domegadP(Calculations!M112,Calculations!N112,Calculations!Q112,'Reaction Information'!$C$66,'Reaction Information'!$P$66*10^5,'Reaction Information'!$Q$66,$D$20,$D$19=3))*41.84)</f>
        <v>#N/A</v>
      </c>
      <c r="CF112" s="31">
        <f>(BS112*Input!$AO$4+BT112*Input!$AR$4+BU112*Input!$AU$4+BV112*Input!$AX$4+IF(ISNA(BW112),0,BW112*Input!$BA$4)+IF(ISNA(BX112),0,BX112*Input!$BD$4)+IF(ISNA(BY112),0,BY112*Input!$BG$4)+IF(ISNA(BZ112),0,BZ112*Input!$BJ$4)+IF(ISNA(CA112),0,CA112*Input!$BM$4)+IF(ISNA(CB112),0,CB112*Input!$BP$4)+IF(ISNA(CC112),0,CC112*Input!$BS$4)+IF(ISNA(CD112),0,CD112*Input!$BV$4)+IF(ISNA(CE112),0,CE112*Input!$BY$4))-(BF112*Input!$B$4+BG112*Input!$E$4+BH112*Input!$H$4+BI112*Input!$K$4+IF(ISNA(BJ112),0,BJ112*Input!$N$4)+IF(ISNA(BK112),0,BK112*Input!$Q$4)+IF(ISNA(BL112),0,BL112*Input!$T$4)+IF(ISNA(BM112),0,BM112*Input!$W$4)+IF(ISNA(BN112),0,BN112*Input!$Z$4)+IF(ISNA(BO112),0,BO112*Input!$AC$4)+IF(ISNA(BP112),0,BP112*Input!$AF$4)+IF(ISNA(BQ112),0,BQ112*Input!$AI$4)+IF(ISNA(BR112),0,BR112*Input!$AL$4))</f>
        <v>-11.381886897379381</v>
      </c>
      <c r="CG112" s="1">
        <f t="shared" si="31"/>
        <v>350</v>
      </c>
      <c r="CH112" s="46">
        <f t="shared" si="32"/>
        <v>40000</v>
      </c>
      <c r="CI112" s="1"/>
    </row>
    <row r="113" spans="1:87" x14ac:dyDescent="0.2">
      <c r="A113" s="1"/>
      <c r="B113" s="1"/>
      <c r="C113" s="1"/>
      <c r="D113" s="1"/>
      <c r="E113" s="1"/>
      <c r="F113" s="2">
        <v>108</v>
      </c>
      <c r="G113" s="1" t="str">
        <f>IF(ISBLANK(Input!CB113), "", Input!CB113*1000)</f>
        <v/>
      </c>
      <c r="H113" s="1" t="str">
        <f>IF(ISBLANK(Input!CC113), "", Input!CC113)</f>
        <v/>
      </c>
      <c r="I113" s="1">
        <f>IF(Input!$CF$5 + Input!$CF$6*(FLOOR((Calculations!$F113-1)/(FLOOR((Input!$CF$12-Input!$CF$10)/Input!$CF$11,1)+1),1)) &gt; Input!$CF$7, "", (Input!$CF$5 + Input!$CF$6*(FLOOR((Calculations!$F113-1)/(FLOOR((Input!$CF$12-Input!$CF$10)/Input!$CF$11,1)+1),1)))*1000)</f>
        <v>40000</v>
      </c>
      <c r="J113" s="1">
        <f>IF(Calculations!I113 = "", "", Input!$CF$10 + Input!$CF$11*(Calculations!$F113-1) - (FLOOR((Input!$CF$12-Input!$CF$10)/Input!$CF$11,1)+1)*Input!$CF$11*FLOOR((Calculations!$F113-1)/(FLOOR((Input!$CF$12-Input!$CF$10)/Input!$CF$11,1)+1),1))</f>
        <v>400</v>
      </c>
      <c r="K113" s="8" t="str">
        <f t="shared" si="33"/>
        <v/>
      </c>
      <c r="L113" s="117" t="str">
        <f>IF(OR(Input!$CJ$5 + Input!$CJ$6*(Calculations!F113-1) &gt; Input!$CJ$7, Input!$CJ$5 + Input!$CJ$6*(Calculations!F113-1) &gt; 350), "", Input!$CJ$5 + Input!$CJ$6*(Calculations!F113-1))</f>
        <v/>
      </c>
      <c r="M113" s="1">
        <f t="shared" si="23"/>
        <v>40000</v>
      </c>
      <c r="N113" s="1">
        <f t="shared" si="24"/>
        <v>400</v>
      </c>
      <c r="O113" s="1">
        <f t="shared" si="34"/>
        <v>673.15</v>
      </c>
      <c r="P113" s="1" t="e">
        <f>IF(OR($D$20=3,AND($D$21=TRUE,M113&lt;1000)),INDEX('Water Density'!$C$6:$CX$120,MATCH(Calculations!N113,'Water Density'!$B$6:$B$120),MATCH(Calculations!M113/1000,'Water Density'!$C$5:$CX$5)),NA())</f>
        <v>#N/A</v>
      </c>
      <c r="Q113" s="182">
        <f>IF(OR($D$20=3,AND($D$21=TRUE,M113&lt;1000)), IF(P113&lt;&gt;0,P113,NA()), calculateDensity(M113,N113,$D$20,0.01,$D$19 = 3))</f>
        <v>1.3787023871725803</v>
      </c>
      <c r="R113" s="1" t="e">
        <f>IF($D$22=5,INDEX('Dielectric Constant'!$C$6:$CX$120,MATCH(Calculations!N113,'Dielectric Constant'!$B$6:$B$120),MATCH(Calculations!M113/1000,'Dielectric Constant'!$C$5:$CX$5)),NA())</f>
        <v>#N/A</v>
      </c>
      <c r="S113" s="58">
        <f>IF($D$22=5, IF(R113&lt;&gt;0,R113,NA()), IF(AND($D$23,M113&lt;=5000,$D$19 &lt;&gt; 3),calculateEpsilon(Q113,N113,1,FALSE),calculateEpsilon(Q113,N113,$D$22,$D$19 = 3)))</f>
        <v>45.55514120153947</v>
      </c>
      <c r="T113" s="1" t="e">
        <f>IF($D$24=3,INDEX('Water Free Energy'!$C$6:$CX$120,MATCH(Calculations!N113,'Water Free Energy'!$B$6:$B$120),MATCH(Calculations!M113/1000,'Water Free Energy'!$C$5:$CX$5)),NA())</f>
        <v>#N/A</v>
      </c>
      <c r="U113" s="179">
        <f>IF($D$27,calculateQ(M113,N113,Q113,$D$20,$D$22,$D$19=3)*10^6,NA())</f>
        <v>0.12170797451975028</v>
      </c>
      <c r="V113"/>
      <c r="W113" s="2">
        <f t="shared" si="25"/>
        <v>40000</v>
      </c>
      <c r="X113" s="1">
        <f t="shared" si="26"/>
        <v>400</v>
      </c>
      <c r="Y113" s="1">
        <f>Results!F115</f>
        <v>0</v>
      </c>
      <c r="Z113" s="1">
        <f>Results!G115</f>
        <v>0</v>
      </c>
      <c r="AA113" s="1">
        <f>Results!H115</f>
        <v>0</v>
      </c>
      <c r="AB113" s="1">
        <f>Results!I115</f>
        <v>0</v>
      </c>
      <c r="AC113" s="1" t="e">
        <f>IF(ISBLANK(Input!$O$4),NA(),'Reaction Information'!$E$5-'Reaction Information'!$G$5*(Calculations!$O113-Calculations!$C$8)+'Reaction Information'!$I$5*(Calculations!$O113-Calculations!$C$8-Calculations!$O113*LN(Calculations!$O113/Calculations!$C$8))+'Reaction Information'!$J$5*0.001/2*(2*Calculations!$O113*Calculations!$C$8-Calculations!$O113^2-Calculations!$C$8^2) + 'Reaction Information'!$K$5*100000*(Calculations!$O113^2 + Calculations!$C$8^2 - 2*Calculations!$O113*Calculations!$C$8)/(2*Calculations!$O113*Calculations!$C$8^2))</f>
        <v>#N/A</v>
      </c>
      <c r="AD113" s="8" t="e">
        <f>IF(ISBLANK(Input!$R$4),NA(),'Reaction Information'!$E$9-'Reaction Information'!$G$9*(Calculations!$O113-Calculations!$C$8)+'Reaction Information'!$I$9*(Calculations!$O113-Calculations!$C$8-Calculations!$O113*LN(Calculations!$O113/Calculations!$C$8))+'Reaction Information'!$J$9*0.001/2*(2*Calculations!$O113*Calculations!$C$8-Calculations!$O113^2-Calculations!$C$8^2) + 'Reaction Information'!$K$9*100000*(Calculations!$O113^2 + Calculations!$C$8^2 - 2*Calculations!$O113*Calculations!$C$8)/(2*Calculations!$O113*Calculations!$C$8^2))</f>
        <v>#N/A</v>
      </c>
      <c r="AE113" s="8">
        <f>IF(AE$5="H2O",IF($D$24=3,IF(T113=0,NA(),T113),calculateGibbsOfWater(M113,N113,$D$24,$D$20,$D$19=3)),NA())</f>
        <v>-50832.604514905586</v>
      </c>
      <c r="AF113" s="8">
        <f>IF(ISBLANK(Input!$X$4),NA(),'Reaction Information'!$E$13-'Reaction Information'!$G$13*(Calculations!O113-Calculations!$C$8)-'Reaction Information'!$N$13*(Calculations!O113*LN(Calculations!O113/Calculations!$C$8)-Calculations!O113+Calculations!$C$8)-'Reaction Information'!$O$13*10^4*(((1/(Calculations!O113-Calculations!$C$13))-(1/(Calculations!$C$8-Calculations!$C$13)))*((Calculations!$C$13-Calculations!O113)/(Calculations!$C$13))-(Calculations!O113/(Calculations!$C$13*Calculations!$C$13))*LN((Calculations!$C$8*(Calculations!O113-Calculations!$C$13))/(Calculations!O113*(Calculations!$C$8-Calculations!$C$13))))+'Reaction Information'!$J$13*10^-1*(Calculations!M113-Calculations!$C$9)+'Reaction Information'!$K$13*10^2*LN((Calculations!$C$12+Calculations!M113)/(Calculations!$C$12+Calculations!$C$9))+(1/(Calculations!O113-Calculations!$C$13))*('Reaction Information'!$L$13*(Calculations!M113-Calculations!$C$9)+'Reaction Information'!$M$13*10^4*LN((Calculations!$C$12+Calculations!M113)/(Calculations!$C$12+Calculations!$C$9)))+calculateOmega(Calculations!M113,Calculations!N113,Calculations!Q113,'Reaction Information'!$C$13,'Reaction Information'!$P$13*10^5,'Reaction Information'!$Q$13)*((1/Calculations!S113)-1)-'Reaction Information'!$P$13*10^5*((1/Calculations!$C$10)-1)+'Reaction Information'!$P$13*10^5*Calculations!$C$14*(Calculations!O113-Calculations!$C$8))</f>
        <v>-77585.461967481693</v>
      </c>
      <c r="AG113" s="8" t="e">
        <f>IF(ISBLANK(Input!$AA$4),NA(),'Reaction Information'!$E$17-'Reaction Information'!$G$17*(Calculations!$O113-Calculations!$C$8)-'Reaction Information'!$N$17*(Calculations!$O113*LN(Calculations!$O113/Calculations!$C$8)-Calculations!$O113+Calculations!$C$8)-'Reaction Information'!$O$17*10^4*(((1/(Calculations!$O113-Calculations!$C$13))-(1/(Calculations!$C$8-Calculations!$C$13)))*((Calculations!$C$13-Calculations!$O113)/(Calculations!$C$13))-(Calculations!$O113/(Calculations!$C$13*Calculations!$C$13))*LN((Calculations!$C$8*(Calculations!$O113-Calculations!$C$13))/(Calculations!$O113*(Calculations!$C$8-Calculations!$C$13))))+'Reaction Information'!$J$17*10^-1*(Calculations!$M113-Calculations!$C$9)+'Reaction Information'!$K$17*10^2*LN((Calculations!$C$12+Calculations!$M113)/(Calculations!$C$12+Calculations!$C$9))+(1/(Calculations!$O113-Calculations!$C$13))*('Reaction Information'!$L$17*(Calculations!$M113-Calculations!$C$9)+'Reaction Information'!$M$17*10^4*LN((Calculations!$C$12+Calculations!$M113)/(Calculations!$C$12+Calculations!$C$9)))+calculateOmega(Calculations!M113,Calculations!N113,Calculations!Q113,'Reaction Information'!$C$17,'Reaction Information'!$P$17*10^5,'Reaction Information'!$Q$17)*((1/Calculations!$S113)-1)-'Reaction Information'!$P$17*10^5*((1/Calculations!$C$10)-1)+'Reaction Information'!$P$17*10^5*Calculations!$C$14*(Calculations!$O113-Calculations!$C$8))</f>
        <v>#N/A</v>
      </c>
      <c r="AH113" s="8" t="e">
        <f>IF(ISBLANK(Input!$AD$4),NA(),'Reaction Information'!$E$21-'Reaction Information'!$G$21*(Calculations!$O113-Calculations!$C$8)-'Reaction Information'!$N$21*(Calculations!$O113*LN(Calculations!$O113/Calculations!$C$8)-Calculations!$O113+Calculations!$C$8)-'Reaction Information'!$O$21*10^4*(((1/(Calculations!$O113-Calculations!$C$13))-(1/(Calculations!$C$8-Calculations!$C$13)))*((Calculations!$C$13-Calculations!$O113)/(Calculations!$C$13))-(Calculations!$O113/(Calculations!$C$13*Calculations!$C$13))*LN((Calculations!$C$8*(Calculations!$O113-Calculations!$C$13))/(Calculations!$O113*(Calculations!$C$8-Calculations!$C$13))))+'Reaction Information'!$J$21*10^-1*(Calculations!$M113-Calculations!$C$9)+'Reaction Information'!$K$21*10^2*LN((Calculations!$C$12+Calculations!$M113)/(Calculations!$C$12+Calculations!$C$9))+(1/(Calculations!$O113-Calculations!$C$13))*('Reaction Information'!$L$21*(Calculations!$M113-Calculations!$C$9)+'Reaction Information'!$M$21*10^4*LN((Calculations!$C$12+Calculations!$M113)/(Calculations!$C$12+Calculations!$C$9)))+calculateOmega(Calculations!M113,Calculations!N113,Calculations!Q113,'Reaction Information'!$C$21,'Reaction Information'!$P$21*10^5,'Reaction Information'!$Q$21)*((1/Calculations!$S113)-1)-'Reaction Information'!$P$21*10^5*((1/Calculations!$C$10)-1)+'Reaction Information'!$P$21*10^5*Calculations!$C$14*(Calculations!$O113-Calculations!$C$8))</f>
        <v>#N/A</v>
      </c>
      <c r="AI113" s="8" t="e">
        <f>IF(ISBLANK(Input!$AG$4),NA(),'Reaction Information'!$E$25-'Reaction Information'!$G$25*(Calculations!$O113-Calculations!$C$8)-'Reaction Information'!$N$25*(Calculations!$O113*LN(Calculations!$O113/Calculations!$C$8)-Calculations!$O113+Calculations!$C$8)-'Reaction Information'!$O$25*10^4*(((1/(Calculations!$O113-Calculations!$C$13))-(1/(Calculations!$C$8-Calculations!$C$13)))*((Calculations!$C$13-Calculations!$O113)/(Calculations!$C$13))-(Calculations!$O113/(Calculations!$C$13*Calculations!$C$13))*LN((Calculations!$C$8*(Calculations!$O113-Calculations!$C$13))/(Calculations!$O113*(Calculations!$C$8-Calculations!$C$13))))+'Reaction Information'!$J$25*10^-1*(Calculations!$M113-Calculations!$C$9)+'Reaction Information'!$K$25*10^2*LN((Calculations!$C$12+Calculations!$M113)/(Calculations!$C$12+Calculations!$C$9))+(1/(Calculations!$O113-Calculations!$C$13))*('Reaction Information'!$L$25*(Calculations!$M113-Calculations!$C$9)+'Reaction Information'!$M$25*10^4*LN((Calculations!$C$12+Calculations!$M113)/(Calculations!$C$12+Calculations!$C$9)))+calculateOmega(Calculations!M113,Calculations!N113,Calculations!Q113,'Reaction Information'!$C$25,'Reaction Information'!$P$25*10^5,'Reaction Information'!$Q$25)*((1/Calculations!$S113)-1)-'Reaction Information'!$P$25*10^5*((1/Calculations!$C$10)-1)+'Reaction Information'!$P$25*10^5*Calculations!$C$14*(Calculations!$O113-Calculations!$C$8))</f>
        <v>#N/A</v>
      </c>
      <c r="AJ113" s="8" t="e">
        <f>IF(ISBLANK(Input!$AJ$4),NA(),'Reaction Information'!$E$29-'Reaction Information'!$G$29*(Calculations!$O113-Calculations!$C$8)-'Reaction Information'!$N$29*(Calculations!$O113*LN(Calculations!$O113/Calculations!$C$8)-Calculations!$O113+Calculations!$C$8)-'Reaction Information'!$O$29*10^4*(((1/(Calculations!$O113-Calculations!$C$13))-(1/(Calculations!$C$8-Calculations!$C$13)))*((Calculations!$C$13-Calculations!$O113)/(Calculations!$C$13))-(Calculations!$O113/(Calculations!$C$13*Calculations!$C$13))*LN((Calculations!$C$8*(Calculations!$O113-Calculations!$C$13))/(Calculations!$O113*(Calculations!$C$8-Calculations!$C$13))))+'Reaction Information'!$J$29*10^-1*(Calculations!$M113-Calculations!$C$9)+'Reaction Information'!$K$29*10^2*LN((Calculations!$C$12+Calculations!$M113)/(Calculations!$C$12+Calculations!$C$9))+(1/(Calculations!$O113-Calculations!$C$13))*('Reaction Information'!$L$29*(Calculations!$M113-Calculations!$C$9)+'Reaction Information'!$M$29*10^4*LN((Calculations!$C$12+Calculations!$M113)/(Calculations!$C$12+Calculations!$C$9)))+calculateOmega(Calculations!M113,Calculations!N113,Calculations!Q113,'Reaction Information'!$C$29,'Reaction Information'!$P$29*10^5,'Reaction Information'!$Q$29)*((1/Calculations!$S113)-1)-'Reaction Information'!$P$29*10^5*((1/Calculations!$C$10)-1)+'Reaction Information'!$P$29*10^5*Calculations!$C$14*(Calculations!$O113-Calculations!$C$8))</f>
        <v>#N/A</v>
      </c>
      <c r="AK113" s="8" t="e">
        <f>IF(ISBLANK(Input!$AM$4),NA(),'Reaction Information'!$E$33-'Reaction Information'!$G$33*(Calculations!$O113-Calculations!$C$8)-'Reaction Information'!$N$33*(Calculations!$O113*LN(Calculations!$O113/Calculations!$C$8)-Calculations!$O113+Calculations!$C$8)-'Reaction Information'!$O$33*10^4*(((1/(Calculations!$O113-Calculations!$C$13))-(1/(Calculations!$C$8-Calculations!$C$13)))*((Calculations!$C$13-Calculations!$O113)/(Calculations!$C$13))-(Calculations!$O113/(Calculations!$C$13*Calculations!$C$13))*LN((Calculations!$C$8*(Calculations!$O113-Calculations!$C$13))/(Calculations!$O113*(Calculations!$C$8-Calculations!$C$13))))+'Reaction Information'!$J$33*10^-1*(Calculations!$M113-Calculations!$C$9)+'Reaction Information'!$K$33*10^2*LN((Calculations!$C$12+Calculations!$M113)/(Calculations!$C$12+Calculations!$C$9))+(1/(Calculations!$O113-Calculations!$C$13))*('Reaction Information'!$L$33*(Calculations!$M113-Calculations!$C$9)+'Reaction Information'!$M$33*10^4*LN((Calculations!$C$12+Calculations!$M113)/(Calculations!$C$12+Calculations!$C$9)))+calculateOmega(Calculations!M113,Calculations!N113,Calculations!Q113,'Reaction Information'!$C$33,'Reaction Information'!$P$33*10^5,'Reaction Information'!$Q$33)*((1/Calculations!$S113)-1)-'Reaction Information'!$P$33*10^5*((1/Calculations!$C$10)-1)+'Reaction Information'!$P$33*10^5*Calculations!$C$14*(Calculations!$O113-Calculations!$C$8))</f>
        <v>#N/A</v>
      </c>
      <c r="AL113" s="1">
        <f>Results!S115</f>
        <v>0</v>
      </c>
      <c r="AM113" s="1">
        <f>Results!T115</f>
        <v>0</v>
      </c>
      <c r="AN113" s="1">
        <f>Results!U115</f>
        <v>0</v>
      </c>
      <c r="AO113" s="1">
        <f>Results!V115</f>
        <v>0</v>
      </c>
      <c r="AP113" s="8" t="e">
        <f>IF(ISBLANK(Input!$BB$4),NA(),'Reaction Information'!$E$38-'Reaction Information'!$G$38*(Calculations!$O113-Calculations!$C$8)+'Reaction Information'!$I$38*(Calculations!$O113-Calculations!$C$8-Calculations!$O113*LN(Calculations!$O113/Calculations!$C$8))+'Reaction Information'!$J$38*0.001/2*(2*Calculations!$O113*Calculations!$C$8-Calculations!$O113^2-Calculations!$C$8^2) + 'Reaction Information'!$K$38*100000*(Calculations!$O113^2 + Calculations!$C$8^2 - 2*Calculations!$O113*Calculations!$C$8)/(2*Calculations!$O113*Calculations!$C$8^2))</f>
        <v>#N/A</v>
      </c>
      <c r="AQ113" s="8" t="e">
        <f>IF(ISBLANK(Input!$BE$4),NA(),'Reaction Information'!$E$42-'Reaction Information'!$G$42*(Calculations!$O113-Calculations!$C$8)+'Reaction Information'!$I$42*(Calculations!$O113-Calculations!$C$8-Calculations!$O113*LN(Calculations!$O113/Calculations!$C$8))+'Reaction Information'!$J$42*0.001/2*(2*Calculations!$O113*Calculations!$C$8-Calculations!$O113^2-Calculations!$C$8^2) + 'Reaction Information'!$K$42*100000*(Calculations!$O113^2 + Calculations!$C$8^2 - 2*Calculations!$O113*Calculations!$C$8)/(2*Calculations!$O113*Calculations!$C$8^2))</f>
        <v>#N/A</v>
      </c>
      <c r="AR113" s="8" t="e">
        <f>IF(AR$5="H2O", IF($D$24=3,IF(T113=0,NA(),T113),calculateGibbsOfWater(M113,N113,$D$24,$D$20,$D$19=3)),NA())</f>
        <v>#N/A</v>
      </c>
      <c r="AS113" s="8">
        <f>IF(ISBLANK(Input!$BK$4),NA(),'Reaction Information'!$E$46-'Reaction Information'!$G$46*(Calculations!O113-Calculations!$C$8)-'Reaction Information'!$N$46*(Calculations!O113*LN(Calculations!O113/Calculations!$C$8)-Calculations!O113+Calculations!$C$8)-'Reaction Information'!$O$46*10^4*(((1/(Calculations!O113-Calculations!$C$13))-(1/(Calculations!$C$8-Calculations!$C$13)))*((Calculations!$C$13-Calculations!O113)/(Calculations!$C$13))-(Calculations!O113/(Calculations!$C$13*Calculations!$C$13))*LN((Calculations!$C$8*(Calculations!O113-Calculations!$C$13))/(Calculations!O113*(Calculations!$C$8-Calculations!$C$13))))+'Reaction Information'!$J$46*10^-1*(Calculations!$M113-Calculations!$C$9)+'Reaction Information'!$K$46*10^2*LN((Calculations!$C$12+Calculations!$M113)/(Calculations!$C$12+Calculations!$C$9))+(1/(Calculations!O113-Calculations!$C$13))*('Reaction Information'!$L$46*(Calculations!$M113-Calculations!$C$9)+'Reaction Information'!$M$46*10^4*LN((Calculations!$C$12+Calculations!$M113)/(Calculations!$C$12+Calculations!$C$9)))+calculateOmega(Calculations!M113,Calculations!N113,Calculations!Q113,'Reaction Information'!$C$46,'Reaction Information'!$P$46*10^5,'Reaction Information'!$Q$46)*((1/Calculations!S113)-1)-'Reaction Information'!$P$46*10^5*((1/Calculations!$C$10)-1)+'Reaction Information'!$P$46*10^5*Calculations!$C$14*(Calculations!O113-Calculations!$C$8))</f>
        <v>0</v>
      </c>
      <c r="AT113" s="8">
        <f>IF(ISBLANK(Input!$BN$4),NA(),'Reaction Information'!$E$50-'Reaction Information'!$G$50*(Calculations!O113-Calculations!$C$8)-'Reaction Information'!$N$50*(Calculations!O113*LN(Calculations!O113/Calculations!$C$8)-Calculations!O113+Calculations!$C$8)-'Reaction Information'!$O$50*10^4*(((1/(Calculations!O113-Calculations!$C$13))-(1/(Calculations!$C$8-Calculations!$C$13)))*((Calculations!$C$13-Calculations!O113)/(Calculations!$C$13))-(Calculations!O113/(Calculations!$C$13*Calculations!$C$13))*LN((Calculations!$C$8*(Calculations!O113-Calculations!$C$13))/(Calculations!O113*(Calculations!$C$8-Calculations!$C$13))))+'Reaction Information'!$J$50*10^-1*(Calculations!$M113-Calculations!$C$9)+'Reaction Information'!$K$50*10^2*LN((Calculations!$C$12+Calculations!$M113)/(Calculations!$C$12+Calculations!$C$9))+(1/(Calculations!O113-Calculations!$C$13))*('Reaction Information'!$L$50*(Calculations!$M113-Calculations!$C$9)+'Reaction Information'!$M$50*10^4*LN((Calculations!$C$12+Calculations!$M113)/(Calculations!$C$12+Calculations!$C$9)))+calculateOmega(Calculations!M113,Calculations!N113,Calculations!Q113,'Reaction Information'!$C$50,'Reaction Information'!$P$50*10^5,'Reaction Information'!$Q$50)*((1/Calculations!S113)-1)-'Reaction Information'!$P$50*10^5*((1/Calculations!$C$10)-1)+'Reaction Information'!$P$50*10^5*Calculations!$C$14*(Calculations!O113-Calculations!$C$8))</f>
        <v>-121491.55671585159</v>
      </c>
      <c r="AU113" s="8" t="e">
        <f>IF(ISBLANK(Input!$BQ$4),NA(),'Reaction Information'!$E$54-'Reaction Information'!$G$54*(Calculations!$O113-Calculations!$C$8)-'Reaction Information'!$N$54*(Calculations!$O113*LN(Calculations!$O113/Calculations!$C$8)-Calculations!$O113+Calculations!$C$8)-'Reaction Information'!$O$54*10^4*(((1/(Calculations!$O113-Calculations!$C$13))-(1/(Calculations!$C$8-Calculations!$C$13)))*((Calculations!$C$13-Calculations!$O113)/(Calculations!$C$13))-(Calculations!$O113/(Calculations!$C$13*Calculations!$C$13))*LN((Calculations!$C$8*(Calculations!$O113-Calculations!$C$13))/(Calculations!$O113*(Calculations!$C$8-Calculations!$C$13))))+'Reaction Information'!$J$54*10^-1*(Calculations!$M113-Calculations!$C$9)+'Reaction Information'!$K$54*10^2*LN((Calculations!$C$12+Calculations!$M113)/(Calculations!$C$12+Calculations!$C$9))+(1/(Calculations!$O113-Calculations!$C$13))*('Reaction Information'!$L$54*(Calculations!$M113-Calculations!$C$9)+'Reaction Information'!$M$54*10^4*LN((Calculations!$C$12+Calculations!$M113)/(Calculations!$C$12+Calculations!$C$9)))+calculateOmega(Calculations!M113,Calculations!N113,Calculations!Q113,'Reaction Information'!$C$54,'Reaction Information'!$P$54*10^5,'Reaction Information'!$Q$54)*((1/Calculations!$S113)-1)-'Reaction Information'!$P$54*10^5*((1/Calculations!$C$10)-1)+'Reaction Information'!$P$54*10^5*Calculations!$C$14*(Calculations!$O113-Calculations!$C$8))</f>
        <v>#N/A</v>
      </c>
      <c r="AV113" s="8" t="e">
        <f>IF(ISBLANK(Input!$BT$4),NA(),'Reaction Information'!$E$58-'Reaction Information'!$G$58*(Calculations!$O113-Calculations!$C$8)-'Reaction Information'!$N$58*(Calculations!$O113*LN(Calculations!$O113/Calculations!$C$8)-Calculations!$O113+Calculations!$C$8)-'Reaction Information'!$O$58*10^4*(((1/(Calculations!$O113-Calculations!$C$13))-(1/(Calculations!$C$8-Calculations!$C$13)))*((Calculations!$C$13-Calculations!$O113)/(Calculations!$C$13))-(Calculations!$O113/(Calculations!$C$13*Calculations!$C$13))*LN((Calculations!$C$8*(Calculations!$O113-Calculations!$C$13))/(Calculations!$O113*(Calculations!$C$8-Calculations!$C$13))))+'Reaction Information'!$J$58*10^-1*(Calculations!$M113-Calculations!$C$9)+'Reaction Information'!$K$58*10^2*LN((Calculations!$C$12+Calculations!$M113)/(Calculations!$C$12+Calculations!$C$9))+(1/(Calculations!$O113-Calculations!$C$13))*('Reaction Information'!$L$58*(Calculations!$M113-Calculations!$C$9)+'Reaction Information'!$M$58*10^4*LN((Calculations!$C$12+Calculations!$M113)/(Calculations!$C$12+Calculations!$C$9)))+calculateOmega(Calculations!M113,Calculations!N113,Calculations!Q113,'Reaction Information'!$C$58,'Reaction Information'!$P$58*10^5,'Reaction Information'!$Q$58)*((1/Calculations!$S113)-1)-'Reaction Information'!$P$58*10^5*((1/Calculations!$C$10)-1)+'Reaction Information'!$P$58*10^5*Calculations!$C$14*(Calculations!$O113-Calculations!$C$8))</f>
        <v>#N/A</v>
      </c>
      <c r="AW113" s="8" t="e">
        <f>IF(ISBLANK(Input!$BW$4),NA(),'Reaction Information'!$E$62-'Reaction Information'!$G$62*(Calculations!$O113-Calculations!$C$8)-'Reaction Information'!$N$62*(Calculations!$O113*LN(Calculations!$O113/Calculations!$C$8)-Calculations!$O113+Calculations!$C$8)-'Reaction Information'!$O$62*10^4*(((1/(Calculations!$O113-Calculations!$C$13))-(1/(Calculations!$C$8-Calculations!$C$13)))*((Calculations!$C$13-Calculations!$O113)/(Calculations!$C$13))-(Calculations!$O113/(Calculations!$C$13*Calculations!$C$13))*LN((Calculations!$C$8*(Calculations!$O113-Calculations!$C$13))/(Calculations!$O113*(Calculations!$C$8-Calculations!$C$13))))+'Reaction Information'!$J$62*10^-1*(Calculations!$M113-Calculations!$C$9)+'Reaction Information'!$K$62*10^2*LN((Calculations!$C$12+Calculations!$M113)/(Calculations!$C$12+Calculations!$C$9))+(1/(Calculations!$O113-Calculations!$C$13))*('Reaction Information'!$L$62*(Calculations!$M113-Calculations!$C$9)+'Reaction Information'!$M$62*10^4*LN((Calculations!$C$12+Calculations!$M113)/(Calculations!$C$12+Calculations!$C$9)))+calculateOmega(Calculations!M113,Calculations!N113,Calculations!Q113,'Reaction Information'!$C$62,'Reaction Information'!$P$62*10^5,'Reaction Information'!$Q$62)*((1/Calculations!$S113)-1)-'Reaction Information'!$P$62*10^5*((1/Calculations!$C$10)-1)+'Reaction Information'!$P$62*10^5*Calculations!$C$14*(Calculations!$O113-Calculations!$C$8))</f>
        <v>#N/A</v>
      </c>
      <c r="AX113" s="8" t="e">
        <f>IF(ISBLANK(Input!$BZ$4),NA(),'Reaction Information'!$E$66-'Reaction Information'!$G$66*(Calculations!$O113-Calculations!$C$8)-'Reaction Information'!$N$66*(Calculations!$O113*LN(Calculations!$O113/Calculations!$C$8)-Calculations!$O113+Calculations!$C$8)-'Reaction Information'!$O$66*10^4*(((1/(Calculations!$O113-Calculations!$C$13))-(1/(Calculations!$C$8-Calculations!$C$13)))*((Calculations!$C$13-Calculations!$O113)/(Calculations!$C$13))-(Calculations!$O113/(Calculations!$C$13*Calculations!$C$13))*LN((Calculations!$C$8*(Calculations!$O113-Calculations!$C$13))/(Calculations!$O113*(Calculations!$C$8-Calculations!$C$13))))+'Reaction Information'!$J$66*10^-1*(Calculations!$M113-Calculations!$C$9)+'Reaction Information'!$K$66*10^2*LN((Calculations!$C$12+Calculations!$M113)/(Calculations!$C$12+Calculations!$C$9))+(1/(Calculations!$O113-Calculations!$C$13))*('Reaction Information'!$L$66*(Calculations!$M113-Calculations!$C$9)+'Reaction Information'!$M$66*10^4*LN((Calculations!$C$12+Calculations!$M113)/(Calculations!$C$12+Calculations!$C$9)))+calculateOmega(Calculations!M113,Calculations!N113,Calculations!Q113,'Reaction Information'!$C$66,'Reaction Information'!$P$66*10^5,'Reaction Information'!$Q$66)*((1/Calculations!$S113)-1)-'Reaction Information'!$P$66*10^5*((1/Calculations!$C$10)-1)+'Reaction Information'!$P$66*10^5*Calculations!$C$14*(Calculations!$O113-Calculations!$C$8))</f>
        <v>#N/A</v>
      </c>
      <c r="AY113" s="31">
        <f>(AL113*Input!$AO$4+AM113*Input!$AR$4+AN113*Input!$AU$4+AO113*Input!$AX$4+IF(ISNA(AP113),0,AP113*Input!$BA$4)+IF(ISNA(AQ113),0,AQ113*Input!$BD$4)+IF(ISNA(AR113),0,AR113*Input!$BG$4)+IF(ISNA(AS113),0,AS113*Input!$BJ$4)+IF(ISNA(AT113),0,AT113*Input!$BM$4)+IF(ISNA(AU113),0,AU113*Input!$BP$4)+IF(ISNA(AV113),0,AV113*Input!$BS$4)+IF(ISNA(AW113),0,AW113*Input!$BV$4)+IF(ISNA(AX113),0,AX113*Input!$BY$4))-(Y113*Input!$B$4+Z113*Input!$E$4+AA113*Input!$H$4+AB113*Input!$K$4+IF(ISNA(AC113),0,AC113*Input!$N$4)+IF(ISNA(AD113),0,AD113*Input!$Q$4)+IF(ISNA(AE113),0,AE113*Input!$T$4)+IF(ISNA(AF113),0,AF113*Input!$W$4)+IF(ISNA(AG113),0,AG113*Input!$Z$4)+IF(ISNA(AH113),0,AH113*Input!$AC$4)+IF(ISNA(AI113),0,AI113*Input!$AF$4)+IF(ISNA(AJ113),0,AJ113*Input!$AI$4)+IF(ISNA(AK113),0,AK113*Input!$AL$4))</f>
        <v>6926.509766535688</v>
      </c>
      <c r="AZ113" s="42">
        <f t="shared" si="35"/>
        <v>-2.2502691918609155</v>
      </c>
      <c r="BA113" s="1">
        <f t="shared" si="27"/>
        <v>400</v>
      </c>
      <c r="BB113" s="46">
        <f t="shared" si="28"/>
        <v>40000</v>
      </c>
      <c r="BC113" s="1"/>
      <c r="BD113" s="2">
        <f t="shared" si="29"/>
        <v>40000</v>
      </c>
      <c r="BE113" s="46">
        <f t="shared" si="30"/>
        <v>400</v>
      </c>
      <c r="BF113" s="1">
        <f>Results!AJ115</f>
        <v>0</v>
      </c>
      <c r="BG113" s="1">
        <f>Results!AK115</f>
        <v>0</v>
      </c>
      <c r="BH113" s="1">
        <f>Results!AL115</f>
        <v>0</v>
      </c>
      <c r="BI113" s="1">
        <f>Results!AM115</f>
        <v>0</v>
      </c>
      <c r="BJ113" s="1" t="e">
        <f>IF(OR(ISNA('Reaction Information'!$D$5), $N113 = "", $D$27 = FALSE, 'Reaction Information'!$D$5 = ""), NA(), 24.465)</f>
        <v>#N/A</v>
      </c>
      <c r="BK113" s="1" t="e">
        <f>IF(OR(ISNA('Reaction Information'!$D$9), $N113 = "", $D$27 = FALSE, 'Reaction Information'!$D$9 = ""), NA(), 24.465)</f>
        <v>#N/A</v>
      </c>
      <c r="BL113" s="8">
        <f t="shared" si="36"/>
        <v>13.066837460799233</v>
      </c>
      <c r="BM113" s="8">
        <f>IF(OR(ISBLANK(Input!$X$4),$D$27=FALSE),NA(),('Reaction Information'!$J$13/10+'Reaction Information'!$K$13*100/(Calculations!$C$12+Calculations!$M113)+('Reaction Information'!$L$13+'Reaction Information'!$M$13*10^4/(Calculations!$C$12+Calculations!$M113))/(Calculations!$O113-Calculations!$C$13) -calculateOmega(Calculations!$M113,Calculations!$N113,Calculations!$Q113,'Reaction Information'!$C$13,'Reaction Information'!$P$13*10^5,'Reaction Information'!$Q$13)*Calculations!$U113*10^-6 + (1/$S113 - 1)*calculate_domegadP(Calculations!$M113,Calculations!$N113,Calculations!$Q113,'Reaction Information'!$C$13,'Reaction Information'!$P$13*10^5,'Reaction Information'!$Q$13,$D$20,$D$19=3))*41.84)</f>
        <v>29.977286865375984</v>
      </c>
      <c r="BN113" s="8" t="e">
        <f>IF(OR(ISBLANK(Input!$AA$4),$D$27=FALSE),NA(),('Reaction Information'!$J$17/10+'Reaction Information'!$K$17*100/(Calculations!$C$12+Calculations!$M113)+('Reaction Information'!$L$17+'Reaction Information'!$M$17*10000/(Calculations!$C$12+Calculations!$M113))/(Calculations!$O113-Calculations!$C$13)-calculateOmega(Calculations!M113,Calculations!N113,Calculations!Q113,'Reaction Information'!$C$17,'Reaction Information'!$P$17*10^5,'Reaction Information'!$Q$17)*Calculations!$U113*10^-6 + (1/$S113 - 1)*calculate_domegadP(Calculations!M113,Calculations!N113,Calculations!Q113,'Reaction Information'!$C$17,'Reaction Information'!$P$17*10^5,'Reaction Information'!$Q$17,$D$20,$D$19=3))*41.84)</f>
        <v>#N/A</v>
      </c>
      <c r="BO113" s="8" t="e">
        <f>IF(OR(ISBLANK(Input!$AD$4),$D$27=FALSE),NA(),('Reaction Information'!$J$21/10+'Reaction Information'!$K$21*100/(Calculations!$C$12+Calculations!$M113)+('Reaction Information'!$L$21+'Reaction Information'!$M$21*10000/(Calculations!$C$12+Calculations!$M113))/(Calculations!$O113-Calculations!$C$13)-calculateOmega(Calculations!M113,Calculations!N113,Calculations!Q113,'Reaction Information'!$C$21,'Reaction Information'!$P$21*10^5,'Reaction Information'!$Q$21)*Calculations!$U113*10^-6 + (1/$S113 - 1)*calculate_domegadP(Calculations!M113,Calculations!N113,Calculations!Q113,'Reaction Information'!$C$21,'Reaction Information'!$P$21*10^5,'Reaction Information'!$Q$21,$D$20,$D$19=3))*41.84)</f>
        <v>#N/A</v>
      </c>
      <c r="BP113" s="8" t="e">
        <f>IF(OR(ISBLANK(Input!$AG$4),$D$27=FALSE),NA(),('Reaction Information'!$J$25/10+'Reaction Information'!$K$25*100/(Calculations!$C$12+Calculations!$M113)+('Reaction Information'!$L$25+'Reaction Information'!$M$25*10000/(Calculations!$C$12+Calculations!$M113))/(Calculations!$O113-Calculations!$C$13)-calculateOmega(Calculations!M113,Calculations!N113,Calculations!Q113,'Reaction Information'!$C$25,'Reaction Information'!$P$25*10^5,'Reaction Information'!$Q$25)*Calculations!$U113*10^-6 + (1/$S113 - 1)*calculate_domegadP(Calculations!M113,Calculations!N113,Calculations!Q113,'Reaction Information'!$C$25,'Reaction Information'!$P$25*10^5,'Reaction Information'!$Q$25,$D$20,$D$19=3))*41.84)</f>
        <v>#N/A</v>
      </c>
      <c r="BQ113" s="8" t="e">
        <f>IF(OR(ISBLANK(Input!$AJ$4),$D$27=FALSE),NA(),('Reaction Information'!$J$29/10+'Reaction Information'!$K$29*100/(Calculations!$C$12+Calculations!$M113)+('Reaction Information'!$L$29+'Reaction Information'!$M$29*10000/(Calculations!$C$12+Calculations!$M113))/(Calculations!$O113-Calculations!$C$13)-calculateOmega(Calculations!M113,Calculations!N113,Calculations!Q113,'Reaction Information'!$C$29,'Reaction Information'!$P$29*10^5,'Reaction Information'!$Q$29)*Calculations!$U113*10^-6 + (1/$S113 - 1)*calculate_domegadP(Calculations!M113,Calculations!N113,Calculations!Q113,'Reaction Information'!$C$29,'Reaction Information'!$P$29*10^5,'Reaction Information'!$Q$29,$D$20,$D$19=3))*41.84)</f>
        <v>#N/A</v>
      </c>
      <c r="BR113" s="8" t="e">
        <f>IF(OR(ISBLANK(Input!$AM$4),$D$27=FALSE),NA(),('Reaction Information'!$J$33/10+'Reaction Information'!$K$33*100/(Calculations!$C$12+Calculations!$M113)+('Reaction Information'!$L$33+'Reaction Information'!$M$33*10000/(Calculations!$C$12+Calculations!$M113))/(Calculations!$O113-Calculations!$C$13)-calculateOmega(Calculations!M113,Calculations!N113,Calculations!Q113,'Reaction Information'!$C$33,'Reaction Information'!$P$33*10^5,'Reaction Information'!$Q$33)*Calculations!$U113*10^-6 + (1/$S113 - 1)*calculate_domegadP(Calculations!M113,Calculations!N113,Calculations!Q113,'Reaction Information'!$C$33,'Reaction Information'!$P$33*10^5,'Reaction Information'!$Q$33,$D$20,$D$19=3))*41.84)</f>
        <v>#N/A</v>
      </c>
      <c r="BS113" s="1">
        <f>Results!AW115</f>
        <v>0</v>
      </c>
      <c r="BT113" s="1">
        <f>Results!AX115</f>
        <v>0</v>
      </c>
      <c r="BU113" s="1">
        <f>Results!AY115</f>
        <v>0</v>
      </c>
      <c r="BV113" s="1">
        <f>Results!AZ115</f>
        <v>0</v>
      </c>
      <c r="BW113" s="1" t="e">
        <f>IF(OR(ISNA('Reaction Information'!$D$38), $N113 = "", $D$27 = FALSE, 'Reaction Information'!$D$38 = ""), NA(), 24.465)</f>
        <v>#N/A</v>
      </c>
      <c r="BX113" s="1" t="e">
        <f>IF(OR(ISNA('Reaction Information'!$D$42), $N113 = "", $D$27 = FALSE, 'Reaction Information'!$D$42 = ""), NA(), 24.465)</f>
        <v>#N/A</v>
      </c>
      <c r="BY113" s="8" t="e">
        <f t="shared" si="37"/>
        <v>#N/A</v>
      </c>
      <c r="BZ113" s="8">
        <f>IF(OR(ISBLANK(Input!$BK$4),$D$27=FALSE),NA(),('Reaction Information'!$J$46/10+'Reaction Information'!$K$46*100/(Calculations!$C$12+Calculations!$M113)+('Reaction Information'!$L$46+'Reaction Information'!$M$46*10000/(Calculations!$C$12+Calculations!$M113))/(Calculations!$O113-Calculations!$C$13)-calculateOmega(Calculations!M113,Calculations!N113,Calculations!Q113,'Reaction Information'!$C$46,'Reaction Information'!$P$46*10^5,'Reaction Information'!$Q$46)*Calculations!$U113*10^-6 + (1/$S113 - 1)*calculate_domegadP(Calculations!M113,Calculations!N113,Calculations!Q113,'Reaction Information'!$C$46,'Reaction Information'!$P$46*10^5,'Reaction Information'!$Q$46,$D$20,$D$19=3))*41.84)</f>
        <v>0</v>
      </c>
      <c r="CA113" s="8">
        <f>IF(OR(ISBLANK(Input!$BN$4),$D$27=FALSE),NA(),('Reaction Information'!$J$50/10+'Reaction Information'!$K$50*100/(Calculations!$C$12+Calculations!$M113)+('Reaction Information'!$L$50+'Reaction Information'!$M$50*10000/(Calculations!$C$12+Calculations!$M113))/(Calculations!$O113-Calculations!$C$13)-calculateOmega(Calculations!M113,Calculations!N113,Calculations!Q113,'Reaction Information'!$C$50,'Reaction Information'!$P$50*10^5,'Reaction Information'!$Q$50)*Calculations!$U113*10^-6 + (1/$S113 - 1)*calculate_domegadP(Calculations!M113,Calculations!N113,Calculations!Q113,'Reaction Information'!$C$50,'Reaction Information'!$P$50*10^5,'Reaction Information'!$Q$50,$D$20,$D$19=3))*41.84)</f>
        <v>31.443736227725463</v>
      </c>
      <c r="CB113" s="8" t="e">
        <f>IF(OR(ISBLANK(Input!$BQ$4),$D$27=FALSE),NA(),('Reaction Information'!$J$54/10+'Reaction Information'!$K$54*100/(Calculations!$C$12+Calculations!$M113)+('Reaction Information'!$L$54+'Reaction Information'!$M$54*10000/(Calculations!$C$12+Calculations!$M113))/(Calculations!$O113-Calculations!$C$13)-calculateOmega(Calculations!M113,Calculations!N113,Calculations!Q113,'Reaction Information'!$C$54,'Reaction Information'!$P$54*10^5,'Reaction Information'!$Q$54)*Calculations!$U113*10^-6 + (1/$S113 - 1)*calculate_domegadP(Calculations!M113,Calculations!N113,Calculations!Q113,'Reaction Information'!$C$54,'Reaction Information'!$P$54*10^5,'Reaction Information'!$Q$54,$D$20,$D$19=3))*41.84)</f>
        <v>#N/A</v>
      </c>
      <c r="CC113" s="8" t="e">
        <f>IF(OR(ISBLANK(Input!$BT$4),$D$27=FALSE),NA(),('Reaction Information'!$J$58/10+'Reaction Information'!$K$58*100/(Calculations!$C$12+Calculations!$M113)+('Reaction Information'!$L$58+'Reaction Information'!$M$58*10000/(Calculations!$C$12+Calculations!$M113))/(Calculations!$O113-Calculations!$C$13)-calculateOmega(Calculations!M113,Calculations!N113,Calculations!Q113,'Reaction Information'!$C$58,'Reaction Information'!$P$58*10^5,'Reaction Information'!$Q$58)*Calculations!$U113*10^-6 + (1/$S113 - 1)*calculate_domegadP(Calculations!M113,Calculations!N113,Calculations!Q113,'Reaction Information'!$C$58,'Reaction Information'!$P$58*10^5,'Reaction Information'!$Q$58,$D$20,$D$19=3))*41.84)</f>
        <v>#N/A</v>
      </c>
      <c r="CD113" s="8" t="e">
        <f>IF(OR(ISBLANK(Input!$BW$4),$D$27=FALSE),NA(),('Reaction Information'!$J$62/10+'Reaction Information'!$K$62*100/(Calculations!$C$12+Calculations!$M113)+('Reaction Information'!$L$62+'Reaction Information'!$M$62*10000/(Calculations!$C$12+Calculations!$M113))/(Calculations!$O113-Calculations!$C$13)-calculateOmega(Calculations!M113,Calculations!N113,Calculations!Q113,'Reaction Information'!$C$62,'Reaction Information'!$P$62*10^5,'Reaction Information'!$Q$62)*Calculations!$U113*10^-6 + (1/$S113 - 1)*calculate_domegadP(Calculations!M113,Calculations!N113,Calculations!Q113,'Reaction Information'!$C$62,'Reaction Information'!$P$62*10^5,'Reaction Information'!$Q$62,$D$20,$D$19=3))*41.84)</f>
        <v>#N/A</v>
      </c>
      <c r="CE113" s="8" t="e">
        <f>IF(OR(ISBLANK(Input!$BZ$4),$D$27=FALSE),NA(),('Reaction Information'!$J$66/10+'Reaction Information'!$K$66*100/(Calculations!$C$12+Calculations!$M113)+('Reaction Information'!$L$66+'Reaction Information'!$M$66*10000/(Calculations!$C$12+Calculations!$M113))/(Calculations!$O113-Calculations!$C$13)-calculateOmega(Calculations!M113,Calculations!N113,Calculations!Q113,'Reaction Information'!$C$66,'Reaction Information'!$P$66*10^5,'Reaction Information'!$Q$66)*Calculations!$U113*10^-6 + (1/$S113 - 1)*calculate_domegadP(Calculations!M113,Calculations!N113,Calculations!Q113,'Reaction Information'!$C$66,'Reaction Information'!$P$66*10^5,'Reaction Information'!$Q$66,$D$20,$D$19=3))*41.84)</f>
        <v>#N/A</v>
      </c>
      <c r="CF113" s="31">
        <f>(BS113*Input!$AO$4+BT113*Input!$AR$4+BU113*Input!$AU$4+BV113*Input!$AX$4+IF(ISNA(BW113),0,BW113*Input!$BA$4)+IF(ISNA(BX113),0,BX113*Input!$BD$4)+IF(ISNA(BY113),0,BY113*Input!$BG$4)+IF(ISNA(BZ113),0,BZ113*Input!$BJ$4)+IF(ISNA(CA113),0,CA113*Input!$BM$4)+IF(ISNA(CB113),0,CB113*Input!$BP$4)+IF(ISNA(CC113),0,CC113*Input!$BS$4)+IF(ISNA(CD113),0,CD113*Input!$BV$4)+IF(ISNA(CE113),0,CE113*Input!$BY$4))-(BF113*Input!$B$4+BG113*Input!$E$4+BH113*Input!$H$4+BI113*Input!$K$4+IF(ISNA(BJ113),0,BJ113*Input!$N$4)+IF(ISNA(BK113),0,BK113*Input!$Q$4)+IF(ISNA(BL113),0,BL113*Input!$T$4)+IF(ISNA(BM113),0,BM113*Input!$W$4)+IF(ISNA(BN113),0,BN113*Input!$Z$4)+IF(ISNA(BO113),0,BO113*Input!$AC$4)+IF(ISNA(BP113),0,BP113*Input!$AF$4)+IF(ISNA(BQ113),0,BQ113*Input!$AI$4)+IF(ISNA(BR113),0,BR113*Input!$AL$4))</f>
        <v>-11.600388098449752</v>
      </c>
      <c r="CG113" s="1">
        <f t="shared" si="31"/>
        <v>400</v>
      </c>
      <c r="CH113" s="46">
        <f t="shared" si="32"/>
        <v>40000</v>
      </c>
      <c r="CI113" s="1"/>
    </row>
    <row r="114" spans="1:87" x14ac:dyDescent="0.2">
      <c r="A114" s="1"/>
      <c r="B114" s="1"/>
      <c r="C114" s="1"/>
      <c r="D114" s="1"/>
      <c r="E114" s="1"/>
      <c r="F114" s="2">
        <v>109</v>
      </c>
      <c r="G114" s="1" t="str">
        <f>IF(ISBLANK(Input!CB114), "", Input!CB114*1000)</f>
        <v/>
      </c>
      <c r="H114" s="1" t="str">
        <f>IF(ISBLANK(Input!CC114), "", Input!CC114)</f>
        <v/>
      </c>
      <c r="I114" s="1">
        <f>IF(Input!$CF$5 + Input!$CF$6*(FLOOR((Calculations!$F114-1)/(FLOOR((Input!$CF$12-Input!$CF$10)/Input!$CF$11,1)+1),1)) &gt; Input!$CF$7, "", (Input!$CF$5 + Input!$CF$6*(FLOOR((Calculations!$F114-1)/(FLOOR((Input!$CF$12-Input!$CF$10)/Input!$CF$11,1)+1),1)))*1000)</f>
        <v>40000</v>
      </c>
      <c r="J114" s="1">
        <f>IF(Calculations!I114 = "", "", Input!$CF$10 + Input!$CF$11*(Calculations!$F114-1) - (FLOOR((Input!$CF$12-Input!$CF$10)/Input!$CF$11,1)+1)*Input!$CF$11*FLOOR((Calculations!$F114-1)/(FLOOR((Input!$CF$12-Input!$CF$10)/Input!$CF$11,1)+1),1))</f>
        <v>450</v>
      </c>
      <c r="K114" s="8" t="str">
        <f t="shared" si="33"/>
        <v/>
      </c>
      <c r="L114" s="117" t="str">
        <f>IF(OR(Input!$CJ$5 + Input!$CJ$6*(Calculations!F114-1) &gt; Input!$CJ$7, Input!$CJ$5 + Input!$CJ$6*(Calculations!F114-1) &gt; 350), "", Input!$CJ$5 + Input!$CJ$6*(Calculations!F114-1))</f>
        <v/>
      </c>
      <c r="M114" s="1">
        <f t="shared" si="23"/>
        <v>40000</v>
      </c>
      <c r="N114" s="1">
        <f t="shared" si="24"/>
        <v>450</v>
      </c>
      <c r="O114" s="1">
        <f t="shared" si="34"/>
        <v>723.15</v>
      </c>
      <c r="P114" s="1" t="e">
        <f>IF(OR($D$20=3,AND($D$21=TRUE,M114&lt;1000)),INDEX('Water Density'!$C$6:$CX$120,MATCH(Calculations!N114,'Water Density'!$B$6:$B$120),MATCH(Calculations!M114/1000,'Water Density'!$C$5:$CX$5)),NA())</f>
        <v>#N/A</v>
      </c>
      <c r="Q114" s="182">
        <f>IF(OR($D$20=3,AND($D$21=TRUE,M114&lt;1000)), IF(P114&lt;&gt;0,P114,NA()), calculateDensity(M114,N114,$D$20,0.01,$D$19 = 3))</f>
        <v>1.3637670130497219</v>
      </c>
      <c r="R114" s="1" t="e">
        <f>IF($D$22=5,INDEX('Dielectric Constant'!$C$6:$CX$120,MATCH(Calculations!N114,'Dielectric Constant'!$B$6:$B$120),MATCH(Calculations!M114/1000,'Dielectric Constant'!$C$5:$CX$5)),NA())</f>
        <v>#N/A</v>
      </c>
      <c r="S114" s="58">
        <f>IF($D$22=5, IF(R114&lt;&gt;0,R114,NA()), IF(AND($D$23,M114&lt;=5000,$D$19 &lt;&gt; 3),calculateEpsilon(Q114,N114,1,FALSE),calculateEpsilon(Q114,N114,$D$22,$D$19 = 3)))</f>
        <v>41.121819920079162</v>
      </c>
      <c r="T114" s="1" t="e">
        <f>IF($D$24=3,INDEX('Water Free Energy'!$C$6:$CX$120,MATCH(Calculations!N114,'Water Free Energy'!$B$6:$B$120),MATCH(Calculations!M114/1000,'Water Free Energy'!$C$5:$CX$5)),NA())</f>
        <v>#N/A</v>
      </c>
      <c r="U114" s="179">
        <f>IF($D$27,calculateQ(M114,N114,Q114,$D$20,$D$22,$D$19=3)*10^6,NA())</f>
        <v>0.13391505283323818</v>
      </c>
      <c r="V114"/>
      <c r="W114" s="2">
        <f t="shared" si="25"/>
        <v>40000</v>
      </c>
      <c r="X114" s="1">
        <f t="shared" si="26"/>
        <v>450</v>
      </c>
      <c r="Y114" s="1">
        <f>Results!F116</f>
        <v>0</v>
      </c>
      <c r="Z114" s="1">
        <f>Results!G116</f>
        <v>0</v>
      </c>
      <c r="AA114" s="1">
        <f>Results!H116</f>
        <v>0</v>
      </c>
      <c r="AB114" s="1">
        <f>Results!I116</f>
        <v>0</v>
      </c>
      <c r="AC114" s="1" t="e">
        <f>IF(ISBLANK(Input!$O$4),NA(),'Reaction Information'!$E$5-'Reaction Information'!$G$5*(Calculations!$O114-Calculations!$C$8)+'Reaction Information'!$I$5*(Calculations!$O114-Calculations!$C$8-Calculations!$O114*LN(Calculations!$O114/Calculations!$C$8))+'Reaction Information'!$J$5*0.001/2*(2*Calculations!$O114*Calculations!$C$8-Calculations!$O114^2-Calculations!$C$8^2) + 'Reaction Information'!$K$5*100000*(Calculations!$O114^2 + Calculations!$C$8^2 - 2*Calculations!$O114*Calculations!$C$8)/(2*Calculations!$O114*Calculations!$C$8^2))</f>
        <v>#N/A</v>
      </c>
      <c r="AD114" s="8" t="e">
        <f>IF(ISBLANK(Input!$R$4),NA(),'Reaction Information'!$E$9-'Reaction Information'!$G$9*(Calculations!$O114-Calculations!$C$8)+'Reaction Information'!$I$9*(Calculations!$O114-Calculations!$C$8-Calculations!$O114*LN(Calculations!$O114/Calculations!$C$8))+'Reaction Information'!$J$9*0.001/2*(2*Calculations!$O114*Calculations!$C$8-Calculations!$O114^2-Calculations!$C$8^2) + 'Reaction Information'!$K$9*100000*(Calculations!$O114^2 + Calculations!$C$8^2 - 2*Calculations!$O114*Calculations!$C$8)/(2*Calculations!$O114*Calculations!$C$8^2))</f>
        <v>#N/A</v>
      </c>
      <c r="AE114" s="8">
        <f>IF(AE$5="H2O",IF($D$24=3,IF(T114=0,NA(),T114),calculateGibbsOfWater(M114,N114,$D$24,$D$20,$D$19=3)),NA())</f>
        <v>-52101.46075922592</v>
      </c>
      <c r="AF114" s="8">
        <f>IF(ISBLANK(Input!$X$4),NA(),'Reaction Information'!$E$13-'Reaction Information'!$G$13*(Calculations!O114-Calculations!$C$8)-'Reaction Information'!$N$13*(Calculations!O114*LN(Calculations!O114/Calculations!$C$8)-Calculations!O114+Calculations!$C$8)-'Reaction Information'!$O$13*10^4*(((1/(Calculations!O114-Calculations!$C$13))-(1/(Calculations!$C$8-Calculations!$C$13)))*((Calculations!$C$13-Calculations!O114)/(Calculations!$C$13))-(Calculations!O114/(Calculations!$C$13*Calculations!$C$13))*LN((Calculations!$C$8*(Calculations!O114-Calculations!$C$13))/(Calculations!O114*(Calculations!$C$8-Calculations!$C$13))))+'Reaction Information'!$J$13*10^-1*(Calculations!M114-Calculations!$C$9)+'Reaction Information'!$K$13*10^2*LN((Calculations!$C$12+Calculations!M114)/(Calculations!$C$12+Calculations!$C$9))+(1/(Calculations!O114-Calculations!$C$13))*('Reaction Information'!$L$13*(Calculations!M114-Calculations!$C$9)+'Reaction Information'!$M$13*10^4*LN((Calculations!$C$12+Calculations!M114)/(Calculations!$C$12+Calculations!$C$9)))+calculateOmega(Calculations!M114,Calculations!N114,Calculations!Q114,'Reaction Information'!$C$13,'Reaction Information'!$P$13*10^5,'Reaction Information'!$Q$13)*((1/Calculations!S114)-1)-'Reaction Information'!$P$13*10^5*((1/Calculations!$C$10)-1)+'Reaction Information'!$P$13*10^5*Calculations!$C$14*(Calculations!O114-Calculations!$C$8))</f>
        <v>-79717.425714569807</v>
      </c>
      <c r="AG114" s="8" t="e">
        <f>IF(ISBLANK(Input!$AA$4),NA(),'Reaction Information'!$E$17-'Reaction Information'!$G$17*(Calculations!$O114-Calculations!$C$8)-'Reaction Information'!$N$17*(Calculations!$O114*LN(Calculations!$O114/Calculations!$C$8)-Calculations!$O114+Calculations!$C$8)-'Reaction Information'!$O$17*10^4*(((1/(Calculations!$O114-Calculations!$C$13))-(1/(Calculations!$C$8-Calculations!$C$13)))*((Calculations!$C$13-Calculations!$O114)/(Calculations!$C$13))-(Calculations!$O114/(Calculations!$C$13*Calculations!$C$13))*LN((Calculations!$C$8*(Calculations!$O114-Calculations!$C$13))/(Calculations!$O114*(Calculations!$C$8-Calculations!$C$13))))+'Reaction Information'!$J$17*10^-1*(Calculations!$M114-Calculations!$C$9)+'Reaction Information'!$K$17*10^2*LN((Calculations!$C$12+Calculations!$M114)/(Calculations!$C$12+Calculations!$C$9))+(1/(Calculations!$O114-Calculations!$C$13))*('Reaction Information'!$L$17*(Calculations!$M114-Calculations!$C$9)+'Reaction Information'!$M$17*10^4*LN((Calculations!$C$12+Calculations!$M114)/(Calculations!$C$12+Calculations!$C$9)))+calculateOmega(Calculations!M114,Calculations!N114,Calculations!Q114,'Reaction Information'!$C$17,'Reaction Information'!$P$17*10^5,'Reaction Information'!$Q$17)*((1/Calculations!$S114)-1)-'Reaction Information'!$P$17*10^5*((1/Calculations!$C$10)-1)+'Reaction Information'!$P$17*10^5*Calculations!$C$14*(Calculations!$O114-Calculations!$C$8))</f>
        <v>#N/A</v>
      </c>
      <c r="AH114" s="8" t="e">
        <f>IF(ISBLANK(Input!$AD$4),NA(),'Reaction Information'!$E$21-'Reaction Information'!$G$21*(Calculations!$O114-Calculations!$C$8)-'Reaction Information'!$N$21*(Calculations!$O114*LN(Calculations!$O114/Calculations!$C$8)-Calculations!$O114+Calculations!$C$8)-'Reaction Information'!$O$21*10^4*(((1/(Calculations!$O114-Calculations!$C$13))-(1/(Calculations!$C$8-Calculations!$C$13)))*((Calculations!$C$13-Calculations!$O114)/(Calculations!$C$13))-(Calculations!$O114/(Calculations!$C$13*Calculations!$C$13))*LN((Calculations!$C$8*(Calculations!$O114-Calculations!$C$13))/(Calculations!$O114*(Calculations!$C$8-Calculations!$C$13))))+'Reaction Information'!$J$21*10^-1*(Calculations!$M114-Calculations!$C$9)+'Reaction Information'!$K$21*10^2*LN((Calculations!$C$12+Calculations!$M114)/(Calculations!$C$12+Calculations!$C$9))+(1/(Calculations!$O114-Calculations!$C$13))*('Reaction Information'!$L$21*(Calculations!$M114-Calculations!$C$9)+'Reaction Information'!$M$21*10^4*LN((Calculations!$C$12+Calculations!$M114)/(Calculations!$C$12+Calculations!$C$9)))+calculateOmega(Calculations!M114,Calculations!N114,Calculations!Q114,'Reaction Information'!$C$21,'Reaction Information'!$P$21*10^5,'Reaction Information'!$Q$21)*((1/Calculations!$S114)-1)-'Reaction Information'!$P$21*10^5*((1/Calculations!$C$10)-1)+'Reaction Information'!$P$21*10^5*Calculations!$C$14*(Calculations!$O114-Calculations!$C$8))</f>
        <v>#N/A</v>
      </c>
      <c r="AI114" s="8" t="e">
        <f>IF(ISBLANK(Input!$AG$4),NA(),'Reaction Information'!$E$25-'Reaction Information'!$G$25*(Calculations!$O114-Calculations!$C$8)-'Reaction Information'!$N$25*(Calculations!$O114*LN(Calculations!$O114/Calculations!$C$8)-Calculations!$O114+Calculations!$C$8)-'Reaction Information'!$O$25*10^4*(((1/(Calculations!$O114-Calculations!$C$13))-(1/(Calculations!$C$8-Calculations!$C$13)))*((Calculations!$C$13-Calculations!$O114)/(Calculations!$C$13))-(Calculations!$O114/(Calculations!$C$13*Calculations!$C$13))*LN((Calculations!$C$8*(Calculations!$O114-Calculations!$C$13))/(Calculations!$O114*(Calculations!$C$8-Calculations!$C$13))))+'Reaction Information'!$J$25*10^-1*(Calculations!$M114-Calculations!$C$9)+'Reaction Information'!$K$25*10^2*LN((Calculations!$C$12+Calculations!$M114)/(Calculations!$C$12+Calculations!$C$9))+(1/(Calculations!$O114-Calculations!$C$13))*('Reaction Information'!$L$25*(Calculations!$M114-Calculations!$C$9)+'Reaction Information'!$M$25*10^4*LN((Calculations!$C$12+Calculations!$M114)/(Calculations!$C$12+Calculations!$C$9)))+calculateOmega(Calculations!M114,Calculations!N114,Calculations!Q114,'Reaction Information'!$C$25,'Reaction Information'!$P$25*10^5,'Reaction Information'!$Q$25)*((1/Calculations!$S114)-1)-'Reaction Information'!$P$25*10^5*((1/Calculations!$C$10)-1)+'Reaction Information'!$P$25*10^5*Calculations!$C$14*(Calculations!$O114-Calculations!$C$8))</f>
        <v>#N/A</v>
      </c>
      <c r="AJ114" s="8" t="e">
        <f>IF(ISBLANK(Input!$AJ$4),NA(),'Reaction Information'!$E$29-'Reaction Information'!$G$29*(Calculations!$O114-Calculations!$C$8)-'Reaction Information'!$N$29*(Calculations!$O114*LN(Calculations!$O114/Calculations!$C$8)-Calculations!$O114+Calculations!$C$8)-'Reaction Information'!$O$29*10^4*(((1/(Calculations!$O114-Calculations!$C$13))-(1/(Calculations!$C$8-Calculations!$C$13)))*((Calculations!$C$13-Calculations!$O114)/(Calculations!$C$13))-(Calculations!$O114/(Calculations!$C$13*Calculations!$C$13))*LN((Calculations!$C$8*(Calculations!$O114-Calculations!$C$13))/(Calculations!$O114*(Calculations!$C$8-Calculations!$C$13))))+'Reaction Information'!$J$29*10^-1*(Calculations!$M114-Calculations!$C$9)+'Reaction Information'!$K$29*10^2*LN((Calculations!$C$12+Calculations!$M114)/(Calculations!$C$12+Calculations!$C$9))+(1/(Calculations!$O114-Calculations!$C$13))*('Reaction Information'!$L$29*(Calculations!$M114-Calculations!$C$9)+'Reaction Information'!$M$29*10^4*LN((Calculations!$C$12+Calculations!$M114)/(Calculations!$C$12+Calculations!$C$9)))+calculateOmega(Calculations!M114,Calculations!N114,Calculations!Q114,'Reaction Information'!$C$29,'Reaction Information'!$P$29*10^5,'Reaction Information'!$Q$29)*((1/Calculations!$S114)-1)-'Reaction Information'!$P$29*10^5*((1/Calculations!$C$10)-1)+'Reaction Information'!$P$29*10^5*Calculations!$C$14*(Calculations!$O114-Calculations!$C$8))</f>
        <v>#N/A</v>
      </c>
      <c r="AK114" s="8" t="e">
        <f>IF(ISBLANK(Input!$AM$4),NA(),'Reaction Information'!$E$33-'Reaction Information'!$G$33*(Calculations!$O114-Calculations!$C$8)-'Reaction Information'!$N$33*(Calculations!$O114*LN(Calculations!$O114/Calculations!$C$8)-Calculations!$O114+Calculations!$C$8)-'Reaction Information'!$O$33*10^4*(((1/(Calculations!$O114-Calculations!$C$13))-(1/(Calculations!$C$8-Calculations!$C$13)))*((Calculations!$C$13-Calculations!$O114)/(Calculations!$C$13))-(Calculations!$O114/(Calculations!$C$13*Calculations!$C$13))*LN((Calculations!$C$8*(Calculations!$O114-Calculations!$C$13))/(Calculations!$O114*(Calculations!$C$8-Calculations!$C$13))))+'Reaction Information'!$J$33*10^-1*(Calculations!$M114-Calculations!$C$9)+'Reaction Information'!$K$33*10^2*LN((Calculations!$C$12+Calculations!$M114)/(Calculations!$C$12+Calculations!$C$9))+(1/(Calculations!$O114-Calculations!$C$13))*('Reaction Information'!$L$33*(Calculations!$M114-Calculations!$C$9)+'Reaction Information'!$M$33*10^4*LN((Calculations!$C$12+Calculations!$M114)/(Calculations!$C$12+Calculations!$C$9)))+calculateOmega(Calculations!M114,Calculations!N114,Calculations!Q114,'Reaction Information'!$C$33,'Reaction Information'!$P$33*10^5,'Reaction Information'!$Q$33)*((1/Calculations!$S114)-1)-'Reaction Information'!$P$33*10^5*((1/Calculations!$C$10)-1)+'Reaction Information'!$P$33*10^5*Calculations!$C$14*(Calculations!$O114-Calculations!$C$8))</f>
        <v>#N/A</v>
      </c>
      <c r="AL114" s="1">
        <f>Results!S116</f>
        <v>0</v>
      </c>
      <c r="AM114" s="1">
        <f>Results!T116</f>
        <v>0</v>
      </c>
      <c r="AN114" s="1">
        <f>Results!U116</f>
        <v>0</v>
      </c>
      <c r="AO114" s="1">
        <f>Results!V116</f>
        <v>0</v>
      </c>
      <c r="AP114" s="8" t="e">
        <f>IF(ISBLANK(Input!$BB$4),NA(),'Reaction Information'!$E$38-'Reaction Information'!$G$38*(Calculations!$O114-Calculations!$C$8)+'Reaction Information'!$I$38*(Calculations!$O114-Calculations!$C$8-Calculations!$O114*LN(Calculations!$O114/Calculations!$C$8))+'Reaction Information'!$J$38*0.001/2*(2*Calculations!$O114*Calculations!$C$8-Calculations!$O114^2-Calculations!$C$8^2) + 'Reaction Information'!$K$38*100000*(Calculations!$O114^2 + Calculations!$C$8^2 - 2*Calculations!$O114*Calculations!$C$8)/(2*Calculations!$O114*Calculations!$C$8^2))</f>
        <v>#N/A</v>
      </c>
      <c r="AQ114" s="8" t="e">
        <f>IF(ISBLANK(Input!$BE$4),NA(),'Reaction Information'!$E$42-'Reaction Information'!$G$42*(Calculations!$O114-Calculations!$C$8)+'Reaction Information'!$I$42*(Calculations!$O114-Calculations!$C$8-Calculations!$O114*LN(Calculations!$O114/Calculations!$C$8))+'Reaction Information'!$J$42*0.001/2*(2*Calculations!$O114*Calculations!$C$8-Calculations!$O114^2-Calculations!$C$8^2) + 'Reaction Information'!$K$42*100000*(Calculations!$O114^2 + Calculations!$C$8^2 - 2*Calculations!$O114*Calculations!$C$8)/(2*Calculations!$O114*Calculations!$C$8^2))</f>
        <v>#N/A</v>
      </c>
      <c r="AR114" s="8" t="e">
        <f>IF(AR$5="H2O", IF($D$24=3,IF(T114=0,NA(),T114),calculateGibbsOfWater(M114,N114,$D$24,$D$20,$D$19=3)),NA())</f>
        <v>#N/A</v>
      </c>
      <c r="AS114" s="8">
        <f>IF(ISBLANK(Input!$BK$4),NA(),'Reaction Information'!$E$46-'Reaction Information'!$G$46*(Calculations!O114-Calculations!$C$8)-'Reaction Information'!$N$46*(Calculations!O114*LN(Calculations!O114/Calculations!$C$8)-Calculations!O114+Calculations!$C$8)-'Reaction Information'!$O$46*10^4*(((1/(Calculations!O114-Calculations!$C$13))-(1/(Calculations!$C$8-Calculations!$C$13)))*((Calculations!$C$13-Calculations!O114)/(Calculations!$C$13))-(Calculations!O114/(Calculations!$C$13*Calculations!$C$13))*LN((Calculations!$C$8*(Calculations!O114-Calculations!$C$13))/(Calculations!O114*(Calculations!$C$8-Calculations!$C$13))))+'Reaction Information'!$J$46*10^-1*(Calculations!$M114-Calculations!$C$9)+'Reaction Information'!$K$46*10^2*LN((Calculations!$C$12+Calculations!$M114)/(Calculations!$C$12+Calculations!$C$9))+(1/(Calculations!O114-Calculations!$C$13))*('Reaction Information'!$L$46*(Calculations!$M114-Calculations!$C$9)+'Reaction Information'!$M$46*10^4*LN((Calculations!$C$12+Calculations!$M114)/(Calculations!$C$12+Calculations!$C$9)))+calculateOmega(Calculations!M114,Calculations!N114,Calculations!Q114,'Reaction Information'!$C$46,'Reaction Information'!$P$46*10^5,'Reaction Information'!$Q$46)*((1/Calculations!S114)-1)-'Reaction Information'!$P$46*10^5*((1/Calculations!$C$10)-1)+'Reaction Information'!$P$46*10^5*Calculations!$C$14*(Calculations!O114-Calculations!$C$8))</f>
        <v>0</v>
      </c>
      <c r="AT114" s="8">
        <f>IF(ISBLANK(Input!$BN$4),NA(),'Reaction Information'!$E$50-'Reaction Information'!$G$50*(Calculations!O114-Calculations!$C$8)-'Reaction Information'!$N$50*(Calculations!O114*LN(Calculations!O114/Calculations!$C$8)-Calculations!O114+Calculations!$C$8)-'Reaction Information'!$O$50*10^4*(((1/(Calculations!O114-Calculations!$C$13))-(1/(Calculations!$C$8-Calculations!$C$13)))*((Calculations!$C$13-Calculations!O114)/(Calculations!$C$13))-(Calculations!O114/(Calculations!$C$13*Calculations!$C$13))*LN((Calculations!$C$8*(Calculations!O114-Calculations!$C$13))/(Calculations!O114*(Calculations!$C$8-Calculations!$C$13))))+'Reaction Information'!$J$50*10^-1*(Calculations!$M114-Calculations!$C$9)+'Reaction Information'!$K$50*10^2*LN((Calculations!$C$12+Calculations!$M114)/(Calculations!$C$12+Calculations!$C$9))+(1/(Calculations!O114-Calculations!$C$13))*('Reaction Information'!$L$50*(Calculations!$M114-Calculations!$C$9)+'Reaction Information'!$M$50*10^4*LN((Calculations!$C$12+Calculations!$M114)/(Calculations!$C$12+Calculations!$C$9)))+calculateOmega(Calculations!M114,Calculations!N114,Calculations!Q114,'Reaction Information'!$C$50,'Reaction Information'!$P$50*10^5,'Reaction Information'!$Q$50)*((1/Calculations!S114)-1)-'Reaction Information'!$P$50*10^5*((1/Calculations!$C$10)-1)+'Reaction Information'!$P$50*10^5*Calculations!$C$14*(Calculations!O114-Calculations!$C$8))</f>
        <v>-123128.66759672613</v>
      </c>
      <c r="AU114" s="8" t="e">
        <f>IF(ISBLANK(Input!$BQ$4),NA(),'Reaction Information'!$E$54-'Reaction Information'!$G$54*(Calculations!$O114-Calculations!$C$8)-'Reaction Information'!$N$54*(Calculations!$O114*LN(Calculations!$O114/Calculations!$C$8)-Calculations!$O114+Calculations!$C$8)-'Reaction Information'!$O$54*10^4*(((1/(Calculations!$O114-Calculations!$C$13))-(1/(Calculations!$C$8-Calculations!$C$13)))*((Calculations!$C$13-Calculations!$O114)/(Calculations!$C$13))-(Calculations!$O114/(Calculations!$C$13*Calculations!$C$13))*LN((Calculations!$C$8*(Calculations!$O114-Calculations!$C$13))/(Calculations!$O114*(Calculations!$C$8-Calculations!$C$13))))+'Reaction Information'!$J$54*10^-1*(Calculations!$M114-Calculations!$C$9)+'Reaction Information'!$K$54*10^2*LN((Calculations!$C$12+Calculations!$M114)/(Calculations!$C$12+Calculations!$C$9))+(1/(Calculations!$O114-Calculations!$C$13))*('Reaction Information'!$L$54*(Calculations!$M114-Calculations!$C$9)+'Reaction Information'!$M$54*10^4*LN((Calculations!$C$12+Calculations!$M114)/(Calculations!$C$12+Calculations!$C$9)))+calculateOmega(Calculations!M114,Calculations!N114,Calculations!Q114,'Reaction Information'!$C$54,'Reaction Information'!$P$54*10^5,'Reaction Information'!$Q$54)*((1/Calculations!$S114)-1)-'Reaction Information'!$P$54*10^5*((1/Calculations!$C$10)-1)+'Reaction Information'!$P$54*10^5*Calculations!$C$14*(Calculations!$O114-Calculations!$C$8))</f>
        <v>#N/A</v>
      </c>
      <c r="AV114" s="8" t="e">
        <f>IF(ISBLANK(Input!$BT$4),NA(),'Reaction Information'!$E$58-'Reaction Information'!$G$58*(Calculations!$O114-Calculations!$C$8)-'Reaction Information'!$N$58*(Calculations!$O114*LN(Calculations!$O114/Calculations!$C$8)-Calculations!$O114+Calculations!$C$8)-'Reaction Information'!$O$58*10^4*(((1/(Calculations!$O114-Calculations!$C$13))-(1/(Calculations!$C$8-Calculations!$C$13)))*((Calculations!$C$13-Calculations!$O114)/(Calculations!$C$13))-(Calculations!$O114/(Calculations!$C$13*Calculations!$C$13))*LN((Calculations!$C$8*(Calculations!$O114-Calculations!$C$13))/(Calculations!$O114*(Calculations!$C$8-Calculations!$C$13))))+'Reaction Information'!$J$58*10^-1*(Calculations!$M114-Calculations!$C$9)+'Reaction Information'!$K$58*10^2*LN((Calculations!$C$12+Calculations!$M114)/(Calculations!$C$12+Calculations!$C$9))+(1/(Calculations!$O114-Calculations!$C$13))*('Reaction Information'!$L$58*(Calculations!$M114-Calculations!$C$9)+'Reaction Information'!$M$58*10^4*LN((Calculations!$C$12+Calculations!$M114)/(Calculations!$C$12+Calculations!$C$9)))+calculateOmega(Calculations!M114,Calculations!N114,Calculations!Q114,'Reaction Information'!$C$58,'Reaction Information'!$P$58*10^5,'Reaction Information'!$Q$58)*((1/Calculations!$S114)-1)-'Reaction Information'!$P$58*10^5*((1/Calculations!$C$10)-1)+'Reaction Information'!$P$58*10^5*Calculations!$C$14*(Calculations!$O114-Calculations!$C$8))</f>
        <v>#N/A</v>
      </c>
      <c r="AW114" s="8" t="e">
        <f>IF(ISBLANK(Input!$BW$4),NA(),'Reaction Information'!$E$62-'Reaction Information'!$G$62*(Calculations!$O114-Calculations!$C$8)-'Reaction Information'!$N$62*(Calculations!$O114*LN(Calculations!$O114/Calculations!$C$8)-Calculations!$O114+Calculations!$C$8)-'Reaction Information'!$O$62*10^4*(((1/(Calculations!$O114-Calculations!$C$13))-(1/(Calculations!$C$8-Calculations!$C$13)))*((Calculations!$C$13-Calculations!$O114)/(Calculations!$C$13))-(Calculations!$O114/(Calculations!$C$13*Calculations!$C$13))*LN((Calculations!$C$8*(Calculations!$O114-Calculations!$C$13))/(Calculations!$O114*(Calculations!$C$8-Calculations!$C$13))))+'Reaction Information'!$J$62*10^-1*(Calculations!$M114-Calculations!$C$9)+'Reaction Information'!$K$62*10^2*LN((Calculations!$C$12+Calculations!$M114)/(Calculations!$C$12+Calculations!$C$9))+(1/(Calculations!$O114-Calculations!$C$13))*('Reaction Information'!$L$62*(Calculations!$M114-Calculations!$C$9)+'Reaction Information'!$M$62*10^4*LN((Calculations!$C$12+Calculations!$M114)/(Calculations!$C$12+Calculations!$C$9)))+calculateOmega(Calculations!M114,Calculations!N114,Calculations!Q114,'Reaction Information'!$C$62,'Reaction Information'!$P$62*10^5,'Reaction Information'!$Q$62)*((1/Calculations!$S114)-1)-'Reaction Information'!$P$62*10^5*((1/Calculations!$C$10)-1)+'Reaction Information'!$P$62*10^5*Calculations!$C$14*(Calculations!$O114-Calculations!$C$8))</f>
        <v>#N/A</v>
      </c>
      <c r="AX114" s="8" t="e">
        <f>IF(ISBLANK(Input!$BZ$4),NA(),'Reaction Information'!$E$66-'Reaction Information'!$G$66*(Calculations!$O114-Calculations!$C$8)-'Reaction Information'!$N$66*(Calculations!$O114*LN(Calculations!$O114/Calculations!$C$8)-Calculations!$O114+Calculations!$C$8)-'Reaction Information'!$O$66*10^4*(((1/(Calculations!$O114-Calculations!$C$13))-(1/(Calculations!$C$8-Calculations!$C$13)))*((Calculations!$C$13-Calculations!$O114)/(Calculations!$C$13))-(Calculations!$O114/(Calculations!$C$13*Calculations!$C$13))*LN((Calculations!$C$8*(Calculations!$O114-Calculations!$C$13))/(Calculations!$O114*(Calculations!$C$8-Calculations!$C$13))))+'Reaction Information'!$J$66*10^-1*(Calculations!$M114-Calculations!$C$9)+'Reaction Information'!$K$66*10^2*LN((Calculations!$C$12+Calculations!$M114)/(Calculations!$C$12+Calculations!$C$9))+(1/(Calculations!$O114-Calculations!$C$13))*('Reaction Information'!$L$66*(Calculations!$M114-Calculations!$C$9)+'Reaction Information'!$M$66*10^4*LN((Calculations!$C$12+Calculations!$M114)/(Calculations!$C$12+Calculations!$C$9)))+calculateOmega(Calculations!M114,Calculations!N114,Calculations!Q114,'Reaction Information'!$C$66,'Reaction Information'!$P$66*10^5,'Reaction Information'!$Q$66)*((1/Calculations!$S114)-1)-'Reaction Information'!$P$66*10^5*((1/Calculations!$C$10)-1)+'Reaction Information'!$P$66*10^5*Calculations!$C$14*(Calculations!$O114-Calculations!$C$8))</f>
        <v>#N/A</v>
      </c>
      <c r="AY114" s="31">
        <f>(AL114*Input!$AO$4+AM114*Input!$AR$4+AN114*Input!$AU$4+AO114*Input!$AX$4+IF(ISNA(AP114),0,AP114*Input!$BA$4)+IF(ISNA(AQ114),0,AQ114*Input!$BD$4)+IF(ISNA(AR114),0,AR114*Input!$BG$4)+IF(ISNA(AS114),0,AS114*Input!$BJ$4)+IF(ISNA(AT114),0,AT114*Input!$BM$4)+IF(ISNA(AU114),0,AU114*Input!$BP$4)+IF(ISNA(AV114),0,AV114*Input!$BS$4)+IF(ISNA(AW114),0,AW114*Input!$BV$4)+IF(ISNA(AX114),0,AX114*Input!$BY$4))-(Y114*Input!$B$4+Z114*Input!$E$4+AA114*Input!$H$4+AB114*Input!$K$4+IF(ISNA(AC114),0,AC114*Input!$N$4)+IF(ISNA(AD114),0,AD114*Input!$Q$4)+IF(ISNA(AE114),0,AE114*Input!$T$4)+IF(ISNA(AF114),0,AF114*Input!$W$4)+IF(ISNA(AG114),0,AG114*Input!$Z$4)+IF(ISNA(AH114),0,AH114*Input!$AC$4)+IF(ISNA(AI114),0,AI114*Input!$AF$4)+IF(ISNA(AJ114),0,AJ114*Input!$AI$4)+IF(ISNA(AK114),0,AK114*Input!$AL$4))</f>
        <v>8690.2188770695939</v>
      </c>
      <c r="AZ114" s="42">
        <f t="shared" si="35"/>
        <v>-2.6280534756807223</v>
      </c>
      <c r="BA114" s="1">
        <f t="shared" si="27"/>
        <v>450</v>
      </c>
      <c r="BB114" s="46">
        <f t="shared" si="28"/>
        <v>40000</v>
      </c>
      <c r="BC114" s="1"/>
      <c r="BD114" s="2">
        <f t="shared" si="29"/>
        <v>40000</v>
      </c>
      <c r="BE114" s="46">
        <f t="shared" si="30"/>
        <v>450</v>
      </c>
      <c r="BF114" s="1">
        <f>Results!AJ116</f>
        <v>0</v>
      </c>
      <c r="BG114" s="1">
        <f>Results!AK116</f>
        <v>0</v>
      </c>
      <c r="BH114" s="1">
        <f>Results!AL116</f>
        <v>0</v>
      </c>
      <c r="BI114" s="1">
        <f>Results!AM116</f>
        <v>0</v>
      </c>
      <c r="BJ114" s="1" t="e">
        <f>IF(OR(ISNA('Reaction Information'!$D$5), $N114 = "", $D$27 = FALSE, 'Reaction Information'!$D$5 = ""), NA(), 24.465)</f>
        <v>#N/A</v>
      </c>
      <c r="BK114" s="1" t="e">
        <f>IF(OR(ISNA('Reaction Information'!$D$9), $N114 = "", $D$27 = FALSE, 'Reaction Information'!$D$9 = ""), NA(), 24.465)</f>
        <v>#N/A</v>
      </c>
      <c r="BL114" s="8">
        <f t="shared" si="36"/>
        <v>13.209939694694153</v>
      </c>
      <c r="BM114" s="8">
        <f>IF(OR(ISBLANK(Input!$X$4),$D$27=FALSE),NA(),('Reaction Information'!$J$13/10+'Reaction Information'!$K$13*100/(Calculations!$C$12+Calculations!$M114)+('Reaction Information'!$L$13+'Reaction Information'!$M$13*10^4/(Calculations!$C$12+Calculations!$M114))/(Calculations!$O114-Calculations!$C$13) -calculateOmega(Calculations!$M114,Calculations!$N114,Calculations!$Q114,'Reaction Information'!$C$13,'Reaction Information'!$P$13*10^5,'Reaction Information'!$Q$13)*Calculations!$U114*10^-6 + (1/$S114 - 1)*calculate_domegadP(Calculations!$M114,Calculations!$N114,Calculations!$Q114,'Reaction Information'!$C$13,'Reaction Information'!$P$13*10^5,'Reaction Information'!$Q$13,$D$20,$D$19=3))*41.84)</f>
        <v>29.997307384356333</v>
      </c>
      <c r="BN114" s="8" t="e">
        <f>IF(OR(ISBLANK(Input!$AA$4),$D$27=FALSE),NA(),('Reaction Information'!$J$17/10+'Reaction Information'!$K$17*100/(Calculations!$C$12+Calculations!$M114)+('Reaction Information'!$L$17+'Reaction Information'!$M$17*10000/(Calculations!$C$12+Calculations!$M114))/(Calculations!$O114-Calculations!$C$13)-calculateOmega(Calculations!M114,Calculations!N114,Calculations!Q114,'Reaction Information'!$C$17,'Reaction Information'!$P$17*10^5,'Reaction Information'!$Q$17)*Calculations!$U114*10^-6 + (1/$S114 - 1)*calculate_domegadP(Calculations!M114,Calculations!N114,Calculations!Q114,'Reaction Information'!$C$17,'Reaction Information'!$P$17*10^5,'Reaction Information'!$Q$17,$D$20,$D$19=3))*41.84)</f>
        <v>#N/A</v>
      </c>
      <c r="BO114" s="8" t="e">
        <f>IF(OR(ISBLANK(Input!$AD$4),$D$27=FALSE),NA(),('Reaction Information'!$J$21/10+'Reaction Information'!$K$21*100/(Calculations!$C$12+Calculations!$M114)+('Reaction Information'!$L$21+'Reaction Information'!$M$21*10000/(Calculations!$C$12+Calculations!$M114))/(Calculations!$O114-Calculations!$C$13)-calculateOmega(Calculations!M114,Calculations!N114,Calculations!Q114,'Reaction Information'!$C$21,'Reaction Information'!$P$21*10^5,'Reaction Information'!$Q$21)*Calculations!$U114*10^-6 + (1/$S114 - 1)*calculate_domegadP(Calculations!M114,Calculations!N114,Calculations!Q114,'Reaction Information'!$C$21,'Reaction Information'!$P$21*10^5,'Reaction Information'!$Q$21,$D$20,$D$19=3))*41.84)</f>
        <v>#N/A</v>
      </c>
      <c r="BP114" s="8" t="e">
        <f>IF(OR(ISBLANK(Input!$AG$4),$D$27=FALSE),NA(),('Reaction Information'!$J$25/10+'Reaction Information'!$K$25*100/(Calculations!$C$12+Calculations!$M114)+('Reaction Information'!$L$25+'Reaction Information'!$M$25*10000/(Calculations!$C$12+Calculations!$M114))/(Calculations!$O114-Calculations!$C$13)-calculateOmega(Calculations!M114,Calculations!N114,Calculations!Q114,'Reaction Information'!$C$25,'Reaction Information'!$P$25*10^5,'Reaction Information'!$Q$25)*Calculations!$U114*10^-6 + (1/$S114 - 1)*calculate_domegadP(Calculations!M114,Calculations!N114,Calculations!Q114,'Reaction Information'!$C$25,'Reaction Information'!$P$25*10^5,'Reaction Information'!$Q$25,$D$20,$D$19=3))*41.84)</f>
        <v>#N/A</v>
      </c>
      <c r="BQ114" s="8" t="e">
        <f>IF(OR(ISBLANK(Input!$AJ$4),$D$27=FALSE),NA(),('Reaction Information'!$J$29/10+'Reaction Information'!$K$29*100/(Calculations!$C$12+Calculations!$M114)+('Reaction Information'!$L$29+'Reaction Information'!$M$29*10000/(Calculations!$C$12+Calculations!$M114))/(Calculations!$O114-Calculations!$C$13)-calculateOmega(Calculations!M114,Calculations!N114,Calculations!Q114,'Reaction Information'!$C$29,'Reaction Information'!$P$29*10^5,'Reaction Information'!$Q$29)*Calculations!$U114*10^-6 + (1/$S114 - 1)*calculate_domegadP(Calculations!M114,Calculations!N114,Calculations!Q114,'Reaction Information'!$C$29,'Reaction Information'!$P$29*10^5,'Reaction Information'!$Q$29,$D$20,$D$19=3))*41.84)</f>
        <v>#N/A</v>
      </c>
      <c r="BR114" s="8" t="e">
        <f>IF(OR(ISBLANK(Input!$AM$4),$D$27=FALSE),NA(),('Reaction Information'!$J$33/10+'Reaction Information'!$K$33*100/(Calculations!$C$12+Calculations!$M114)+('Reaction Information'!$L$33+'Reaction Information'!$M$33*10000/(Calculations!$C$12+Calculations!$M114))/(Calculations!$O114-Calculations!$C$13)-calculateOmega(Calculations!M114,Calculations!N114,Calculations!Q114,'Reaction Information'!$C$33,'Reaction Information'!$P$33*10^5,'Reaction Information'!$Q$33)*Calculations!$U114*10^-6 + (1/$S114 - 1)*calculate_domegadP(Calculations!M114,Calculations!N114,Calculations!Q114,'Reaction Information'!$C$33,'Reaction Information'!$P$33*10^5,'Reaction Information'!$Q$33,$D$20,$D$19=3))*41.84)</f>
        <v>#N/A</v>
      </c>
      <c r="BS114" s="1">
        <f>Results!AW116</f>
        <v>0</v>
      </c>
      <c r="BT114" s="1">
        <f>Results!AX116</f>
        <v>0</v>
      </c>
      <c r="BU114" s="1">
        <f>Results!AY116</f>
        <v>0</v>
      </c>
      <c r="BV114" s="1">
        <f>Results!AZ116</f>
        <v>0</v>
      </c>
      <c r="BW114" s="1" t="e">
        <f>IF(OR(ISNA('Reaction Information'!$D$38), $N114 = "", $D$27 = FALSE, 'Reaction Information'!$D$38 = ""), NA(), 24.465)</f>
        <v>#N/A</v>
      </c>
      <c r="BX114" s="1" t="e">
        <f>IF(OR(ISNA('Reaction Information'!$D$42), $N114 = "", $D$27 = FALSE, 'Reaction Information'!$D$42 = ""), NA(), 24.465)</f>
        <v>#N/A</v>
      </c>
      <c r="BY114" s="8" t="e">
        <f t="shared" si="37"/>
        <v>#N/A</v>
      </c>
      <c r="BZ114" s="8">
        <f>IF(OR(ISBLANK(Input!$BK$4),$D$27=FALSE),NA(),('Reaction Information'!$J$46/10+'Reaction Information'!$K$46*100/(Calculations!$C$12+Calculations!$M114)+('Reaction Information'!$L$46+'Reaction Information'!$M$46*10000/(Calculations!$C$12+Calculations!$M114))/(Calculations!$O114-Calculations!$C$13)-calculateOmega(Calculations!M114,Calculations!N114,Calculations!Q114,'Reaction Information'!$C$46,'Reaction Information'!$P$46*10^5,'Reaction Information'!$Q$46)*Calculations!$U114*10^-6 + (1/$S114 - 1)*calculate_domegadP(Calculations!M114,Calculations!N114,Calculations!Q114,'Reaction Information'!$C$46,'Reaction Information'!$P$46*10^5,'Reaction Information'!$Q$46,$D$20,$D$19=3))*41.84)</f>
        <v>0</v>
      </c>
      <c r="CA114" s="8">
        <f>IF(OR(ISBLANK(Input!$BN$4),$D$27=FALSE),NA(),('Reaction Information'!$J$50/10+'Reaction Information'!$K$50*100/(Calculations!$C$12+Calculations!$M114)+('Reaction Information'!$L$50+'Reaction Information'!$M$50*10000/(Calculations!$C$12+Calculations!$M114))/(Calculations!$O114-Calculations!$C$13)-calculateOmega(Calculations!M114,Calculations!N114,Calculations!Q114,'Reaction Information'!$C$50,'Reaction Information'!$P$50*10^5,'Reaction Information'!$Q$50)*Calculations!$U114*10^-6 + (1/$S114 - 1)*calculate_domegadP(Calculations!M114,Calculations!N114,Calculations!Q114,'Reaction Information'!$C$50,'Reaction Information'!$P$50*10^5,'Reaction Information'!$Q$50,$D$20,$D$19=3))*41.84)</f>
        <v>31.379291357773898</v>
      </c>
      <c r="CB114" s="8" t="e">
        <f>IF(OR(ISBLANK(Input!$BQ$4),$D$27=FALSE),NA(),('Reaction Information'!$J$54/10+'Reaction Information'!$K$54*100/(Calculations!$C$12+Calculations!$M114)+('Reaction Information'!$L$54+'Reaction Information'!$M$54*10000/(Calculations!$C$12+Calculations!$M114))/(Calculations!$O114-Calculations!$C$13)-calculateOmega(Calculations!M114,Calculations!N114,Calculations!Q114,'Reaction Information'!$C$54,'Reaction Information'!$P$54*10^5,'Reaction Information'!$Q$54)*Calculations!$U114*10^-6 + (1/$S114 - 1)*calculate_domegadP(Calculations!M114,Calculations!N114,Calculations!Q114,'Reaction Information'!$C$54,'Reaction Information'!$P$54*10^5,'Reaction Information'!$Q$54,$D$20,$D$19=3))*41.84)</f>
        <v>#N/A</v>
      </c>
      <c r="CC114" s="8" t="e">
        <f>IF(OR(ISBLANK(Input!$BT$4),$D$27=FALSE),NA(),('Reaction Information'!$J$58/10+'Reaction Information'!$K$58*100/(Calculations!$C$12+Calculations!$M114)+('Reaction Information'!$L$58+'Reaction Information'!$M$58*10000/(Calculations!$C$12+Calculations!$M114))/(Calculations!$O114-Calculations!$C$13)-calculateOmega(Calculations!M114,Calculations!N114,Calculations!Q114,'Reaction Information'!$C$58,'Reaction Information'!$P$58*10^5,'Reaction Information'!$Q$58)*Calculations!$U114*10^-6 + (1/$S114 - 1)*calculate_domegadP(Calculations!M114,Calculations!N114,Calculations!Q114,'Reaction Information'!$C$58,'Reaction Information'!$P$58*10^5,'Reaction Information'!$Q$58,$D$20,$D$19=3))*41.84)</f>
        <v>#N/A</v>
      </c>
      <c r="CD114" s="8" t="e">
        <f>IF(OR(ISBLANK(Input!$BW$4),$D$27=FALSE),NA(),('Reaction Information'!$J$62/10+'Reaction Information'!$K$62*100/(Calculations!$C$12+Calculations!$M114)+('Reaction Information'!$L$62+'Reaction Information'!$M$62*10000/(Calculations!$C$12+Calculations!$M114))/(Calculations!$O114-Calculations!$C$13)-calculateOmega(Calculations!M114,Calculations!N114,Calculations!Q114,'Reaction Information'!$C$62,'Reaction Information'!$P$62*10^5,'Reaction Information'!$Q$62)*Calculations!$U114*10^-6 + (1/$S114 - 1)*calculate_domegadP(Calculations!M114,Calculations!N114,Calculations!Q114,'Reaction Information'!$C$62,'Reaction Information'!$P$62*10^5,'Reaction Information'!$Q$62,$D$20,$D$19=3))*41.84)</f>
        <v>#N/A</v>
      </c>
      <c r="CE114" s="8" t="e">
        <f>IF(OR(ISBLANK(Input!$BZ$4),$D$27=FALSE),NA(),('Reaction Information'!$J$66/10+'Reaction Information'!$K$66*100/(Calculations!$C$12+Calculations!$M114)+('Reaction Information'!$L$66+'Reaction Information'!$M$66*10000/(Calculations!$C$12+Calculations!$M114))/(Calculations!$O114-Calculations!$C$13)-calculateOmega(Calculations!M114,Calculations!N114,Calculations!Q114,'Reaction Information'!$C$66,'Reaction Information'!$P$66*10^5,'Reaction Information'!$Q$66)*Calculations!$U114*10^-6 + (1/$S114 - 1)*calculate_domegadP(Calculations!M114,Calculations!N114,Calculations!Q114,'Reaction Information'!$C$66,'Reaction Information'!$P$66*10^5,'Reaction Information'!$Q$66,$D$20,$D$19=3))*41.84)</f>
        <v>#N/A</v>
      </c>
      <c r="CF114" s="31">
        <f>(BS114*Input!$AO$4+BT114*Input!$AR$4+BU114*Input!$AU$4+BV114*Input!$AX$4+IF(ISNA(BW114),0,BW114*Input!$BA$4)+IF(ISNA(BX114),0,BX114*Input!$BD$4)+IF(ISNA(BY114),0,BY114*Input!$BG$4)+IF(ISNA(BZ114),0,BZ114*Input!$BJ$4)+IF(ISNA(CA114),0,CA114*Input!$BM$4)+IF(ISNA(CB114),0,CB114*Input!$BP$4)+IF(ISNA(CC114),0,CC114*Input!$BS$4)+IF(ISNA(CD114),0,CD114*Input!$BV$4)+IF(ISNA(CE114),0,CE114*Input!$BY$4))-(BF114*Input!$B$4+BG114*Input!$E$4+BH114*Input!$H$4+BI114*Input!$K$4+IF(ISNA(BJ114),0,BJ114*Input!$N$4)+IF(ISNA(BK114),0,BK114*Input!$Q$4)+IF(ISNA(BL114),0,BL114*Input!$T$4)+IF(ISNA(BM114),0,BM114*Input!$W$4)+IF(ISNA(BN114),0,BN114*Input!$Z$4)+IF(ISNA(BO114),0,BO114*Input!$AC$4)+IF(ISNA(BP114),0,BP114*Input!$AF$4)+IF(ISNA(BQ114),0,BQ114*Input!$AI$4)+IF(ISNA(BR114),0,BR114*Input!$AL$4))</f>
        <v>-11.827955721276592</v>
      </c>
      <c r="CG114" s="1">
        <f t="shared" si="31"/>
        <v>450</v>
      </c>
      <c r="CH114" s="46">
        <f t="shared" si="32"/>
        <v>40000</v>
      </c>
      <c r="CI114" s="1"/>
    </row>
    <row r="115" spans="1:87" x14ac:dyDescent="0.2">
      <c r="A115" s="1"/>
      <c r="B115" s="1"/>
      <c r="C115" s="1"/>
      <c r="D115" s="1"/>
      <c r="E115" s="1"/>
      <c r="F115" s="2">
        <v>110</v>
      </c>
      <c r="G115" s="1" t="str">
        <f>IF(ISBLANK(Input!CB115), "", Input!CB115*1000)</f>
        <v/>
      </c>
      <c r="H115" s="1" t="str">
        <f>IF(ISBLANK(Input!CC115), "", Input!CC115)</f>
        <v/>
      </c>
      <c r="I115" s="1">
        <f>IF(Input!$CF$5 + Input!$CF$6*(FLOOR((Calculations!$F115-1)/(FLOOR((Input!$CF$12-Input!$CF$10)/Input!$CF$11,1)+1),1)) &gt; Input!$CF$7, "", (Input!$CF$5 + Input!$CF$6*(FLOOR((Calculations!$F115-1)/(FLOOR((Input!$CF$12-Input!$CF$10)/Input!$CF$11,1)+1),1)))*1000)</f>
        <v>40000</v>
      </c>
      <c r="J115" s="1">
        <f>IF(Calculations!I115 = "", "", Input!$CF$10 + Input!$CF$11*(Calculations!$F115-1) - (FLOOR((Input!$CF$12-Input!$CF$10)/Input!$CF$11,1)+1)*Input!$CF$11*FLOOR((Calculations!$F115-1)/(FLOOR((Input!$CF$12-Input!$CF$10)/Input!$CF$11,1)+1),1))</f>
        <v>500</v>
      </c>
      <c r="K115" s="8" t="str">
        <f t="shared" si="33"/>
        <v/>
      </c>
      <c r="L115" s="117" t="str">
        <f>IF(OR(Input!$CJ$5 + Input!$CJ$6*(Calculations!F115-1) &gt; Input!$CJ$7, Input!$CJ$5 + Input!$CJ$6*(Calculations!F115-1) &gt; 350), "", Input!$CJ$5 + Input!$CJ$6*(Calculations!F115-1))</f>
        <v/>
      </c>
      <c r="M115" s="1">
        <f t="shared" si="23"/>
        <v>40000</v>
      </c>
      <c r="N115" s="1">
        <f t="shared" si="24"/>
        <v>500</v>
      </c>
      <c r="O115" s="1">
        <f t="shared" si="34"/>
        <v>773.15</v>
      </c>
      <c r="P115" s="1" t="e">
        <f>IF(OR($D$20=3,AND($D$21=TRUE,M115&lt;1000)),INDEX('Water Density'!$C$6:$CX$120,MATCH(Calculations!N115,'Water Density'!$B$6:$B$120),MATCH(Calculations!M115/1000,'Water Density'!$C$5:$CX$5)),NA())</f>
        <v>#N/A</v>
      </c>
      <c r="Q115" s="182">
        <f>IF(OR($D$20=3,AND($D$21=TRUE,M115&lt;1000)), IF(P115&lt;&gt;0,P115,NA()), calculateDensity(M115,N115,$D$20,0.01,$D$19 = 3))</f>
        <v>1.3490803383123877</v>
      </c>
      <c r="R115" s="1" t="e">
        <f>IF($D$22=5,INDEX('Dielectric Constant'!$C$6:$CX$120,MATCH(Calculations!N115,'Dielectric Constant'!$B$6:$B$120),MATCH(Calculations!M115/1000,'Dielectric Constant'!$C$5:$CX$5)),NA())</f>
        <v>#N/A</v>
      </c>
      <c r="S115" s="58">
        <f>IF($D$22=5, IF(R115&lt;&gt;0,R115,NA()), IF(AND($D$23,M115&lt;=5000,$D$19 &lt;&gt; 3),calculateEpsilon(Q115,N115,1,FALSE),calculateEpsilon(Q115,N115,$D$22,$D$19 = 3)))</f>
        <v>37.238526658676356</v>
      </c>
      <c r="T115" s="1" t="e">
        <f>IF($D$24=3,INDEX('Water Free Energy'!$C$6:$CX$120,MATCH(Calculations!N115,'Water Free Energy'!$B$6:$B$120),MATCH(Calculations!M115/1000,'Water Free Energy'!$C$5:$CX$5)),NA())</f>
        <v>#N/A</v>
      </c>
      <c r="U115" s="179">
        <f>IF($D$27,calculateQ(M115,N115,Q115,$D$20,$D$22,$D$19=3)*10^6,NA())</f>
        <v>0.14652694570498564</v>
      </c>
      <c r="V115"/>
      <c r="W115" s="2">
        <f t="shared" si="25"/>
        <v>40000</v>
      </c>
      <c r="X115" s="1">
        <f t="shared" si="26"/>
        <v>500</v>
      </c>
      <c r="Y115" s="1">
        <f>Results!F117</f>
        <v>0</v>
      </c>
      <c r="Z115" s="1">
        <f>Results!G117</f>
        <v>0</v>
      </c>
      <c r="AA115" s="1">
        <f>Results!H117</f>
        <v>0</v>
      </c>
      <c r="AB115" s="1">
        <f>Results!I117</f>
        <v>0</v>
      </c>
      <c r="AC115" s="1" t="e">
        <f>IF(ISBLANK(Input!$O$4),NA(),'Reaction Information'!$E$5-'Reaction Information'!$G$5*(Calculations!$O115-Calculations!$C$8)+'Reaction Information'!$I$5*(Calculations!$O115-Calculations!$C$8-Calculations!$O115*LN(Calculations!$O115/Calculations!$C$8))+'Reaction Information'!$J$5*0.001/2*(2*Calculations!$O115*Calculations!$C$8-Calculations!$O115^2-Calculations!$C$8^2) + 'Reaction Information'!$K$5*100000*(Calculations!$O115^2 + Calculations!$C$8^2 - 2*Calculations!$O115*Calculations!$C$8)/(2*Calculations!$O115*Calculations!$C$8^2))</f>
        <v>#N/A</v>
      </c>
      <c r="AD115" s="8" t="e">
        <f>IF(ISBLANK(Input!$R$4),NA(),'Reaction Information'!$E$9-'Reaction Information'!$G$9*(Calculations!$O115-Calculations!$C$8)+'Reaction Information'!$I$9*(Calculations!$O115-Calculations!$C$8-Calculations!$O115*LN(Calculations!$O115/Calculations!$C$8))+'Reaction Information'!$J$9*0.001/2*(2*Calculations!$O115*Calculations!$C$8-Calculations!$O115^2-Calculations!$C$8^2) + 'Reaction Information'!$K$9*100000*(Calculations!$O115^2 + Calculations!$C$8^2 - 2*Calculations!$O115*Calculations!$C$8)/(2*Calculations!$O115*Calculations!$C$8^2))</f>
        <v>#N/A</v>
      </c>
      <c r="AE115" s="8">
        <f>IF(AE$5="H2O",IF($D$24=3,IF(T115=0,NA(),T115),calculateGibbsOfWater(M115,N115,$D$24,$D$20,$D$19=3)),NA())</f>
        <v>-53415.035009196101</v>
      </c>
      <c r="AF115" s="8">
        <f>IF(ISBLANK(Input!$X$4),NA(),'Reaction Information'!$E$13-'Reaction Information'!$G$13*(Calculations!O115-Calculations!$C$8)-'Reaction Information'!$N$13*(Calculations!O115*LN(Calculations!O115/Calculations!$C$8)-Calculations!O115+Calculations!$C$8)-'Reaction Information'!$O$13*10^4*(((1/(Calculations!O115-Calculations!$C$13))-(1/(Calculations!$C$8-Calculations!$C$13)))*((Calculations!$C$13-Calculations!O115)/(Calculations!$C$13))-(Calculations!O115/(Calculations!$C$13*Calculations!$C$13))*LN((Calculations!$C$8*(Calculations!O115-Calculations!$C$13))/(Calculations!O115*(Calculations!$C$8-Calculations!$C$13))))+'Reaction Information'!$J$13*10^-1*(Calculations!M115-Calculations!$C$9)+'Reaction Information'!$K$13*10^2*LN((Calculations!$C$12+Calculations!M115)/(Calculations!$C$12+Calculations!$C$9))+(1/(Calculations!O115-Calculations!$C$13))*('Reaction Information'!$L$13*(Calculations!M115-Calculations!$C$9)+'Reaction Information'!$M$13*10^4*LN((Calculations!$C$12+Calculations!M115)/(Calculations!$C$12+Calculations!$C$9)))+calculateOmega(Calculations!M115,Calculations!N115,Calculations!Q115,'Reaction Information'!$C$13,'Reaction Information'!$P$13*10^5,'Reaction Information'!$Q$13)*((1/Calculations!S115)-1)-'Reaction Information'!$P$13*10^5*((1/Calculations!$C$10)-1)+'Reaction Information'!$P$13*10^5*Calculations!$C$14*(Calculations!O115-Calculations!$C$8))</f>
        <v>-81891.666711160055</v>
      </c>
      <c r="AG115" s="8" t="e">
        <f>IF(ISBLANK(Input!$AA$4),NA(),'Reaction Information'!$E$17-'Reaction Information'!$G$17*(Calculations!$O115-Calculations!$C$8)-'Reaction Information'!$N$17*(Calculations!$O115*LN(Calculations!$O115/Calculations!$C$8)-Calculations!$O115+Calculations!$C$8)-'Reaction Information'!$O$17*10^4*(((1/(Calculations!$O115-Calculations!$C$13))-(1/(Calculations!$C$8-Calculations!$C$13)))*((Calculations!$C$13-Calculations!$O115)/(Calculations!$C$13))-(Calculations!$O115/(Calculations!$C$13*Calculations!$C$13))*LN((Calculations!$C$8*(Calculations!$O115-Calculations!$C$13))/(Calculations!$O115*(Calculations!$C$8-Calculations!$C$13))))+'Reaction Information'!$J$17*10^-1*(Calculations!$M115-Calculations!$C$9)+'Reaction Information'!$K$17*10^2*LN((Calculations!$C$12+Calculations!$M115)/(Calculations!$C$12+Calculations!$C$9))+(1/(Calculations!$O115-Calculations!$C$13))*('Reaction Information'!$L$17*(Calculations!$M115-Calculations!$C$9)+'Reaction Information'!$M$17*10^4*LN((Calculations!$C$12+Calculations!$M115)/(Calculations!$C$12+Calculations!$C$9)))+calculateOmega(Calculations!M115,Calculations!N115,Calculations!Q115,'Reaction Information'!$C$17,'Reaction Information'!$P$17*10^5,'Reaction Information'!$Q$17)*((1/Calculations!$S115)-1)-'Reaction Information'!$P$17*10^5*((1/Calculations!$C$10)-1)+'Reaction Information'!$P$17*10^5*Calculations!$C$14*(Calculations!$O115-Calculations!$C$8))</f>
        <v>#N/A</v>
      </c>
      <c r="AH115" s="8" t="e">
        <f>IF(ISBLANK(Input!$AD$4),NA(),'Reaction Information'!$E$21-'Reaction Information'!$G$21*(Calculations!$O115-Calculations!$C$8)-'Reaction Information'!$N$21*(Calculations!$O115*LN(Calculations!$O115/Calculations!$C$8)-Calculations!$O115+Calculations!$C$8)-'Reaction Information'!$O$21*10^4*(((1/(Calculations!$O115-Calculations!$C$13))-(1/(Calculations!$C$8-Calculations!$C$13)))*((Calculations!$C$13-Calculations!$O115)/(Calculations!$C$13))-(Calculations!$O115/(Calculations!$C$13*Calculations!$C$13))*LN((Calculations!$C$8*(Calculations!$O115-Calculations!$C$13))/(Calculations!$O115*(Calculations!$C$8-Calculations!$C$13))))+'Reaction Information'!$J$21*10^-1*(Calculations!$M115-Calculations!$C$9)+'Reaction Information'!$K$21*10^2*LN((Calculations!$C$12+Calculations!$M115)/(Calculations!$C$12+Calculations!$C$9))+(1/(Calculations!$O115-Calculations!$C$13))*('Reaction Information'!$L$21*(Calculations!$M115-Calculations!$C$9)+'Reaction Information'!$M$21*10^4*LN((Calculations!$C$12+Calculations!$M115)/(Calculations!$C$12+Calculations!$C$9)))+calculateOmega(Calculations!M115,Calculations!N115,Calculations!Q115,'Reaction Information'!$C$21,'Reaction Information'!$P$21*10^5,'Reaction Information'!$Q$21)*((1/Calculations!$S115)-1)-'Reaction Information'!$P$21*10^5*((1/Calculations!$C$10)-1)+'Reaction Information'!$P$21*10^5*Calculations!$C$14*(Calculations!$O115-Calculations!$C$8))</f>
        <v>#N/A</v>
      </c>
      <c r="AI115" s="8" t="e">
        <f>IF(ISBLANK(Input!$AG$4),NA(),'Reaction Information'!$E$25-'Reaction Information'!$G$25*(Calculations!$O115-Calculations!$C$8)-'Reaction Information'!$N$25*(Calculations!$O115*LN(Calculations!$O115/Calculations!$C$8)-Calculations!$O115+Calculations!$C$8)-'Reaction Information'!$O$25*10^4*(((1/(Calculations!$O115-Calculations!$C$13))-(1/(Calculations!$C$8-Calculations!$C$13)))*((Calculations!$C$13-Calculations!$O115)/(Calculations!$C$13))-(Calculations!$O115/(Calculations!$C$13*Calculations!$C$13))*LN((Calculations!$C$8*(Calculations!$O115-Calculations!$C$13))/(Calculations!$O115*(Calculations!$C$8-Calculations!$C$13))))+'Reaction Information'!$J$25*10^-1*(Calculations!$M115-Calculations!$C$9)+'Reaction Information'!$K$25*10^2*LN((Calculations!$C$12+Calculations!$M115)/(Calculations!$C$12+Calculations!$C$9))+(1/(Calculations!$O115-Calculations!$C$13))*('Reaction Information'!$L$25*(Calculations!$M115-Calculations!$C$9)+'Reaction Information'!$M$25*10^4*LN((Calculations!$C$12+Calculations!$M115)/(Calculations!$C$12+Calculations!$C$9)))+calculateOmega(Calculations!M115,Calculations!N115,Calculations!Q115,'Reaction Information'!$C$25,'Reaction Information'!$P$25*10^5,'Reaction Information'!$Q$25)*((1/Calculations!$S115)-1)-'Reaction Information'!$P$25*10^5*((1/Calculations!$C$10)-1)+'Reaction Information'!$P$25*10^5*Calculations!$C$14*(Calculations!$O115-Calculations!$C$8))</f>
        <v>#N/A</v>
      </c>
      <c r="AJ115" s="8" t="e">
        <f>IF(ISBLANK(Input!$AJ$4),NA(),'Reaction Information'!$E$29-'Reaction Information'!$G$29*(Calculations!$O115-Calculations!$C$8)-'Reaction Information'!$N$29*(Calculations!$O115*LN(Calculations!$O115/Calculations!$C$8)-Calculations!$O115+Calculations!$C$8)-'Reaction Information'!$O$29*10^4*(((1/(Calculations!$O115-Calculations!$C$13))-(1/(Calculations!$C$8-Calculations!$C$13)))*((Calculations!$C$13-Calculations!$O115)/(Calculations!$C$13))-(Calculations!$O115/(Calculations!$C$13*Calculations!$C$13))*LN((Calculations!$C$8*(Calculations!$O115-Calculations!$C$13))/(Calculations!$O115*(Calculations!$C$8-Calculations!$C$13))))+'Reaction Information'!$J$29*10^-1*(Calculations!$M115-Calculations!$C$9)+'Reaction Information'!$K$29*10^2*LN((Calculations!$C$12+Calculations!$M115)/(Calculations!$C$12+Calculations!$C$9))+(1/(Calculations!$O115-Calculations!$C$13))*('Reaction Information'!$L$29*(Calculations!$M115-Calculations!$C$9)+'Reaction Information'!$M$29*10^4*LN((Calculations!$C$12+Calculations!$M115)/(Calculations!$C$12+Calculations!$C$9)))+calculateOmega(Calculations!M115,Calculations!N115,Calculations!Q115,'Reaction Information'!$C$29,'Reaction Information'!$P$29*10^5,'Reaction Information'!$Q$29)*((1/Calculations!$S115)-1)-'Reaction Information'!$P$29*10^5*((1/Calculations!$C$10)-1)+'Reaction Information'!$P$29*10^5*Calculations!$C$14*(Calculations!$O115-Calculations!$C$8))</f>
        <v>#N/A</v>
      </c>
      <c r="AK115" s="8" t="e">
        <f>IF(ISBLANK(Input!$AM$4),NA(),'Reaction Information'!$E$33-'Reaction Information'!$G$33*(Calculations!$O115-Calculations!$C$8)-'Reaction Information'!$N$33*(Calculations!$O115*LN(Calculations!$O115/Calculations!$C$8)-Calculations!$O115+Calculations!$C$8)-'Reaction Information'!$O$33*10^4*(((1/(Calculations!$O115-Calculations!$C$13))-(1/(Calculations!$C$8-Calculations!$C$13)))*((Calculations!$C$13-Calculations!$O115)/(Calculations!$C$13))-(Calculations!$O115/(Calculations!$C$13*Calculations!$C$13))*LN((Calculations!$C$8*(Calculations!$O115-Calculations!$C$13))/(Calculations!$O115*(Calculations!$C$8-Calculations!$C$13))))+'Reaction Information'!$J$33*10^-1*(Calculations!$M115-Calculations!$C$9)+'Reaction Information'!$K$33*10^2*LN((Calculations!$C$12+Calculations!$M115)/(Calculations!$C$12+Calculations!$C$9))+(1/(Calculations!$O115-Calculations!$C$13))*('Reaction Information'!$L$33*(Calculations!$M115-Calculations!$C$9)+'Reaction Information'!$M$33*10^4*LN((Calculations!$C$12+Calculations!$M115)/(Calculations!$C$12+Calculations!$C$9)))+calculateOmega(Calculations!M115,Calculations!N115,Calculations!Q115,'Reaction Information'!$C$33,'Reaction Information'!$P$33*10^5,'Reaction Information'!$Q$33)*((1/Calculations!$S115)-1)-'Reaction Information'!$P$33*10^5*((1/Calculations!$C$10)-1)+'Reaction Information'!$P$33*10^5*Calculations!$C$14*(Calculations!$O115-Calculations!$C$8))</f>
        <v>#N/A</v>
      </c>
      <c r="AL115" s="1">
        <f>Results!S117</f>
        <v>0</v>
      </c>
      <c r="AM115" s="1">
        <f>Results!T117</f>
        <v>0</v>
      </c>
      <c r="AN115" s="1">
        <f>Results!U117</f>
        <v>0</v>
      </c>
      <c r="AO115" s="1">
        <f>Results!V117</f>
        <v>0</v>
      </c>
      <c r="AP115" s="8" t="e">
        <f>IF(ISBLANK(Input!$BB$4),NA(),'Reaction Information'!$E$38-'Reaction Information'!$G$38*(Calculations!$O115-Calculations!$C$8)+'Reaction Information'!$I$38*(Calculations!$O115-Calculations!$C$8-Calculations!$O115*LN(Calculations!$O115/Calculations!$C$8))+'Reaction Information'!$J$38*0.001/2*(2*Calculations!$O115*Calculations!$C$8-Calculations!$O115^2-Calculations!$C$8^2) + 'Reaction Information'!$K$38*100000*(Calculations!$O115^2 + Calculations!$C$8^2 - 2*Calculations!$O115*Calculations!$C$8)/(2*Calculations!$O115*Calculations!$C$8^2))</f>
        <v>#N/A</v>
      </c>
      <c r="AQ115" s="8" t="e">
        <f>IF(ISBLANK(Input!$BE$4),NA(),'Reaction Information'!$E$42-'Reaction Information'!$G$42*(Calculations!$O115-Calculations!$C$8)+'Reaction Information'!$I$42*(Calculations!$O115-Calculations!$C$8-Calculations!$O115*LN(Calculations!$O115/Calculations!$C$8))+'Reaction Information'!$J$42*0.001/2*(2*Calculations!$O115*Calculations!$C$8-Calculations!$O115^2-Calculations!$C$8^2) + 'Reaction Information'!$K$42*100000*(Calculations!$O115^2 + Calculations!$C$8^2 - 2*Calculations!$O115*Calculations!$C$8)/(2*Calculations!$O115*Calculations!$C$8^2))</f>
        <v>#N/A</v>
      </c>
      <c r="AR115" s="8" t="e">
        <f>IF(AR$5="H2O", IF($D$24=3,IF(T115=0,NA(),T115),calculateGibbsOfWater(M115,N115,$D$24,$D$20,$D$19=3)),NA())</f>
        <v>#N/A</v>
      </c>
      <c r="AS115" s="8">
        <f>IF(ISBLANK(Input!$BK$4),NA(),'Reaction Information'!$E$46-'Reaction Information'!$G$46*(Calculations!O115-Calculations!$C$8)-'Reaction Information'!$N$46*(Calculations!O115*LN(Calculations!O115/Calculations!$C$8)-Calculations!O115+Calculations!$C$8)-'Reaction Information'!$O$46*10^4*(((1/(Calculations!O115-Calculations!$C$13))-(1/(Calculations!$C$8-Calculations!$C$13)))*((Calculations!$C$13-Calculations!O115)/(Calculations!$C$13))-(Calculations!O115/(Calculations!$C$13*Calculations!$C$13))*LN((Calculations!$C$8*(Calculations!O115-Calculations!$C$13))/(Calculations!O115*(Calculations!$C$8-Calculations!$C$13))))+'Reaction Information'!$J$46*10^-1*(Calculations!$M115-Calculations!$C$9)+'Reaction Information'!$K$46*10^2*LN((Calculations!$C$12+Calculations!$M115)/(Calculations!$C$12+Calculations!$C$9))+(1/(Calculations!O115-Calculations!$C$13))*('Reaction Information'!$L$46*(Calculations!$M115-Calculations!$C$9)+'Reaction Information'!$M$46*10^4*LN((Calculations!$C$12+Calculations!$M115)/(Calculations!$C$12+Calculations!$C$9)))+calculateOmega(Calculations!M115,Calculations!N115,Calculations!Q115,'Reaction Information'!$C$46,'Reaction Information'!$P$46*10^5,'Reaction Information'!$Q$46)*((1/Calculations!S115)-1)-'Reaction Information'!$P$46*10^5*((1/Calculations!$C$10)-1)+'Reaction Information'!$P$46*10^5*Calculations!$C$14*(Calculations!O115-Calculations!$C$8))</f>
        <v>0</v>
      </c>
      <c r="AT115" s="8">
        <f>IF(ISBLANK(Input!$BN$4),NA(),'Reaction Information'!$E$50-'Reaction Information'!$G$50*(Calculations!O115-Calculations!$C$8)-'Reaction Information'!$N$50*(Calculations!O115*LN(Calculations!O115/Calculations!$C$8)-Calculations!O115+Calculations!$C$8)-'Reaction Information'!$O$50*10^4*(((1/(Calculations!O115-Calculations!$C$13))-(1/(Calculations!$C$8-Calculations!$C$13)))*((Calculations!$C$13-Calculations!O115)/(Calculations!$C$13))-(Calculations!O115/(Calculations!$C$13*Calculations!$C$13))*LN((Calculations!$C$8*(Calculations!O115-Calculations!$C$13))/(Calculations!O115*(Calculations!$C$8-Calculations!$C$13))))+'Reaction Information'!$J$50*10^-1*(Calculations!$M115-Calculations!$C$9)+'Reaction Information'!$K$50*10^2*LN((Calculations!$C$12+Calculations!$M115)/(Calculations!$C$12+Calculations!$C$9))+(1/(Calculations!O115-Calculations!$C$13))*('Reaction Information'!$L$50*(Calculations!$M115-Calculations!$C$9)+'Reaction Information'!$M$50*10^4*LN((Calculations!$C$12+Calculations!$M115)/(Calculations!$C$12+Calculations!$C$9)))+calculateOmega(Calculations!M115,Calculations!N115,Calculations!Q115,'Reaction Information'!$C$50,'Reaction Information'!$P$50*10^5,'Reaction Information'!$Q$50)*((1/Calculations!S115)-1)-'Reaction Information'!$P$50*10^5*((1/Calculations!$C$10)-1)+'Reaction Information'!$P$50*10^5*Calculations!$C$14*(Calculations!O115-Calculations!$C$8))</f>
        <v>-124784.01576071211</v>
      </c>
      <c r="AU115" s="8" t="e">
        <f>IF(ISBLANK(Input!$BQ$4),NA(),'Reaction Information'!$E$54-'Reaction Information'!$G$54*(Calculations!$O115-Calculations!$C$8)-'Reaction Information'!$N$54*(Calculations!$O115*LN(Calculations!$O115/Calculations!$C$8)-Calculations!$O115+Calculations!$C$8)-'Reaction Information'!$O$54*10^4*(((1/(Calculations!$O115-Calculations!$C$13))-(1/(Calculations!$C$8-Calculations!$C$13)))*((Calculations!$C$13-Calculations!$O115)/(Calculations!$C$13))-(Calculations!$O115/(Calculations!$C$13*Calculations!$C$13))*LN((Calculations!$C$8*(Calculations!$O115-Calculations!$C$13))/(Calculations!$O115*(Calculations!$C$8-Calculations!$C$13))))+'Reaction Information'!$J$54*10^-1*(Calculations!$M115-Calculations!$C$9)+'Reaction Information'!$K$54*10^2*LN((Calculations!$C$12+Calculations!$M115)/(Calculations!$C$12+Calculations!$C$9))+(1/(Calculations!$O115-Calculations!$C$13))*('Reaction Information'!$L$54*(Calculations!$M115-Calculations!$C$9)+'Reaction Information'!$M$54*10^4*LN((Calculations!$C$12+Calculations!$M115)/(Calculations!$C$12+Calculations!$C$9)))+calculateOmega(Calculations!M115,Calculations!N115,Calculations!Q115,'Reaction Information'!$C$54,'Reaction Information'!$P$54*10^5,'Reaction Information'!$Q$54)*((1/Calculations!$S115)-1)-'Reaction Information'!$P$54*10^5*((1/Calculations!$C$10)-1)+'Reaction Information'!$P$54*10^5*Calculations!$C$14*(Calculations!$O115-Calculations!$C$8))</f>
        <v>#N/A</v>
      </c>
      <c r="AV115" s="8" t="e">
        <f>IF(ISBLANK(Input!$BT$4),NA(),'Reaction Information'!$E$58-'Reaction Information'!$G$58*(Calculations!$O115-Calculations!$C$8)-'Reaction Information'!$N$58*(Calculations!$O115*LN(Calculations!$O115/Calculations!$C$8)-Calculations!$O115+Calculations!$C$8)-'Reaction Information'!$O$58*10^4*(((1/(Calculations!$O115-Calculations!$C$13))-(1/(Calculations!$C$8-Calculations!$C$13)))*((Calculations!$C$13-Calculations!$O115)/(Calculations!$C$13))-(Calculations!$O115/(Calculations!$C$13*Calculations!$C$13))*LN((Calculations!$C$8*(Calculations!$O115-Calculations!$C$13))/(Calculations!$O115*(Calculations!$C$8-Calculations!$C$13))))+'Reaction Information'!$J$58*10^-1*(Calculations!$M115-Calculations!$C$9)+'Reaction Information'!$K$58*10^2*LN((Calculations!$C$12+Calculations!$M115)/(Calculations!$C$12+Calculations!$C$9))+(1/(Calculations!$O115-Calculations!$C$13))*('Reaction Information'!$L$58*(Calculations!$M115-Calculations!$C$9)+'Reaction Information'!$M$58*10^4*LN((Calculations!$C$12+Calculations!$M115)/(Calculations!$C$12+Calculations!$C$9)))+calculateOmega(Calculations!M115,Calculations!N115,Calculations!Q115,'Reaction Information'!$C$58,'Reaction Information'!$P$58*10^5,'Reaction Information'!$Q$58)*((1/Calculations!$S115)-1)-'Reaction Information'!$P$58*10^5*((1/Calculations!$C$10)-1)+'Reaction Information'!$P$58*10^5*Calculations!$C$14*(Calculations!$O115-Calculations!$C$8))</f>
        <v>#N/A</v>
      </c>
      <c r="AW115" s="8" t="e">
        <f>IF(ISBLANK(Input!$BW$4),NA(),'Reaction Information'!$E$62-'Reaction Information'!$G$62*(Calculations!$O115-Calculations!$C$8)-'Reaction Information'!$N$62*(Calculations!$O115*LN(Calculations!$O115/Calculations!$C$8)-Calculations!$O115+Calculations!$C$8)-'Reaction Information'!$O$62*10^4*(((1/(Calculations!$O115-Calculations!$C$13))-(1/(Calculations!$C$8-Calculations!$C$13)))*((Calculations!$C$13-Calculations!$O115)/(Calculations!$C$13))-(Calculations!$O115/(Calculations!$C$13*Calculations!$C$13))*LN((Calculations!$C$8*(Calculations!$O115-Calculations!$C$13))/(Calculations!$O115*(Calculations!$C$8-Calculations!$C$13))))+'Reaction Information'!$J$62*10^-1*(Calculations!$M115-Calculations!$C$9)+'Reaction Information'!$K$62*10^2*LN((Calculations!$C$12+Calculations!$M115)/(Calculations!$C$12+Calculations!$C$9))+(1/(Calculations!$O115-Calculations!$C$13))*('Reaction Information'!$L$62*(Calculations!$M115-Calculations!$C$9)+'Reaction Information'!$M$62*10^4*LN((Calculations!$C$12+Calculations!$M115)/(Calculations!$C$12+Calculations!$C$9)))+calculateOmega(Calculations!M115,Calculations!N115,Calculations!Q115,'Reaction Information'!$C$62,'Reaction Information'!$P$62*10^5,'Reaction Information'!$Q$62)*((1/Calculations!$S115)-1)-'Reaction Information'!$P$62*10^5*((1/Calculations!$C$10)-1)+'Reaction Information'!$P$62*10^5*Calculations!$C$14*(Calculations!$O115-Calculations!$C$8))</f>
        <v>#N/A</v>
      </c>
      <c r="AX115" s="8" t="e">
        <f>IF(ISBLANK(Input!$BZ$4),NA(),'Reaction Information'!$E$66-'Reaction Information'!$G$66*(Calculations!$O115-Calculations!$C$8)-'Reaction Information'!$N$66*(Calculations!$O115*LN(Calculations!$O115/Calculations!$C$8)-Calculations!$O115+Calculations!$C$8)-'Reaction Information'!$O$66*10^4*(((1/(Calculations!$O115-Calculations!$C$13))-(1/(Calculations!$C$8-Calculations!$C$13)))*((Calculations!$C$13-Calculations!$O115)/(Calculations!$C$13))-(Calculations!$O115/(Calculations!$C$13*Calculations!$C$13))*LN((Calculations!$C$8*(Calculations!$O115-Calculations!$C$13))/(Calculations!$O115*(Calculations!$C$8-Calculations!$C$13))))+'Reaction Information'!$J$66*10^-1*(Calculations!$M115-Calculations!$C$9)+'Reaction Information'!$K$66*10^2*LN((Calculations!$C$12+Calculations!$M115)/(Calculations!$C$12+Calculations!$C$9))+(1/(Calculations!$O115-Calculations!$C$13))*('Reaction Information'!$L$66*(Calculations!$M115-Calculations!$C$9)+'Reaction Information'!$M$66*10^4*LN((Calculations!$C$12+Calculations!$M115)/(Calculations!$C$12+Calculations!$C$9)))+calculateOmega(Calculations!M115,Calculations!N115,Calculations!Q115,'Reaction Information'!$C$66,'Reaction Information'!$P$66*10^5,'Reaction Information'!$Q$66)*((1/Calculations!$S115)-1)-'Reaction Information'!$P$66*10^5*((1/Calculations!$C$10)-1)+'Reaction Information'!$P$66*10^5*Calculations!$C$14*(Calculations!$O115-Calculations!$C$8))</f>
        <v>#N/A</v>
      </c>
      <c r="AY115" s="31">
        <f>(AL115*Input!$AO$4+AM115*Input!$AR$4+AN115*Input!$AU$4+AO115*Input!$AX$4+IF(ISNA(AP115),0,AP115*Input!$BA$4)+IF(ISNA(AQ115),0,AQ115*Input!$BD$4)+IF(ISNA(AR115),0,AR115*Input!$BG$4)+IF(ISNA(AS115),0,AS115*Input!$BJ$4)+IF(ISNA(AT115),0,AT115*Input!$BM$4)+IF(ISNA(AU115),0,AU115*Input!$BP$4)+IF(ISNA(AV115),0,AV115*Input!$BS$4)+IF(ISNA(AW115),0,AW115*Input!$BV$4)+IF(ISNA(AX115),0,AX115*Input!$BY$4))-(Y115*Input!$B$4+Z115*Input!$E$4+AA115*Input!$H$4+AB115*Input!$K$4+IF(ISNA(AC115),0,AC115*Input!$N$4)+IF(ISNA(AD115),0,AD115*Input!$Q$4)+IF(ISNA(AE115),0,AE115*Input!$T$4)+IF(ISNA(AF115),0,AF115*Input!$W$4)+IF(ISNA(AG115),0,AG115*Input!$Z$4)+IF(ISNA(AH115),0,AH115*Input!$AC$4)+IF(ISNA(AI115),0,AI115*Input!$AF$4)+IF(ISNA(AJ115),0,AJ115*Input!$AI$4)+IF(ISNA(AK115),0,AK115*Input!$AL$4))</f>
        <v>10522.685959644048</v>
      </c>
      <c r="AZ115" s="42">
        <f t="shared" si="35"/>
        <v>-2.9764234862379997</v>
      </c>
      <c r="BA115" s="1">
        <f t="shared" si="27"/>
        <v>500</v>
      </c>
      <c r="BB115" s="46">
        <f t="shared" si="28"/>
        <v>40000</v>
      </c>
      <c r="BC115" s="1"/>
      <c r="BD115" s="2">
        <f t="shared" si="29"/>
        <v>40000</v>
      </c>
      <c r="BE115" s="46">
        <f t="shared" si="30"/>
        <v>500</v>
      </c>
      <c r="BF115" s="1">
        <f>Results!AJ117</f>
        <v>0</v>
      </c>
      <c r="BG115" s="1">
        <f>Results!AK117</f>
        <v>0</v>
      </c>
      <c r="BH115" s="1">
        <f>Results!AL117</f>
        <v>0</v>
      </c>
      <c r="BI115" s="1">
        <f>Results!AM117</f>
        <v>0</v>
      </c>
      <c r="BJ115" s="1" t="e">
        <f>IF(OR(ISNA('Reaction Information'!$D$5), $N115 = "", $D$27 = FALSE, 'Reaction Information'!$D$5 = ""), NA(), 24.465)</f>
        <v>#N/A</v>
      </c>
      <c r="BK115" s="1" t="e">
        <f>IF(OR(ISNA('Reaction Information'!$D$9), $N115 = "", $D$27 = FALSE, 'Reaction Information'!$D$9 = ""), NA(), 24.465)</f>
        <v>#N/A</v>
      </c>
      <c r="BL115" s="8">
        <f t="shared" si="36"/>
        <v>13.353748837920172</v>
      </c>
      <c r="BM115" s="8">
        <f>IF(OR(ISBLANK(Input!$X$4),$D$27=FALSE),NA(),('Reaction Information'!$J$13/10+'Reaction Information'!$K$13*100/(Calculations!$C$12+Calculations!$M115)+('Reaction Information'!$L$13+'Reaction Information'!$M$13*10^4/(Calculations!$C$12+Calculations!$M115))/(Calculations!$O115-Calculations!$C$13) -calculateOmega(Calculations!$M115,Calculations!$N115,Calculations!$Q115,'Reaction Information'!$C$13,'Reaction Information'!$P$13*10^5,'Reaction Information'!$Q$13)*Calculations!$U115*10^-6 + (1/$S115 - 1)*calculate_domegadP(Calculations!$M115,Calculations!$N115,Calculations!$Q115,'Reaction Information'!$C$13,'Reaction Information'!$P$13*10^5,'Reaction Information'!$Q$13,$D$20,$D$19=3))*41.84)</f>
        <v>30.022505518739923</v>
      </c>
      <c r="BN115" s="8" t="e">
        <f>IF(OR(ISBLANK(Input!$AA$4),$D$27=FALSE),NA(),('Reaction Information'!$J$17/10+'Reaction Information'!$K$17*100/(Calculations!$C$12+Calculations!$M115)+('Reaction Information'!$L$17+'Reaction Information'!$M$17*10000/(Calculations!$C$12+Calculations!$M115))/(Calculations!$O115-Calculations!$C$13)-calculateOmega(Calculations!M115,Calculations!N115,Calculations!Q115,'Reaction Information'!$C$17,'Reaction Information'!$P$17*10^5,'Reaction Information'!$Q$17)*Calculations!$U115*10^-6 + (1/$S115 - 1)*calculate_domegadP(Calculations!M115,Calculations!N115,Calculations!Q115,'Reaction Information'!$C$17,'Reaction Information'!$P$17*10^5,'Reaction Information'!$Q$17,$D$20,$D$19=3))*41.84)</f>
        <v>#N/A</v>
      </c>
      <c r="BO115" s="8" t="e">
        <f>IF(OR(ISBLANK(Input!$AD$4),$D$27=FALSE),NA(),('Reaction Information'!$J$21/10+'Reaction Information'!$K$21*100/(Calculations!$C$12+Calculations!$M115)+('Reaction Information'!$L$21+'Reaction Information'!$M$21*10000/(Calculations!$C$12+Calculations!$M115))/(Calculations!$O115-Calculations!$C$13)-calculateOmega(Calculations!M115,Calculations!N115,Calculations!Q115,'Reaction Information'!$C$21,'Reaction Information'!$P$21*10^5,'Reaction Information'!$Q$21)*Calculations!$U115*10^-6 + (1/$S115 - 1)*calculate_domegadP(Calculations!M115,Calculations!N115,Calculations!Q115,'Reaction Information'!$C$21,'Reaction Information'!$P$21*10^5,'Reaction Information'!$Q$21,$D$20,$D$19=3))*41.84)</f>
        <v>#N/A</v>
      </c>
      <c r="BP115" s="8" t="e">
        <f>IF(OR(ISBLANK(Input!$AG$4),$D$27=FALSE),NA(),('Reaction Information'!$J$25/10+'Reaction Information'!$K$25*100/(Calculations!$C$12+Calculations!$M115)+('Reaction Information'!$L$25+'Reaction Information'!$M$25*10000/(Calculations!$C$12+Calculations!$M115))/(Calculations!$O115-Calculations!$C$13)-calculateOmega(Calculations!M115,Calculations!N115,Calculations!Q115,'Reaction Information'!$C$25,'Reaction Information'!$P$25*10^5,'Reaction Information'!$Q$25)*Calculations!$U115*10^-6 + (1/$S115 - 1)*calculate_domegadP(Calculations!M115,Calculations!N115,Calculations!Q115,'Reaction Information'!$C$25,'Reaction Information'!$P$25*10^5,'Reaction Information'!$Q$25,$D$20,$D$19=3))*41.84)</f>
        <v>#N/A</v>
      </c>
      <c r="BQ115" s="8" t="e">
        <f>IF(OR(ISBLANK(Input!$AJ$4),$D$27=FALSE),NA(),('Reaction Information'!$J$29/10+'Reaction Information'!$K$29*100/(Calculations!$C$12+Calculations!$M115)+('Reaction Information'!$L$29+'Reaction Information'!$M$29*10000/(Calculations!$C$12+Calculations!$M115))/(Calculations!$O115-Calculations!$C$13)-calculateOmega(Calculations!M115,Calculations!N115,Calculations!Q115,'Reaction Information'!$C$29,'Reaction Information'!$P$29*10^5,'Reaction Information'!$Q$29)*Calculations!$U115*10^-6 + (1/$S115 - 1)*calculate_domegadP(Calculations!M115,Calculations!N115,Calculations!Q115,'Reaction Information'!$C$29,'Reaction Information'!$P$29*10^5,'Reaction Information'!$Q$29,$D$20,$D$19=3))*41.84)</f>
        <v>#N/A</v>
      </c>
      <c r="BR115" s="8" t="e">
        <f>IF(OR(ISBLANK(Input!$AM$4),$D$27=FALSE),NA(),('Reaction Information'!$J$33/10+'Reaction Information'!$K$33*100/(Calculations!$C$12+Calculations!$M115)+('Reaction Information'!$L$33+'Reaction Information'!$M$33*10000/(Calculations!$C$12+Calculations!$M115))/(Calculations!$O115-Calculations!$C$13)-calculateOmega(Calculations!M115,Calculations!N115,Calculations!Q115,'Reaction Information'!$C$33,'Reaction Information'!$P$33*10^5,'Reaction Information'!$Q$33)*Calculations!$U115*10^-6 + (1/$S115 - 1)*calculate_domegadP(Calculations!M115,Calculations!N115,Calculations!Q115,'Reaction Information'!$C$33,'Reaction Information'!$P$33*10^5,'Reaction Information'!$Q$33,$D$20,$D$19=3))*41.84)</f>
        <v>#N/A</v>
      </c>
      <c r="BS115" s="1">
        <f>Results!AW117</f>
        <v>0</v>
      </c>
      <c r="BT115" s="1">
        <f>Results!AX117</f>
        <v>0</v>
      </c>
      <c r="BU115" s="1">
        <f>Results!AY117</f>
        <v>0</v>
      </c>
      <c r="BV115" s="1">
        <f>Results!AZ117</f>
        <v>0</v>
      </c>
      <c r="BW115" s="1" t="e">
        <f>IF(OR(ISNA('Reaction Information'!$D$38), $N115 = "", $D$27 = FALSE, 'Reaction Information'!$D$38 = ""), NA(), 24.465)</f>
        <v>#N/A</v>
      </c>
      <c r="BX115" s="1" t="e">
        <f>IF(OR(ISNA('Reaction Information'!$D$42), $N115 = "", $D$27 = FALSE, 'Reaction Information'!$D$42 = ""), NA(), 24.465)</f>
        <v>#N/A</v>
      </c>
      <c r="BY115" s="8" t="e">
        <f t="shared" si="37"/>
        <v>#N/A</v>
      </c>
      <c r="BZ115" s="8">
        <f>IF(OR(ISBLANK(Input!$BK$4),$D$27=FALSE),NA(),('Reaction Information'!$J$46/10+'Reaction Information'!$K$46*100/(Calculations!$C$12+Calculations!$M115)+('Reaction Information'!$L$46+'Reaction Information'!$M$46*10000/(Calculations!$C$12+Calculations!$M115))/(Calculations!$O115-Calculations!$C$13)-calculateOmega(Calculations!M115,Calculations!N115,Calculations!Q115,'Reaction Information'!$C$46,'Reaction Information'!$P$46*10^5,'Reaction Information'!$Q$46)*Calculations!$U115*10^-6 + (1/$S115 - 1)*calculate_domegadP(Calculations!M115,Calculations!N115,Calculations!Q115,'Reaction Information'!$C$46,'Reaction Information'!$P$46*10^5,'Reaction Information'!$Q$46,$D$20,$D$19=3))*41.84)</f>
        <v>0</v>
      </c>
      <c r="CA115" s="8">
        <f>IF(OR(ISBLANK(Input!$BN$4),$D$27=FALSE),NA(),('Reaction Information'!$J$50/10+'Reaction Information'!$K$50*100/(Calculations!$C$12+Calculations!$M115)+('Reaction Information'!$L$50+'Reaction Information'!$M$50*10000/(Calculations!$C$12+Calculations!$M115))/(Calculations!$O115-Calculations!$C$13)-calculateOmega(Calculations!M115,Calculations!N115,Calculations!Q115,'Reaction Information'!$C$50,'Reaction Information'!$P$50*10^5,'Reaction Information'!$Q$50)*Calculations!$U115*10^-6 + (1/$S115 - 1)*calculate_domegadP(Calculations!M115,Calculations!N115,Calculations!Q115,'Reaction Information'!$C$50,'Reaction Information'!$P$50*10^5,'Reaction Information'!$Q$50,$D$20,$D$19=3))*41.84)</f>
        <v>31.312581949560045</v>
      </c>
      <c r="CB115" s="8" t="e">
        <f>IF(OR(ISBLANK(Input!$BQ$4),$D$27=FALSE),NA(),('Reaction Information'!$J$54/10+'Reaction Information'!$K$54*100/(Calculations!$C$12+Calculations!$M115)+('Reaction Information'!$L$54+'Reaction Information'!$M$54*10000/(Calculations!$C$12+Calculations!$M115))/(Calculations!$O115-Calculations!$C$13)-calculateOmega(Calculations!M115,Calculations!N115,Calculations!Q115,'Reaction Information'!$C$54,'Reaction Information'!$P$54*10^5,'Reaction Information'!$Q$54)*Calculations!$U115*10^-6 + (1/$S115 - 1)*calculate_domegadP(Calculations!M115,Calculations!N115,Calculations!Q115,'Reaction Information'!$C$54,'Reaction Information'!$P$54*10^5,'Reaction Information'!$Q$54,$D$20,$D$19=3))*41.84)</f>
        <v>#N/A</v>
      </c>
      <c r="CC115" s="8" t="e">
        <f>IF(OR(ISBLANK(Input!$BT$4),$D$27=FALSE),NA(),('Reaction Information'!$J$58/10+'Reaction Information'!$K$58*100/(Calculations!$C$12+Calculations!$M115)+('Reaction Information'!$L$58+'Reaction Information'!$M$58*10000/(Calculations!$C$12+Calculations!$M115))/(Calculations!$O115-Calculations!$C$13)-calculateOmega(Calculations!M115,Calculations!N115,Calculations!Q115,'Reaction Information'!$C$58,'Reaction Information'!$P$58*10^5,'Reaction Information'!$Q$58)*Calculations!$U115*10^-6 + (1/$S115 - 1)*calculate_domegadP(Calculations!M115,Calculations!N115,Calculations!Q115,'Reaction Information'!$C$58,'Reaction Information'!$P$58*10^5,'Reaction Information'!$Q$58,$D$20,$D$19=3))*41.84)</f>
        <v>#N/A</v>
      </c>
      <c r="CD115" s="8" t="e">
        <f>IF(OR(ISBLANK(Input!$BW$4),$D$27=FALSE),NA(),('Reaction Information'!$J$62/10+'Reaction Information'!$K$62*100/(Calculations!$C$12+Calculations!$M115)+('Reaction Information'!$L$62+'Reaction Information'!$M$62*10000/(Calculations!$C$12+Calculations!$M115))/(Calculations!$O115-Calculations!$C$13)-calculateOmega(Calculations!M115,Calculations!N115,Calculations!Q115,'Reaction Information'!$C$62,'Reaction Information'!$P$62*10^5,'Reaction Information'!$Q$62)*Calculations!$U115*10^-6 + (1/$S115 - 1)*calculate_domegadP(Calculations!M115,Calculations!N115,Calculations!Q115,'Reaction Information'!$C$62,'Reaction Information'!$P$62*10^5,'Reaction Information'!$Q$62,$D$20,$D$19=3))*41.84)</f>
        <v>#N/A</v>
      </c>
      <c r="CE115" s="8" t="e">
        <f>IF(OR(ISBLANK(Input!$BZ$4),$D$27=FALSE),NA(),('Reaction Information'!$J$66/10+'Reaction Information'!$K$66*100/(Calculations!$C$12+Calculations!$M115)+('Reaction Information'!$L$66+'Reaction Information'!$M$66*10000/(Calculations!$C$12+Calculations!$M115))/(Calculations!$O115-Calculations!$C$13)-calculateOmega(Calculations!M115,Calculations!N115,Calculations!Q115,'Reaction Information'!$C$66,'Reaction Information'!$P$66*10^5,'Reaction Information'!$Q$66)*Calculations!$U115*10^-6 + (1/$S115 - 1)*calculate_domegadP(Calculations!M115,Calculations!N115,Calculations!Q115,'Reaction Information'!$C$66,'Reaction Information'!$P$66*10^5,'Reaction Information'!$Q$66,$D$20,$D$19=3))*41.84)</f>
        <v>#N/A</v>
      </c>
      <c r="CF115" s="31">
        <f>(BS115*Input!$AO$4+BT115*Input!$AR$4+BU115*Input!$AU$4+BV115*Input!$AX$4+IF(ISNA(BW115),0,BW115*Input!$BA$4)+IF(ISNA(BX115),0,BX115*Input!$BD$4)+IF(ISNA(BY115),0,BY115*Input!$BG$4)+IF(ISNA(BZ115),0,BZ115*Input!$BJ$4)+IF(ISNA(CA115),0,CA115*Input!$BM$4)+IF(ISNA(CB115),0,CB115*Input!$BP$4)+IF(ISNA(CC115),0,CC115*Input!$BS$4)+IF(ISNA(CD115),0,CD115*Input!$BV$4)+IF(ISNA(CE115),0,CE115*Input!$BY$4))-(BF115*Input!$B$4+BG115*Input!$E$4+BH115*Input!$H$4+BI115*Input!$K$4+IF(ISNA(BJ115),0,BJ115*Input!$N$4)+IF(ISNA(BK115),0,BK115*Input!$Q$4)+IF(ISNA(BL115),0,BL115*Input!$T$4)+IF(ISNA(BM115),0,BM115*Input!$W$4)+IF(ISNA(BN115),0,BN115*Input!$Z$4)+IF(ISNA(BO115),0,BO115*Input!$AC$4)+IF(ISNA(BP115),0,BP115*Input!$AF$4)+IF(ISNA(BQ115),0,BQ115*Input!$AI$4)+IF(ISNA(BR115),0,BR115*Input!$AL$4))</f>
        <v>-12.063672407100054</v>
      </c>
      <c r="CG115" s="1">
        <f t="shared" si="31"/>
        <v>500</v>
      </c>
      <c r="CH115" s="46">
        <f t="shared" si="32"/>
        <v>40000</v>
      </c>
      <c r="CI115" s="1"/>
    </row>
    <row r="116" spans="1:87" x14ac:dyDescent="0.2">
      <c r="A116" s="1"/>
      <c r="B116" s="1"/>
      <c r="C116" s="1"/>
      <c r="D116" s="1"/>
      <c r="E116" s="1"/>
      <c r="F116" s="2">
        <v>111</v>
      </c>
      <c r="G116" s="1" t="str">
        <f>IF(ISBLANK(Input!CB116), "", Input!CB116*1000)</f>
        <v/>
      </c>
      <c r="H116" s="1" t="str">
        <f>IF(ISBLANK(Input!CC116), "", Input!CC116)</f>
        <v/>
      </c>
      <c r="I116" s="1">
        <f>IF(Input!$CF$5 + Input!$CF$6*(FLOOR((Calculations!$F116-1)/(FLOOR((Input!$CF$12-Input!$CF$10)/Input!$CF$11,1)+1),1)) &gt; Input!$CF$7, "", (Input!$CF$5 + Input!$CF$6*(FLOOR((Calculations!$F116-1)/(FLOOR((Input!$CF$12-Input!$CF$10)/Input!$CF$11,1)+1),1)))*1000)</f>
        <v>40000</v>
      </c>
      <c r="J116" s="1">
        <f>IF(Calculations!I116 = "", "", Input!$CF$10 + Input!$CF$11*(Calculations!$F116-1) - (FLOOR((Input!$CF$12-Input!$CF$10)/Input!$CF$11,1)+1)*Input!$CF$11*FLOOR((Calculations!$F116-1)/(FLOOR((Input!$CF$12-Input!$CF$10)/Input!$CF$11,1)+1),1))</f>
        <v>550</v>
      </c>
      <c r="K116" s="8" t="str">
        <f t="shared" si="33"/>
        <v/>
      </c>
      <c r="L116" s="117" t="str">
        <f>IF(OR(Input!$CJ$5 + Input!$CJ$6*(Calculations!F116-1) &gt; Input!$CJ$7, Input!$CJ$5 + Input!$CJ$6*(Calculations!F116-1) &gt; 350), "", Input!$CJ$5 + Input!$CJ$6*(Calculations!F116-1))</f>
        <v/>
      </c>
      <c r="M116" s="1">
        <f t="shared" si="23"/>
        <v>40000</v>
      </c>
      <c r="N116" s="1">
        <f t="shared" si="24"/>
        <v>550</v>
      </c>
      <c r="O116" s="1">
        <f t="shared" si="34"/>
        <v>823.15</v>
      </c>
      <c r="P116" s="1" t="e">
        <f>IF(OR($D$20=3,AND($D$21=TRUE,M116&lt;1000)),INDEX('Water Density'!$C$6:$CX$120,MATCH(Calculations!N116,'Water Density'!$B$6:$B$120),MATCH(Calculations!M116/1000,'Water Density'!$C$5:$CX$5)),NA())</f>
        <v>#N/A</v>
      </c>
      <c r="Q116" s="182">
        <f>IF(OR($D$20=3,AND($D$21=TRUE,M116&lt;1000)), IF(P116&lt;&gt;0,P116,NA()), calculateDensity(M116,N116,$D$20,0.01,$D$19 = 3))</f>
        <v>1.3346079414159062</v>
      </c>
      <c r="R116" s="1" t="e">
        <f>IF($D$22=5,INDEX('Dielectric Constant'!$C$6:$CX$120,MATCH(Calculations!N116,'Dielectric Constant'!$B$6:$B$120),MATCH(Calculations!M116/1000,'Dielectric Constant'!$C$5:$CX$5)),NA())</f>
        <v>#N/A</v>
      </c>
      <c r="S116" s="58">
        <f>IF($D$22=5, IF(R116&lt;&gt;0,R116,NA()), IF(AND($D$23,M116&lt;=5000,$D$19 &lt;&gt; 3),calculateEpsilon(Q116,N116,1,FALSE),calculateEpsilon(Q116,N116,$D$22,$D$19 = 3)))</f>
        <v>33.817457494055951</v>
      </c>
      <c r="T116" s="1" t="e">
        <f>IF($D$24=3,INDEX('Water Free Energy'!$C$6:$CX$120,MATCH(Calculations!N116,'Water Free Energy'!$B$6:$B$120),MATCH(Calculations!M116/1000,'Water Free Energy'!$C$5:$CX$5)),NA())</f>
        <v>#N/A</v>
      </c>
      <c r="U116" s="179">
        <f>IF($D$27,calculateQ(M116,N116,Q116,$D$20,$D$22,$D$19=3)*10^6,NA())</f>
        <v>0.15952208242565269</v>
      </c>
      <c r="V116"/>
      <c r="W116" s="2">
        <f t="shared" si="25"/>
        <v>40000</v>
      </c>
      <c r="X116" s="1">
        <f t="shared" si="26"/>
        <v>550</v>
      </c>
      <c r="Y116" s="1">
        <f>Results!F118</f>
        <v>0</v>
      </c>
      <c r="Z116" s="1">
        <f>Results!G118</f>
        <v>0</v>
      </c>
      <c r="AA116" s="1">
        <f>Results!H118</f>
        <v>0</v>
      </c>
      <c r="AB116" s="1">
        <f>Results!I118</f>
        <v>0</v>
      </c>
      <c r="AC116" s="1" t="e">
        <f>IF(ISBLANK(Input!$O$4),NA(),'Reaction Information'!$E$5-'Reaction Information'!$G$5*(Calculations!$O116-Calculations!$C$8)+'Reaction Information'!$I$5*(Calculations!$O116-Calculations!$C$8-Calculations!$O116*LN(Calculations!$O116/Calculations!$C$8))+'Reaction Information'!$J$5*0.001/2*(2*Calculations!$O116*Calculations!$C$8-Calculations!$O116^2-Calculations!$C$8^2) + 'Reaction Information'!$K$5*100000*(Calculations!$O116^2 + Calculations!$C$8^2 - 2*Calculations!$O116*Calculations!$C$8)/(2*Calculations!$O116*Calculations!$C$8^2))</f>
        <v>#N/A</v>
      </c>
      <c r="AD116" s="8" t="e">
        <f>IF(ISBLANK(Input!$R$4),NA(),'Reaction Information'!$E$9-'Reaction Information'!$G$9*(Calculations!$O116-Calculations!$C$8)+'Reaction Information'!$I$9*(Calculations!$O116-Calculations!$C$8-Calculations!$O116*LN(Calculations!$O116/Calculations!$C$8))+'Reaction Information'!$J$9*0.001/2*(2*Calculations!$O116*Calculations!$C$8-Calculations!$O116^2-Calculations!$C$8^2) + 'Reaction Information'!$K$9*100000*(Calculations!$O116^2 + Calculations!$C$8^2 - 2*Calculations!$O116*Calculations!$C$8)/(2*Calculations!$O116*Calculations!$C$8^2))</f>
        <v>#N/A</v>
      </c>
      <c r="AE116" s="8">
        <f>IF(AE$5="H2O",IF($D$24=3,IF(T116=0,NA(),T116),calculateGibbsOfWater(M116,N116,$D$24,$D$20,$D$19=3)),NA())</f>
        <v>-54773.809264514566</v>
      </c>
      <c r="AF116" s="8">
        <f>IF(ISBLANK(Input!$X$4),NA(),'Reaction Information'!$E$13-'Reaction Information'!$G$13*(Calculations!O116-Calculations!$C$8)-'Reaction Information'!$N$13*(Calculations!O116*LN(Calculations!O116/Calculations!$C$8)-Calculations!O116+Calculations!$C$8)-'Reaction Information'!$O$13*10^4*(((1/(Calculations!O116-Calculations!$C$13))-(1/(Calculations!$C$8-Calculations!$C$13)))*((Calculations!$C$13-Calculations!O116)/(Calculations!$C$13))-(Calculations!O116/(Calculations!$C$13*Calculations!$C$13))*LN((Calculations!$C$8*(Calculations!O116-Calculations!$C$13))/(Calculations!O116*(Calculations!$C$8-Calculations!$C$13))))+'Reaction Information'!$J$13*10^-1*(Calculations!M116-Calculations!$C$9)+'Reaction Information'!$K$13*10^2*LN((Calculations!$C$12+Calculations!M116)/(Calculations!$C$12+Calculations!$C$9))+(1/(Calculations!O116-Calculations!$C$13))*('Reaction Information'!$L$13*(Calculations!M116-Calculations!$C$9)+'Reaction Information'!$M$13*10^4*LN((Calculations!$C$12+Calculations!M116)/(Calculations!$C$12+Calculations!$C$9)))+calculateOmega(Calculations!M116,Calculations!N116,Calculations!Q116,'Reaction Information'!$C$13,'Reaction Information'!$P$13*10^5,'Reaction Information'!$Q$13)*((1/Calculations!S116)-1)-'Reaction Information'!$P$13*10^5*((1/Calculations!$C$10)-1)+'Reaction Information'!$P$13*10^5*Calculations!$C$14*(Calculations!O116-Calculations!$C$8))</f>
        <v>-84107.490942224671</v>
      </c>
      <c r="AG116" s="8" t="e">
        <f>IF(ISBLANK(Input!$AA$4),NA(),'Reaction Information'!$E$17-'Reaction Information'!$G$17*(Calculations!$O116-Calculations!$C$8)-'Reaction Information'!$N$17*(Calculations!$O116*LN(Calculations!$O116/Calculations!$C$8)-Calculations!$O116+Calculations!$C$8)-'Reaction Information'!$O$17*10^4*(((1/(Calculations!$O116-Calculations!$C$13))-(1/(Calculations!$C$8-Calculations!$C$13)))*((Calculations!$C$13-Calculations!$O116)/(Calculations!$C$13))-(Calculations!$O116/(Calculations!$C$13*Calculations!$C$13))*LN((Calculations!$C$8*(Calculations!$O116-Calculations!$C$13))/(Calculations!$O116*(Calculations!$C$8-Calculations!$C$13))))+'Reaction Information'!$J$17*10^-1*(Calculations!$M116-Calculations!$C$9)+'Reaction Information'!$K$17*10^2*LN((Calculations!$C$12+Calculations!$M116)/(Calculations!$C$12+Calculations!$C$9))+(1/(Calculations!$O116-Calculations!$C$13))*('Reaction Information'!$L$17*(Calculations!$M116-Calculations!$C$9)+'Reaction Information'!$M$17*10^4*LN((Calculations!$C$12+Calculations!$M116)/(Calculations!$C$12+Calculations!$C$9)))+calculateOmega(Calculations!M116,Calculations!N116,Calculations!Q116,'Reaction Information'!$C$17,'Reaction Information'!$P$17*10^5,'Reaction Information'!$Q$17)*((1/Calculations!$S116)-1)-'Reaction Information'!$P$17*10^5*((1/Calculations!$C$10)-1)+'Reaction Information'!$P$17*10^5*Calculations!$C$14*(Calculations!$O116-Calculations!$C$8))</f>
        <v>#N/A</v>
      </c>
      <c r="AH116" s="8" t="e">
        <f>IF(ISBLANK(Input!$AD$4),NA(),'Reaction Information'!$E$21-'Reaction Information'!$G$21*(Calculations!$O116-Calculations!$C$8)-'Reaction Information'!$N$21*(Calculations!$O116*LN(Calculations!$O116/Calculations!$C$8)-Calculations!$O116+Calculations!$C$8)-'Reaction Information'!$O$21*10^4*(((1/(Calculations!$O116-Calculations!$C$13))-(1/(Calculations!$C$8-Calculations!$C$13)))*((Calculations!$C$13-Calculations!$O116)/(Calculations!$C$13))-(Calculations!$O116/(Calculations!$C$13*Calculations!$C$13))*LN((Calculations!$C$8*(Calculations!$O116-Calculations!$C$13))/(Calculations!$O116*(Calculations!$C$8-Calculations!$C$13))))+'Reaction Information'!$J$21*10^-1*(Calculations!$M116-Calculations!$C$9)+'Reaction Information'!$K$21*10^2*LN((Calculations!$C$12+Calculations!$M116)/(Calculations!$C$12+Calculations!$C$9))+(1/(Calculations!$O116-Calculations!$C$13))*('Reaction Information'!$L$21*(Calculations!$M116-Calculations!$C$9)+'Reaction Information'!$M$21*10^4*LN((Calculations!$C$12+Calculations!$M116)/(Calculations!$C$12+Calculations!$C$9)))+calculateOmega(Calculations!M116,Calculations!N116,Calculations!Q116,'Reaction Information'!$C$21,'Reaction Information'!$P$21*10^5,'Reaction Information'!$Q$21)*((1/Calculations!$S116)-1)-'Reaction Information'!$P$21*10^5*((1/Calculations!$C$10)-1)+'Reaction Information'!$P$21*10^5*Calculations!$C$14*(Calculations!$O116-Calculations!$C$8))</f>
        <v>#N/A</v>
      </c>
      <c r="AI116" s="8" t="e">
        <f>IF(ISBLANK(Input!$AG$4),NA(),'Reaction Information'!$E$25-'Reaction Information'!$G$25*(Calculations!$O116-Calculations!$C$8)-'Reaction Information'!$N$25*(Calculations!$O116*LN(Calculations!$O116/Calculations!$C$8)-Calculations!$O116+Calculations!$C$8)-'Reaction Information'!$O$25*10^4*(((1/(Calculations!$O116-Calculations!$C$13))-(1/(Calculations!$C$8-Calculations!$C$13)))*((Calculations!$C$13-Calculations!$O116)/(Calculations!$C$13))-(Calculations!$O116/(Calculations!$C$13*Calculations!$C$13))*LN((Calculations!$C$8*(Calculations!$O116-Calculations!$C$13))/(Calculations!$O116*(Calculations!$C$8-Calculations!$C$13))))+'Reaction Information'!$J$25*10^-1*(Calculations!$M116-Calculations!$C$9)+'Reaction Information'!$K$25*10^2*LN((Calculations!$C$12+Calculations!$M116)/(Calculations!$C$12+Calculations!$C$9))+(1/(Calculations!$O116-Calculations!$C$13))*('Reaction Information'!$L$25*(Calculations!$M116-Calculations!$C$9)+'Reaction Information'!$M$25*10^4*LN((Calculations!$C$12+Calculations!$M116)/(Calculations!$C$12+Calculations!$C$9)))+calculateOmega(Calculations!M116,Calculations!N116,Calculations!Q116,'Reaction Information'!$C$25,'Reaction Information'!$P$25*10^5,'Reaction Information'!$Q$25)*((1/Calculations!$S116)-1)-'Reaction Information'!$P$25*10^5*((1/Calculations!$C$10)-1)+'Reaction Information'!$P$25*10^5*Calculations!$C$14*(Calculations!$O116-Calculations!$C$8))</f>
        <v>#N/A</v>
      </c>
      <c r="AJ116" s="8" t="e">
        <f>IF(ISBLANK(Input!$AJ$4),NA(),'Reaction Information'!$E$29-'Reaction Information'!$G$29*(Calculations!$O116-Calculations!$C$8)-'Reaction Information'!$N$29*(Calculations!$O116*LN(Calculations!$O116/Calculations!$C$8)-Calculations!$O116+Calculations!$C$8)-'Reaction Information'!$O$29*10^4*(((1/(Calculations!$O116-Calculations!$C$13))-(1/(Calculations!$C$8-Calculations!$C$13)))*((Calculations!$C$13-Calculations!$O116)/(Calculations!$C$13))-(Calculations!$O116/(Calculations!$C$13*Calculations!$C$13))*LN((Calculations!$C$8*(Calculations!$O116-Calculations!$C$13))/(Calculations!$O116*(Calculations!$C$8-Calculations!$C$13))))+'Reaction Information'!$J$29*10^-1*(Calculations!$M116-Calculations!$C$9)+'Reaction Information'!$K$29*10^2*LN((Calculations!$C$12+Calculations!$M116)/(Calculations!$C$12+Calculations!$C$9))+(1/(Calculations!$O116-Calculations!$C$13))*('Reaction Information'!$L$29*(Calculations!$M116-Calculations!$C$9)+'Reaction Information'!$M$29*10^4*LN((Calculations!$C$12+Calculations!$M116)/(Calculations!$C$12+Calculations!$C$9)))+calculateOmega(Calculations!M116,Calculations!N116,Calculations!Q116,'Reaction Information'!$C$29,'Reaction Information'!$P$29*10^5,'Reaction Information'!$Q$29)*((1/Calculations!$S116)-1)-'Reaction Information'!$P$29*10^5*((1/Calculations!$C$10)-1)+'Reaction Information'!$P$29*10^5*Calculations!$C$14*(Calculations!$O116-Calculations!$C$8))</f>
        <v>#N/A</v>
      </c>
      <c r="AK116" s="8" t="e">
        <f>IF(ISBLANK(Input!$AM$4),NA(),'Reaction Information'!$E$33-'Reaction Information'!$G$33*(Calculations!$O116-Calculations!$C$8)-'Reaction Information'!$N$33*(Calculations!$O116*LN(Calculations!$O116/Calculations!$C$8)-Calculations!$O116+Calculations!$C$8)-'Reaction Information'!$O$33*10^4*(((1/(Calculations!$O116-Calculations!$C$13))-(1/(Calculations!$C$8-Calculations!$C$13)))*((Calculations!$C$13-Calculations!$O116)/(Calculations!$C$13))-(Calculations!$O116/(Calculations!$C$13*Calculations!$C$13))*LN((Calculations!$C$8*(Calculations!$O116-Calculations!$C$13))/(Calculations!$O116*(Calculations!$C$8-Calculations!$C$13))))+'Reaction Information'!$J$33*10^-1*(Calculations!$M116-Calculations!$C$9)+'Reaction Information'!$K$33*10^2*LN((Calculations!$C$12+Calculations!$M116)/(Calculations!$C$12+Calculations!$C$9))+(1/(Calculations!$O116-Calculations!$C$13))*('Reaction Information'!$L$33*(Calculations!$M116-Calculations!$C$9)+'Reaction Information'!$M$33*10^4*LN((Calculations!$C$12+Calculations!$M116)/(Calculations!$C$12+Calculations!$C$9)))+calculateOmega(Calculations!M116,Calculations!N116,Calculations!Q116,'Reaction Information'!$C$33,'Reaction Information'!$P$33*10^5,'Reaction Information'!$Q$33)*((1/Calculations!$S116)-1)-'Reaction Information'!$P$33*10^5*((1/Calculations!$C$10)-1)+'Reaction Information'!$P$33*10^5*Calculations!$C$14*(Calculations!$O116-Calculations!$C$8))</f>
        <v>#N/A</v>
      </c>
      <c r="AL116" s="1">
        <f>Results!S118</f>
        <v>0</v>
      </c>
      <c r="AM116" s="1">
        <f>Results!T118</f>
        <v>0</v>
      </c>
      <c r="AN116" s="1">
        <f>Results!U118</f>
        <v>0</v>
      </c>
      <c r="AO116" s="1">
        <f>Results!V118</f>
        <v>0</v>
      </c>
      <c r="AP116" s="8" t="e">
        <f>IF(ISBLANK(Input!$BB$4),NA(),'Reaction Information'!$E$38-'Reaction Information'!$G$38*(Calculations!$O116-Calculations!$C$8)+'Reaction Information'!$I$38*(Calculations!$O116-Calculations!$C$8-Calculations!$O116*LN(Calculations!$O116/Calculations!$C$8))+'Reaction Information'!$J$38*0.001/2*(2*Calculations!$O116*Calculations!$C$8-Calculations!$O116^2-Calculations!$C$8^2) + 'Reaction Information'!$K$38*100000*(Calculations!$O116^2 + Calculations!$C$8^2 - 2*Calculations!$O116*Calculations!$C$8)/(2*Calculations!$O116*Calculations!$C$8^2))</f>
        <v>#N/A</v>
      </c>
      <c r="AQ116" s="8" t="e">
        <f>IF(ISBLANK(Input!$BE$4),NA(),'Reaction Information'!$E$42-'Reaction Information'!$G$42*(Calculations!$O116-Calculations!$C$8)+'Reaction Information'!$I$42*(Calculations!$O116-Calculations!$C$8-Calculations!$O116*LN(Calculations!$O116/Calculations!$C$8))+'Reaction Information'!$J$42*0.001/2*(2*Calculations!$O116*Calculations!$C$8-Calculations!$O116^2-Calculations!$C$8^2) + 'Reaction Information'!$K$42*100000*(Calculations!$O116^2 + Calculations!$C$8^2 - 2*Calculations!$O116*Calculations!$C$8)/(2*Calculations!$O116*Calculations!$C$8^2))</f>
        <v>#N/A</v>
      </c>
      <c r="AR116" s="8" t="e">
        <f>IF(AR$5="H2O", IF($D$24=3,IF(T116=0,NA(),T116),calculateGibbsOfWater(M116,N116,$D$24,$D$20,$D$19=3)),NA())</f>
        <v>#N/A</v>
      </c>
      <c r="AS116" s="8">
        <f>IF(ISBLANK(Input!$BK$4),NA(),'Reaction Information'!$E$46-'Reaction Information'!$G$46*(Calculations!O116-Calculations!$C$8)-'Reaction Information'!$N$46*(Calculations!O116*LN(Calculations!O116/Calculations!$C$8)-Calculations!O116+Calculations!$C$8)-'Reaction Information'!$O$46*10^4*(((1/(Calculations!O116-Calculations!$C$13))-(1/(Calculations!$C$8-Calculations!$C$13)))*((Calculations!$C$13-Calculations!O116)/(Calculations!$C$13))-(Calculations!O116/(Calculations!$C$13*Calculations!$C$13))*LN((Calculations!$C$8*(Calculations!O116-Calculations!$C$13))/(Calculations!O116*(Calculations!$C$8-Calculations!$C$13))))+'Reaction Information'!$J$46*10^-1*(Calculations!$M116-Calculations!$C$9)+'Reaction Information'!$K$46*10^2*LN((Calculations!$C$12+Calculations!$M116)/(Calculations!$C$12+Calculations!$C$9))+(1/(Calculations!O116-Calculations!$C$13))*('Reaction Information'!$L$46*(Calculations!$M116-Calculations!$C$9)+'Reaction Information'!$M$46*10^4*LN((Calculations!$C$12+Calculations!$M116)/(Calculations!$C$12+Calculations!$C$9)))+calculateOmega(Calculations!M116,Calculations!N116,Calculations!Q116,'Reaction Information'!$C$46,'Reaction Information'!$P$46*10^5,'Reaction Information'!$Q$46)*((1/Calculations!S116)-1)-'Reaction Information'!$P$46*10^5*((1/Calculations!$C$10)-1)+'Reaction Information'!$P$46*10^5*Calculations!$C$14*(Calculations!O116-Calculations!$C$8))</f>
        <v>0</v>
      </c>
      <c r="AT116" s="8">
        <f>IF(ISBLANK(Input!$BN$4),NA(),'Reaction Information'!$E$50-'Reaction Information'!$G$50*(Calculations!O116-Calculations!$C$8)-'Reaction Information'!$N$50*(Calculations!O116*LN(Calculations!O116/Calculations!$C$8)-Calculations!O116+Calculations!$C$8)-'Reaction Information'!$O$50*10^4*(((1/(Calculations!O116-Calculations!$C$13))-(1/(Calculations!$C$8-Calculations!$C$13)))*((Calculations!$C$13-Calculations!O116)/(Calculations!$C$13))-(Calculations!O116/(Calculations!$C$13*Calculations!$C$13))*LN((Calculations!$C$8*(Calculations!O116-Calculations!$C$13))/(Calculations!O116*(Calculations!$C$8-Calculations!$C$13))))+'Reaction Information'!$J$50*10^-1*(Calculations!$M116-Calculations!$C$9)+'Reaction Information'!$K$50*10^2*LN((Calculations!$C$12+Calculations!$M116)/(Calculations!$C$12+Calculations!$C$9))+(1/(Calculations!O116-Calculations!$C$13))*('Reaction Information'!$L$50*(Calculations!$M116-Calculations!$C$9)+'Reaction Information'!$M$50*10^4*LN((Calculations!$C$12+Calculations!$M116)/(Calculations!$C$12+Calculations!$C$9)))+calculateOmega(Calculations!M116,Calculations!N116,Calculations!Q116,'Reaction Information'!$C$50,'Reaction Information'!$P$50*10^5,'Reaction Information'!$Q$50)*((1/Calculations!S116)-1)-'Reaction Information'!$P$50*10^5*((1/Calculations!$C$10)-1)+'Reaction Information'!$P$50*10^5*Calculations!$C$14*(Calculations!O116-Calculations!$C$8))</f>
        <v>-126453.23996663567</v>
      </c>
      <c r="AU116" s="8" t="e">
        <f>IF(ISBLANK(Input!$BQ$4),NA(),'Reaction Information'!$E$54-'Reaction Information'!$G$54*(Calculations!$O116-Calculations!$C$8)-'Reaction Information'!$N$54*(Calculations!$O116*LN(Calculations!$O116/Calculations!$C$8)-Calculations!$O116+Calculations!$C$8)-'Reaction Information'!$O$54*10^4*(((1/(Calculations!$O116-Calculations!$C$13))-(1/(Calculations!$C$8-Calculations!$C$13)))*((Calculations!$C$13-Calculations!$O116)/(Calculations!$C$13))-(Calculations!$O116/(Calculations!$C$13*Calculations!$C$13))*LN((Calculations!$C$8*(Calculations!$O116-Calculations!$C$13))/(Calculations!$O116*(Calculations!$C$8-Calculations!$C$13))))+'Reaction Information'!$J$54*10^-1*(Calculations!$M116-Calculations!$C$9)+'Reaction Information'!$K$54*10^2*LN((Calculations!$C$12+Calculations!$M116)/(Calculations!$C$12+Calculations!$C$9))+(1/(Calculations!$O116-Calculations!$C$13))*('Reaction Information'!$L$54*(Calculations!$M116-Calculations!$C$9)+'Reaction Information'!$M$54*10^4*LN((Calculations!$C$12+Calculations!$M116)/(Calculations!$C$12+Calculations!$C$9)))+calculateOmega(Calculations!M116,Calculations!N116,Calculations!Q116,'Reaction Information'!$C$54,'Reaction Information'!$P$54*10^5,'Reaction Information'!$Q$54)*((1/Calculations!$S116)-1)-'Reaction Information'!$P$54*10^5*((1/Calculations!$C$10)-1)+'Reaction Information'!$P$54*10^5*Calculations!$C$14*(Calculations!$O116-Calculations!$C$8))</f>
        <v>#N/A</v>
      </c>
      <c r="AV116" s="8" t="e">
        <f>IF(ISBLANK(Input!$BT$4),NA(),'Reaction Information'!$E$58-'Reaction Information'!$G$58*(Calculations!$O116-Calculations!$C$8)-'Reaction Information'!$N$58*(Calculations!$O116*LN(Calculations!$O116/Calculations!$C$8)-Calculations!$O116+Calculations!$C$8)-'Reaction Information'!$O$58*10^4*(((1/(Calculations!$O116-Calculations!$C$13))-(1/(Calculations!$C$8-Calculations!$C$13)))*((Calculations!$C$13-Calculations!$O116)/(Calculations!$C$13))-(Calculations!$O116/(Calculations!$C$13*Calculations!$C$13))*LN((Calculations!$C$8*(Calculations!$O116-Calculations!$C$13))/(Calculations!$O116*(Calculations!$C$8-Calculations!$C$13))))+'Reaction Information'!$J$58*10^-1*(Calculations!$M116-Calculations!$C$9)+'Reaction Information'!$K$58*10^2*LN((Calculations!$C$12+Calculations!$M116)/(Calculations!$C$12+Calculations!$C$9))+(1/(Calculations!$O116-Calculations!$C$13))*('Reaction Information'!$L$58*(Calculations!$M116-Calculations!$C$9)+'Reaction Information'!$M$58*10^4*LN((Calculations!$C$12+Calculations!$M116)/(Calculations!$C$12+Calculations!$C$9)))+calculateOmega(Calculations!M116,Calculations!N116,Calculations!Q116,'Reaction Information'!$C$58,'Reaction Information'!$P$58*10^5,'Reaction Information'!$Q$58)*((1/Calculations!$S116)-1)-'Reaction Information'!$P$58*10^5*((1/Calculations!$C$10)-1)+'Reaction Information'!$P$58*10^5*Calculations!$C$14*(Calculations!$O116-Calculations!$C$8))</f>
        <v>#N/A</v>
      </c>
      <c r="AW116" s="8" t="e">
        <f>IF(ISBLANK(Input!$BW$4),NA(),'Reaction Information'!$E$62-'Reaction Information'!$G$62*(Calculations!$O116-Calculations!$C$8)-'Reaction Information'!$N$62*(Calculations!$O116*LN(Calculations!$O116/Calculations!$C$8)-Calculations!$O116+Calculations!$C$8)-'Reaction Information'!$O$62*10^4*(((1/(Calculations!$O116-Calculations!$C$13))-(1/(Calculations!$C$8-Calculations!$C$13)))*((Calculations!$C$13-Calculations!$O116)/(Calculations!$C$13))-(Calculations!$O116/(Calculations!$C$13*Calculations!$C$13))*LN((Calculations!$C$8*(Calculations!$O116-Calculations!$C$13))/(Calculations!$O116*(Calculations!$C$8-Calculations!$C$13))))+'Reaction Information'!$J$62*10^-1*(Calculations!$M116-Calculations!$C$9)+'Reaction Information'!$K$62*10^2*LN((Calculations!$C$12+Calculations!$M116)/(Calculations!$C$12+Calculations!$C$9))+(1/(Calculations!$O116-Calculations!$C$13))*('Reaction Information'!$L$62*(Calculations!$M116-Calculations!$C$9)+'Reaction Information'!$M$62*10^4*LN((Calculations!$C$12+Calculations!$M116)/(Calculations!$C$12+Calculations!$C$9)))+calculateOmega(Calculations!M116,Calculations!N116,Calculations!Q116,'Reaction Information'!$C$62,'Reaction Information'!$P$62*10^5,'Reaction Information'!$Q$62)*((1/Calculations!$S116)-1)-'Reaction Information'!$P$62*10^5*((1/Calculations!$C$10)-1)+'Reaction Information'!$P$62*10^5*Calculations!$C$14*(Calculations!$O116-Calculations!$C$8))</f>
        <v>#N/A</v>
      </c>
      <c r="AX116" s="8" t="e">
        <f>IF(ISBLANK(Input!$BZ$4),NA(),'Reaction Information'!$E$66-'Reaction Information'!$G$66*(Calculations!$O116-Calculations!$C$8)-'Reaction Information'!$N$66*(Calculations!$O116*LN(Calculations!$O116/Calculations!$C$8)-Calculations!$O116+Calculations!$C$8)-'Reaction Information'!$O$66*10^4*(((1/(Calculations!$O116-Calculations!$C$13))-(1/(Calculations!$C$8-Calculations!$C$13)))*((Calculations!$C$13-Calculations!$O116)/(Calculations!$C$13))-(Calculations!$O116/(Calculations!$C$13*Calculations!$C$13))*LN((Calculations!$C$8*(Calculations!$O116-Calculations!$C$13))/(Calculations!$O116*(Calculations!$C$8-Calculations!$C$13))))+'Reaction Information'!$J$66*10^-1*(Calculations!$M116-Calculations!$C$9)+'Reaction Information'!$K$66*10^2*LN((Calculations!$C$12+Calculations!$M116)/(Calculations!$C$12+Calculations!$C$9))+(1/(Calculations!$O116-Calculations!$C$13))*('Reaction Information'!$L$66*(Calculations!$M116-Calculations!$C$9)+'Reaction Information'!$M$66*10^4*LN((Calculations!$C$12+Calculations!$M116)/(Calculations!$C$12+Calculations!$C$9)))+calculateOmega(Calculations!M116,Calculations!N116,Calculations!Q116,'Reaction Information'!$C$66,'Reaction Information'!$P$66*10^5,'Reaction Information'!$Q$66)*((1/Calculations!$S116)-1)-'Reaction Information'!$P$66*10^5*((1/Calculations!$C$10)-1)+'Reaction Information'!$P$66*10^5*Calculations!$C$14*(Calculations!$O116-Calculations!$C$8))</f>
        <v>#N/A</v>
      </c>
      <c r="AY116" s="31">
        <f>(AL116*Input!$AO$4+AM116*Input!$AR$4+AN116*Input!$AU$4+AO116*Input!$AX$4+IF(ISNA(AP116),0,AP116*Input!$BA$4)+IF(ISNA(AQ116),0,AQ116*Input!$BD$4)+IF(ISNA(AR116),0,AR116*Input!$BG$4)+IF(ISNA(AS116),0,AS116*Input!$BJ$4)+IF(ISNA(AT116),0,AT116*Input!$BM$4)+IF(ISNA(AU116),0,AU116*Input!$BP$4)+IF(ISNA(AV116),0,AV116*Input!$BS$4)+IF(ISNA(AW116),0,AW116*Input!$BV$4)+IF(ISNA(AX116),0,AX116*Input!$BY$4))-(Y116*Input!$B$4+Z116*Input!$E$4+AA116*Input!$H$4+AB116*Input!$K$4+IF(ISNA(AC116),0,AC116*Input!$N$4)+IF(ISNA(AD116),0,AD116*Input!$Q$4)+IF(ISNA(AE116),0,AE116*Input!$T$4)+IF(ISNA(AF116),0,AF116*Input!$W$4)+IF(ISNA(AG116),0,AG116*Input!$Z$4)+IF(ISNA(AH116),0,AH116*Input!$AC$4)+IF(ISNA(AI116),0,AI116*Input!$AF$4)+IF(ISNA(AJ116),0,AJ116*Input!$AI$4)+IF(ISNA(AK116),0,AK116*Input!$AL$4))</f>
        <v>12428.060240103558</v>
      </c>
      <c r="AZ116" s="42">
        <f t="shared" si="35"/>
        <v>-3.3018416439309615</v>
      </c>
      <c r="BA116" s="1">
        <f t="shared" si="27"/>
        <v>550</v>
      </c>
      <c r="BB116" s="46">
        <f t="shared" si="28"/>
        <v>40000</v>
      </c>
      <c r="BC116" s="1"/>
      <c r="BD116" s="2">
        <f t="shared" si="29"/>
        <v>40000</v>
      </c>
      <c r="BE116" s="46">
        <f t="shared" si="30"/>
        <v>550</v>
      </c>
      <c r="BF116" s="1">
        <f>Results!AJ118</f>
        <v>0</v>
      </c>
      <c r="BG116" s="1">
        <f>Results!AK118</f>
        <v>0</v>
      </c>
      <c r="BH116" s="1">
        <f>Results!AL118</f>
        <v>0</v>
      </c>
      <c r="BI116" s="1">
        <f>Results!AM118</f>
        <v>0</v>
      </c>
      <c r="BJ116" s="1" t="e">
        <f>IF(OR(ISNA('Reaction Information'!$D$5), $N116 = "", $D$27 = FALSE, 'Reaction Information'!$D$5 = ""), NA(), 24.465)</f>
        <v>#N/A</v>
      </c>
      <c r="BK116" s="1" t="e">
        <f>IF(OR(ISNA('Reaction Information'!$D$9), $N116 = "", $D$27 = FALSE, 'Reaction Information'!$D$9 = ""), NA(), 24.465)</f>
        <v>#N/A</v>
      </c>
      <c r="BL116" s="8">
        <f t="shared" si="36"/>
        <v>13.498555973589751</v>
      </c>
      <c r="BM116" s="8">
        <f>IF(OR(ISBLANK(Input!$X$4),$D$27=FALSE),NA(),('Reaction Information'!$J$13/10+'Reaction Information'!$K$13*100/(Calculations!$C$12+Calculations!$M116)+('Reaction Information'!$L$13+'Reaction Information'!$M$13*10^4/(Calculations!$C$12+Calculations!$M116))/(Calculations!$O116-Calculations!$C$13) -calculateOmega(Calculations!$M116,Calculations!$N116,Calculations!$Q116,'Reaction Information'!$C$13,'Reaction Information'!$P$13*10^5,'Reaction Information'!$Q$13)*Calculations!$U116*10^-6 + (1/$S116 - 1)*calculate_domegadP(Calculations!$M116,Calculations!$N116,Calculations!$Q116,'Reaction Information'!$C$13,'Reaction Information'!$P$13*10^5,'Reaction Information'!$Q$13,$D$20,$D$19=3))*41.84)</f>
        <v>30.051845624190221</v>
      </c>
      <c r="BN116" s="8" t="e">
        <f>IF(OR(ISBLANK(Input!$AA$4),$D$27=FALSE),NA(),('Reaction Information'!$J$17/10+'Reaction Information'!$K$17*100/(Calculations!$C$12+Calculations!$M116)+('Reaction Information'!$L$17+'Reaction Information'!$M$17*10000/(Calculations!$C$12+Calculations!$M116))/(Calculations!$O116-Calculations!$C$13)-calculateOmega(Calculations!M116,Calculations!N116,Calculations!Q116,'Reaction Information'!$C$17,'Reaction Information'!$P$17*10^5,'Reaction Information'!$Q$17)*Calculations!$U116*10^-6 + (1/$S116 - 1)*calculate_domegadP(Calculations!M116,Calculations!N116,Calculations!Q116,'Reaction Information'!$C$17,'Reaction Information'!$P$17*10^5,'Reaction Information'!$Q$17,$D$20,$D$19=3))*41.84)</f>
        <v>#N/A</v>
      </c>
      <c r="BO116" s="8" t="e">
        <f>IF(OR(ISBLANK(Input!$AD$4),$D$27=FALSE),NA(),('Reaction Information'!$J$21/10+'Reaction Information'!$K$21*100/(Calculations!$C$12+Calculations!$M116)+('Reaction Information'!$L$21+'Reaction Information'!$M$21*10000/(Calculations!$C$12+Calculations!$M116))/(Calculations!$O116-Calculations!$C$13)-calculateOmega(Calculations!M116,Calculations!N116,Calculations!Q116,'Reaction Information'!$C$21,'Reaction Information'!$P$21*10^5,'Reaction Information'!$Q$21)*Calculations!$U116*10^-6 + (1/$S116 - 1)*calculate_domegadP(Calculations!M116,Calculations!N116,Calculations!Q116,'Reaction Information'!$C$21,'Reaction Information'!$P$21*10^5,'Reaction Information'!$Q$21,$D$20,$D$19=3))*41.84)</f>
        <v>#N/A</v>
      </c>
      <c r="BP116" s="8" t="e">
        <f>IF(OR(ISBLANK(Input!$AG$4),$D$27=FALSE),NA(),('Reaction Information'!$J$25/10+'Reaction Information'!$K$25*100/(Calculations!$C$12+Calculations!$M116)+('Reaction Information'!$L$25+'Reaction Information'!$M$25*10000/(Calculations!$C$12+Calculations!$M116))/(Calculations!$O116-Calculations!$C$13)-calculateOmega(Calculations!M116,Calculations!N116,Calculations!Q116,'Reaction Information'!$C$25,'Reaction Information'!$P$25*10^5,'Reaction Information'!$Q$25)*Calculations!$U116*10^-6 + (1/$S116 - 1)*calculate_domegadP(Calculations!M116,Calculations!N116,Calculations!Q116,'Reaction Information'!$C$25,'Reaction Information'!$P$25*10^5,'Reaction Information'!$Q$25,$D$20,$D$19=3))*41.84)</f>
        <v>#N/A</v>
      </c>
      <c r="BQ116" s="8" t="e">
        <f>IF(OR(ISBLANK(Input!$AJ$4),$D$27=FALSE),NA(),('Reaction Information'!$J$29/10+'Reaction Information'!$K$29*100/(Calculations!$C$12+Calculations!$M116)+('Reaction Information'!$L$29+'Reaction Information'!$M$29*10000/(Calculations!$C$12+Calculations!$M116))/(Calculations!$O116-Calculations!$C$13)-calculateOmega(Calculations!M116,Calculations!N116,Calculations!Q116,'Reaction Information'!$C$29,'Reaction Information'!$P$29*10^5,'Reaction Information'!$Q$29)*Calculations!$U116*10^-6 + (1/$S116 - 1)*calculate_domegadP(Calculations!M116,Calculations!N116,Calculations!Q116,'Reaction Information'!$C$29,'Reaction Information'!$P$29*10^5,'Reaction Information'!$Q$29,$D$20,$D$19=3))*41.84)</f>
        <v>#N/A</v>
      </c>
      <c r="BR116" s="8" t="e">
        <f>IF(OR(ISBLANK(Input!$AM$4),$D$27=FALSE),NA(),('Reaction Information'!$J$33/10+'Reaction Information'!$K$33*100/(Calculations!$C$12+Calculations!$M116)+('Reaction Information'!$L$33+'Reaction Information'!$M$33*10000/(Calculations!$C$12+Calculations!$M116))/(Calculations!$O116-Calculations!$C$13)-calculateOmega(Calculations!M116,Calculations!N116,Calculations!Q116,'Reaction Information'!$C$33,'Reaction Information'!$P$33*10^5,'Reaction Information'!$Q$33)*Calculations!$U116*10^-6 + (1/$S116 - 1)*calculate_domegadP(Calculations!M116,Calculations!N116,Calculations!Q116,'Reaction Information'!$C$33,'Reaction Information'!$P$33*10^5,'Reaction Information'!$Q$33,$D$20,$D$19=3))*41.84)</f>
        <v>#N/A</v>
      </c>
      <c r="BS116" s="1">
        <f>Results!AW118</f>
        <v>0</v>
      </c>
      <c r="BT116" s="1">
        <f>Results!AX118</f>
        <v>0</v>
      </c>
      <c r="BU116" s="1">
        <f>Results!AY118</f>
        <v>0</v>
      </c>
      <c r="BV116" s="1">
        <f>Results!AZ118</f>
        <v>0</v>
      </c>
      <c r="BW116" s="1" t="e">
        <f>IF(OR(ISNA('Reaction Information'!$D$38), $N116 = "", $D$27 = FALSE, 'Reaction Information'!$D$38 = ""), NA(), 24.465)</f>
        <v>#N/A</v>
      </c>
      <c r="BX116" s="1" t="e">
        <f>IF(OR(ISNA('Reaction Information'!$D$42), $N116 = "", $D$27 = FALSE, 'Reaction Information'!$D$42 = ""), NA(), 24.465)</f>
        <v>#N/A</v>
      </c>
      <c r="BY116" s="8" t="e">
        <f t="shared" si="37"/>
        <v>#N/A</v>
      </c>
      <c r="BZ116" s="8">
        <f>IF(OR(ISBLANK(Input!$BK$4),$D$27=FALSE),NA(),('Reaction Information'!$J$46/10+'Reaction Information'!$K$46*100/(Calculations!$C$12+Calculations!$M116)+('Reaction Information'!$L$46+'Reaction Information'!$M$46*10000/(Calculations!$C$12+Calculations!$M116))/(Calculations!$O116-Calculations!$C$13)-calculateOmega(Calculations!M116,Calculations!N116,Calculations!Q116,'Reaction Information'!$C$46,'Reaction Information'!$P$46*10^5,'Reaction Information'!$Q$46)*Calculations!$U116*10^-6 + (1/$S116 - 1)*calculate_domegadP(Calculations!M116,Calculations!N116,Calculations!Q116,'Reaction Information'!$C$46,'Reaction Information'!$P$46*10^5,'Reaction Information'!$Q$46,$D$20,$D$19=3))*41.84)</f>
        <v>0</v>
      </c>
      <c r="CA116" s="8">
        <f>IF(OR(ISBLANK(Input!$BN$4),$D$27=FALSE),NA(),('Reaction Information'!$J$50/10+'Reaction Information'!$K$50*100/(Calculations!$C$12+Calculations!$M116)+('Reaction Information'!$L$50+'Reaction Information'!$M$50*10000/(Calculations!$C$12+Calculations!$M116))/(Calculations!$O116-Calculations!$C$13)-calculateOmega(Calculations!M116,Calculations!N116,Calculations!Q116,'Reaction Information'!$C$50,'Reaction Information'!$P$50*10^5,'Reaction Information'!$Q$50)*Calculations!$U116*10^-6 + (1/$S116 - 1)*calculate_domegadP(Calculations!M116,Calculations!N116,Calculations!Q116,'Reaction Information'!$C$50,'Reaction Information'!$P$50*10^5,'Reaction Information'!$Q$50,$D$20,$D$19=3))*41.84)</f>
        <v>31.243750114045369</v>
      </c>
      <c r="CB116" s="8" t="e">
        <f>IF(OR(ISBLANK(Input!$BQ$4),$D$27=FALSE),NA(),('Reaction Information'!$J$54/10+'Reaction Information'!$K$54*100/(Calculations!$C$12+Calculations!$M116)+('Reaction Information'!$L$54+'Reaction Information'!$M$54*10000/(Calculations!$C$12+Calculations!$M116))/(Calculations!$O116-Calculations!$C$13)-calculateOmega(Calculations!M116,Calculations!N116,Calculations!Q116,'Reaction Information'!$C$54,'Reaction Information'!$P$54*10^5,'Reaction Information'!$Q$54)*Calculations!$U116*10^-6 + (1/$S116 - 1)*calculate_domegadP(Calculations!M116,Calculations!N116,Calculations!Q116,'Reaction Information'!$C$54,'Reaction Information'!$P$54*10^5,'Reaction Information'!$Q$54,$D$20,$D$19=3))*41.84)</f>
        <v>#N/A</v>
      </c>
      <c r="CC116" s="8" t="e">
        <f>IF(OR(ISBLANK(Input!$BT$4),$D$27=FALSE),NA(),('Reaction Information'!$J$58/10+'Reaction Information'!$K$58*100/(Calculations!$C$12+Calculations!$M116)+('Reaction Information'!$L$58+'Reaction Information'!$M$58*10000/(Calculations!$C$12+Calculations!$M116))/(Calculations!$O116-Calculations!$C$13)-calculateOmega(Calculations!M116,Calculations!N116,Calculations!Q116,'Reaction Information'!$C$58,'Reaction Information'!$P$58*10^5,'Reaction Information'!$Q$58)*Calculations!$U116*10^-6 + (1/$S116 - 1)*calculate_domegadP(Calculations!M116,Calculations!N116,Calculations!Q116,'Reaction Information'!$C$58,'Reaction Information'!$P$58*10^5,'Reaction Information'!$Q$58,$D$20,$D$19=3))*41.84)</f>
        <v>#N/A</v>
      </c>
      <c r="CD116" s="8" t="e">
        <f>IF(OR(ISBLANK(Input!$BW$4),$D$27=FALSE),NA(),('Reaction Information'!$J$62/10+'Reaction Information'!$K$62*100/(Calculations!$C$12+Calculations!$M116)+('Reaction Information'!$L$62+'Reaction Information'!$M$62*10000/(Calculations!$C$12+Calculations!$M116))/(Calculations!$O116-Calculations!$C$13)-calculateOmega(Calculations!M116,Calculations!N116,Calculations!Q116,'Reaction Information'!$C$62,'Reaction Information'!$P$62*10^5,'Reaction Information'!$Q$62)*Calculations!$U116*10^-6 + (1/$S116 - 1)*calculate_domegadP(Calculations!M116,Calculations!N116,Calculations!Q116,'Reaction Information'!$C$62,'Reaction Information'!$P$62*10^5,'Reaction Information'!$Q$62,$D$20,$D$19=3))*41.84)</f>
        <v>#N/A</v>
      </c>
      <c r="CE116" s="8" t="e">
        <f>IF(OR(ISBLANK(Input!$BZ$4),$D$27=FALSE),NA(),('Reaction Information'!$J$66/10+'Reaction Information'!$K$66*100/(Calculations!$C$12+Calculations!$M116)+('Reaction Information'!$L$66+'Reaction Information'!$M$66*10000/(Calculations!$C$12+Calculations!$M116))/(Calculations!$O116-Calculations!$C$13)-calculateOmega(Calculations!M116,Calculations!N116,Calculations!Q116,'Reaction Information'!$C$66,'Reaction Information'!$P$66*10^5,'Reaction Information'!$Q$66)*Calculations!$U116*10^-6 + (1/$S116 - 1)*calculate_domegadP(Calculations!M116,Calculations!N116,Calculations!Q116,'Reaction Information'!$C$66,'Reaction Information'!$P$66*10^5,'Reaction Information'!$Q$66,$D$20,$D$19=3))*41.84)</f>
        <v>#N/A</v>
      </c>
      <c r="CF116" s="31">
        <f>(BS116*Input!$AO$4+BT116*Input!$AR$4+BU116*Input!$AU$4+BV116*Input!$AX$4+IF(ISNA(BW116),0,BW116*Input!$BA$4)+IF(ISNA(BX116),0,BX116*Input!$BD$4)+IF(ISNA(BY116),0,BY116*Input!$BG$4)+IF(ISNA(BZ116),0,BZ116*Input!$BJ$4)+IF(ISNA(CA116),0,CA116*Input!$BM$4)+IF(ISNA(CB116),0,CB116*Input!$BP$4)+IF(ISNA(CC116),0,CC116*Input!$BS$4)+IF(ISNA(CD116),0,CD116*Input!$BV$4)+IF(ISNA(CE116),0,CE116*Input!$BY$4))-(BF116*Input!$B$4+BG116*Input!$E$4+BH116*Input!$H$4+BI116*Input!$K$4+IF(ISNA(BJ116),0,BJ116*Input!$N$4)+IF(ISNA(BK116),0,BK116*Input!$Q$4)+IF(ISNA(BL116),0,BL116*Input!$T$4)+IF(ISNA(BM116),0,BM116*Input!$W$4)+IF(ISNA(BN116),0,BN116*Input!$Z$4)+IF(ISNA(BO116),0,BO116*Input!$AC$4)+IF(ISNA(BP116),0,BP116*Input!$AF$4)+IF(ISNA(BQ116),0,BQ116*Input!$AI$4)+IF(ISNA(BR116),0,BR116*Input!$AL$4))</f>
        <v>-12.306651483734605</v>
      </c>
      <c r="CG116" s="1">
        <f t="shared" si="31"/>
        <v>550</v>
      </c>
      <c r="CH116" s="46">
        <f t="shared" si="32"/>
        <v>40000</v>
      </c>
      <c r="CI116" s="1"/>
    </row>
    <row r="117" spans="1:87" x14ac:dyDescent="0.2">
      <c r="A117" s="1"/>
      <c r="B117" s="1"/>
      <c r="C117" s="1"/>
      <c r="D117" s="1"/>
      <c r="E117" s="1"/>
      <c r="F117" s="2">
        <v>112</v>
      </c>
      <c r="G117" s="1" t="str">
        <f>IF(ISBLANK(Input!CB117), "", Input!CB117*1000)</f>
        <v/>
      </c>
      <c r="H117" s="1" t="str">
        <f>IF(ISBLANK(Input!CC117), "", Input!CC117)</f>
        <v/>
      </c>
      <c r="I117" s="1">
        <f>IF(Input!$CF$5 + Input!$CF$6*(FLOOR((Calculations!$F117-1)/(FLOOR((Input!$CF$12-Input!$CF$10)/Input!$CF$11,1)+1),1)) &gt; Input!$CF$7, "", (Input!$CF$5 + Input!$CF$6*(FLOOR((Calculations!$F117-1)/(FLOOR((Input!$CF$12-Input!$CF$10)/Input!$CF$11,1)+1),1)))*1000)</f>
        <v>40000</v>
      </c>
      <c r="J117" s="1">
        <f>IF(Calculations!I117 = "", "", Input!$CF$10 + Input!$CF$11*(Calculations!$F117-1) - (FLOOR((Input!$CF$12-Input!$CF$10)/Input!$CF$11,1)+1)*Input!$CF$11*FLOOR((Calculations!$F117-1)/(FLOOR((Input!$CF$12-Input!$CF$10)/Input!$CF$11,1)+1),1))</f>
        <v>600</v>
      </c>
      <c r="K117" s="8" t="str">
        <f t="shared" si="33"/>
        <v/>
      </c>
      <c r="L117" s="117" t="str">
        <f>IF(OR(Input!$CJ$5 + Input!$CJ$6*(Calculations!F117-1) &gt; Input!$CJ$7, Input!$CJ$5 + Input!$CJ$6*(Calculations!F117-1) &gt; 350), "", Input!$CJ$5 + Input!$CJ$6*(Calculations!F117-1))</f>
        <v/>
      </c>
      <c r="M117" s="1">
        <f t="shared" si="23"/>
        <v>40000</v>
      </c>
      <c r="N117" s="1">
        <f t="shared" si="24"/>
        <v>600</v>
      </c>
      <c r="O117" s="1">
        <f t="shared" si="34"/>
        <v>873.15</v>
      </c>
      <c r="P117" s="1" t="e">
        <f>IF(OR($D$20=3,AND($D$21=TRUE,M117&lt;1000)),INDEX('Water Density'!$C$6:$CX$120,MATCH(Calculations!N117,'Water Density'!$B$6:$B$120),MATCH(Calculations!M117/1000,'Water Density'!$C$5:$CX$5)),NA())</f>
        <v>#N/A</v>
      </c>
      <c r="Q117" s="182">
        <f>IF(OR($D$20=3,AND($D$21=TRUE,M117&lt;1000)), IF(P117&lt;&gt;0,P117,NA()), calculateDensity(M117,N117,$D$20,0.01,$D$19 = 3))</f>
        <v>1.3203429678535463</v>
      </c>
      <c r="R117" s="1" t="e">
        <f>IF($D$22=5,INDEX('Dielectric Constant'!$C$6:$CX$120,MATCH(Calculations!N117,'Dielectric Constant'!$B$6:$B$120),MATCH(Calculations!M117/1000,'Dielectric Constant'!$C$5:$CX$5)),NA())</f>
        <v>#N/A</v>
      </c>
      <c r="S117" s="58">
        <f>IF($D$22=5, IF(R117&lt;&gt;0,R117,NA()), IF(AND($D$23,M117&lt;=5000,$D$19 &lt;&gt; 3),calculateEpsilon(Q117,N117,1,FALSE),calculateEpsilon(Q117,N117,$D$22,$D$19 = 3)))</f>
        <v>30.789837602128905</v>
      </c>
      <c r="T117" s="1" t="e">
        <f>IF($D$24=3,INDEX('Water Free Energy'!$C$6:$CX$120,MATCH(Calculations!N117,'Water Free Energy'!$B$6:$B$120),MATCH(Calculations!M117/1000,'Water Free Energy'!$C$5:$CX$5)),NA())</f>
        <v>#N/A</v>
      </c>
      <c r="U117" s="179">
        <f>IF($D$27,calculateQ(M117,N117,Q117,$D$20,$D$22,$D$19=3)*10^6,NA())</f>
        <v>0.17287709995303621</v>
      </c>
      <c r="V117"/>
      <c r="W117" s="2">
        <f t="shared" si="25"/>
        <v>40000</v>
      </c>
      <c r="X117" s="1">
        <f t="shared" si="26"/>
        <v>600</v>
      </c>
      <c r="Y117" s="1">
        <f>Results!F119</f>
        <v>0</v>
      </c>
      <c r="Z117" s="1">
        <f>Results!G119</f>
        <v>0</v>
      </c>
      <c r="AA117" s="1">
        <f>Results!H119</f>
        <v>0</v>
      </c>
      <c r="AB117" s="1">
        <f>Results!I119</f>
        <v>0</v>
      </c>
      <c r="AC117" s="1" t="e">
        <f>IF(ISBLANK(Input!$O$4),NA(),'Reaction Information'!$E$5-'Reaction Information'!$G$5*(Calculations!$O117-Calculations!$C$8)+'Reaction Information'!$I$5*(Calculations!$O117-Calculations!$C$8-Calculations!$O117*LN(Calculations!$O117/Calculations!$C$8))+'Reaction Information'!$J$5*0.001/2*(2*Calculations!$O117*Calculations!$C$8-Calculations!$O117^2-Calculations!$C$8^2) + 'Reaction Information'!$K$5*100000*(Calculations!$O117^2 + Calculations!$C$8^2 - 2*Calculations!$O117*Calculations!$C$8)/(2*Calculations!$O117*Calculations!$C$8^2))</f>
        <v>#N/A</v>
      </c>
      <c r="AD117" s="8" t="e">
        <f>IF(ISBLANK(Input!$R$4),NA(),'Reaction Information'!$E$9-'Reaction Information'!$G$9*(Calculations!$O117-Calculations!$C$8)+'Reaction Information'!$I$9*(Calculations!$O117-Calculations!$C$8-Calculations!$O117*LN(Calculations!$O117/Calculations!$C$8))+'Reaction Information'!$J$9*0.001/2*(2*Calculations!$O117*Calculations!$C$8-Calculations!$O117^2-Calculations!$C$8^2) + 'Reaction Information'!$K$9*100000*(Calculations!$O117^2 + Calculations!$C$8^2 - 2*Calculations!$O117*Calculations!$C$8)/(2*Calculations!$O117*Calculations!$C$8^2))</f>
        <v>#N/A</v>
      </c>
      <c r="AE117" s="8">
        <f>IF(AE$5="H2O",IF($D$24=3,IF(T117=0,NA(),T117),calculateGibbsOfWater(M117,N117,$D$24,$D$20,$D$19=3)),NA())</f>
        <v>-56160.366370774325</v>
      </c>
      <c r="AF117" s="8">
        <f>IF(ISBLANK(Input!$X$4),NA(),'Reaction Information'!$E$13-'Reaction Information'!$G$13*(Calculations!O117-Calculations!$C$8)-'Reaction Information'!$N$13*(Calculations!O117*LN(Calculations!O117/Calculations!$C$8)-Calculations!O117+Calculations!$C$8)-'Reaction Information'!$O$13*10^4*(((1/(Calculations!O117-Calculations!$C$13))-(1/(Calculations!$C$8-Calculations!$C$13)))*((Calculations!$C$13-Calculations!O117)/(Calculations!$C$13))-(Calculations!O117/(Calculations!$C$13*Calculations!$C$13))*LN((Calculations!$C$8*(Calculations!O117-Calculations!$C$13))/(Calculations!O117*(Calculations!$C$8-Calculations!$C$13))))+'Reaction Information'!$J$13*10^-1*(Calculations!M117-Calculations!$C$9)+'Reaction Information'!$K$13*10^2*LN((Calculations!$C$12+Calculations!M117)/(Calculations!$C$12+Calculations!$C$9))+(1/(Calculations!O117-Calculations!$C$13))*('Reaction Information'!$L$13*(Calculations!M117-Calculations!$C$9)+'Reaction Information'!$M$13*10^4*LN((Calculations!$C$12+Calculations!M117)/(Calculations!$C$12+Calculations!$C$9)))+calculateOmega(Calculations!M117,Calculations!N117,Calculations!Q117,'Reaction Information'!$C$13,'Reaction Information'!$P$13*10^5,'Reaction Information'!$Q$13)*((1/Calculations!S117)-1)-'Reaction Information'!$P$13*10^5*((1/Calculations!$C$10)-1)+'Reaction Information'!$P$13*10^5*Calculations!$C$14*(Calculations!O117-Calculations!$C$8))</f>
        <v>-86364.258259174225</v>
      </c>
      <c r="AG117" s="8" t="e">
        <f>IF(ISBLANK(Input!$AA$4),NA(),'Reaction Information'!$E$17-'Reaction Information'!$G$17*(Calculations!$O117-Calculations!$C$8)-'Reaction Information'!$N$17*(Calculations!$O117*LN(Calculations!$O117/Calculations!$C$8)-Calculations!$O117+Calculations!$C$8)-'Reaction Information'!$O$17*10^4*(((1/(Calculations!$O117-Calculations!$C$13))-(1/(Calculations!$C$8-Calculations!$C$13)))*((Calculations!$C$13-Calculations!$O117)/(Calculations!$C$13))-(Calculations!$O117/(Calculations!$C$13*Calculations!$C$13))*LN((Calculations!$C$8*(Calculations!$O117-Calculations!$C$13))/(Calculations!$O117*(Calculations!$C$8-Calculations!$C$13))))+'Reaction Information'!$J$17*10^-1*(Calculations!$M117-Calculations!$C$9)+'Reaction Information'!$K$17*10^2*LN((Calculations!$C$12+Calculations!$M117)/(Calculations!$C$12+Calculations!$C$9))+(1/(Calculations!$O117-Calculations!$C$13))*('Reaction Information'!$L$17*(Calculations!$M117-Calculations!$C$9)+'Reaction Information'!$M$17*10^4*LN((Calculations!$C$12+Calculations!$M117)/(Calculations!$C$12+Calculations!$C$9)))+calculateOmega(Calculations!M117,Calculations!N117,Calculations!Q117,'Reaction Information'!$C$17,'Reaction Information'!$P$17*10^5,'Reaction Information'!$Q$17)*((1/Calculations!$S117)-1)-'Reaction Information'!$P$17*10^5*((1/Calculations!$C$10)-1)+'Reaction Information'!$P$17*10^5*Calculations!$C$14*(Calculations!$O117-Calculations!$C$8))</f>
        <v>#N/A</v>
      </c>
      <c r="AH117" s="8" t="e">
        <f>IF(ISBLANK(Input!$AD$4),NA(),'Reaction Information'!$E$21-'Reaction Information'!$G$21*(Calculations!$O117-Calculations!$C$8)-'Reaction Information'!$N$21*(Calculations!$O117*LN(Calculations!$O117/Calculations!$C$8)-Calculations!$O117+Calculations!$C$8)-'Reaction Information'!$O$21*10^4*(((1/(Calculations!$O117-Calculations!$C$13))-(1/(Calculations!$C$8-Calculations!$C$13)))*((Calculations!$C$13-Calculations!$O117)/(Calculations!$C$13))-(Calculations!$O117/(Calculations!$C$13*Calculations!$C$13))*LN((Calculations!$C$8*(Calculations!$O117-Calculations!$C$13))/(Calculations!$O117*(Calculations!$C$8-Calculations!$C$13))))+'Reaction Information'!$J$21*10^-1*(Calculations!$M117-Calculations!$C$9)+'Reaction Information'!$K$21*10^2*LN((Calculations!$C$12+Calculations!$M117)/(Calculations!$C$12+Calculations!$C$9))+(1/(Calculations!$O117-Calculations!$C$13))*('Reaction Information'!$L$21*(Calculations!$M117-Calculations!$C$9)+'Reaction Information'!$M$21*10^4*LN((Calculations!$C$12+Calculations!$M117)/(Calculations!$C$12+Calculations!$C$9)))+calculateOmega(Calculations!M117,Calculations!N117,Calculations!Q117,'Reaction Information'!$C$21,'Reaction Information'!$P$21*10^5,'Reaction Information'!$Q$21)*((1/Calculations!$S117)-1)-'Reaction Information'!$P$21*10^5*((1/Calculations!$C$10)-1)+'Reaction Information'!$P$21*10^5*Calculations!$C$14*(Calculations!$O117-Calculations!$C$8))</f>
        <v>#N/A</v>
      </c>
      <c r="AI117" s="8" t="e">
        <f>IF(ISBLANK(Input!$AG$4),NA(),'Reaction Information'!$E$25-'Reaction Information'!$G$25*(Calculations!$O117-Calculations!$C$8)-'Reaction Information'!$N$25*(Calculations!$O117*LN(Calculations!$O117/Calculations!$C$8)-Calculations!$O117+Calculations!$C$8)-'Reaction Information'!$O$25*10^4*(((1/(Calculations!$O117-Calculations!$C$13))-(1/(Calculations!$C$8-Calculations!$C$13)))*((Calculations!$C$13-Calculations!$O117)/(Calculations!$C$13))-(Calculations!$O117/(Calculations!$C$13*Calculations!$C$13))*LN((Calculations!$C$8*(Calculations!$O117-Calculations!$C$13))/(Calculations!$O117*(Calculations!$C$8-Calculations!$C$13))))+'Reaction Information'!$J$25*10^-1*(Calculations!$M117-Calculations!$C$9)+'Reaction Information'!$K$25*10^2*LN((Calculations!$C$12+Calculations!$M117)/(Calculations!$C$12+Calculations!$C$9))+(1/(Calculations!$O117-Calculations!$C$13))*('Reaction Information'!$L$25*(Calculations!$M117-Calculations!$C$9)+'Reaction Information'!$M$25*10^4*LN((Calculations!$C$12+Calculations!$M117)/(Calculations!$C$12+Calculations!$C$9)))+calculateOmega(Calculations!M117,Calculations!N117,Calculations!Q117,'Reaction Information'!$C$25,'Reaction Information'!$P$25*10^5,'Reaction Information'!$Q$25)*((1/Calculations!$S117)-1)-'Reaction Information'!$P$25*10^5*((1/Calculations!$C$10)-1)+'Reaction Information'!$P$25*10^5*Calculations!$C$14*(Calculations!$O117-Calculations!$C$8))</f>
        <v>#N/A</v>
      </c>
      <c r="AJ117" s="8" t="e">
        <f>IF(ISBLANK(Input!$AJ$4),NA(),'Reaction Information'!$E$29-'Reaction Information'!$G$29*(Calculations!$O117-Calculations!$C$8)-'Reaction Information'!$N$29*(Calculations!$O117*LN(Calculations!$O117/Calculations!$C$8)-Calculations!$O117+Calculations!$C$8)-'Reaction Information'!$O$29*10^4*(((1/(Calculations!$O117-Calculations!$C$13))-(1/(Calculations!$C$8-Calculations!$C$13)))*((Calculations!$C$13-Calculations!$O117)/(Calculations!$C$13))-(Calculations!$O117/(Calculations!$C$13*Calculations!$C$13))*LN((Calculations!$C$8*(Calculations!$O117-Calculations!$C$13))/(Calculations!$O117*(Calculations!$C$8-Calculations!$C$13))))+'Reaction Information'!$J$29*10^-1*(Calculations!$M117-Calculations!$C$9)+'Reaction Information'!$K$29*10^2*LN((Calculations!$C$12+Calculations!$M117)/(Calculations!$C$12+Calculations!$C$9))+(1/(Calculations!$O117-Calculations!$C$13))*('Reaction Information'!$L$29*(Calculations!$M117-Calculations!$C$9)+'Reaction Information'!$M$29*10^4*LN((Calculations!$C$12+Calculations!$M117)/(Calculations!$C$12+Calculations!$C$9)))+calculateOmega(Calculations!M117,Calculations!N117,Calculations!Q117,'Reaction Information'!$C$29,'Reaction Information'!$P$29*10^5,'Reaction Information'!$Q$29)*((1/Calculations!$S117)-1)-'Reaction Information'!$P$29*10^5*((1/Calculations!$C$10)-1)+'Reaction Information'!$P$29*10^5*Calculations!$C$14*(Calculations!$O117-Calculations!$C$8))</f>
        <v>#N/A</v>
      </c>
      <c r="AK117" s="8" t="e">
        <f>IF(ISBLANK(Input!$AM$4),NA(),'Reaction Information'!$E$33-'Reaction Information'!$G$33*(Calculations!$O117-Calculations!$C$8)-'Reaction Information'!$N$33*(Calculations!$O117*LN(Calculations!$O117/Calculations!$C$8)-Calculations!$O117+Calculations!$C$8)-'Reaction Information'!$O$33*10^4*(((1/(Calculations!$O117-Calculations!$C$13))-(1/(Calculations!$C$8-Calculations!$C$13)))*((Calculations!$C$13-Calculations!$O117)/(Calculations!$C$13))-(Calculations!$O117/(Calculations!$C$13*Calculations!$C$13))*LN((Calculations!$C$8*(Calculations!$O117-Calculations!$C$13))/(Calculations!$O117*(Calculations!$C$8-Calculations!$C$13))))+'Reaction Information'!$J$33*10^-1*(Calculations!$M117-Calculations!$C$9)+'Reaction Information'!$K$33*10^2*LN((Calculations!$C$12+Calculations!$M117)/(Calculations!$C$12+Calculations!$C$9))+(1/(Calculations!$O117-Calculations!$C$13))*('Reaction Information'!$L$33*(Calculations!$M117-Calculations!$C$9)+'Reaction Information'!$M$33*10^4*LN((Calculations!$C$12+Calculations!$M117)/(Calculations!$C$12+Calculations!$C$9)))+calculateOmega(Calculations!M117,Calculations!N117,Calculations!Q117,'Reaction Information'!$C$33,'Reaction Information'!$P$33*10^5,'Reaction Information'!$Q$33)*((1/Calculations!$S117)-1)-'Reaction Information'!$P$33*10^5*((1/Calculations!$C$10)-1)+'Reaction Information'!$P$33*10^5*Calculations!$C$14*(Calculations!$O117-Calculations!$C$8))</f>
        <v>#N/A</v>
      </c>
      <c r="AL117" s="1">
        <f>Results!S119</f>
        <v>0</v>
      </c>
      <c r="AM117" s="1">
        <f>Results!T119</f>
        <v>0</v>
      </c>
      <c r="AN117" s="1">
        <f>Results!U119</f>
        <v>0</v>
      </c>
      <c r="AO117" s="1">
        <f>Results!V119</f>
        <v>0</v>
      </c>
      <c r="AP117" s="8" t="e">
        <f>IF(ISBLANK(Input!$BB$4),NA(),'Reaction Information'!$E$38-'Reaction Information'!$G$38*(Calculations!$O117-Calculations!$C$8)+'Reaction Information'!$I$38*(Calculations!$O117-Calculations!$C$8-Calculations!$O117*LN(Calculations!$O117/Calculations!$C$8))+'Reaction Information'!$J$38*0.001/2*(2*Calculations!$O117*Calculations!$C$8-Calculations!$O117^2-Calculations!$C$8^2) + 'Reaction Information'!$K$38*100000*(Calculations!$O117^2 + Calculations!$C$8^2 - 2*Calculations!$O117*Calculations!$C$8)/(2*Calculations!$O117*Calculations!$C$8^2))</f>
        <v>#N/A</v>
      </c>
      <c r="AQ117" s="8" t="e">
        <f>IF(ISBLANK(Input!$BE$4),NA(),'Reaction Information'!$E$42-'Reaction Information'!$G$42*(Calculations!$O117-Calculations!$C$8)+'Reaction Information'!$I$42*(Calculations!$O117-Calculations!$C$8-Calculations!$O117*LN(Calculations!$O117/Calculations!$C$8))+'Reaction Information'!$J$42*0.001/2*(2*Calculations!$O117*Calculations!$C$8-Calculations!$O117^2-Calculations!$C$8^2) + 'Reaction Information'!$K$42*100000*(Calculations!$O117^2 + Calculations!$C$8^2 - 2*Calculations!$O117*Calculations!$C$8)/(2*Calculations!$O117*Calculations!$C$8^2))</f>
        <v>#N/A</v>
      </c>
      <c r="AR117" s="8" t="e">
        <f>IF(AR$5="H2O", IF($D$24=3,IF(T117=0,NA(),T117),calculateGibbsOfWater(M117,N117,$D$24,$D$20,$D$19=3)),NA())</f>
        <v>#N/A</v>
      </c>
      <c r="AS117" s="8">
        <f>IF(ISBLANK(Input!$BK$4),NA(),'Reaction Information'!$E$46-'Reaction Information'!$G$46*(Calculations!O117-Calculations!$C$8)-'Reaction Information'!$N$46*(Calculations!O117*LN(Calculations!O117/Calculations!$C$8)-Calculations!O117+Calculations!$C$8)-'Reaction Information'!$O$46*10^4*(((1/(Calculations!O117-Calculations!$C$13))-(1/(Calculations!$C$8-Calculations!$C$13)))*((Calculations!$C$13-Calculations!O117)/(Calculations!$C$13))-(Calculations!O117/(Calculations!$C$13*Calculations!$C$13))*LN((Calculations!$C$8*(Calculations!O117-Calculations!$C$13))/(Calculations!O117*(Calculations!$C$8-Calculations!$C$13))))+'Reaction Information'!$J$46*10^-1*(Calculations!$M117-Calculations!$C$9)+'Reaction Information'!$K$46*10^2*LN((Calculations!$C$12+Calculations!$M117)/(Calculations!$C$12+Calculations!$C$9))+(1/(Calculations!O117-Calculations!$C$13))*('Reaction Information'!$L$46*(Calculations!$M117-Calculations!$C$9)+'Reaction Information'!$M$46*10^4*LN((Calculations!$C$12+Calculations!$M117)/(Calculations!$C$12+Calculations!$C$9)))+calculateOmega(Calculations!M117,Calculations!N117,Calculations!Q117,'Reaction Information'!$C$46,'Reaction Information'!$P$46*10^5,'Reaction Information'!$Q$46)*((1/Calculations!S117)-1)-'Reaction Information'!$P$46*10^5*((1/Calculations!$C$10)-1)+'Reaction Information'!$P$46*10^5*Calculations!$C$14*(Calculations!O117-Calculations!$C$8))</f>
        <v>0</v>
      </c>
      <c r="AT117" s="8">
        <f>IF(ISBLANK(Input!$BN$4),NA(),'Reaction Information'!$E$50-'Reaction Information'!$G$50*(Calculations!O117-Calculations!$C$8)-'Reaction Information'!$N$50*(Calculations!O117*LN(Calculations!O117/Calculations!$C$8)-Calculations!O117+Calculations!$C$8)-'Reaction Information'!$O$50*10^4*(((1/(Calculations!O117-Calculations!$C$13))-(1/(Calculations!$C$8-Calculations!$C$13)))*((Calculations!$C$13-Calculations!O117)/(Calculations!$C$13))-(Calculations!O117/(Calculations!$C$13*Calculations!$C$13))*LN((Calculations!$C$8*(Calculations!O117-Calculations!$C$13))/(Calculations!O117*(Calculations!$C$8-Calculations!$C$13))))+'Reaction Information'!$J$50*10^-1*(Calculations!$M117-Calculations!$C$9)+'Reaction Information'!$K$50*10^2*LN((Calculations!$C$12+Calculations!$M117)/(Calculations!$C$12+Calculations!$C$9))+(1/(Calculations!O117-Calculations!$C$13))*('Reaction Information'!$L$50*(Calculations!$M117-Calculations!$C$9)+'Reaction Information'!$M$50*10^4*LN((Calculations!$C$12+Calculations!$M117)/(Calculations!$C$12+Calculations!$C$9)))+calculateOmega(Calculations!M117,Calculations!N117,Calculations!Q117,'Reaction Information'!$C$50,'Reaction Information'!$P$50*10^5,'Reaction Information'!$Q$50)*((1/Calculations!S117)-1)-'Reaction Information'!$P$50*10^5*((1/Calculations!$C$10)-1)+'Reaction Information'!$P$50*10^5*Calculations!$C$14*(Calculations!O117-Calculations!$C$8))</f>
        <v>-128132.54188567909</v>
      </c>
      <c r="AU117" s="8" t="e">
        <f>IF(ISBLANK(Input!$BQ$4),NA(),'Reaction Information'!$E$54-'Reaction Information'!$G$54*(Calculations!$O117-Calculations!$C$8)-'Reaction Information'!$N$54*(Calculations!$O117*LN(Calculations!$O117/Calculations!$C$8)-Calculations!$O117+Calculations!$C$8)-'Reaction Information'!$O$54*10^4*(((1/(Calculations!$O117-Calculations!$C$13))-(1/(Calculations!$C$8-Calculations!$C$13)))*((Calculations!$C$13-Calculations!$O117)/(Calculations!$C$13))-(Calculations!$O117/(Calculations!$C$13*Calculations!$C$13))*LN((Calculations!$C$8*(Calculations!$O117-Calculations!$C$13))/(Calculations!$O117*(Calculations!$C$8-Calculations!$C$13))))+'Reaction Information'!$J$54*10^-1*(Calculations!$M117-Calculations!$C$9)+'Reaction Information'!$K$54*10^2*LN((Calculations!$C$12+Calculations!$M117)/(Calculations!$C$12+Calculations!$C$9))+(1/(Calculations!$O117-Calculations!$C$13))*('Reaction Information'!$L$54*(Calculations!$M117-Calculations!$C$9)+'Reaction Information'!$M$54*10^4*LN((Calculations!$C$12+Calculations!$M117)/(Calculations!$C$12+Calculations!$C$9)))+calculateOmega(Calculations!M117,Calculations!N117,Calculations!Q117,'Reaction Information'!$C$54,'Reaction Information'!$P$54*10^5,'Reaction Information'!$Q$54)*((1/Calculations!$S117)-1)-'Reaction Information'!$P$54*10^5*((1/Calculations!$C$10)-1)+'Reaction Information'!$P$54*10^5*Calculations!$C$14*(Calculations!$O117-Calculations!$C$8))</f>
        <v>#N/A</v>
      </c>
      <c r="AV117" s="8" t="e">
        <f>IF(ISBLANK(Input!$BT$4),NA(),'Reaction Information'!$E$58-'Reaction Information'!$G$58*(Calculations!$O117-Calculations!$C$8)-'Reaction Information'!$N$58*(Calculations!$O117*LN(Calculations!$O117/Calculations!$C$8)-Calculations!$O117+Calculations!$C$8)-'Reaction Information'!$O$58*10^4*(((1/(Calculations!$O117-Calculations!$C$13))-(1/(Calculations!$C$8-Calculations!$C$13)))*((Calculations!$C$13-Calculations!$O117)/(Calculations!$C$13))-(Calculations!$O117/(Calculations!$C$13*Calculations!$C$13))*LN((Calculations!$C$8*(Calculations!$O117-Calculations!$C$13))/(Calculations!$O117*(Calculations!$C$8-Calculations!$C$13))))+'Reaction Information'!$J$58*10^-1*(Calculations!$M117-Calculations!$C$9)+'Reaction Information'!$K$58*10^2*LN((Calculations!$C$12+Calculations!$M117)/(Calculations!$C$12+Calculations!$C$9))+(1/(Calculations!$O117-Calculations!$C$13))*('Reaction Information'!$L$58*(Calculations!$M117-Calculations!$C$9)+'Reaction Information'!$M$58*10^4*LN((Calculations!$C$12+Calculations!$M117)/(Calculations!$C$12+Calculations!$C$9)))+calculateOmega(Calculations!M117,Calculations!N117,Calculations!Q117,'Reaction Information'!$C$58,'Reaction Information'!$P$58*10^5,'Reaction Information'!$Q$58)*((1/Calculations!$S117)-1)-'Reaction Information'!$P$58*10^5*((1/Calculations!$C$10)-1)+'Reaction Information'!$P$58*10^5*Calculations!$C$14*(Calculations!$O117-Calculations!$C$8))</f>
        <v>#N/A</v>
      </c>
      <c r="AW117" s="8" t="e">
        <f>IF(ISBLANK(Input!$BW$4),NA(),'Reaction Information'!$E$62-'Reaction Information'!$G$62*(Calculations!$O117-Calculations!$C$8)-'Reaction Information'!$N$62*(Calculations!$O117*LN(Calculations!$O117/Calculations!$C$8)-Calculations!$O117+Calculations!$C$8)-'Reaction Information'!$O$62*10^4*(((1/(Calculations!$O117-Calculations!$C$13))-(1/(Calculations!$C$8-Calculations!$C$13)))*((Calculations!$C$13-Calculations!$O117)/(Calculations!$C$13))-(Calculations!$O117/(Calculations!$C$13*Calculations!$C$13))*LN((Calculations!$C$8*(Calculations!$O117-Calculations!$C$13))/(Calculations!$O117*(Calculations!$C$8-Calculations!$C$13))))+'Reaction Information'!$J$62*10^-1*(Calculations!$M117-Calculations!$C$9)+'Reaction Information'!$K$62*10^2*LN((Calculations!$C$12+Calculations!$M117)/(Calculations!$C$12+Calculations!$C$9))+(1/(Calculations!$O117-Calculations!$C$13))*('Reaction Information'!$L$62*(Calculations!$M117-Calculations!$C$9)+'Reaction Information'!$M$62*10^4*LN((Calculations!$C$12+Calculations!$M117)/(Calculations!$C$12+Calculations!$C$9)))+calculateOmega(Calculations!M117,Calculations!N117,Calculations!Q117,'Reaction Information'!$C$62,'Reaction Information'!$P$62*10^5,'Reaction Information'!$Q$62)*((1/Calculations!$S117)-1)-'Reaction Information'!$P$62*10^5*((1/Calculations!$C$10)-1)+'Reaction Information'!$P$62*10^5*Calculations!$C$14*(Calculations!$O117-Calculations!$C$8))</f>
        <v>#N/A</v>
      </c>
      <c r="AX117" s="8" t="e">
        <f>IF(ISBLANK(Input!$BZ$4),NA(),'Reaction Information'!$E$66-'Reaction Information'!$G$66*(Calculations!$O117-Calculations!$C$8)-'Reaction Information'!$N$66*(Calculations!$O117*LN(Calculations!$O117/Calculations!$C$8)-Calculations!$O117+Calculations!$C$8)-'Reaction Information'!$O$66*10^4*(((1/(Calculations!$O117-Calculations!$C$13))-(1/(Calculations!$C$8-Calculations!$C$13)))*((Calculations!$C$13-Calculations!$O117)/(Calculations!$C$13))-(Calculations!$O117/(Calculations!$C$13*Calculations!$C$13))*LN((Calculations!$C$8*(Calculations!$O117-Calculations!$C$13))/(Calculations!$O117*(Calculations!$C$8-Calculations!$C$13))))+'Reaction Information'!$J$66*10^-1*(Calculations!$M117-Calculations!$C$9)+'Reaction Information'!$K$66*10^2*LN((Calculations!$C$12+Calculations!$M117)/(Calculations!$C$12+Calculations!$C$9))+(1/(Calculations!$O117-Calculations!$C$13))*('Reaction Information'!$L$66*(Calculations!$M117-Calculations!$C$9)+'Reaction Information'!$M$66*10^4*LN((Calculations!$C$12+Calculations!$M117)/(Calculations!$C$12+Calculations!$C$9)))+calculateOmega(Calculations!M117,Calculations!N117,Calculations!Q117,'Reaction Information'!$C$66,'Reaction Information'!$P$66*10^5,'Reaction Information'!$Q$66)*((1/Calculations!$S117)-1)-'Reaction Information'!$P$66*10^5*((1/Calculations!$C$10)-1)+'Reaction Information'!$P$66*10^5*Calculations!$C$14*(Calculations!$O117-Calculations!$C$8))</f>
        <v>#N/A</v>
      </c>
      <c r="AY117" s="31">
        <f>(AL117*Input!$AO$4+AM117*Input!$AR$4+AN117*Input!$AU$4+AO117*Input!$AX$4+IF(ISNA(AP117),0,AP117*Input!$BA$4)+IF(ISNA(AQ117),0,AQ117*Input!$BD$4)+IF(ISNA(AR117),0,AR117*Input!$BG$4)+IF(ISNA(AS117),0,AS117*Input!$BJ$4)+IF(ISNA(AT117),0,AT117*Input!$BM$4)+IF(ISNA(AU117),0,AU117*Input!$BP$4)+IF(ISNA(AV117),0,AV117*Input!$BS$4)+IF(ISNA(AW117),0,AW117*Input!$BV$4)+IF(ISNA(AX117),0,AX117*Input!$BY$4))-(Y117*Input!$B$4+Z117*Input!$E$4+AA117*Input!$H$4+AB117*Input!$K$4+IF(ISNA(AC117),0,AC117*Input!$N$4)+IF(ISNA(AD117),0,AD117*Input!$Q$4)+IF(ISNA(AE117),0,AE117*Input!$T$4)+IF(ISNA(AF117),0,AF117*Input!$W$4)+IF(ISNA(AG117),0,AG117*Input!$Z$4)+IF(ISNA(AH117),0,AH117*Input!$AC$4)+IF(ISNA(AI117),0,AI117*Input!$AF$4)+IF(ISNA(AJ117),0,AJ117*Input!$AI$4)+IF(ISNA(AK117),0,AK117*Input!$AL$4))</f>
        <v>14392.082744269457</v>
      </c>
      <c r="AZ117" s="42">
        <f t="shared" si="35"/>
        <v>-3.6046795477888351</v>
      </c>
      <c r="BA117" s="1">
        <f t="shared" si="27"/>
        <v>600</v>
      </c>
      <c r="BB117" s="46">
        <f t="shared" si="28"/>
        <v>40000</v>
      </c>
      <c r="BC117" s="1"/>
      <c r="BD117" s="2">
        <f t="shared" si="29"/>
        <v>40000</v>
      </c>
      <c r="BE117" s="46">
        <f t="shared" si="30"/>
        <v>600</v>
      </c>
      <c r="BF117" s="1">
        <f>Results!AJ119</f>
        <v>0</v>
      </c>
      <c r="BG117" s="1">
        <f>Results!AK119</f>
        <v>0</v>
      </c>
      <c r="BH117" s="1">
        <f>Results!AL119</f>
        <v>0</v>
      </c>
      <c r="BI117" s="1">
        <f>Results!AM119</f>
        <v>0</v>
      </c>
      <c r="BJ117" s="1" t="e">
        <f>IF(OR(ISNA('Reaction Information'!$D$5), $N117 = "", $D$27 = FALSE, 'Reaction Information'!$D$5 = ""), NA(), 24.465)</f>
        <v>#N/A</v>
      </c>
      <c r="BK117" s="1" t="e">
        <f>IF(OR(ISNA('Reaction Information'!$D$9), $N117 = "", $D$27 = FALSE, 'Reaction Information'!$D$9 = ""), NA(), 24.465)</f>
        <v>#N/A</v>
      </c>
      <c r="BL117" s="8">
        <f t="shared" si="36"/>
        <v>13.644394251053619</v>
      </c>
      <c r="BM117" s="8">
        <f>IF(OR(ISBLANK(Input!$X$4),$D$27=FALSE),NA(),('Reaction Information'!$J$13/10+'Reaction Information'!$K$13*100/(Calculations!$C$12+Calculations!$M117)+('Reaction Information'!$L$13+'Reaction Information'!$M$13*10^4/(Calculations!$C$12+Calculations!$M117))/(Calculations!$O117-Calculations!$C$13) -calculateOmega(Calculations!$M117,Calculations!$N117,Calculations!$Q117,'Reaction Information'!$C$13,'Reaction Information'!$P$13*10^5,'Reaction Information'!$Q$13)*Calculations!$U117*10^-6 + (1/$S117 - 1)*calculate_domegadP(Calculations!$M117,Calculations!$N117,Calculations!$Q117,'Reaction Information'!$C$13,'Reaction Information'!$P$13*10^5,'Reaction Information'!$Q$13,$D$20,$D$19=3))*41.84)</f>
        <v>30.084584729586947</v>
      </c>
      <c r="BN117" s="8" t="e">
        <f>IF(OR(ISBLANK(Input!$AA$4),$D$27=FALSE),NA(),('Reaction Information'!$J$17/10+'Reaction Information'!$K$17*100/(Calculations!$C$12+Calculations!$M117)+('Reaction Information'!$L$17+'Reaction Information'!$M$17*10000/(Calculations!$C$12+Calculations!$M117))/(Calculations!$O117-Calculations!$C$13)-calculateOmega(Calculations!M117,Calculations!N117,Calculations!Q117,'Reaction Information'!$C$17,'Reaction Information'!$P$17*10^5,'Reaction Information'!$Q$17)*Calculations!$U117*10^-6 + (1/$S117 - 1)*calculate_domegadP(Calculations!M117,Calculations!N117,Calculations!Q117,'Reaction Information'!$C$17,'Reaction Information'!$P$17*10^5,'Reaction Information'!$Q$17,$D$20,$D$19=3))*41.84)</f>
        <v>#N/A</v>
      </c>
      <c r="BO117" s="8" t="e">
        <f>IF(OR(ISBLANK(Input!$AD$4),$D$27=FALSE),NA(),('Reaction Information'!$J$21/10+'Reaction Information'!$K$21*100/(Calculations!$C$12+Calculations!$M117)+('Reaction Information'!$L$21+'Reaction Information'!$M$21*10000/(Calculations!$C$12+Calculations!$M117))/(Calculations!$O117-Calculations!$C$13)-calculateOmega(Calculations!M117,Calculations!N117,Calculations!Q117,'Reaction Information'!$C$21,'Reaction Information'!$P$21*10^5,'Reaction Information'!$Q$21)*Calculations!$U117*10^-6 + (1/$S117 - 1)*calculate_domegadP(Calculations!M117,Calculations!N117,Calculations!Q117,'Reaction Information'!$C$21,'Reaction Information'!$P$21*10^5,'Reaction Information'!$Q$21,$D$20,$D$19=3))*41.84)</f>
        <v>#N/A</v>
      </c>
      <c r="BP117" s="8" t="e">
        <f>IF(OR(ISBLANK(Input!$AG$4),$D$27=FALSE),NA(),('Reaction Information'!$J$25/10+'Reaction Information'!$K$25*100/(Calculations!$C$12+Calculations!$M117)+('Reaction Information'!$L$25+'Reaction Information'!$M$25*10000/(Calculations!$C$12+Calculations!$M117))/(Calculations!$O117-Calculations!$C$13)-calculateOmega(Calculations!M117,Calculations!N117,Calculations!Q117,'Reaction Information'!$C$25,'Reaction Information'!$P$25*10^5,'Reaction Information'!$Q$25)*Calculations!$U117*10^-6 + (1/$S117 - 1)*calculate_domegadP(Calculations!M117,Calculations!N117,Calculations!Q117,'Reaction Information'!$C$25,'Reaction Information'!$P$25*10^5,'Reaction Information'!$Q$25,$D$20,$D$19=3))*41.84)</f>
        <v>#N/A</v>
      </c>
      <c r="BQ117" s="8" t="e">
        <f>IF(OR(ISBLANK(Input!$AJ$4),$D$27=FALSE),NA(),('Reaction Information'!$J$29/10+'Reaction Information'!$K$29*100/(Calculations!$C$12+Calculations!$M117)+('Reaction Information'!$L$29+'Reaction Information'!$M$29*10000/(Calculations!$C$12+Calculations!$M117))/(Calculations!$O117-Calculations!$C$13)-calculateOmega(Calculations!M117,Calculations!N117,Calculations!Q117,'Reaction Information'!$C$29,'Reaction Information'!$P$29*10^5,'Reaction Information'!$Q$29)*Calculations!$U117*10^-6 + (1/$S117 - 1)*calculate_domegadP(Calculations!M117,Calculations!N117,Calculations!Q117,'Reaction Information'!$C$29,'Reaction Information'!$P$29*10^5,'Reaction Information'!$Q$29,$D$20,$D$19=3))*41.84)</f>
        <v>#N/A</v>
      </c>
      <c r="BR117" s="8" t="e">
        <f>IF(OR(ISBLANK(Input!$AM$4),$D$27=FALSE),NA(),('Reaction Information'!$J$33/10+'Reaction Information'!$K$33*100/(Calculations!$C$12+Calculations!$M117)+('Reaction Information'!$L$33+'Reaction Information'!$M$33*10000/(Calculations!$C$12+Calculations!$M117))/(Calculations!$O117-Calculations!$C$13)-calculateOmega(Calculations!M117,Calculations!N117,Calculations!Q117,'Reaction Information'!$C$33,'Reaction Information'!$P$33*10^5,'Reaction Information'!$Q$33)*Calculations!$U117*10^-6 + (1/$S117 - 1)*calculate_domegadP(Calculations!M117,Calculations!N117,Calculations!Q117,'Reaction Information'!$C$33,'Reaction Information'!$P$33*10^5,'Reaction Information'!$Q$33,$D$20,$D$19=3))*41.84)</f>
        <v>#N/A</v>
      </c>
      <c r="BS117" s="1">
        <f>Results!AW119</f>
        <v>0</v>
      </c>
      <c r="BT117" s="1">
        <f>Results!AX119</f>
        <v>0</v>
      </c>
      <c r="BU117" s="1">
        <f>Results!AY119</f>
        <v>0</v>
      </c>
      <c r="BV117" s="1">
        <f>Results!AZ119</f>
        <v>0</v>
      </c>
      <c r="BW117" s="1" t="e">
        <f>IF(OR(ISNA('Reaction Information'!$D$38), $N117 = "", $D$27 = FALSE, 'Reaction Information'!$D$38 = ""), NA(), 24.465)</f>
        <v>#N/A</v>
      </c>
      <c r="BX117" s="1" t="e">
        <f>IF(OR(ISNA('Reaction Information'!$D$42), $N117 = "", $D$27 = FALSE, 'Reaction Information'!$D$42 = ""), NA(), 24.465)</f>
        <v>#N/A</v>
      </c>
      <c r="BY117" s="8" t="e">
        <f t="shared" si="37"/>
        <v>#N/A</v>
      </c>
      <c r="BZ117" s="8">
        <f>IF(OR(ISBLANK(Input!$BK$4),$D$27=FALSE),NA(),('Reaction Information'!$J$46/10+'Reaction Information'!$K$46*100/(Calculations!$C$12+Calculations!$M117)+('Reaction Information'!$L$46+'Reaction Information'!$M$46*10000/(Calculations!$C$12+Calculations!$M117))/(Calculations!$O117-Calculations!$C$13)-calculateOmega(Calculations!M117,Calculations!N117,Calculations!Q117,'Reaction Information'!$C$46,'Reaction Information'!$P$46*10^5,'Reaction Information'!$Q$46)*Calculations!$U117*10^-6 + (1/$S117 - 1)*calculate_domegadP(Calculations!M117,Calculations!N117,Calculations!Q117,'Reaction Information'!$C$46,'Reaction Information'!$P$46*10^5,'Reaction Information'!$Q$46,$D$20,$D$19=3))*41.84)</f>
        <v>0</v>
      </c>
      <c r="CA117" s="8">
        <f>IF(OR(ISBLANK(Input!$BN$4),$D$27=FALSE),NA(),('Reaction Information'!$J$50/10+'Reaction Information'!$K$50*100/(Calculations!$C$12+Calculations!$M117)+('Reaction Information'!$L$50+'Reaction Information'!$M$50*10000/(Calculations!$C$12+Calculations!$M117))/(Calculations!$O117-Calculations!$C$13)-calculateOmega(Calculations!M117,Calculations!N117,Calculations!Q117,'Reaction Information'!$C$50,'Reaction Information'!$P$50*10^5,'Reaction Information'!$Q$50)*Calculations!$U117*10^-6 + (1/$S117 - 1)*calculate_domegadP(Calculations!M117,Calculations!N117,Calculations!Q117,'Reaction Information'!$C$50,'Reaction Information'!$P$50*10^5,'Reaction Information'!$Q$50,$D$20,$D$19=3))*41.84)</f>
        <v>31.172939080756311</v>
      </c>
      <c r="CB117" s="8" t="e">
        <f>IF(OR(ISBLANK(Input!$BQ$4),$D$27=FALSE),NA(),('Reaction Information'!$J$54/10+'Reaction Information'!$K$54*100/(Calculations!$C$12+Calculations!$M117)+('Reaction Information'!$L$54+'Reaction Information'!$M$54*10000/(Calculations!$C$12+Calculations!$M117))/(Calculations!$O117-Calculations!$C$13)-calculateOmega(Calculations!M117,Calculations!N117,Calculations!Q117,'Reaction Information'!$C$54,'Reaction Information'!$P$54*10^5,'Reaction Information'!$Q$54)*Calculations!$U117*10^-6 + (1/$S117 - 1)*calculate_domegadP(Calculations!M117,Calculations!N117,Calculations!Q117,'Reaction Information'!$C$54,'Reaction Information'!$P$54*10^5,'Reaction Information'!$Q$54,$D$20,$D$19=3))*41.84)</f>
        <v>#N/A</v>
      </c>
      <c r="CC117" s="8" t="e">
        <f>IF(OR(ISBLANK(Input!$BT$4),$D$27=FALSE),NA(),('Reaction Information'!$J$58/10+'Reaction Information'!$K$58*100/(Calculations!$C$12+Calculations!$M117)+('Reaction Information'!$L$58+'Reaction Information'!$M$58*10000/(Calculations!$C$12+Calculations!$M117))/(Calculations!$O117-Calculations!$C$13)-calculateOmega(Calculations!M117,Calculations!N117,Calculations!Q117,'Reaction Information'!$C$58,'Reaction Information'!$P$58*10^5,'Reaction Information'!$Q$58)*Calculations!$U117*10^-6 + (1/$S117 - 1)*calculate_domegadP(Calculations!M117,Calculations!N117,Calculations!Q117,'Reaction Information'!$C$58,'Reaction Information'!$P$58*10^5,'Reaction Information'!$Q$58,$D$20,$D$19=3))*41.84)</f>
        <v>#N/A</v>
      </c>
      <c r="CD117" s="8" t="e">
        <f>IF(OR(ISBLANK(Input!$BW$4),$D$27=FALSE),NA(),('Reaction Information'!$J$62/10+'Reaction Information'!$K$62*100/(Calculations!$C$12+Calculations!$M117)+('Reaction Information'!$L$62+'Reaction Information'!$M$62*10000/(Calculations!$C$12+Calculations!$M117))/(Calculations!$O117-Calculations!$C$13)-calculateOmega(Calculations!M117,Calculations!N117,Calculations!Q117,'Reaction Information'!$C$62,'Reaction Information'!$P$62*10^5,'Reaction Information'!$Q$62)*Calculations!$U117*10^-6 + (1/$S117 - 1)*calculate_domegadP(Calculations!M117,Calculations!N117,Calculations!Q117,'Reaction Information'!$C$62,'Reaction Information'!$P$62*10^5,'Reaction Information'!$Q$62,$D$20,$D$19=3))*41.84)</f>
        <v>#N/A</v>
      </c>
      <c r="CE117" s="8" t="e">
        <f>IF(OR(ISBLANK(Input!$BZ$4),$D$27=FALSE),NA(),('Reaction Information'!$J$66/10+'Reaction Information'!$K$66*100/(Calculations!$C$12+Calculations!$M117)+('Reaction Information'!$L$66+'Reaction Information'!$M$66*10000/(Calculations!$C$12+Calculations!$M117))/(Calculations!$O117-Calculations!$C$13)-calculateOmega(Calculations!M117,Calculations!N117,Calculations!Q117,'Reaction Information'!$C$66,'Reaction Information'!$P$66*10^5,'Reaction Information'!$Q$66)*Calculations!$U117*10^-6 + (1/$S117 - 1)*calculate_domegadP(Calculations!M117,Calculations!N117,Calculations!Q117,'Reaction Information'!$C$66,'Reaction Information'!$P$66*10^5,'Reaction Information'!$Q$66,$D$20,$D$19=3))*41.84)</f>
        <v>#N/A</v>
      </c>
      <c r="CF117" s="31">
        <f>(BS117*Input!$AO$4+BT117*Input!$AR$4+BU117*Input!$AU$4+BV117*Input!$AX$4+IF(ISNA(BW117),0,BW117*Input!$BA$4)+IF(ISNA(BX117),0,BX117*Input!$BD$4)+IF(ISNA(BY117),0,BY117*Input!$BG$4)+IF(ISNA(BZ117),0,BZ117*Input!$BJ$4)+IF(ISNA(CA117),0,CA117*Input!$BM$4)+IF(ISNA(CB117),0,CB117*Input!$BP$4)+IF(ISNA(CC117),0,CC117*Input!$BS$4)+IF(ISNA(CD117),0,CD117*Input!$BV$4)+IF(ISNA(CE117),0,CE117*Input!$BY$4))-(BF117*Input!$B$4+BG117*Input!$E$4+BH117*Input!$H$4+BI117*Input!$K$4+IF(ISNA(BJ117),0,BJ117*Input!$N$4)+IF(ISNA(BK117),0,BK117*Input!$Q$4)+IF(ISNA(BL117),0,BL117*Input!$T$4)+IF(ISNA(BM117),0,BM117*Input!$W$4)+IF(ISNA(BN117),0,BN117*Input!$Z$4)+IF(ISNA(BO117),0,BO117*Input!$AC$4)+IF(ISNA(BP117),0,BP117*Input!$AF$4)+IF(ISNA(BQ117),0,BQ117*Input!$AI$4)+IF(ISNA(BR117),0,BR117*Input!$AL$4))</f>
        <v>-12.556039899884251</v>
      </c>
      <c r="CG117" s="1">
        <f t="shared" si="31"/>
        <v>600</v>
      </c>
      <c r="CH117" s="46">
        <f t="shared" si="32"/>
        <v>40000</v>
      </c>
      <c r="CI117" s="1"/>
    </row>
    <row r="118" spans="1:87" x14ac:dyDescent="0.2">
      <c r="A118" s="1"/>
      <c r="B118" s="1"/>
      <c r="C118" s="1"/>
      <c r="D118" s="1"/>
      <c r="E118" s="1"/>
      <c r="F118" s="2">
        <v>113</v>
      </c>
      <c r="G118" s="1" t="str">
        <f>IF(ISBLANK(Input!CB118), "", Input!CB118*1000)</f>
        <v/>
      </c>
      <c r="H118" s="1" t="str">
        <f>IF(ISBLANK(Input!CC118), "", Input!CC118)</f>
        <v/>
      </c>
      <c r="I118" s="1">
        <f>IF(Input!$CF$5 + Input!$CF$6*(FLOOR((Calculations!$F118-1)/(FLOOR((Input!$CF$12-Input!$CF$10)/Input!$CF$11,1)+1),1)) &gt; Input!$CF$7, "", (Input!$CF$5 + Input!$CF$6*(FLOOR((Calculations!$F118-1)/(FLOOR((Input!$CF$12-Input!$CF$10)/Input!$CF$11,1)+1),1)))*1000)</f>
        <v>40000</v>
      </c>
      <c r="J118" s="1">
        <f>IF(Calculations!I118 = "", "", Input!$CF$10 + Input!$CF$11*(Calculations!$F118-1) - (FLOOR((Input!$CF$12-Input!$CF$10)/Input!$CF$11,1)+1)*Input!$CF$11*FLOOR((Calculations!$F118-1)/(FLOOR((Input!$CF$12-Input!$CF$10)/Input!$CF$11,1)+1),1))</f>
        <v>650</v>
      </c>
      <c r="K118" s="8" t="str">
        <f t="shared" si="33"/>
        <v/>
      </c>
      <c r="L118" s="117" t="str">
        <f>IF(OR(Input!$CJ$5 + Input!$CJ$6*(Calculations!F118-1) &gt; Input!$CJ$7, Input!$CJ$5 + Input!$CJ$6*(Calculations!F118-1) &gt; 350), "", Input!$CJ$5 + Input!$CJ$6*(Calculations!F118-1))</f>
        <v/>
      </c>
      <c r="M118" s="1">
        <f t="shared" si="23"/>
        <v>40000</v>
      </c>
      <c r="N118" s="1">
        <f t="shared" si="24"/>
        <v>650</v>
      </c>
      <c r="O118" s="1">
        <f t="shared" si="34"/>
        <v>923.15</v>
      </c>
      <c r="P118" s="1" t="e">
        <f>IF(OR($D$20=3,AND($D$21=TRUE,M118&lt;1000)),INDEX('Water Density'!$C$6:$CX$120,MATCH(Calculations!N118,'Water Density'!$B$6:$B$120),MATCH(Calculations!M118/1000,'Water Density'!$C$5:$CX$5)),NA())</f>
        <v>#N/A</v>
      </c>
      <c r="Q118" s="182">
        <f>IF(OR($D$20=3,AND($D$21=TRUE,M118&lt;1000)), IF(P118&lt;&gt;0,P118,NA()), calculateDensity(M118,N118,$D$20,0.01,$D$19 = 3))</f>
        <v>1.3062912290549278</v>
      </c>
      <c r="R118" s="1" t="e">
        <f>IF($D$22=5,INDEX('Dielectric Constant'!$C$6:$CX$120,MATCH(Calculations!N118,'Dielectric Constant'!$B$6:$B$120),MATCH(Calculations!M118/1000,'Dielectric Constant'!$C$5:$CX$5)),NA())</f>
        <v>#N/A</v>
      </c>
      <c r="S118" s="58">
        <f>IF($D$22=5, IF(R118&lt;&gt;0,R118,NA()), IF(AND($D$23,M118&lt;=5000,$D$19 &lt;&gt; 3),calculateEpsilon(Q118,N118,1,FALSE),calculateEpsilon(Q118,N118,$D$22,$D$19 = 3)))</f>
        <v>28.100328643529043</v>
      </c>
      <c r="T118" s="1" t="e">
        <f>IF($D$24=3,INDEX('Water Free Energy'!$C$6:$CX$120,MATCH(Calculations!N118,'Water Free Energy'!$B$6:$B$120),MATCH(Calculations!M118/1000,'Water Free Energy'!$C$5:$CX$5)),NA())</f>
        <v>#N/A</v>
      </c>
      <c r="U118" s="179">
        <f>IF($D$27,calculateQ(M118,N118,Q118,$D$20,$D$22,$D$19=3)*10^6,NA())</f>
        <v>0.18656587696327029</v>
      </c>
      <c r="V118"/>
      <c r="W118" s="2">
        <f t="shared" si="25"/>
        <v>40000</v>
      </c>
      <c r="X118" s="1">
        <f t="shared" si="26"/>
        <v>650</v>
      </c>
      <c r="Y118" s="1">
        <f>Results!F120</f>
        <v>0</v>
      </c>
      <c r="Z118" s="1">
        <f>Results!G120</f>
        <v>0</v>
      </c>
      <c r="AA118" s="1">
        <f>Results!H120</f>
        <v>0</v>
      </c>
      <c r="AB118" s="1">
        <f>Results!I120</f>
        <v>0</v>
      </c>
      <c r="AC118" s="1" t="e">
        <f>IF(ISBLANK(Input!$O$4),NA(),'Reaction Information'!$E$5-'Reaction Information'!$G$5*(Calculations!$O118-Calculations!$C$8)+'Reaction Information'!$I$5*(Calculations!$O118-Calculations!$C$8-Calculations!$O118*LN(Calculations!$O118/Calculations!$C$8))+'Reaction Information'!$J$5*0.001/2*(2*Calculations!$O118*Calculations!$C$8-Calculations!$O118^2-Calculations!$C$8^2) + 'Reaction Information'!$K$5*100000*(Calculations!$O118^2 + Calculations!$C$8^2 - 2*Calculations!$O118*Calculations!$C$8)/(2*Calculations!$O118*Calculations!$C$8^2))</f>
        <v>#N/A</v>
      </c>
      <c r="AD118" s="8" t="e">
        <f>IF(ISBLANK(Input!$R$4),NA(),'Reaction Information'!$E$9-'Reaction Information'!$G$9*(Calculations!$O118-Calculations!$C$8)+'Reaction Information'!$I$9*(Calculations!$O118-Calculations!$C$8-Calculations!$O118*LN(Calculations!$O118/Calculations!$C$8))+'Reaction Information'!$J$9*0.001/2*(2*Calculations!$O118*Calculations!$C$8-Calculations!$O118^2-Calculations!$C$8^2) + 'Reaction Information'!$K$9*100000*(Calculations!$O118^2 + Calculations!$C$8^2 - 2*Calculations!$O118*Calculations!$C$8)/(2*Calculations!$O118*Calculations!$C$8^2))</f>
        <v>#N/A</v>
      </c>
      <c r="AE118" s="8">
        <f>IF(AE$5="H2O",IF($D$24=3,IF(T118=0,NA(),T118),calculateGibbsOfWater(M118,N118,$D$24,$D$20,$D$19=3)),NA())</f>
        <v>-57586.491902902031</v>
      </c>
      <c r="AF118" s="8">
        <f>IF(ISBLANK(Input!$X$4),NA(),'Reaction Information'!$E$13-'Reaction Information'!$G$13*(Calculations!O118-Calculations!$C$8)-'Reaction Information'!$N$13*(Calculations!O118*LN(Calculations!O118/Calculations!$C$8)-Calculations!O118+Calculations!$C$8)-'Reaction Information'!$O$13*10^4*(((1/(Calculations!O118-Calculations!$C$13))-(1/(Calculations!$C$8-Calculations!$C$13)))*((Calculations!$C$13-Calculations!O118)/(Calculations!$C$13))-(Calculations!O118/(Calculations!$C$13*Calculations!$C$13))*LN((Calculations!$C$8*(Calculations!O118-Calculations!$C$13))/(Calculations!O118*(Calculations!$C$8-Calculations!$C$13))))+'Reaction Information'!$J$13*10^-1*(Calculations!M118-Calculations!$C$9)+'Reaction Information'!$K$13*10^2*LN((Calculations!$C$12+Calculations!M118)/(Calculations!$C$12+Calculations!$C$9))+(1/(Calculations!O118-Calculations!$C$13))*('Reaction Information'!$L$13*(Calculations!M118-Calculations!$C$9)+'Reaction Information'!$M$13*10^4*LN((Calculations!$C$12+Calculations!M118)/(Calculations!$C$12+Calculations!$C$9)))+calculateOmega(Calculations!M118,Calculations!N118,Calculations!Q118,'Reaction Information'!$C$13,'Reaction Information'!$P$13*10^5,'Reaction Information'!$Q$13)*((1/Calculations!S118)-1)-'Reaction Information'!$P$13*10^5*((1/Calculations!$C$10)-1)+'Reaction Information'!$P$13*10^5*Calculations!$C$14*(Calculations!O118-Calculations!$C$8))</f>
        <v>-88661.398836515145</v>
      </c>
      <c r="AG118" s="8" t="e">
        <f>IF(ISBLANK(Input!$AA$4),NA(),'Reaction Information'!$E$17-'Reaction Information'!$G$17*(Calculations!$O118-Calculations!$C$8)-'Reaction Information'!$N$17*(Calculations!$O118*LN(Calculations!$O118/Calculations!$C$8)-Calculations!$O118+Calculations!$C$8)-'Reaction Information'!$O$17*10^4*(((1/(Calculations!$O118-Calculations!$C$13))-(1/(Calculations!$C$8-Calculations!$C$13)))*((Calculations!$C$13-Calculations!$O118)/(Calculations!$C$13))-(Calculations!$O118/(Calculations!$C$13*Calculations!$C$13))*LN((Calculations!$C$8*(Calculations!$O118-Calculations!$C$13))/(Calculations!$O118*(Calculations!$C$8-Calculations!$C$13))))+'Reaction Information'!$J$17*10^-1*(Calculations!$M118-Calculations!$C$9)+'Reaction Information'!$K$17*10^2*LN((Calculations!$C$12+Calculations!$M118)/(Calculations!$C$12+Calculations!$C$9))+(1/(Calculations!$O118-Calculations!$C$13))*('Reaction Information'!$L$17*(Calculations!$M118-Calculations!$C$9)+'Reaction Information'!$M$17*10^4*LN((Calculations!$C$12+Calculations!$M118)/(Calculations!$C$12+Calculations!$C$9)))+calculateOmega(Calculations!M118,Calculations!N118,Calculations!Q118,'Reaction Information'!$C$17,'Reaction Information'!$P$17*10^5,'Reaction Information'!$Q$17)*((1/Calculations!$S118)-1)-'Reaction Information'!$P$17*10^5*((1/Calculations!$C$10)-1)+'Reaction Information'!$P$17*10^5*Calculations!$C$14*(Calculations!$O118-Calculations!$C$8))</f>
        <v>#N/A</v>
      </c>
      <c r="AH118" s="8" t="e">
        <f>IF(ISBLANK(Input!$AD$4),NA(),'Reaction Information'!$E$21-'Reaction Information'!$G$21*(Calculations!$O118-Calculations!$C$8)-'Reaction Information'!$N$21*(Calculations!$O118*LN(Calculations!$O118/Calculations!$C$8)-Calculations!$O118+Calculations!$C$8)-'Reaction Information'!$O$21*10^4*(((1/(Calculations!$O118-Calculations!$C$13))-(1/(Calculations!$C$8-Calculations!$C$13)))*((Calculations!$C$13-Calculations!$O118)/(Calculations!$C$13))-(Calculations!$O118/(Calculations!$C$13*Calculations!$C$13))*LN((Calculations!$C$8*(Calculations!$O118-Calculations!$C$13))/(Calculations!$O118*(Calculations!$C$8-Calculations!$C$13))))+'Reaction Information'!$J$21*10^-1*(Calculations!$M118-Calculations!$C$9)+'Reaction Information'!$K$21*10^2*LN((Calculations!$C$12+Calculations!$M118)/(Calculations!$C$12+Calculations!$C$9))+(1/(Calculations!$O118-Calculations!$C$13))*('Reaction Information'!$L$21*(Calculations!$M118-Calculations!$C$9)+'Reaction Information'!$M$21*10^4*LN((Calculations!$C$12+Calculations!$M118)/(Calculations!$C$12+Calculations!$C$9)))+calculateOmega(Calculations!M118,Calculations!N118,Calculations!Q118,'Reaction Information'!$C$21,'Reaction Information'!$P$21*10^5,'Reaction Information'!$Q$21)*((1/Calculations!$S118)-1)-'Reaction Information'!$P$21*10^5*((1/Calculations!$C$10)-1)+'Reaction Information'!$P$21*10^5*Calculations!$C$14*(Calculations!$O118-Calculations!$C$8))</f>
        <v>#N/A</v>
      </c>
      <c r="AI118" s="8" t="e">
        <f>IF(ISBLANK(Input!$AG$4),NA(),'Reaction Information'!$E$25-'Reaction Information'!$G$25*(Calculations!$O118-Calculations!$C$8)-'Reaction Information'!$N$25*(Calculations!$O118*LN(Calculations!$O118/Calculations!$C$8)-Calculations!$O118+Calculations!$C$8)-'Reaction Information'!$O$25*10^4*(((1/(Calculations!$O118-Calculations!$C$13))-(1/(Calculations!$C$8-Calculations!$C$13)))*((Calculations!$C$13-Calculations!$O118)/(Calculations!$C$13))-(Calculations!$O118/(Calculations!$C$13*Calculations!$C$13))*LN((Calculations!$C$8*(Calculations!$O118-Calculations!$C$13))/(Calculations!$O118*(Calculations!$C$8-Calculations!$C$13))))+'Reaction Information'!$J$25*10^-1*(Calculations!$M118-Calculations!$C$9)+'Reaction Information'!$K$25*10^2*LN((Calculations!$C$12+Calculations!$M118)/(Calculations!$C$12+Calculations!$C$9))+(1/(Calculations!$O118-Calculations!$C$13))*('Reaction Information'!$L$25*(Calculations!$M118-Calculations!$C$9)+'Reaction Information'!$M$25*10^4*LN((Calculations!$C$12+Calculations!$M118)/(Calculations!$C$12+Calculations!$C$9)))+calculateOmega(Calculations!M118,Calculations!N118,Calculations!Q118,'Reaction Information'!$C$25,'Reaction Information'!$P$25*10^5,'Reaction Information'!$Q$25)*((1/Calculations!$S118)-1)-'Reaction Information'!$P$25*10^5*((1/Calculations!$C$10)-1)+'Reaction Information'!$P$25*10^5*Calculations!$C$14*(Calculations!$O118-Calculations!$C$8))</f>
        <v>#N/A</v>
      </c>
      <c r="AJ118" s="8" t="e">
        <f>IF(ISBLANK(Input!$AJ$4),NA(),'Reaction Information'!$E$29-'Reaction Information'!$G$29*(Calculations!$O118-Calculations!$C$8)-'Reaction Information'!$N$29*(Calculations!$O118*LN(Calculations!$O118/Calculations!$C$8)-Calculations!$O118+Calculations!$C$8)-'Reaction Information'!$O$29*10^4*(((1/(Calculations!$O118-Calculations!$C$13))-(1/(Calculations!$C$8-Calculations!$C$13)))*((Calculations!$C$13-Calculations!$O118)/(Calculations!$C$13))-(Calculations!$O118/(Calculations!$C$13*Calculations!$C$13))*LN((Calculations!$C$8*(Calculations!$O118-Calculations!$C$13))/(Calculations!$O118*(Calculations!$C$8-Calculations!$C$13))))+'Reaction Information'!$J$29*10^-1*(Calculations!$M118-Calculations!$C$9)+'Reaction Information'!$K$29*10^2*LN((Calculations!$C$12+Calculations!$M118)/(Calculations!$C$12+Calculations!$C$9))+(1/(Calculations!$O118-Calculations!$C$13))*('Reaction Information'!$L$29*(Calculations!$M118-Calculations!$C$9)+'Reaction Information'!$M$29*10^4*LN((Calculations!$C$12+Calculations!$M118)/(Calculations!$C$12+Calculations!$C$9)))+calculateOmega(Calculations!M118,Calculations!N118,Calculations!Q118,'Reaction Information'!$C$29,'Reaction Information'!$P$29*10^5,'Reaction Information'!$Q$29)*((1/Calculations!$S118)-1)-'Reaction Information'!$P$29*10^5*((1/Calculations!$C$10)-1)+'Reaction Information'!$P$29*10^5*Calculations!$C$14*(Calculations!$O118-Calculations!$C$8))</f>
        <v>#N/A</v>
      </c>
      <c r="AK118" s="8" t="e">
        <f>IF(ISBLANK(Input!$AM$4),NA(),'Reaction Information'!$E$33-'Reaction Information'!$G$33*(Calculations!$O118-Calculations!$C$8)-'Reaction Information'!$N$33*(Calculations!$O118*LN(Calculations!$O118/Calculations!$C$8)-Calculations!$O118+Calculations!$C$8)-'Reaction Information'!$O$33*10^4*(((1/(Calculations!$O118-Calculations!$C$13))-(1/(Calculations!$C$8-Calculations!$C$13)))*((Calculations!$C$13-Calculations!$O118)/(Calculations!$C$13))-(Calculations!$O118/(Calculations!$C$13*Calculations!$C$13))*LN((Calculations!$C$8*(Calculations!$O118-Calculations!$C$13))/(Calculations!$O118*(Calculations!$C$8-Calculations!$C$13))))+'Reaction Information'!$J$33*10^-1*(Calculations!$M118-Calculations!$C$9)+'Reaction Information'!$K$33*10^2*LN((Calculations!$C$12+Calculations!$M118)/(Calculations!$C$12+Calculations!$C$9))+(1/(Calculations!$O118-Calculations!$C$13))*('Reaction Information'!$L$33*(Calculations!$M118-Calculations!$C$9)+'Reaction Information'!$M$33*10^4*LN((Calculations!$C$12+Calculations!$M118)/(Calculations!$C$12+Calculations!$C$9)))+calculateOmega(Calculations!M118,Calculations!N118,Calculations!Q118,'Reaction Information'!$C$33,'Reaction Information'!$P$33*10^5,'Reaction Information'!$Q$33)*((1/Calculations!$S118)-1)-'Reaction Information'!$P$33*10^5*((1/Calculations!$C$10)-1)+'Reaction Information'!$P$33*10^5*Calculations!$C$14*(Calculations!$O118-Calculations!$C$8))</f>
        <v>#N/A</v>
      </c>
      <c r="AL118" s="1">
        <f>Results!S120</f>
        <v>0</v>
      </c>
      <c r="AM118" s="1">
        <f>Results!T120</f>
        <v>0</v>
      </c>
      <c r="AN118" s="1">
        <f>Results!U120</f>
        <v>0</v>
      </c>
      <c r="AO118" s="1">
        <f>Results!V120</f>
        <v>0</v>
      </c>
      <c r="AP118" s="8" t="e">
        <f>IF(ISBLANK(Input!$BB$4),NA(),'Reaction Information'!$E$38-'Reaction Information'!$G$38*(Calculations!$O118-Calculations!$C$8)+'Reaction Information'!$I$38*(Calculations!$O118-Calculations!$C$8-Calculations!$O118*LN(Calculations!$O118/Calculations!$C$8))+'Reaction Information'!$J$38*0.001/2*(2*Calculations!$O118*Calculations!$C$8-Calculations!$O118^2-Calculations!$C$8^2) + 'Reaction Information'!$K$38*100000*(Calculations!$O118^2 + Calculations!$C$8^2 - 2*Calculations!$O118*Calculations!$C$8)/(2*Calculations!$O118*Calculations!$C$8^2))</f>
        <v>#N/A</v>
      </c>
      <c r="AQ118" s="8" t="e">
        <f>IF(ISBLANK(Input!$BE$4),NA(),'Reaction Information'!$E$42-'Reaction Information'!$G$42*(Calculations!$O118-Calculations!$C$8)+'Reaction Information'!$I$42*(Calculations!$O118-Calculations!$C$8-Calculations!$O118*LN(Calculations!$O118/Calculations!$C$8))+'Reaction Information'!$J$42*0.001/2*(2*Calculations!$O118*Calculations!$C$8-Calculations!$O118^2-Calculations!$C$8^2) + 'Reaction Information'!$K$42*100000*(Calculations!$O118^2 + Calculations!$C$8^2 - 2*Calculations!$O118*Calculations!$C$8)/(2*Calculations!$O118*Calculations!$C$8^2))</f>
        <v>#N/A</v>
      </c>
      <c r="AR118" s="8" t="e">
        <f>IF(AR$5="H2O", IF($D$24=3,IF(T118=0,NA(),T118),calculateGibbsOfWater(M118,N118,$D$24,$D$20,$D$19=3)),NA())</f>
        <v>#N/A</v>
      </c>
      <c r="AS118" s="8">
        <f>IF(ISBLANK(Input!$BK$4),NA(),'Reaction Information'!$E$46-'Reaction Information'!$G$46*(Calculations!O118-Calculations!$C$8)-'Reaction Information'!$N$46*(Calculations!O118*LN(Calculations!O118/Calculations!$C$8)-Calculations!O118+Calculations!$C$8)-'Reaction Information'!$O$46*10^4*(((1/(Calculations!O118-Calculations!$C$13))-(1/(Calculations!$C$8-Calculations!$C$13)))*((Calculations!$C$13-Calculations!O118)/(Calculations!$C$13))-(Calculations!O118/(Calculations!$C$13*Calculations!$C$13))*LN((Calculations!$C$8*(Calculations!O118-Calculations!$C$13))/(Calculations!O118*(Calculations!$C$8-Calculations!$C$13))))+'Reaction Information'!$J$46*10^-1*(Calculations!$M118-Calculations!$C$9)+'Reaction Information'!$K$46*10^2*LN((Calculations!$C$12+Calculations!$M118)/(Calculations!$C$12+Calculations!$C$9))+(1/(Calculations!O118-Calculations!$C$13))*('Reaction Information'!$L$46*(Calculations!$M118-Calculations!$C$9)+'Reaction Information'!$M$46*10^4*LN((Calculations!$C$12+Calculations!$M118)/(Calculations!$C$12+Calculations!$C$9)))+calculateOmega(Calculations!M118,Calculations!N118,Calculations!Q118,'Reaction Information'!$C$46,'Reaction Information'!$P$46*10^5,'Reaction Information'!$Q$46)*((1/Calculations!S118)-1)-'Reaction Information'!$P$46*10^5*((1/Calculations!$C$10)-1)+'Reaction Information'!$P$46*10^5*Calculations!$C$14*(Calculations!O118-Calculations!$C$8))</f>
        <v>0</v>
      </c>
      <c r="AT118" s="8">
        <f>IF(ISBLANK(Input!$BN$4),NA(),'Reaction Information'!$E$50-'Reaction Information'!$G$50*(Calculations!O118-Calculations!$C$8)-'Reaction Information'!$N$50*(Calculations!O118*LN(Calculations!O118/Calculations!$C$8)-Calculations!O118+Calculations!$C$8)-'Reaction Information'!$O$50*10^4*(((1/(Calculations!O118-Calculations!$C$13))-(1/(Calculations!$C$8-Calculations!$C$13)))*((Calculations!$C$13-Calculations!O118)/(Calculations!$C$13))-(Calculations!O118/(Calculations!$C$13*Calculations!$C$13))*LN((Calculations!$C$8*(Calculations!O118-Calculations!$C$13))/(Calculations!O118*(Calculations!$C$8-Calculations!$C$13))))+'Reaction Information'!$J$50*10^-1*(Calculations!$M118-Calculations!$C$9)+'Reaction Information'!$K$50*10^2*LN((Calculations!$C$12+Calculations!$M118)/(Calculations!$C$12+Calculations!$C$9))+(1/(Calculations!O118-Calculations!$C$13))*('Reaction Information'!$L$50*(Calculations!$M118-Calculations!$C$9)+'Reaction Information'!$M$50*10^4*LN((Calculations!$C$12+Calculations!$M118)/(Calculations!$C$12+Calculations!$C$9)))+calculateOmega(Calculations!M118,Calculations!N118,Calculations!Q118,'Reaction Information'!$C$50,'Reaction Information'!$P$50*10^5,'Reaction Information'!$Q$50)*((1/Calculations!S118)-1)-'Reaction Information'!$P$50*10^5*((1/Calculations!$C$10)-1)+'Reaction Information'!$P$50*10^5*Calculations!$C$14*(Calculations!O118-Calculations!$C$8))</f>
        <v>-129818.55291535764</v>
      </c>
      <c r="AU118" s="8" t="e">
        <f>IF(ISBLANK(Input!$BQ$4),NA(),'Reaction Information'!$E$54-'Reaction Information'!$G$54*(Calculations!$O118-Calculations!$C$8)-'Reaction Information'!$N$54*(Calculations!$O118*LN(Calculations!$O118/Calculations!$C$8)-Calculations!$O118+Calculations!$C$8)-'Reaction Information'!$O$54*10^4*(((1/(Calculations!$O118-Calculations!$C$13))-(1/(Calculations!$C$8-Calculations!$C$13)))*((Calculations!$C$13-Calculations!$O118)/(Calculations!$C$13))-(Calculations!$O118/(Calculations!$C$13*Calculations!$C$13))*LN((Calculations!$C$8*(Calculations!$O118-Calculations!$C$13))/(Calculations!$O118*(Calculations!$C$8-Calculations!$C$13))))+'Reaction Information'!$J$54*10^-1*(Calculations!$M118-Calculations!$C$9)+'Reaction Information'!$K$54*10^2*LN((Calculations!$C$12+Calculations!$M118)/(Calculations!$C$12+Calculations!$C$9))+(1/(Calculations!$O118-Calculations!$C$13))*('Reaction Information'!$L$54*(Calculations!$M118-Calculations!$C$9)+'Reaction Information'!$M$54*10^4*LN((Calculations!$C$12+Calculations!$M118)/(Calculations!$C$12+Calculations!$C$9)))+calculateOmega(Calculations!M118,Calculations!N118,Calculations!Q118,'Reaction Information'!$C$54,'Reaction Information'!$P$54*10^5,'Reaction Information'!$Q$54)*((1/Calculations!$S118)-1)-'Reaction Information'!$P$54*10^5*((1/Calculations!$C$10)-1)+'Reaction Information'!$P$54*10^5*Calculations!$C$14*(Calculations!$O118-Calculations!$C$8))</f>
        <v>#N/A</v>
      </c>
      <c r="AV118" s="8" t="e">
        <f>IF(ISBLANK(Input!$BT$4),NA(),'Reaction Information'!$E$58-'Reaction Information'!$G$58*(Calculations!$O118-Calculations!$C$8)-'Reaction Information'!$N$58*(Calculations!$O118*LN(Calculations!$O118/Calculations!$C$8)-Calculations!$O118+Calculations!$C$8)-'Reaction Information'!$O$58*10^4*(((1/(Calculations!$O118-Calculations!$C$13))-(1/(Calculations!$C$8-Calculations!$C$13)))*((Calculations!$C$13-Calculations!$O118)/(Calculations!$C$13))-(Calculations!$O118/(Calculations!$C$13*Calculations!$C$13))*LN((Calculations!$C$8*(Calculations!$O118-Calculations!$C$13))/(Calculations!$O118*(Calculations!$C$8-Calculations!$C$13))))+'Reaction Information'!$J$58*10^-1*(Calculations!$M118-Calculations!$C$9)+'Reaction Information'!$K$58*10^2*LN((Calculations!$C$12+Calculations!$M118)/(Calculations!$C$12+Calculations!$C$9))+(1/(Calculations!$O118-Calculations!$C$13))*('Reaction Information'!$L$58*(Calculations!$M118-Calculations!$C$9)+'Reaction Information'!$M$58*10^4*LN((Calculations!$C$12+Calculations!$M118)/(Calculations!$C$12+Calculations!$C$9)))+calculateOmega(Calculations!M118,Calculations!N118,Calculations!Q118,'Reaction Information'!$C$58,'Reaction Information'!$P$58*10^5,'Reaction Information'!$Q$58)*((1/Calculations!$S118)-1)-'Reaction Information'!$P$58*10^5*((1/Calculations!$C$10)-1)+'Reaction Information'!$P$58*10^5*Calculations!$C$14*(Calculations!$O118-Calculations!$C$8))</f>
        <v>#N/A</v>
      </c>
      <c r="AW118" s="8" t="e">
        <f>IF(ISBLANK(Input!$BW$4),NA(),'Reaction Information'!$E$62-'Reaction Information'!$G$62*(Calculations!$O118-Calculations!$C$8)-'Reaction Information'!$N$62*(Calculations!$O118*LN(Calculations!$O118/Calculations!$C$8)-Calculations!$O118+Calculations!$C$8)-'Reaction Information'!$O$62*10^4*(((1/(Calculations!$O118-Calculations!$C$13))-(1/(Calculations!$C$8-Calculations!$C$13)))*((Calculations!$C$13-Calculations!$O118)/(Calculations!$C$13))-(Calculations!$O118/(Calculations!$C$13*Calculations!$C$13))*LN((Calculations!$C$8*(Calculations!$O118-Calculations!$C$13))/(Calculations!$O118*(Calculations!$C$8-Calculations!$C$13))))+'Reaction Information'!$J$62*10^-1*(Calculations!$M118-Calculations!$C$9)+'Reaction Information'!$K$62*10^2*LN((Calculations!$C$12+Calculations!$M118)/(Calculations!$C$12+Calculations!$C$9))+(1/(Calculations!$O118-Calculations!$C$13))*('Reaction Information'!$L$62*(Calculations!$M118-Calculations!$C$9)+'Reaction Information'!$M$62*10^4*LN((Calculations!$C$12+Calculations!$M118)/(Calculations!$C$12+Calculations!$C$9)))+calculateOmega(Calculations!M118,Calculations!N118,Calculations!Q118,'Reaction Information'!$C$62,'Reaction Information'!$P$62*10^5,'Reaction Information'!$Q$62)*((1/Calculations!$S118)-1)-'Reaction Information'!$P$62*10^5*((1/Calculations!$C$10)-1)+'Reaction Information'!$P$62*10^5*Calculations!$C$14*(Calculations!$O118-Calculations!$C$8))</f>
        <v>#N/A</v>
      </c>
      <c r="AX118" s="8" t="e">
        <f>IF(ISBLANK(Input!$BZ$4),NA(),'Reaction Information'!$E$66-'Reaction Information'!$G$66*(Calculations!$O118-Calculations!$C$8)-'Reaction Information'!$N$66*(Calculations!$O118*LN(Calculations!$O118/Calculations!$C$8)-Calculations!$O118+Calculations!$C$8)-'Reaction Information'!$O$66*10^4*(((1/(Calculations!$O118-Calculations!$C$13))-(1/(Calculations!$C$8-Calculations!$C$13)))*((Calculations!$C$13-Calculations!$O118)/(Calculations!$C$13))-(Calculations!$O118/(Calculations!$C$13*Calculations!$C$13))*LN((Calculations!$C$8*(Calculations!$O118-Calculations!$C$13))/(Calculations!$O118*(Calculations!$C$8-Calculations!$C$13))))+'Reaction Information'!$J$66*10^-1*(Calculations!$M118-Calculations!$C$9)+'Reaction Information'!$K$66*10^2*LN((Calculations!$C$12+Calculations!$M118)/(Calculations!$C$12+Calculations!$C$9))+(1/(Calculations!$O118-Calculations!$C$13))*('Reaction Information'!$L$66*(Calculations!$M118-Calculations!$C$9)+'Reaction Information'!$M$66*10^4*LN((Calculations!$C$12+Calculations!$M118)/(Calculations!$C$12+Calculations!$C$9)))+calculateOmega(Calculations!M118,Calculations!N118,Calculations!Q118,'Reaction Information'!$C$66,'Reaction Information'!$P$66*10^5,'Reaction Information'!$Q$66)*((1/Calculations!$S118)-1)-'Reaction Information'!$P$66*10^5*((1/Calculations!$C$10)-1)+'Reaction Information'!$P$66*10^5*Calculations!$C$14*(Calculations!$O118-Calculations!$C$8))</f>
        <v>#N/A</v>
      </c>
      <c r="AY118" s="31">
        <f>(AL118*Input!$AO$4+AM118*Input!$AR$4+AN118*Input!$AU$4+AO118*Input!$AX$4+IF(ISNA(AP118),0,AP118*Input!$BA$4)+IF(ISNA(AQ118),0,AQ118*Input!$BD$4)+IF(ISNA(AR118),0,AR118*Input!$BG$4)+IF(ISNA(AS118),0,AS118*Input!$BJ$4)+IF(ISNA(AT118),0,AT118*Input!$BM$4)+IF(ISNA(AU118),0,AU118*Input!$BP$4)+IF(ISNA(AV118),0,AV118*Input!$BS$4)+IF(ISNA(AW118),0,AW118*Input!$BV$4)+IF(ISNA(AX118),0,AX118*Input!$BY$4))-(Y118*Input!$B$4+Z118*Input!$E$4+AA118*Input!$H$4+AB118*Input!$K$4+IF(ISNA(AC118),0,AC118*Input!$N$4)+IF(ISNA(AD118),0,AD118*Input!$Q$4)+IF(ISNA(AE118),0,AE118*Input!$T$4)+IF(ISNA(AF118),0,AF118*Input!$W$4)+IF(ISNA(AG118),0,AG118*Input!$Z$4)+IF(ISNA(AH118),0,AH118*Input!$AC$4)+IF(ISNA(AI118),0,AI118*Input!$AF$4)+IF(ISNA(AJ118),0,AJ118*Input!$AI$4)+IF(ISNA(AK118),0,AK118*Input!$AL$4))</f>
        <v>16429.337824059534</v>
      </c>
      <c r="AZ118" s="42">
        <f t="shared" si="35"/>
        <v>-3.89206118812033</v>
      </c>
      <c r="BA118" s="1">
        <f t="shared" si="27"/>
        <v>650</v>
      </c>
      <c r="BB118" s="46">
        <f t="shared" si="28"/>
        <v>40000</v>
      </c>
      <c r="BC118" s="1"/>
      <c r="BD118" s="2">
        <f t="shared" si="29"/>
        <v>40000</v>
      </c>
      <c r="BE118" s="46">
        <f t="shared" si="30"/>
        <v>650</v>
      </c>
      <c r="BF118" s="1">
        <f>Results!AJ120</f>
        <v>0</v>
      </c>
      <c r="BG118" s="1">
        <f>Results!AK120</f>
        <v>0</v>
      </c>
      <c r="BH118" s="1">
        <f>Results!AL120</f>
        <v>0</v>
      </c>
      <c r="BI118" s="1">
        <f>Results!AM120</f>
        <v>0</v>
      </c>
      <c r="BJ118" s="1" t="e">
        <f>IF(OR(ISNA('Reaction Information'!$D$5), $N118 = "", $D$27 = FALSE, 'Reaction Information'!$D$5 = ""), NA(), 24.465)</f>
        <v>#N/A</v>
      </c>
      <c r="BK118" s="1" t="e">
        <f>IF(OR(ISNA('Reaction Information'!$D$9), $N118 = "", $D$27 = FALSE, 'Reaction Information'!$D$9 = ""), NA(), 24.465)</f>
        <v>#N/A</v>
      </c>
      <c r="BL118" s="8">
        <f t="shared" si="36"/>
        <v>13.791166624485145</v>
      </c>
      <c r="BM118" s="8">
        <f>IF(OR(ISBLANK(Input!$X$4),$D$27=FALSE),NA(),('Reaction Information'!$J$13/10+'Reaction Information'!$K$13*100/(Calculations!$C$12+Calculations!$M118)+('Reaction Information'!$L$13+'Reaction Information'!$M$13*10^4/(Calculations!$C$12+Calculations!$M118))/(Calculations!$O118-Calculations!$C$13) -calculateOmega(Calculations!$M118,Calculations!$N118,Calculations!$Q118,'Reaction Information'!$C$13,'Reaction Information'!$P$13*10^5,'Reaction Information'!$Q$13)*Calculations!$U118*10^-6 + (1/$S118 - 1)*calculate_domegadP(Calculations!$M118,Calculations!$N118,Calculations!$Q118,'Reaction Information'!$C$13,'Reaction Information'!$P$13*10^5,'Reaction Information'!$Q$13,$D$20,$D$19=3))*41.84)</f>
        <v>30.120161890829245</v>
      </c>
      <c r="BN118" s="8" t="e">
        <f>IF(OR(ISBLANK(Input!$AA$4),$D$27=FALSE),NA(),('Reaction Information'!$J$17/10+'Reaction Information'!$K$17*100/(Calculations!$C$12+Calculations!$M118)+('Reaction Information'!$L$17+'Reaction Information'!$M$17*10000/(Calculations!$C$12+Calculations!$M118))/(Calculations!$O118-Calculations!$C$13)-calculateOmega(Calculations!M118,Calculations!N118,Calculations!Q118,'Reaction Information'!$C$17,'Reaction Information'!$P$17*10^5,'Reaction Information'!$Q$17)*Calculations!$U118*10^-6 + (1/$S118 - 1)*calculate_domegadP(Calculations!M118,Calculations!N118,Calculations!Q118,'Reaction Information'!$C$17,'Reaction Information'!$P$17*10^5,'Reaction Information'!$Q$17,$D$20,$D$19=3))*41.84)</f>
        <v>#N/A</v>
      </c>
      <c r="BO118" s="8" t="e">
        <f>IF(OR(ISBLANK(Input!$AD$4),$D$27=FALSE),NA(),('Reaction Information'!$J$21/10+'Reaction Information'!$K$21*100/(Calculations!$C$12+Calculations!$M118)+('Reaction Information'!$L$21+'Reaction Information'!$M$21*10000/(Calculations!$C$12+Calculations!$M118))/(Calculations!$O118-Calculations!$C$13)-calculateOmega(Calculations!M118,Calculations!N118,Calculations!Q118,'Reaction Information'!$C$21,'Reaction Information'!$P$21*10^5,'Reaction Information'!$Q$21)*Calculations!$U118*10^-6 + (1/$S118 - 1)*calculate_domegadP(Calculations!M118,Calculations!N118,Calculations!Q118,'Reaction Information'!$C$21,'Reaction Information'!$P$21*10^5,'Reaction Information'!$Q$21,$D$20,$D$19=3))*41.84)</f>
        <v>#N/A</v>
      </c>
      <c r="BP118" s="8" t="e">
        <f>IF(OR(ISBLANK(Input!$AG$4),$D$27=FALSE),NA(),('Reaction Information'!$J$25/10+'Reaction Information'!$K$25*100/(Calculations!$C$12+Calculations!$M118)+('Reaction Information'!$L$25+'Reaction Information'!$M$25*10000/(Calculations!$C$12+Calculations!$M118))/(Calculations!$O118-Calculations!$C$13)-calculateOmega(Calculations!M118,Calculations!N118,Calculations!Q118,'Reaction Information'!$C$25,'Reaction Information'!$P$25*10^5,'Reaction Information'!$Q$25)*Calculations!$U118*10^-6 + (1/$S118 - 1)*calculate_domegadP(Calculations!M118,Calculations!N118,Calculations!Q118,'Reaction Information'!$C$25,'Reaction Information'!$P$25*10^5,'Reaction Information'!$Q$25,$D$20,$D$19=3))*41.84)</f>
        <v>#N/A</v>
      </c>
      <c r="BQ118" s="8" t="e">
        <f>IF(OR(ISBLANK(Input!$AJ$4),$D$27=FALSE),NA(),('Reaction Information'!$J$29/10+'Reaction Information'!$K$29*100/(Calculations!$C$12+Calculations!$M118)+('Reaction Information'!$L$29+'Reaction Information'!$M$29*10000/(Calculations!$C$12+Calculations!$M118))/(Calculations!$O118-Calculations!$C$13)-calculateOmega(Calculations!M118,Calculations!N118,Calculations!Q118,'Reaction Information'!$C$29,'Reaction Information'!$P$29*10^5,'Reaction Information'!$Q$29)*Calculations!$U118*10^-6 + (1/$S118 - 1)*calculate_domegadP(Calculations!M118,Calculations!N118,Calculations!Q118,'Reaction Information'!$C$29,'Reaction Information'!$P$29*10^5,'Reaction Information'!$Q$29,$D$20,$D$19=3))*41.84)</f>
        <v>#N/A</v>
      </c>
      <c r="BR118" s="8" t="e">
        <f>IF(OR(ISBLANK(Input!$AM$4),$D$27=FALSE),NA(),('Reaction Information'!$J$33/10+'Reaction Information'!$K$33*100/(Calculations!$C$12+Calculations!$M118)+('Reaction Information'!$L$33+'Reaction Information'!$M$33*10000/(Calculations!$C$12+Calculations!$M118))/(Calculations!$O118-Calculations!$C$13)-calculateOmega(Calculations!M118,Calculations!N118,Calculations!Q118,'Reaction Information'!$C$33,'Reaction Information'!$P$33*10^5,'Reaction Information'!$Q$33)*Calculations!$U118*10^-6 + (1/$S118 - 1)*calculate_domegadP(Calculations!M118,Calculations!N118,Calculations!Q118,'Reaction Information'!$C$33,'Reaction Information'!$P$33*10^5,'Reaction Information'!$Q$33,$D$20,$D$19=3))*41.84)</f>
        <v>#N/A</v>
      </c>
      <c r="BS118" s="1">
        <f>Results!AW120</f>
        <v>0</v>
      </c>
      <c r="BT118" s="1">
        <f>Results!AX120</f>
        <v>0</v>
      </c>
      <c r="BU118" s="1">
        <f>Results!AY120</f>
        <v>0</v>
      </c>
      <c r="BV118" s="1">
        <f>Results!AZ120</f>
        <v>0</v>
      </c>
      <c r="BW118" s="1" t="e">
        <f>IF(OR(ISNA('Reaction Information'!$D$38), $N118 = "", $D$27 = FALSE, 'Reaction Information'!$D$38 = ""), NA(), 24.465)</f>
        <v>#N/A</v>
      </c>
      <c r="BX118" s="1" t="e">
        <f>IF(OR(ISNA('Reaction Information'!$D$42), $N118 = "", $D$27 = FALSE, 'Reaction Information'!$D$42 = ""), NA(), 24.465)</f>
        <v>#N/A</v>
      </c>
      <c r="BY118" s="8" t="e">
        <f t="shared" si="37"/>
        <v>#N/A</v>
      </c>
      <c r="BZ118" s="8">
        <f>IF(OR(ISBLANK(Input!$BK$4),$D$27=FALSE),NA(),('Reaction Information'!$J$46/10+'Reaction Information'!$K$46*100/(Calculations!$C$12+Calculations!$M118)+('Reaction Information'!$L$46+'Reaction Information'!$M$46*10000/(Calculations!$C$12+Calculations!$M118))/(Calculations!$O118-Calculations!$C$13)-calculateOmega(Calculations!M118,Calculations!N118,Calculations!Q118,'Reaction Information'!$C$46,'Reaction Information'!$P$46*10^5,'Reaction Information'!$Q$46)*Calculations!$U118*10^-6 + (1/$S118 - 1)*calculate_domegadP(Calculations!M118,Calculations!N118,Calculations!Q118,'Reaction Information'!$C$46,'Reaction Information'!$P$46*10^5,'Reaction Information'!$Q$46,$D$20,$D$19=3))*41.84)</f>
        <v>0</v>
      </c>
      <c r="CA118" s="8">
        <f>IF(OR(ISBLANK(Input!$BN$4),$D$27=FALSE),NA(),('Reaction Information'!$J$50/10+'Reaction Information'!$K$50*100/(Calculations!$C$12+Calculations!$M118)+('Reaction Information'!$L$50+'Reaction Information'!$M$50*10000/(Calculations!$C$12+Calculations!$M118))/(Calculations!$O118-Calculations!$C$13)-calculateOmega(Calculations!M118,Calculations!N118,Calculations!Q118,'Reaction Information'!$C$50,'Reaction Information'!$P$50*10^5,'Reaction Information'!$Q$50)*Calculations!$U118*10^-6 + (1/$S118 - 1)*calculate_domegadP(Calculations!M118,Calculations!N118,Calculations!Q118,'Reaction Information'!$C$50,'Reaction Information'!$P$50*10^5,'Reaction Information'!$Q$50,$D$20,$D$19=3))*41.84)</f>
        <v>31.100301375607422</v>
      </c>
      <c r="CB118" s="8" t="e">
        <f>IF(OR(ISBLANK(Input!$BQ$4),$D$27=FALSE),NA(),('Reaction Information'!$J$54/10+'Reaction Information'!$K$54*100/(Calculations!$C$12+Calculations!$M118)+('Reaction Information'!$L$54+'Reaction Information'!$M$54*10000/(Calculations!$C$12+Calculations!$M118))/(Calculations!$O118-Calculations!$C$13)-calculateOmega(Calculations!M118,Calculations!N118,Calculations!Q118,'Reaction Information'!$C$54,'Reaction Information'!$P$54*10^5,'Reaction Information'!$Q$54)*Calculations!$U118*10^-6 + (1/$S118 - 1)*calculate_domegadP(Calculations!M118,Calculations!N118,Calculations!Q118,'Reaction Information'!$C$54,'Reaction Information'!$P$54*10^5,'Reaction Information'!$Q$54,$D$20,$D$19=3))*41.84)</f>
        <v>#N/A</v>
      </c>
      <c r="CC118" s="8" t="e">
        <f>IF(OR(ISBLANK(Input!$BT$4),$D$27=FALSE),NA(),('Reaction Information'!$J$58/10+'Reaction Information'!$K$58*100/(Calculations!$C$12+Calculations!$M118)+('Reaction Information'!$L$58+'Reaction Information'!$M$58*10000/(Calculations!$C$12+Calculations!$M118))/(Calculations!$O118-Calculations!$C$13)-calculateOmega(Calculations!M118,Calculations!N118,Calculations!Q118,'Reaction Information'!$C$58,'Reaction Information'!$P$58*10^5,'Reaction Information'!$Q$58)*Calculations!$U118*10^-6 + (1/$S118 - 1)*calculate_domegadP(Calculations!M118,Calculations!N118,Calculations!Q118,'Reaction Information'!$C$58,'Reaction Information'!$P$58*10^5,'Reaction Information'!$Q$58,$D$20,$D$19=3))*41.84)</f>
        <v>#N/A</v>
      </c>
      <c r="CD118" s="8" t="e">
        <f>IF(OR(ISBLANK(Input!$BW$4),$D$27=FALSE),NA(),('Reaction Information'!$J$62/10+'Reaction Information'!$K$62*100/(Calculations!$C$12+Calculations!$M118)+('Reaction Information'!$L$62+'Reaction Information'!$M$62*10000/(Calculations!$C$12+Calculations!$M118))/(Calculations!$O118-Calculations!$C$13)-calculateOmega(Calculations!M118,Calculations!N118,Calculations!Q118,'Reaction Information'!$C$62,'Reaction Information'!$P$62*10^5,'Reaction Information'!$Q$62)*Calculations!$U118*10^-6 + (1/$S118 - 1)*calculate_domegadP(Calculations!M118,Calculations!N118,Calculations!Q118,'Reaction Information'!$C$62,'Reaction Information'!$P$62*10^5,'Reaction Information'!$Q$62,$D$20,$D$19=3))*41.84)</f>
        <v>#N/A</v>
      </c>
      <c r="CE118" s="8" t="e">
        <f>IF(OR(ISBLANK(Input!$BZ$4),$D$27=FALSE),NA(),('Reaction Information'!$J$66/10+'Reaction Information'!$K$66*100/(Calculations!$C$12+Calculations!$M118)+('Reaction Information'!$L$66+'Reaction Information'!$M$66*10000/(Calculations!$C$12+Calculations!$M118))/(Calculations!$O118-Calculations!$C$13)-calculateOmega(Calculations!M118,Calculations!N118,Calculations!Q118,'Reaction Information'!$C$66,'Reaction Information'!$P$66*10^5,'Reaction Information'!$Q$66)*Calculations!$U118*10^-6 + (1/$S118 - 1)*calculate_domegadP(Calculations!M118,Calculations!N118,Calculations!Q118,'Reaction Information'!$C$66,'Reaction Information'!$P$66*10^5,'Reaction Information'!$Q$66,$D$20,$D$19=3))*41.84)</f>
        <v>#N/A</v>
      </c>
      <c r="CF118" s="31">
        <f>(BS118*Input!$AO$4+BT118*Input!$AR$4+BU118*Input!$AU$4+BV118*Input!$AX$4+IF(ISNA(BW118),0,BW118*Input!$BA$4)+IF(ISNA(BX118),0,BX118*Input!$BD$4)+IF(ISNA(BY118),0,BY118*Input!$BG$4)+IF(ISNA(BZ118),0,BZ118*Input!$BJ$4)+IF(ISNA(CA118),0,CA118*Input!$BM$4)+IF(ISNA(CB118),0,CB118*Input!$BP$4)+IF(ISNA(CC118),0,CC118*Input!$BS$4)+IF(ISNA(CD118),0,CD118*Input!$BV$4)+IF(ISNA(CE118),0,CE118*Input!$BY$4))-(BF118*Input!$B$4+BG118*Input!$E$4+BH118*Input!$H$4+BI118*Input!$K$4+IF(ISNA(BJ118),0,BJ118*Input!$N$4)+IF(ISNA(BK118),0,BK118*Input!$Q$4)+IF(ISNA(BL118),0,BL118*Input!$T$4)+IF(ISNA(BM118),0,BM118*Input!$W$4)+IF(ISNA(BN118),0,BN118*Input!$Z$4)+IF(ISNA(BO118),0,BO118*Input!$AC$4)+IF(ISNA(BP118),0,BP118*Input!$AF$4)+IF(ISNA(BQ118),0,BQ118*Input!$AI$4)+IF(ISNA(BR118),0,BR118*Input!$AL$4))</f>
        <v>-12.811027139706965</v>
      </c>
      <c r="CG118" s="1">
        <f t="shared" si="31"/>
        <v>650</v>
      </c>
      <c r="CH118" s="46">
        <f t="shared" si="32"/>
        <v>40000</v>
      </c>
      <c r="CI118" s="1"/>
    </row>
    <row r="119" spans="1:87" x14ac:dyDescent="0.2">
      <c r="A119" s="1"/>
      <c r="B119" s="1"/>
      <c r="C119" s="1"/>
      <c r="D119" s="1"/>
      <c r="E119" s="1"/>
      <c r="F119" s="2">
        <v>114</v>
      </c>
      <c r="G119" s="1" t="str">
        <f>IF(ISBLANK(Input!CB119), "", Input!CB119*1000)</f>
        <v/>
      </c>
      <c r="H119" s="1" t="str">
        <f>IF(ISBLANK(Input!CC119), "", Input!CC119)</f>
        <v/>
      </c>
      <c r="I119" s="1">
        <f>IF(Input!$CF$5 + Input!$CF$6*(FLOOR((Calculations!$F119-1)/(FLOOR((Input!$CF$12-Input!$CF$10)/Input!$CF$11,1)+1),1)) &gt; Input!$CF$7, "", (Input!$CF$5 + Input!$CF$6*(FLOOR((Calculations!$F119-1)/(FLOOR((Input!$CF$12-Input!$CF$10)/Input!$CF$11,1)+1),1)))*1000)</f>
        <v>40000</v>
      </c>
      <c r="J119" s="1">
        <f>IF(Calculations!I119 = "", "", Input!$CF$10 + Input!$CF$11*(Calculations!$F119-1) - (FLOOR((Input!$CF$12-Input!$CF$10)/Input!$CF$11,1)+1)*Input!$CF$11*FLOOR((Calculations!$F119-1)/(FLOOR((Input!$CF$12-Input!$CF$10)/Input!$CF$11,1)+1),1))</f>
        <v>700</v>
      </c>
      <c r="K119" s="8" t="str">
        <f t="shared" si="33"/>
        <v/>
      </c>
      <c r="L119" s="117" t="str">
        <f>IF(OR(Input!$CJ$5 + Input!$CJ$6*(Calculations!F119-1) &gt; Input!$CJ$7, Input!$CJ$5 + Input!$CJ$6*(Calculations!F119-1) &gt; 350), "", Input!$CJ$5 + Input!$CJ$6*(Calculations!F119-1))</f>
        <v/>
      </c>
      <c r="M119" s="1">
        <f t="shared" si="23"/>
        <v>40000</v>
      </c>
      <c r="N119" s="1">
        <f t="shared" si="24"/>
        <v>700</v>
      </c>
      <c r="O119" s="1">
        <f t="shared" si="34"/>
        <v>973.15</v>
      </c>
      <c r="P119" s="1" t="e">
        <f>IF(OR($D$20=3,AND($D$21=TRUE,M119&lt;1000)),INDEX('Water Density'!$C$6:$CX$120,MATCH(Calculations!N119,'Water Density'!$B$6:$B$120),MATCH(Calculations!M119/1000,'Water Density'!$C$5:$CX$5)),NA())</f>
        <v>#N/A</v>
      </c>
      <c r="Q119" s="182">
        <f>IF(OR($D$20=3,AND($D$21=TRUE,M119&lt;1000)), IF(P119&lt;&gt;0,P119,NA()), calculateDensity(M119,N119,$D$20,0.01,$D$19 = 3))</f>
        <v>1.292464049857259</v>
      </c>
      <c r="R119" s="1" t="e">
        <f>IF($D$22=5,INDEX('Dielectric Constant'!$C$6:$CX$120,MATCH(Calculations!N119,'Dielectric Constant'!$B$6:$B$120),MATCH(Calculations!M119/1000,'Dielectric Constant'!$C$5:$CX$5)),NA())</f>
        <v>#N/A</v>
      </c>
      <c r="S119" s="58">
        <f>IF($D$22=5, IF(R119&lt;&gt;0,R119,NA()), IF(AND($D$23,M119&lt;=5000,$D$19 &lt;&gt; 3),calculateEpsilon(Q119,N119,1,FALSE),calculateEpsilon(Q119,N119,$D$22,$D$19 = 3)))</f>
        <v>25.703511596710701</v>
      </c>
      <c r="T119" s="1" t="e">
        <f>IF($D$24=3,INDEX('Water Free Energy'!$C$6:$CX$120,MATCH(Calculations!N119,'Water Free Energy'!$B$6:$B$120),MATCH(Calculations!M119/1000,'Water Free Energy'!$C$5:$CX$5)),NA())</f>
        <v>#N/A</v>
      </c>
      <c r="U119" s="179">
        <f>IF($D$27,calculateQ(M119,N119,Q119,$D$20,$D$22,$D$19=3)*10^6,NA())</f>
        <v>0.2005582071863731</v>
      </c>
      <c r="V119"/>
      <c r="W119" s="2">
        <f t="shared" si="25"/>
        <v>40000</v>
      </c>
      <c r="X119" s="1">
        <f t="shared" si="26"/>
        <v>700</v>
      </c>
      <c r="Y119" s="1">
        <f>Results!F121</f>
        <v>0</v>
      </c>
      <c r="Z119" s="1">
        <f>Results!G121</f>
        <v>0</v>
      </c>
      <c r="AA119" s="1">
        <f>Results!H121</f>
        <v>0</v>
      </c>
      <c r="AB119" s="1">
        <f>Results!I121</f>
        <v>0</v>
      </c>
      <c r="AC119" s="1" t="e">
        <f>IF(ISBLANK(Input!$O$4),NA(),'Reaction Information'!$E$5-'Reaction Information'!$G$5*(Calculations!$O119-Calculations!$C$8)+'Reaction Information'!$I$5*(Calculations!$O119-Calculations!$C$8-Calculations!$O119*LN(Calculations!$O119/Calculations!$C$8))+'Reaction Information'!$J$5*0.001/2*(2*Calculations!$O119*Calculations!$C$8-Calculations!$O119^2-Calculations!$C$8^2) + 'Reaction Information'!$K$5*100000*(Calculations!$O119^2 + Calculations!$C$8^2 - 2*Calculations!$O119*Calculations!$C$8)/(2*Calculations!$O119*Calculations!$C$8^2))</f>
        <v>#N/A</v>
      </c>
      <c r="AD119" s="8" t="e">
        <f>IF(ISBLANK(Input!$R$4),NA(),'Reaction Information'!$E$9-'Reaction Information'!$G$9*(Calculations!$O119-Calculations!$C$8)+'Reaction Information'!$I$9*(Calculations!$O119-Calculations!$C$8-Calculations!$O119*LN(Calculations!$O119/Calculations!$C$8))+'Reaction Information'!$J$9*0.001/2*(2*Calculations!$O119*Calculations!$C$8-Calculations!$O119^2-Calculations!$C$8^2) + 'Reaction Information'!$K$9*100000*(Calculations!$O119^2 + Calculations!$C$8^2 - 2*Calculations!$O119*Calculations!$C$8)/(2*Calculations!$O119*Calculations!$C$8^2))</f>
        <v>#N/A</v>
      </c>
      <c r="AE119" s="8">
        <f>IF(AE$5="H2O",IF($D$24=3,IF(T119=0,NA(),T119),calculateGibbsOfWater(M119,N119,$D$24,$D$20,$D$19=3)),NA())</f>
        <v>-59063.647367221303</v>
      </c>
      <c r="AF119" s="8">
        <f>IF(ISBLANK(Input!$X$4),NA(),'Reaction Information'!$E$13-'Reaction Information'!$G$13*(Calculations!O119-Calculations!$C$8)-'Reaction Information'!$N$13*(Calculations!O119*LN(Calculations!O119/Calculations!$C$8)-Calculations!O119+Calculations!$C$8)-'Reaction Information'!$O$13*10^4*(((1/(Calculations!O119-Calculations!$C$13))-(1/(Calculations!$C$8-Calculations!$C$13)))*((Calculations!$C$13-Calculations!O119)/(Calculations!$C$13))-(Calculations!O119/(Calculations!$C$13*Calculations!$C$13))*LN((Calculations!$C$8*(Calculations!O119-Calculations!$C$13))/(Calculations!O119*(Calculations!$C$8-Calculations!$C$13))))+'Reaction Information'!$J$13*10^-1*(Calculations!M119-Calculations!$C$9)+'Reaction Information'!$K$13*10^2*LN((Calculations!$C$12+Calculations!M119)/(Calculations!$C$12+Calculations!$C$9))+(1/(Calculations!O119-Calculations!$C$13))*('Reaction Information'!$L$13*(Calculations!M119-Calculations!$C$9)+'Reaction Information'!$M$13*10^4*LN((Calculations!$C$12+Calculations!M119)/(Calculations!$C$12+Calculations!$C$9)))+calculateOmega(Calculations!M119,Calculations!N119,Calculations!Q119,'Reaction Information'!$C$13,'Reaction Information'!$P$13*10^5,'Reaction Information'!$Q$13)*((1/Calculations!S119)-1)-'Reaction Information'!$P$13*10^5*((1/Calculations!$C$10)-1)+'Reaction Information'!$P$13*10^5*Calculations!$C$14*(Calculations!O119-Calculations!$C$8))</f>
        <v>-90998.413229817452</v>
      </c>
      <c r="AG119" s="8" t="e">
        <f>IF(ISBLANK(Input!$AA$4),NA(),'Reaction Information'!$E$17-'Reaction Information'!$G$17*(Calculations!$O119-Calculations!$C$8)-'Reaction Information'!$N$17*(Calculations!$O119*LN(Calculations!$O119/Calculations!$C$8)-Calculations!$O119+Calculations!$C$8)-'Reaction Information'!$O$17*10^4*(((1/(Calculations!$O119-Calculations!$C$13))-(1/(Calculations!$C$8-Calculations!$C$13)))*((Calculations!$C$13-Calculations!$O119)/(Calculations!$C$13))-(Calculations!$O119/(Calculations!$C$13*Calculations!$C$13))*LN((Calculations!$C$8*(Calculations!$O119-Calculations!$C$13))/(Calculations!$O119*(Calculations!$C$8-Calculations!$C$13))))+'Reaction Information'!$J$17*10^-1*(Calculations!$M119-Calculations!$C$9)+'Reaction Information'!$K$17*10^2*LN((Calculations!$C$12+Calculations!$M119)/(Calculations!$C$12+Calculations!$C$9))+(1/(Calculations!$O119-Calculations!$C$13))*('Reaction Information'!$L$17*(Calculations!$M119-Calculations!$C$9)+'Reaction Information'!$M$17*10^4*LN((Calculations!$C$12+Calculations!$M119)/(Calculations!$C$12+Calculations!$C$9)))+calculateOmega(Calculations!M119,Calculations!N119,Calculations!Q119,'Reaction Information'!$C$17,'Reaction Information'!$P$17*10^5,'Reaction Information'!$Q$17)*((1/Calculations!$S119)-1)-'Reaction Information'!$P$17*10^5*((1/Calculations!$C$10)-1)+'Reaction Information'!$P$17*10^5*Calculations!$C$14*(Calculations!$O119-Calculations!$C$8))</f>
        <v>#N/A</v>
      </c>
      <c r="AH119" s="8" t="e">
        <f>IF(ISBLANK(Input!$AD$4),NA(),'Reaction Information'!$E$21-'Reaction Information'!$G$21*(Calculations!$O119-Calculations!$C$8)-'Reaction Information'!$N$21*(Calculations!$O119*LN(Calculations!$O119/Calculations!$C$8)-Calculations!$O119+Calculations!$C$8)-'Reaction Information'!$O$21*10^4*(((1/(Calculations!$O119-Calculations!$C$13))-(1/(Calculations!$C$8-Calculations!$C$13)))*((Calculations!$C$13-Calculations!$O119)/(Calculations!$C$13))-(Calculations!$O119/(Calculations!$C$13*Calculations!$C$13))*LN((Calculations!$C$8*(Calculations!$O119-Calculations!$C$13))/(Calculations!$O119*(Calculations!$C$8-Calculations!$C$13))))+'Reaction Information'!$J$21*10^-1*(Calculations!$M119-Calculations!$C$9)+'Reaction Information'!$K$21*10^2*LN((Calculations!$C$12+Calculations!$M119)/(Calculations!$C$12+Calculations!$C$9))+(1/(Calculations!$O119-Calculations!$C$13))*('Reaction Information'!$L$21*(Calculations!$M119-Calculations!$C$9)+'Reaction Information'!$M$21*10^4*LN((Calculations!$C$12+Calculations!$M119)/(Calculations!$C$12+Calculations!$C$9)))+calculateOmega(Calculations!M119,Calculations!N119,Calculations!Q119,'Reaction Information'!$C$21,'Reaction Information'!$P$21*10^5,'Reaction Information'!$Q$21)*((1/Calculations!$S119)-1)-'Reaction Information'!$P$21*10^5*((1/Calculations!$C$10)-1)+'Reaction Information'!$P$21*10^5*Calculations!$C$14*(Calculations!$O119-Calculations!$C$8))</f>
        <v>#N/A</v>
      </c>
      <c r="AI119" s="8" t="e">
        <f>IF(ISBLANK(Input!$AG$4),NA(),'Reaction Information'!$E$25-'Reaction Information'!$G$25*(Calculations!$O119-Calculations!$C$8)-'Reaction Information'!$N$25*(Calculations!$O119*LN(Calculations!$O119/Calculations!$C$8)-Calculations!$O119+Calculations!$C$8)-'Reaction Information'!$O$25*10^4*(((1/(Calculations!$O119-Calculations!$C$13))-(1/(Calculations!$C$8-Calculations!$C$13)))*((Calculations!$C$13-Calculations!$O119)/(Calculations!$C$13))-(Calculations!$O119/(Calculations!$C$13*Calculations!$C$13))*LN((Calculations!$C$8*(Calculations!$O119-Calculations!$C$13))/(Calculations!$O119*(Calculations!$C$8-Calculations!$C$13))))+'Reaction Information'!$J$25*10^-1*(Calculations!$M119-Calculations!$C$9)+'Reaction Information'!$K$25*10^2*LN((Calculations!$C$12+Calculations!$M119)/(Calculations!$C$12+Calculations!$C$9))+(1/(Calculations!$O119-Calculations!$C$13))*('Reaction Information'!$L$25*(Calculations!$M119-Calculations!$C$9)+'Reaction Information'!$M$25*10^4*LN((Calculations!$C$12+Calculations!$M119)/(Calculations!$C$12+Calculations!$C$9)))+calculateOmega(Calculations!M119,Calculations!N119,Calculations!Q119,'Reaction Information'!$C$25,'Reaction Information'!$P$25*10^5,'Reaction Information'!$Q$25)*((1/Calculations!$S119)-1)-'Reaction Information'!$P$25*10^5*((1/Calculations!$C$10)-1)+'Reaction Information'!$P$25*10^5*Calculations!$C$14*(Calculations!$O119-Calculations!$C$8))</f>
        <v>#N/A</v>
      </c>
      <c r="AJ119" s="8" t="e">
        <f>IF(ISBLANK(Input!$AJ$4),NA(),'Reaction Information'!$E$29-'Reaction Information'!$G$29*(Calculations!$O119-Calculations!$C$8)-'Reaction Information'!$N$29*(Calculations!$O119*LN(Calculations!$O119/Calculations!$C$8)-Calculations!$O119+Calculations!$C$8)-'Reaction Information'!$O$29*10^4*(((1/(Calculations!$O119-Calculations!$C$13))-(1/(Calculations!$C$8-Calculations!$C$13)))*((Calculations!$C$13-Calculations!$O119)/(Calculations!$C$13))-(Calculations!$O119/(Calculations!$C$13*Calculations!$C$13))*LN((Calculations!$C$8*(Calculations!$O119-Calculations!$C$13))/(Calculations!$O119*(Calculations!$C$8-Calculations!$C$13))))+'Reaction Information'!$J$29*10^-1*(Calculations!$M119-Calculations!$C$9)+'Reaction Information'!$K$29*10^2*LN((Calculations!$C$12+Calculations!$M119)/(Calculations!$C$12+Calculations!$C$9))+(1/(Calculations!$O119-Calculations!$C$13))*('Reaction Information'!$L$29*(Calculations!$M119-Calculations!$C$9)+'Reaction Information'!$M$29*10^4*LN((Calculations!$C$12+Calculations!$M119)/(Calculations!$C$12+Calculations!$C$9)))+calculateOmega(Calculations!M119,Calculations!N119,Calculations!Q119,'Reaction Information'!$C$29,'Reaction Information'!$P$29*10^5,'Reaction Information'!$Q$29)*((1/Calculations!$S119)-1)-'Reaction Information'!$P$29*10^5*((1/Calculations!$C$10)-1)+'Reaction Information'!$P$29*10^5*Calculations!$C$14*(Calculations!$O119-Calculations!$C$8))</f>
        <v>#N/A</v>
      </c>
      <c r="AK119" s="8" t="e">
        <f>IF(ISBLANK(Input!$AM$4),NA(),'Reaction Information'!$E$33-'Reaction Information'!$G$33*(Calculations!$O119-Calculations!$C$8)-'Reaction Information'!$N$33*(Calculations!$O119*LN(Calculations!$O119/Calculations!$C$8)-Calculations!$O119+Calculations!$C$8)-'Reaction Information'!$O$33*10^4*(((1/(Calculations!$O119-Calculations!$C$13))-(1/(Calculations!$C$8-Calculations!$C$13)))*((Calculations!$C$13-Calculations!$O119)/(Calculations!$C$13))-(Calculations!$O119/(Calculations!$C$13*Calculations!$C$13))*LN((Calculations!$C$8*(Calculations!$O119-Calculations!$C$13))/(Calculations!$O119*(Calculations!$C$8-Calculations!$C$13))))+'Reaction Information'!$J$33*10^-1*(Calculations!$M119-Calculations!$C$9)+'Reaction Information'!$K$33*10^2*LN((Calculations!$C$12+Calculations!$M119)/(Calculations!$C$12+Calculations!$C$9))+(1/(Calculations!$O119-Calculations!$C$13))*('Reaction Information'!$L$33*(Calculations!$M119-Calculations!$C$9)+'Reaction Information'!$M$33*10^4*LN((Calculations!$C$12+Calculations!$M119)/(Calculations!$C$12+Calculations!$C$9)))+calculateOmega(Calculations!M119,Calculations!N119,Calculations!Q119,'Reaction Information'!$C$33,'Reaction Information'!$P$33*10^5,'Reaction Information'!$Q$33)*((1/Calculations!$S119)-1)-'Reaction Information'!$P$33*10^5*((1/Calculations!$C$10)-1)+'Reaction Information'!$P$33*10^5*Calculations!$C$14*(Calculations!$O119-Calculations!$C$8))</f>
        <v>#N/A</v>
      </c>
      <c r="AL119" s="1">
        <f>Results!S121</f>
        <v>0</v>
      </c>
      <c r="AM119" s="1">
        <f>Results!T121</f>
        <v>0</v>
      </c>
      <c r="AN119" s="1">
        <f>Results!U121</f>
        <v>0</v>
      </c>
      <c r="AO119" s="1">
        <f>Results!V121</f>
        <v>0</v>
      </c>
      <c r="AP119" s="8" t="e">
        <f>IF(ISBLANK(Input!$BB$4),NA(),'Reaction Information'!$E$38-'Reaction Information'!$G$38*(Calculations!$O119-Calculations!$C$8)+'Reaction Information'!$I$38*(Calculations!$O119-Calculations!$C$8-Calculations!$O119*LN(Calculations!$O119/Calculations!$C$8))+'Reaction Information'!$J$38*0.001/2*(2*Calculations!$O119*Calculations!$C$8-Calculations!$O119^2-Calculations!$C$8^2) + 'Reaction Information'!$K$38*100000*(Calculations!$O119^2 + Calculations!$C$8^2 - 2*Calculations!$O119*Calculations!$C$8)/(2*Calculations!$O119*Calculations!$C$8^2))</f>
        <v>#N/A</v>
      </c>
      <c r="AQ119" s="8" t="e">
        <f>IF(ISBLANK(Input!$BE$4),NA(),'Reaction Information'!$E$42-'Reaction Information'!$G$42*(Calculations!$O119-Calculations!$C$8)+'Reaction Information'!$I$42*(Calculations!$O119-Calculations!$C$8-Calculations!$O119*LN(Calculations!$O119/Calculations!$C$8))+'Reaction Information'!$J$42*0.001/2*(2*Calculations!$O119*Calculations!$C$8-Calculations!$O119^2-Calculations!$C$8^2) + 'Reaction Information'!$K$42*100000*(Calculations!$O119^2 + Calculations!$C$8^2 - 2*Calculations!$O119*Calculations!$C$8)/(2*Calculations!$O119*Calculations!$C$8^2))</f>
        <v>#N/A</v>
      </c>
      <c r="AR119" s="8" t="e">
        <f>IF(AR$5="H2O", IF($D$24=3,IF(T119=0,NA(),T119),calculateGibbsOfWater(M119,N119,$D$24,$D$20,$D$19=3)),NA())</f>
        <v>#N/A</v>
      </c>
      <c r="AS119" s="8">
        <f>IF(ISBLANK(Input!$BK$4),NA(),'Reaction Information'!$E$46-'Reaction Information'!$G$46*(Calculations!O119-Calculations!$C$8)-'Reaction Information'!$N$46*(Calculations!O119*LN(Calculations!O119/Calculations!$C$8)-Calculations!O119+Calculations!$C$8)-'Reaction Information'!$O$46*10^4*(((1/(Calculations!O119-Calculations!$C$13))-(1/(Calculations!$C$8-Calculations!$C$13)))*((Calculations!$C$13-Calculations!O119)/(Calculations!$C$13))-(Calculations!O119/(Calculations!$C$13*Calculations!$C$13))*LN((Calculations!$C$8*(Calculations!O119-Calculations!$C$13))/(Calculations!O119*(Calculations!$C$8-Calculations!$C$13))))+'Reaction Information'!$J$46*10^-1*(Calculations!$M119-Calculations!$C$9)+'Reaction Information'!$K$46*10^2*LN((Calculations!$C$12+Calculations!$M119)/(Calculations!$C$12+Calculations!$C$9))+(1/(Calculations!O119-Calculations!$C$13))*('Reaction Information'!$L$46*(Calculations!$M119-Calculations!$C$9)+'Reaction Information'!$M$46*10^4*LN((Calculations!$C$12+Calculations!$M119)/(Calculations!$C$12+Calculations!$C$9)))+calculateOmega(Calculations!M119,Calculations!N119,Calculations!Q119,'Reaction Information'!$C$46,'Reaction Information'!$P$46*10^5,'Reaction Information'!$Q$46)*((1/Calculations!S119)-1)-'Reaction Information'!$P$46*10^5*((1/Calculations!$C$10)-1)+'Reaction Information'!$P$46*10^5*Calculations!$C$14*(Calculations!O119-Calculations!$C$8))</f>
        <v>0</v>
      </c>
      <c r="AT119" s="8">
        <f>IF(ISBLANK(Input!$BN$4),NA(),'Reaction Information'!$E$50-'Reaction Information'!$G$50*(Calculations!O119-Calculations!$C$8)-'Reaction Information'!$N$50*(Calculations!O119*LN(Calculations!O119/Calculations!$C$8)-Calculations!O119+Calculations!$C$8)-'Reaction Information'!$O$50*10^4*(((1/(Calculations!O119-Calculations!$C$13))-(1/(Calculations!$C$8-Calculations!$C$13)))*((Calculations!$C$13-Calculations!O119)/(Calculations!$C$13))-(Calculations!O119/(Calculations!$C$13*Calculations!$C$13))*LN((Calculations!$C$8*(Calculations!O119-Calculations!$C$13))/(Calculations!O119*(Calculations!$C$8-Calculations!$C$13))))+'Reaction Information'!$J$50*10^-1*(Calculations!$M119-Calculations!$C$9)+'Reaction Information'!$K$50*10^2*LN((Calculations!$C$12+Calculations!$M119)/(Calculations!$C$12+Calculations!$C$9))+(1/(Calculations!O119-Calculations!$C$13))*('Reaction Information'!$L$50*(Calculations!$M119-Calculations!$C$9)+'Reaction Information'!$M$50*10^4*LN((Calculations!$C$12+Calculations!$M119)/(Calculations!$C$12+Calculations!$C$9)))+calculateOmega(Calculations!M119,Calculations!N119,Calculations!Q119,'Reaction Information'!$C$50,'Reaction Information'!$P$50*10^5,'Reaction Information'!$Q$50)*((1/Calculations!S119)-1)-'Reaction Information'!$P$50*10^5*((1/Calculations!$C$10)-1)+'Reaction Information'!$P$50*10^5*Calculations!$C$14*(Calculations!O119-Calculations!$C$8))</f>
        <v>-131508.24878755549</v>
      </c>
      <c r="AU119" s="8" t="e">
        <f>IF(ISBLANK(Input!$BQ$4),NA(),'Reaction Information'!$E$54-'Reaction Information'!$G$54*(Calculations!$O119-Calculations!$C$8)-'Reaction Information'!$N$54*(Calculations!$O119*LN(Calculations!$O119/Calculations!$C$8)-Calculations!$O119+Calculations!$C$8)-'Reaction Information'!$O$54*10^4*(((1/(Calculations!$O119-Calculations!$C$13))-(1/(Calculations!$C$8-Calculations!$C$13)))*((Calculations!$C$13-Calculations!$O119)/(Calculations!$C$13))-(Calculations!$O119/(Calculations!$C$13*Calculations!$C$13))*LN((Calculations!$C$8*(Calculations!$O119-Calculations!$C$13))/(Calculations!$O119*(Calculations!$C$8-Calculations!$C$13))))+'Reaction Information'!$J$54*10^-1*(Calculations!$M119-Calculations!$C$9)+'Reaction Information'!$K$54*10^2*LN((Calculations!$C$12+Calculations!$M119)/(Calculations!$C$12+Calculations!$C$9))+(1/(Calculations!$O119-Calculations!$C$13))*('Reaction Information'!$L$54*(Calculations!$M119-Calculations!$C$9)+'Reaction Information'!$M$54*10^4*LN((Calculations!$C$12+Calculations!$M119)/(Calculations!$C$12+Calculations!$C$9)))+calculateOmega(Calculations!M119,Calculations!N119,Calculations!Q119,'Reaction Information'!$C$54,'Reaction Information'!$P$54*10^5,'Reaction Information'!$Q$54)*((1/Calculations!$S119)-1)-'Reaction Information'!$P$54*10^5*((1/Calculations!$C$10)-1)+'Reaction Information'!$P$54*10^5*Calculations!$C$14*(Calculations!$O119-Calculations!$C$8))</f>
        <v>#N/A</v>
      </c>
      <c r="AV119" s="8" t="e">
        <f>IF(ISBLANK(Input!$BT$4),NA(),'Reaction Information'!$E$58-'Reaction Information'!$G$58*(Calculations!$O119-Calculations!$C$8)-'Reaction Information'!$N$58*(Calculations!$O119*LN(Calculations!$O119/Calculations!$C$8)-Calculations!$O119+Calculations!$C$8)-'Reaction Information'!$O$58*10^4*(((1/(Calculations!$O119-Calculations!$C$13))-(1/(Calculations!$C$8-Calculations!$C$13)))*((Calculations!$C$13-Calculations!$O119)/(Calculations!$C$13))-(Calculations!$O119/(Calculations!$C$13*Calculations!$C$13))*LN((Calculations!$C$8*(Calculations!$O119-Calculations!$C$13))/(Calculations!$O119*(Calculations!$C$8-Calculations!$C$13))))+'Reaction Information'!$J$58*10^-1*(Calculations!$M119-Calculations!$C$9)+'Reaction Information'!$K$58*10^2*LN((Calculations!$C$12+Calculations!$M119)/(Calculations!$C$12+Calculations!$C$9))+(1/(Calculations!$O119-Calculations!$C$13))*('Reaction Information'!$L$58*(Calculations!$M119-Calculations!$C$9)+'Reaction Information'!$M$58*10^4*LN((Calculations!$C$12+Calculations!$M119)/(Calculations!$C$12+Calculations!$C$9)))+calculateOmega(Calculations!M119,Calculations!N119,Calculations!Q119,'Reaction Information'!$C$58,'Reaction Information'!$P$58*10^5,'Reaction Information'!$Q$58)*((1/Calculations!$S119)-1)-'Reaction Information'!$P$58*10^5*((1/Calculations!$C$10)-1)+'Reaction Information'!$P$58*10^5*Calculations!$C$14*(Calculations!$O119-Calculations!$C$8))</f>
        <v>#N/A</v>
      </c>
      <c r="AW119" s="8" t="e">
        <f>IF(ISBLANK(Input!$BW$4),NA(),'Reaction Information'!$E$62-'Reaction Information'!$G$62*(Calculations!$O119-Calculations!$C$8)-'Reaction Information'!$N$62*(Calculations!$O119*LN(Calculations!$O119/Calculations!$C$8)-Calculations!$O119+Calculations!$C$8)-'Reaction Information'!$O$62*10^4*(((1/(Calculations!$O119-Calculations!$C$13))-(1/(Calculations!$C$8-Calculations!$C$13)))*((Calculations!$C$13-Calculations!$O119)/(Calculations!$C$13))-(Calculations!$O119/(Calculations!$C$13*Calculations!$C$13))*LN((Calculations!$C$8*(Calculations!$O119-Calculations!$C$13))/(Calculations!$O119*(Calculations!$C$8-Calculations!$C$13))))+'Reaction Information'!$J$62*10^-1*(Calculations!$M119-Calculations!$C$9)+'Reaction Information'!$K$62*10^2*LN((Calculations!$C$12+Calculations!$M119)/(Calculations!$C$12+Calculations!$C$9))+(1/(Calculations!$O119-Calculations!$C$13))*('Reaction Information'!$L$62*(Calculations!$M119-Calculations!$C$9)+'Reaction Information'!$M$62*10^4*LN((Calculations!$C$12+Calculations!$M119)/(Calculations!$C$12+Calculations!$C$9)))+calculateOmega(Calculations!M119,Calculations!N119,Calculations!Q119,'Reaction Information'!$C$62,'Reaction Information'!$P$62*10^5,'Reaction Information'!$Q$62)*((1/Calculations!$S119)-1)-'Reaction Information'!$P$62*10^5*((1/Calculations!$C$10)-1)+'Reaction Information'!$P$62*10^5*Calculations!$C$14*(Calculations!$O119-Calculations!$C$8))</f>
        <v>#N/A</v>
      </c>
      <c r="AX119" s="8" t="e">
        <f>IF(ISBLANK(Input!$BZ$4),NA(),'Reaction Information'!$E$66-'Reaction Information'!$G$66*(Calculations!$O119-Calculations!$C$8)-'Reaction Information'!$N$66*(Calculations!$O119*LN(Calculations!$O119/Calculations!$C$8)-Calculations!$O119+Calculations!$C$8)-'Reaction Information'!$O$66*10^4*(((1/(Calculations!$O119-Calculations!$C$13))-(1/(Calculations!$C$8-Calculations!$C$13)))*((Calculations!$C$13-Calculations!$O119)/(Calculations!$C$13))-(Calculations!$O119/(Calculations!$C$13*Calculations!$C$13))*LN((Calculations!$C$8*(Calculations!$O119-Calculations!$C$13))/(Calculations!$O119*(Calculations!$C$8-Calculations!$C$13))))+'Reaction Information'!$J$66*10^-1*(Calculations!$M119-Calculations!$C$9)+'Reaction Information'!$K$66*10^2*LN((Calculations!$C$12+Calculations!$M119)/(Calculations!$C$12+Calculations!$C$9))+(1/(Calculations!$O119-Calculations!$C$13))*('Reaction Information'!$L$66*(Calculations!$M119-Calculations!$C$9)+'Reaction Information'!$M$66*10^4*LN((Calculations!$C$12+Calculations!$M119)/(Calculations!$C$12+Calculations!$C$9)))+calculateOmega(Calculations!M119,Calculations!N119,Calculations!Q119,'Reaction Information'!$C$66,'Reaction Information'!$P$66*10^5,'Reaction Information'!$Q$66)*((1/Calculations!$S119)-1)-'Reaction Information'!$P$66*10^5*((1/Calculations!$C$10)-1)+'Reaction Information'!$P$66*10^5*Calculations!$C$14*(Calculations!$O119-Calculations!$C$8))</f>
        <v>#N/A</v>
      </c>
      <c r="AY119" s="31">
        <f>(AL119*Input!$AO$4+AM119*Input!$AR$4+AN119*Input!$AU$4+AO119*Input!$AX$4+IF(ISNA(AP119),0,AP119*Input!$BA$4)+IF(ISNA(AQ119),0,AQ119*Input!$BD$4)+IF(ISNA(AR119),0,AR119*Input!$BG$4)+IF(ISNA(AS119),0,AS119*Input!$BJ$4)+IF(ISNA(AT119),0,AT119*Input!$BM$4)+IF(ISNA(AU119),0,AU119*Input!$BP$4)+IF(ISNA(AV119),0,AV119*Input!$BS$4)+IF(ISNA(AW119),0,AW119*Input!$BV$4)+IF(ISNA(AX119),0,AX119*Input!$BY$4))-(Y119*Input!$B$4+Z119*Input!$E$4+AA119*Input!$H$4+AB119*Input!$K$4+IF(ISNA(AC119),0,AC119*Input!$N$4)+IF(ISNA(AD119),0,AD119*Input!$Q$4)+IF(ISNA(AE119),0,AE119*Input!$T$4)+IF(ISNA(AF119),0,AF119*Input!$W$4)+IF(ISNA(AG119),0,AG119*Input!$Z$4)+IF(ISNA(AH119),0,AH119*Input!$AC$4)+IF(ISNA(AI119),0,AI119*Input!$AF$4)+IF(ISNA(AJ119),0,AJ119*Input!$AI$4)+IF(ISNA(AK119),0,AK119*Input!$AL$4))</f>
        <v>18553.811809483275</v>
      </c>
      <c r="AZ119" s="42">
        <f t="shared" si="35"/>
        <v>-4.1695120551458729</v>
      </c>
      <c r="BA119" s="1">
        <f t="shared" si="27"/>
        <v>700</v>
      </c>
      <c r="BB119" s="46">
        <f t="shared" si="28"/>
        <v>40000</v>
      </c>
      <c r="BC119" s="1"/>
      <c r="BD119" s="2">
        <f t="shared" si="29"/>
        <v>40000</v>
      </c>
      <c r="BE119" s="46">
        <f t="shared" si="30"/>
        <v>700</v>
      </c>
      <c r="BF119" s="1">
        <f>Results!AJ121</f>
        <v>0</v>
      </c>
      <c r="BG119" s="1">
        <f>Results!AK121</f>
        <v>0</v>
      </c>
      <c r="BH119" s="1">
        <f>Results!AL121</f>
        <v>0</v>
      </c>
      <c r="BI119" s="1">
        <f>Results!AM121</f>
        <v>0</v>
      </c>
      <c r="BJ119" s="1" t="e">
        <f>IF(OR(ISNA('Reaction Information'!$D$5), $N119 = "", $D$27 = FALSE, 'Reaction Information'!$D$5 = ""), NA(), 24.465)</f>
        <v>#N/A</v>
      </c>
      <c r="BK119" s="1" t="e">
        <f>IF(OR(ISNA('Reaction Information'!$D$9), $N119 = "", $D$27 = FALSE, 'Reaction Information'!$D$9 = ""), NA(), 24.465)</f>
        <v>#N/A</v>
      </c>
      <c r="BL119" s="8">
        <f t="shared" si="36"/>
        <v>13.938708780325166</v>
      </c>
      <c r="BM119" s="8">
        <f>IF(OR(ISBLANK(Input!$X$4),$D$27=FALSE),NA(),('Reaction Information'!$J$13/10+'Reaction Information'!$K$13*100/(Calculations!$C$12+Calculations!$M119)+('Reaction Information'!$L$13+'Reaction Information'!$M$13*10^4/(Calculations!$C$12+Calculations!$M119))/(Calculations!$O119-Calculations!$C$13) -calculateOmega(Calculations!$M119,Calculations!$N119,Calculations!$Q119,'Reaction Information'!$C$13,'Reaction Information'!$P$13*10^5,'Reaction Information'!$Q$13)*Calculations!$U119*10^-6 + (1/$S119 - 1)*calculate_domegadP(Calculations!$M119,Calculations!$N119,Calculations!$Q119,'Reaction Information'!$C$13,'Reaction Information'!$P$13*10^5,'Reaction Information'!$Q$13,$D$20,$D$19=3))*41.84)</f>
        <v>30.158129582090535</v>
      </c>
      <c r="BN119" s="8" t="e">
        <f>IF(OR(ISBLANK(Input!$AA$4),$D$27=FALSE),NA(),('Reaction Information'!$J$17/10+'Reaction Information'!$K$17*100/(Calculations!$C$12+Calculations!$M119)+('Reaction Information'!$L$17+'Reaction Information'!$M$17*10000/(Calculations!$C$12+Calculations!$M119))/(Calculations!$O119-Calculations!$C$13)-calculateOmega(Calculations!M119,Calculations!N119,Calculations!Q119,'Reaction Information'!$C$17,'Reaction Information'!$P$17*10^5,'Reaction Information'!$Q$17)*Calculations!$U119*10^-6 + (1/$S119 - 1)*calculate_domegadP(Calculations!M119,Calculations!N119,Calculations!Q119,'Reaction Information'!$C$17,'Reaction Information'!$P$17*10^5,'Reaction Information'!$Q$17,$D$20,$D$19=3))*41.84)</f>
        <v>#N/A</v>
      </c>
      <c r="BO119" s="8" t="e">
        <f>IF(OR(ISBLANK(Input!$AD$4),$D$27=FALSE),NA(),('Reaction Information'!$J$21/10+'Reaction Information'!$K$21*100/(Calculations!$C$12+Calculations!$M119)+('Reaction Information'!$L$21+'Reaction Information'!$M$21*10000/(Calculations!$C$12+Calculations!$M119))/(Calculations!$O119-Calculations!$C$13)-calculateOmega(Calculations!M119,Calculations!N119,Calculations!Q119,'Reaction Information'!$C$21,'Reaction Information'!$P$21*10^5,'Reaction Information'!$Q$21)*Calculations!$U119*10^-6 + (1/$S119 - 1)*calculate_domegadP(Calculations!M119,Calculations!N119,Calculations!Q119,'Reaction Information'!$C$21,'Reaction Information'!$P$21*10^5,'Reaction Information'!$Q$21,$D$20,$D$19=3))*41.84)</f>
        <v>#N/A</v>
      </c>
      <c r="BP119" s="8" t="e">
        <f>IF(OR(ISBLANK(Input!$AG$4),$D$27=FALSE),NA(),('Reaction Information'!$J$25/10+'Reaction Information'!$K$25*100/(Calculations!$C$12+Calculations!$M119)+('Reaction Information'!$L$25+'Reaction Information'!$M$25*10000/(Calculations!$C$12+Calculations!$M119))/(Calculations!$O119-Calculations!$C$13)-calculateOmega(Calculations!M119,Calculations!N119,Calculations!Q119,'Reaction Information'!$C$25,'Reaction Information'!$P$25*10^5,'Reaction Information'!$Q$25)*Calculations!$U119*10^-6 + (1/$S119 - 1)*calculate_domegadP(Calculations!M119,Calculations!N119,Calculations!Q119,'Reaction Information'!$C$25,'Reaction Information'!$P$25*10^5,'Reaction Information'!$Q$25,$D$20,$D$19=3))*41.84)</f>
        <v>#N/A</v>
      </c>
      <c r="BQ119" s="8" t="e">
        <f>IF(OR(ISBLANK(Input!$AJ$4),$D$27=FALSE),NA(),('Reaction Information'!$J$29/10+'Reaction Information'!$K$29*100/(Calculations!$C$12+Calculations!$M119)+('Reaction Information'!$L$29+'Reaction Information'!$M$29*10000/(Calculations!$C$12+Calculations!$M119))/(Calculations!$O119-Calculations!$C$13)-calculateOmega(Calculations!M119,Calculations!N119,Calculations!Q119,'Reaction Information'!$C$29,'Reaction Information'!$P$29*10^5,'Reaction Information'!$Q$29)*Calculations!$U119*10^-6 + (1/$S119 - 1)*calculate_domegadP(Calculations!M119,Calculations!N119,Calculations!Q119,'Reaction Information'!$C$29,'Reaction Information'!$P$29*10^5,'Reaction Information'!$Q$29,$D$20,$D$19=3))*41.84)</f>
        <v>#N/A</v>
      </c>
      <c r="BR119" s="8" t="e">
        <f>IF(OR(ISBLANK(Input!$AM$4),$D$27=FALSE),NA(),('Reaction Information'!$J$33/10+'Reaction Information'!$K$33*100/(Calculations!$C$12+Calculations!$M119)+('Reaction Information'!$L$33+'Reaction Information'!$M$33*10000/(Calculations!$C$12+Calculations!$M119))/(Calculations!$O119-Calculations!$C$13)-calculateOmega(Calculations!M119,Calculations!N119,Calculations!Q119,'Reaction Information'!$C$33,'Reaction Information'!$P$33*10^5,'Reaction Information'!$Q$33)*Calculations!$U119*10^-6 + (1/$S119 - 1)*calculate_domegadP(Calculations!M119,Calculations!N119,Calculations!Q119,'Reaction Information'!$C$33,'Reaction Information'!$P$33*10^5,'Reaction Information'!$Q$33,$D$20,$D$19=3))*41.84)</f>
        <v>#N/A</v>
      </c>
      <c r="BS119" s="1">
        <f>Results!AW121</f>
        <v>0</v>
      </c>
      <c r="BT119" s="1">
        <f>Results!AX121</f>
        <v>0</v>
      </c>
      <c r="BU119" s="1">
        <f>Results!AY121</f>
        <v>0</v>
      </c>
      <c r="BV119" s="1">
        <f>Results!AZ121</f>
        <v>0</v>
      </c>
      <c r="BW119" s="1" t="e">
        <f>IF(OR(ISNA('Reaction Information'!$D$38), $N119 = "", $D$27 = FALSE, 'Reaction Information'!$D$38 = ""), NA(), 24.465)</f>
        <v>#N/A</v>
      </c>
      <c r="BX119" s="1" t="e">
        <f>IF(OR(ISNA('Reaction Information'!$D$42), $N119 = "", $D$27 = FALSE, 'Reaction Information'!$D$42 = ""), NA(), 24.465)</f>
        <v>#N/A</v>
      </c>
      <c r="BY119" s="8" t="e">
        <f t="shared" si="37"/>
        <v>#N/A</v>
      </c>
      <c r="BZ119" s="8">
        <f>IF(OR(ISBLANK(Input!$BK$4),$D$27=FALSE),NA(),('Reaction Information'!$J$46/10+'Reaction Information'!$K$46*100/(Calculations!$C$12+Calculations!$M119)+('Reaction Information'!$L$46+'Reaction Information'!$M$46*10000/(Calculations!$C$12+Calculations!$M119))/(Calculations!$O119-Calculations!$C$13)-calculateOmega(Calculations!M119,Calculations!N119,Calculations!Q119,'Reaction Information'!$C$46,'Reaction Information'!$P$46*10^5,'Reaction Information'!$Q$46)*Calculations!$U119*10^-6 + (1/$S119 - 1)*calculate_domegadP(Calculations!M119,Calculations!N119,Calculations!Q119,'Reaction Information'!$C$46,'Reaction Information'!$P$46*10^5,'Reaction Information'!$Q$46,$D$20,$D$19=3))*41.84)</f>
        <v>0</v>
      </c>
      <c r="CA119" s="8">
        <f>IF(OR(ISBLANK(Input!$BN$4),$D$27=FALSE),NA(),('Reaction Information'!$J$50/10+'Reaction Information'!$K$50*100/(Calculations!$C$12+Calculations!$M119)+('Reaction Information'!$L$50+'Reaction Information'!$M$50*10000/(Calculations!$C$12+Calculations!$M119))/(Calculations!$O119-Calculations!$C$13)-calculateOmega(Calculations!M119,Calculations!N119,Calculations!Q119,'Reaction Information'!$C$50,'Reaction Information'!$P$50*10^5,'Reaction Information'!$Q$50)*Calculations!$U119*10^-6 + (1/$S119 - 1)*calculate_domegadP(Calculations!M119,Calculations!N119,Calculations!Q119,'Reaction Information'!$C$50,'Reaction Information'!$P$50*10^5,'Reaction Information'!$Q$50,$D$20,$D$19=3))*41.84)</f>
        <v>31.026007699842097</v>
      </c>
      <c r="CB119" s="8" t="e">
        <f>IF(OR(ISBLANK(Input!$BQ$4),$D$27=FALSE),NA(),('Reaction Information'!$J$54/10+'Reaction Information'!$K$54*100/(Calculations!$C$12+Calculations!$M119)+('Reaction Information'!$L$54+'Reaction Information'!$M$54*10000/(Calculations!$C$12+Calculations!$M119))/(Calculations!$O119-Calculations!$C$13)-calculateOmega(Calculations!M119,Calculations!N119,Calculations!Q119,'Reaction Information'!$C$54,'Reaction Information'!$P$54*10^5,'Reaction Information'!$Q$54)*Calculations!$U119*10^-6 + (1/$S119 - 1)*calculate_domegadP(Calculations!M119,Calculations!N119,Calculations!Q119,'Reaction Information'!$C$54,'Reaction Information'!$P$54*10^5,'Reaction Information'!$Q$54,$D$20,$D$19=3))*41.84)</f>
        <v>#N/A</v>
      </c>
      <c r="CC119" s="8" t="e">
        <f>IF(OR(ISBLANK(Input!$BT$4),$D$27=FALSE),NA(),('Reaction Information'!$J$58/10+'Reaction Information'!$K$58*100/(Calculations!$C$12+Calculations!$M119)+('Reaction Information'!$L$58+'Reaction Information'!$M$58*10000/(Calculations!$C$12+Calculations!$M119))/(Calculations!$O119-Calculations!$C$13)-calculateOmega(Calculations!M119,Calculations!N119,Calculations!Q119,'Reaction Information'!$C$58,'Reaction Information'!$P$58*10^5,'Reaction Information'!$Q$58)*Calculations!$U119*10^-6 + (1/$S119 - 1)*calculate_domegadP(Calculations!M119,Calculations!N119,Calculations!Q119,'Reaction Information'!$C$58,'Reaction Information'!$P$58*10^5,'Reaction Information'!$Q$58,$D$20,$D$19=3))*41.84)</f>
        <v>#N/A</v>
      </c>
      <c r="CD119" s="8" t="e">
        <f>IF(OR(ISBLANK(Input!$BW$4),$D$27=FALSE),NA(),('Reaction Information'!$J$62/10+'Reaction Information'!$K$62*100/(Calculations!$C$12+Calculations!$M119)+('Reaction Information'!$L$62+'Reaction Information'!$M$62*10000/(Calculations!$C$12+Calculations!$M119))/(Calculations!$O119-Calculations!$C$13)-calculateOmega(Calculations!M119,Calculations!N119,Calculations!Q119,'Reaction Information'!$C$62,'Reaction Information'!$P$62*10^5,'Reaction Information'!$Q$62)*Calculations!$U119*10^-6 + (1/$S119 - 1)*calculate_domegadP(Calculations!M119,Calculations!N119,Calculations!Q119,'Reaction Information'!$C$62,'Reaction Information'!$P$62*10^5,'Reaction Information'!$Q$62,$D$20,$D$19=3))*41.84)</f>
        <v>#N/A</v>
      </c>
      <c r="CE119" s="8" t="e">
        <f>IF(OR(ISBLANK(Input!$BZ$4),$D$27=FALSE),NA(),('Reaction Information'!$J$66/10+'Reaction Information'!$K$66*100/(Calculations!$C$12+Calculations!$M119)+('Reaction Information'!$L$66+'Reaction Information'!$M$66*10000/(Calculations!$C$12+Calculations!$M119))/(Calculations!$O119-Calculations!$C$13)-calculateOmega(Calculations!M119,Calculations!N119,Calculations!Q119,'Reaction Information'!$C$66,'Reaction Information'!$P$66*10^5,'Reaction Information'!$Q$66)*Calculations!$U119*10^-6 + (1/$S119 - 1)*calculate_domegadP(Calculations!M119,Calculations!N119,Calculations!Q119,'Reaction Information'!$C$66,'Reaction Information'!$P$66*10^5,'Reaction Information'!$Q$66,$D$20,$D$19=3))*41.84)</f>
        <v>#N/A</v>
      </c>
      <c r="CF119" s="31">
        <f>(BS119*Input!$AO$4+BT119*Input!$AR$4+BU119*Input!$AU$4+BV119*Input!$AX$4+IF(ISNA(BW119),0,BW119*Input!$BA$4)+IF(ISNA(BX119),0,BX119*Input!$BD$4)+IF(ISNA(BY119),0,BY119*Input!$BG$4)+IF(ISNA(BZ119),0,BZ119*Input!$BJ$4)+IF(ISNA(CA119),0,CA119*Input!$BM$4)+IF(ISNA(CB119),0,CB119*Input!$BP$4)+IF(ISNA(CC119),0,CC119*Input!$BS$4)+IF(ISNA(CD119),0,CD119*Input!$BV$4)+IF(ISNA(CE119),0,CE119*Input!$BY$4))-(BF119*Input!$B$4+BG119*Input!$E$4+BH119*Input!$H$4+BI119*Input!$K$4+IF(ISNA(BJ119),0,BJ119*Input!$N$4)+IF(ISNA(BK119),0,BK119*Input!$Q$4)+IF(ISNA(BL119),0,BL119*Input!$T$4)+IF(ISNA(BM119),0,BM119*Input!$W$4)+IF(ISNA(BN119),0,BN119*Input!$Z$4)+IF(ISNA(BO119),0,BO119*Input!$AC$4)+IF(ISNA(BP119),0,BP119*Input!$AF$4)+IF(ISNA(BQ119),0,BQ119*Input!$AI$4)+IF(ISNA(BR119),0,BR119*Input!$AL$4))</f>
        <v>-13.070830662573606</v>
      </c>
      <c r="CG119" s="1">
        <f t="shared" si="31"/>
        <v>700</v>
      </c>
      <c r="CH119" s="46">
        <f t="shared" si="32"/>
        <v>40000</v>
      </c>
      <c r="CI119" s="1"/>
    </row>
    <row r="120" spans="1:87" x14ac:dyDescent="0.2">
      <c r="A120" s="1"/>
      <c r="B120" s="1"/>
      <c r="C120" s="1"/>
      <c r="D120" s="1"/>
      <c r="E120" s="1"/>
      <c r="F120" s="2">
        <v>115</v>
      </c>
      <c r="G120" s="1" t="str">
        <f>IF(ISBLANK(Input!CB120), "", Input!CB120*1000)</f>
        <v/>
      </c>
      <c r="H120" s="1" t="str">
        <f>IF(ISBLANK(Input!CC120), "", Input!CC120)</f>
        <v/>
      </c>
      <c r="I120" s="1">
        <f>IF(Input!$CF$5 + Input!$CF$6*(FLOOR((Calculations!$F120-1)/(FLOOR((Input!$CF$12-Input!$CF$10)/Input!$CF$11,1)+1),1)) &gt; Input!$CF$7, "", (Input!$CF$5 + Input!$CF$6*(FLOOR((Calculations!$F120-1)/(FLOOR((Input!$CF$12-Input!$CF$10)/Input!$CF$11,1)+1),1)))*1000)</f>
        <v>40000</v>
      </c>
      <c r="J120" s="1">
        <f>IF(Calculations!I120 = "", "", Input!$CF$10 + Input!$CF$11*(Calculations!$F120-1) - (FLOOR((Input!$CF$12-Input!$CF$10)/Input!$CF$11,1)+1)*Input!$CF$11*FLOOR((Calculations!$F120-1)/(FLOOR((Input!$CF$12-Input!$CF$10)/Input!$CF$11,1)+1),1))</f>
        <v>750</v>
      </c>
      <c r="K120" s="8" t="str">
        <f t="shared" si="33"/>
        <v/>
      </c>
      <c r="L120" s="117" t="str">
        <f>IF(OR(Input!$CJ$5 + Input!$CJ$6*(Calculations!F120-1) &gt; Input!$CJ$7, Input!$CJ$5 + Input!$CJ$6*(Calculations!F120-1) &gt; 350), "", Input!$CJ$5 + Input!$CJ$6*(Calculations!F120-1))</f>
        <v/>
      </c>
      <c r="M120" s="1">
        <f t="shared" si="23"/>
        <v>40000</v>
      </c>
      <c r="N120" s="1">
        <f t="shared" si="24"/>
        <v>750</v>
      </c>
      <c r="O120" s="1">
        <f t="shared" si="34"/>
        <v>1023.15</v>
      </c>
      <c r="P120" s="1" t="e">
        <f>IF(OR($D$20=3,AND($D$21=TRUE,M120&lt;1000)),INDEX('Water Density'!$C$6:$CX$120,MATCH(Calculations!N120,'Water Density'!$B$6:$B$120),MATCH(Calculations!M120/1000,'Water Density'!$C$5:$CX$5)),NA())</f>
        <v>#N/A</v>
      </c>
      <c r="Q120" s="182">
        <f>IF(OR($D$20=3,AND($D$21=TRUE,M120&lt;1000)), IF(P120&lt;&gt;0,P120,NA()), calculateDensity(M120,N120,$D$20,0.01,$D$19 = 3))</f>
        <v>1.278874245207906</v>
      </c>
      <c r="R120" s="1" t="e">
        <f>IF($D$22=5,INDEX('Dielectric Constant'!$C$6:$CX$120,MATCH(Calculations!N120,'Dielectric Constant'!$B$6:$B$120),MATCH(Calculations!M120/1000,'Dielectric Constant'!$C$5:$CX$5)),NA())</f>
        <v>#N/A</v>
      </c>
      <c r="S120" s="58">
        <f>IF($D$22=5, IF(R120&lt;&gt;0,R120,NA()), IF(AND($D$23,M120&lt;=5000,$D$19 &lt;&gt; 3),calculateEpsilon(Q120,N120,1,FALSE),calculateEpsilon(Q120,N120,$D$22,$D$19 = 3)))</f>
        <v>23.561533016967392</v>
      </c>
      <c r="T120" s="1" t="e">
        <f>IF($D$24=3,INDEX('Water Free Energy'!$C$6:$CX$120,MATCH(Calculations!N120,'Water Free Energy'!$B$6:$B$120),MATCH(Calculations!M120/1000,'Water Free Energy'!$C$5:$CX$5)),NA())</f>
        <v>#N/A</v>
      </c>
      <c r="U120" s="179">
        <f>IF($D$27,calculateQ(M120,N120,Q120,$D$20,$D$22,$D$19=3)*10^6,NA())</f>
        <v>0.21481896514903218</v>
      </c>
      <c r="V120"/>
      <c r="W120" s="2">
        <f t="shared" si="25"/>
        <v>40000</v>
      </c>
      <c r="X120" s="1">
        <f t="shared" si="26"/>
        <v>750</v>
      </c>
      <c r="Y120" s="1">
        <f>Results!F122</f>
        <v>0</v>
      </c>
      <c r="Z120" s="1">
        <f>Results!G122</f>
        <v>0</v>
      </c>
      <c r="AA120" s="1">
        <f>Results!H122</f>
        <v>0</v>
      </c>
      <c r="AB120" s="1">
        <f>Results!I122</f>
        <v>0</v>
      </c>
      <c r="AC120" s="1" t="e">
        <f>IF(ISBLANK(Input!$O$4),NA(),'Reaction Information'!$E$5-'Reaction Information'!$G$5*(Calculations!$O120-Calculations!$C$8)+'Reaction Information'!$I$5*(Calculations!$O120-Calculations!$C$8-Calculations!$O120*LN(Calculations!$O120/Calculations!$C$8))+'Reaction Information'!$J$5*0.001/2*(2*Calculations!$O120*Calculations!$C$8-Calculations!$O120^2-Calculations!$C$8^2) + 'Reaction Information'!$K$5*100000*(Calculations!$O120^2 + Calculations!$C$8^2 - 2*Calculations!$O120*Calculations!$C$8)/(2*Calculations!$O120*Calculations!$C$8^2))</f>
        <v>#N/A</v>
      </c>
      <c r="AD120" s="8" t="e">
        <f>IF(ISBLANK(Input!$R$4),NA(),'Reaction Information'!$E$9-'Reaction Information'!$G$9*(Calculations!$O120-Calculations!$C$8)+'Reaction Information'!$I$9*(Calculations!$O120-Calculations!$C$8-Calculations!$O120*LN(Calculations!$O120/Calculations!$C$8))+'Reaction Information'!$J$9*0.001/2*(2*Calculations!$O120*Calculations!$C$8-Calculations!$O120^2-Calculations!$C$8^2) + 'Reaction Information'!$K$9*100000*(Calculations!$O120^2 + Calculations!$C$8^2 - 2*Calculations!$O120*Calculations!$C$8)/(2*Calculations!$O120*Calculations!$C$8^2))</f>
        <v>#N/A</v>
      </c>
      <c r="AE120" s="8">
        <f>IF(AE$5="H2O",IF($D$24=3,IF(T120=0,NA(),T120),calculateGibbsOfWater(M120,N120,$D$24,$D$20,$D$19=3)),NA())</f>
        <v>-60574.694441720188</v>
      </c>
      <c r="AF120" s="8">
        <f>IF(ISBLANK(Input!$X$4),NA(),'Reaction Information'!$E$13-'Reaction Information'!$G$13*(Calculations!O120-Calculations!$C$8)-'Reaction Information'!$N$13*(Calculations!O120*LN(Calculations!O120/Calculations!$C$8)-Calculations!O120+Calculations!$C$8)-'Reaction Information'!$O$13*10^4*(((1/(Calculations!O120-Calculations!$C$13))-(1/(Calculations!$C$8-Calculations!$C$13)))*((Calculations!$C$13-Calculations!O120)/(Calculations!$C$13))-(Calculations!O120/(Calculations!$C$13*Calculations!$C$13))*LN((Calculations!$C$8*(Calculations!O120-Calculations!$C$13))/(Calculations!O120*(Calculations!$C$8-Calculations!$C$13))))+'Reaction Information'!$J$13*10^-1*(Calculations!M120-Calculations!$C$9)+'Reaction Information'!$K$13*10^2*LN((Calculations!$C$12+Calculations!M120)/(Calculations!$C$12+Calculations!$C$9))+(1/(Calculations!O120-Calculations!$C$13))*('Reaction Information'!$L$13*(Calculations!M120-Calculations!$C$9)+'Reaction Information'!$M$13*10^4*LN((Calculations!$C$12+Calculations!M120)/(Calculations!$C$12+Calculations!$C$9)))+calculateOmega(Calculations!M120,Calculations!N120,Calculations!Q120,'Reaction Information'!$C$13,'Reaction Information'!$P$13*10^5,'Reaction Information'!$Q$13)*((1/Calculations!S120)-1)-'Reaction Information'!$P$13*10^5*((1/Calculations!$C$10)-1)+'Reaction Information'!$P$13*10^5*Calculations!$C$14*(Calculations!O120-Calculations!$C$8))</f>
        <v>-93374.866946234979</v>
      </c>
      <c r="AG120" s="8" t="e">
        <f>IF(ISBLANK(Input!$AA$4),NA(),'Reaction Information'!$E$17-'Reaction Information'!$G$17*(Calculations!$O120-Calculations!$C$8)-'Reaction Information'!$N$17*(Calculations!$O120*LN(Calculations!$O120/Calculations!$C$8)-Calculations!$O120+Calculations!$C$8)-'Reaction Information'!$O$17*10^4*(((1/(Calculations!$O120-Calculations!$C$13))-(1/(Calculations!$C$8-Calculations!$C$13)))*((Calculations!$C$13-Calculations!$O120)/(Calculations!$C$13))-(Calculations!$O120/(Calculations!$C$13*Calculations!$C$13))*LN((Calculations!$C$8*(Calculations!$O120-Calculations!$C$13))/(Calculations!$O120*(Calculations!$C$8-Calculations!$C$13))))+'Reaction Information'!$J$17*10^-1*(Calculations!$M120-Calculations!$C$9)+'Reaction Information'!$K$17*10^2*LN((Calculations!$C$12+Calculations!$M120)/(Calculations!$C$12+Calculations!$C$9))+(1/(Calculations!$O120-Calculations!$C$13))*('Reaction Information'!$L$17*(Calculations!$M120-Calculations!$C$9)+'Reaction Information'!$M$17*10^4*LN((Calculations!$C$12+Calculations!$M120)/(Calculations!$C$12+Calculations!$C$9)))+calculateOmega(Calculations!M120,Calculations!N120,Calculations!Q120,'Reaction Information'!$C$17,'Reaction Information'!$P$17*10^5,'Reaction Information'!$Q$17)*((1/Calculations!$S120)-1)-'Reaction Information'!$P$17*10^5*((1/Calculations!$C$10)-1)+'Reaction Information'!$P$17*10^5*Calculations!$C$14*(Calculations!$O120-Calculations!$C$8))</f>
        <v>#N/A</v>
      </c>
      <c r="AH120" s="8" t="e">
        <f>IF(ISBLANK(Input!$AD$4),NA(),'Reaction Information'!$E$21-'Reaction Information'!$G$21*(Calculations!$O120-Calculations!$C$8)-'Reaction Information'!$N$21*(Calculations!$O120*LN(Calculations!$O120/Calculations!$C$8)-Calculations!$O120+Calculations!$C$8)-'Reaction Information'!$O$21*10^4*(((1/(Calculations!$O120-Calculations!$C$13))-(1/(Calculations!$C$8-Calculations!$C$13)))*((Calculations!$C$13-Calculations!$O120)/(Calculations!$C$13))-(Calculations!$O120/(Calculations!$C$13*Calculations!$C$13))*LN((Calculations!$C$8*(Calculations!$O120-Calculations!$C$13))/(Calculations!$O120*(Calculations!$C$8-Calculations!$C$13))))+'Reaction Information'!$J$21*10^-1*(Calculations!$M120-Calculations!$C$9)+'Reaction Information'!$K$21*10^2*LN((Calculations!$C$12+Calculations!$M120)/(Calculations!$C$12+Calculations!$C$9))+(1/(Calculations!$O120-Calculations!$C$13))*('Reaction Information'!$L$21*(Calculations!$M120-Calculations!$C$9)+'Reaction Information'!$M$21*10^4*LN((Calculations!$C$12+Calculations!$M120)/(Calculations!$C$12+Calculations!$C$9)))+calculateOmega(Calculations!M120,Calculations!N120,Calculations!Q120,'Reaction Information'!$C$21,'Reaction Information'!$P$21*10^5,'Reaction Information'!$Q$21)*((1/Calculations!$S120)-1)-'Reaction Information'!$P$21*10^5*((1/Calculations!$C$10)-1)+'Reaction Information'!$P$21*10^5*Calculations!$C$14*(Calculations!$O120-Calculations!$C$8))</f>
        <v>#N/A</v>
      </c>
      <c r="AI120" s="8" t="e">
        <f>IF(ISBLANK(Input!$AG$4),NA(),'Reaction Information'!$E$25-'Reaction Information'!$G$25*(Calculations!$O120-Calculations!$C$8)-'Reaction Information'!$N$25*(Calculations!$O120*LN(Calculations!$O120/Calculations!$C$8)-Calculations!$O120+Calculations!$C$8)-'Reaction Information'!$O$25*10^4*(((1/(Calculations!$O120-Calculations!$C$13))-(1/(Calculations!$C$8-Calculations!$C$13)))*((Calculations!$C$13-Calculations!$O120)/(Calculations!$C$13))-(Calculations!$O120/(Calculations!$C$13*Calculations!$C$13))*LN((Calculations!$C$8*(Calculations!$O120-Calculations!$C$13))/(Calculations!$O120*(Calculations!$C$8-Calculations!$C$13))))+'Reaction Information'!$J$25*10^-1*(Calculations!$M120-Calculations!$C$9)+'Reaction Information'!$K$25*10^2*LN((Calculations!$C$12+Calculations!$M120)/(Calculations!$C$12+Calculations!$C$9))+(1/(Calculations!$O120-Calculations!$C$13))*('Reaction Information'!$L$25*(Calculations!$M120-Calculations!$C$9)+'Reaction Information'!$M$25*10^4*LN((Calculations!$C$12+Calculations!$M120)/(Calculations!$C$12+Calculations!$C$9)))+calculateOmega(Calculations!M120,Calculations!N120,Calculations!Q120,'Reaction Information'!$C$25,'Reaction Information'!$P$25*10^5,'Reaction Information'!$Q$25)*((1/Calculations!$S120)-1)-'Reaction Information'!$P$25*10^5*((1/Calculations!$C$10)-1)+'Reaction Information'!$P$25*10^5*Calculations!$C$14*(Calculations!$O120-Calculations!$C$8))</f>
        <v>#N/A</v>
      </c>
      <c r="AJ120" s="8" t="e">
        <f>IF(ISBLANK(Input!$AJ$4),NA(),'Reaction Information'!$E$29-'Reaction Information'!$G$29*(Calculations!$O120-Calculations!$C$8)-'Reaction Information'!$N$29*(Calculations!$O120*LN(Calculations!$O120/Calculations!$C$8)-Calculations!$O120+Calculations!$C$8)-'Reaction Information'!$O$29*10^4*(((1/(Calculations!$O120-Calculations!$C$13))-(1/(Calculations!$C$8-Calculations!$C$13)))*((Calculations!$C$13-Calculations!$O120)/(Calculations!$C$13))-(Calculations!$O120/(Calculations!$C$13*Calculations!$C$13))*LN((Calculations!$C$8*(Calculations!$O120-Calculations!$C$13))/(Calculations!$O120*(Calculations!$C$8-Calculations!$C$13))))+'Reaction Information'!$J$29*10^-1*(Calculations!$M120-Calculations!$C$9)+'Reaction Information'!$K$29*10^2*LN((Calculations!$C$12+Calculations!$M120)/(Calculations!$C$12+Calculations!$C$9))+(1/(Calculations!$O120-Calculations!$C$13))*('Reaction Information'!$L$29*(Calculations!$M120-Calculations!$C$9)+'Reaction Information'!$M$29*10^4*LN((Calculations!$C$12+Calculations!$M120)/(Calculations!$C$12+Calculations!$C$9)))+calculateOmega(Calculations!M120,Calculations!N120,Calculations!Q120,'Reaction Information'!$C$29,'Reaction Information'!$P$29*10^5,'Reaction Information'!$Q$29)*((1/Calculations!$S120)-1)-'Reaction Information'!$P$29*10^5*((1/Calculations!$C$10)-1)+'Reaction Information'!$P$29*10^5*Calculations!$C$14*(Calculations!$O120-Calculations!$C$8))</f>
        <v>#N/A</v>
      </c>
      <c r="AK120" s="8" t="e">
        <f>IF(ISBLANK(Input!$AM$4),NA(),'Reaction Information'!$E$33-'Reaction Information'!$G$33*(Calculations!$O120-Calculations!$C$8)-'Reaction Information'!$N$33*(Calculations!$O120*LN(Calculations!$O120/Calculations!$C$8)-Calculations!$O120+Calculations!$C$8)-'Reaction Information'!$O$33*10^4*(((1/(Calculations!$O120-Calculations!$C$13))-(1/(Calculations!$C$8-Calculations!$C$13)))*((Calculations!$C$13-Calculations!$O120)/(Calculations!$C$13))-(Calculations!$O120/(Calculations!$C$13*Calculations!$C$13))*LN((Calculations!$C$8*(Calculations!$O120-Calculations!$C$13))/(Calculations!$O120*(Calculations!$C$8-Calculations!$C$13))))+'Reaction Information'!$J$33*10^-1*(Calculations!$M120-Calculations!$C$9)+'Reaction Information'!$K$33*10^2*LN((Calculations!$C$12+Calculations!$M120)/(Calculations!$C$12+Calculations!$C$9))+(1/(Calculations!$O120-Calculations!$C$13))*('Reaction Information'!$L$33*(Calculations!$M120-Calculations!$C$9)+'Reaction Information'!$M$33*10^4*LN((Calculations!$C$12+Calculations!$M120)/(Calculations!$C$12+Calculations!$C$9)))+calculateOmega(Calculations!M120,Calculations!N120,Calculations!Q120,'Reaction Information'!$C$33,'Reaction Information'!$P$33*10^5,'Reaction Information'!$Q$33)*((1/Calculations!$S120)-1)-'Reaction Information'!$P$33*10^5*((1/Calculations!$C$10)-1)+'Reaction Information'!$P$33*10^5*Calculations!$C$14*(Calculations!$O120-Calculations!$C$8))</f>
        <v>#N/A</v>
      </c>
      <c r="AL120" s="1">
        <f>Results!S122</f>
        <v>0</v>
      </c>
      <c r="AM120" s="1">
        <f>Results!T122</f>
        <v>0</v>
      </c>
      <c r="AN120" s="1">
        <f>Results!U122</f>
        <v>0</v>
      </c>
      <c r="AO120" s="1">
        <f>Results!V122</f>
        <v>0</v>
      </c>
      <c r="AP120" s="8" t="e">
        <f>IF(ISBLANK(Input!$BB$4),NA(),'Reaction Information'!$E$38-'Reaction Information'!$G$38*(Calculations!$O120-Calculations!$C$8)+'Reaction Information'!$I$38*(Calculations!$O120-Calculations!$C$8-Calculations!$O120*LN(Calculations!$O120/Calculations!$C$8))+'Reaction Information'!$J$38*0.001/2*(2*Calculations!$O120*Calculations!$C$8-Calculations!$O120^2-Calculations!$C$8^2) + 'Reaction Information'!$K$38*100000*(Calculations!$O120^2 + Calculations!$C$8^2 - 2*Calculations!$O120*Calculations!$C$8)/(2*Calculations!$O120*Calculations!$C$8^2))</f>
        <v>#N/A</v>
      </c>
      <c r="AQ120" s="8" t="e">
        <f>IF(ISBLANK(Input!$BE$4),NA(),'Reaction Information'!$E$42-'Reaction Information'!$G$42*(Calculations!$O120-Calculations!$C$8)+'Reaction Information'!$I$42*(Calculations!$O120-Calculations!$C$8-Calculations!$O120*LN(Calculations!$O120/Calculations!$C$8))+'Reaction Information'!$J$42*0.001/2*(2*Calculations!$O120*Calculations!$C$8-Calculations!$O120^2-Calculations!$C$8^2) + 'Reaction Information'!$K$42*100000*(Calculations!$O120^2 + Calculations!$C$8^2 - 2*Calculations!$O120*Calculations!$C$8)/(2*Calculations!$O120*Calculations!$C$8^2))</f>
        <v>#N/A</v>
      </c>
      <c r="AR120" s="8" t="e">
        <f>IF(AR$5="H2O", IF($D$24=3,IF(T120=0,NA(),T120),calculateGibbsOfWater(M120,N120,$D$24,$D$20,$D$19=3)),NA())</f>
        <v>#N/A</v>
      </c>
      <c r="AS120" s="8">
        <f>IF(ISBLANK(Input!$BK$4),NA(),'Reaction Information'!$E$46-'Reaction Information'!$G$46*(Calculations!O120-Calculations!$C$8)-'Reaction Information'!$N$46*(Calculations!O120*LN(Calculations!O120/Calculations!$C$8)-Calculations!O120+Calculations!$C$8)-'Reaction Information'!$O$46*10^4*(((1/(Calculations!O120-Calculations!$C$13))-(1/(Calculations!$C$8-Calculations!$C$13)))*((Calculations!$C$13-Calculations!O120)/(Calculations!$C$13))-(Calculations!O120/(Calculations!$C$13*Calculations!$C$13))*LN((Calculations!$C$8*(Calculations!O120-Calculations!$C$13))/(Calculations!O120*(Calculations!$C$8-Calculations!$C$13))))+'Reaction Information'!$J$46*10^-1*(Calculations!$M120-Calculations!$C$9)+'Reaction Information'!$K$46*10^2*LN((Calculations!$C$12+Calculations!$M120)/(Calculations!$C$12+Calculations!$C$9))+(1/(Calculations!O120-Calculations!$C$13))*('Reaction Information'!$L$46*(Calculations!$M120-Calculations!$C$9)+'Reaction Information'!$M$46*10^4*LN((Calculations!$C$12+Calculations!$M120)/(Calculations!$C$12+Calculations!$C$9)))+calculateOmega(Calculations!M120,Calculations!N120,Calculations!Q120,'Reaction Information'!$C$46,'Reaction Information'!$P$46*10^5,'Reaction Information'!$Q$46)*((1/Calculations!S120)-1)-'Reaction Information'!$P$46*10^5*((1/Calculations!$C$10)-1)+'Reaction Information'!$P$46*10^5*Calculations!$C$14*(Calculations!O120-Calculations!$C$8))</f>
        <v>0</v>
      </c>
      <c r="AT120" s="8">
        <f>IF(ISBLANK(Input!$BN$4),NA(),'Reaction Information'!$E$50-'Reaction Information'!$G$50*(Calculations!O120-Calculations!$C$8)-'Reaction Information'!$N$50*(Calculations!O120*LN(Calculations!O120/Calculations!$C$8)-Calculations!O120+Calculations!$C$8)-'Reaction Information'!$O$50*10^4*(((1/(Calculations!O120-Calculations!$C$13))-(1/(Calculations!$C$8-Calculations!$C$13)))*((Calculations!$C$13-Calculations!O120)/(Calculations!$C$13))-(Calculations!O120/(Calculations!$C$13*Calculations!$C$13))*LN((Calculations!$C$8*(Calculations!O120-Calculations!$C$13))/(Calculations!O120*(Calculations!$C$8-Calculations!$C$13))))+'Reaction Information'!$J$50*10^-1*(Calculations!$M120-Calculations!$C$9)+'Reaction Information'!$K$50*10^2*LN((Calculations!$C$12+Calculations!$M120)/(Calculations!$C$12+Calculations!$C$9))+(1/(Calculations!O120-Calculations!$C$13))*('Reaction Information'!$L$50*(Calculations!$M120-Calculations!$C$9)+'Reaction Information'!$M$50*10^4*LN((Calculations!$C$12+Calculations!$M120)/(Calculations!$C$12+Calculations!$C$9)))+calculateOmega(Calculations!M120,Calculations!N120,Calculations!Q120,'Reaction Information'!$C$50,'Reaction Information'!$P$50*10^5,'Reaction Information'!$Q$50)*((1/Calculations!S120)-1)-'Reaction Information'!$P$50*10^5*((1/Calculations!$C$10)-1)+'Reaction Information'!$P$50*10^5*Calculations!$C$14*(Calculations!O120-Calculations!$C$8))</f>
        <v>-133198.88958881877</v>
      </c>
      <c r="AU120" s="8" t="e">
        <f>IF(ISBLANK(Input!$BQ$4),NA(),'Reaction Information'!$E$54-'Reaction Information'!$G$54*(Calculations!$O120-Calculations!$C$8)-'Reaction Information'!$N$54*(Calculations!$O120*LN(Calculations!$O120/Calculations!$C$8)-Calculations!$O120+Calculations!$C$8)-'Reaction Information'!$O$54*10^4*(((1/(Calculations!$O120-Calculations!$C$13))-(1/(Calculations!$C$8-Calculations!$C$13)))*((Calculations!$C$13-Calculations!$O120)/(Calculations!$C$13))-(Calculations!$O120/(Calculations!$C$13*Calculations!$C$13))*LN((Calculations!$C$8*(Calculations!$O120-Calculations!$C$13))/(Calculations!$O120*(Calculations!$C$8-Calculations!$C$13))))+'Reaction Information'!$J$54*10^-1*(Calculations!$M120-Calculations!$C$9)+'Reaction Information'!$K$54*10^2*LN((Calculations!$C$12+Calculations!$M120)/(Calculations!$C$12+Calculations!$C$9))+(1/(Calculations!$O120-Calculations!$C$13))*('Reaction Information'!$L$54*(Calculations!$M120-Calculations!$C$9)+'Reaction Information'!$M$54*10^4*LN((Calculations!$C$12+Calculations!$M120)/(Calculations!$C$12+Calculations!$C$9)))+calculateOmega(Calculations!M120,Calculations!N120,Calculations!Q120,'Reaction Information'!$C$54,'Reaction Information'!$P$54*10^5,'Reaction Information'!$Q$54)*((1/Calculations!$S120)-1)-'Reaction Information'!$P$54*10^5*((1/Calculations!$C$10)-1)+'Reaction Information'!$P$54*10^5*Calculations!$C$14*(Calculations!$O120-Calculations!$C$8))</f>
        <v>#N/A</v>
      </c>
      <c r="AV120" s="8" t="e">
        <f>IF(ISBLANK(Input!$BT$4),NA(),'Reaction Information'!$E$58-'Reaction Information'!$G$58*(Calculations!$O120-Calculations!$C$8)-'Reaction Information'!$N$58*(Calculations!$O120*LN(Calculations!$O120/Calculations!$C$8)-Calculations!$O120+Calculations!$C$8)-'Reaction Information'!$O$58*10^4*(((1/(Calculations!$O120-Calculations!$C$13))-(1/(Calculations!$C$8-Calculations!$C$13)))*((Calculations!$C$13-Calculations!$O120)/(Calculations!$C$13))-(Calculations!$O120/(Calculations!$C$13*Calculations!$C$13))*LN((Calculations!$C$8*(Calculations!$O120-Calculations!$C$13))/(Calculations!$O120*(Calculations!$C$8-Calculations!$C$13))))+'Reaction Information'!$J$58*10^-1*(Calculations!$M120-Calculations!$C$9)+'Reaction Information'!$K$58*10^2*LN((Calculations!$C$12+Calculations!$M120)/(Calculations!$C$12+Calculations!$C$9))+(1/(Calculations!$O120-Calculations!$C$13))*('Reaction Information'!$L$58*(Calculations!$M120-Calculations!$C$9)+'Reaction Information'!$M$58*10^4*LN((Calculations!$C$12+Calculations!$M120)/(Calculations!$C$12+Calculations!$C$9)))+calculateOmega(Calculations!M120,Calculations!N120,Calculations!Q120,'Reaction Information'!$C$58,'Reaction Information'!$P$58*10^5,'Reaction Information'!$Q$58)*((1/Calculations!$S120)-1)-'Reaction Information'!$P$58*10^5*((1/Calculations!$C$10)-1)+'Reaction Information'!$P$58*10^5*Calculations!$C$14*(Calculations!$O120-Calculations!$C$8))</f>
        <v>#N/A</v>
      </c>
      <c r="AW120" s="8" t="e">
        <f>IF(ISBLANK(Input!$BW$4),NA(),'Reaction Information'!$E$62-'Reaction Information'!$G$62*(Calculations!$O120-Calculations!$C$8)-'Reaction Information'!$N$62*(Calculations!$O120*LN(Calculations!$O120/Calculations!$C$8)-Calculations!$O120+Calculations!$C$8)-'Reaction Information'!$O$62*10^4*(((1/(Calculations!$O120-Calculations!$C$13))-(1/(Calculations!$C$8-Calculations!$C$13)))*((Calculations!$C$13-Calculations!$O120)/(Calculations!$C$13))-(Calculations!$O120/(Calculations!$C$13*Calculations!$C$13))*LN((Calculations!$C$8*(Calculations!$O120-Calculations!$C$13))/(Calculations!$O120*(Calculations!$C$8-Calculations!$C$13))))+'Reaction Information'!$J$62*10^-1*(Calculations!$M120-Calculations!$C$9)+'Reaction Information'!$K$62*10^2*LN((Calculations!$C$12+Calculations!$M120)/(Calculations!$C$12+Calculations!$C$9))+(1/(Calculations!$O120-Calculations!$C$13))*('Reaction Information'!$L$62*(Calculations!$M120-Calculations!$C$9)+'Reaction Information'!$M$62*10^4*LN((Calculations!$C$12+Calculations!$M120)/(Calculations!$C$12+Calculations!$C$9)))+calculateOmega(Calculations!M120,Calculations!N120,Calculations!Q120,'Reaction Information'!$C$62,'Reaction Information'!$P$62*10^5,'Reaction Information'!$Q$62)*((1/Calculations!$S120)-1)-'Reaction Information'!$P$62*10^5*((1/Calculations!$C$10)-1)+'Reaction Information'!$P$62*10^5*Calculations!$C$14*(Calculations!$O120-Calculations!$C$8))</f>
        <v>#N/A</v>
      </c>
      <c r="AX120" s="8" t="e">
        <f>IF(ISBLANK(Input!$BZ$4),NA(),'Reaction Information'!$E$66-'Reaction Information'!$G$66*(Calculations!$O120-Calculations!$C$8)-'Reaction Information'!$N$66*(Calculations!$O120*LN(Calculations!$O120/Calculations!$C$8)-Calculations!$O120+Calculations!$C$8)-'Reaction Information'!$O$66*10^4*(((1/(Calculations!$O120-Calculations!$C$13))-(1/(Calculations!$C$8-Calculations!$C$13)))*((Calculations!$C$13-Calculations!$O120)/(Calculations!$C$13))-(Calculations!$O120/(Calculations!$C$13*Calculations!$C$13))*LN((Calculations!$C$8*(Calculations!$O120-Calculations!$C$13))/(Calculations!$O120*(Calculations!$C$8-Calculations!$C$13))))+'Reaction Information'!$J$66*10^-1*(Calculations!$M120-Calculations!$C$9)+'Reaction Information'!$K$66*10^2*LN((Calculations!$C$12+Calculations!$M120)/(Calculations!$C$12+Calculations!$C$9))+(1/(Calculations!$O120-Calculations!$C$13))*('Reaction Information'!$L$66*(Calculations!$M120-Calculations!$C$9)+'Reaction Information'!$M$66*10^4*LN((Calculations!$C$12+Calculations!$M120)/(Calculations!$C$12+Calculations!$C$9)))+calculateOmega(Calculations!M120,Calculations!N120,Calculations!Q120,'Reaction Information'!$C$66,'Reaction Information'!$P$66*10^5,'Reaction Information'!$Q$66)*((1/Calculations!$S120)-1)-'Reaction Information'!$P$66*10^5*((1/Calculations!$C$10)-1)+'Reaction Information'!$P$66*10^5*Calculations!$C$14*(Calculations!$O120-Calculations!$C$8))</f>
        <v>#N/A</v>
      </c>
      <c r="AY120" s="31">
        <f>(AL120*Input!$AO$4+AM120*Input!$AR$4+AN120*Input!$AU$4+AO120*Input!$AX$4+IF(ISNA(AP120),0,AP120*Input!$BA$4)+IF(ISNA(AQ120),0,AQ120*Input!$BD$4)+IF(ISNA(AR120),0,AR120*Input!$BG$4)+IF(ISNA(AS120),0,AS120*Input!$BJ$4)+IF(ISNA(AT120),0,AT120*Input!$BM$4)+IF(ISNA(AU120),0,AU120*Input!$BP$4)+IF(ISNA(AV120),0,AV120*Input!$BS$4)+IF(ISNA(AW120),0,AW120*Input!$BV$4)+IF(ISNA(AX120),0,AX120*Input!$BY$4))-(Y120*Input!$B$4+Z120*Input!$E$4+AA120*Input!$H$4+AB120*Input!$K$4+IF(ISNA(AC120),0,AC120*Input!$N$4)+IF(ISNA(AD120),0,AD120*Input!$Q$4)+IF(ISNA(AE120),0,AE120*Input!$T$4)+IF(ISNA(AF120),0,AF120*Input!$W$4)+IF(ISNA(AG120),0,AG120*Input!$Z$4)+IF(ISNA(AH120),0,AH120*Input!$AC$4)+IF(ISNA(AI120),0,AI120*Input!$AF$4)+IF(ISNA(AJ120),0,AJ120*Input!$AI$4)+IF(ISNA(AK120),0,AK120*Input!$AL$4))</f>
        <v>20750.671799136384</v>
      </c>
      <c r="AZ120" s="42">
        <f t="shared" si="35"/>
        <v>-4.4353176268123704</v>
      </c>
      <c r="BA120" s="1">
        <f t="shared" si="27"/>
        <v>750</v>
      </c>
      <c r="BB120" s="46">
        <f t="shared" si="28"/>
        <v>40000</v>
      </c>
      <c r="BC120" s="1"/>
      <c r="BD120" s="2">
        <f t="shared" si="29"/>
        <v>40000</v>
      </c>
      <c r="BE120" s="46">
        <f t="shared" si="30"/>
        <v>750</v>
      </c>
      <c r="BF120" s="1">
        <f>Results!AJ122</f>
        <v>0</v>
      </c>
      <c r="BG120" s="1">
        <f>Results!AK122</f>
        <v>0</v>
      </c>
      <c r="BH120" s="1">
        <f>Results!AL122</f>
        <v>0</v>
      </c>
      <c r="BI120" s="1">
        <f>Results!AM122</f>
        <v>0</v>
      </c>
      <c r="BJ120" s="1" t="e">
        <f>IF(OR(ISNA('Reaction Information'!$D$5), $N120 = "", $D$27 = FALSE, 'Reaction Information'!$D$5 = ""), NA(), 24.465)</f>
        <v>#N/A</v>
      </c>
      <c r="BK120" s="1" t="e">
        <f>IF(OR(ISNA('Reaction Information'!$D$9), $N120 = "", $D$27 = FALSE, 'Reaction Information'!$D$9 = ""), NA(), 24.465)</f>
        <v>#N/A</v>
      </c>
      <c r="BL120" s="8">
        <f t="shared" si="36"/>
        <v>14.086826806861893</v>
      </c>
      <c r="BM120" s="8">
        <f>IF(OR(ISBLANK(Input!$X$4),$D$27=FALSE),NA(),('Reaction Information'!$J$13/10+'Reaction Information'!$K$13*100/(Calculations!$C$12+Calculations!$M120)+('Reaction Information'!$L$13+'Reaction Information'!$M$13*10^4/(Calculations!$C$12+Calculations!$M120))/(Calculations!$O120-Calculations!$C$13) -calculateOmega(Calculations!$M120,Calculations!$N120,Calculations!$Q120,'Reaction Information'!$C$13,'Reaction Information'!$P$13*10^5,'Reaction Information'!$Q$13)*Calculations!$U120*10^-6 + (1/$S120 - 1)*calculate_domegadP(Calculations!$M120,Calculations!$N120,Calculations!$Q120,'Reaction Information'!$C$13,'Reaction Information'!$P$13*10^5,'Reaction Information'!$Q$13,$D$20,$D$19=3))*41.84)</f>
        <v>30.198110945081144</v>
      </c>
      <c r="BN120" s="8" t="e">
        <f>IF(OR(ISBLANK(Input!$AA$4),$D$27=FALSE),NA(),('Reaction Information'!$J$17/10+'Reaction Information'!$K$17*100/(Calculations!$C$12+Calculations!$M120)+('Reaction Information'!$L$17+'Reaction Information'!$M$17*10000/(Calculations!$C$12+Calculations!$M120))/(Calculations!$O120-Calculations!$C$13)-calculateOmega(Calculations!M120,Calculations!N120,Calculations!Q120,'Reaction Information'!$C$17,'Reaction Information'!$P$17*10^5,'Reaction Information'!$Q$17)*Calculations!$U120*10^-6 + (1/$S120 - 1)*calculate_domegadP(Calculations!M120,Calculations!N120,Calculations!Q120,'Reaction Information'!$C$17,'Reaction Information'!$P$17*10^5,'Reaction Information'!$Q$17,$D$20,$D$19=3))*41.84)</f>
        <v>#N/A</v>
      </c>
      <c r="BO120" s="8" t="e">
        <f>IF(OR(ISBLANK(Input!$AD$4),$D$27=FALSE),NA(),('Reaction Information'!$J$21/10+'Reaction Information'!$K$21*100/(Calculations!$C$12+Calculations!$M120)+('Reaction Information'!$L$21+'Reaction Information'!$M$21*10000/(Calculations!$C$12+Calculations!$M120))/(Calculations!$O120-Calculations!$C$13)-calculateOmega(Calculations!M120,Calculations!N120,Calculations!Q120,'Reaction Information'!$C$21,'Reaction Information'!$P$21*10^5,'Reaction Information'!$Q$21)*Calculations!$U120*10^-6 + (1/$S120 - 1)*calculate_domegadP(Calculations!M120,Calculations!N120,Calculations!Q120,'Reaction Information'!$C$21,'Reaction Information'!$P$21*10^5,'Reaction Information'!$Q$21,$D$20,$D$19=3))*41.84)</f>
        <v>#N/A</v>
      </c>
      <c r="BP120" s="8" t="e">
        <f>IF(OR(ISBLANK(Input!$AG$4),$D$27=FALSE),NA(),('Reaction Information'!$J$25/10+'Reaction Information'!$K$25*100/(Calculations!$C$12+Calculations!$M120)+('Reaction Information'!$L$25+'Reaction Information'!$M$25*10000/(Calculations!$C$12+Calculations!$M120))/(Calculations!$O120-Calculations!$C$13)-calculateOmega(Calculations!M120,Calculations!N120,Calculations!Q120,'Reaction Information'!$C$25,'Reaction Information'!$P$25*10^5,'Reaction Information'!$Q$25)*Calculations!$U120*10^-6 + (1/$S120 - 1)*calculate_domegadP(Calculations!M120,Calculations!N120,Calculations!Q120,'Reaction Information'!$C$25,'Reaction Information'!$P$25*10^5,'Reaction Information'!$Q$25,$D$20,$D$19=3))*41.84)</f>
        <v>#N/A</v>
      </c>
      <c r="BQ120" s="8" t="e">
        <f>IF(OR(ISBLANK(Input!$AJ$4),$D$27=FALSE),NA(),('Reaction Information'!$J$29/10+'Reaction Information'!$K$29*100/(Calculations!$C$12+Calculations!$M120)+('Reaction Information'!$L$29+'Reaction Information'!$M$29*10000/(Calculations!$C$12+Calculations!$M120))/(Calculations!$O120-Calculations!$C$13)-calculateOmega(Calculations!M120,Calculations!N120,Calculations!Q120,'Reaction Information'!$C$29,'Reaction Information'!$P$29*10^5,'Reaction Information'!$Q$29)*Calculations!$U120*10^-6 + (1/$S120 - 1)*calculate_domegadP(Calculations!M120,Calculations!N120,Calculations!Q120,'Reaction Information'!$C$29,'Reaction Information'!$P$29*10^5,'Reaction Information'!$Q$29,$D$20,$D$19=3))*41.84)</f>
        <v>#N/A</v>
      </c>
      <c r="BR120" s="8" t="e">
        <f>IF(OR(ISBLANK(Input!$AM$4),$D$27=FALSE),NA(),('Reaction Information'!$J$33/10+'Reaction Information'!$K$33*100/(Calculations!$C$12+Calculations!$M120)+('Reaction Information'!$L$33+'Reaction Information'!$M$33*10000/(Calculations!$C$12+Calculations!$M120))/(Calculations!$O120-Calculations!$C$13)-calculateOmega(Calculations!M120,Calculations!N120,Calculations!Q120,'Reaction Information'!$C$33,'Reaction Information'!$P$33*10^5,'Reaction Information'!$Q$33)*Calculations!$U120*10^-6 + (1/$S120 - 1)*calculate_domegadP(Calculations!M120,Calculations!N120,Calculations!Q120,'Reaction Information'!$C$33,'Reaction Information'!$P$33*10^5,'Reaction Information'!$Q$33,$D$20,$D$19=3))*41.84)</f>
        <v>#N/A</v>
      </c>
      <c r="BS120" s="1">
        <f>Results!AW122</f>
        <v>0</v>
      </c>
      <c r="BT120" s="1">
        <f>Results!AX122</f>
        <v>0</v>
      </c>
      <c r="BU120" s="1">
        <f>Results!AY122</f>
        <v>0</v>
      </c>
      <c r="BV120" s="1">
        <f>Results!AZ122</f>
        <v>0</v>
      </c>
      <c r="BW120" s="1" t="e">
        <f>IF(OR(ISNA('Reaction Information'!$D$38), $N120 = "", $D$27 = FALSE, 'Reaction Information'!$D$38 = ""), NA(), 24.465)</f>
        <v>#N/A</v>
      </c>
      <c r="BX120" s="1" t="e">
        <f>IF(OR(ISNA('Reaction Information'!$D$42), $N120 = "", $D$27 = FALSE, 'Reaction Information'!$D$42 = ""), NA(), 24.465)</f>
        <v>#N/A</v>
      </c>
      <c r="BY120" s="8" t="e">
        <f t="shared" si="37"/>
        <v>#N/A</v>
      </c>
      <c r="BZ120" s="8">
        <f>IF(OR(ISBLANK(Input!$BK$4),$D$27=FALSE),NA(),('Reaction Information'!$J$46/10+'Reaction Information'!$K$46*100/(Calculations!$C$12+Calculations!$M120)+('Reaction Information'!$L$46+'Reaction Information'!$M$46*10000/(Calculations!$C$12+Calculations!$M120))/(Calculations!$O120-Calculations!$C$13)-calculateOmega(Calculations!M120,Calculations!N120,Calculations!Q120,'Reaction Information'!$C$46,'Reaction Information'!$P$46*10^5,'Reaction Information'!$Q$46)*Calculations!$U120*10^-6 + (1/$S120 - 1)*calculate_domegadP(Calculations!M120,Calculations!N120,Calculations!Q120,'Reaction Information'!$C$46,'Reaction Information'!$P$46*10^5,'Reaction Information'!$Q$46,$D$20,$D$19=3))*41.84)</f>
        <v>0</v>
      </c>
      <c r="CA120" s="8">
        <f>IF(OR(ISBLANK(Input!$BN$4),$D$27=FALSE),NA(),('Reaction Information'!$J$50/10+'Reaction Information'!$K$50*100/(Calculations!$C$12+Calculations!$M120)+('Reaction Information'!$L$50+'Reaction Information'!$M$50*10000/(Calculations!$C$12+Calculations!$M120))/(Calculations!$O120-Calculations!$C$13)-calculateOmega(Calculations!M120,Calculations!N120,Calculations!Q120,'Reaction Information'!$C$50,'Reaction Information'!$P$50*10^5,'Reaction Information'!$Q$50)*Calculations!$U120*10^-6 + (1/$S120 - 1)*calculate_domegadP(Calculations!M120,Calculations!N120,Calculations!Q120,'Reaction Information'!$C$50,'Reaction Information'!$P$50*10^5,'Reaction Information'!$Q$50,$D$20,$D$19=3))*41.84)</f>
        <v>30.950252502355085</v>
      </c>
      <c r="CB120" s="8" t="e">
        <f>IF(OR(ISBLANK(Input!$BQ$4),$D$27=FALSE),NA(),('Reaction Information'!$J$54/10+'Reaction Information'!$K$54*100/(Calculations!$C$12+Calculations!$M120)+('Reaction Information'!$L$54+'Reaction Information'!$M$54*10000/(Calculations!$C$12+Calculations!$M120))/(Calculations!$O120-Calculations!$C$13)-calculateOmega(Calculations!M120,Calculations!N120,Calculations!Q120,'Reaction Information'!$C$54,'Reaction Information'!$P$54*10^5,'Reaction Information'!$Q$54)*Calculations!$U120*10^-6 + (1/$S120 - 1)*calculate_domegadP(Calculations!M120,Calculations!N120,Calculations!Q120,'Reaction Information'!$C$54,'Reaction Information'!$P$54*10^5,'Reaction Information'!$Q$54,$D$20,$D$19=3))*41.84)</f>
        <v>#N/A</v>
      </c>
      <c r="CC120" s="8" t="e">
        <f>IF(OR(ISBLANK(Input!$BT$4),$D$27=FALSE),NA(),('Reaction Information'!$J$58/10+'Reaction Information'!$K$58*100/(Calculations!$C$12+Calculations!$M120)+('Reaction Information'!$L$58+'Reaction Information'!$M$58*10000/(Calculations!$C$12+Calculations!$M120))/(Calculations!$O120-Calculations!$C$13)-calculateOmega(Calculations!M120,Calculations!N120,Calculations!Q120,'Reaction Information'!$C$58,'Reaction Information'!$P$58*10^5,'Reaction Information'!$Q$58)*Calculations!$U120*10^-6 + (1/$S120 - 1)*calculate_domegadP(Calculations!M120,Calculations!N120,Calculations!Q120,'Reaction Information'!$C$58,'Reaction Information'!$P$58*10^5,'Reaction Information'!$Q$58,$D$20,$D$19=3))*41.84)</f>
        <v>#N/A</v>
      </c>
      <c r="CD120" s="8" t="e">
        <f>IF(OR(ISBLANK(Input!$BW$4),$D$27=FALSE),NA(),('Reaction Information'!$J$62/10+'Reaction Information'!$K$62*100/(Calculations!$C$12+Calculations!$M120)+('Reaction Information'!$L$62+'Reaction Information'!$M$62*10000/(Calculations!$C$12+Calculations!$M120))/(Calculations!$O120-Calculations!$C$13)-calculateOmega(Calculations!M120,Calculations!N120,Calculations!Q120,'Reaction Information'!$C$62,'Reaction Information'!$P$62*10^5,'Reaction Information'!$Q$62)*Calculations!$U120*10^-6 + (1/$S120 - 1)*calculate_domegadP(Calculations!M120,Calculations!N120,Calculations!Q120,'Reaction Information'!$C$62,'Reaction Information'!$P$62*10^5,'Reaction Information'!$Q$62,$D$20,$D$19=3))*41.84)</f>
        <v>#N/A</v>
      </c>
      <c r="CE120" s="8" t="e">
        <f>IF(OR(ISBLANK(Input!$BZ$4),$D$27=FALSE),NA(),('Reaction Information'!$J$66/10+'Reaction Information'!$K$66*100/(Calculations!$C$12+Calculations!$M120)+('Reaction Information'!$L$66+'Reaction Information'!$M$66*10000/(Calculations!$C$12+Calculations!$M120))/(Calculations!$O120-Calculations!$C$13)-calculateOmega(Calculations!M120,Calculations!N120,Calculations!Q120,'Reaction Information'!$C$66,'Reaction Information'!$P$66*10^5,'Reaction Information'!$Q$66)*Calculations!$U120*10^-6 + (1/$S120 - 1)*calculate_domegadP(Calculations!M120,Calculations!N120,Calculations!Q120,'Reaction Information'!$C$66,'Reaction Information'!$P$66*10^5,'Reaction Information'!$Q$66,$D$20,$D$19=3))*41.84)</f>
        <v>#N/A</v>
      </c>
      <c r="CF120" s="31">
        <f>(BS120*Input!$AO$4+BT120*Input!$AR$4+BU120*Input!$AU$4+BV120*Input!$AX$4+IF(ISNA(BW120),0,BW120*Input!$BA$4)+IF(ISNA(BX120),0,BX120*Input!$BD$4)+IF(ISNA(BY120),0,BY120*Input!$BG$4)+IF(ISNA(BZ120),0,BZ120*Input!$BJ$4)+IF(ISNA(CA120),0,CA120*Input!$BM$4)+IF(ISNA(CB120),0,CB120*Input!$BP$4)+IF(ISNA(CC120),0,CC120*Input!$BS$4)+IF(ISNA(CD120),0,CD120*Input!$BV$4)+IF(ISNA(CE120),0,CE120*Input!$BY$4))-(BF120*Input!$B$4+BG120*Input!$E$4+BH120*Input!$H$4+BI120*Input!$K$4+IF(ISNA(BJ120),0,BJ120*Input!$N$4)+IF(ISNA(BK120),0,BK120*Input!$Q$4)+IF(ISNA(BL120),0,BL120*Input!$T$4)+IF(ISNA(BM120),0,BM120*Input!$W$4)+IF(ISNA(BN120),0,BN120*Input!$Z$4)+IF(ISNA(BO120),0,BO120*Input!$AC$4)+IF(ISNA(BP120),0,BP120*Input!$AF$4)+IF(ISNA(BQ120),0,BQ120*Input!$AI$4)+IF(ISNA(BR120),0,BR120*Input!$AL$4))</f>
        <v>-13.334685249587949</v>
      </c>
      <c r="CG120" s="1">
        <f t="shared" si="31"/>
        <v>750</v>
      </c>
      <c r="CH120" s="46">
        <f t="shared" si="32"/>
        <v>40000</v>
      </c>
      <c r="CI120" s="1"/>
    </row>
    <row r="121" spans="1:87" x14ac:dyDescent="0.2">
      <c r="A121" s="1"/>
      <c r="B121" s="1"/>
      <c r="C121" s="1"/>
      <c r="D121" s="1"/>
      <c r="E121" s="1"/>
      <c r="F121" s="2">
        <v>116</v>
      </c>
      <c r="G121" s="1" t="str">
        <f>IF(ISBLANK(Input!CB121), "", Input!CB121*1000)</f>
        <v/>
      </c>
      <c r="H121" s="1" t="str">
        <f>IF(ISBLANK(Input!CC121), "", Input!CC121)</f>
        <v/>
      </c>
      <c r="I121" s="1">
        <f>IF(Input!$CF$5 + Input!$CF$6*(FLOOR((Calculations!$F121-1)/(FLOOR((Input!$CF$12-Input!$CF$10)/Input!$CF$11,1)+1),1)) &gt; Input!$CF$7, "", (Input!$CF$5 + Input!$CF$6*(FLOOR((Calculations!$F121-1)/(FLOOR((Input!$CF$12-Input!$CF$10)/Input!$CF$11,1)+1),1)))*1000)</f>
        <v>40000</v>
      </c>
      <c r="J121" s="1">
        <f>IF(Calculations!I121 = "", "", Input!$CF$10 + Input!$CF$11*(Calculations!$F121-1) - (FLOOR((Input!$CF$12-Input!$CF$10)/Input!$CF$11,1)+1)*Input!$CF$11*FLOOR((Calculations!$F121-1)/(FLOOR((Input!$CF$12-Input!$CF$10)/Input!$CF$11,1)+1),1))</f>
        <v>800</v>
      </c>
      <c r="K121" s="8" t="str">
        <f t="shared" si="33"/>
        <v/>
      </c>
      <c r="L121" s="117" t="str">
        <f>IF(OR(Input!$CJ$5 + Input!$CJ$6*(Calculations!F121-1) &gt; Input!$CJ$7, Input!$CJ$5 + Input!$CJ$6*(Calculations!F121-1) &gt; 350), "", Input!$CJ$5 + Input!$CJ$6*(Calculations!F121-1))</f>
        <v/>
      </c>
      <c r="M121" s="1">
        <f t="shared" si="23"/>
        <v>40000</v>
      </c>
      <c r="N121" s="1">
        <f t="shared" si="24"/>
        <v>800</v>
      </c>
      <c r="O121" s="1">
        <f t="shared" si="34"/>
        <v>1073.1500000000001</v>
      </c>
      <c r="P121" s="1" t="e">
        <f>IF(OR($D$20=3,AND($D$21=TRUE,M121&lt;1000)),INDEX('Water Density'!$C$6:$CX$120,MATCH(Calculations!N121,'Water Density'!$B$6:$B$120),MATCH(Calculations!M121/1000,'Water Density'!$C$5:$CX$5)),NA())</f>
        <v>#N/A</v>
      </c>
      <c r="Q121" s="182">
        <f>IF(OR($D$20=3,AND($D$21=TRUE,M121&lt;1000)), IF(P121&lt;&gt;0,P121,NA()), calculateDensity(M121,N121,$D$20,0.01,$D$19 = 3))</f>
        <v>1.2655332889550928</v>
      </c>
      <c r="R121" s="1" t="e">
        <f>IF($D$22=5,INDEX('Dielectric Constant'!$C$6:$CX$120,MATCH(Calculations!N121,'Dielectric Constant'!$B$6:$B$120),MATCH(Calculations!M121/1000,'Dielectric Constant'!$C$5:$CX$5)),NA())</f>
        <v>#N/A</v>
      </c>
      <c r="S121" s="58">
        <f>IF($D$22=5, IF(R121&lt;&gt;0,R121,NA()), IF(AND($D$23,M121&lt;=5000,$D$19 &lt;&gt; 3),calculateEpsilon(Q121,N121,1,FALSE),calculateEpsilon(Q121,N121,$D$22,$D$19 = 3)))</f>
        <v>21.642452972971753</v>
      </c>
      <c r="T121" s="1" t="e">
        <f>IF($D$24=3,INDEX('Water Free Energy'!$C$6:$CX$120,MATCH(Calculations!N121,'Water Free Energy'!$B$6:$B$120),MATCH(Calculations!M121/1000,'Water Free Energy'!$C$5:$CX$5)),NA())</f>
        <v>#N/A</v>
      </c>
      <c r="U121" s="179">
        <f>IF($D$27,calculateQ(M121,N121,Q121,$D$20,$D$22,$D$19=3)*10^6,NA())</f>
        <v>0.22930826159464293</v>
      </c>
      <c r="V121"/>
      <c r="W121" s="2">
        <f t="shared" si="25"/>
        <v>40000</v>
      </c>
      <c r="X121" s="1">
        <f t="shared" si="26"/>
        <v>800</v>
      </c>
      <c r="Y121" s="1">
        <f>Results!F123</f>
        <v>0</v>
      </c>
      <c r="Z121" s="1">
        <f>Results!G123</f>
        <v>0</v>
      </c>
      <c r="AA121" s="1">
        <f>Results!H123</f>
        <v>0</v>
      </c>
      <c r="AB121" s="1">
        <f>Results!I123</f>
        <v>0</v>
      </c>
      <c r="AC121" s="1" t="e">
        <f>IF(ISBLANK(Input!$O$4),NA(),'Reaction Information'!$E$5-'Reaction Information'!$G$5*(Calculations!$O121-Calculations!$C$8)+'Reaction Information'!$I$5*(Calculations!$O121-Calculations!$C$8-Calculations!$O121*LN(Calculations!$O121/Calculations!$C$8))+'Reaction Information'!$J$5*0.001/2*(2*Calculations!$O121*Calculations!$C$8-Calculations!$O121^2-Calculations!$C$8^2) + 'Reaction Information'!$K$5*100000*(Calculations!$O121^2 + Calculations!$C$8^2 - 2*Calculations!$O121*Calculations!$C$8)/(2*Calculations!$O121*Calculations!$C$8^2))</f>
        <v>#N/A</v>
      </c>
      <c r="AD121" s="8" t="e">
        <f>IF(ISBLANK(Input!$R$4),NA(),'Reaction Information'!$E$9-'Reaction Information'!$G$9*(Calculations!$O121-Calculations!$C$8)+'Reaction Information'!$I$9*(Calculations!$O121-Calculations!$C$8-Calculations!$O121*LN(Calculations!$O121/Calculations!$C$8))+'Reaction Information'!$J$9*0.001/2*(2*Calculations!$O121*Calculations!$C$8-Calculations!$O121^2-Calculations!$C$8^2) + 'Reaction Information'!$K$9*100000*(Calculations!$O121^2 + Calculations!$C$8^2 - 2*Calculations!$O121*Calculations!$C$8)/(2*Calculations!$O121*Calculations!$C$8^2))</f>
        <v>#N/A</v>
      </c>
      <c r="AE121" s="8">
        <f>IF(AE$5="H2O",IF($D$24=3,IF(T121=0,NA(),T121),calculateGibbsOfWater(M121,N121,$D$24,$D$20,$D$19=3)),NA())</f>
        <v>-62123.5284727994</v>
      </c>
      <c r="AF121" s="8">
        <f>IF(ISBLANK(Input!$X$4),NA(),'Reaction Information'!$E$13-'Reaction Information'!$G$13*(Calculations!O121-Calculations!$C$8)-'Reaction Information'!$N$13*(Calculations!O121*LN(Calculations!O121/Calculations!$C$8)-Calculations!O121+Calculations!$C$8)-'Reaction Information'!$O$13*10^4*(((1/(Calculations!O121-Calculations!$C$13))-(1/(Calculations!$C$8-Calculations!$C$13)))*((Calculations!$C$13-Calculations!O121)/(Calculations!$C$13))-(Calculations!O121/(Calculations!$C$13*Calculations!$C$13))*LN((Calculations!$C$8*(Calculations!O121-Calculations!$C$13))/(Calculations!O121*(Calculations!$C$8-Calculations!$C$13))))+'Reaction Information'!$J$13*10^-1*(Calculations!M121-Calculations!$C$9)+'Reaction Information'!$K$13*10^2*LN((Calculations!$C$12+Calculations!M121)/(Calculations!$C$12+Calculations!$C$9))+(1/(Calculations!O121-Calculations!$C$13))*('Reaction Information'!$L$13*(Calculations!M121-Calculations!$C$9)+'Reaction Information'!$M$13*10^4*LN((Calculations!$C$12+Calculations!M121)/(Calculations!$C$12+Calculations!$C$9)))+calculateOmega(Calculations!M121,Calculations!N121,Calculations!Q121,'Reaction Information'!$C$13,'Reaction Information'!$P$13*10^5,'Reaction Information'!$Q$13)*((1/Calculations!S121)-1)-'Reaction Information'!$P$13*10^5*((1/Calculations!$C$10)-1)+'Reaction Information'!$P$13*10^5*Calculations!$C$14*(Calculations!O121-Calculations!$C$8))</f>
        <v>-95790.385345859104</v>
      </c>
      <c r="AG121" s="8" t="e">
        <f>IF(ISBLANK(Input!$AA$4),NA(),'Reaction Information'!$E$17-'Reaction Information'!$G$17*(Calculations!$O121-Calculations!$C$8)-'Reaction Information'!$N$17*(Calculations!$O121*LN(Calculations!$O121/Calculations!$C$8)-Calculations!$O121+Calculations!$C$8)-'Reaction Information'!$O$17*10^4*(((1/(Calculations!$O121-Calculations!$C$13))-(1/(Calculations!$C$8-Calculations!$C$13)))*((Calculations!$C$13-Calculations!$O121)/(Calculations!$C$13))-(Calculations!$O121/(Calculations!$C$13*Calculations!$C$13))*LN((Calculations!$C$8*(Calculations!$O121-Calculations!$C$13))/(Calculations!$O121*(Calculations!$C$8-Calculations!$C$13))))+'Reaction Information'!$J$17*10^-1*(Calculations!$M121-Calculations!$C$9)+'Reaction Information'!$K$17*10^2*LN((Calculations!$C$12+Calculations!$M121)/(Calculations!$C$12+Calculations!$C$9))+(1/(Calculations!$O121-Calculations!$C$13))*('Reaction Information'!$L$17*(Calculations!$M121-Calculations!$C$9)+'Reaction Information'!$M$17*10^4*LN((Calculations!$C$12+Calculations!$M121)/(Calculations!$C$12+Calculations!$C$9)))+calculateOmega(Calculations!M121,Calculations!N121,Calculations!Q121,'Reaction Information'!$C$17,'Reaction Information'!$P$17*10^5,'Reaction Information'!$Q$17)*((1/Calculations!$S121)-1)-'Reaction Information'!$P$17*10^5*((1/Calculations!$C$10)-1)+'Reaction Information'!$P$17*10^5*Calculations!$C$14*(Calculations!$O121-Calculations!$C$8))</f>
        <v>#N/A</v>
      </c>
      <c r="AH121" s="8" t="e">
        <f>IF(ISBLANK(Input!$AD$4),NA(),'Reaction Information'!$E$21-'Reaction Information'!$G$21*(Calculations!$O121-Calculations!$C$8)-'Reaction Information'!$N$21*(Calculations!$O121*LN(Calculations!$O121/Calculations!$C$8)-Calculations!$O121+Calculations!$C$8)-'Reaction Information'!$O$21*10^4*(((1/(Calculations!$O121-Calculations!$C$13))-(1/(Calculations!$C$8-Calculations!$C$13)))*((Calculations!$C$13-Calculations!$O121)/(Calculations!$C$13))-(Calculations!$O121/(Calculations!$C$13*Calculations!$C$13))*LN((Calculations!$C$8*(Calculations!$O121-Calculations!$C$13))/(Calculations!$O121*(Calculations!$C$8-Calculations!$C$13))))+'Reaction Information'!$J$21*10^-1*(Calculations!$M121-Calculations!$C$9)+'Reaction Information'!$K$21*10^2*LN((Calculations!$C$12+Calculations!$M121)/(Calculations!$C$12+Calculations!$C$9))+(1/(Calculations!$O121-Calculations!$C$13))*('Reaction Information'!$L$21*(Calculations!$M121-Calculations!$C$9)+'Reaction Information'!$M$21*10^4*LN((Calculations!$C$12+Calculations!$M121)/(Calculations!$C$12+Calculations!$C$9)))+calculateOmega(Calculations!M121,Calculations!N121,Calculations!Q121,'Reaction Information'!$C$21,'Reaction Information'!$P$21*10^5,'Reaction Information'!$Q$21)*((1/Calculations!$S121)-1)-'Reaction Information'!$P$21*10^5*((1/Calculations!$C$10)-1)+'Reaction Information'!$P$21*10^5*Calculations!$C$14*(Calculations!$O121-Calculations!$C$8))</f>
        <v>#N/A</v>
      </c>
      <c r="AI121" s="8" t="e">
        <f>IF(ISBLANK(Input!$AG$4),NA(),'Reaction Information'!$E$25-'Reaction Information'!$G$25*(Calculations!$O121-Calculations!$C$8)-'Reaction Information'!$N$25*(Calculations!$O121*LN(Calculations!$O121/Calculations!$C$8)-Calculations!$O121+Calculations!$C$8)-'Reaction Information'!$O$25*10^4*(((1/(Calculations!$O121-Calculations!$C$13))-(1/(Calculations!$C$8-Calculations!$C$13)))*((Calculations!$C$13-Calculations!$O121)/(Calculations!$C$13))-(Calculations!$O121/(Calculations!$C$13*Calculations!$C$13))*LN((Calculations!$C$8*(Calculations!$O121-Calculations!$C$13))/(Calculations!$O121*(Calculations!$C$8-Calculations!$C$13))))+'Reaction Information'!$J$25*10^-1*(Calculations!$M121-Calculations!$C$9)+'Reaction Information'!$K$25*10^2*LN((Calculations!$C$12+Calculations!$M121)/(Calculations!$C$12+Calculations!$C$9))+(1/(Calculations!$O121-Calculations!$C$13))*('Reaction Information'!$L$25*(Calculations!$M121-Calculations!$C$9)+'Reaction Information'!$M$25*10^4*LN((Calculations!$C$12+Calculations!$M121)/(Calculations!$C$12+Calculations!$C$9)))+calculateOmega(Calculations!M121,Calculations!N121,Calculations!Q121,'Reaction Information'!$C$25,'Reaction Information'!$P$25*10^5,'Reaction Information'!$Q$25)*((1/Calculations!$S121)-1)-'Reaction Information'!$P$25*10^5*((1/Calculations!$C$10)-1)+'Reaction Information'!$P$25*10^5*Calculations!$C$14*(Calculations!$O121-Calculations!$C$8))</f>
        <v>#N/A</v>
      </c>
      <c r="AJ121" s="8" t="e">
        <f>IF(ISBLANK(Input!$AJ$4),NA(),'Reaction Information'!$E$29-'Reaction Information'!$G$29*(Calculations!$O121-Calculations!$C$8)-'Reaction Information'!$N$29*(Calculations!$O121*LN(Calculations!$O121/Calculations!$C$8)-Calculations!$O121+Calculations!$C$8)-'Reaction Information'!$O$29*10^4*(((1/(Calculations!$O121-Calculations!$C$13))-(1/(Calculations!$C$8-Calculations!$C$13)))*((Calculations!$C$13-Calculations!$O121)/(Calculations!$C$13))-(Calculations!$O121/(Calculations!$C$13*Calculations!$C$13))*LN((Calculations!$C$8*(Calculations!$O121-Calculations!$C$13))/(Calculations!$O121*(Calculations!$C$8-Calculations!$C$13))))+'Reaction Information'!$J$29*10^-1*(Calculations!$M121-Calculations!$C$9)+'Reaction Information'!$K$29*10^2*LN((Calculations!$C$12+Calculations!$M121)/(Calculations!$C$12+Calculations!$C$9))+(1/(Calculations!$O121-Calculations!$C$13))*('Reaction Information'!$L$29*(Calculations!$M121-Calculations!$C$9)+'Reaction Information'!$M$29*10^4*LN((Calculations!$C$12+Calculations!$M121)/(Calculations!$C$12+Calculations!$C$9)))+calculateOmega(Calculations!M121,Calculations!N121,Calculations!Q121,'Reaction Information'!$C$29,'Reaction Information'!$P$29*10^5,'Reaction Information'!$Q$29)*((1/Calculations!$S121)-1)-'Reaction Information'!$P$29*10^5*((1/Calculations!$C$10)-1)+'Reaction Information'!$P$29*10^5*Calculations!$C$14*(Calculations!$O121-Calculations!$C$8))</f>
        <v>#N/A</v>
      </c>
      <c r="AK121" s="8" t="e">
        <f>IF(ISBLANK(Input!$AM$4),NA(),'Reaction Information'!$E$33-'Reaction Information'!$G$33*(Calculations!$O121-Calculations!$C$8)-'Reaction Information'!$N$33*(Calculations!$O121*LN(Calculations!$O121/Calculations!$C$8)-Calculations!$O121+Calculations!$C$8)-'Reaction Information'!$O$33*10^4*(((1/(Calculations!$O121-Calculations!$C$13))-(1/(Calculations!$C$8-Calculations!$C$13)))*((Calculations!$C$13-Calculations!$O121)/(Calculations!$C$13))-(Calculations!$O121/(Calculations!$C$13*Calculations!$C$13))*LN((Calculations!$C$8*(Calculations!$O121-Calculations!$C$13))/(Calculations!$O121*(Calculations!$C$8-Calculations!$C$13))))+'Reaction Information'!$J$33*10^-1*(Calculations!$M121-Calculations!$C$9)+'Reaction Information'!$K$33*10^2*LN((Calculations!$C$12+Calculations!$M121)/(Calculations!$C$12+Calculations!$C$9))+(1/(Calculations!$O121-Calculations!$C$13))*('Reaction Information'!$L$33*(Calculations!$M121-Calculations!$C$9)+'Reaction Information'!$M$33*10^4*LN((Calculations!$C$12+Calculations!$M121)/(Calculations!$C$12+Calculations!$C$9)))+calculateOmega(Calculations!M121,Calculations!N121,Calculations!Q121,'Reaction Information'!$C$33,'Reaction Information'!$P$33*10^5,'Reaction Information'!$Q$33)*((1/Calculations!$S121)-1)-'Reaction Information'!$P$33*10^5*((1/Calculations!$C$10)-1)+'Reaction Information'!$P$33*10^5*Calculations!$C$14*(Calculations!$O121-Calculations!$C$8))</f>
        <v>#N/A</v>
      </c>
      <c r="AL121" s="1">
        <f>Results!S123</f>
        <v>0</v>
      </c>
      <c r="AM121" s="1">
        <f>Results!T123</f>
        <v>0</v>
      </c>
      <c r="AN121" s="1">
        <f>Results!U123</f>
        <v>0</v>
      </c>
      <c r="AO121" s="1">
        <f>Results!V123</f>
        <v>0</v>
      </c>
      <c r="AP121" s="8" t="e">
        <f>IF(ISBLANK(Input!$BB$4),NA(),'Reaction Information'!$E$38-'Reaction Information'!$G$38*(Calculations!$O121-Calculations!$C$8)+'Reaction Information'!$I$38*(Calculations!$O121-Calculations!$C$8-Calculations!$O121*LN(Calculations!$O121/Calculations!$C$8))+'Reaction Information'!$J$38*0.001/2*(2*Calculations!$O121*Calculations!$C$8-Calculations!$O121^2-Calculations!$C$8^2) + 'Reaction Information'!$K$38*100000*(Calculations!$O121^2 + Calculations!$C$8^2 - 2*Calculations!$O121*Calculations!$C$8)/(2*Calculations!$O121*Calculations!$C$8^2))</f>
        <v>#N/A</v>
      </c>
      <c r="AQ121" s="8" t="e">
        <f>IF(ISBLANK(Input!$BE$4),NA(),'Reaction Information'!$E$42-'Reaction Information'!$G$42*(Calculations!$O121-Calculations!$C$8)+'Reaction Information'!$I$42*(Calculations!$O121-Calculations!$C$8-Calculations!$O121*LN(Calculations!$O121/Calculations!$C$8))+'Reaction Information'!$J$42*0.001/2*(2*Calculations!$O121*Calculations!$C$8-Calculations!$O121^2-Calculations!$C$8^2) + 'Reaction Information'!$K$42*100000*(Calculations!$O121^2 + Calculations!$C$8^2 - 2*Calculations!$O121*Calculations!$C$8)/(2*Calculations!$O121*Calculations!$C$8^2))</f>
        <v>#N/A</v>
      </c>
      <c r="AR121" s="8" t="e">
        <f>IF(AR$5="H2O", IF($D$24=3,IF(T121=0,NA(),T121),calculateGibbsOfWater(M121,N121,$D$24,$D$20,$D$19=3)),NA())</f>
        <v>#N/A</v>
      </c>
      <c r="AS121" s="8">
        <f>IF(ISBLANK(Input!$BK$4),NA(),'Reaction Information'!$E$46-'Reaction Information'!$G$46*(Calculations!O121-Calculations!$C$8)-'Reaction Information'!$N$46*(Calculations!O121*LN(Calculations!O121/Calculations!$C$8)-Calculations!O121+Calculations!$C$8)-'Reaction Information'!$O$46*10^4*(((1/(Calculations!O121-Calculations!$C$13))-(1/(Calculations!$C$8-Calculations!$C$13)))*((Calculations!$C$13-Calculations!O121)/(Calculations!$C$13))-(Calculations!O121/(Calculations!$C$13*Calculations!$C$13))*LN((Calculations!$C$8*(Calculations!O121-Calculations!$C$13))/(Calculations!O121*(Calculations!$C$8-Calculations!$C$13))))+'Reaction Information'!$J$46*10^-1*(Calculations!$M121-Calculations!$C$9)+'Reaction Information'!$K$46*10^2*LN((Calculations!$C$12+Calculations!$M121)/(Calculations!$C$12+Calculations!$C$9))+(1/(Calculations!O121-Calculations!$C$13))*('Reaction Information'!$L$46*(Calculations!$M121-Calculations!$C$9)+'Reaction Information'!$M$46*10^4*LN((Calculations!$C$12+Calculations!$M121)/(Calculations!$C$12+Calculations!$C$9)))+calculateOmega(Calculations!M121,Calculations!N121,Calculations!Q121,'Reaction Information'!$C$46,'Reaction Information'!$P$46*10^5,'Reaction Information'!$Q$46)*((1/Calculations!S121)-1)-'Reaction Information'!$P$46*10^5*((1/Calculations!$C$10)-1)+'Reaction Information'!$P$46*10^5*Calculations!$C$14*(Calculations!O121-Calculations!$C$8))</f>
        <v>0</v>
      </c>
      <c r="AT121" s="8">
        <f>IF(ISBLANK(Input!$BN$4),NA(),'Reaction Information'!$E$50-'Reaction Information'!$G$50*(Calculations!O121-Calculations!$C$8)-'Reaction Information'!$N$50*(Calculations!O121*LN(Calculations!O121/Calculations!$C$8)-Calculations!O121+Calculations!$C$8)-'Reaction Information'!$O$50*10^4*(((1/(Calculations!O121-Calculations!$C$13))-(1/(Calculations!$C$8-Calculations!$C$13)))*((Calculations!$C$13-Calculations!O121)/(Calculations!$C$13))-(Calculations!O121/(Calculations!$C$13*Calculations!$C$13))*LN((Calculations!$C$8*(Calculations!O121-Calculations!$C$13))/(Calculations!O121*(Calculations!$C$8-Calculations!$C$13))))+'Reaction Information'!$J$50*10^-1*(Calculations!$M121-Calculations!$C$9)+'Reaction Information'!$K$50*10^2*LN((Calculations!$C$12+Calculations!$M121)/(Calculations!$C$12+Calculations!$C$9))+(1/(Calculations!O121-Calculations!$C$13))*('Reaction Information'!$L$50*(Calculations!$M121-Calculations!$C$9)+'Reaction Information'!$M$50*10^4*LN((Calculations!$C$12+Calculations!$M121)/(Calculations!$C$12+Calculations!$C$9)))+calculateOmega(Calculations!M121,Calculations!N121,Calculations!Q121,'Reaction Information'!$C$50,'Reaction Information'!$P$50*10^5,'Reaction Information'!$Q$50)*((1/Calculations!S121)-1)-'Reaction Information'!$P$50*10^5*((1/Calculations!$C$10)-1)+'Reaction Information'!$P$50*10^5*Calculations!$C$14*(Calculations!O121-Calculations!$C$8))</f>
        <v>-134887.97215844941</v>
      </c>
      <c r="AU121" s="8" t="e">
        <f>IF(ISBLANK(Input!$BQ$4),NA(),'Reaction Information'!$E$54-'Reaction Information'!$G$54*(Calculations!$O121-Calculations!$C$8)-'Reaction Information'!$N$54*(Calculations!$O121*LN(Calculations!$O121/Calculations!$C$8)-Calculations!$O121+Calculations!$C$8)-'Reaction Information'!$O$54*10^4*(((1/(Calculations!$O121-Calculations!$C$13))-(1/(Calculations!$C$8-Calculations!$C$13)))*((Calculations!$C$13-Calculations!$O121)/(Calculations!$C$13))-(Calculations!$O121/(Calculations!$C$13*Calculations!$C$13))*LN((Calculations!$C$8*(Calculations!$O121-Calculations!$C$13))/(Calculations!$O121*(Calculations!$C$8-Calculations!$C$13))))+'Reaction Information'!$J$54*10^-1*(Calculations!$M121-Calculations!$C$9)+'Reaction Information'!$K$54*10^2*LN((Calculations!$C$12+Calculations!$M121)/(Calculations!$C$12+Calculations!$C$9))+(1/(Calculations!$O121-Calculations!$C$13))*('Reaction Information'!$L$54*(Calculations!$M121-Calculations!$C$9)+'Reaction Information'!$M$54*10^4*LN((Calculations!$C$12+Calculations!$M121)/(Calculations!$C$12+Calculations!$C$9)))+calculateOmega(Calculations!M121,Calculations!N121,Calculations!Q121,'Reaction Information'!$C$54,'Reaction Information'!$P$54*10^5,'Reaction Information'!$Q$54)*((1/Calculations!$S121)-1)-'Reaction Information'!$P$54*10^5*((1/Calculations!$C$10)-1)+'Reaction Information'!$P$54*10^5*Calculations!$C$14*(Calculations!$O121-Calculations!$C$8))</f>
        <v>#N/A</v>
      </c>
      <c r="AV121" s="8" t="e">
        <f>IF(ISBLANK(Input!$BT$4),NA(),'Reaction Information'!$E$58-'Reaction Information'!$G$58*(Calculations!$O121-Calculations!$C$8)-'Reaction Information'!$N$58*(Calculations!$O121*LN(Calculations!$O121/Calculations!$C$8)-Calculations!$O121+Calculations!$C$8)-'Reaction Information'!$O$58*10^4*(((1/(Calculations!$O121-Calculations!$C$13))-(1/(Calculations!$C$8-Calculations!$C$13)))*((Calculations!$C$13-Calculations!$O121)/(Calculations!$C$13))-(Calculations!$O121/(Calculations!$C$13*Calculations!$C$13))*LN((Calculations!$C$8*(Calculations!$O121-Calculations!$C$13))/(Calculations!$O121*(Calculations!$C$8-Calculations!$C$13))))+'Reaction Information'!$J$58*10^-1*(Calculations!$M121-Calculations!$C$9)+'Reaction Information'!$K$58*10^2*LN((Calculations!$C$12+Calculations!$M121)/(Calculations!$C$12+Calculations!$C$9))+(1/(Calculations!$O121-Calculations!$C$13))*('Reaction Information'!$L$58*(Calculations!$M121-Calculations!$C$9)+'Reaction Information'!$M$58*10^4*LN((Calculations!$C$12+Calculations!$M121)/(Calculations!$C$12+Calculations!$C$9)))+calculateOmega(Calculations!M121,Calculations!N121,Calculations!Q121,'Reaction Information'!$C$58,'Reaction Information'!$P$58*10^5,'Reaction Information'!$Q$58)*((1/Calculations!$S121)-1)-'Reaction Information'!$P$58*10^5*((1/Calculations!$C$10)-1)+'Reaction Information'!$P$58*10^5*Calculations!$C$14*(Calculations!$O121-Calculations!$C$8))</f>
        <v>#N/A</v>
      </c>
      <c r="AW121" s="8" t="e">
        <f>IF(ISBLANK(Input!$BW$4),NA(),'Reaction Information'!$E$62-'Reaction Information'!$G$62*(Calculations!$O121-Calculations!$C$8)-'Reaction Information'!$N$62*(Calculations!$O121*LN(Calculations!$O121/Calculations!$C$8)-Calculations!$O121+Calculations!$C$8)-'Reaction Information'!$O$62*10^4*(((1/(Calculations!$O121-Calculations!$C$13))-(1/(Calculations!$C$8-Calculations!$C$13)))*((Calculations!$C$13-Calculations!$O121)/(Calculations!$C$13))-(Calculations!$O121/(Calculations!$C$13*Calculations!$C$13))*LN((Calculations!$C$8*(Calculations!$O121-Calculations!$C$13))/(Calculations!$O121*(Calculations!$C$8-Calculations!$C$13))))+'Reaction Information'!$J$62*10^-1*(Calculations!$M121-Calculations!$C$9)+'Reaction Information'!$K$62*10^2*LN((Calculations!$C$12+Calculations!$M121)/(Calculations!$C$12+Calculations!$C$9))+(1/(Calculations!$O121-Calculations!$C$13))*('Reaction Information'!$L$62*(Calculations!$M121-Calculations!$C$9)+'Reaction Information'!$M$62*10^4*LN((Calculations!$C$12+Calculations!$M121)/(Calculations!$C$12+Calculations!$C$9)))+calculateOmega(Calculations!M121,Calculations!N121,Calculations!Q121,'Reaction Information'!$C$62,'Reaction Information'!$P$62*10^5,'Reaction Information'!$Q$62)*((1/Calculations!$S121)-1)-'Reaction Information'!$P$62*10^5*((1/Calculations!$C$10)-1)+'Reaction Information'!$P$62*10^5*Calculations!$C$14*(Calculations!$O121-Calculations!$C$8))</f>
        <v>#N/A</v>
      </c>
      <c r="AX121" s="8" t="e">
        <f>IF(ISBLANK(Input!$BZ$4),NA(),'Reaction Information'!$E$66-'Reaction Information'!$G$66*(Calculations!$O121-Calculations!$C$8)-'Reaction Information'!$N$66*(Calculations!$O121*LN(Calculations!$O121/Calculations!$C$8)-Calculations!$O121+Calculations!$C$8)-'Reaction Information'!$O$66*10^4*(((1/(Calculations!$O121-Calculations!$C$13))-(1/(Calculations!$C$8-Calculations!$C$13)))*((Calculations!$C$13-Calculations!$O121)/(Calculations!$C$13))-(Calculations!$O121/(Calculations!$C$13*Calculations!$C$13))*LN((Calculations!$C$8*(Calculations!$O121-Calculations!$C$13))/(Calculations!$O121*(Calculations!$C$8-Calculations!$C$13))))+'Reaction Information'!$J$66*10^-1*(Calculations!$M121-Calculations!$C$9)+'Reaction Information'!$K$66*10^2*LN((Calculations!$C$12+Calculations!$M121)/(Calculations!$C$12+Calculations!$C$9))+(1/(Calculations!$O121-Calculations!$C$13))*('Reaction Information'!$L$66*(Calculations!$M121-Calculations!$C$9)+'Reaction Information'!$M$66*10^4*LN((Calculations!$C$12+Calculations!$M121)/(Calculations!$C$12+Calculations!$C$9)))+calculateOmega(Calculations!M121,Calculations!N121,Calculations!Q121,'Reaction Information'!$C$66,'Reaction Information'!$P$66*10^5,'Reaction Information'!$Q$66)*((1/Calculations!$S121)-1)-'Reaction Information'!$P$66*10^5*((1/Calculations!$C$10)-1)+'Reaction Information'!$P$66*10^5*Calculations!$C$14*(Calculations!$O121-Calculations!$C$8))</f>
        <v>#N/A</v>
      </c>
      <c r="AY121" s="31">
        <f>(AL121*Input!$AO$4+AM121*Input!$AR$4+AN121*Input!$AU$4+AO121*Input!$AX$4+IF(ISNA(AP121),0,AP121*Input!$BA$4)+IF(ISNA(AQ121),0,AQ121*Input!$BD$4)+IF(ISNA(AR121),0,AR121*Input!$BG$4)+IF(ISNA(AS121),0,AS121*Input!$BJ$4)+IF(ISNA(AT121),0,AT121*Input!$BM$4)+IF(ISNA(AU121),0,AU121*Input!$BP$4)+IF(ISNA(AV121),0,AV121*Input!$BS$4)+IF(ISNA(AW121),0,AW121*Input!$BV$4)+IF(ISNA(AX121),0,AX121*Input!$BY$4))-(Y121*Input!$B$4+Z121*Input!$E$4+AA121*Input!$H$4+AB121*Input!$K$4+IF(ISNA(AC121),0,AC121*Input!$N$4)+IF(ISNA(AD121),0,AD121*Input!$Q$4)+IF(ISNA(AE121),0,AE121*Input!$T$4)+IF(ISNA(AF121),0,AF121*Input!$W$4)+IF(ISNA(AG121),0,AG121*Input!$Z$4)+IF(ISNA(AH121),0,AH121*Input!$AC$4)+IF(ISNA(AI121),0,AI121*Input!$AF$4)+IF(ISNA(AJ121),0,AJ121*Input!$AI$4)+IF(ISNA(AK121),0,AK121*Input!$AL$4))</f>
        <v>23025.941660209093</v>
      </c>
      <c r="AZ121" s="42">
        <f t="shared" si="35"/>
        <v>-4.6923332008554128</v>
      </c>
      <c r="BA121" s="1">
        <f t="shared" si="27"/>
        <v>800</v>
      </c>
      <c r="BB121" s="46">
        <f t="shared" si="28"/>
        <v>40000</v>
      </c>
      <c r="BC121" s="1"/>
      <c r="BD121" s="2">
        <f t="shared" si="29"/>
        <v>40000</v>
      </c>
      <c r="BE121" s="46">
        <f t="shared" si="30"/>
        <v>800</v>
      </c>
      <c r="BF121" s="1">
        <f>Results!AJ123</f>
        <v>0</v>
      </c>
      <c r="BG121" s="1">
        <f>Results!AK123</f>
        <v>0</v>
      </c>
      <c r="BH121" s="1">
        <f>Results!AL123</f>
        <v>0</v>
      </c>
      <c r="BI121" s="1">
        <f>Results!AM123</f>
        <v>0</v>
      </c>
      <c r="BJ121" s="1" t="e">
        <f>IF(OR(ISNA('Reaction Information'!$D$5), $N121 = "", $D$27 = FALSE, 'Reaction Information'!$D$5 = ""), NA(), 24.465)</f>
        <v>#N/A</v>
      </c>
      <c r="BK121" s="1" t="e">
        <f>IF(OR(ISNA('Reaction Information'!$D$9), $N121 = "", $D$27 = FALSE, 'Reaction Information'!$D$9 = ""), NA(), 24.465)</f>
        <v>#N/A</v>
      </c>
      <c r="BL121" s="8">
        <f t="shared" si="36"/>
        <v>14.235326843811904</v>
      </c>
      <c r="BM121" s="8">
        <f>IF(OR(ISBLANK(Input!$X$4),$D$27=FALSE),NA(),('Reaction Information'!$J$13/10+'Reaction Information'!$K$13*100/(Calculations!$C$12+Calculations!$M121)+('Reaction Information'!$L$13+'Reaction Information'!$M$13*10^4/(Calculations!$C$12+Calculations!$M121))/(Calculations!$O121-Calculations!$C$13) -calculateOmega(Calculations!$M121,Calculations!$N121,Calculations!$Q121,'Reaction Information'!$C$13,'Reaction Information'!$P$13*10^5,'Reaction Information'!$Q$13)*Calculations!$U121*10^-6 + (1/$S121 - 1)*calculate_domegadP(Calculations!$M121,Calculations!$N121,Calculations!$Q121,'Reaction Information'!$C$13,'Reaction Information'!$P$13*10^5,'Reaction Information'!$Q$13,$D$20,$D$19=3))*41.84)</f>
        <v>30.239774534823653</v>
      </c>
      <c r="BN121" s="8" t="e">
        <f>IF(OR(ISBLANK(Input!$AA$4),$D$27=FALSE),NA(),('Reaction Information'!$J$17/10+'Reaction Information'!$K$17*100/(Calculations!$C$12+Calculations!$M121)+('Reaction Information'!$L$17+'Reaction Information'!$M$17*10000/(Calculations!$C$12+Calculations!$M121))/(Calculations!$O121-Calculations!$C$13)-calculateOmega(Calculations!M121,Calculations!N121,Calculations!Q121,'Reaction Information'!$C$17,'Reaction Information'!$P$17*10^5,'Reaction Information'!$Q$17)*Calculations!$U121*10^-6 + (1/$S121 - 1)*calculate_domegadP(Calculations!M121,Calculations!N121,Calculations!Q121,'Reaction Information'!$C$17,'Reaction Information'!$P$17*10^5,'Reaction Information'!$Q$17,$D$20,$D$19=3))*41.84)</f>
        <v>#N/A</v>
      </c>
      <c r="BO121" s="8" t="e">
        <f>IF(OR(ISBLANK(Input!$AD$4),$D$27=FALSE),NA(),('Reaction Information'!$J$21/10+'Reaction Information'!$K$21*100/(Calculations!$C$12+Calculations!$M121)+('Reaction Information'!$L$21+'Reaction Information'!$M$21*10000/(Calculations!$C$12+Calculations!$M121))/(Calculations!$O121-Calculations!$C$13)-calculateOmega(Calculations!M121,Calculations!N121,Calculations!Q121,'Reaction Information'!$C$21,'Reaction Information'!$P$21*10^5,'Reaction Information'!$Q$21)*Calculations!$U121*10^-6 + (1/$S121 - 1)*calculate_domegadP(Calculations!M121,Calculations!N121,Calculations!Q121,'Reaction Information'!$C$21,'Reaction Information'!$P$21*10^5,'Reaction Information'!$Q$21,$D$20,$D$19=3))*41.84)</f>
        <v>#N/A</v>
      </c>
      <c r="BP121" s="8" t="e">
        <f>IF(OR(ISBLANK(Input!$AG$4),$D$27=FALSE),NA(),('Reaction Information'!$J$25/10+'Reaction Information'!$K$25*100/(Calculations!$C$12+Calculations!$M121)+('Reaction Information'!$L$25+'Reaction Information'!$M$25*10000/(Calculations!$C$12+Calculations!$M121))/(Calculations!$O121-Calculations!$C$13)-calculateOmega(Calculations!M121,Calculations!N121,Calculations!Q121,'Reaction Information'!$C$25,'Reaction Information'!$P$25*10^5,'Reaction Information'!$Q$25)*Calculations!$U121*10^-6 + (1/$S121 - 1)*calculate_domegadP(Calculations!M121,Calculations!N121,Calculations!Q121,'Reaction Information'!$C$25,'Reaction Information'!$P$25*10^5,'Reaction Information'!$Q$25,$D$20,$D$19=3))*41.84)</f>
        <v>#N/A</v>
      </c>
      <c r="BQ121" s="8" t="e">
        <f>IF(OR(ISBLANK(Input!$AJ$4),$D$27=FALSE),NA(),('Reaction Information'!$J$29/10+'Reaction Information'!$K$29*100/(Calculations!$C$12+Calculations!$M121)+('Reaction Information'!$L$29+'Reaction Information'!$M$29*10000/(Calculations!$C$12+Calculations!$M121))/(Calculations!$O121-Calculations!$C$13)-calculateOmega(Calculations!M121,Calculations!N121,Calculations!Q121,'Reaction Information'!$C$29,'Reaction Information'!$P$29*10^5,'Reaction Information'!$Q$29)*Calculations!$U121*10^-6 + (1/$S121 - 1)*calculate_domegadP(Calculations!M121,Calculations!N121,Calculations!Q121,'Reaction Information'!$C$29,'Reaction Information'!$P$29*10^5,'Reaction Information'!$Q$29,$D$20,$D$19=3))*41.84)</f>
        <v>#N/A</v>
      </c>
      <c r="BR121" s="8" t="e">
        <f>IF(OR(ISBLANK(Input!$AM$4),$D$27=FALSE),NA(),('Reaction Information'!$J$33/10+'Reaction Information'!$K$33*100/(Calculations!$C$12+Calculations!$M121)+('Reaction Information'!$L$33+'Reaction Information'!$M$33*10000/(Calculations!$C$12+Calculations!$M121))/(Calculations!$O121-Calculations!$C$13)-calculateOmega(Calculations!M121,Calculations!N121,Calculations!Q121,'Reaction Information'!$C$33,'Reaction Information'!$P$33*10^5,'Reaction Information'!$Q$33)*Calculations!$U121*10^-6 + (1/$S121 - 1)*calculate_domegadP(Calculations!M121,Calculations!N121,Calculations!Q121,'Reaction Information'!$C$33,'Reaction Information'!$P$33*10^5,'Reaction Information'!$Q$33,$D$20,$D$19=3))*41.84)</f>
        <v>#N/A</v>
      </c>
      <c r="BS121" s="1">
        <f>Results!AW123</f>
        <v>0</v>
      </c>
      <c r="BT121" s="1">
        <f>Results!AX123</f>
        <v>0</v>
      </c>
      <c r="BU121" s="1">
        <f>Results!AY123</f>
        <v>0</v>
      </c>
      <c r="BV121" s="1">
        <f>Results!AZ123</f>
        <v>0</v>
      </c>
      <c r="BW121" s="1" t="e">
        <f>IF(OR(ISNA('Reaction Information'!$D$38), $N121 = "", $D$27 = FALSE, 'Reaction Information'!$D$38 = ""), NA(), 24.465)</f>
        <v>#N/A</v>
      </c>
      <c r="BX121" s="1" t="e">
        <f>IF(OR(ISNA('Reaction Information'!$D$42), $N121 = "", $D$27 = FALSE, 'Reaction Information'!$D$42 = ""), NA(), 24.465)</f>
        <v>#N/A</v>
      </c>
      <c r="BY121" s="8" t="e">
        <f t="shared" si="37"/>
        <v>#N/A</v>
      </c>
      <c r="BZ121" s="8">
        <f>IF(OR(ISBLANK(Input!$BK$4),$D$27=FALSE),NA(),('Reaction Information'!$J$46/10+'Reaction Information'!$K$46*100/(Calculations!$C$12+Calculations!$M121)+('Reaction Information'!$L$46+'Reaction Information'!$M$46*10000/(Calculations!$C$12+Calculations!$M121))/(Calculations!$O121-Calculations!$C$13)-calculateOmega(Calculations!M121,Calculations!N121,Calculations!Q121,'Reaction Information'!$C$46,'Reaction Information'!$P$46*10^5,'Reaction Information'!$Q$46)*Calculations!$U121*10^-6 + (1/$S121 - 1)*calculate_domegadP(Calculations!M121,Calculations!N121,Calculations!Q121,'Reaction Information'!$C$46,'Reaction Information'!$P$46*10^5,'Reaction Information'!$Q$46,$D$20,$D$19=3))*41.84)</f>
        <v>0</v>
      </c>
      <c r="CA121" s="8">
        <f>IF(OR(ISBLANK(Input!$BN$4),$D$27=FALSE),NA(),('Reaction Information'!$J$50/10+'Reaction Information'!$K$50*100/(Calculations!$C$12+Calculations!$M121)+('Reaction Information'!$L$50+'Reaction Information'!$M$50*10000/(Calculations!$C$12+Calculations!$M121))/(Calculations!$O121-Calculations!$C$13)-calculateOmega(Calculations!M121,Calculations!N121,Calculations!Q121,'Reaction Information'!$C$50,'Reaction Information'!$P$50*10^5,'Reaction Information'!$Q$50)*Calculations!$U121*10^-6 + (1/$S121 - 1)*calculate_domegadP(Calculations!M121,Calculations!N121,Calculations!Q121,'Reaction Information'!$C$50,'Reaction Information'!$P$50*10^5,'Reaction Information'!$Q$50,$D$20,$D$19=3))*41.84)</f>
        <v>30.873253879180872</v>
      </c>
      <c r="CB121" s="8" t="e">
        <f>IF(OR(ISBLANK(Input!$BQ$4),$D$27=FALSE),NA(),('Reaction Information'!$J$54/10+'Reaction Information'!$K$54*100/(Calculations!$C$12+Calculations!$M121)+('Reaction Information'!$L$54+'Reaction Information'!$M$54*10000/(Calculations!$C$12+Calculations!$M121))/(Calculations!$O121-Calculations!$C$13)-calculateOmega(Calculations!M121,Calculations!N121,Calculations!Q121,'Reaction Information'!$C$54,'Reaction Information'!$P$54*10^5,'Reaction Information'!$Q$54)*Calculations!$U121*10^-6 + (1/$S121 - 1)*calculate_domegadP(Calculations!M121,Calculations!N121,Calculations!Q121,'Reaction Information'!$C$54,'Reaction Information'!$P$54*10^5,'Reaction Information'!$Q$54,$D$20,$D$19=3))*41.84)</f>
        <v>#N/A</v>
      </c>
      <c r="CC121" s="8" t="e">
        <f>IF(OR(ISBLANK(Input!$BT$4),$D$27=FALSE),NA(),('Reaction Information'!$J$58/10+'Reaction Information'!$K$58*100/(Calculations!$C$12+Calculations!$M121)+('Reaction Information'!$L$58+'Reaction Information'!$M$58*10000/(Calculations!$C$12+Calculations!$M121))/(Calculations!$O121-Calculations!$C$13)-calculateOmega(Calculations!M121,Calculations!N121,Calculations!Q121,'Reaction Information'!$C$58,'Reaction Information'!$P$58*10^5,'Reaction Information'!$Q$58)*Calculations!$U121*10^-6 + (1/$S121 - 1)*calculate_domegadP(Calculations!M121,Calculations!N121,Calculations!Q121,'Reaction Information'!$C$58,'Reaction Information'!$P$58*10^5,'Reaction Information'!$Q$58,$D$20,$D$19=3))*41.84)</f>
        <v>#N/A</v>
      </c>
      <c r="CD121" s="8" t="e">
        <f>IF(OR(ISBLANK(Input!$BW$4),$D$27=FALSE),NA(),('Reaction Information'!$J$62/10+'Reaction Information'!$K$62*100/(Calculations!$C$12+Calculations!$M121)+('Reaction Information'!$L$62+'Reaction Information'!$M$62*10000/(Calculations!$C$12+Calculations!$M121))/(Calculations!$O121-Calculations!$C$13)-calculateOmega(Calculations!M121,Calculations!N121,Calculations!Q121,'Reaction Information'!$C$62,'Reaction Information'!$P$62*10^5,'Reaction Information'!$Q$62)*Calculations!$U121*10^-6 + (1/$S121 - 1)*calculate_domegadP(Calculations!M121,Calculations!N121,Calculations!Q121,'Reaction Information'!$C$62,'Reaction Information'!$P$62*10^5,'Reaction Information'!$Q$62,$D$20,$D$19=3))*41.84)</f>
        <v>#N/A</v>
      </c>
      <c r="CE121" s="8" t="e">
        <f>IF(OR(ISBLANK(Input!$BZ$4),$D$27=FALSE),NA(),('Reaction Information'!$J$66/10+'Reaction Information'!$K$66*100/(Calculations!$C$12+Calculations!$M121)+('Reaction Information'!$L$66+'Reaction Information'!$M$66*10000/(Calculations!$C$12+Calculations!$M121))/(Calculations!$O121-Calculations!$C$13)-calculateOmega(Calculations!M121,Calculations!N121,Calculations!Q121,'Reaction Information'!$C$66,'Reaction Information'!$P$66*10^5,'Reaction Information'!$Q$66)*Calculations!$U121*10^-6 + (1/$S121 - 1)*calculate_domegadP(Calculations!M121,Calculations!N121,Calculations!Q121,'Reaction Information'!$C$66,'Reaction Information'!$P$66*10^5,'Reaction Information'!$Q$66,$D$20,$D$19=3))*41.84)</f>
        <v>#N/A</v>
      </c>
      <c r="CF121" s="31">
        <f>(BS121*Input!$AO$4+BT121*Input!$AR$4+BU121*Input!$AU$4+BV121*Input!$AX$4+IF(ISNA(BW121),0,BW121*Input!$BA$4)+IF(ISNA(BX121),0,BX121*Input!$BD$4)+IF(ISNA(BY121),0,BY121*Input!$BG$4)+IF(ISNA(BZ121),0,BZ121*Input!$BJ$4)+IF(ISNA(CA121),0,CA121*Input!$BM$4)+IF(ISNA(CB121),0,CB121*Input!$BP$4)+IF(ISNA(CC121),0,CC121*Input!$BS$4)+IF(ISNA(CD121),0,CD121*Input!$BV$4)+IF(ISNA(CE121),0,CE121*Input!$BY$4))-(BF121*Input!$B$4+BG121*Input!$E$4+BH121*Input!$H$4+BI121*Input!$K$4+IF(ISNA(BJ121),0,BJ121*Input!$N$4)+IF(ISNA(BK121),0,BK121*Input!$Q$4)+IF(ISNA(BL121),0,BL121*Input!$T$4)+IF(ISNA(BM121),0,BM121*Input!$W$4)+IF(ISNA(BN121),0,BN121*Input!$Z$4)+IF(ISNA(BO121),0,BO121*Input!$AC$4)+IF(ISNA(BP121),0,BP121*Input!$AF$4)+IF(ISNA(BQ121),0,BQ121*Input!$AI$4)+IF(ISNA(BR121),0,BR121*Input!$AL$4))</f>
        <v>-13.601847499454685</v>
      </c>
      <c r="CG121" s="1">
        <f t="shared" si="31"/>
        <v>800</v>
      </c>
      <c r="CH121" s="46">
        <f t="shared" si="32"/>
        <v>40000</v>
      </c>
      <c r="CI121" s="1"/>
    </row>
    <row r="122" spans="1:87" x14ac:dyDescent="0.2">
      <c r="A122" s="1"/>
      <c r="B122" s="1"/>
      <c r="C122" s="1"/>
      <c r="D122" s="1"/>
      <c r="E122" s="1"/>
      <c r="F122" s="2">
        <v>117</v>
      </c>
      <c r="G122" s="1" t="str">
        <f>IF(ISBLANK(Input!CB122), "", Input!CB122*1000)</f>
        <v/>
      </c>
      <c r="H122" s="1" t="str">
        <f>IF(ISBLANK(Input!CC122), "", Input!CC122)</f>
        <v/>
      </c>
      <c r="I122" s="1">
        <f>IF(Input!$CF$5 + Input!$CF$6*(FLOOR((Calculations!$F122-1)/(FLOOR((Input!$CF$12-Input!$CF$10)/Input!$CF$11,1)+1),1)) &gt; Input!$CF$7, "", (Input!$CF$5 + Input!$CF$6*(FLOOR((Calculations!$F122-1)/(FLOOR((Input!$CF$12-Input!$CF$10)/Input!$CF$11,1)+1),1)))*1000)</f>
        <v>40000</v>
      </c>
      <c r="J122" s="1">
        <f>IF(Calculations!I122 = "", "", Input!$CF$10 + Input!$CF$11*(Calculations!$F122-1) - (FLOOR((Input!$CF$12-Input!$CF$10)/Input!$CF$11,1)+1)*Input!$CF$11*FLOOR((Calculations!$F122-1)/(FLOOR((Input!$CF$12-Input!$CF$10)/Input!$CF$11,1)+1),1))</f>
        <v>850</v>
      </c>
      <c r="K122" s="8" t="str">
        <f t="shared" si="33"/>
        <v/>
      </c>
      <c r="L122" s="117" t="str">
        <f>IF(OR(Input!$CJ$5 + Input!$CJ$6*(Calculations!F122-1) &gt; Input!$CJ$7, Input!$CJ$5 + Input!$CJ$6*(Calculations!F122-1) &gt; 350), "", Input!$CJ$5 + Input!$CJ$6*(Calculations!F122-1))</f>
        <v/>
      </c>
      <c r="M122" s="1">
        <f t="shared" si="23"/>
        <v>40000</v>
      </c>
      <c r="N122" s="1">
        <f t="shared" si="24"/>
        <v>850</v>
      </c>
      <c r="O122" s="1">
        <f t="shared" si="34"/>
        <v>1123.1500000000001</v>
      </c>
      <c r="P122" s="1" t="e">
        <f>IF(OR($D$20=3,AND($D$21=TRUE,M122&lt;1000)),INDEX('Water Density'!$C$6:$CX$120,MATCH(Calculations!N122,'Water Density'!$B$6:$B$120),MATCH(Calculations!M122/1000,'Water Density'!$C$5:$CX$5)),NA())</f>
        <v>#N/A</v>
      </c>
      <c r="Q122" s="182">
        <f>IF(OR($D$20=3,AND($D$21=TRUE,M122&lt;1000)), IF(P122&lt;&gt;0,P122,NA()), calculateDensity(M122,N122,$D$20,0.01,$D$19 = 3))</f>
        <v>1.252450717803836</v>
      </c>
      <c r="R122" s="1" t="e">
        <f>IF($D$22=5,INDEX('Dielectric Constant'!$C$6:$CX$120,MATCH(Calculations!N122,'Dielectric Constant'!$B$6:$B$120),MATCH(Calculations!M122/1000,'Dielectric Constant'!$C$5:$CX$5)),NA())</f>
        <v>#N/A</v>
      </c>
      <c r="S122" s="58">
        <f>IF($D$22=5, IF(R122&lt;&gt;0,R122,NA()), IF(AND($D$23,M122&lt;=5000,$D$19 &lt;&gt; 3),calculateEpsilon(Q122,N122,1,FALSE),calculateEpsilon(Q122,N122,$D$22,$D$19 = 3)))</f>
        <v>19.919084663351551</v>
      </c>
      <c r="T122" s="1" t="e">
        <f>IF($D$24=3,INDEX('Water Free Energy'!$C$6:$CX$120,MATCH(Calculations!N122,'Water Free Energy'!$B$6:$B$120),MATCH(Calculations!M122/1000,'Water Free Energy'!$C$5:$CX$5)),NA())</f>
        <v>#N/A</v>
      </c>
      <c r="U122" s="179">
        <f>IF($D$27,calculateQ(M122,N122,Q122,$D$20,$D$22,$D$19=3)*10^6,NA())</f>
        <v>0.24398076732615526</v>
      </c>
      <c r="V122"/>
      <c r="W122" s="2">
        <f t="shared" si="25"/>
        <v>40000</v>
      </c>
      <c r="X122" s="1">
        <f t="shared" si="26"/>
        <v>850</v>
      </c>
      <c r="Y122" s="1">
        <f>Results!F124</f>
        <v>0</v>
      </c>
      <c r="Z122" s="1">
        <f>Results!G124</f>
        <v>0</v>
      </c>
      <c r="AA122" s="1">
        <f>Results!H124</f>
        <v>0</v>
      </c>
      <c r="AB122" s="1">
        <f>Results!I124</f>
        <v>0</v>
      </c>
      <c r="AC122" s="1" t="e">
        <f>IF(ISBLANK(Input!$O$4),NA(),'Reaction Information'!$E$5-'Reaction Information'!$G$5*(Calculations!$O122-Calculations!$C$8)+'Reaction Information'!$I$5*(Calculations!$O122-Calculations!$C$8-Calculations!$O122*LN(Calculations!$O122/Calculations!$C$8))+'Reaction Information'!$J$5*0.001/2*(2*Calculations!$O122*Calculations!$C$8-Calculations!$O122^2-Calculations!$C$8^2) + 'Reaction Information'!$K$5*100000*(Calculations!$O122^2 + Calculations!$C$8^2 - 2*Calculations!$O122*Calculations!$C$8)/(2*Calculations!$O122*Calculations!$C$8^2))</f>
        <v>#N/A</v>
      </c>
      <c r="AD122" s="8" t="e">
        <f>IF(ISBLANK(Input!$R$4),NA(),'Reaction Information'!$E$9-'Reaction Information'!$G$9*(Calculations!$O122-Calculations!$C$8)+'Reaction Information'!$I$9*(Calculations!$O122-Calculations!$C$8-Calculations!$O122*LN(Calculations!$O122/Calculations!$C$8))+'Reaction Information'!$J$9*0.001/2*(2*Calculations!$O122*Calculations!$C$8-Calculations!$O122^2-Calculations!$C$8^2) + 'Reaction Information'!$K$9*100000*(Calculations!$O122^2 + Calculations!$C$8^2 - 2*Calculations!$O122*Calculations!$C$8)/(2*Calculations!$O122*Calculations!$C$8^2))</f>
        <v>#N/A</v>
      </c>
      <c r="AE122" s="8">
        <f>IF(AE$5="H2O",IF($D$24=3,IF(T122=0,NA(),T122),calculateGibbsOfWater(M122,N122,$D$24,$D$20,$D$19=3)),NA())</f>
        <v>-63710.128623799435</v>
      </c>
      <c r="AF122" s="8">
        <f>IF(ISBLANK(Input!$X$4),NA(),'Reaction Information'!$E$13-'Reaction Information'!$G$13*(Calculations!O122-Calculations!$C$8)-'Reaction Information'!$N$13*(Calculations!O122*LN(Calculations!O122/Calculations!$C$8)-Calculations!O122+Calculations!$C$8)-'Reaction Information'!$O$13*10^4*(((1/(Calculations!O122-Calculations!$C$13))-(1/(Calculations!$C$8-Calculations!$C$13)))*((Calculations!$C$13-Calculations!O122)/(Calculations!$C$13))-(Calculations!O122/(Calculations!$C$13*Calculations!$C$13))*LN((Calculations!$C$8*(Calculations!O122-Calculations!$C$13))/(Calculations!O122*(Calculations!$C$8-Calculations!$C$13))))+'Reaction Information'!$J$13*10^-1*(Calculations!M122-Calculations!$C$9)+'Reaction Information'!$K$13*10^2*LN((Calculations!$C$12+Calculations!M122)/(Calculations!$C$12+Calculations!$C$9))+(1/(Calculations!O122-Calculations!$C$13))*('Reaction Information'!$L$13*(Calculations!M122-Calculations!$C$9)+'Reaction Information'!$M$13*10^4*LN((Calculations!$C$12+Calculations!M122)/(Calculations!$C$12+Calculations!$C$9)))+calculateOmega(Calculations!M122,Calculations!N122,Calculations!Q122,'Reaction Information'!$C$13,'Reaction Information'!$P$13*10^5,'Reaction Information'!$Q$13)*((1/Calculations!S122)-1)-'Reaction Information'!$P$13*10^5*((1/Calculations!$C$10)-1)+'Reaction Information'!$P$13*10^5*Calculations!$C$14*(Calculations!O122-Calculations!$C$8))</f>
        <v>-98244.643910855419</v>
      </c>
      <c r="AG122" s="8" t="e">
        <f>IF(ISBLANK(Input!$AA$4),NA(),'Reaction Information'!$E$17-'Reaction Information'!$G$17*(Calculations!$O122-Calculations!$C$8)-'Reaction Information'!$N$17*(Calculations!$O122*LN(Calculations!$O122/Calculations!$C$8)-Calculations!$O122+Calculations!$C$8)-'Reaction Information'!$O$17*10^4*(((1/(Calculations!$O122-Calculations!$C$13))-(1/(Calculations!$C$8-Calculations!$C$13)))*((Calculations!$C$13-Calculations!$O122)/(Calculations!$C$13))-(Calculations!$O122/(Calculations!$C$13*Calculations!$C$13))*LN((Calculations!$C$8*(Calculations!$O122-Calculations!$C$13))/(Calculations!$O122*(Calculations!$C$8-Calculations!$C$13))))+'Reaction Information'!$J$17*10^-1*(Calculations!$M122-Calculations!$C$9)+'Reaction Information'!$K$17*10^2*LN((Calculations!$C$12+Calculations!$M122)/(Calculations!$C$12+Calculations!$C$9))+(1/(Calculations!$O122-Calculations!$C$13))*('Reaction Information'!$L$17*(Calculations!$M122-Calculations!$C$9)+'Reaction Information'!$M$17*10^4*LN((Calculations!$C$12+Calculations!$M122)/(Calculations!$C$12+Calculations!$C$9)))+calculateOmega(Calculations!M122,Calculations!N122,Calculations!Q122,'Reaction Information'!$C$17,'Reaction Information'!$P$17*10^5,'Reaction Information'!$Q$17)*((1/Calculations!$S122)-1)-'Reaction Information'!$P$17*10^5*((1/Calculations!$C$10)-1)+'Reaction Information'!$P$17*10^5*Calculations!$C$14*(Calculations!$O122-Calculations!$C$8))</f>
        <v>#N/A</v>
      </c>
      <c r="AH122" s="8" t="e">
        <f>IF(ISBLANK(Input!$AD$4),NA(),'Reaction Information'!$E$21-'Reaction Information'!$G$21*(Calculations!$O122-Calculations!$C$8)-'Reaction Information'!$N$21*(Calculations!$O122*LN(Calculations!$O122/Calculations!$C$8)-Calculations!$O122+Calculations!$C$8)-'Reaction Information'!$O$21*10^4*(((1/(Calculations!$O122-Calculations!$C$13))-(1/(Calculations!$C$8-Calculations!$C$13)))*((Calculations!$C$13-Calculations!$O122)/(Calculations!$C$13))-(Calculations!$O122/(Calculations!$C$13*Calculations!$C$13))*LN((Calculations!$C$8*(Calculations!$O122-Calculations!$C$13))/(Calculations!$O122*(Calculations!$C$8-Calculations!$C$13))))+'Reaction Information'!$J$21*10^-1*(Calculations!$M122-Calculations!$C$9)+'Reaction Information'!$K$21*10^2*LN((Calculations!$C$12+Calculations!$M122)/(Calculations!$C$12+Calculations!$C$9))+(1/(Calculations!$O122-Calculations!$C$13))*('Reaction Information'!$L$21*(Calculations!$M122-Calculations!$C$9)+'Reaction Information'!$M$21*10^4*LN((Calculations!$C$12+Calculations!$M122)/(Calculations!$C$12+Calculations!$C$9)))+calculateOmega(Calculations!M122,Calculations!N122,Calculations!Q122,'Reaction Information'!$C$21,'Reaction Information'!$P$21*10^5,'Reaction Information'!$Q$21)*((1/Calculations!$S122)-1)-'Reaction Information'!$P$21*10^5*((1/Calculations!$C$10)-1)+'Reaction Information'!$P$21*10^5*Calculations!$C$14*(Calculations!$O122-Calculations!$C$8))</f>
        <v>#N/A</v>
      </c>
      <c r="AI122" s="8" t="e">
        <f>IF(ISBLANK(Input!$AG$4),NA(),'Reaction Information'!$E$25-'Reaction Information'!$G$25*(Calculations!$O122-Calculations!$C$8)-'Reaction Information'!$N$25*(Calculations!$O122*LN(Calculations!$O122/Calculations!$C$8)-Calculations!$O122+Calculations!$C$8)-'Reaction Information'!$O$25*10^4*(((1/(Calculations!$O122-Calculations!$C$13))-(1/(Calculations!$C$8-Calculations!$C$13)))*((Calculations!$C$13-Calculations!$O122)/(Calculations!$C$13))-(Calculations!$O122/(Calculations!$C$13*Calculations!$C$13))*LN((Calculations!$C$8*(Calculations!$O122-Calculations!$C$13))/(Calculations!$O122*(Calculations!$C$8-Calculations!$C$13))))+'Reaction Information'!$J$25*10^-1*(Calculations!$M122-Calculations!$C$9)+'Reaction Information'!$K$25*10^2*LN((Calculations!$C$12+Calculations!$M122)/(Calculations!$C$12+Calculations!$C$9))+(1/(Calculations!$O122-Calculations!$C$13))*('Reaction Information'!$L$25*(Calculations!$M122-Calculations!$C$9)+'Reaction Information'!$M$25*10^4*LN((Calculations!$C$12+Calculations!$M122)/(Calculations!$C$12+Calculations!$C$9)))+calculateOmega(Calculations!M122,Calculations!N122,Calculations!Q122,'Reaction Information'!$C$25,'Reaction Information'!$P$25*10^5,'Reaction Information'!$Q$25)*((1/Calculations!$S122)-1)-'Reaction Information'!$P$25*10^5*((1/Calculations!$C$10)-1)+'Reaction Information'!$P$25*10^5*Calculations!$C$14*(Calculations!$O122-Calculations!$C$8))</f>
        <v>#N/A</v>
      </c>
      <c r="AJ122" s="8" t="e">
        <f>IF(ISBLANK(Input!$AJ$4),NA(),'Reaction Information'!$E$29-'Reaction Information'!$G$29*(Calculations!$O122-Calculations!$C$8)-'Reaction Information'!$N$29*(Calculations!$O122*LN(Calculations!$O122/Calculations!$C$8)-Calculations!$O122+Calculations!$C$8)-'Reaction Information'!$O$29*10^4*(((1/(Calculations!$O122-Calculations!$C$13))-(1/(Calculations!$C$8-Calculations!$C$13)))*((Calculations!$C$13-Calculations!$O122)/(Calculations!$C$13))-(Calculations!$O122/(Calculations!$C$13*Calculations!$C$13))*LN((Calculations!$C$8*(Calculations!$O122-Calculations!$C$13))/(Calculations!$O122*(Calculations!$C$8-Calculations!$C$13))))+'Reaction Information'!$J$29*10^-1*(Calculations!$M122-Calculations!$C$9)+'Reaction Information'!$K$29*10^2*LN((Calculations!$C$12+Calculations!$M122)/(Calculations!$C$12+Calculations!$C$9))+(1/(Calculations!$O122-Calculations!$C$13))*('Reaction Information'!$L$29*(Calculations!$M122-Calculations!$C$9)+'Reaction Information'!$M$29*10^4*LN((Calculations!$C$12+Calculations!$M122)/(Calculations!$C$12+Calculations!$C$9)))+calculateOmega(Calculations!M122,Calculations!N122,Calculations!Q122,'Reaction Information'!$C$29,'Reaction Information'!$P$29*10^5,'Reaction Information'!$Q$29)*((1/Calculations!$S122)-1)-'Reaction Information'!$P$29*10^5*((1/Calculations!$C$10)-1)+'Reaction Information'!$P$29*10^5*Calculations!$C$14*(Calculations!$O122-Calculations!$C$8))</f>
        <v>#N/A</v>
      </c>
      <c r="AK122" s="8" t="e">
        <f>IF(ISBLANK(Input!$AM$4),NA(),'Reaction Information'!$E$33-'Reaction Information'!$G$33*(Calculations!$O122-Calculations!$C$8)-'Reaction Information'!$N$33*(Calculations!$O122*LN(Calculations!$O122/Calculations!$C$8)-Calculations!$O122+Calculations!$C$8)-'Reaction Information'!$O$33*10^4*(((1/(Calculations!$O122-Calculations!$C$13))-(1/(Calculations!$C$8-Calculations!$C$13)))*((Calculations!$C$13-Calculations!$O122)/(Calculations!$C$13))-(Calculations!$O122/(Calculations!$C$13*Calculations!$C$13))*LN((Calculations!$C$8*(Calculations!$O122-Calculations!$C$13))/(Calculations!$O122*(Calculations!$C$8-Calculations!$C$13))))+'Reaction Information'!$J$33*10^-1*(Calculations!$M122-Calculations!$C$9)+'Reaction Information'!$K$33*10^2*LN((Calculations!$C$12+Calculations!$M122)/(Calculations!$C$12+Calculations!$C$9))+(1/(Calculations!$O122-Calculations!$C$13))*('Reaction Information'!$L$33*(Calculations!$M122-Calculations!$C$9)+'Reaction Information'!$M$33*10^4*LN((Calculations!$C$12+Calculations!$M122)/(Calculations!$C$12+Calculations!$C$9)))+calculateOmega(Calculations!M122,Calculations!N122,Calculations!Q122,'Reaction Information'!$C$33,'Reaction Information'!$P$33*10^5,'Reaction Information'!$Q$33)*((1/Calculations!$S122)-1)-'Reaction Information'!$P$33*10^5*((1/Calculations!$C$10)-1)+'Reaction Information'!$P$33*10^5*Calculations!$C$14*(Calculations!$O122-Calculations!$C$8))</f>
        <v>#N/A</v>
      </c>
      <c r="AL122" s="1">
        <f>Results!S124</f>
        <v>0</v>
      </c>
      <c r="AM122" s="1">
        <f>Results!T124</f>
        <v>0</v>
      </c>
      <c r="AN122" s="1">
        <f>Results!U124</f>
        <v>0</v>
      </c>
      <c r="AO122" s="1">
        <f>Results!V124</f>
        <v>0</v>
      </c>
      <c r="AP122" s="8" t="e">
        <f>IF(ISBLANK(Input!$BB$4),NA(),'Reaction Information'!$E$38-'Reaction Information'!$G$38*(Calculations!$O122-Calculations!$C$8)+'Reaction Information'!$I$38*(Calculations!$O122-Calculations!$C$8-Calculations!$O122*LN(Calculations!$O122/Calculations!$C$8))+'Reaction Information'!$J$38*0.001/2*(2*Calculations!$O122*Calculations!$C$8-Calculations!$O122^2-Calculations!$C$8^2) + 'Reaction Information'!$K$38*100000*(Calculations!$O122^2 + Calculations!$C$8^2 - 2*Calculations!$O122*Calculations!$C$8)/(2*Calculations!$O122*Calculations!$C$8^2))</f>
        <v>#N/A</v>
      </c>
      <c r="AQ122" s="8" t="e">
        <f>IF(ISBLANK(Input!$BE$4),NA(),'Reaction Information'!$E$42-'Reaction Information'!$G$42*(Calculations!$O122-Calculations!$C$8)+'Reaction Information'!$I$42*(Calculations!$O122-Calculations!$C$8-Calculations!$O122*LN(Calculations!$O122/Calculations!$C$8))+'Reaction Information'!$J$42*0.001/2*(2*Calculations!$O122*Calculations!$C$8-Calculations!$O122^2-Calculations!$C$8^2) + 'Reaction Information'!$K$42*100000*(Calculations!$O122^2 + Calculations!$C$8^2 - 2*Calculations!$O122*Calculations!$C$8)/(2*Calculations!$O122*Calculations!$C$8^2))</f>
        <v>#N/A</v>
      </c>
      <c r="AR122" s="8" t="e">
        <f>IF(AR$5="H2O", IF($D$24=3,IF(T122=0,NA(),T122),calculateGibbsOfWater(M122,N122,$D$24,$D$20,$D$19=3)),NA())</f>
        <v>#N/A</v>
      </c>
      <c r="AS122" s="8">
        <f>IF(ISBLANK(Input!$BK$4),NA(),'Reaction Information'!$E$46-'Reaction Information'!$G$46*(Calculations!O122-Calculations!$C$8)-'Reaction Information'!$N$46*(Calculations!O122*LN(Calculations!O122/Calculations!$C$8)-Calculations!O122+Calculations!$C$8)-'Reaction Information'!$O$46*10^4*(((1/(Calculations!O122-Calculations!$C$13))-(1/(Calculations!$C$8-Calculations!$C$13)))*((Calculations!$C$13-Calculations!O122)/(Calculations!$C$13))-(Calculations!O122/(Calculations!$C$13*Calculations!$C$13))*LN((Calculations!$C$8*(Calculations!O122-Calculations!$C$13))/(Calculations!O122*(Calculations!$C$8-Calculations!$C$13))))+'Reaction Information'!$J$46*10^-1*(Calculations!$M122-Calculations!$C$9)+'Reaction Information'!$K$46*10^2*LN((Calculations!$C$12+Calculations!$M122)/(Calculations!$C$12+Calculations!$C$9))+(1/(Calculations!O122-Calculations!$C$13))*('Reaction Information'!$L$46*(Calculations!$M122-Calculations!$C$9)+'Reaction Information'!$M$46*10^4*LN((Calculations!$C$12+Calculations!$M122)/(Calculations!$C$12+Calculations!$C$9)))+calculateOmega(Calculations!M122,Calculations!N122,Calculations!Q122,'Reaction Information'!$C$46,'Reaction Information'!$P$46*10^5,'Reaction Information'!$Q$46)*((1/Calculations!S122)-1)-'Reaction Information'!$P$46*10^5*((1/Calculations!$C$10)-1)+'Reaction Information'!$P$46*10^5*Calculations!$C$14*(Calculations!O122-Calculations!$C$8))</f>
        <v>0</v>
      </c>
      <c r="AT122" s="8">
        <f>IF(ISBLANK(Input!$BN$4),NA(),'Reaction Information'!$E$50-'Reaction Information'!$G$50*(Calculations!O122-Calculations!$C$8)-'Reaction Information'!$N$50*(Calculations!O122*LN(Calculations!O122/Calculations!$C$8)-Calculations!O122+Calculations!$C$8)-'Reaction Information'!$O$50*10^4*(((1/(Calculations!O122-Calculations!$C$13))-(1/(Calculations!$C$8-Calculations!$C$13)))*((Calculations!$C$13-Calculations!O122)/(Calculations!$C$13))-(Calculations!O122/(Calculations!$C$13*Calculations!$C$13))*LN((Calculations!$C$8*(Calculations!O122-Calculations!$C$13))/(Calculations!O122*(Calculations!$C$8-Calculations!$C$13))))+'Reaction Information'!$J$50*10^-1*(Calculations!$M122-Calculations!$C$9)+'Reaction Information'!$K$50*10^2*LN((Calculations!$C$12+Calculations!$M122)/(Calculations!$C$12+Calculations!$C$9))+(1/(Calculations!O122-Calculations!$C$13))*('Reaction Information'!$L$50*(Calculations!$M122-Calculations!$C$9)+'Reaction Information'!$M$50*10^4*LN((Calculations!$C$12+Calculations!$M122)/(Calculations!$C$12+Calculations!$C$9)))+calculateOmega(Calculations!M122,Calculations!N122,Calculations!Q122,'Reaction Information'!$C$50,'Reaction Information'!$P$50*10^5,'Reaction Information'!$Q$50)*((1/Calculations!S122)-1)-'Reaction Information'!$P$50*10^5*((1/Calculations!$C$10)-1)+'Reaction Information'!$P$50*10^5*Calculations!$C$14*(Calculations!O122-Calculations!$C$8))</f>
        <v>-136573.19992774431</v>
      </c>
      <c r="AU122" s="8" t="e">
        <f>IF(ISBLANK(Input!$BQ$4),NA(),'Reaction Information'!$E$54-'Reaction Information'!$G$54*(Calculations!$O122-Calculations!$C$8)-'Reaction Information'!$N$54*(Calculations!$O122*LN(Calculations!$O122/Calculations!$C$8)-Calculations!$O122+Calculations!$C$8)-'Reaction Information'!$O$54*10^4*(((1/(Calculations!$O122-Calculations!$C$13))-(1/(Calculations!$C$8-Calculations!$C$13)))*((Calculations!$C$13-Calculations!$O122)/(Calculations!$C$13))-(Calculations!$O122/(Calculations!$C$13*Calculations!$C$13))*LN((Calculations!$C$8*(Calculations!$O122-Calculations!$C$13))/(Calculations!$O122*(Calculations!$C$8-Calculations!$C$13))))+'Reaction Information'!$J$54*10^-1*(Calculations!$M122-Calculations!$C$9)+'Reaction Information'!$K$54*10^2*LN((Calculations!$C$12+Calculations!$M122)/(Calculations!$C$12+Calculations!$C$9))+(1/(Calculations!$O122-Calculations!$C$13))*('Reaction Information'!$L$54*(Calculations!$M122-Calculations!$C$9)+'Reaction Information'!$M$54*10^4*LN((Calculations!$C$12+Calculations!$M122)/(Calculations!$C$12+Calculations!$C$9)))+calculateOmega(Calculations!M122,Calculations!N122,Calculations!Q122,'Reaction Information'!$C$54,'Reaction Information'!$P$54*10^5,'Reaction Information'!$Q$54)*((1/Calculations!$S122)-1)-'Reaction Information'!$P$54*10^5*((1/Calculations!$C$10)-1)+'Reaction Information'!$P$54*10^5*Calculations!$C$14*(Calculations!$O122-Calculations!$C$8))</f>
        <v>#N/A</v>
      </c>
      <c r="AV122" s="8" t="e">
        <f>IF(ISBLANK(Input!$BT$4),NA(),'Reaction Information'!$E$58-'Reaction Information'!$G$58*(Calculations!$O122-Calculations!$C$8)-'Reaction Information'!$N$58*(Calculations!$O122*LN(Calculations!$O122/Calculations!$C$8)-Calculations!$O122+Calculations!$C$8)-'Reaction Information'!$O$58*10^4*(((1/(Calculations!$O122-Calculations!$C$13))-(1/(Calculations!$C$8-Calculations!$C$13)))*((Calculations!$C$13-Calculations!$O122)/(Calculations!$C$13))-(Calculations!$O122/(Calculations!$C$13*Calculations!$C$13))*LN((Calculations!$C$8*(Calculations!$O122-Calculations!$C$13))/(Calculations!$O122*(Calculations!$C$8-Calculations!$C$13))))+'Reaction Information'!$J$58*10^-1*(Calculations!$M122-Calculations!$C$9)+'Reaction Information'!$K$58*10^2*LN((Calculations!$C$12+Calculations!$M122)/(Calculations!$C$12+Calculations!$C$9))+(1/(Calculations!$O122-Calculations!$C$13))*('Reaction Information'!$L$58*(Calculations!$M122-Calculations!$C$9)+'Reaction Information'!$M$58*10^4*LN((Calculations!$C$12+Calculations!$M122)/(Calculations!$C$12+Calculations!$C$9)))+calculateOmega(Calculations!M122,Calculations!N122,Calculations!Q122,'Reaction Information'!$C$58,'Reaction Information'!$P$58*10^5,'Reaction Information'!$Q$58)*((1/Calculations!$S122)-1)-'Reaction Information'!$P$58*10^5*((1/Calculations!$C$10)-1)+'Reaction Information'!$P$58*10^5*Calculations!$C$14*(Calculations!$O122-Calculations!$C$8))</f>
        <v>#N/A</v>
      </c>
      <c r="AW122" s="8" t="e">
        <f>IF(ISBLANK(Input!$BW$4),NA(),'Reaction Information'!$E$62-'Reaction Information'!$G$62*(Calculations!$O122-Calculations!$C$8)-'Reaction Information'!$N$62*(Calculations!$O122*LN(Calculations!$O122/Calculations!$C$8)-Calculations!$O122+Calculations!$C$8)-'Reaction Information'!$O$62*10^4*(((1/(Calculations!$O122-Calculations!$C$13))-(1/(Calculations!$C$8-Calculations!$C$13)))*((Calculations!$C$13-Calculations!$O122)/(Calculations!$C$13))-(Calculations!$O122/(Calculations!$C$13*Calculations!$C$13))*LN((Calculations!$C$8*(Calculations!$O122-Calculations!$C$13))/(Calculations!$O122*(Calculations!$C$8-Calculations!$C$13))))+'Reaction Information'!$J$62*10^-1*(Calculations!$M122-Calculations!$C$9)+'Reaction Information'!$K$62*10^2*LN((Calculations!$C$12+Calculations!$M122)/(Calculations!$C$12+Calculations!$C$9))+(1/(Calculations!$O122-Calculations!$C$13))*('Reaction Information'!$L$62*(Calculations!$M122-Calculations!$C$9)+'Reaction Information'!$M$62*10^4*LN((Calculations!$C$12+Calculations!$M122)/(Calculations!$C$12+Calculations!$C$9)))+calculateOmega(Calculations!M122,Calculations!N122,Calculations!Q122,'Reaction Information'!$C$62,'Reaction Information'!$P$62*10^5,'Reaction Information'!$Q$62)*((1/Calculations!$S122)-1)-'Reaction Information'!$P$62*10^5*((1/Calculations!$C$10)-1)+'Reaction Information'!$P$62*10^5*Calculations!$C$14*(Calculations!$O122-Calculations!$C$8))</f>
        <v>#N/A</v>
      </c>
      <c r="AX122" s="8" t="e">
        <f>IF(ISBLANK(Input!$BZ$4),NA(),'Reaction Information'!$E$66-'Reaction Information'!$G$66*(Calculations!$O122-Calculations!$C$8)-'Reaction Information'!$N$66*(Calculations!$O122*LN(Calculations!$O122/Calculations!$C$8)-Calculations!$O122+Calculations!$C$8)-'Reaction Information'!$O$66*10^4*(((1/(Calculations!$O122-Calculations!$C$13))-(1/(Calculations!$C$8-Calculations!$C$13)))*((Calculations!$C$13-Calculations!$O122)/(Calculations!$C$13))-(Calculations!$O122/(Calculations!$C$13*Calculations!$C$13))*LN((Calculations!$C$8*(Calculations!$O122-Calculations!$C$13))/(Calculations!$O122*(Calculations!$C$8-Calculations!$C$13))))+'Reaction Information'!$J$66*10^-1*(Calculations!$M122-Calculations!$C$9)+'Reaction Information'!$K$66*10^2*LN((Calculations!$C$12+Calculations!$M122)/(Calculations!$C$12+Calculations!$C$9))+(1/(Calculations!$O122-Calculations!$C$13))*('Reaction Information'!$L$66*(Calculations!$M122-Calculations!$C$9)+'Reaction Information'!$M$66*10^4*LN((Calculations!$C$12+Calculations!$M122)/(Calculations!$C$12+Calculations!$C$9)))+calculateOmega(Calculations!M122,Calculations!N122,Calculations!Q122,'Reaction Information'!$C$66,'Reaction Information'!$P$66*10^5,'Reaction Information'!$Q$66)*((1/Calculations!$S122)-1)-'Reaction Information'!$P$66*10^5*((1/Calculations!$C$10)-1)+'Reaction Information'!$P$66*10^5*Calculations!$C$14*(Calculations!$O122-Calculations!$C$8))</f>
        <v>#N/A</v>
      </c>
      <c r="AY122" s="31">
        <f>(AL122*Input!$AO$4+AM122*Input!$AR$4+AN122*Input!$AU$4+AO122*Input!$AX$4+IF(ISNA(AP122),0,AP122*Input!$BA$4)+IF(ISNA(AQ122),0,AQ122*Input!$BD$4)+IF(ISNA(AR122),0,AR122*Input!$BG$4)+IF(ISNA(AS122),0,AS122*Input!$BJ$4)+IF(ISNA(AT122),0,AT122*Input!$BM$4)+IF(ISNA(AU122),0,AU122*Input!$BP$4)+IF(ISNA(AV122),0,AV122*Input!$BS$4)+IF(ISNA(AW122),0,AW122*Input!$BV$4)+IF(ISNA(AX122),0,AX122*Input!$BY$4))-(Y122*Input!$B$4+Z122*Input!$E$4+AA122*Input!$H$4+AB122*Input!$K$4+IF(ISNA(AC122),0,AC122*Input!$N$4)+IF(ISNA(AD122),0,AD122*Input!$Q$4)+IF(ISNA(AE122),0,AE122*Input!$T$4)+IF(ISNA(AF122),0,AF122*Input!$W$4)+IF(ISNA(AG122),0,AG122*Input!$Z$4)+IF(ISNA(AH122),0,AH122*Input!$AC$4)+IF(ISNA(AI122),0,AI122*Input!$AF$4)+IF(ISNA(AJ122),0,AJ122*Input!$AI$4)+IF(ISNA(AK122),0,AK122*Input!$AL$4))</f>
        <v>25381.572606910544</v>
      </c>
      <c r="AZ122" s="42">
        <f t="shared" si="35"/>
        <v>-4.9421126334619849</v>
      </c>
      <c r="BA122" s="1">
        <f t="shared" si="27"/>
        <v>850</v>
      </c>
      <c r="BB122" s="46">
        <f t="shared" si="28"/>
        <v>40000</v>
      </c>
      <c r="BC122" s="1"/>
      <c r="BD122" s="2">
        <f t="shared" si="29"/>
        <v>40000</v>
      </c>
      <c r="BE122" s="46">
        <f t="shared" si="30"/>
        <v>850</v>
      </c>
      <c r="BF122" s="1">
        <f>Results!AJ124</f>
        <v>0</v>
      </c>
      <c r="BG122" s="1">
        <f>Results!AK124</f>
        <v>0</v>
      </c>
      <c r="BH122" s="1">
        <f>Results!AL124</f>
        <v>0</v>
      </c>
      <c r="BI122" s="1">
        <f>Results!AM124</f>
        <v>0</v>
      </c>
      <c r="BJ122" s="1" t="e">
        <f>IF(OR(ISNA('Reaction Information'!$D$5), $N122 = "", $D$27 = FALSE, 'Reaction Information'!$D$5 = ""), NA(), 24.465)</f>
        <v>#N/A</v>
      </c>
      <c r="BK122" s="1" t="e">
        <f>IF(OR(ISNA('Reaction Information'!$D$9), $N122 = "", $D$27 = FALSE, 'Reaction Information'!$D$9 = ""), NA(), 24.465)</f>
        <v>#N/A</v>
      </c>
      <c r="BL122" s="8">
        <f t="shared" si="36"/>
        <v>14.384023054886882</v>
      </c>
      <c r="BM122" s="8">
        <f>IF(OR(ISBLANK(Input!$X$4),$D$27=FALSE),NA(),('Reaction Information'!$J$13/10+'Reaction Information'!$K$13*100/(Calculations!$C$12+Calculations!$M122)+('Reaction Information'!$L$13+'Reaction Information'!$M$13*10^4/(Calculations!$C$12+Calculations!$M122))/(Calculations!$O122-Calculations!$C$13) -calculateOmega(Calculations!$M122,Calculations!$N122,Calculations!$Q122,'Reaction Information'!$C$13,'Reaction Information'!$P$13*10^5,'Reaction Information'!$Q$13)*Calculations!$U122*10^-6 + (1/$S122 - 1)*calculate_domegadP(Calculations!$M122,Calculations!$N122,Calculations!$Q122,'Reaction Information'!$C$13,'Reaction Information'!$P$13*10^5,'Reaction Information'!$Q$13,$D$20,$D$19=3))*41.84)</f>
        <v>30.282814920004604</v>
      </c>
      <c r="BN122" s="8" t="e">
        <f>IF(OR(ISBLANK(Input!$AA$4),$D$27=FALSE),NA(),('Reaction Information'!$J$17/10+'Reaction Information'!$K$17*100/(Calculations!$C$12+Calculations!$M122)+('Reaction Information'!$L$17+'Reaction Information'!$M$17*10000/(Calculations!$C$12+Calculations!$M122))/(Calculations!$O122-Calculations!$C$13)-calculateOmega(Calculations!M122,Calculations!N122,Calculations!Q122,'Reaction Information'!$C$17,'Reaction Information'!$P$17*10^5,'Reaction Information'!$Q$17)*Calculations!$U122*10^-6 + (1/$S122 - 1)*calculate_domegadP(Calculations!M122,Calculations!N122,Calculations!Q122,'Reaction Information'!$C$17,'Reaction Information'!$P$17*10^5,'Reaction Information'!$Q$17,$D$20,$D$19=3))*41.84)</f>
        <v>#N/A</v>
      </c>
      <c r="BO122" s="8" t="e">
        <f>IF(OR(ISBLANK(Input!$AD$4),$D$27=FALSE),NA(),('Reaction Information'!$J$21/10+'Reaction Information'!$K$21*100/(Calculations!$C$12+Calculations!$M122)+('Reaction Information'!$L$21+'Reaction Information'!$M$21*10000/(Calculations!$C$12+Calculations!$M122))/(Calculations!$O122-Calculations!$C$13)-calculateOmega(Calculations!M122,Calculations!N122,Calculations!Q122,'Reaction Information'!$C$21,'Reaction Information'!$P$21*10^5,'Reaction Information'!$Q$21)*Calculations!$U122*10^-6 + (1/$S122 - 1)*calculate_domegadP(Calculations!M122,Calculations!N122,Calculations!Q122,'Reaction Information'!$C$21,'Reaction Information'!$P$21*10^5,'Reaction Information'!$Q$21,$D$20,$D$19=3))*41.84)</f>
        <v>#N/A</v>
      </c>
      <c r="BP122" s="8" t="e">
        <f>IF(OR(ISBLANK(Input!$AG$4),$D$27=FALSE),NA(),('Reaction Information'!$J$25/10+'Reaction Information'!$K$25*100/(Calculations!$C$12+Calculations!$M122)+('Reaction Information'!$L$25+'Reaction Information'!$M$25*10000/(Calculations!$C$12+Calculations!$M122))/(Calculations!$O122-Calculations!$C$13)-calculateOmega(Calculations!M122,Calculations!N122,Calculations!Q122,'Reaction Information'!$C$25,'Reaction Information'!$P$25*10^5,'Reaction Information'!$Q$25)*Calculations!$U122*10^-6 + (1/$S122 - 1)*calculate_domegadP(Calculations!M122,Calculations!N122,Calculations!Q122,'Reaction Information'!$C$25,'Reaction Information'!$P$25*10^5,'Reaction Information'!$Q$25,$D$20,$D$19=3))*41.84)</f>
        <v>#N/A</v>
      </c>
      <c r="BQ122" s="8" t="e">
        <f>IF(OR(ISBLANK(Input!$AJ$4),$D$27=FALSE),NA(),('Reaction Information'!$J$29/10+'Reaction Information'!$K$29*100/(Calculations!$C$12+Calculations!$M122)+('Reaction Information'!$L$29+'Reaction Information'!$M$29*10000/(Calculations!$C$12+Calculations!$M122))/(Calculations!$O122-Calculations!$C$13)-calculateOmega(Calculations!M122,Calculations!N122,Calculations!Q122,'Reaction Information'!$C$29,'Reaction Information'!$P$29*10^5,'Reaction Information'!$Q$29)*Calculations!$U122*10^-6 + (1/$S122 - 1)*calculate_domegadP(Calculations!M122,Calculations!N122,Calculations!Q122,'Reaction Information'!$C$29,'Reaction Information'!$P$29*10^5,'Reaction Information'!$Q$29,$D$20,$D$19=3))*41.84)</f>
        <v>#N/A</v>
      </c>
      <c r="BR122" s="8" t="e">
        <f>IF(OR(ISBLANK(Input!$AM$4),$D$27=FALSE),NA(),('Reaction Information'!$J$33/10+'Reaction Information'!$K$33*100/(Calculations!$C$12+Calculations!$M122)+('Reaction Information'!$L$33+'Reaction Information'!$M$33*10000/(Calculations!$C$12+Calculations!$M122))/(Calculations!$O122-Calculations!$C$13)-calculateOmega(Calculations!M122,Calculations!N122,Calculations!Q122,'Reaction Information'!$C$33,'Reaction Information'!$P$33*10^5,'Reaction Information'!$Q$33)*Calculations!$U122*10^-6 + (1/$S122 - 1)*calculate_domegadP(Calculations!M122,Calculations!N122,Calculations!Q122,'Reaction Information'!$C$33,'Reaction Information'!$P$33*10^5,'Reaction Information'!$Q$33,$D$20,$D$19=3))*41.84)</f>
        <v>#N/A</v>
      </c>
      <c r="BS122" s="1">
        <f>Results!AW124</f>
        <v>0</v>
      </c>
      <c r="BT122" s="1">
        <f>Results!AX124</f>
        <v>0</v>
      </c>
      <c r="BU122" s="1">
        <f>Results!AY124</f>
        <v>0</v>
      </c>
      <c r="BV122" s="1">
        <f>Results!AZ124</f>
        <v>0</v>
      </c>
      <c r="BW122" s="1" t="e">
        <f>IF(OR(ISNA('Reaction Information'!$D$38), $N122 = "", $D$27 = FALSE, 'Reaction Information'!$D$38 = ""), NA(), 24.465)</f>
        <v>#N/A</v>
      </c>
      <c r="BX122" s="1" t="e">
        <f>IF(OR(ISNA('Reaction Information'!$D$42), $N122 = "", $D$27 = FALSE, 'Reaction Information'!$D$42 = ""), NA(), 24.465)</f>
        <v>#N/A</v>
      </c>
      <c r="BY122" s="8" t="e">
        <f t="shared" si="37"/>
        <v>#N/A</v>
      </c>
      <c r="BZ122" s="8">
        <f>IF(OR(ISBLANK(Input!$BK$4),$D$27=FALSE),NA(),('Reaction Information'!$J$46/10+'Reaction Information'!$K$46*100/(Calculations!$C$12+Calculations!$M122)+('Reaction Information'!$L$46+'Reaction Information'!$M$46*10000/(Calculations!$C$12+Calculations!$M122))/(Calculations!$O122-Calculations!$C$13)-calculateOmega(Calculations!M122,Calculations!N122,Calculations!Q122,'Reaction Information'!$C$46,'Reaction Information'!$P$46*10^5,'Reaction Information'!$Q$46)*Calculations!$U122*10^-6 + (1/$S122 - 1)*calculate_domegadP(Calculations!M122,Calculations!N122,Calculations!Q122,'Reaction Information'!$C$46,'Reaction Information'!$P$46*10^5,'Reaction Information'!$Q$46,$D$20,$D$19=3))*41.84)</f>
        <v>0</v>
      </c>
      <c r="CA122" s="8">
        <f>IF(OR(ISBLANK(Input!$BN$4),$D$27=FALSE),NA(),('Reaction Information'!$J$50/10+'Reaction Information'!$K$50*100/(Calculations!$C$12+Calculations!$M122)+('Reaction Information'!$L$50+'Reaction Information'!$M$50*10000/(Calculations!$C$12+Calculations!$M122))/(Calculations!$O122-Calculations!$C$13)-calculateOmega(Calculations!M122,Calculations!N122,Calculations!Q122,'Reaction Information'!$C$50,'Reaction Information'!$P$50*10^5,'Reaction Information'!$Q$50)*Calculations!$U122*10^-6 + (1/$S122 - 1)*calculate_domegadP(Calculations!M122,Calculations!N122,Calculations!Q122,'Reaction Information'!$C$50,'Reaction Information'!$P$50*10^5,'Reaction Information'!$Q$50,$D$20,$D$19=3))*41.84)</f>
        <v>30.795257659389534</v>
      </c>
      <c r="CB122" s="8" t="e">
        <f>IF(OR(ISBLANK(Input!$BQ$4),$D$27=FALSE),NA(),('Reaction Information'!$J$54/10+'Reaction Information'!$K$54*100/(Calculations!$C$12+Calculations!$M122)+('Reaction Information'!$L$54+'Reaction Information'!$M$54*10000/(Calculations!$C$12+Calculations!$M122))/(Calculations!$O122-Calculations!$C$13)-calculateOmega(Calculations!M122,Calculations!N122,Calculations!Q122,'Reaction Information'!$C$54,'Reaction Information'!$P$54*10^5,'Reaction Information'!$Q$54)*Calculations!$U122*10^-6 + (1/$S122 - 1)*calculate_domegadP(Calculations!M122,Calculations!N122,Calculations!Q122,'Reaction Information'!$C$54,'Reaction Information'!$P$54*10^5,'Reaction Information'!$Q$54,$D$20,$D$19=3))*41.84)</f>
        <v>#N/A</v>
      </c>
      <c r="CC122" s="8" t="e">
        <f>IF(OR(ISBLANK(Input!$BT$4),$D$27=FALSE),NA(),('Reaction Information'!$J$58/10+'Reaction Information'!$K$58*100/(Calculations!$C$12+Calculations!$M122)+('Reaction Information'!$L$58+'Reaction Information'!$M$58*10000/(Calculations!$C$12+Calculations!$M122))/(Calculations!$O122-Calculations!$C$13)-calculateOmega(Calculations!M122,Calculations!N122,Calculations!Q122,'Reaction Information'!$C$58,'Reaction Information'!$P$58*10^5,'Reaction Information'!$Q$58)*Calculations!$U122*10^-6 + (1/$S122 - 1)*calculate_domegadP(Calculations!M122,Calculations!N122,Calculations!Q122,'Reaction Information'!$C$58,'Reaction Information'!$P$58*10^5,'Reaction Information'!$Q$58,$D$20,$D$19=3))*41.84)</f>
        <v>#N/A</v>
      </c>
      <c r="CD122" s="8" t="e">
        <f>IF(OR(ISBLANK(Input!$BW$4),$D$27=FALSE),NA(),('Reaction Information'!$J$62/10+'Reaction Information'!$K$62*100/(Calculations!$C$12+Calculations!$M122)+('Reaction Information'!$L$62+'Reaction Information'!$M$62*10000/(Calculations!$C$12+Calculations!$M122))/(Calculations!$O122-Calculations!$C$13)-calculateOmega(Calculations!M122,Calculations!N122,Calculations!Q122,'Reaction Information'!$C$62,'Reaction Information'!$P$62*10^5,'Reaction Information'!$Q$62)*Calculations!$U122*10^-6 + (1/$S122 - 1)*calculate_domegadP(Calculations!M122,Calculations!N122,Calculations!Q122,'Reaction Information'!$C$62,'Reaction Information'!$P$62*10^5,'Reaction Information'!$Q$62,$D$20,$D$19=3))*41.84)</f>
        <v>#N/A</v>
      </c>
      <c r="CE122" s="8" t="e">
        <f>IF(OR(ISBLANK(Input!$BZ$4),$D$27=FALSE),NA(),('Reaction Information'!$J$66/10+'Reaction Information'!$K$66*100/(Calculations!$C$12+Calculations!$M122)+('Reaction Information'!$L$66+'Reaction Information'!$M$66*10000/(Calculations!$C$12+Calculations!$M122))/(Calculations!$O122-Calculations!$C$13)-calculateOmega(Calculations!M122,Calculations!N122,Calculations!Q122,'Reaction Information'!$C$66,'Reaction Information'!$P$66*10^5,'Reaction Information'!$Q$66)*Calculations!$U122*10^-6 + (1/$S122 - 1)*calculate_domegadP(Calculations!M122,Calculations!N122,Calculations!Q122,'Reaction Information'!$C$66,'Reaction Information'!$P$66*10^5,'Reaction Information'!$Q$66,$D$20,$D$19=3))*41.84)</f>
        <v>#N/A</v>
      </c>
      <c r="CF122" s="31">
        <f>(BS122*Input!$AO$4+BT122*Input!$AR$4+BU122*Input!$AU$4+BV122*Input!$AX$4+IF(ISNA(BW122),0,BW122*Input!$BA$4)+IF(ISNA(BX122),0,BX122*Input!$BD$4)+IF(ISNA(BY122),0,BY122*Input!$BG$4)+IF(ISNA(BZ122),0,BZ122*Input!$BJ$4)+IF(ISNA(CA122),0,CA122*Input!$BM$4)+IF(ISNA(CB122),0,CB122*Input!$BP$4)+IF(ISNA(CC122),0,CC122*Input!$BS$4)+IF(ISNA(CD122),0,CD122*Input!$BV$4)+IF(ISNA(CE122),0,CE122*Input!$BY$4))-(BF122*Input!$B$4+BG122*Input!$E$4+BH122*Input!$H$4+BI122*Input!$K$4+IF(ISNA(BJ122),0,BJ122*Input!$N$4)+IF(ISNA(BK122),0,BK122*Input!$Q$4)+IF(ISNA(BL122),0,BL122*Input!$T$4)+IF(ISNA(BM122),0,BM122*Input!$W$4)+IF(ISNA(BN122),0,BN122*Input!$Z$4)+IF(ISNA(BO122),0,BO122*Input!$AC$4)+IF(ISNA(BP122),0,BP122*Input!$AF$4)+IF(ISNA(BQ122),0,BQ122*Input!$AI$4)+IF(ISNA(BR122),0,BR122*Input!$AL$4))</f>
        <v>-13.871580315501951</v>
      </c>
      <c r="CG122" s="1">
        <f t="shared" si="31"/>
        <v>850</v>
      </c>
      <c r="CH122" s="46">
        <f t="shared" si="32"/>
        <v>40000</v>
      </c>
      <c r="CI122" s="1"/>
    </row>
    <row r="123" spans="1:87" x14ac:dyDescent="0.2">
      <c r="A123" s="1"/>
      <c r="B123" s="1"/>
      <c r="C123" s="1"/>
      <c r="D123" s="1"/>
      <c r="E123" s="1"/>
      <c r="F123" s="2">
        <v>118</v>
      </c>
      <c r="G123" s="1" t="str">
        <f>IF(ISBLANK(Input!CB123), "", Input!CB123*1000)</f>
        <v/>
      </c>
      <c r="H123" s="1" t="str">
        <f>IF(ISBLANK(Input!CC123), "", Input!CC123)</f>
        <v/>
      </c>
      <c r="I123" s="1">
        <f>IF(Input!$CF$5 + Input!$CF$6*(FLOOR((Calculations!$F123-1)/(FLOOR((Input!$CF$12-Input!$CF$10)/Input!$CF$11,1)+1),1)) &gt; Input!$CF$7, "", (Input!$CF$5 + Input!$CF$6*(FLOOR((Calculations!$F123-1)/(FLOOR((Input!$CF$12-Input!$CF$10)/Input!$CF$11,1)+1),1)))*1000)</f>
        <v>40000</v>
      </c>
      <c r="J123" s="1">
        <f>IF(Calculations!I123 = "", "", Input!$CF$10 + Input!$CF$11*(Calculations!$F123-1) - (FLOOR((Input!$CF$12-Input!$CF$10)/Input!$CF$11,1)+1)*Input!$CF$11*FLOOR((Calculations!$F123-1)/(FLOOR((Input!$CF$12-Input!$CF$10)/Input!$CF$11,1)+1),1))</f>
        <v>900</v>
      </c>
      <c r="K123" s="8" t="str">
        <f t="shared" si="33"/>
        <v/>
      </c>
      <c r="L123" s="117" t="str">
        <f>IF(OR(Input!$CJ$5 + Input!$CJ$6*(Calculations!F123-1) &gt; Input!$CJ$7, Input!$CJ$5 + Input!$CJ$6*(Calculations!F123-1) &gt; 350), "", Input!$CJ$5 + Input!$CJ$6*(Calculations!F123-1))</f>
        <v/>
      </c>
      <c r="M123" s="1">
        <f t="shared" si="23"/>
        <v>40000</v>
      </c>
      <c r="N123" s="1">
        <f t="shared" si="24"/>
        <v>900</v>
      </c>
      <c r="O123" s="1">
        <f t="shared" si="34"/>
        <v>1173.1500000000001</v>
      </c>
      <c r="P123" s="1" t="e">
        <f>IF(OR($D$20=3,AND($D$21=TRUE,M123&lt;1000)),INDEX('Water Density'!$C$6:$CX$120,MATCH(Calculations!N123,'Water Density'!$B$6:$B$120),MATCH(Calculations!M123/1000,'Water Density'!$C$5:$CX$5)),NA())</f>
        <v>#N/A</v>
      </c>
      <c r="Q123" s="182">
        <f>IF(OR($D$20=3,AND($D$21=TRUE,M123&lt;1000)), IF(P123&lt;&gt;0,P123,NA()), calculateDensity(M123,N123,$D$20,0.01,$D$19 = 3))</f>
        <v>1.2396336842828988</v>
      </c>
      <c r="R123" s="1" t="e">
        <f>IF($D$22=5,INDEX('Dielectric Constant'!$C$6:$CX$120,MATCH(Calculations!N123,'Dielectric Constant'!$B$6:$B$120),MATCH(Calculations!M123/1000,'Dielectric Constant'!$C$5:$CX$5)),NA())</f>
        <v>#N/A</v>
      </c>
      <c r="S123" s="58">
        <f>IF($D$22=5, IF(R123&lt;&gt;0,R123,NA()), IF(AND($D$23,M123&lt;=5000,$D$19 &lt;&gt; 3),calculateEpsilon(Q123,N123,1,FALSE),calculateEpsilon(Q123,N123,$D$22,$D$19 = 3)))</f>
        <v>18.368119613787485</v>
      </c>
      <c r="T123" s="1" t="e">
        <f>IF($D$24=3,INDEX('Water Free Energy'!$C$6:$CX$120,MATCH(Calculations!N123,'Water Free Energy'!$B$6:$B$120),MATCH(Calculations!M123/1000,'Water Free Energy'!$C$5:$CX$5)),NA())</f>
        <v>#N/A</v>
      </c>
      <c r="U123" s="179">
        <f>IF($D$27,calculateQ(M123,N123,Q123,$D$20,$D$22,$D$19=3)*10^6,NA())</f>
        <v>0.25878555275037712</v>
      </c>
      <c r="V123"/>
      <c r="W123" s="2">
        <f t="shared" si="25"/>
        <v>40000</v>
      </c>
      <c r="X123" s="1">
        <f t="shared" si="26"/>
        <v>900</v>
      </c>
      <c r="Y123" s="1">
        <f>Results!F125</f>
        <v>0</v>
      </c>
      <c r="Z123" s="1">
        <f>Results!G125</f>
        <v>0</v>
      </c>
      <c r="AA123" s="1">
        <f>Results!H125</f>
        <v>0</v>
      </c>
      <c r="AB123" s="1">
        <f>Results!I125</f>
        <v>0</v>
      </c>
      <c r="AC123" s="1" t="e">
        <f>IF(ISBLANK(Input!$O$4),NA(),'Reaction Information'!$E$5-'Reaction Information'!$G$5*(Calculations!$O123-Calculations!$C$8)+'Reaction Information'!$I$5*(Calculations!$O123-Calculations!$C$8-Calculations!$O123*LN(Calculations!$O123/Calculations!$C$8))+'Reaction Information'!$J$5*0.001/2*(2*Calculations!$O123*Calculations!$C$8-Calculations!$O123^2-Calculations!$C$8^2) + 'Reaction Information'!$K$5*100000*(Calculations!$O123^2 + Calculations!$C$8^2 - 2*Calculations!$O123*Calculations!$C$8)/(2*Calculations!$O123*Calculations!$C$8^2))</f>
        <v>#N/A</v>
      </c>
      <c r="AD123" s="8" t="e">
        <f>IF(ISBLANK(Input!$R$4),NA(),'Reaction Information'!$E$9-'Reaction Information'!$G$9*(Calculations!$O123-Calculations!$C$8)+'Reaction Information'!$I$9*(Calculations!$O123-Calculations!$C$8-Calculations!$O123*LN(Calculations!$O123/Calculations!$C$8))+'Reaction Information'!$J$9*0.001/2*(2*Calculations!$O123*Calculations!$C$8-Calculations!$O123^2-Calculations!$C$8^2) + 'Reaction Information'!$K$9*100000*(Calculations!$O123^2 + Calculations!$C$8^2 - 2*Calculations!$O123*Calculations!$C$8)/(2*Calculations!$O123*Calculations!$C$8^2))</f>
        <v>#N/A</v>
      </c>
      <c r="AE123" s="8">
        <f>IF(AE$5="H2O",IF($D$24=3,IF(T123=0,NA(),T123),calculateGibbsOfWater(M123,N123,$D$24,$D$20,$D$19=3)),NA())</f>
        <v>-65332.132747109805</v>
      </c>
      <c r="AF123" s="8">
        <f>IF(ISBLANK(Input!$X$4),NA(),'Reaction Information'!$E$13-'Reaction Information'!$G$13*(Calculations!O123-Calculations!$C$8)-'Reaction Information'!$N$13*(Calculations!O123*LN(Calculations!O123/Calculations!$C$8)-Calculations!O123+Calculations!$C$8)-'Reaction Information'!$O$13*10^4*(((1/(Calculations!O123-Calculations!$C$13))-(1/(Calculations!$C$8-Calculations!$C$13)))*((Calculations!$C$13-Calculations!O123)/(Calculations!$C$13))-(Calculations!O123/(Calculations!$C$13*Calculations!$C$13))*LN((Calculations!$C$8*(Calculations!O123-Calculations!$C$13))/(Calculations!O123*(Calculations!$C$8-Calculations!$C$13))))+'Reaction Information'!$J$13*10^-1*(Calculations!M123-Calculations!$C$9)+'Reaction Information'!$K$13*10^2*LN((Calculations!$C$12+Calculations!M123)/(Calculations!$C$12+Calculations!$C$9))+(1/(Calculations!O123-Calculations!$C$13))*('Reaction Information'!$L$13*(Calculations!M123-Calculations!$C$9)+'Reaction Information'!$M$13*10^4*LN((Calculations!$C$12+Calculations!M123)/(Calculations!$C$12+Calculations!$C$9)))+calculateOmega(Calculations!M123,Calculations!N123,Calculations!Q123,'Reaction Information'!$C$13,'Reaction Information'!$P$13*10^5,'Reaction Information'!$Q$13)*((1/Calculations!S123)-1)-'Reaction Information'!$P$13*10^5*((1/Calculations!$C$10)-1)+'Reaction Information'!$P$13*10^5*Calculations!$C$14*(Calculations!O123-Calculations!$C$8))</f>
        <v>-100737.35988677386</v>
      </c>
      <c r="AG123" s="8" t="e">
        <f>IF(ISBLANK(Input!$AA$4),NA(),'Reaction Information'!$E$17-'Reaction Information'!$G$17*(Calculations!$O123-Calculations!$C$8)-'Reaction Information'!$N$17*(Calculations!$O123*LN(Calculations!$O123/Calculations!$C$8)-Calculations!$O123+Calculations!$C$8)-'Reaction Information'!$O$17*10^4*(((1/(Calculations!$O123-Calculations!$C$13))-(1/(Calculations!$C$8-Calculations!$C$13)))*((Calculations!$C$13-Calculations!$O123)/(Calculations!$C$13))-(Calculations!$O123/(Calculations!$C$13*Calculations!$C$13))*LN((Calculations!$C$8*(Calculations!$O123-Calculations!$C$13))/(Calculations!$O123*(Calculations!$C$8-Calculations!$C$13))))+'Reaction Information'!$J$17*10^-1*(Calculations!$M123-Calculations!$C$9)+'Reaction Information'!$K$17*10^2*LN((Calculations!$C$12+Calculations!$M123)/(Calculations!$C$12+Calculations!$C$9))+(1/(Calculations!$O123-Calculations!$C$13))*('Reaction Information'!$L$17*(Calculations!$M123-Calculations!$C$9)+'Reaction Information'!$M$17*10^4*LN((Calculations!$C$12+Calculations!$M123)/(Calculations!$C$12+Calculations!$C$9)))+calculateOmega(Calculations!M123,Calculations!N123,Calculations!Q123,'Reaction Information'!$C$17,'Reaction Information'!$P$17*10^5,'Reaction Information'!$Q$17)*((1/Calculations!$S123)-1)-'Reaction Information'!$P$17*10^5*((1/Calculations!$C$10)-1)+'Reaction Information'!$P$17*10^5*Calculations!$C$14*(Calculations!$O123-Calculations!$C$8))</f>
        <v>#N/A</v>
      </c>
      <c r="AH123" s="8" t="e">
        <f>IF(ISBLANK(Input!$AD$4),NA(),'Reaction Information'!$E$21-'Reaction Information'!$G$21*(Calculations!$O123-Calculations!$C$8)-'Reaction Information'!$N$21*(Calculations!$O123*LN(Calculations!$O123/Calculations!$C$8)-Calculations!$O123+Calculations!$C$8)-'Reaction Information'!$O$21*10^4*(((1/(Calculations!$O123-Calculations!$C$13))-(1/(Calculations!$C$8-Calculations!$C$13)))*((Calculations!$C$13-Calculations!$O123)/(Calculations!$C$13))-(Calculations!$O123/(Calculations!$C$13*Calculations!$C$13))*LN((Calculations!$C$8*(Calculations!$O123-Calculations!$C$13))/(Calculations!$O123*(Calculations!$C$8-Calculations!$C$13))))+'Reaction Information'!$J$21*10^-1*(Calculations!$M123-Calculations!$C$9)+'Reaction Information'!$K$21*10^2*LN((Calculations!$C$12+Calculations!$M123)/(Calculations!$C$12+Calculations!$C$9))+(1/(Calculations!$O123-Calculations!$C$13))*('Reaction Information'!$L$21*(Calculations!$M123-Calculations!$C$9)+'Reaction Information'!$M$21*10^4*LN((Calculations!$C$12+Calculations!$M123)/(Calculations!$C$12+Calculations!$C$9)))+calculateOmega(Calculations!M123,Calculations!N123,Calculations!Q123,'Reaction Information'!$C$21,'Reaction Information'!$P$21*10^5,'Reaction Information'!$Q$21)*((1/Calculations!$S123)-1)-'Reaction Information'!$P$21*10^5*((1/Calculations!$C$10)-1)+'Reaction Information'!$P$21*10^5*Calculations!$C$14*(Calculations!$O123-Calculations!$C$8))</f>
        <v>#N/A</v>
      </c>
      <c r="AI123" s="8" t="e">
        <f>IF(ISBLANK(Input!$AG$4),NA(),'Reaction Information'!$E$25-'Reaction Information'!$G$25*(Calculations!$O123-Calculations!$C$8)-'Reaction Information'!$N$25*(Calculations!$O123*LN(Calculations!$O123/Calculations!$C$8)-Calculations!$O123+Calculations!$C$8)-'Reaction Information'!$O$25*10^4*(((1/(Calculations!$O123-Calculations!$C$13))-(1/(Calculations!$C$8-Calculations!$C$13)))*((Calculations!$C$13-Calculations!$O123)/(Calculations!$C$13))-(Calculations!$O123/(Calculations!$C$13*Calculations!$C$13))*LN((Calculations!$C$8*(Calculations!$O123-Calculations!$C$13))/(Calculations!$O123*(Calculations!$C$8-Calculations!$C$13))))+'Reaction Information'!$J$25*10^-1*(Calculations!$M123-Calculations!$C$9)+'Reaction Information'!$K$25*10^2*LN((Calculations!$C$12+Calculations!$M123)/(Calculations!$C$12+Calculations!$C$9))+(1/(Calculations!$O123-Calculations!$C$13))*('Reaction Information'!$L$25*(Calculations!$M123-Calculations!$C$9)+'Reaction Information'!$M$25*10^4*LN((Calculations!$C$12+Calculations!$M123)/(Calculations!$C$12+Calculations!$C$9)))+calculateOmega(Calculations!M123,Calculations!N123,Calculations!Q123,'Reaction Information'!$C$25,'Reaction Information'!$P$25*10^5,'Reaction Information'!$Q$25)*((1/Calculations!$S123)-1)-'Reaction Information'!$P$25*10^5*((1/Calculations!$C$10)-1)+'Reaction Information'!$P$25*10^5*Calculations!$C$14*(Calculations!$O123-Calculations!$C$8))</f>
        <v>#N/A</v>
      </c>
      <c r="AJ123" s="8" t="e">
        <f>IF(ISBLANK(Input!$AJ$4),NA(),'Reaction Information'!$E$29-'Reaction Information'!$G$29*(Calculations!$O123-Calculations!$C$8)-'Reaction Information'!$N$29*(Calculations!$O123*LN(Calculations!$O123/Calculations!$C$8)-Calculations!$O123+Calculations!$C$8)-'Reaction Information'!$O$29*10^4*(((1/(Calculations!$O123-Calculations!$C$13))-(1/(Calculations!$C$8-Calculations!$C$13)))*((Calculations!$C$13-Calculations!$O123)/(Calculations!$C$13))-(Calculations!$O123/(Calculations!$C$13*Calculations!$C$13))*LN((Calculations!$C$8*(Calculations!$O123-Calculations!$C$13))/(Calculations!$O123*(Calculations!$C$8-Calculations!$C$13))))+'Reaction Information'!$J$29*10^-1*(Calculations!$M123-Calculations!$C$9)+'Reaction Information'!$K$29*10^2*LN((Calculations!$C$12+Calculations!$M123)/(Calculations!$C$12+Calculations!$C$9))+(1/(Calculations!$O123-Calculations!$C$13))*('Reaction Information'!$L$29*(Calculations!$M123-Calculations!$C$9)+'Reaction Information'!$M$29*10^4*LN((Calculations!$C$12+Calculations!$M123)/(Calculations!$C$12+Calculations!$C$9)))+calculateOmega(Calculations!M123,Calculations!N123,Calculations!Q123,'Reaction Information'!$C$29,'Reaction Information'!$P$29*10^5,'Reaction Information'!$Q$29)*((1/Calculations!$S123)-1)-'Reaction Information'!$P$29*10^5*((1/Calculations!$C$10)-1)+'Reaction Information'!$P$29*10^5*Calculations!$C$14*(Calculations!$O123-Calculations!$C$8))</f>
        <v>#N/A</v>
      </c>
      <c r="AK123" s="8" t="e">
        <f>IF(ISBLANK(Input!$AM$4),NA(),'Reaction Information'!$E$33-'Reaction Information'!$G$33*(Calculations!$O123-Calculations!$C$8)-'Reaction Information'!$N$33*(Calculations!$O123*LN(Calculations!$O123/Calculations!$C$8)-Calculations!$O123+Calculations!$C$8)-'Reaction Information'!$O$33*10^4*(((1/(Calculations!$O123-Calculations!$C$13))-(1/(Calculations!$C$8-Calculations!$C$13)))*((Calculations!$C$13-Calculations!$O123)/(Calculations!$C$13))-(Calculations!$O123/(Calculations!$C$13*Calculations!$C$13))*LN((Calculations!$C$8*(Calculations!$O123-Calculations!$C$13))/(Calculations!$O123*(Calculations!$C$8-Calculations!$C$13))))+'Reaction Information'!$J$33*10^-1*(Calculations!$M123-Calculations!$C$9)+'Reaction Information'!$K$33*10^2*LN((Calculations!$C$12+Calculations!$M123)/(Calculations!$C$12+Calculations!$C$9))+(1/(Calculations!$O123-Calculations!$C$13))*('Reaction Information'!$L$33*(Calculations!$M123-Calculations!$C$9)+'Reaction Information'!$M$33*10^4*LN((Calculations!$C$12+Calculations!$M123)/(Calculations!$C$12+Calculations!$C$9)))+calculateOmega(Calculations!M123,Calculations!N123,Calculations!Q123,'Reaction Information'!$C$33,'Reaction Information'!$P$33*10^5,'Reaction Information'!$Q$33)*((1/Calculations!$S123)-1)-'Reaction Information'!$P$33*10^5*((1/Calculations!$C$10)-1)+'Reaction Information'!$P$33*10^5*Calculations!$C$14*(Calculations!$O123-Calculations!$C$8))</f>
        <v>#N/A</v>
      </c>
      <c r="AL123" s="1">
        <f>Results!S125</f>
        <v>0</v>
      </c>
      <c r="AM123" s="1">
        <f>Results!T125</f>
        <v>0</v>
      </c>
      <c r="AN123" s="1">
        <f>Results!U125</f>
        <v>0</v>
      </c>
      <c r="AO123" s="1">
        <f>Results!V125</f>
        <v>0</v>
      </c>
      <c r="AP123" s="8" t="e">
        <f>IF(ISBLANK(Input!$BB$4),NA(),'Reaction Information'!$E$38-'Reaction Information'!$G$38*(Calculations!$O123-Calculations!$C$8)+'Reaction Information'!$I$38*(Calculations!$O123-Calculations!$C$8-Calculations!$O123*LN(Calculations!$O123/Calculations!$C$8))+'Reaction Information'!$J$38*0.001/2*(2*Calculations!$O123*Calculations!$C$8-Calculations!$O123^2-Calculations!$C$8^2) + 'Reaction Information'!$K$38*100000*(Calculations!$O123^2 + Calculations!$C$8^2 - 2*Calculations!$O123*Calculations!$C$8)/(2*Calculations!$O123*Calculations!$C$8^2))</f>
        <v>#N/A</v>
      </c>
      <c r="AQ123" s="8" t="e">
        <f>IF(ISBLANK(Input!$BE$4),NA(),'Reaction Information'!$E$42-'Reaction Information'!$G$42*(Calculations!$O123-Calculations!$C$8)+'Reaction Information'!$I$42*(Calculations!$O123-Calculations!$C$8-Calculations!$O123*LN(Calculations!$O123/Calculations!$C$8))+'Reaction Information'!$J$42*0.001/2*(2*Calculations!$O123*Calculations!$C$8-Calculations!$O123^2-Calculations!$C$8^2) + 'Reaction Information'!$K$42*100000*(Calculations!$O123^2 + Calculations!$C$8^2 - 2*Calculations!$O123*Calculations!$C$8)/(2*Calculations!$O123*Calculations!$C$8^2))</f>
        <v>#N/A</v>
      </c>
      <c r="AR123" s="8" t="e">
        <f>IF(AR$5="H2O", IF($D$24=3,IF(T123=0,NA(),T123),calculateGibbsOfWater(M123,N123,$D$24,$D$20,$D$19=3)),NA())</f>
        <v>#N/A</v>
      </c>
      <c r="AS123" s="8">
        <f>IF(ISBLANK(Input!$BK$4),NA(),'Reaction Information'!$E$46-'Reaction Information'!$G$46*(Calculations!O123-Calculations!$C$8)-'Reaction Information'!$N$46*(Calculations!O123*LN(Calculations!O123/Calculations!$C$8)-Calculations!O123+Calculations!$C$8)-'Reaction Information'!$O$46*10^4*(((1/(Calculations!O123-Calculations!$C$13))-(1/(Calculations!$C$8-Calculations!$C$13)))*((Calculations!$C$13-Calculations!O123)/(Calculations!$C$13))-(Calculations!O123/(Calculations!$C$13*Calculations!$C$13))*LN((Calculations!$C$8*(Calculations!O123-Calculations!$C$13))/(Calculations!O123*(Calculations!$C$8-Calculations!$C$13))))+'Reaction Information'!$J$46*10^-1*(Calculations!$M123-Calculations!$C$9)+'Reaction Information'!$K$46*10^2*LN((Calculations!$C$12+Calculations!$M123)/(Calculations!$C$12+Calculations!$C$9))+(1/(Calculations!O123-Calculations!$C$13))*('Reaction Information'!$L$46*(Calculations!$M123-Calculations!$C$9)+'Reaction Information'!$M$46*10^4*LN((Calculations!$C$12+Calculations!$M123)/(Calculations!$C$12+Calculations!$C$9)))+calculateOmega(Calculations!M123,Calculations!N123,Calculations!Q123,'Reaction Information'!$C$46,'Reaction Information'!$P$46*10^5,'Reaction Information'!$Q$46)*((1/Calculations!S123)-1)-'Reaction Information'!$P$46*10^5*((1/Calculations!$C$10)-1)+'Reaction Information'!$P$46*10^5*Calculations!$C$14*(Calculations!O123-Calculations!$C$8))</f>
        <v>0</v>
      </c>
      <c r="AT123" s="8">
        <f>IF(ISBLANK(Input!$BN$4),NA(),'Reaction Information'!$E$50-'Reaction Information'!$G$50*(Calculations!O123-Calculations!$C$8)-'Reaction Information'!$N$50*(Calculations!O123*LN(Calculations!O123/Calculations!$C$8)-Calculations!O123+Calculations!$C$8)-'Reaction Information'!$O$50*10^4*(((1/(Calculations!O123-Calculations!$C$13))-(1/(Calculations!$C$8-Calculations!$C$13)))*((Calculations!$C$13-Calculations!O123)/(Calculations!$C$13))-(Calculations!O123/(Calculations!$C$13*Calculations!$C$13))*LN((Calculations!$C$8*(Calculations!O123-Calculations!$C$13))/(Calculations!O123*(Calculations!$C$8-Calculations!$C$13))))+'Reaction Information'!$J$50*10^-1*(Calculations!$M123-Calculations!$C$9)+'Reaction Information'!$K$50*10^2*LN((Calculations!$C$12+Calculations!$M123)/(Calculations!$C$12+Calculations!$C$9))+(1/(Calculations!O123-Calculations!$C$13))*('Reaction Information'!$L$50*(Calculations!$M123-Calculations!$C$9)+'Reaction Information'!$M$50*10^4*LN((Calculations!$C$12+Calculations!$M123)/(Calculations!$C$12+Calculations!$C$9)))+calculateOmega(Calculations!M123,Calculations!N123,Calculations!Q123,'Reaction Information'!$C$50,'Reaction Information'!$P$50*10^5,'Reaction Information'!$Q$50)*((1/Calculations!S123)-1)-'Reaction Information'!$P$50*10^5*((1/Calculations!$C$10)-1)+'Reaction Information'!$P$50*10^5*Calculations!$C$14*(Calculations!O123-Calculations!$C$8))</f>
        <v>-138252.45850248326</v>
      </c>
      <c r="AU123" s="8" t="e">
        <f>IF(ISBLANK(Input!$BQ$4),NA(),'Reaction Information'!$E$54-'Reaction Information'!$G$54*(Calculations!$O123-Calculations!$C$8)-'Reaction Information'!$N$54*(Calculations!$O123*LN(Calculations!$O123/Calculations!$C$8)-Calculations!$O123+Calculations!$C$8)-'Reaction Information'!$O$54*10^4*(((1/(Calculations!$O123-Calculations!$C$13))-(1/(Calculations!$C$8-Calculations!$C$13)))*((Calculations!$C$13-Calculations!$O123)/(Calculations!$C$13))-(Calculations!$O123/(Calculations!$C$13*Calculations!$C$13))*LN((Calculations!$C$8*(Calculations!$O123-Calculations!$C$13))/(Calculations!$O123*(Calculations!$C$8-Calculations!$C$13))))+'Reaction Information'!$J$54*10^-1*(Calculations!$M123-Calculations!$C$9)+'Reaction Information'!$K$54*10^2*LN((Calculations!$C$12+Calculations!$M123)/(Calculations!$C$12+Calculations!$C$9))+(1/(Calculations!$O123-Calculations!$C$13))*('Reaction Information'!$L$54*(Calculations!$M123-Calculations!$C$9)+'Reaction Information'!$M$54*10^4*LN((Calculations!$C$12+Calculations!$M123)/(Calculations!$C$12+Calculations!$C$9)))+calculateOmega(Calculations!M123,Calculations!N123,Calculations!Q123,'Reaction Information'!$C$54,'Reaction Information'!$P$54*10^5,'Reaction Information'!$Q$54)*((1/Calculations!$S123)-1)-'Reaction Information'!$P$54*10^5*((1/Calculations!$C$10)-1)+'Reaction Information'!$P$54*10^5*Calculations!$C$14*(Calculations!$O123-Calculations!$C$8))</f>
        <v>#N/A</v>
      </c>
      <c r="AV123" s="8" t="e">
        <f>IF(ISBLANK(Input!$BT$4),NA(),'Reaction Information'!$E$58-'Reaction Information'!$G$58*(Calculations!$O123-Calculations!$C$8)-'Reaction Information'!$N$58*(Calculations!$O123*LN(Calculations!$O123/Calculations!$C$8)-Calculations!$O123+Calculations!$C$8)-'Reaction Information'!$O$58*10^4*(((1/(Calculations!$O123-Calculations!$C$13))-(1/(Calculations!$C$8-Calculations!$C$13)))*((Calculations!$C$13-Calculations!$O123)/(Calculations!$C$13))-(Calculations!$O123/(Calculations!$C$13*Calculations!$C$13))*LN((Calculations!$C$8*(Calculations!$O123-Calculations!$C$13))/(Calculations!$O123*(Calculations!$C$8-Calculations!$C$13))))+'Reaction Information'!$J$58*10^-1*(Calculations!$M123-Calculations!$C$9)+'Reaction Information'!$K$58*10^2*LN((Calculations!$C$12+Calculations!$M123)/(Calculations!$C$12+Calculations!$C$9))+(1/(Calculations!$O123-Calculations!$C$13))*('Reaction Information'!$L$58*(Calculations!$M123-Calculations!$C$9)+'Reaction Information'!$M$58*10^4*LN((Calculations!$C$12+Calculations!$M123)/(Calculations!$C$12+Calculations!$C$9)))+calculateOmega(Calculations!M123,Calculations!N123,Calculations!Q123,'Reaction Information'!$C$58,'Reaction Information'!$P$58*10^5,'Reaction Information'!$Q$58)*((1/Calculations!$S123)-1)-'Reaction Information'!$P$58*10^5*((1/Calculations!$C$10)-1)+'Reaction Information'!$P$58*10^5*Calculations!$C$14*(Calculations!$O123-Calculations!$C$8))</f>
        <v>#N/A</v>
      </c>
      <c r="AW123" s="8" t="e">
        <f>IF(ISBLANK(Input!$BW$4),NA(),'Reaction Information'!$E$62-'Reaction Information'!$G$62*(Calculations!$O123-Calculations!$C$8)-'Reaction Information'!$N$62*(Calculations!$O123*LN(Calculations!$O123/Calculations!$C$8)-Calculations!$O123+Calculations!$C$8)-'Reaction Information'!$O$62*10^4*(((1/(Calculations!$O123-Calculations!$C$13))-(1/(Calculations!$C$8-Calculations!$C$13)))*((Calculations!$C$13-Calculations!$O123)/(Calculations!$C$13))-(Calculations!$O123/(Calculations!$C$13*Calculations!$C$13))*LN((Calculations!$C$8*(Calculations!$O123-Calculations!$C$13))/(Calculations!$O123*(Calculations!$C$8-Calculations!$C$13))))+'Reaction Information'!$J$62*10^-1*(Calculations!$M123-Calculations!$C$9)+'Reaction Information'!$K$62*10^2*LN((Calculations!$C$12+Calculations!$M123)/(Calculations!$C$12+Calculations!$C$9))+(1/(Calculations!$O123-Calculations!$C$13))*('Reaction Information'!$L$62*(Calculations!$M123-Calculations!$C$9)+'Reaction Information'!$M$62*10^4*LN((Calculations!$C$12+Calculations!$M123)/(Calculations!$C$12+Calculations!$C$9)))+calculateOmega(Calculations!M123,Calculations!N123,Calculations!Q123,'Reaction Information'!$C$62,'Reaction Information'!$P$62*10^5,'Reaction Information'!$Q$62)*((1/Calculations!$S123)-1)-'Reaction Information'!$P$62*10^5*((1/Calculations!$C$10)-1)+'Reaction Information'!$P$62*10^5*Calculations!$C$14*(Calculations!$O123-Calculations!$C$8))</f>
        <v>#N/A</v>
      </c>
      <c r="AX123" s="8" t="e">
        <f>IF(ISBLANK(Input!$BZ$4),NA(),'Reaction Information'!$E$66-'Reaction Information'!$G$66*(Calculations!$O123-Calculations!$C$8)-'Reaction Information'!$N$66*(Calculations!$O123*LN(Calculations!$O123/Calculations!$C$8)-Calculations!$O123+Calculations!$C$8)-'Reaction Information'!$O$66*10^4*(((1/(Calculations!$O123-Calculations!$C$13))-(1/(Calculations!$C$8-Calculations!$C$13)))*((Calculations!$C$13-Calculations!$O123)/(Calculations!$C$13))-(Calculations!$O123/(Calculations!$C$13*Calculations!$C$13))*LN((Calculations!$C$8*(Calculations!$O123-Calculations!$C$13))/(Calculations!$O123*(Calculations!$C$8-Calculations!$C$13))))+'Reaction Information'!$J$66*10^-1*(Calculations!$M123-Calculations!$C$9)+'Reaction Information'!$K$66*10^2*LN((Calculations!$C$12+Calculations!$M123)/(Calculations!$C$12+Calculations!$C$9))+(1/(Calculations!$O123-Calculations!$C$13))*('Reaction Information'!$L$66*(Calculations!$M123-Calculations!$C$9)+'Reaction Information'!$M$66*10^4*LN((Calculations!$C$12+Calculations!$M123)/(Calculations!$C$12+Calculations!$C$9)))+calculateOmega(Calculations!M123,Calculations!N123,Calculations!Q123,'Reaction Information'!$C$66,'Reaction Information'!$P$66*10^5,'Reaction Information'!$Q$66)*((1/Calculations!$S123)-1)-'Reaction Information'!$P$66*10^5*((1/Calculations!$C$10)-1)+'Reaction Information'!$P$66*10^5*Calculations!$C$14*(Calculations!$O123-Calculations!$C$8))</f>
        <v>#N/A</v>
      </c>
      <c r="AY123" s="31">
        <f>(AL123*Input!$AO$4+AM123*Input!$AR$4+AN123*Input!$AU$4+AO123*Input!$AX$4+IF(ISNA(AP123),0,AP123*Input!$BA$4)+IF(ISNA(AQ123),0,AQ123*Input!$BD$4)+IF(ISNA(AR123),0,AR123*Input!$BG$4)+IF(ISNA(AS123),0,AS123*Input!$BJ$4)+IF(ISNA(AT123),0,AT123*Input!$BM$4)+IF(ISNA(AU123),0,AU123*Input!$BP$4)+IF(ISNA(AV123),0,AV123*Input!$BS$4)+IF(ISNA(AW123),0,AW123*Input!$BV$4)+IF(ISNA(AX123),0,AX123*Input!$BY$4))-(Y123*Input!$B$4+Z123*Input!$E$4+AA123*Input!$H$4+AB123*Input!$K$4+IF(ISNA(AC123),0,AC123*Input!$N$4)+IF(ISNA(AD123),0,AD123*Input!$Q$4)+IF(ISNA(AE123),0,AE123*Input!$T$4)+IF(ISNA(AF123),0,AF123*Input!$W$4)+IF(ISNA(AG123),0,AG123*Input!$Z$4)+IF(ISNA(AH123),0,AH123*Input!$AC$4)+IF(ISNA(AI123),0,AI123*Input!$AF$4)+IF(ISNA(AJ123),0,AJ123*Input!$AI$4)+IF(ISNA(AK123),0,AK123*Input!$AL$4))</f>
        <v>27817.034131400404</v>
      </c>
      <c r="AZ123" s="42">
        <f t="shared" si="35"/>
        <v>-5.1854822500534548</v>
      </c>
      <c r="BA123" s="1">
        <f t="shared" si="27"/>
        <v>900</v>
      </c>
      <c r="BB123" s="46">
        <f t="shared" si="28"/>
        <v>40000</v>
      </c>
      <c r="BC123" s="1"/>
      <c r="BD123" s="2">
        <f t="shared" si="29"/>
        <v>40000</v>
      </c>
      <c r="BE123" s="46">
        <f t="shared" si="30"/>
        <v>900</v>
      </c>
      <c r="BF123" s="1">
        <f>Results!AJ125</f>
        <v>0</v>
      </c>
      <c r="BG123" s="1">
        <f>Results!AK125</f>
        <v>0</v>
      </c>
      <c r="BH123" s="1">
        <f>Results!AL125</f>
        <v>0</v>
      </c>
      <c r="BI123" s="1">
        <f>Results!AM125</f>
        <v>0</v>
      </c>
      <c r="BJ123" s="1" t="e">
        <f>IF(OR(ISNA('Reaction Information'!$D$5), $N123 = "", $D$27 = FALSE, 'Reaction Information'!$D$5 = ""), NA(), 24.465)</f>
        <v>#N/A</v>
      </c>
      <c r="BK123" s="1" t="e">
        <f>IF(OR(ISNA('Reaction Information'!$D$9), $N123 = "", $D$27 = FALSE, 'Reaction Information'!$D$9 = ""), NA(), 24.465)</f>
        <v>#N/A</v>
      </c>
      <c r="BL123" s="8">
        <f t="shared" si="36"/>
        <v>14.532744816805659</v>
      </c>
      <c r="BM123" s="8">
        <f>IF(OR(ISBLANK(Input!$X$4),$D$27=FALSE),NA(),('Reaction Information'!$J$13/10+'Reaction Information'!$K$13*100/(Calculations!$C$12+Calculations!$M123)+('Reaction Information'!$L$13+'Reaction Information'!$M$13*10^4/(Calculations!$C$12+Calculations!$M123))/(Calculations!$O123-Calculations!$C$13) -calculateOmega(Calculations!$M123,Calculations!$N123,Calculations!$Q123,'Reaction Information'!$C$13,'Reaction Information'!$P$13*10^5,'Reaction Information'!$Q$13)*Calculations!$U123*10^-6 + (1/$S123 - 1)*calculate_domegadP(Calculations!$M123,Calculations!$N123,Calculations!$Q123,'Reaction Information'!$C$13,'Reaction Information'!$P$13*10^5,'Reaction Information'!$Q$13,$D$20,$D$19=3))*41.84)</f>
        <v>30.32694044875058</v>
      </c>
      <c r="BN123" s="8" t="e">
        <f>IF(OR(ISBLANK(Input!$AA$4),$D$27=FALSE),NA(),('Reaction Information'!$J$17/10+'Reaction Information'!$K$17*100/(Calculations!$C$12+Calculations!$M123)+('Reaction Information'!$L$17+'Reaction Information'!$M$17*10000/(Calculations!$C$12+Calculations!$M123))/(Calculations!$O123-Calculations!$C$13)-calculateOmega(Calculations!M123,Calculations!N123,Calculations!Q123,'Reaction Information'!$C$17,'Reaction Information'!$P$17*10^5,'Reaction Information'!$Q$17)*Calculations!$U123*10^-6 + (1/$S123 - 1)*calculate_domegadP(Calculations!M123,Calculations!N123,Calculations!Q123,'Reaction Information'!$C$17,'Reaction Information'!$P$17*10^5,'Reaction Information'!$Q$17,$D$20,$D$19=3))*41.84)</f>
        <v>#N/A</v>
      </c>
      <c r="BO123" s="8" t="e">
        <f>IF(OR(ISBLANK(Input!$AD$4),$D$27=FALSE),NA(),('Reaction Information'!$J$21/10+'Reaction Information'!$K$21*100/(Calculations!$C$12+Calculations!$M123)+('Reaction Information'!$L$21+'Reaction Information'!$M$21*10000/(Calculations!$C$12+Calculations!$M123))/(Calculations!$O123-Calculations!$C$13)-calculateOmega(Calculations!M123,Calculations!N123,Calculations!Q123,'Reaction Information'!$C$21,'Reaction Information'!$P$21*10^5,'Reaction Information'!$Q$21)*Calculations!$U123*10^-6 + (1/$S123 - 1)*calculate_domegadP(Calculations!M123,Calculations!N123,Calculations!Q123,'Reaction Information'!$C$21,'Reaction Information'!$P$21*10^5,'Reaction Information'!$Q$21,$D$20,$D$19=3))*41.84)</f>
        <v>#N/A</v>
      </c>
      <c r="BP123" s="8" t="e">
        <f>IF(OR(ISBLANK(Input!$AG$4),$D$27=FALSE),NA(),('Reaction Information'!$J$25/10+'Reaction Information'!$K$25*100/(Calculations!$C$12+Calculations!$M123)+('Reaction Information'!$L$25+'Reaction Information'!$M$25*10000/(Calculations!$C$12+Calculations!$M123))/(Calculations!$O123-Calculations!$C$13)-calculateOmega(Calculations!M123,Calculations!N123,Calculations!Q123,'Reaction Information'!$C$25,'Reaction Information'!$P$25*10^5,'Reaction Information'!$Q$25)*Calculations!$U123*10^-6 + (1/$S123 - 1)*calculate_domegadP(Calculations!M123,Calculations!N123,Calculations!Q123,'Reaction Information'!$C$25,'Reaction Information'!$P$25*10^5,'Reaction Information'!$Q$25,$D$20,$D$19=3))*41.84)</f>
        <v>#N/A</v>
      </c>
      <c r="BQ123" s="8" t="e">
        <f>IF(OR(ISBLANK(Input!$AJ$4),$D$27=FALSE),NA(),('Reaction Information'!$J$29/10+'Reaction Information'!$K$29*100/(Calculations!$C$12+Calculations!$M123)+('Reaction Information'!$L$29+'Reaction Information'!$M$29*10000/(Calculations!$C$12+Calculations!$M123))/(Calculations!$O123-Calculations!$C$13)-calculateOmega(Calculations!M123,Calculations!N123,Calculations!Q123,'Reaction Information'!$C$29,'Reaction Information'!$P$29*10^5,'Reaction Information'!$Q$29)*Calculations!$U123*10^-6 + (1/$S123 - 1)*calculate_domegadP(Calculations!M123,Calculations!N123,Calculations!Q123,'Reaction Information'!$C$29,'Reaction Information'!$P$29*10^5,'Reaction Information'!$Q$29,$D$20,$D$19=3))*41.84)</f>
        <v>#N/A</v>
      </c>
      <c r="BR123" s="8" t="e">
        <f>IF(OR(ISBLANK(Input!$AM$4),$D$27=FALSE),NA(),('Reaction Information'!$J$33/10+'Reaction Information'!$K$33*100/(Calculations!$C$12+Calculations!$M123)+('Reaction Information'!$L$33+'Reaction Information'!$M$33*10000/(Calculations!$C$12+Calculations!$M123))/(Calculations!$O123-Calculations!$C$13)-calculateOmega(Calculations!M123,Calculations!N123,Calculations!Q123,'Reaction Information'!$C$33,'Reaction Information'!$P$33*10^5,'Reaction Information'!$Q$33)*Calculations!$U123*10^-6 + (1/$S123 - 1)*calculate_domegadP(Calculations!M123,Calculations!N123,Calculations!Q123,'Reaction Information'!$C$33,'Reaction Information'!$P$33*10^5,'Reaction Information'!$Q$33,$D$20,$D$19=3))*41.84)</f>
        <v>#N/A</v>
      </c>
      <c r="BS123" s="1">
        <f>Results!AW125</f>
        <v>0</v>
      </c>
      <c r="BT123" s="1">
        <f>Results!AX125</f>
        <v>0</v>
      </c>
      <c r="BU123" s="1">
        <f>Results!AY125</f>
        <v>0</v>
      </c>
      <c r="BV123" s="1">
        <f>Results!AZ125</f>
        <v>0</v>
      </c>
      <c r="BW123" s="1" t="e">
        <f>IF(OR(ISNA('Reaction Information'!$D$38), $N123 = "", $D$27 = FALSE, 'Reaction Information'!$D$38 = ""), NA(), 24.465)</f>
        <v>#N/A</v>
      </c>
      <c r="BX123" s="1" t="e">
        <f>IF(OR(ISNA('Reaction Information'!$D$42), $N123 = "", $D$27 = FALSE, 'Reaction Information'!$D$42 = ""), NA(), 24.465)</f>
        <v>#N/A</v>
      </c>
      <c r="BY123" s="8" t="e">
        <f t="shared" si="37"/>
        <v>#N/A</v>
      </c>
      <c r="BZ123" s="8">
        <f>IF(OR(ISBLANK(Input!$BK$4),$D$27=FALSE),NA(),('Reaction Information'!$J$46/10+'Reaction Information'!$K$46*100/(Calculations!$C$12+Calculations!$M123)+('Reaction Information'!$L$46+'Reaction Information'!$M$46*10000/(Calculations!$C$12+Calculations!$M123))/(Calculations!$O123-Calculations!$C$13)-calculateOmega(Calculations!M123,Calculations!N123,Calculations!Q123,'Reaction Information'!$C$46,'Reaction Information'!$P$46*10^5,'Reaction Information'!$Q$46)*Calculations!$U123*10^-6 + (1/$S123 - 1)*calculate_domegadP(Calculations!M123,Calculations!N123,Calculations!Q123,'Reaction Information'!$C$46,'Reaction Information'!$P$46*10^5,'Reaction Information'!$Q$46,$D$20,$D$19=3))*41.84)</f>
        <v>0</v>
      </c>
      <c r="CA123" s="8">
        <f>IF(OR(ISBLANK(Input!$BN$4),$D$27=FALSE),NA(),('Reaction Information'!$J$50/10+'Reaction Information'!$K$50*100/(Calculations!$C$12+Calculations!$M123)+('Reaction Information'!$L$50+'Reaction Information'!$M$50*10000/(Calculations!$C$12+Calculations!$M123))/(Calculations!$O123-Calculations!$C$13)-calculateOmega(Calculations!M123,Calculations!N123,Calculations!Q123,'Reaction Information'!$C$50,'Reaction Information'!$P$50*10^5,'Reaction Information'!$Q$50)*Calculations!$U123*10^-6 + (1/$S123 - 1)*calculate_domegadP(Calculations!M123,Calculations!N123,Calculations!Q123,'Reaction Information'!$C$50,'Reaction Information'!$P$50*10^5,'Reaction Information'!$Q$50,$D$20,$D$19=3))*41.84)</f>
        <v>30.716538590065657</v>
      </c>
      <c r="CB123" s="8" t="e">
        <f>IF(OR(ISBLANK(Input!$BQ$4),$D$27=FALSE),NA(),('Reaction Information'!$J$54/10+'Reaction Information'!$K$54*100/(Calculations!$C$12+Calculations!$M123)+('Reaction Information'!$L$54+'Reaction Information'!$M$54*10000/(Calculations!$C$12+Calculations!$M123))/(Calculations!$O123-Calculations!$C$13)-calculateOmega(Calculations!M123,Calculations!N123,Calculations!Q123,'Reaction Information'!$C$54,'Reaction Information'!$P$54*10^5,'Reaction Information'!$Q$54)*Calculations!$U123*10^-6 + (1/$S123 - 1)*calculate_domegadP(Calculations!M123,Calculations!N123,Calculations!Q123,'Reaction Information'!$C$54,'Reaction Information'!$P$54*10^5,'Reaction Information'!$Q$54,$D$20,$D$19=3))*41.84)</f>
        <v>#N/A</v>
      </c>
      <c r="CC123" s="8" t="e">
        <f>IF(OR(ISBLANK(Input!$BT$4),$D$27=FALSE),NA(),('Reaction Information'!$J$58/10+'Reaction Information'!$K$58*100/(Calculations!$C$12+Calculations!$M123)+('Reaction Information'!$L$58+'Reaction Information'!$M$58*10000/(Calculations!$C$12+Calculations!$M123))/(Calculations!$O123-Calculations!$C$13)-calculateOmega(Calculations!M123,Calculations!N123,Calculations!Q123,'Reaction Information'!$C$58,'Reaction Information'!$P$58*10^5,'Reaction Information'!$Q$58)*Calculations!$U123*10^-6 + (1/$S123 - 1)*calculate_domegadP(Calculations!M123,Calculations!N123,Calculations!Q123,'Reaction Information'!$C$58,'Reaction Information'!$P$58*10^5,'Reaction Information'!$Q$58,$D$20,$D$19=3))*41.84)</f>
        <v>#N/A</v>
      </c>
      <c r="CD123" s="8" t="e">
        <f>IF(OR(ISBLANK(Input!$BW$4),$D$27=FALSE),NA(),('Reaction Information'!$J$62/10+'Reaction Information'!$K$62*100/(Calculations!$C$12+Calculations!$M123)+('Reaction Information'!$L$62+'Reaction Information'!$M$62*10000/(Calculations!$C$12+Calculations!$M123))/(Calculations!$O123-Calculations!$C$13)-calculateOmega(Calculations!M123,Calculations!N123,Calculations!Q123,'Reaction Information'!$C$62,'Reaction Information'!$P$62*10^5,'Reaction Information'!$Q$62)*Calculations!$U123*10^-6 + (1/$S123 - 1)*calculate_domegadP(Calculations!M123,Calculations!N123,Calculations!Q123,'Reaction Information'!$C$62,'Reaction Information'!$P$62*10^5,'Reaction Information'!$Q$62,$D$20,$D$19=3))*41.84)</f>
        <v>#N/A</v>
      </c>
      <c r="CE123" s="8" t="e">
        <f>IF(OR(ISBLANK(Input!$BZ$4),$D$27=FALSE),NA(),('Reaction Information'!$J$66/10+'Reaction Information'!$K$66*100/(Calculations!$C$12+Calculations!$M123)+('Reaction Information'!$L$66+'Reaction Information'!$M$66*10000/(Calculations!$C$12+Calculations!$M123))/(Calculations!$O123-Calculations!$C$13)-calculateOmega(Calculations!M123,Calculations!N123,Calculations!Q123,'Reaction Information'!$C$66,'Reaction Information'!$P$66*10^5,'Reaction Information'!$Q$66)*Calculations!$U123*10^-6 + (1/$S123 - 1)*calculate_domegadP(Calculations!M123,Calculations!N123,Calculations!Q123,'Reaction Information'!$C$66,'Reaction Information'!$P$66*10^5,'Reaction Information'!$Q$66,$D$20,$D$19=3))*41.84)</f>
        <v>#N/A</v>
      </c>
      <c r="CF123" s="31">
        <f>(BS123*Input!$AO$4+BT123*Input!$AR$4+BU123*Input!$AU$4+BV123*Input!$AX$4+IF(ISNA(BW123),0,BW123*Input!$BA$4)+IF(ISNA(BX123),0,BX123*Input!$BD$4)+IF(ISNA(BY123),0,BY123*Input!$BG$4)+IF(ISNA(BZ123),0,BZ123*Input!$BJ$4)+IF(ISNA(CA123),0,CA123*Input!$BM$4)+IF(ISNA(CB123),0,CB123*Input!$BP$4)+IF(ISNA(CC123),0,CC123*Input!$BS$4)+IF(ISNA(CD123),0,CD123*Input!$BV$4)+IF(ISNA(CE123),0,CE123*Input!$BY$4))-(BF123*Input!$B$4+BG123*Input!$E$4+BH123*Input!$H$4+BI123*Input!$K$4+IF(ISNA(BJ123),0,BJ123*Input!$N$4)+IF(ISNA(BK123),0,BK123*Input!$Q$4)+IF(ISNA(BL123),0,BL123*Input!$T$4)+IF(ISNA(BM123),0,BM123*Input!$W$4)+IF(ISNA(BN123),0,BN123*Input!$Z$4)+IF(ISNA(BO123),0,BO123*Input!$AC$4)+IF(ISNA(BP123),0,BP123*Input!$AF$4)+IF(ISNA(BQ123),0,BQ123*Input!$AI$4)+IF(ISNA(BR123),0,BR123*Input!$AL$4))</f>
        <v>-14.143146675490581</v>
      </c>
      <c r="CG123" s="1">
        <f t="shared" si="31"/>
        <v>900</v>
      </c>
      <c r="CH123" s="46">
        <f t="shared" si="32"/>
        <v>40000</v>
      </c>
      <c r="CI123" s="1"/>
    </row>
    <row r="124" spans="1:87" x14ac:dyDescent="0.2">
      <c r="A124" s="1"/>
      <c r="B124" s="1"/>
      <c r="C124" s="1"/>
      <c r="D124" s="1"/>
      <c r="E124" s="1"/>
      <c r="F124" s="2">
        <v>119</v>
      </c>
      <c r="G124" s="1" t="str">
        <f>IF(ISBLANK(Input!CB124), "", Input!CB124*1000)</f>
        <v/>
      </c>
      <c r="H124" s="1" t="str">
        <f>IF(ISBLANK(Input!CC124), "", Input!CC124)</f>
        <v/>
      </c>
      <c r="I124" s="1">
        <f>IF(Input!$CF$5 + Input!$CF$6*(FLOOR((Calculations!$F124-1)/(FLOOR((Input!$CF$12-Input!$CF$10)/Input!$CF$11,1)+1),1)) &gt; Input!$CF$7, "", (Input!$CF$5 + Input!$CF$6*(FLOOR((Calculations!$F124-1)/(FLOOR((Input!$CF$12-Input!$CF$10)/Input!$CF$11,1)+1),1)))*1000)</f>
        <v>40000</v>
      </c>
      <c r="J124" s="1">
        <f>IF(Calculations!I124 = "", "", Input!$CF$10 + Input!$CF$11*(Calculations!$F124-1) - (FLOOR((Input!$CF$12-Input!$CF$10)/Input!$CF$11,1)+1)*Input!$CF$11*FLOOR((Calculations!$F124-1)/(FLOOR((Input!$CF$12-Input!$CF$10)/Input!$CF$11,1)+1),1))</f>
        <v>950</v>
      </c>
      <c r="K124" s="8" t="str">
        <f t="shared" si="33"/>
        <v/>
      </c>
      <c r="L124" s="117" t="str">
        <f>IF(OR(Input!$CJ$5 + Input!$CJ$6*(Calculations!F124-1) &gt; Input!$CJ$7, Input!$CJ$5 + Input!$CJ$6*(Calculations!F124-1) &gt; 350), "", Input!$CJ$5 + Input!$CJ$6*(Calculations!F124-1))</f>
        <v/>
      </c>
      <c r="M124" s="1">
        <f t="shared" si="23"/>
        <v>40000</v>
      </c>
      <c r="N124" s="1">
        <f t="shared" si="24"/>
        <v>950</v>
      </c>
      <c r="O124" s="1">
        <f t="shared" si="34"/>
        <v>1223.1500000000001</v>
      </c>
      <c r="P124" s="1" t="e">
        <f>IF(OR($D$20=3,AND($D$21=TRUE,M124&lt;1000)),INDEX('Water Density'!$C$6:$CX$120,MATCH(Calculations!N124,'Water Density'!$B$6:$B$120),MATCH(Calculations!M124/1000,'Water Density'!$C$5:$CX$5)),NA())</f>
        <v>#N/A</v>
      </c>
      <c r="Q124" s="182">
        <f>IF(OR($D$20=3,AND($D$21=TRUE,M124&lt;1000)), IF(P124&lt;&gt;0,P124,NA()), calculateDensity(M124,N124,$D$20,0.01,$D$19 = 3))</f>
        <v>1.2270872547668219</v>
      </c>
      <c r="R124" s="1" t="e">
        <f>IF($D$22=5,INDEX('Dielectric Constant'!$C$6:$CX$120,MATCH(Calculations!N124,'Dielectric Constant'!$B$6:$B$120),MATCH(Calculations!M124/1000,'Dielectric Constant'!$C$5:$CX$5)),NA())</f>
        <v>#N/A</v>
      </c>
      <c r="S124" s="58">
        <f>IF($D$22=5, IF(R124&lt;&gt;0,R124,NA()), IF(AND($D$23,M124&lt;=5000,$D$19 &lt;&gt; 3),calculateEpsilon(Q124,N124,1,FALSE),calculateEpsilon(Q124,N124,$D$22,$D$19 = 3)))</f>
        <v>16.96946635871414</v>
      </c>
      <c r="T124" s="1" t="e">
        <f>IF($D$24=3,INDEX('Water Free Energy'!$C$6:$CX$120,MATCH(Calculations!N124,'Water Free Energy'!$B$6:$B$120),MATCH(Calculations!M124/1000,'Water Free Energy'!$C$5:$CX$5)),NA())</f>
        <v>#N/A</v>
      </c>
      <c r="U124" s="179">
        <f>IF($D$27,calculateQ(M124,N124,Q124,$D$20,$D$22,$D$19=3)*10^6,NA())</f>
        <v>0.27366553165275997</v>
      </c>
      <c r="V124"/>
      <c r="W124" s="2">
        <f t="shared" si="25"/>
        <v>40000</v>
      </c>
      <c r="X124" s="1">
        <f t="shared" si="26"/>
        <v>950</v>
      </c>
      <c r="Y124" s="1">
        <f>Results!F126</f>
        <v>0</v>
      </c>
      <c r="Z124" s="1">
        <f>Results!G126</f>
        <v>0</v>
      </c>
      <c r="AA124" s="1">
        <f>Results!H126</f>
        <v>0</v>
      </c>
      <c r="AB124" s="1">
        <f>Results!I126</f>
        <v>0</v>
      </c>
      <c r="AC124" s="1" t="e">
        <f>IF(ISBLANK(Input!$O$4),NA(),'Reaction Information'!$E$5-'Reaction Information'!$G$5*(Calculations!$O124-Calculations!$C$8)+'Reaction Information'!$I$5*(Calculations!$O124-Calculations!$C$8-Calculations!$O124*LN(Calculations!$O124/Calculations!$C$8))+'Reaction Information'!$J$5*0.001/2*(2*Calculations!$O124*Calculations!$C$8-Calculations!$O124^2-Calculations!$C$8^2) + 'Reaction Information'!$K$5*100000*(Calculations!$O124^2 + Calculations!$C$8^2 - 2*Calculations!$O124*Calculations!$C$8)/(2*Calculations!$O124*Calculations!$C$8^2))</f>
        <v>#N/A</v>
      </c>
      <c r="AD124" s="8" t="e">
        <f>IF(ISBLANK(Input!$R$4),NA(),'Reaction Information'!$E$9-'Reaction Information'!$G$9*(Calculations!$O124-Calculations!$C$8)+'Reaction Information'!$I$9*(Calculations!$O124-Calculations!$C$8-Calculations!$O124*LN(Calculations!$O124/Calculations!$C$8))+'Reaction Information'!$J$9*0.001/2*(2*Calculations!$O124*Calculations!$C$8-Calculations!$O124^2-Calculations!$C$8^2) + 'Reaction Information'!$K$9*100000*(Calculations!$O124^2 + Calculations!$C$8^2 - 2*Calculations!$O124*Calculations!$C$8)/(2*Calculations!$O124*Calculations!$C$8^2))</f>
        <v>#N/A</v>
      </c>
      <c r="AE124" s="8">
        <f>IF(AE$5="H2O",IF($D$24=3,IF(T124=0,NA(),T124),calculateGibbsOfWater(M124,N124,$D$24,$D$20,$D$19=3)),NA())</f>
        <v>-66995.62671810553</v>
      </c>
      <c r="AF124" s="8">
        <f>IF(ISBLANK(Input!$X$4),NA(),'Reaction Information'!$E$13-'Reaction Information'!$G$13*(Calculations!O124-Calculations!$C$8)-'Reaction Information'!$N$13*(Calculations!O124*LN(Calculations!O124/Calculations!$C$8)-Calculations!O124+Calculations!$C$8)-'Reaction Information'!$O$13*10^4*(((1/(Calculations!O124-Calculations!$C$13))-(1/(Calculations!$C$8-Calculations!$C$13)))*((Calculations!$C$13-Calculations!O124)/(Calculations!$C$13))-(Calculations!O124/(Calculations!$C$13*Calculations!$C$13))*LN((Calculations!$C$8*(Calculations!O124-Calculations!$C$13))/(Calculations!O124*(Calculations!$C$8-Calculations!$C$13))))+'Reaction Information'!$J$13*10^-1*(Calculations!M124-Calculations!$C$9)+'Reaction Information'!$K$13*10^2*LN((Calculations!$C$12+Calculations!M124)/(Calculations!$C$12+Calculations!$C$9))+(1/(Calculations!O124-Calculations!$C$13))*('Reaction Information'!$L$13*(Calculations!M124-Calculations!$C$9)+'Reaction Information'!$M$13*10^4*LN((Calculations!$C$12+Calculations!M124)/(Calculations!$C$12+Calculations!$C$9)))+calculateOmega(Calculations!M124,Calculations!N124,Calculations!Q124,'Reaction Information'!$C$13,'Reaction Information'!$P$13*10^5,'Reaction Information'!$Q$13)*((1/Calculations!S124)-1)-'Reaction Information'!$P$13*10^5*((1/Calculations!$C$10)-1)+'Reaction Information'!$P$13*10^5*Calculations!$C$14*(Calculations!O124-Calculations!$C$8))</f>
        <v>-103268.28226170593</v>
      </c>
      <c r="AG124" s="8" t="e">
        <f>IF(ISBLANK(Input!$AA$4),NA(),'Reaction Information'!$E$17-'Reaction Information'!$G$17*(Calculations!$O124-Calculations!$C$8)-'Reaction Information'!$N$17*(Calculations!$O124*LN(Calculations!$O124/Calculations!$C$8)-Calculations!$O124+Calculations!$C$8)-'Reaction Information'!$O$17*10^4*(((1/(Calculations!$O124-Calculations!$C$13))-(1/(Calculations!$C$8-Calculations!$C$13)))*((Calculations!$C$13-Calculations!$O124)/(Calculations!$C$13))-(Calculations!$O124/(Calculations!$C$13*Calculations!$C$13))*LN((Calculations!$C$8*(Calculations!$O124-Calculations!$C$13))/(Calculations!$O124*(Calculations!$C$8-Calculations!$C$13))))+'Reaction Information'!$J$17*10^-1*(Calculations!$M124-Calculations!$C$9)+'Reaction Information'!$K$17*10^2*LN((Calculations!$C$12+Calculations!$M124)/(Calculations!$C$12+Calculations!$C$9))+(1/(Calculations!$O124-Calculations!$C$13))*('Reaction Information'!$L$17*(Calculations!$M124-Calculations!$C$9)+'Reaction Information'!$M$17*10^4*LN((Calculations!$C$12+Calculations!$M124)/(Calculations!$C$12+Calculations!$C$9)))+calculateOmega(Calculations!M124,Calculations!N124,Calculations!Q124,'Reaction Information'!$C$17,'Reaction Information'!$P$17*10^5,'Reaction Information'!$Q$17)*((1/Calculations!$S124)-1)-'Reaction Information'!$P$17*10^5*((1/Calculations!$C$10)-1)+'Reaction Information'!$P$17*10^5*Calculations!$C$14*(Calculations!$O124-Calculations!$C$8))</f>
        <v>#N/A</v>
      </c>
      <c r="AH124" s="8" t="e">
        <f>IF(ISBLANK(Input!$AD$4),NA(),'Reaction Information'!$E$21-'Reaction Information'!$G$21*(Calculations!$O124-Calculations!$C$8)-'Reaction Information'!$N$21*(Calculations!$O124*LN(Calculations!$O124/Calculations!$C$8)-Calculations!$O124+Calculations!$C$8)-'Reaction Information'!$O$21*10^4*(((1/(Calculations!$O124-Calculations!$C$13))-(1/(Calculations!$C$8-Calculations!$C$13)))*((Calculations!$C$13-Calculations!$O124)/(Calculations!$C$13))-(Calculations!$O124/(Calculations!$C$13*Calculations!$C$13))*LN((Calculations!$C$8*(Calculations!$O124-Calculations!$C$13))/(Calculations!$O124*(Calculations!$C$8-Calculations!$C$13))))+'Reaction Information'!$J$21*10^-1*(Calculations!$M124-Calculations!$C$9)+'Reaction Information'!$K$21*10^2*LN((Calculations!$C$12+Calculations!$M124)/(Calculations!$C$12+Calculations!$C$9))+(1/(Calculations!$O124-Calculations!$C$13))*('Reaction Information'!$L$21*(Calculations!$M124-Calculations!$C$9)+'Reaction Information'!$M$21*10^4*LN((Calculations!$C$12+Calculations!$M124)/(Calculations!$C$12+Calculations!$C$9)))+calculateOmega(Calculations!M124,Calculations!N124,Calculations!Q124,'Reaction Information'!$C$21,'Reaction Information'!$P$21*10^5,'Reaction Information'!$Q$21)*((1/Calculations!$S124)-1)-'Reaction Information'!$P$21*10^5*((1/Calculations!$C$10)-1)+'Reaction Information'!$P$21*10^5*Calculations!$C$14*(Calculations!$O124-Calculations!$C$8))</f>
        <v>#N/A</v>
      </c>
      <c r="AI124" s="8" t="e">
        <f>IF(ISBLANK(Input!$AG$4),NA(),'Reaction Information'!$E$25-'Reaction Information'!$G$25*(Calculations!$O124-Calculations!$C$8)-'Reaction Information'!$N$25*(Calculations!$O124*LN(Calculations!$O124/Calculations!$C$8)-Calculations!$O124+Calculations!$C$8)-'Reaction Information'!$O$25*10^4*(((1/(Calculations!$O124-Calculations!$C$13))-(1/(Calculations!$C$8-Calculations!$C$13)))*((Calculations!$C$13-Calculations!$O124)/(Calculations!$C$13))-(Calculations!$O124/(Calculations!$C$13*Calculations!$C$13))*LN((Calculations!$C$8*(Calculations!$O124-Calculations!$C$13))/(Calculations!$O124*(Calculations!$C$8-Calculations!$C$13))))+'Reaction Information'!$J$25*10^-1*(Calculations!$M124-Calculations!$C$9)+'Reaction Information'!$K$25*10^2*LN((Calculations!$C$12+Calculations!$M124)/(Calculations!$C$12+Calculations!$C$9))+(1/(Calculations!$O124-Calculations!$C$13))*('Reaction Information'!$L$25*(Calculations!$M124-Calculations!$C$9)+'Reaction Information'!$M$25*10^4*LN((Calculations!$C$12+Calculations!$M124)/(Calculations!$C$12+Calculations!$C$9)))+calculateOmega(Calculations!M124,Calculations!N124,Calculations!Q124,'Reaction Information'!$C$25,'Reaction Information'!$P$25*10^5,'Reaction Information'!$Q$25)*((1/Calculations!$S124)-1)-'Reaction Information'!$P$25*10^5*((1/Calculations!$C$10)-1)+'Reaction Information'!$P$25*10^5*Calculations!$C$14*(Calculations!$O124-Calculations!$C$8))</f>
        <v>#N/A</v>
      </c>
      <c r="AJ124" s="8" t="e">
        <f>IF(ISBLANK(Input!$AJ$4),NA(),'Reaction Information'!$E$29-'Reaction Information'!$G$29*(Calculations!$O124-Calculations!$C$8)-'Reaction Information'!$N$29*(Calculations!$O124*LN(Calculations!$O124/Calculations!$C$8)-Calculations!$O124+Calculations!$C$8)-'Reaction Information'!$O$29*10^4*(((1/(Calculations!$O124-Calculations!$C$13))-(1/(Calculations!$C$8-Calculations!$C$13)))*((Calculations!$C$13-Calculations!$O124)/(Calculations!$C$13))-(Calculations!$O124/(Calculations!$C$13*Calculations!$C$13))*LN((Calculations!$C$8*(Calculations!$O124-Calculations!$C$13))/(Calculations!$O124*(Calculations!$C$8-Calculations!$C$13))))+'Reaction Information'!$J$29*10^-1*(Calculations!$M124-Calculations!$C$9)+'Reaction Information'!$K$29*10^2*LN((Calculations!$C$12+Calculations!$M124)/(Calculations!$C$12+Calculations!$C$9))+(1/(Calculations!$O124-Calculations!$C$13))*('Reaction Information'!$L$29*(Calculations!$M124-Calculations!$C$9)+'Reaction Information'!$M$29*10^4*LN((Calculations!$C$12+Calculations!$M124)/(Calculations!$C$12+Calculations!$C$9)))+calculateOmega(Calculations!M124,Calculations!N124,Calculations!Q124,'Reaction Information'!$C$29,'Reaction Information'!$P$29*10^5,'Reaction Information'!$Q$29)*((1/Calculations!$S124)-1)-'Reaction Information'!$P$29*10^5*((1/Calculations!$C$10)-1)+'Reaction Information'!$P$29*10^5*Calculations!$C$14*(Calculations!$O124-Calculations!$C$8))</f>
        <v>#N/A</v>
      </c>
      <c r="AK124" s="8" t="e">
        <f>IF(ISBLANK(Input!$AM$4),NA(),'Reaction Information'!$E$33-'Reaction Information'!$G$33*(Calculations!$O124-Calculations!$C$8)-'Reaction Information'!$N$33*(Calculations!$O124*LN(Calculations!$O124/Calculations!$C$8)-Calculations!$O124+Calculations!$C$8)-'Reaction Information'!$O$33*10^4*(((1/(Calculations!$O124-Calculations!$C$13))-(1/(Calculations!$C$8-Calculations!$C$13)))*((Calculations!$C$13-Calculations!$O124)/(Calculations!$C$13))-(Calculations!$O124/(Calculations!$C$13*Calculations!$C$13))*LN((Calculations!$C$8*(Calculations!$O124-Calculations!$C$13))/(Calculations!$O124*(Calculations!$C$8-Calculations!$C$13))))+'Reaction Information'!$J$33*10^-1*(Calculations!$M124-Calculations!$C$9)+'Reaction Information'!$K$33*10^2*LN((Calculations!$C$12+Calculations!$M124)/(Calculations!$C$12+Calculations!$C$9))+(1/(Calculations!$O124-Calculations!$C$13))*('Reaction Information'!$L$33*(Calculations!$M124-Calculations!$C$9)+'Reaction Information'!$M$33*10^4*LN((Calculations!$C$12+Calculations!$M124)/(Calculations!$C$12+Calculations!$C$9)))+calculateOmega(Calculations!M124,Calculations!N124,Calculations!Q124,'Reaction Information'!$C$33,'Reaction Information'!$P$33*10^5,'Reaction Information'!$Q$33)*((1/Calculations!$S124)-1)-'Reaction Information'!$P$33*10^5*((1/Calculations!$C$10)-1)+'Reaction Information'!$P$33*10^5*Calculations!$C$14*(Calculations!$O124-Calculations!$C$8))</f>
        <v>#N/A</v>
      </c>
      <c r="AL124" s="1">
        <f>Results!S126</f>
        <v>0</v>
      </c>
      <c r="AM124" s="1">
        <f>Results!T126</f>
        <v>0</v>
      </c>
      <c r="AN124" s="1">
        <f>Results!U126</f>
        <v>0</v>
      </c>
      <c r="AO124" s="1">
        <f>Results!V126</f>
        <v>0</v>
      </c>
      <c r="AP124" s="8" t="e">
        <f>IF(ISBLANK(Input!$BB$4),NA(),'Reaction Information'!$E$38-'Reaction Information'!$G$38*(Calculations!$O124-Calculations!$C$8)+'Reaction Information'!$I$38*(Calculations!$O124-Calculations!$C$8-Calculations!$O124*LN(Calculations!$O124/Calculations!$C$8))+'Reaction Information'!$J$38*0.001/2*(2*Calculations!$O124*Calculations!$C$8-Calculations!$O124^2-Calculations!$C$8^2) + 'Reaction Information'!$K$38*100000*(Calculations!$O124^2 + Calculations!$C$8^2 - 2*Calculations!$O124*Calculations!$C$8)/(2*Calculations!$O124*Calculations!$C$8^2))</f>
        <v>#N/A</v>
      </c>
      <c r="AQ124" s="8" t="e">
        <f>IF(ISBLANK(Input!$BE$4),NA(),'Reaction Information'!$E$42-'Reaction Information'!$G$42*(Calculations!$O124-Calculations!$C$8)+'Reaction Information'!$I$42*(Calculations!$O124-Calculations!$C$8-Calculations!$O124*LN(Calculations!$O124/Calculations!$C$8))+'Reaction Information'!$J$42*0.001/2*(2*Calculations!$O124*Calculations!$C$8-Calculations!$O124^2-Calculations!$C$8^2) + 'Reaction Information'!$K$42*100000*(Calculations!$O124^2 + Calculations!$C$8^2 - 2*Calculations!$O124*Calculations!$C$8)/(2*Calculations!$O124*Calculations!$C$8^2))</f>
        <v>#N/A</v>
      </c>
      <c r="AR124" s="8" t="e">
        <f>IF(AR$5="H2O", IF($D$24=3,IF(T124=0,NA(),T124),calculateGibbsOfWater(M124,N124,$D$24,$D$20,$D$19=3)),NA())</f>
        <v>#N/A</v>
      </c>
      <c r="AS124" s="8">
        <f>IF(ISBLANK(Input!$BK$4),NA(),'Reaction Information'!$E$46-'Reaction Information'!$G$46*(Calculations!O124-Calculations!$C$8)-'Reaction Information'!$N$46*(Calculations!O124*LN(Calculations!O124/Calculations!$C$8)-Calculations!O124+Calculations!$C$8)-'Reaction Information'!$O$46*10^4*(((1/(Calculations!O124-Calculations!$C$13))-(1/(Calculations!$C$8-Calculations!$C$13)))*((Calculations!$C$13-Calculations!O124)/(Calculations!$C$13))-(Calculations!O124/(Calculations!$C$13*Calculations!$C$13))*LN((Calculations!$C$8*(Calculations!O124-Calculations!$C$13))/(Calculations!O124*(Calculations!$C$8-Calculations!$C$13))))+'Reaction Information'!$J$46*10^-1*(Calculations!$M124-Calculations!$C$9)+'Reaction Information'!$K$46*10^2*LN((Calculations!$C$12+Calculations!$M124)/(Calculations!$C$12+Calculations!$C$9))+(1/(Calculations!O124-Calculations!$C$13))*('Reaction Information'!$L$46*(Calculations!$M124-Calculations!$C$9)+'Reaction Information'!$M$46*10^4*LN((Calculations!$C$12+Calculations!$M124)/(Calculations!$C$12+Calculations!$C$9)))+calculateOmega(Calculations!M124,Calculations!N124,Calculations!Q124,'Reaction Information'!$C$46,'Reaction Information'!$P$46*10^5,'Reaction Information'!$Q$46)*((1/Calculations!S124)-1)-'Reaction Information'!$P$46*10^5*((1/Calculations!$C$10)-1)+'Reaction Information'!$P$46*10^5*Calculations!$C$14*(Calculations!O124-Calculations!$C$8))</f>
        <v>0</v>
      </c>
      <c r="AT124" s="8">
        <f>IF(ISBLANK(Input!$BN$4),NA(),'Reaction Information'!$E$50-'Reaction Information'!$G$50*(Calculations!O124-Calculations!$C$8)-'Reaction Information'!$N$50*(Calculations!O124*LN(Calculations!O124/Calculations!$C$8)-Calculations!O124+Calculations!$C$8)-'Reaction Information'!$O$50*10^4*(((1/(Calculations!O124-Calculations!$C$13))-(1/(Calculations!$C$8-Calculations!$C$13)))*((Calculations!$C$13-Calculations!O124)/(Calculations!$C$13))-(Calculations!O124/(Calculations!$C$13*Calculations!$C$13))*LN((Calculations!$C$8*(Calculations!O124-Calculations!$C$13))/(Calculations!O124*(Calculations!$C$8-Calculations!$C$13))))+'Reaction Information'!$J$50*10^-1*(Calculations!$M124-Calculations!$C$9)+'Reaction Information'!$K$50*10^2*LN((Calculations!$C$12+Calculations!$M124)/(Calculations!$C$12+Calculations!$C$9))+(1/(Calculations!O124-Calculations!$C$13))*('Reaction Information'!$L$50*(Calculations!$M124-Calculations!$C$9)+'Reaction Information'!$M$50*10^4*LN((Calculations!$C$12+Calculations!$M124)/(Calculations!$C$12+Calculations!$C$9)))+calculateOmega(Calculations!M124,Calculations!N124,Calculations!Q124,'Reaction Information'!$C$50,'Reaction Information'!$P$50*10^5,'Reaction Information'!$Q$50)*((1/Calculations!S124)-1)-'Reaction Information'!$P$50*10^5*((1/Calculations!$C$10)-1)+'Reaction Information'!$P$50*10^5*Calculations!$C$14*(Calculations!O124-Calculations!$C$8))</f>
        <v>-139923.80018955984</v>
      </c>
      <c r="AU124" s="8" t="e">
        <f>IF(ISBLANK(Input!$BQ$4),NA(),'Reaction Information'!$E$54-'Reaction Information'!$G$54*(Calculations!$O124-Calculations!$C$8)-'Reaction Information'!$N$54*(Calculations!$O124*LN(Calculations!$O124/Calculations!$C$8)-Calculations!$O124+Calculations!$C$8)-'Reaction Information'!$O$54*10^4*(((1/(Calculations!$O124-Calculations!$C$13))-(1/(Calculations!$C$8-Calculations!$C$13)))*((Calculations!$C$13-Calculations!$O124)/(Calculations!$C$13))-(Calculations!$O124/(Calculations!$C$13*Calculations!$C$13))*LN((Calculations!$C$8*(Calculations!$O124-Calculations!$C$13))/(Calculations!$O124*(Calculations!$C$8-Calculations!$C$13))))+'Reaction Information'!$J$54*10^-1*(Calculations!$M124-Calculations!$C$9)+'Reaction Information'!$K$54*10^2*LN((Calculations!$C$12+Calculations!$M124)/(Calculations!$C$12+Calculations!$C$9))+(1/(Calculations!$O124-Calculations!$C$13))*('Reaction Information'!$L$54*(Calculations!$M124-Calculations!$C$9)+'Reaction Information'!$M$54*10^4*LN((Calculations!$C$12+Calculations!$M124)/(Calculations!$C$12+Calculations!$C$9)))+calculateOmega(Calculations!M124,Calculations!N124,Calculations!Q124,'Reaction Information'!$C$54,'Reaction Information'!$P$54*10^5,'Reaction Information'!$Q$54)*((1/Calculations!$S124)-1)-'Reaction Information'!$P$54*10^5*((1/Calculations!$C$10)-1)+'Reaction Information'!$P$54*10^5*Calculations!$C$14*(Calculations!$O124-Calculations!$C$8))</f>
        <v>#N/A</v>
      </c>
      <c r="AV124" s="8" t="e">
        <f>IF(ISBLANK(Input!$BT$4),NA(),'Reaction Information'!$E$58-'Reaction Information'!$G$58*(Calculations!$O124-Calculations!$C$8)-'Reaction Information'!$N$58*(Calculations!$O124*LN(Calculations!$O124/Calculations!$C$8)-Calculations!$O124+Calculations!$C$8)-'Reaction Information'!$O$58*10^4*(((1/(Calculations!$O124-Calculations!$C$13))-(1/(Calculations!$C$8-Calculations!$C$13)))*((Calculations!$C$13-Calculations!$O124)/(Calculations!$C$13))-(Calculations!$O124/(Calculations!$C$13*Calculations!$C$13))*LN((Calculations!$C$8*(Calculations!$O124-Calculations!$C$13))/(Calculations!$O124*(Calculations!$C$8-Calculations!$C$13))))+'Reaction Information'!$J$58*10^-1*(Calculations!$M124-Calculations!$C$9)+'Reaction Information'!$K$58*10^2*LN((Calculations!$C$12+Calculations!$M124)/(Calculations!$C$12+Calculations!$C$9))+(1/(Calculations!$O124-Calculations!$C$13))*('Reaction Information'!$L$58*(Calculations!$M124-Calculations!$C$9)+'Reaction Information'!$M$58*10^4*LN((Calculations!$C$12+Calculations!$M124)/(Calculations!$C$12+Calculations!$C$9)))+calculateOmega(Calculations!M124,Calculations!N124,Calculations!Q124,'Reaction Information'!$C$58,'Reaction Information'!$P$58*10^5,'Reaction Information'!$Q$58)*((1/Calculations!$S124)-1)-'Reaction Information'!$P$58*10^5*((1/Calculations!$C$10)-1)+'Reaction Information'!$P$58*10^5*Calculations!$C$14*(Calculations!$O124-Calculations!$C$8))</f>
        <v>#N/A</v>
      </c>
      <c r="AW124" s="8" t="e">
        <f>IF(ISBLANK(Input!$BW$4),NA(),'Reaction Information'!$E$62-'Reaction Information'!$G$62*(Calculations!$O124-Calculations!$C$8)-'Reaction Information'!$N$62*(Calculations!$O124*LN(Calculations!$O124/Calculations!$C$8)-Calculations!$O124+Calculations!$C$8)-'Reaction Information'!$O$62*10^4*(((1/(Calculations!$O124-Calculations!$C$13))-(1/(Calculations!$C$8-Calculations!$C$13)))*((Calculations!$C$13-Calculations!$O124)/(Calculations!$C$13))-(Calculations!$O124/(Calculations!$C$13*Calculations!$C$13))*LN((Calculations!$C$8*(Calculations!$O124-Calculations!$C$13))/(Calculations!$O124*(Calculations!$C$8-Calculations!$C$13))))+'Reaction Information'!$J$62*10^-1*(Calculations!$M124-Calculations!$C$9)+'Reaction Information'!$K$62*10^2*LN((Calculations!$C$12+Calculations!$M124)/(Calculations!$C$12+Calculations!$C$9))+(1/(Calculations!$O124-Calculations!$C$13))*('Reaction Information'!$L$62*(Calculations!$M124-Calculations!$C$9)+'Reaction Information'!$M$62*10^4*LN((Calculations!$C$12+Calculations!$M124)/(Calculations!$C$12+Calculations!$C$9)))+calculateOmega(Calculations!M124,Calculations!N124,Calculations!Q124,'Reaction Information'!$C$62,'Reaction Information'!$P$62*10^5,'Reaction Information'!$Q$62)*((1/Calculations!$S124)-1)-'Reaction Information'!$P$62*10^5*((1/Calculations!$C$10)-1)+'Reaction Information'!$P$62*10^5*Calculations!$C$14*(Calculations!$O124-Calculations!$C$8))</f>
        <v>#N/A</v>
      </c>
      <c r="AX124" s="8" t="e">
        <f>IF(ISBLANK(Input!$BZ$4),NA(),'Reaction Information'!$E$66-'Reaction Information'!$G$66*(Calculations!$O124-Calculations!$C$8)-'Reaction Information'!$N$66*(Calculations!$O124*LN(Calculations!$O124/Calculations!$C$8)-Calculations!$O124+Calculations!$C$8)-'Reaction Information'!$O$66*10^4*(((1/(Calculations!$O124-Calculations!$C$13))-(1/(Calculations!$C$8-Calculations!$C$13)))*((Calculations!$C$13-Calculations!$O124)/(Calculations!$C$13))-(Calculations!$O124/(Calculations!$C$13*Calculations!$C$13))*LN((Calculations!$C$8*(Calculations!$O124-Calculations!$C$13))/(Calculations!$O124*(Calculations!$C$8-Calculations!$C$13))))+'Reaction Information'!$J$66*10^-1*(Calculations!$M124-Calculations!$C$9)+'Reaction Information'!$K$66*10^2*LN((Calculations!$C$12+Calculations!$M124)/(Calculations!$C$12+Calculations!$C$9))+(1/(Calculations!$O124-Calculations!$C$13))*('Reaction Information'!$L$66*(Calculations!$M124-Calculations!$C$9)+'Reaction Information'!$M$66*10^4*LN((Calculations!$C$12+Calculations!$M124)/(Calculations!$C$12+Calculations!$C$9)))+calculateOmega(Calculations!M124,Calculations!N124,Calculations!Q124,'Reaction Information'!$C$66,'Reaction Information'!$P$66*10^5,'Reaction Information'!$Q$66)*((1/Calculations!$S124)-1)-'Reaction Information'!$P$66*10^5*((1/Calculations!$C$10)-1)+'Reaction Information'!$P$66*10^5*Calculations!$C$14*(Calculations!$O124-Calculations!$C$8))</f>
        <v>#N/A</v>
      </c>
      <c r="AY124" s="31">
        <f>(AL124*Input!$AO$4+AM124*Input!$AR$4+AN124*Input!$AU$4+AO124*Input!$AX$4+IF(ISNA(AP124),0,AP124*Input!$BA$4)+IF(ISNA(AQ124),0,AQ124*Input!$BD$4)+IF(ISNA(AR124),0,AR124*Input!$BG$4)+IF(ISNA(AS124),0,AS124*Input!$BJ$4)+IF(ISNA(AT124),0,AT124*Input!$BM$4)+IF(ISNA(AU124),0,AU124*Input!$BP$4)+IF(ISNA(AV124),0,AV124*Input!$BS$4)+IF(ISNA(AW124),0,AW124*Input!$BV$4)+IF(ISNA(AX124),0,AX124*Input!$BY$4))-(Y124*Input!$B$4+Z124*Input!$E$4+AA124*Input!$H$4+AB124*Input!$K$4+IF(ISNA(AC124),0,AC124*Input!$N$4)+IF(ISNA(AD124),0,AD124*Input!$Q$4)+IF(ISNA(AE124),0,AE124*Input!$T$4)+IF(ISNA(AF124),0,AF124*Input!$W$4)+IF(ISNA(AG124),0,AG124*Input!$Z$4)+IF(ISNA(AH124),0,AH124*Input!$AC$4)+IF(ISNA(AI124),0,AI124*Input!$AF$4)+IF(ISNA(AJ124),0,AJ124*Input!$AI$4)+IF(ISNA(AK124),0,AK124*Input!$AL$4))</f>
        <v>30340.10879025163</v>
      </c>
      <c r="AZ124" s="42">
        <f t="shared" si="35"/>
        <v>-5.4246195850745487</v>
      </c>
      <c r="BA124" s="1">
        <f t="shared" si="27"/>
        <v>950</v>
      </c>
      <c r="BB124" s="46">
        <f t="shared" si="28"/>
        <v>40000</v>
      </c>
      <c r="BC124" s="1"/>
      <c r="BD124" s="2">
        <f t="shared" si="29"/>
        <v>40000</v>
      </c>
      <c r="BE124" s="46">
        <f t="shared" si="30"/>
        <v>950</v>
      </c>
      <c r="BF124" s="1">
        <f>Results!AJ126</f>
        <v>0</v>
      </c>
      <c r="BG124" s="1">
        <f>Results!AK126</f>
        <v>0</v>
      </c>
      <c r="BH124" s="1">
        <f>Results!AL126</f>
        <v>0</v>
      </c>
      <c r="BI124" s="1">
        <f>Results!AM126</f>
        <v>0</v>
      </c>
      <c r="BJ124" s="1" t="e">
        <f>IF(OR(ISNA('Reaction Information'!$D$5), $N124 = "", $D$27 = FALSE, 'Reaction Information'!$D$5 = ""), NA(), 24.465)</f>
        <v>#N/A</v>
      </c>
      <c r="BK124" s="1" t="e">
        <f>IF(OR(ISNA('Reaction Information'!$D$9), $N124 = "", $D$27 = FALSE, 'Reaction Information'!$D$9 = ""), NA(), 24.465)</f>
        <v>#N/A</v>
      </c>
      <c r="BL124" s="8">
        <f t="shared" si="36"/>
        <v>14.681335764850207</v>
      </c>
      <c r="BM124" s="8">
        <f>IF(OR(ISBLANK(Input!$X$4),$D$27=FALSE),NA(),('Reaction Information'!$J$13/10+'Reaction Information'!$K$13*100/(Calculations!$C$12+Calculations!$M124)+('Reaction Information'!$L$13+'Reaction Information'!$M$13*10^4/(Calculations!$C$12+Calculations!$M124))/(Calculations!$O124-Calculations!$C$13) -calculateOmega(Calculations!$M124,Calculations!$N124,Calculations!$Q124,'Reaction Information'!$C$13,'Reaction Information'!$P$13*10^5,'Reaction Information'!$Q$13)*Calculations!$U124*10^-6 + (1/$S124 - 1)*calculate_domegadP(Calculations!$M124,Calculations!$N124,Calculations!$Q124,'Reaction Information'!$C$13,'Reaction Information'!$P$13*10^5,'Reaction Information'!$Q$13,$D$20,$D$19=3))*41.84)</f>
        <v>30.371863215930745</v>
      </c>
      <c r="BN124" s="8" t="e">
        <f>IF(OR(ISBLANK(Input!$AA$4),$D$27=FALSE),NA(),('Reaction Information'!$J$17/10+'Reaction Information'!$K$17*100/(Calculations!$C$12+Calculations!$M124)+('Reaction Information'!$L$17+'Reaction Information'!$M$17*10000/(Calculations!$C$12+Calculations!$M124))/(Calculations!$O124-Calculations!$C$13)-calculateOmega(Calculations!M124,Calculations!N124,Calculations!Q124,'Reaction Information'!$C$17,'Reaction Information'!$P$17*10^5,'Reaction Information'!$Q$17)*Calculations!$U124*10^-6 + (1/$S124 - 1)*calculate_domegadP(Calculations!M124,Calculations!N124,Calculations!Q124,'Reaction Information'!$C$17,'Reaction Information'!$P$17*10^5,'Reaction Information'!$Q$17,$D$20,$D$19=3))*41.84)</f>
        <v>#N/A</v>
      </c>
      <c r="BO124" s="8" t="e">
        <f>IF(OR(ISBLANK(Input!$AD$4),$D$27=FALSE),NA(),('Reaction Information'!$J$21/10+'Reaction Information'!$K$21*100/(Calculations!$C$12+Calculations!$M124)+('Reaction Information'!$L$21+'Reaction Information'!$M$21*10000/(Calculations!$C$12+Calculations!$M124))/(Calculations!$O124-Calculations!$C$13)-calculateOmega(Calculations!M124,Calculations!N124,Calculations!Q124,'Reaction Information'!$C$21,'Reaction Information'!$P$21*10^5,'Reaction Information'!$Q$21)*Calculations!$U124*10^-6 + (1/$S124 - 1)*calculate_domegadP(Calculations!M124,Calculations!N124,Calculations!Q124,'Reaction Information'!$C$21,'Reaction Information'!$P$21*10^5,'Reaction Information'!$Q$21,$D$20,$D$19=3))*41.84)</f>
        <v>#N/A</v>
      </c>
      <c r="BP124" s="8" t="e">
        <f>IF(OR(ISBLANK(Input!$AG$4),$D$27=FALSE),NA(),('Reaction Information'!$J$25/10+'Reaction Information'!$K$25*100/(Calculations!$C$12+Calculations!$M124)+('Reaction Information'!$L$25+'Reaction Information'!$M$25*10000/(Calculations!$C$12+Calculations!$M124))/(Calculations!$O124-Calculations!$C$13)-calculateOmega(Calculations!M124,Calculations!N124,Calculations!Q124,'Reaction Information'!$C$25,'Reaction Information'!$P$25*10^5,'Reaction Information'!$Q$25)*Calculations!$U124*10^-6 + (1/$S124 - 1)*calculate_domegadP(Calculations!M124,Calculations!N124,Calculations!Q124,'Reaction Information'!$C$25,'Reaction Information'!$P$25*10^5,'Reaction Information'!$Q$25,$D$20,$D$19=3))*41.84)</f>
        <v>#N/A</v>
      </c>
      <c r="BQ124" s="8" t="e">
        <f>IF(OR(ISBLANK(Input!$AJ$4),$D$27=FALSE),NA(),('Reaction Information'!$J$29/10+'Reaction Information'!$K$29*100/(Calculations!$C$12+Calculations!$M124)+('Reaction Information'!$L$29+'Reaction Information'!$M$29*10000/(Calculations!$C$12+Calculations!$M124))/(Calculations!$O124-Calculations!$C$13)-calculateOmega(Calculations!M124,Calculations!N124,Calculations!Q124,'Reaction Information'!$C$29,'Reaction Information'!$P$29*10^5,'Reaction Information'!$Q$29)*Calculations!$U124*10^-6 + (1/$S124 - 1)*calculate_domegadP(Calculations!M124,Calculations!N124,Calculations!Q124,'Reaction Information'!$C$29,'Reaction Information'!$P$29*10^5,'Reaction Information'!$Q$29,$D$20,$D$19=3))*41.84)</f>
        <v>#N/A</v>
      </c>
      <c r="BR124" s="8" t="e">
        <f>IF(OR(ISBLANK(Input!$AM$4),$D$27=FALSE),NA(),('Reaction Information'!$J$33/10+'Reaction Information'!$K$33*100/(Calculations!$C$12+Calculations!$M124)+('Reaction Information'!$L$33+'Reaction Information'!$M$33*10000/(Calculations!$C$12+Calculations!$M124))/(Calculations!$O124-Calculations!$C$13)-calculateOmega(Calculations!M124,Calculations!N124,Calculations!Q124,'Reaction Information'!$C$33,'Reaction Information'!$P$33*10^5,'Reaction Information'!$Q$33)*Calculations!$U124*10^-6 + (1/$S124 - 1)*calculate_domegadP(Calculations!M124,Calculations!N124,Calculations!Q124,'Reaction Information'!$C$33,'Reaction Information'!$P$33*10^5,'Reaction Information'!$Q$33,$D$20,$D$19=3))*41.84)</f>
        <v>#N/A</v>
      </c>
      <c r="BS124" s="1">
        <f>Results!AW126</f>
        <v>0</v>
      </c>
      <c r="BT124" s="1">
        <f>Results!AX126</f>
        <v>0</v>
      </c>
      <c r="BU124" s="1">
        <f>Results!AY126</f>
        <v>0</v>
      </c>
      <c r="BV124" s="1">
        <f>Results!AZ126</f>
        <v>0</v>
      </c>
      <c r="BW124" s="1" t="e">
        <f>IF(OR(ISNA('Reaction Information'!$D$38), $N124 = "", $D$27 = FALSE, 'Reaction Information'!$D$38 = ""), NA(), 24.465)</f>
        <v>#N/A</v>
      </c>
      <c r="BX124" s="1" t="e">
        <f>IF(OR(ISNA('Reaction Information'!$D$42), $N124 = "", $D$27 = FALSE, 'Reaction Information'!$D$42 = ""), NA(), 24.465)</f>
        <v>#N/A</v>
      </c>
      <c r="BY124" s="8" t="e">
        <f t="shared" si="37"/>
        <v>#N/A</v>
      </c>
      <c r="BZ124" s="8">
        <f>IF(OR(ISBLANK(Input!$BK$4),$D$27=FALSE),NA(),('Reaction Information'!$J$46/10+'Reaction Information'!$K$46*100/(Calculations!$C$12+Calculations!$M124)+('Reaction Information'!$L$46+'Reaction Information'!$M$46*10000/(Calculations!$C$12+Calculations!$M124))/(Calculations!$O124-Calculations!$C$13)-calculateOmega(Calculations!M124,Calculations!N124,Calculations!Q124,'Reaction Information'!$C$46,'Reaction Information'!$P$46*10^5,'Reaction Information'!$Q$46)*Calculations!$U124*10^-6 + (1/$S124 - 1)*calculate_domegadP(Calculations!M124,Calculations!N124,Calculations!Q124,'Reaction Information'!$C$46,'Reaction Information'!$P$46*10^5,'Reaction Information'!$Q$46,$D$20,$D$19=3))*41.84)</f>
        <v>0</v>
      </c>
      <c r="CA124" s="8">
        <f>IF(OR(ISBLANK(Input!$BN$4),$D$27=FALSE),NA(),('Reaction Information'!$J$50/10+'Reaction Information'!$K$50*100/(Calculations!$C$12+Calculations!$M124)+('Reaction Information'!$L$50+'Reaction Information'!$M$50*10000/(Calculations!$C$12+Calculations!$M124))/(Calculations!$O124-Calculations!$C$13)-calculateOmega(Calculations!M124,Calculations!N124,Calculations!Q124,'Reaction Information'!$C$50,'Reaction Information'!$P$50*10^5,'Reaction Information'!$Q$50)*Calculations!$U124*10^-6 + (1/$S124 - 1)*calculate_domegadP(Calculations!M124,Calculations!N124,Calculations!Q124,'Reaction Information'!$C$50,'Reaction Information'!$P$50*10^5,'Reaction Information'!$Q$50,$D$20,$D$19=3))*41.84)</f>
        <v>30.637403530215678</v>
      </c>
      <c r="CB124" s="8" t="e">
        <f>IF(OR(ISBLANK(Input!$BQ$4),$D$27=FALSE),NA(),('Reaction Information'!$J$54/10+'Reaction Information'!$K$54*100/(Calculations!$C$12+Calculations!$M124)+('Reaction Information'!$L$54+'Reaction Information'!$M$54*10000/(Calculations!$C$12+Calculations!$M124))/(Calculations!$O124-Calculations!$C$13)-calculateOmega(Calculations!M124,Calculations!N124,Calculations!Q124,'Reaction Information'!$C$54,'Reaction Information'!$P$54*10^5,'Reaction Information'!$Q$54)*Calculations!$U124*10^-6 + (1/$S124 - 1)*calculate_domegadP(Calculations!M124,Calculations!N124,Calculations!Q124,'Reaction Information'!$C$54,'Reaction Information'!$P$54*10^5,'Reaction Information'!$Q$54,$D$20,$D$19=3))*41.84)</f>
        <v>#N/A</v>
      </c>
      <c r="CC124" s="8" t="e">
        <f>IF(OR(ISBLANK(Input!$BT$4),$D$27=FALSE),NA(),('Reaction Information'!$J$58/10+'Reaction Information'!$K$58*100/(Calculations!$C$12+Calculations!$M124)+('Reaction Information'!$L$58+'Reaction Information'!$M$58*10000/(Calculations!$C$12+Calculations!$M124))/(Calculations!$O124-Calculations!$C$13)-calculateOmega(Calculations!M124,Calculations!N124,Calculations!Q124,'Reaction Information'!$C$58,'Reaction Information'!$P$58*10^5,'Reaction Information'!$Q$58)*Calculations!$U124*10^-6 + (1/$S124 - 1)*calculate_domegadP(Calculations!M124,Calculations!N124,Calculations!Q124,'Reaction Information'!$C$58,'Reaction Information'!$P$58*10^5,'Reaction Information'!$Q$58,$D$20,$D$19=3))*41.84)</f>
        <v>#N/A</v>
      </c>
      <c r="CD124" s="8" t="e">
        <f>IF(OR(ISBLANK(Input!$BW$4),$D$27=FALSE),NA(),('Reaction Information'!$J$62/10+'Reaction Information'!$K$62*100/(Calculations!$C$12+Calculations!$M124)+('Reaction Information'!$L$62+'Reaction Information'!$M$62*10000/(Calculations!$C$12+Calculations!$M124))/(Calculations!$O124-Calculations!$C$13)-calculateOmega(Calculations!M124,Calculations!N124,Calculations!Q124,'Reaction Information'!$C$62,'Reaction Information'!$P$62*10^5,'Reaction Information'!$Q$62)*Calculations!$U124*10^-6 + (1/$S124 - 1)*calculate_domegadP(Calculations!M124,Calculations!N124,Calculations!Q124,'Reaction Information'!$C$62,'Reaction Information'!$P$62*10^5,'Reaction Information'!$Q$62,$D$20,$D$19=3))*41.84)</f>
        <v>#N/A</v>
      </c>
      <c r="CE124" s="8" t="e">
        <f>IF(OR(ISBLANK(Input!$BZ$4),$D$27=FALSE),NA(),('Reaction Information'!$J$66/10+'Reaction Information'!$K$66*100/(Calculations!$C$12+Calculations!$M124)+('Reaction Information'!$L$66+'Reaction Information'!$M$66*10000/(Calculations!$C$12+Calculations!$M124))/(Calculations!$O124-Calculations!$C$13)-calculateOmega(Calculations!M124,Calculations!N124,Calculations!Q124,'Reaction Information'!$C$66,'Reaction Information'!$P$66*10^5,'Reaction Information'!$Q$66)*Calculations!$U124*10^-6 + (1/$S124 - 1)*calculate_domegadP(Calculations!M124,Calculations!N124,Calculations!Q124,'Reaction Information'!$C$66,'Reaction Information'!$P$66*10^5,'Reaction Information'!$Q$66,$D$20,$D$19=3))*41.84)</f>
        <v>#N/A</v>
      </c>
      <c r="CF124" s="31">
        <f>(BS124*Input!$AO$4+BT124*Input!$AR$4+BU124*Input!$AU$4+BV124*Input!$AX$4+IF(ISNA(BW124),0,BW124*Input!$BA$4)+IF(ISNA(BX124),0,BX124*Input!$BD$4)+IF(ISNA(BY124),0,BY124*Input!$BG$4)+IF(ISNA(BZ124),0,BZ124*Input!$BJ$4)+IF(ISNA(CA124),0,CA124*Input!$BM$4)+IF(ISNA(CB124),0,CB124*Input!$BP$4)+IF(ISNA(CC124),0,CC124*Input!$BS$4)+IF(ISNA(CD124),0,CD124*Input!$BV$4)+IF(ISNA(CE124),0,CE124*Input!$BY$4))-(BF124*Input!$B$4+BG124*Input!$E$4+BH124*Input!$H$4+BI124*Input!$K$4+IF(ISNA(BJ124),0,BJ124*Input!$N$4)+IF(ISNA(BK124),0,BK124*Input!$Q$4)+IF(ISNA(BL124),0,BL124*Input!$T$4)+IF(ISNA(BM124),0,BM124*Input!$W$4)+IF(ISNA(BN124),0,BN124*Input!$Z$4)+IF(ISNA(BO124),0,BO124*Input!$AC$4)+IF(ISNA(BP124),0,BP124*Input!$AF$4)+IF(ISNA(BQ124),0,BQ124*Input!$AI$4)+IF(ISNA(BR124),0,BR124*Input!$AL$4))</f>
        <v>-14.41579545056527</v>
      </c>
      <c r="CG124" s="1">
        <f t="shared" si="31"/>
        <v>950</v>
      </c>
      <c r="CH124" s="46">
        <f t="shared" si="32"/>
        <v>40000</v>
      </c>
      <c r="CI124" s="1"/>
    </row>
    <row r="125" spans="1:87" x14ac:dyDescent="0.2">
      <c r="A125" s="1"/>
      <c r="B125" s="1"/>
      <c r="C125" s="1"/>
      <c r="D125" s="1"/>
      <c r="E125" s="1"/>
      <c r="F125" s="2">
        <v>120</v>
      </c>
      <c r="G125" s="1" t="str">
        <f>IF(ISBLANK(Input!CB125), "", Input!CB125*1000)</f>
        <v/>
      </c>
      <c r="H125" s="1" t="str">
        <f>IF(ISBLANK(Input!CC125), "", Input!CC125)</f>
        <v/>
      </c>
      <c r="I125" s="1">
        <f>IF(Input!$CF$5 + Input!$CF$6*(FLOOR((Calculations!$F125-1)/(FLOOR((Input!$CF$12-Input!$CF$10)/Input!$CF$11,1)+1),1)) &gt; Input!$CF$7, "", (Input!$CF$5 + Input!$CF$6*(FLOOR((Calculations!$F125-1)/(FLOOR((Input!$CF$12-Input!$CF$10)/Input!$CF$11,1)+1),1)))*1000)</f>
        <v>40000</v>
      </c>
      <c r="J125" s="1">
        <f>IF(Calculations!I125 = "", "", Input!$CF$10 + Input!$CF$11*(Calculations!$F125-1) - (FLOOR((Input!$CF$12-Input!$CF$10)/Input!$CF$11,1)+1)*Input!$CF$11*FLOOR((Calculations!$F125-1)/(FLOOR((Input!$CF$12-Input!$CF$10)/Input!$CF$11,1)+1),1))</f>
        <v>1000</v>
      </c>
      <c r="K125" s="8" t="str">
        <f t="shared" si="33"/>
        <v/>
      </c>
      <c r="L125" s="117" t="str">
        <f>IF(OR(Input!$CJ$5 + Input!$CJ$6*(Calculations!F125-1) &gt; Input!$CJ$7, Input!$CJ$5 + Input!$CJ$6*(Calculations!F125-1) &gt; 350), "", Input!$CJ$5 + Input!$CJ$6*(Calculations!F125-1))</f>
        <v/>
      </c>
      <c r="M125" s="1">
        <f t="shared" si="23"/>
        <v>40000</v>
      </c>
      <c r="N125" s="1">
        <f t="shared" si="24"/>
        <v>1000</v>
      </c>
      <c r="O125" s="1">
        <f t="shared" si="34"/>
        <v>1273.1500000000001</v>
      </c>
      <c r="P125" s="1" t="e">
        <f>IF(OR($D$20=3,AND($D$21=TRUE,M125&lt;1000)),INDEX('Water Density'!$C$6:$CX$120,MATCH(Calculations!N125,'Water Density'!$B$6:$B$120),MATCH(Calculations!M125/1000,'Water Density'!$C$5:$CX$5)),NA())</f>
        <v>#N/A</v>
      </c>
      <c r="Q125" s="182">
        <f>IF(OR($D$20=3,AND($D$21=TRUE,M125&lt;1000)), IF(P125&lt;&gt;0,P125,NA()), calculateDensity(M125,N125,$D$20,0.01,$D$19 = 3))</f>
        <v>1.2148136644208429</v>
      </c>
      <c r="R125" s="1" t="e">
        <f>IF($D$22=5,INDEX('Dielectric Constant'!$C$6:$CX$120,MATCH(Calculations!N125,'Dielectric Constant'!$B$6:$B$120),MATCH(Calculations!M125/1000,'Dielectric Constant'!$C$5:$CX$5)),NA())</f>
        <v>#N/A</v>
      </c>
      <c r="S125" s="58">
        <f>IF($D$22=5, IF(R125&lt;&gt;0,R125,NA()), IF(AND($D$23,M125&lt;=5000,$D$19 &lt;&gt; 3),calculateEpsilon(Q125,N125,1,FALSE),calculateEpsilon(Q125,N125,$D$22,$D$19 = 3)))</f>
        <v>15.705709528401977</v>
      </c>
      <c r="T125" s="1" t="e">
        <f>IF($D$24=3,INDEX('Water Free Energy'!$C$6:$CX$120,MATCH(Calculations!N125,'Water Free Energy'!$B$6:$B$120),MATCH(Calculations!M125/1000,'Water Free Energy'!$C$5:$CX$5)),NA())</f>
        <v>#N/A</v>
      </c>
      <c r="U125" s="179">
        <f>IF($D$27,calculateQ(M125,N125,Q125,$D$20,$D$22,$D$19=3)*10^6,NA())</f>
        <v>0.28855850347005757</v>
      </c>
      <c r="V125"/>
      <c r="W125" s="2">
        <f t="shared" si="25"/>
        <v>40000</v>
      </c>
      <c r="X125" s="1">
        <f t="shared" si="26"/>
        <v>1000</v>
      </c>
      <c r="Y125" s="1">
        <f>Results!F127</f>
        <v>0</v>
      </c>
      <c r="Z125" s="1">
        <f>Results!G127</f>
        <v>0</v>
      </c>
      <c r="AA125" s="1">
        <f>Results!H127</f>
        <v>0</v>
      </c>
      <c r="AB125" s="1">
        <f>Results!I127</f>
        <v>0</v>
      </c>
      <c r="AC125" s="1" t="e">
        <f>IF(ISBLANK(Input!$O$4),NA(),'Reaction Information'!$E$5-'Reaction Information'!$G$5*(Calculations!$O125-Calculations!$C$8)+'Reaction Information'!$I$5*(Calculations!$O125-Calculations!$C$8-Calculations!$O125*LN(Calculations!$O125/Calculations!$C$8))+'Reaction Information'!$J$5*0.001/2*(2*Calculations!$O125*Calculations!$C$8-Calculations!$O125^2-Calculations!$C$8^2) + 'Reaction Information'!$K$5*100000*(Calculations!$O125^2 + Calculations!$C$8^2 - 2*Calculations!$O125*Calculations!$C$8)/(2*Calculations!$O125*Calculations!$C$8^2))</f>
        <v>#N/A</v>
      </c>
      <c r="AD125" s="8" t="e">
        <f>IF(ISBLANK(Input!$R$4),NA(),'Reaction Information'!$E$9-'Reaction Information'!$G$9*(Calculations!$O125-Calculations!$C$8)+'Reaction Information'!$I$9*(Calculations!$O125-Calculations!$C$8-Calculations!$O125*LN(Calculations!$O125/Calculations!$C$8))+'Reaction Information'!$J$9*0.001/2*(2*Calculations!$O125*Calculations!$C$8-Calculations!$O125^2-Calculations!$C$8^2) + 'Reaction Information'!$K$9*100000*(Calculations!$O125^2 + Calculations!$C$8^2 - 2*Calculations!$O125*Calculations!$C$8)/(2*Calculations!$O125*Calculations!$C$8^2))</f>
        <v>#N/A</v>
      </c>
      <c r="AE125" s="8">
        <f>IF(AE$5="H2O",IF($D$24=3,IF(T125=0,NA(),T125),calculateGibbsOfWater(M125,N125,$D$24,$D$20,$D$19=3)),NA())</f>
        <v>-68654.582045931398</v>
      </c>
      <c r="AF125" s="8">
        <f>IF(ISBLANK(Input!$X$4),NA(),'Reaction Information'!$E$13-'Reaction Information'!$G$13*(Calculations!O125-Calculations!$C$8)-'Reaction Information'!$N$13*(Calculations!O125*LN(Calculations!O125/Calculations!$C$8)-Calculations!O125+Calculations!$C$8)-'Reaction Information'!$O$13*10^4*(((1/(Calculations!O125-Calculations!$C$13))-(1/(Calculations!$C$8-Calculations!$C$13)))*((Calculations!$C$13-Calculations!O125)/(Calculations!$C$13))-(Calculations!O125/(Calculations!$C$13*Calculations!$C$13))*LN((Calculations!$C$8*(Calculations!O125-Calculations!$C$13))/(Calculations!O125*(Calculations!$C$8-Calculations!$C$13))))+'Reaction Information'!$J$13*10^-1*(Calculations!M125-Calculations!$C$9)+'Reaction Information'!$K$13*10^2*LN((Calculations!$C$12+Calculations!M125)/(Calculations!$C$12+Calculations!$C$9))+(1/(Calculations!O125-Calculations!$C$13))*('Reaction Information'!$L$13*(Calculations!M125-Calculations!$C$9)+'Reaction Information'!$M$13*10^4*LN((Calculations!$C$12+Calculations!M125)/(Calculations!$C$12+Calculations!$C$9)))+calculateOmega(Calculations!M125,Calculations!N125,Calculations!Q125,'Reaction Information'!$C$13,'Reaction Information'!$P$13*10^5,'Reaction Information'!$Q$13)*((1/Calculations!S125)-1)-'Reaction Information'!$P$13*10^5*((1/Calculations!$C$10)-1)+'Reaction Information'!$P$13*10^5*Calculations!$C$14*(Calculations!O125-Calculations!$C$8))</f>
        <v>-105837.18831409278</v>
      </c>
      <c r="AG125" s="8" t="e">
        <f>IF(ISBLANK(Input!$AA$4),NA(),'Reaction Information'!$E$17-'Reaction Information'!$G$17*(Calculations!$O125-Calculations!$C$8)-'Reaction Information'!$N$17*(Calculations!$O125*LN(Calculations!$O125/Calculations!$C$8)-Calculations!$O125+Calculations!$C$8)-'Reaction Information'!$O$17*10^4*(((1/(Calculations!$O125-Calculations!$C$13))-(1/(Calculations!$C$8-Calculations!$C$13)))*((Calculations!$C$13-Calculations!$O125)/(Calculations!$C$13))-(Calculations!$O125/(Calculations!$C$13*Calculations!$C$13))*LN((Calculations!$C$8*(Calculations!$O125-Calculations!$C$13))/(Calculations!$O125*(Calculations!$C$8-Calculations!$C$13))))+'Reaction Information'!$J$17*10^-1*(Calculations!$M125-Calculations!$C$9)+'Reaction Information'!$K$17*10^2*LN((Calculations!$C$12+Calculations!$M125)/(Calculations!$C$12+Calculations!$C$9))+(1/(Calculations!$O125-Calculations!$C$13))*('Reaction Information'!$L$17*(Calculations!$M125-Calculations!$C$9)+'Reaction Information'!$M$17*10^4*LN((Calculations!$C$12+Calculations!$M125)/(Calculations!$C$12+Calculations!$C$9)))+calculateOmega(Calculations!M125,Calculations!N125,Calculations!Q125,'Reaction Information'!$C$17,'Reaction Information'!$P$17*10^5,'Reaction Information'!$Q$17)*((1/Calculations!$S125)-1)-'Reaction Information'!$P$17*10^5*((1/Calculations!$C$10)-1)+'Reaction Information'!$P$17*10^5*Calculations!$C$14*(Calculations!$O125-Calculations!$C$8))</f>
        <v>#N/A</v>
      </c>
      <c r="AH125" s="8" t="e">
        <f>IF(ISBLANK(Input!$AD$4),NA(),'Reaction Information'!$E$21-'Reaction Information'!$G$21*(Calculations!$O125-Calculations!$C$8)-'Reaction Information'!$N$21*(Calculations!$O125*LN(Calculations!$O125/Calculations!$C$8)-Calculations!$O125+Calculations!$C$8)-'Reaction Information'!$O$21*10^4*(((1/(Calculations!$O125-Calculations!$C$13))-(1/(Calculations!$C$8-Calculations!$C$13)))*((Calculations!$C$13-Calculations!$O125)/(Calculations!$C$13))-(Calculations!$O125/(Calculations!$C$13*Calculations!$C$13))*LN((Calculations!$C$8*(Calculations!$O125-Calculations!$C$13))/(Calculations!$O125*(Calculations!$C$8-Calculations!$C$13))))+'Reaction Information'!$J$21*10^-1*(Calculations!$M125-Calculations!$C$9)+'Reaction Information'!$K$21*10^2*LN((Calculations!$C$12+Calculations!$M125)/(Calculations!$C$12+Calculations!$C$9))+(1/(Calculations!$O125-Calculations!$C$13))*('Reaction Information'!$L$21*(Calculations!$M125-Calculations!$C$9)+'Reaction Information'!$M$21*10^4*LN((Calculations!$C$12+Calculations!$M125)/(Calculations!$C$12+Calculations!$C$9)))+calculateOmega(Calculations!M125,Calculations!N125,Calculations!Q125,'Reaction Information'!$C$21,'Reaction Information'!$P$21*10^5,'Reaction Information'!$Q$21)*((1/Calculations!$S125)-1)-'Reaction Information'!$P$21*10^5*((1/Calculations!$C$10)-1)+'Reaction Information'!$P$21*10^5*Calculations!$C$14*(Calculations!$O125-Calculations!$C$8))</f>
        <v>#N/A</v>
      </c>
      <c r="AI125" s="8" t="e">
        <f>IF(ISBLANK(Input!$AG$4),NA(),'Reaction Information'!$E$25-'Reaction Information'!$G$25*(Calculations!$O125-Calculations!$C$8)-'Reaction Information'!$N$25*(Calculations!$O125*LN(Calculations!$O125/Calculations!$C$8)-Calculations!$O125+Calculations!$C$8)-'Reaction Information'!$O$25*10^4*(((1/(Calculations!$O125-Calculations!$C$13))-(1/(Calculations!$C$8-Calculations!$C$13)))*((Calculations!$C$13-Calculations!$O125)/(Calculations!$C$13))-(Calculations!$O125/(Calculations!$C$13*Calculations!$C$13))*LN((Calculations!$C$8*(Calculations!$O125-Calculations!$C$13))/(Calculations!$O125*(Calculations!$C$8-Calculations!$C$13))))+'Reaction Information'!$J$25*10^-1*(Calculations!$M125-Calculations!$C$9)+'Reaction Information'!$K$25*10^2*LN((Calculations!$C$12+Calculations!$M125)/(Calculations!$C$12+Calculations!$C$9))+(1/(Calculations!$O125-Calculations!$C$13))*('Reaction Information'!$L$25*(Calculations!$M125-Calculations!$C$9)+'Reaction Information'!$M$25*10^4*LN((Calculations!$C$12+Calculations!$M125)/(Calculations!$C$12+Calculations!$C$9)))+calculateOmega(Calculations!M125,Calculations!N125,Calculations!Q125,'Reaction Information'!$C$25,'Reaction Information'!$P$25*10^5,'Reaction Information'!$Q$25)*((1/Calculations!$S125)-1)-'Reaction Information'!$P$25*10^5*((1/Calculations!$C$10)-1)+'Reaction Information'!$P$25*10^5*Calculations!$C$14*(Calculations!$O125-Calculations!$C$8))</f>
        <v>#N/A</v>
      </c>
      <c r="AJ125" s="8" t="e">
        <f>IF(ISBLANK(Input!$AJ$4),NA(),'Reaction Information'!$E$29-'Reaction Information'!$G$29*(Calculations!$O125-Calculations!$C$8)-'Reaction Information'!$N$29*(Calculations!$O125*LN(Calculations!$O125/Calculations!$C$8)-Calculations!$O125+Calculations!$C$8)-'Reaction Information'!$O$29*10^4*(((1/(Calculations!$O125-Calculations!$C$13))-(1/(Calculations!$C$8-Calculations!$C$13)))*((Calculations!$C$13-Calculations!$O125)/(Calculations!$C$13))-(Calculations!$O125/(Calculations!$C$13*Calculations!$C$13))*LN((Calculations!$C$8*(Calculations!$O125-Calculations!$C$13))/(Calculations!$O125*(Calculations!$C$8-Calculations!$C$13))))+'Reaction Information'!$J$29*10^-1*(Calculations!$M125-Calculations!$C$9)+'Reaction Information'!$K$29*10^2*LN((Calculations!$C$12+Calculations!$M125)/(Calculations!$C$12+Calculations!$C$9))+(1/(Calculations!$O125-Calculations!$C$13))*('Reaction Information'!$L$29*(Calculations!$M125-Calculations!$C$9)+'Reaction Information'!$M$29*10^4*LN((Calculations!$C$12+Calculations!$M125)/(Calculations!$C$12+Calculations!$C$9)))+calculateOmega(Calculations!M125,Calculations!N125,Calculations!Q125,'Reaction Information'!$C$29,'Reaction Information'!$P$29*10^5,'Reaction Information'!$Q$29)*((1/Calculations!$S125)-1)-'Reaction Information'!$P$29*10^5*((1/Calculations!$C$10)-1)+'Reaction Information'!$P$29*10^5*Calculations!$C$14*(Calculations!$O125-Calculations!$C$8))</f>
        <v>#N/A</v>
      </c>
      <c r="AK125" s="8" t="e">
        <f>IF(ISBLANK(Input!$AM$4),NA(),'Reaction Information'!$E$33-'Reaction Information'!$G$33*(Calculations!$O125-Calculations!$C$8)-'Reaction Information'!$N$33*(Calculations!$O125*LN(Calculations!$O125/Calculations!$C$8)-Calculations!$O125+Calculations!$C$8)-'Reaction Information'!$O$33*10^4*(((1/(Calculations!$O125-Calculations!$C$13))-(1/(Calculations!$C$8-Calculations!$C$13)))*((Calculations!$C$13-Calculations!$O125)/(Calculations!$C$13))-(Calculations!$O125/(Calculations!$C$13*Calculations!$C$13))*LN((Calculations!$C$8*(Calculations!$O125-Calculations!$C$13))/(Calculations!$O125*(Calculations!$C$8-Calculations!$C$13))))+'Reaction Information'!$J$33*10^-1*(Calculations!$M125-Calculations!$C$9)+'Reaction Information'!$K$33*10^2*LN((Calculations!$C$12+Calculations!$M125)/(Calculations!$C$12+Calculations!$C$9))+(1/(Calculations!$O125-Calculations!$C$13))*('Reaction Information'!$L$33*(Calculations!$M125-Calculations!$C$9)+'Reaction Information'!$M$33*10^4*LN((Calculations!$C$12+Calculations!$M125)/(Calculations!$C$12+Calculations!$C$9)))+calculateOmega(Calculations!M125,Calculations!N125,Calculations!Q125,'Reaction Information'!$C$33,'Reaction Information'!$P$33*10^5,'Reaction Information'!$Q$33)*((1/Calculations!$S125)-1)-'Reaction Information'!$P$33*10^5*((1/Calculations!$C$10)-1)+'Reaction Information'!$P$33*10^5*Calculations!$C$14*(Calculations!$O125-Calculations!$C$8))</f>
        <v>#N/A</v>
      </c>
      <c r="AL125" s="1">
        <f>Results!S127</f>
        <v>0</v>
      </c>
      <c r="AM125" s="1">
        <f>Results!T127</f>
        <v>0</v>
      </c>
      <c r="AN125" s="1">
        <f>Results!U127</f>
        <v>0</v>
      </c>
      <c r="AO125" s="1">
        <f>Results!V127</f>
        <v>0</v>
      </c>
      <c r="AP125" s="8" t="e">
        <f>IF(ISBLANK(Input!$BB$4),NA(),'Reaction Information'!$E$38-'Reaction Information'!$G$38*(Calculations!$O125-Calculations!$C$8)+'Reaction Information'!$I$38*(Calculations!$O125-Calculations!$C$8-Calculations!$O125*LN(Calculations!$O125/Calculations!$C$8))+'Reaction Information'!$J$38*0.001/2*(2*Calculations!$O125*Calculations!$C$8-Calculations!$O125^2-Calculations!$C$8^2) + 'Reaction Information'!$K$38*100000*(Calculations!$O125^2 + Calculations!$C$8^2 - 2*Calculations!$O125*Calculations!$C$8)/(2*Calculations!$O125*Calculations!$C$8^2))</f>
        <v>#N/A</v>
      </c>
      <c r="AQ125" s="8" t="e">
        <f>IF(ISBLANK(Input!$BE$4),NA(),'Reaction Information'!$E$42-'Reaction Information'!$G$42*(Calculations!$O125-Calculations!$C$8)+'Reaction Information'!$I$42*(Calculations!$O125-Calculations!$C$8-Calculations!$O125*LN(Calculations!$O125/Calculations!$C$8))+'Reaction Information'!$J$42*0.001/2*(2*Calculations!$O125*Calculations!$C$8-Calculations!$O125^2-Calculations!$C$8^2) + 'Reaction Information'!$K$42*100000*(Calculations!$O125^2 + Calculations!$C$8^2 - 2*Calculations!$O125*Calculations!$C$8)/(2*Calculations!$O125*Calculations!$C$8^2))</f>
        <v>#N/A</v>
      </c>
      <c r="AR125" s="8" t="e">
        <f>IF(AR$5="H2O", IF($D$24=3,IF(T125=0,NA(),T125),calculateGibbsOfWater(M125,N125,$D$24,$D$20,$D$19=3)),NA())</f>
        <v>#N/A</v>
      </c>
      <c r="AS125" s="8">
        <f>IF(ISBLANK(Input!$BK$4),NA(),'Reaction Information'!$E$46-'Reaction Information'!$G$46*(Calculations!O125-Calculations!$C$8)-'Reaction Information'!$N$46*(Calculations!O125*LN(Calculations!O125/Calculations!$C$8)-Calculations!O125+Calculations!$C$8)-'Reaction Information'!$O$46*10^4*(((1/(Calculations!O125-Calculations!$C$13))-(1/(Calculations!$C$8-Calculations!$C$13)))*((Calculations!$C$13-Calculations!O125)/(Calculations!$C$13))-(Calculations!O125/(Calculations!$C$13*Calculations!$C$13))*LN((Calculations!$C$8*(Calculations!O125-Calculations!$C$13))/(Calculations!O125*(Calculations!$C$8-Calculations!$C$13))))+'Reaction Information'!$J$46*10^-1*(Calculations!$M125-Calculations!$C$9)+'Reaction Information'!$K$46*10^2*LN((Calculations!$C$12+Calculations!$M125)/(Calculations!$C$12+Calculations!$C$9))+(1/(Calculations!O125-Calculations!$C$13))*('Reaction Information'!$L$46*(Calculations!$M125-Calculations!$C$9)+'Reaction Information'!$M$46*10^4*LN((Calculations!$C$12+Calculations!$M125)/(Calculations!$C$12+Calculations!$C$9)))+calculateOmega(Calculations!M125,Calculations!N125,Calculations!Q125,'Reaction Information'!$C$46,'Reaction Information'!$P$46*10^5,'Reaction Information'!$Q$46)*((1/Calculations!S125)-1)-'Reaction Information'!$P$46*10^5*((1/Calculations!$C$10)-1)+'Reaction Information'!$P$46*10^5*Calculations!$C$14*(Calculations!O125-Calculations!$C$8))</f>
        <v>0</v>
      </c>
      <c r="AT125" s="8">
        <f>IF(ISBLANK(Input!$BN$4),NA(),'Reaction Information'!$E$50-'Reaction Information'!$G$50*(Calculations!O125-Calculations!$C$8)-'Reaction Information'!$N$50*(Calculations!O125*LN(Calculations!O125/Calculations!$C$8)-Calculations!O125+Calculations!$C$8)-'Reaction Information'!$O$50*10^4*(((1/(Calculations!O125-Calculations!$C$13))-(1/(Calculations!$C$8-Calculations!$C$13)))*((Calculations!$C$13-Calculations!O125)/(Calculations!$C$13))-(Calculations!O125/(Calculations!$C$13*Calculations!$C$13))*LN((Calculations!$C$8*(Calculations!O125-Calculations!$C$13))/(Calculations!O125*(Calculations!$C$8-Calculations!$C$13))))+'Reaction Information'!$J$50*10^-1*(Calculations!$M125-Calculations!$C$9)+'Reaction Information'!$K$50*10^2*LN((Calculations!$C$12+Calculations!$M125)/(Calculations!$C$12+Calculations!$C$9))+(1/(Calculations!O125-Calculations!$C$13))*('Reaction Information'!$L$50*(Calculations!$M125-Calculations!$C$9)+'Reaction Information'!$M$50*10^4*LN((Calculations!$C$12+Calculations!$M125)/(Calculations!$C$12+Calculations!$C$9)))+calculateOmega(Calculations!M125,Calculations!N125,Calculations!Q125,'Reaction Information'!$C$50,'Reaction Information'!$P$50*10^5,'Reaction Information'!$Q$50)*((1/Calculations!S125)-1)-'Reaction Information'!$P$50*10^5*((1/Calculations!$C$10)-1)+'Reaction Information'!$P$50*10^5*Calculations!$C$14*(Calculations!O125-Calculations!$C$8))</f>
        <v>-141585.42311797707</v>
      </c>
      <c r="AU125" s="8" t="e">
        <f>IF(ISBLANK(Input!$BQ$4),NA(),'Reaction Information'!$E$54-'Reaction Information'!$G$54*(Calculations!$O125-Calculations!$C$8)-'Reaction Information'!$N$54*(Calculations!$O125*LN(Calculations!$O125/Calculations!$C$8)-Calculations!$O125+Calculations!$C$8)-'Reaction Information'!$O$54*10^4*(((1/(Calculations!$O125-Calculations!$C$13))-(1/(Calculations!$C$8-Calculations!$C$13)))*((Calculations!$C$13-Calculations!$O125)/(Calculations!$C$13))-(Calculations!$O125/(Calculations!$C$13*Calculations!$C$13))*LN((Calculations!$C$8*(Calculations!$O125-Calculations!$C$13))/(Calculations!$O125*(Calculations!$C$8-Calculations!$C$13))))+'Reaction Information'!$J$54*10^-1*(Calculations!$M125-Calculations!$C$9)+'Reaction Information'!$K$54*10^2*LN((Calculations!$C$12+Calculations!$M125)/(Calculations!$C$12+Calculations!$C$9))+(1/(Calculations!$O125-Calculations!$C$13))*('Reaction Information'!$L$54*(Calculations!$M125-Calculations!$C$9)+'Reaction Information'!$M$54*10^4*LN((Calculations!$C$12+Calculations!$M125)/(Calculations!$C$12+Calculations!$C$9)))+calculateOmega(Calculations!M125,Calculations!N125,Calculations!Q125,'Reaction Information'!$C$54,'Reaction Information'!$P$54*10^5,'Reaction Information'!$Q$54)*((1/Calculations!$S125)-1)-'Reaction Information'!$P$54*10^5*((1/Calculations!$C$10)-1)+'Reaction Information'!$P$54*10^5*Calculations!$C$14*(Calculations!$O125-Calculations!$C$8))</f>
        <v>#N/A</v>
      </c>
      <c r="AV125" s="8" t="e">
        <f>IF(ISBLANK(Input!$BT$4),NA(),'Reaction Information'!$E$58-'Reaction Information'!$G$58*(Calculations!$O125-Calculations!$C$8)-'Reaction Information'!$N$58*(Calculations!$O125*LN(Calculations!$O125/Calculations!$C$8)-Calculations!$O125+Calculations!$C$8)-'Reaction Information'!$O$58*10^4*(((1/(Calculations!$O125-Calculations!$C$13))-(1/(Calculations!$C$8-Calculations!$C$13)))*((Calculations!$C$13-Calculations!$O125)/(Calculations!$C$13))-(Calculations!$O125/(Calculations!$C$13*Calculations!$C$13))*LN((Calculations!$C$8*(Calculations!$O125-Calculations!$C$13))/(Calculations!$O125*(Calculations!$C$8-Calculations!$C$13))))+'Reaction Information'!$J$58*10^-1*(Calculations!$M125-Calculations!$C$9)+'Reaction Information'!$K$58*10^2*LN((Calculations!$C$12+Calculations!$M125)/(Calculations!$C$12+Calculations!$C$9))+(1/(Calculations!$O125-Calculations!$C$13))*('Reaction Information'!$L$58*(Calculations!$M125-Calculations!$C$9)+'Reaction Information'!$M$58*10^4*LN((Calculations!$C$12+Calculations!$M125)/(Calculations!$C$12+Calculations!$C$9)))+calculateOmega(Calculations!M125,Calculations!N125,Calculations!Q125,'Reaction Information'!$C$58,'Reaction Information'!$P$58*10^5,'Reaction Information'!$Q$58)*((1/Calculations!$S125)-1)-'Reaction Information'!$P$58*10^5*((1/Calculations!$C$10)-1)+'Reaction Information'!$P$58*10^5*Calculations!$C$14*(Calculations!$O125-Calculations!$C$8))</f>
        <v>#N/A</v>
      </c>
      <c r="AW125" s="8" t="e">
        <f>IF(ISBLANK(Input!$BW$4),NA(),'Reaction Information'!$E$62-'Reaction Information'!$G$62*(Calculations!$O125-Calculations!$C$8)-'Reaction Information'!$N$62*(Calculations!$O125*LN(Calculations!$O125/Calculations!$C$8)-Calculations!$O125+Calculations!$C$8)-'Reaction Information'!$O$62*10^4*(((1/(Calculations!$O125-Calculations!$C$13))-(1/(Calculations!$C$8-Calculations!$C$13)))*((Calculations!$C$13-Calculations!$O125)/(Calculations!$C$13))-(Calculations!$O125/(Calculations!$C$13*Calculations!$C$13))*LN((Calculations!$C$8*(Calculations!$O125-Calculations!$C$13))/(Calculations!$O125*(Calculations!$C$8-Calculations!$C$13))))+'Reaction Information'!$J$62*10^-1*(Calculations!$M125-Calculations!$C$9)+'Reaction Information'!$K$62*10^2*LN((Calculations!$C$12+Calculations!$M125)/(Calculations!$C$12+Calculations!$C$9))+(1/(Calculations!$O125-Calculations!$C$13))*('Reaction Information'!$L$62*(Calculations!$M125-Calculations!$C$9)+'Reaction Information'!$M$62*10^4*LN((Calculations!$C$12+Calculations!$M125)/(Calculations!$C$12+Calculations!$C$9)))+calculateOmega(Calculations!M125,Calculations!N125,Calculations!Q125,'Reaction Information'!$C$62,'Reaction Information'!$P$62*10^5,'Reaction Information'!$Q$62)*((1/Calculations!$S125)-1)-'Reaction Information'!$P$62*10^5*((1/Calculations!$C$10)-1)+'Reaction Information'!$P$62*10^5*Calculations!$C$14*(Calculations!$O125-Calculations!$C$8))</f>
        <v>#N/A</v>
      </c>
      <c r="AX125" s="8" t="e">
        <f>IF(ISBLANK(Input!$BZ$4),NA(),'Reaction Information'!$E$66-'Reaction Information'!$G$66*(Calculations!$O125-Calculations!$C$8)-'Reaction Information'!$N$66*(Calculations!$O125*LN(Calculations!$O125/Calculations!$C$8)-Calculations!$O125+Calculations!$C$8)-'Reaction Information'!$O$66*10^4*(((1/(Calculations!$O125-Calculations!$C$13))-(1/(Calculations!$C$8-Calculations!$C$13)))*((Calculations!$C$13-Calculations!$O125)/(Calculations!$C$13))-(Calculations!$O125/(Calculations!$C$13*Calculations!$C$13))*LN((Calculations!$C$8*(Calculations!$O125-Calculations!$C$13))/(Calculations!$O125*(Calculations!$C$8-Calculations!$C$13))))+'Reaction Information'!$J$66*10^-1*(Calculations!$M125-Calculations!$C$9)+'Reaction Information'!$K$66*10^2*LN((Calculations!$C$12+Calculations!$M125)/(Calculations!$C$12+Calculations!$C$9))+(1/(Calculations!$O125-Calculations!$C$13))*('Reaction Information'!$L$66*(Calculations!$M125-Calculations!$C$9)+'Reaction Information'!$M$66*10^4*LN((Calculations!$C$12+Calculations!$M125)/(Calculations!$C$12+Calculations!$C$9)))+calculateOmega(Calculations!M125,Calculations!N125,Calculations!Q125,'Reaction Information'!$C$66,'Reaction Information'!$P$66*10^5,'Reaction Information'!$Q$66)*((1/Calculations!$S125)-1)-'Reaction Information'!$P$66*10^5*((1/Calculations!$C$10)-1)+'Reaction Information'!$P$66*10^5*Calculations!$C$14*(Calculations!$O125-Calculations!$C$8))</f>
        <v>#N/A</v>
      </c>
      <c r="AY125" s="31">
        <f>(AL125*Input!$AO$4+AM125*Input!$AR$4+AN125*Input!$AU$4+AO125*Input!$AX$4+IF(ISNA(AP125),0,AP125*Input!$BA$4)+IF(ISNA(AQ125),0,AQ125*Input!$BD$4)+IF(ISNA(AR125),0,AR125*Input!$BG$4)+IF(ISNA(AS125),0,AS125*Input!$BJ$4)+IF(ISNA(AT125),0,AT125*Input!$BM$4)+IF(ISNA(AU125),0,AU125*Input!$BP$4)+IF(ISNA(AV125),0,AV125*Input!$BS$4)+IF(ISNA(AW125),0,AW125*Input!$BV$4)+IF(ISNA(AX125),0,AX125*Input!$BY$4))-(Y125*Input!$B$4+Z125*Input!$E$4+AA125*Input!$H$4+AB125*Input!$K$4+IF(ISNA(AC125),0,AC125*Input!$N$4)+IF(ISNA(AD125),0,AD125*Input!$Q$4)+IF(ISNA(AE125),0,AE125*Input!$T$4)+IF(ISNA(AF125),0,AF125*Input!$W$4)+IF(ISNA(AG125),0,AG125*Input!$Z$4)+IF(ISNA(AH125),0,AH125*Input!$AC$4)+IF(ISNA(AI125),0,AI125*Input!$AF$4)+IF(ISNA(AJ125),0,AJ125*Input!$AI$4)+IF(ISNA(AK125),0,AK125*Input!$AL$4))</f>
        <v>32906.347242047108</v>
      </c>
      <c r="AZ125" s="42">
        <f t="shared" si="35"/>
        <v>-5.6523881265314859</v>
      </c>
      <c r="BA125" s="1">
        <f t="shared" si="27"/>
        <v>1000</v>
      </c>
      <c r="BB125" s="46">
        <f t="shared" si="28"/>
        <v>40000</v>
      </c>
      <c r="BC125" s="1"/>
      <c r="BD125" s="2">
        <f t="shared" si="29"/>
        <v>40000</v>
      </c>
      <c r="BE125" s="46">
        <f t="shared" si="30"/>
        <v>1000</v>
      </c>
      <c r="BF125" s="1">
        <f>Results!AJ127</f>
        <v>0</v>
      </c>
      <c r="BG125" s="1">
        <f>Results!AK127</f>
        <v>0</v>
      </c>
      <c r="BH125" s="1">
        <f>Results!AL127</f>
        <v>0</v>
      </c>
      <c r="BI125" s="1">
        <f>Results!AM127</f>
        <v>0</v>
      </c>
      <c r="BJ125" s="1" t="e">
        <f>IF(OR(ISNA('Reaction Information'!$D$5), $N125 = "", $D$27 = FALSE, 'Reaction Information'!$D$5 = ""), NA(), 24.465)</f>
        <v>#N/A</v>
      </c>
      <c r="BK125" s="1" t="e">
        <f>IF(OR(ISNA('Reaction Information'!$D$9), $N125 = "", $D$27 = FALSE, 'Reaction Information'!$D$9 = ""), NA(), 24.465)</f>
        <v>#N/A</v>
      </c>
      <c r="BL125" s="8">
        <f t="shared" si="36"/>
        <v>14.829665262769913</v>
      </c>
      <c r="BM125" s="8">
        <f>IF(OR(ISBLANK(Input!$X$4),$D$27=FALSE),NA(),('Reaction Information'!$J$13/10+'Reaction Information'!$K$13*100/(Calculations!$C$12+Calculations!$M125)+('Reaction Information'!$L$13+'Reaction Information'!$M$13*10^4/(Calculations!$C$12+Calculations!$M125))/(Calculations!$O125-Calculations!$C$13) -calculateOmega(Calculations!$M125,Calculations!$N125,Calculations!$Q125,'Reaction Information'!$C$13,'Reaction Information'!$P$13*10^5,'Reaction Information'!$Q$13)*Calculations!$U125*10^-6 + (1/$S125 - 1)*calculate_domegadP(Calculations!$M125,Calculations!$N125,Calculations!$Q125,'Reaction Information'!$C$13,'Reaction Information'!$P$13*10^5,'Reaction Information'!$Q$13,$D$20,$D$19=3))*41.84)</f>
        <v>30.417296726327947</v>
      </c>
      <c r="BN125" s="8" t="e">
        <f>IF(OR(ISBLANK(Input!$AA$4),$D$27=FALSE),NA(),('Reaction Information'!$J$17/10+'Reaction Information'!$K$17*100/(Calculations!$C$12+Calculations!$M125)+('Reaction Information'!$L$17+'Reaction Information'!$M$17*10000/(Calculations!$C$12+Calculations!$M125))/(Calculations!$O125-Calculations!$C$13)-calculateOmega(Calculations!M125,Calculations!N125,Calculations!Q125,'Reaction Information'!$C$17,'Reaction Information'!$P$17*10^5,'Reaction Information'!$Q$17)*Calculations!$U125*10^-6 + (1/$S125 - 1)*calculate_domegadP(Calculations!M125,Calculations!N125,Calculations!Q125,'Reaction Information'!$C$17,'Reaction Information'!$P$17*10^5,'Reaction Information'!$Q$17,$D$20,$D$19=3))*41.84)</f>
        <v>#N/A</v>
      </c>
      <c r="BO125" s="8" t="e">
        <f>IF(OR(ISBLANK(Input!$AD$4),$D$27=FALSE),NA(),('Reaction Information'!$J$21/10+'Reaction Information'!$K$21*100/(Calculations!$C$12+Calculations!$M125)+('Reaction Information'!$L$21+'Reaction Information'!$M$21*10000/(Calculations!$C$12+Calculations!$M125))/(Calculations!$O125-Calculations!$C$13)-calculateOmega(Calculations!M125,Calculations!N125,Calculations!Q125,'Reaction Information'!$C$21,'Reaction Information'!$P$21*10^5,'Reaction Information'!$Q$21)*Calculations!$U125*10^-6 + (1/$S125 - 1)*calculate_domegadP(Calculations!M125,Calculations!N125,Calculations!Q125,'Reaction Information'!$C$21,'Reaction Information'!$P$21*10^5,'Reaction Information'!$Q$21,$D$20,$D$19=3))*41.84)</f>
        <v>#N/A</v>
      </c>
      <c r="BP125" s="8" t="e">
        <f>IF(OR(ISBLANK(Input!$AG$4),$D$27=FALSE),NA(),('Reaction Information'!$J$25/10+'Reaction Information'!$K$25*100/(Calculations!$C$12+Calculations!$M125)+('Reaction Information'!$L$25+'Reaction Information'!$M$25*10000/(Calculations!$C$12+Calculations!$M125))/(Calculations!$O125-Calculations!$C$13)-calculateOmega(Calculations!M125,Calculations!N125,Calculations!Q125,'Reaction Information'!$C$25,'Reaction Information'!$P$25*10^5,'Reaction Information'!$Q$25)*Calculations!$U125*10^-6 + (1/$S125 - 1)*calculate_domegadP(Calculations!M125,Calculations!N125,Calculations!Q125,'Reaction Information'!$C$25,'Reaction Information'!$P$25*10^5,'Reaction Information'!$Q$25,$D$20,$D$19=3))*41.84)</f>
        <v>#N/A</v>
      </c>
      <c r="BQ125" s="8" t="e">
        <f>IF(OR(ISBLANK(Input!$AJ$4),$D$27=FALSE),NA(),('Reaction Information'!$J$29/10+'Reaction Information'!$K$29*100/(Calculations!$C$12+Calculations!$M125)+('Reaction Information'!$L$29+'Reaction Information'!$M$29*10000/(Calculations!$C$12+Calculations!$M125))/(Calculations!$O125-Calculations!$C$13)-calculateOmega(Calculations!M125,Calculations!N125,Calculations!Q125,'Reaction Information'!$C$29,'Reaction Information'!$P$29*10^5,'Reaction Information'!$Q$29)*Calculations!$U125*10^-6 + (1/$S125 - 1)*calculate_domegadP(Calculations!M125,Calculations!N125,Calculations!Q125,'Reaction Information'!$C$29,'Reaction Information'!$P$29*10^5,'Reaction Information'!$Q$29,$D$20,$D$19=3))*41.84)</f>
        <v>#N/A</v>
      </c>
      <c r="BR125" s="8" t="e">
        <f>IF(OR(ISBLANK(Input!$AM$4),$D$27=FALSE),NA(),('Reaction Information'!$J$33/10+'Reaction Information'!$K$33*100/(Calculations!$C$12+Calculations!$M125)+('Reaction Information'!$L$33+'Reaction Information'!$M$33*10000/(Calculations!$C$12+Calculations!$M125))/(Calculations!$O125-Calculations!$C$13)-calculateOmega(Calculations!M125,Calculations!N125,Calculations!Q125,'Reaction Information'!$C$33,'Reaction Information'!$P$33*10^5,'Reaction Information'!$Q$33)*Calculations!$U125*10^-6 + (1/$S125 - 1)*calculate_domegadP(Calculations!M125,Calculations!N125,Calculations!Q125,'Reaction Information'!$C$33,'Reaction Information'!$P$33*10^5,'Reaction Information'!$Q$33,$D$20,$D$19=3))*41.84)</f>
        <v>#N/A</v>
      </c>
      <c r="BS125" s="1">
        <f>Results!AW127</f>
        <v>0</v>
      </c>
      <c r="BT125" s="1">
        <f>Results!AX127</f>
        <v>0</v>
      </c>
      <c r="BU125" s="1">
        <f>Results!AY127</f>
        <v>0</v>
      </c>
      <c r="BV125" s="1">
        <f>Results!AZ127</f>
        <v>0</v>
      </c>
      <c r="BW125" s="1" t="e">
        <f>IF(OR(ISNA('Reaction Information'!$D$38), $N125 = "", $D$27 = FALSE, 'Reaction Information'!$D$38 = ""), NA(), 24.465)</f>
        <v>#N/A</v>
      </c>
      <c r="BX125" s="1" t="e">
        <f>IF(OR(ISNA('Reaction Information'!$D$42), $N125 = "", $D$27 = FALSE, 'Reaction Information'!$D$42 = ""), NA(), 24.465)</f>
        <v>#N/A</v>
      </c>
      <c r="BY125" s="8" t="e">
        <f t="shared" si="37"/>
        <v>#N/A</v>
      </c>
      <c r="BZ125" s="8">
        <f>IF(OR(ISBLANK(Input!$BK$4),$D$27=FALSE),NA(),('Reaction Information'!$J$46/10+'Reaction Information'!$K$46*100/(Calculations!$C$12+Calculations!$M125)+('Reaction Information'!$L$46+'Reaction Information'!$M$46*10000/(Calculations!$C$12+Calculations!$M125))/(Calculations!$O125-Calculations!$C$13)-calculateOmega(Calculations!M125,Calculations!N125,Calculations!Q125,'Reaction Information'!$C$46,'Reaction Information'!$P$46*10^5,'Reaction Information'!$Q$46)*Calculations!$U125*10^-6 + (1/$S125 - 1)*calculate_domegadP(Calculations!M125,Calculations!N125,Calculations!Q125,'Reaction Information'!$C$46,'Reaction Information'!$P$46*10^5,'Reaction Information'!$Q$46,$D$20,$D$19=3))*41.84)</f>
        <v>0</v>
      </c>
      <c r="CA125" s="8">
        <f>IF(OR(ISBLANK(Input!$BN$4),$D$27=FALSE),NA(),('Reaction Information'!$J$50/10+'Reaction Information'!$K$50*100/(Calculations!$C$12+Calculations!$M125)+('Reaction Information'!$L$50+'Reaction Information'!$M$50*10000/(Calculations!$C$12+Calculations!$M125))/(Calculations!$O125-Calculations!$C$13)-calculateOmega(Calculations!M125,Calculations!N125,Calculations!Q125,'Reaction Information'!$C$50,'Reaction Information'!$P$50*10^5,'Reaction Information'!$Q$50)*Calculations!$U125*10^-6 + (1/$S125 - 1)*calculate_domegadP(Calculations!M125,Calculations!N125,Calculations!Q125,'Reaction Information'!$C$50,'Reaction Information'!$P$50*10^5,'Reaction Information'!$Q$50,$D$20,$D$19=3))*41.84)</f>
        <v>30.55818606249969</v>
      </c>
      <c r="CB125" s="8" t="e">
        <f>IF(OR(ISBLANK(Input!$BQ$4),$D$27=FALSE),NA(),('Reaction Information'!$J$54/10+'Reaction Information'!$K$54*100/(Calculations!$C$12+Calculations!$M125)+('Reaction Information'!$L$54+'Reaction Information'!$M$54*10000/(Calculations!$C$12+Calculations!$M125))/(Calculations!$O125-Calculations!$C$13)-calculateOmega(Calculations!M125,Calculations!N125,Calculations!Q125,'Reaction Information'!$C$54,'Reaction Information'!$P$54*10^5,'Reaction Information'!$Q$54)*Calculations!$U125*10^-6 + (1/$S125 - 1)*calculate_domegadP(Calculations!M125,Calculations!N125,Calculations!Q125,'Reaction Information'!$C$54,'Reaction Information'!$P$54*10^5,'Reaction Information'!$Q$54,$D$20,$D$19=3))*41.84)</f>
        <v>#N/A</v>
      </c>
      <c r="CC125" s="8" t="e">
        <f>IF(OR(ISBLANK(Input!$BT$4),$D$27=FALSE),NA(),('Reaction Information'!$J$58/10+'Reaction Information'!$K$58*100/(Calculations!$C$12+Calculations!$M125)+('Reaction Information'!$L$58+'Reaction Information'!$M$58*10000/(Calculations!$C$12+Calculations!$M125))/(Calculations!$O125-Calculations!$C$13)-calculateOmega(Calculations!M125,Calculations!N125,Calculations!Q125,'Reaction Information'!$C$58,'Reaction Information'!$P$58*10^5,'Reaction Information'!$Q$58)*Calculations!$U125*10^-6 + (1/$S125 - 1)*calculate_domegadP(Calculations!M125,Calculations!N125,Calculations!Q125,'Reaction Information'!$C$58,'Reaction Information'!$P$58*10^5,'Reaction Information'!$Q$58,$D$20,$D$19=3))*41.84)</f>
        <v>#N/A</v>
      </c>
      <c r="CD125" s="8" t="e">
        <f>IF(OR(ISBLANK(Input!$BW$4),$D$27=FALSE),NA(),('Reaction Information'!$J$62/10+'Reaction Information'!$K$62*100/(Calculations!$C$12+Calculations!$M125)+('Reaction Information'!$L$62+'Reaction Information'!$M$62*10000/(Calculations!$C$12+Calculations!$M125))/(Calculations!$O125-Calculations!$C$13)-calculateOmega(Calculations!M125,Calculations!N125,Calculations!Q125,'Reaction Information'!$C$62,'Reaction Information'!$P$62*10^5,'Reaction Information'!$Q$62)*Calculations!$U125*10^-6 + (1/$S125 - 1)*calculate_domegadP(Calculations!M125,Calculations!N125,Calculations!Q125,'Reaction Information'!$C$62,'Reaction Information'!$P$62*10^5,'Reaction Information'!$Q$62,$D$20,$D$19=3))*41.84)</f>
        <v>#N/A</v>
      </c>
      <c r="CE125" s="8" t="e">
        <f>IF(OR(ISBLANK(Input!$BZ$4),$D$27=FALSE),NA(),('Reaction Information'!$J$66/10+'Reaction Information'!$K$66*100/(Calculations!$C$12+Calculations!$M125)+('Reaction Information'!$L$66+'Reaction Information'!$M$66*10000/(Calculations!$C$12+Calculations!$M125))/(Calculations!$O125-Calculations!$C$13)-calculateOmega(Calculations!M125,Calculations!N125,Calculations!Q125,'Reaction Information'!$C$66,'Reaction Information'!$P$66*10^5,'Reaction Information'!$Q$66)*Calculations!$U125*10^-6 + (1/$S125 - 1)*calculate_domegadP(Calculations!M125,Calculations!N125,Calculations!Q125,'Reaction Information'!$C$66,'Reaction Information'!$P$66*10^5,'Reaction Information'!$Q$66,$D$20,$D$19=3))*41.84)</f>
        <v>#N/A</v>
      </c>
      <c r="CF125" s="31">
        <f>(BS125*Input!$AO$4+BT125*Input!$AR$4+BU125*Input!$AU$4+BV125*Input!$AX$4+IF(ISNA(BW125),0,BW125*Input!$BA$4)+IF(ISNA(BX125),0,BX125*Input!$BD$4)+IF(ISNA(BY125),0,BY125*Input!$BG$4)+IF(ISNA(BZ125),0,BZ125*Input!$BJ$4)+IF(ISNA(CA125),0,CA125*Input!$BM$4)+IF(ISNA(CB125),0,CB125*Input!$BP$4)+IF(ISNA(CC125),0,CC125*Input!$BS$4)+IF(ISNA(CD125),0,CD125*Input!$BV$4)+IF(ISNA(CE125),0,CE125*Input!$BY$4))-(BF125*Input!$B$4+BG125*Input!$E$4+BH125*Input!$H$4+BI125*Input!$K$4+IF(ISNA(BJ125),0,BJ125*Input!$N$4)+IF(ISNA(BK125),0,BK125*Input!$Q$4)+IF(ISNA(BL125),0,BL125*Input!$T$4)+IF(ISNA(BM125),0,BM125*Input!$W$4)+IF(ISNA(BN125),0,BN125*Input!$Z$4)+IF(ISNA(BO125),0,BO125*Input!$AC$4)+IF(ISNA(BP125),0,BP125*Input!$AF$4)+IF(ISNA(BQ125),0,BQ125*Input!$AI$4)+IF(ISNA(BR125),0,BR125*Input!$AL$4))</f>
        <v>-14.688775926598172</v>
      </c>
      <c r="CG125" s="1">
        <f t="shared" si="31"/>
        <v>1000</v>
      </c>
      <c r="CH125" s="46">
        <f t="shared" si="32"/>
        <v>40000</v>
      </c>
      <c r="CI125" s="1"/>
    </row>
    <row r="126" spans="1:87" x14ac:dyDescent="0.2">
      <c r="A126" s="1"/>
      <c r="B126" s="1"/>
      <c r="C126" s="1"/>
      <c r="D126" s="1"/>
      <c r="E126" s="1"/>
      <c r="F126" s="2">
        <v>121</v>
      </c>
      <c r="G126" s="1" t="str">
        <f>IF(ISBLANK(Input!CB126), "", Input!CB126*1000)</f>
        <v/>
      </c>
      <c r="H126" s="1" t="str">
        <f>IF(ISBLANK(Input!CC126), "", Input!CC126)</f>
        <v/>
      </c>
      <c r="I126" s="1">
        <f>IF(Input!$CF$5 + Input!$CF$6*(FLOOR((Calculations!$F126-1)/(FLOOR((Input!$CF$12-Input!$CF$10)/Input!$CF$11,1)+1),1)) &gt; Input!$CF$7, "", (Input!$CF$5 + Input!$CF$6*(FLOOR((Calculations!$F126-1)/(FLOOR((Input!$CF$12-Input!$CF$10)/Input!$CF$11,1)+1),1)))*1000)</f>
        <v>45000</v>
      </c>
      <c r="J126" s="1">
        <f>IF(Calculations!I126 = "", "", Input!$CF$10 + Input!$CF$11*(Calculations!$F126-1) - (FLOOR((Input!$CF$12-Input!$CF$10)/Input!$CF$11,1)+1)*Input!$CF$11*FLOOR((Calculations!$F126-1)/(FLOOR((Input!$CF$12-Input!$CF$10)/Input!$CF$11,1)+1),1))</f>
        <v>300</v>
      </c>
      <c r="K126" s="8" t="str">
        <f t="shared" si="33"/>
        <v/>
      </c>
      <c r="L126" s="117" t="str">
        <f>IF(OR(Input!$CJ$5 + Input!$CJ$6*(Calculations!F126-1) &gt; Input!$CJ$7, Input!$CJ$5 + Input!$CJ$6*(Calculations!F126-1) &gt; 350), "", Input!$CJ$5 + Input!$CJ$6*(Calculations!F126-1))</f>
        <v/>
      </c>
      <c r="M126" s="1">
        <f t="shared" si="23"/>
        <v>45000</v>
      </c>
      <c r="N126" s="1">
        <f t="shared" si="24"/>
        <v>300</v>
      </c>
      <c r="O126" s="1">
        <f t="shared" si="34"/>
        <v>573.15</v>
      </c>
      <c r="P126" s="1" t="e">
        <f>IF(OR($D$20=3,AND($D$21=TRUE,M126&lt;1000)),INDEX('Water Density'!$C$6:$CX$120,MATCH(Calculations!N126,'Water Density'!$B$6:$B$120),MATCH(Calculations!M126/1000,'Water Density'!$C$5:$CX$5)),NA())</f>
        <v>#N/A</v>
      </c>
      <c r="Q126" s="182">
        <f>IF(OR($D$20=3,AND($D$21=TRUE,M126&lt;1000)), IF(P126&lt;&gt;0,P126,NA()), calculateDensity(M126,N126,$D$20,0.01,$D$19 = 3))</f>
        <v>1.442749854990244</v>
      </c>
      <c r="R126" s="1" t="e">
        <f>IF($D$22=5,INDEX('Dielectric Constant'!$C$6:$CX$120,MATCH(Calculations!N126,'Dielectric Constant'!$B$6:$B$120),MATCH(Calculations!M126/1000,'Dielectric Constant'!$C$5:$CX$5)),NA())</f>
        <v>#N/A</v>
      </c>
      <c r="S126" s="58">
        <f>IF($D$22=5, IF(R126&lt;&gt;0,R126,NA()), IF(AND($D$23,M126&lt;=5000,$D$19 &lt;&gt; 3),calculateEpsilon(Q126,N126,1,FALSE),calculateEpsilon(Q126,N126,$D$22,$D$19 = 3)))</f>
        <v>58.524886798720893</v>
      </c>
      <c r="T126" s="1" t="e">
        <f>IF($D$24=3,INDEX('Water Free Energy'!$C$6:$CX$120,MATCH(Calculations!N126,'Water Free Energy'!$B$6:$B$120),MATCH(Calculations!M126/1000,'Water Free Energy'!$C$5:$CX$5)),NA())</f>
        <v>#N/A</v>
      </c>
      <c r="U126" s="179">
        <f>IF($D$27,calculateQ(M126,N126,Q126,$D$20,$D$22,$D$19=3)*10^6,NA())</f>
        <v>8.6097418814871027E-2</v>
      </c>
      <c r="V126"/>
      <c r="W126" s="2">
        <f t="shared" si="25"/>
        <v>45000</v>
      </c>
      <c r="X126" s="1">
        <f t="shared" si="26"/>
        <v>300</v>
      </c>
      <c r="Y126" s="1">
        <f>Results!F128</f>
        <v>0</v>
      </c>
      <c r="Z126" s="1">
        <f>Results!G128</f>
        <v>0</v>
      </c>
      <c r="AA126" s="1">
        <f>Results!H128</f>
        <v>0</v>
      </c>
      <c r="AB126" s="1">
        <f>Results!I128</f>
        <v>0</v>
      </c>
      <c r="AC126" s="1" t="e">
        <f>IF(ISBLANK(Input!$O$4),NA(),'Reaction Information'!$E$5-'Reaction Information'!$G$5*(Calculations!$O126-Calculations!$C$8)+'Reaction Information'!$I$5*(Calculations!$O126-Calculations!$C$8-Calculations!$O126*LN(Calculations!$O126/Calculations!$C$8))+'Reaction Information'!$J$5*0.001/2*(2*Calculations!$O126*Calculations!$C$8-Calculations!$O126^2-Calculations!$C$8^2) + 'Reaction Information'!$K$5*100000*(Calculations!$O126^2 + Calculations!$C$8^2 - 2*Calculations!$O126*Calculations!$C$8)/(2*Calculations!$O126*Calculations!$C$8^2))</f>
        <v>#N/A</v>
      </c>
      <c r="AD126" s="8" t="e">
        <f>IF(ISBLANK(Input!$R$4),NA(),'Reaction Information'!$E$9-'Reaction Information'!$G$9*(Calculations!$O126-Calculations!$C$8)+'Reaction Information'!$I$9*(Calculations!$O126-Calculations!$C$8-Calculations!$O126*LN(Calculations!$O126/Calculations!$C$8))+'Reaction Information'!$J$9*0.001/2*(2*Calculations!$O126*Calculations!$C$8-Calculations!$O126^2-Calculations!$C$8^2) + 'Reaction Information'!$K$9*100000*(Calculations!$O126^2 + Calculations!$C$8^2 - 2*Calculations!$O126*Calculations!$C$8)/(2*Calculations!$O126*Calculations!$C$8^2))</f>
        <v>#N/A</v>
      </c>
      <c r="AE126" s="8">
        <f>IF(AE$5="H2O",IF($D$24=3,IF(T126=0,NA(),T126),calculateGibbsOfWater(M126,N126,$D$24,$D$20,$D$19=3)),NA())</f>
        <v>-46948.006609836382</v>
      </c>
      <c r="AF126" s="8">
        <f>IF(ISBLANK(Input!$X$4),NA(),'Reaction Information'!$E$13-'Reaction Information'!$G$13*(Calculations!O126-Calculations!$C$8)-'Reaction Information'!$N$13*(Calculations!O126*LN(Calculations!O126/Calculations!$C$8)-Calculations!O126+Calculations!$C$8)-'Reaction Information'!$O$13*10^4*(((1/(Calculations!O126-Calculations!$C$13))-(1/(Calculations!$C$8-Calculations!$C$13)))*((Calculations!$C$13-Calculations!O126)/(Calculations!$C$13))-(Calculations!O126/(Calculations!$C$13*Calculations!$C$13))*LN((Calculations!$C$8*(Calculations!O126-Calculations!$C$13))/(Calculations!O126*(Calculations!$C$8-Calculations!$C$13))))+'Reaction Information'!$J$13*10^-1*(Calculations!M126-Calculations!$C$9)+'Reaction Information'!$K$13*10^2*LN((Calculations!$C$12+Calculations!M126)/(Calculations!$C$12+Calculations!$C$9))+(1/(Calculations!O126-Calculations!$C$13))*('Reaction Information'!$L$13*(Calculations!M126-Calculations!$C$9)+'Reaction Information'!$M$13*10^4*LN((Calculations!$C$12+Calculations!M126)/(Calculations!$C$12+Calculations!$C$9)))+calculateOmega(Calculations!M126,Calculations!N126,Calculations!Q126,'Reaction Information'!$C$13,'Reaction Information'!$P$13*10^5,'Reaction Information'!$Q$13)*((1/Calculations!S126)-1)-'Reaction Information'!$P$13*10^5*((1/Calculations!$C$10)-1)+'Reaction Information'!$P$13*10^5*Calculations!$C$14*(Calculations!O126-Calculations!$C$8))</f>
        <v>-69864.251362135183</v>
      </c>
      <c r="AG126" s="8" t="e">
        <f>IF(ISBLANK(Input!$AA$4),NA(),'Reaction Information'!$E$17-'Reaction Information'!$G$17*(Calculations!$O126-Calculations!$C$8)-'Reaction Information'!$N$17*(Calculations!$O126*LN(Calculations!$O126/Calculations!$C$8)-Calculations!$O126+Calculations!$C$8)-'Reaction Information'!$O$17*10^4*(((1/(Calculations!$O126-Calculations!$C$13))-(1/(Calculations!$C$8-Calculations!$C$13)))*((Calculations!$C$13-Calculations!$O126)/(Calculations!$C$13))-(Calculations!$O126/(Calculations!$C$13*Calculations!$C$13))*LN((Calculations!$C$8*(Calculations!$O126-Calculations!$C$13))/(Calculations!$O126*(Calculations!$C$8-Calculations!$C$13))))+'Reaction Information'!$J$17*10^-1*(Calculations!$M126-Calculations!$C$9)+'Reaction Information'!$K$17*10^2*LN((Calculations!$C$12+Calculations!$M126)/(Calculations!$C$12+Calculations!$C$9))+(1/(Calculations!$O126-Calculations!$C$13))*('Reaction Information'!$L$17*(Calculations!$M126-Calculations!$C$9)+'Reaction Information'!$M$17*10^4*LN((Calculations!$C$12+Calculations!$M126)/(Calculations!$C$12+Calculations!$C$9)))+calculateOmega(Calculations!M126,Calculations!N126,Calculations!Q126,'Reaction Information'!$C$17,'Reaction Information'!$P$17*10^5,'Reaction Information'!$Q$17)*((1/Calculations!$S126)-1)-'Reaction Information'!$P$17*10^5*((1/Calculations!$C$10)-1)+'Reaction Information'!$P$17*10^5*Calculations!$C$14*(Calculations!$O126-Calculations!$C$8))</f>
        <v>#N/A</v>
      </c>
      <c r="AH126" s="8" t="e">
        <f>IF(ISBLANK(Input!$AD$4),NA(),'Reaction Information'!$E$21-'Reaction Information'!$G$21*(Calculations!$O126-Calculations!$C$8)-'Reaction Information'!$N$21*(Calculations!$O126*LN(Calculations!$O126/Calculations!$C$8)-Calculations!$O126+Calculations!$C$8)-'Reaction Information'!$O$21*10^4*(((1/(Calculations!$O126-Calculations!$C$13))-(1/(Calculations!$C$8-Calculations!$C$13)))*((Calculations!$C$13-Calculations!$O126)/(Calculations!$C$13))-(Calculations!$O126/(Calculations!$C$13*Calculations!$C$13))*LN((Calculations!$C$8*(Calculations!$O126-Calculations!$C$13))/(Calculations!$O126*(Calculations!$C$8-Calculations!$C$13))))+'Reaction Information'!$J$21*10^-1*(Calculations!$M126-Calculations!$C$9)+'Reaction Information'!$K$21*10^2*LN((Calculations!$C$12+Calculations!$M126)/(Calculations!$C$12+Calculations!$C$9))+(1/(Calculations!$O126-Calculations!$C$13))*('Reaction Information'!$L$21*(Calculations!$M126-Calculations!$C$9)+'Reaction Information'!$M$21*10^4*LN((Calculations!$C$12+Calculations!$M126)/(Calculations!$C$12+Calculations!$C$9)))+calculateOmega(Calculations!M126,Calculations!N126,Calculations!Q126,'Reaction Information'!$C$21,'Reaction Information'!$P$21*10^5,'Reaction Information'!$Q$21)*((1/Calculations!$S126)-1)-'Reaction Information'!$P$21*10^5*((1/Calculations!$C$10)-1)+'Reaction Information'!$P$21*10^5*Calculations!$C$14*(Calculations!$O126-Calculations!$C$8))</f>
        <v>#N/A</v>
      </c>
      <c r="AI126" s="8" t="e">
        <f>IF(ISBLANK(Input!$AG$4),NA(),'Reaction Information'!$E$25-'Reaction Information'!$G$25*(Calculations!$O126-Calculations!$C$8)-'Reaction Information'!$N$25*(Calculations!$O126*LN(Calculations!$O126/Calculations!$C$8)-Calculations!$O126+Calculations!$C$8)-'Reaction Information'!$O$25*10^4*(((1/(Calculations!$O126-Calculations!$C$13))-(1/(Calculations!$C$8-Calculations!$C$13)))*((Calculations!$C$13-Calculations!$O126)/(Calculations!$C$13))-(Calculations!$O126/(Calculations!$C$13*Calculations!$C$13))*LN((Calculations!$C$8*(Calculations!$O126-Calculations!$C$13))/(Calculations!$O126*(Calculations!$C$8-Calculations!$C$13))))+'Reaction Information'!$J$25*10^-1*(Calculations!$M126-Calculations!$C$9)+'Reaction Information'!$K$25*10^2*LN((Calculations!$C$12+Calculations!$M126)/(Calculations!$C$12+Calculations!$C$9))+(1/(Calculations!$O126-Calculations!$C$13))*('Reaction Information'!$L$25*(Calculations!$M126-Calculations!$C$9)+'Reaction Information'!$M$25*10^4*LN((Calculations!$C$12+Calculations!$M126)/(Calculations!$C$12+Calculations!$C$9)))+calculateOmega(Calculations!M126,Calculations!N126,Calculations!Q126,'Reaction Information'!$C$25,'Reaction Information'!$P$25*10^5,'Reaction Information'!$Q$25)*((1/Calculations!$S126)-1)-'Reaction Information'!$P$25*10^5*((1/Calculations!$C$10)-1)+'Reaction Information'!$P$25*10^5*Calculations!$C$14*(Calculations!$O126-Calculations!$C$8))</f>
        <v>#N/A</v>
      </c>
      <c r="AJ126" s="8" t="e">
        <f>IF(ISBLANK(Input!$AJ$4),NA(),'Reaction Information'!$E$29-'Reaction Information'!$G$29*(Calculations!$O126-Calculations!$C$8)-'Reaction Information'!$N$29*(Calculations!$O126*LN(Calculations!$O126/Calculations!$C$8)-Calculations!$O126+Calculations!$C$8)-'Reaction Information'!$O$29*10^4*(((1/(Calculations!$O126-Calculations!$C$13))-(1/(Calculations!$C$8-Calculations!$C$13)))*((Calculations!$C$13-Calculations!$O126)/(Calculations!$C$13))-(Calculations!$O126/(Calculations!$C$13*Calculations!$C$13))*LN((Calculations!$C$8*(Calculations!$O126-Calculations!$C$13))/(Calculations!$O126*(Calculations!$C$8-Calculations!$C$13))))+'Reaction Information'!$J$29*10^-1*(Calculations!$M126-Calculations!$C$9)+'Reaction Information'!$K$29*10^2*LN((Calculations!$C$12+Calculations!$M126)/(Calculations!$C$12+Calculations!$C$9))+(1/(Calculations!$O126-Calculations!$C$13))*('Reaction Information'!$L$29*(Calculations!$M126-Calculations!$C$9)+'Reaction Information'!$M$29*10^4*LN((Calculations!$C$12+Calculations!$M126)/(Calculations!$C$12+Calculations!$C$9)))+calculateOmega(Calculations!M126,Calculations!N126,Calculations!Q126,'Reaction Information'!$C$29,'Reaction Information'!$P$29*10^5,'Reaction Information'!$Q$29)*((1/Calculations!$S126)-1)-'Reaction Information'!$P$29*10^5*((1/Calculations!$C$10)-1)+'Reaction Information'!$P$29*10^5*Calculations!$C$14*(Calculations!$O126-Calculations!$C$8))</f>
        <v>#N/A</v>
      </c>
      <c r="AK126" s="8" t="e">
        <f>IF(ISBLANK(Input!$AM$4),NA(),'Reaction Information'!$E$33-'Reaction Information'!$G$33*(Calculations!$O126-Calculations!$C$8)-'Reaction Information'!$N$33*(Calculations!$O126*LN(Calculations!$O126/Calculations!$C$8)-Calculations!$O126+Calculations!$C$8)-'Reaction Information'!$O$33*10^4*(((1/(Calculations!$O126-Calculations!$C$13))-(1/(Calculations!$C$8-Calculations!$C$13)))*((Calculations!$C$13-Calculations!$O126)/(Calculations!$C$13))-(Calculations!$O126/(Calculations!$C$13*Calculations!$C$13))*LN((Calculations!$C$8*(Calculations!$O126-Calculations!$C$13))/(Calculations!$O126*(Calculations!$C$8-Calculations!$C$13))))+'Reaction Information'!$J$33*10^-1*(Calculations!$M126-Calculations!$C$9)+'Reaction Information'!$K$33*10^2*LN((Calculations!$C$12+Calculations!$M126)/(Calculations!$C$12+Calculations!$C$9))+(1/(Calculations!$O126-Calculations!$C$13))*('Reaction Information'!$L$33*(Calculations!$M126-Calculations!$C$9)+'Reaction Information'!$M$33*10^4*LN((Calculations!$C$12+Calculations!$M126)/(Calculations!$C$12+Calculations!$C$9)))+calculateOmega(Calculations!M126,Calculations!N126,Calculations!Q126,'Reaction Information'!$C$33,'Reaction Information'!$P$33*10^5,'Reaction Information'!$Q$33)*((1/Calculations!$S126)-1)-'Reaction Information'!$P$33*10^5*((1/Calculations!$C$10)-1)+'Reaction Information'!$P$33*10^5*Calculations!$C$14*(Calculations!$O126-Calculations!$C$8))</f>
        <v>#N/A</v>
      </c>
      <c r="AL126" s="1">
        <f>Results!S128</f>
        <v>0</v>
      </c>
      <c r="AM126" s="1">
        <f>Results!T128</f>
        <v>0</v>
      </c>
      <c r="AN126" s="1">
        <f>Results!U128</f>
        <v>0</v>
      </c>
      <c r="AO126" s="1">
        <f>Results!V128</f>
        <v>0</v>
      </c>
      <c r="AP126" s="8" t="e">
        <f>IF(ISBLANK(Input!$BB$4),NA(),'Reaction Information'!$E$38-'Reaction Information'!$G$38*(Calculations!$O126-Calculations!$C$8)+'Reaction Information'!$I$38*(Calculations!$O126-Calculations!$C$8-Calculations!$O126*LN(Calculations!$O126/Calculations!$C$8))+'Reaction Information'!$J$38*0.001/2*(2*Calculations!$O126*Calculations!$C$8-Calculations!$O126^2-Calculations!$C$8^2) + 'Reaction Information'!$K$38*100000*(Calculations!$O126^2 + Calculations!$C$8^2 - 2*Calculations!$O126*Calculations!$C$8)/(2*Calculations!$O126*Calculations!$C$8^2))</f>
        <v>#N/A</v>
      </c>
      <c r="AQ126" s="8" t="e">
        <f>IF(ISBLANK(Input!$BE$4),NA(),'Reaction Information'!$E$42-'Reaction Information'!$G$42*(Calculations!$O126-Calculations!$C$8)+'Reaction Information'!$I$42*(Calculations!$O126-Calculations!$C$8-Calculations!$O126*LN(Calculations!$O126/Calculations!$C$8))+'Reaction Information'!$J$42*0.001/2*(2*Calculations!$O126*Calculations!$C$8-Calculations!$O126^2-Calculations!$C$8^2) + 'Reaction Information'!$K$42*100000*(Calculations!$O126^2 + Calculations!$C$8^2 - 2*Calculations!$O126*Calculations!$C$8)/(2*Calculations!$O126*Calculations!$C$8^2))</f>
        <v>#N/A</v>
      </c>
      <c r="AR126" s="8" t="e">
        <f>IF(AR$5="H2O", IF($D$24=3,IF(T126=0,NA(),T126),calculateGibbsOfWater(M126,N126,$D$24,$D$20,$D$19=3)),NA())</f>
        <v>#N/A</v>
      </c>
      <c r="AS126" s="8">
        <f>IF(ISBLANK(Input!$BK$4),NA(),'Reaction Information'!$E$46-'Reaction Information'!$G$46*(Calculations!O126-Calculations!$C$8)-'Reaction Information'!$N$46*(Calculations!O126*LN(Calculations!O126/Calculations!$C$8)-Calculations!O126+Calculations!$C$8)-'Reaction Information'!$O$46*10^4*(((1/(Calculations!O126-Calculations!$C$13))-(1/(Calculations!$C$8-Calculations!$C$13)))*((Calculations!$C$13-Calculations!O126)/(Calculations!$C$13))-(Calculations!O126/(Calculations!$C$13*Calculations!$C$13))*LN((Calculations!$C$8*(Calculations!O126-Calculations!$C$13))/(Calculations!O126*(Calculations!$C$8-Calculations!$C$13))))+'Reaction Information'!$J$46*10^-1*(Calculations!$M126-Calculations!$C$9)+'Reaction Information'!$K$46*10^2*LN((Calculations!$C$12+Calculations!$M126)/(Calculations!$C$12+Calculations!$C$9))+(1/(Calculations!O126-Calculations!$C$13))*('Reaction Information'!$L$46*(Calculations!$M126-Calculations!$C$9)+'Reaction Information'!$M$46*10^4*LN((Calculations!$C$12+Calculations!$M126)/(Calculations!$C$12+Calculations!$C$9)))+calculateOmega(Calculations!M126,Calculations!N126,Calculations!Q126,'Reaction Information'!$C$46,'Reaction Information'!$P$46*10^5,'Reaction Information'!$Q$46)*((1/Calculations!S126)-1)-'Reaction Information'!$P$46*10^5*((1/Calculations!$C$10)-1)+'Reaction Information'!$P$46*10^5*Calculations!$C$14*(Calculations!O126-Calculations!$C$8))</f>
        <v>0</v>
      </c>
      <c r="AT126" s="8">
        <f>IF(ISBLANK(Input!$BN$4),NA(),'Reaction Information'!$E$50-'Reaction Information'!$G$50*(Calculations!O126-Calculations!$C$8)-'Reaction Information'!$N$50*(Calculations!O126*LN(Calculations!O126/Calculations!$C$8)-Calculations!O126+Calculations!$C$8)-'Reaction Information'!$O$50*10^4*(((1/(Calculations!O126-Calculations!$C$13))-(1/(Calculations!$C$8-Calculations!$C$13)))*((Calculations!$C$13-Calculations!O126)/(Calculations!$C$13))-(Calculations!O126/(Calculations!$C$13*Calculations!$C$13))*LN((Calculations!$C$8*(Calculations!O126-Calculations!$C$13))/(Calculations!O126*(Calculations!$C$8-Calculations!$C$13))))+'Reaction Information'!$J$50*10^-1*(Calculations!$M126-Calculations!$C$9)+'Reaction Information'!$K$50*10^2*LN((Calculations!$C$12+Calculations!$M126)/(Calculations!$C$12+Calculations!$C$9))+(1/(Calculations!O126-Calculations!$C$13))*('Reaction Information'!$L$50*(Calculations!$M126-Calculations!$C$9)+'Reaction Information'!$M$50*10^4*LN((Calculations!$C$12+Calculations!$M126)/(Calculations!$C$12+Calculations!$C$9)))+calculateOmega(Calculations!M126,Calculations!N126,Calculations!Q126,'Reaction Information'!$C$50,'Reaction Information'!$P$50*10^5,'Reaction Information'!$Q$50)*((1/Calculations!S126)-1)-'Reaction Information'!$P$50*10^5*((1/Calculations!$C$10)-1)+'Reaction Information'!$P$50*10^5*Calculations!$C$14*(Calculations!O126-Calculations!$C$8))</f>
        <v>-114533.59350548997</v>
      </c>
      <c r="AU126" s="8" t="e">
        <f>IF(ISBLANK(Input!$BQ$4),NA(),'Reaction Information'!$E$54-'Reaction Information'!$G$54*(Calculations!$O126-Calculations!$C$8)-'Reaction Information'!$N$54*(Calculations!$O126*LN(Calculations!$O126/Calculations!$C$8)-Calculations!$O126+Calculations!$C$8)-'Reaction Information'!$O$54*10^4*(((1/(Calculations!$O126-Calculations!$C$13))-(1/(Calculations!$C$8-Calculations!$C$13)))*((Calculations!$C$13-Calculations!$O126)/(Calculations!$C$13))-(Calculations!$O126/(Calculations!$C$13*Calculations!$C$13))*LN((Calculations!$C$8*(Calculations!$O126-Calculations!$C$13))/(Calculations!$O126*(Calculations!$C$8-Calculations!$C$13))))+'Reaction Information'!$J$54*10^-1*(Calculations!$M126-Calculations!$C$9)+'Reaction Information'!$K$54*10^2*LN((Calculations!$C$12+Calculations!$M126)/(Calculations!$C$12+Calculations!$C$9))+(1/(Calculations!$O126-Calculations!$C$13))*('Reaction Information'!$L$54*(Calculations!$M126-Calculations!$C$9)+'Reaction Information'!$M$54*10^4*LN((Calculations!$C$12+Calculations!$M126)/(Calculations!$C$12+Calculations!$C$9)))+calculateOmega(Calculations!M126,Calculations!N126,Calculations!Q126,'Reaction Information'!$C$54,'Reaction Information'!$P$54*10^5,'Reaction Information'!$Q$54)*((1/Calculations!$S126)-1)-'Reaction Information'!$P$54*10^5*((1/Calculations!$C$10)-1)+'Reaction Information'!$P$54*10^5*Calculations!$C$14*(Calculations!$O126-Calculations!$C$8))</f>
        <v>#N/A</v>
      </c>
      <c r="AV126" s="8" t="e">
        <f>IF(ISBLANK(Input!$BT$4),NA(),'Reaction Information'!$E$58-'Reaction Information'!$G$58*(Calculations!$O126-Calculations!$C$8)-'Reaction Information'!$N$58*(Calculations!$O126*LN(Calculations!$O126/Calculations!$C$8)-Calculations!$O126+Calculations!$C$8)-'Reaction Information'!$O$58*10^4*(((1/(Calculations!$O126-Calculations!$C$13))-(1/(Calculations!$C$8-Calculations!$C$13)))*((Calculations!$C$13-Calculations!$O126)/(Calculations!$C$13))-(Calculations!$O126/(Calculations!$C$13*Calculations!$C$13))*LN((Calculations!$C$8*(Calculations!$O126-Calculations!$C$13))/(Calculations!$O126*(Calculations!$C$8-Calculations!$C$13))))+'Reaction Information'!$J$58*10^-1*(Calculations!$M126-Calculations!$C$9)+'Reaction Information'!$K$58*10^2*LN((Calculations!$C$12+Calculations!$M126)/(Calculations!$C$12+Calculations!$C$9))+(1/(Calculations!$O126-Calculations!$C$13))*('Reaction Information'!$L$58*(Calculations!$M126-Calculations!$C$9)+'Reaction Information'!$M$58*10^4*LN((Calculations!$C$12+Calculations!$M126)/(Calculations!$C$12+Calculations!$C$9)))+calculateOmega(Calculations!M126,Calculations!N126,Calculations!Q126,'Reaction Information'!$C$58,'Reaction Information'!$P$58*10^5,'Reaction Information'!$Q$58)*((1/Calculations!$S126)-1)-'Reaction Information'!$P$58*10^5*((1/Calculations!$C$10)-1)+'Reaction Information'!$P$58*10^5*Calculations!$C$14*(Calculations!$O126-Calculations!$C$8))</f>
        <v>#N/A</v>
      </c>
      <c r="AW126" s="8" t="e">
        <f>IF(ISBLANK(Input!$BW$4),NA(),'Reaction Information'!$E$62-'Reaction Information'!$G$62*(Calculations!$O126-Calculations!$C$8)-'Reaction Information'!$N$62*(Calculations!$O126*LN(Calculations!$O126/Calculations!$C$8)-Calculations!$O126+Calculations!$C$8)-'Reaction Information'!$O$62*10^4*(((1/(Calculations!$O126-Calculations!$C$13))-(1/(Calculations!$C$8-Calculations!$C$13)))*((Calculations!$C$13-Calculations!$O126)/(Calculations!$C$13))-(Calculations!$O126/(Calculations!$C$13*Calculations!$C$13))*LN((Calculations!$C$8*(Calculations!$O126-Calculations!$C$13))/(Calculations!$O126*(Calculations!$C$8-Calculations!$C$13))))+'Reaction Information'!$J$62*10^-1*(Calculations!$M126-Calculations!$C$9)+'Reaction Information'!$K$62*10^2*LN((Calculations!$C$12+Calculations!$M126)/(Calculations!$C$12+Calculations!$C$9))+(1/(Calculations!$O126-Calculations!$C$13))*('Reaction Information'!$L$62*(Calculations!$M126-Calculations!$C$9)+'Reaction Information'!$M$62*10^4*LN((Calculations!$C$12+Calculations!$M126)/(Calculations!$C$12+Calculations!$C$9)))+calculateOmega(Calculations!M126,Calculations!N126,Calculations!Q126,'Reaction Information'!$C$62,'Reaction Information'!$P$62*10^5,'Reaction Information'!$Q$62)*((1/Calculations!$S126)-1)-'Reaction Information'!$P$62*10^5*((1/Calculations!$C$10)-1)+'Reaction Information'!$P$62*10^5*Calculations!$C$14*(Calculations!$O126-Calculations!$C$8))</f>
        <v>#N/A</v>
      </c>
      <c r="AX126" s="8" t="e">
        <f>IF(ISBLANK(Input!$BZ$4),NA(),'Reaction Information'!$E$66-'Reaction Information'!$G$66*(Calculations!$O126-Calculations!$C$8)-'Reaction Information'!$N$66*(Calculations!$O126*LN(Calculations!$O126/Calculations!$C$8)-Calculations!$O126+Calculations!$C$8)-'Reaction Information'!$O$66*10^4*(((1/(Calculations!$O126-Calculations!$C$13))-(1/(Calculations!$C$8-Calculations!$C$13)))*((Calculations!$C$13-Calculations!$O126)/(Calculations!$C$13))-(Calculations!$O126/(Calculations!$C$13*Calculations!$C$13))*LN((Calculations!$C$8*(Calculations!$O126-Calculations!$C$13))/(Calculations!$O126*(Calculations!$C$8-Calculations!$C$13))))+'Reaction Information'!$J$66*10^-1*(Calculations!$M126-Calculations!$C$9)+'Reaction Information'!$K$66*10^2*LN((Calculations!$C$12+Calculations!$M126)/(Calculations!$C$12+Calculations!$C$9))+(1/(Calculations!$O126-Calculations!$C$13))*('Reaction Information'!$L$66*(Calculations!$M126-Calculations!$C$9)+'Reaction Information'!$M$66*10^4*LN((Calculations!$C$12+Calculations!$M126)/(Calculations!$C$12+Calculations!$C$9)))+calculateOmega(Calculations!M126,Calculations!N126,Calculations!Q126,'Reaction Information'!$C$66,'Reaction Information'!$P$66*10^5,'Reaction Information'!$Q$66)*((1/Calculations!$S126)-1)-'Reaction Information'!$P$66*10^5*((1/Calculations!$C$10)-1)+'Reaction Information'!$P$66*10^5*Calculations!$C$14*(Calculations!$O126-Calculations!$C$8))</f>
        <v>#N/A</v>
      </c>
      <c r="AY126" s="31">
        <f>(AL126*Input!$AO$4+AM126*Input!$AR$4+AN126*Input!$AU$4+AO126*Input!$AX$4+IF(ISNA(AP126),0,AP126*Input!$BA$4)+IF(ISNA(AQ126),0,AQ126*Input!$BD$4)+IF(ISNA(AR126),0,AR126*Input!$BG$4)+IF(ISNA(AS126),0,AS126*Input!$BJ$4)+IF(ISNA(AT126),0,AT126*Input!$BM$4)+IF(ISNA(AU126),0,AU126*Input!$BP$4)+IF(ISNA(AV126),0,AV126*Input!$BS$4)+IF(ISNA(AW126),0,AW126*Input!$BV$4)+IF(ISNA(AX126),0,AX126*Input!$BY$4))-(Y126*Input!$B$4+Z126*Input!$E$4+AA126*Input!$H$4+AB126*Input!$K$4+IF(ISNA(AC126),0,AC126*Input!$N$4)+IF(ISNA(AD126),0,AD126*Input!$Q$4)+IF(ISNA(AE126),0,AE126*Input!$T$4)+IF(ISNA(AF126),0,AF126*Input!$W$4)+IF(ISNA(AG126),0,AG126*Input!$Z$4)+IF(ISNA(AH126),0,AH126*Input!$AC$4)+IF(ISNA(AI126),0,AI126*Input!$AF$4)+IF(ISNA(AJ126),0,AJ126*Input!$AI$4)+IF(ISNA(AK126),0,AK126*Input!$AL$4))</f>
        <v>2278.6644664815831</v>
      </c>
      <c r="AZ126" s="42">
        <f t="shared" si="35"/>
        <v>-0.8694486886899826</v>
      </c>
      <c r="BA126" s="1">
        <f t="shared" si="27"/>
        <v>300</v>
      </c>
      <c r="BB126" s="46">
        <f t="shared" si="28"/>
        <v>45000</v>
      </c>
      <c r="BC126" s="1"/>
      <c r="BD126" s="2">
        <f t="shared" si="29"/>
        <v>45000</v>
      </c>
      <c r="BE126" s="46">
        <f t="shared" si="30"/>
        <v>300</v>
      </c>
      <c r="BF126" s="1">
        <f>Results!AJ128</f>
        <v>0</v>
      </c>
      <c r="BG126" s="1">
        <f>Results!AK128</f>
        <v>0</v>
      </c>
      <c r="BH126" s="1">
        <f>Results!AL128</f>
        <v>0</v>
      </c>
      <c r="BI126" s="1">
        <f>Results!AM128</f>
        <v>0</v>
      </c>
      <c r="BJ126" s="1" t="e">
        <f>IF(OR(ISNA('Reaction Information'!$D$5), $N126 = "", $D$27 = FALSE, 'Reaction Information'!$D$5 = ""), NA(), 24.465)</f>
        <v>#N/A</v>
      </c>
      <c r="BK126" s="1" t="e">
        <f>IF(OR(ISNA('Reaction Information'!$D$9), $N126 = "", $D$27 = FALSE, 'Reaction Information'!$D$9 = ""), NA(), 24.465)</f>
        <v>#N/A</v>
      </c>
      <c r="BL126" s="8">
        <f t="shared" si="36"/>
        <v>12.486766113812447</v>
      </c>
      <c r="BM126" s="8">
        <f>IF(OR(ISBLANK(Input!$X$4),$D$27=FALSE),NA(),('Reaction Information'!$J$13/10+'Reaction Information'!$K$13*100/(Calculations!$C$12+Calculations!$M126)+('Reaction Information'!$L$13+'Reaction Information'!$M$13*10^4/(Calculations!$C$12+Calculations!$M126))/(Calculations!$O126-Calculations!$C$13) -calculateOmega(Calculations!$M126,Calculations!$N126,Calculations!$Q126,'Reaction Information'!$C$13,'Reaction Information'!$P$13*10^5,'Reaction Information'!$Q$13)*Calculations!$U126*10^-6 + (1/$S126 - 1)*calculate_domegadP(Calculations!$M126,Calculations!$N126,Calculations!$Q126,'Reaction Information'!$C$13,'Reaction Information'!$P$13*10^5,'Reaction Information'!$Q$13,$D$20,$D$19=3))*41.84)</f>
        <v>29.902272429275186</v>
      </c>
      <c r="BN126" s="8" t="e">
        <f>IF(OR(ISBLANK(Input!$AA$4),$D$27=FALSE),NA(),('Reaction Information'!$J$17/10+'Reaction Information'!$K$17*100/(Calculations!$C$12+Calculations!$M126)+('Reaction Information'!$L$17+'Reaction Information'!$M$17*10000/(Calculations!$C$12+Calculations!$M126))/(Calculations!$O126-Calculations!$C$13)-calculateOmega(Calculations!M126,Calculations!N126,Calculations!Q126,'Reaction Information'!$C$17,'Reaction Information'!$P$17*10^5,'Reaction Information'!$Q$17)*Calculations!$U126*10^-6 + (1/$S126 - 1)*calculate_domegadP(Calculations!M126,Calculations!N126,Calculations!Q126,'Reaction Information'!$C$17,'Reaction Information'!$P$17*10^5,'Reaction Information'!$Q$17,$D$20,$D$19=3))*41.84)</f>
        <v>#N/A</v>
      </c>
      <c r="BO126" s="8" t="e">
        <f>IF(OR(ISBLANK(Input!$AD$4),$D$27=FALSE),NA(),('Reaction Information'!$J$21/10+'Reaction Information'!$K$21*100/(Calculations!$C$12+Calculations!$M126)+('Reaction Information'!$L$21+'Reaction Information'!$M$21*10000/(Calculations!$C$12+Calculations!$M126))/(Calculations!$O126-Calculations!$C$13)-calculateOmega(Calculations!M126,Calculations!N126,Calculations!Q126,'Reaction Information'!$C$21,'Reaction Information'!$P$21*10^5,'Reaction Information'!$Q$21)*Calculations!$U126*10^-6 + (1/$S126 - 1)*calculate_domegadP(Calculations!M126,Calculations!N126,Calculations!Q126,'Reaction Information'!$C$21,'Reaction Information'!$P$21*10^5,'Reaction Information'!$Q$21,$D$20,$D$19=3))*41.84)</f>
        <v>#N/A</v>
      </c>
      <c r="BP126" s="8" t="e">
        <f>IF(OR(ISBLANK(Input!$AG$4),$D$27=FALSE),NA(),('Reaction Information'!$J$25/10+'Reaction Information'!$K$25*100/(Calculations!$C$12+Calculations!$M126)+('Reaction Information'!$L$25+'Reaction Information'!$M$25*10000/(Calculations!$C$12+Calculations!$M126))/(Calculations!$O126-Calculations!$C$13)-calculateOmega(Calculations!M126,Calculations!N126,Calculations!Q126,'Reaction Information'!$C$25,'Reaction Information'!$P$25*10^5,'Reaction Information'!$Q$25)*Calculations!$U126*10^-6 + (1/$S126 - 1)*calculate_domegadP(Calculations!M126,Calculations!N126,Calculations!Q126,'Reaction Information'!$C$25,'Reaction Information'!$P$25*10^5,'Reaction Information'!$Q$25,$D$20,$D$19=3))*41.84)</f>
        <v>#N/A</v>
      </c>
      <c r="BQ126" s="8" t="e">
        <f>IF(OR(ISBLANK(Input!$AJ$4),$D$27=FALSE),NA(),('Reaction Information'!$J$29/10+'Reaction Information'!$K$29*100/(Calculations!$C$12+Calculations!$M126)+('Reaction Information'!$L$29+'Reaction Information'!$M$29*10000/(Calculations!$C$12+Calculations!$M126))/(Calculations!$O126-Calculations!$C$13)-calculateOmega(Calculations!M126,Calculations!N126,Calculations!Q126,'Reaction Information'!$C$29,'Reaction Information'!$P$29*10^5,'Reaction Information'!$Q$29)*Calculations!$U126*10^-6 + (1/$S126 - 1)*calculate_domegadP(Calculations!M126,Calculations!N126,Calculations!Q126,'Reaction Information'!$C$29,'Reaction Information'!$P$29*10^5,'Reaction Information'!$Q$29,$D$20,$D$19=3))*41.84)</f>
        <v>#N/A</v>
      </c>
      <c r="BR126" s="8" t="e">
        <f>IF(OR(ISBLANK(Input!$AM$4),$D$27=FALSE),NA(),('Reaction Information'!$J$33/10+'Reaction Information'!$K$33*100/(Calculations!$C$12+Calculations!$M126)+('Reaction Information'!$L$33+'Reaction Information'!$M$33*10000/(Calculations!$C$12+Calculations!$M126))/(Calculations!$O126-Calculations!$C$13)-calculateOmega(Calculations!M126,Calculations!N126,Calculations!Q126,'Reaction Information'!$C$33,'Reaction Information'!$P$33*10^5,'Reaction Information'!$Q$33)*Calculations!$U126*10^-6 + (1/$S126 - 1)*calculate_domegadP(Calculations!M126,Calculations!N126,Calculations!Q126,'Reaction Information'!$C$33,'Reaction Information'!$P$33*10^5,'Reaction Information'!$Q$33,$D$20,$D$19=3))*41.84)</f>
        <v>#N/A</v>
      </c>
      <c r="BS126" s="1">
        <f>Results!AW128</f>
        <v>0</v>
      </c>
      <c r="BT126" s="1">
        <f>Results!AX128</f>
        <v>0</v>
      </c>
      <c r="BU126" s="1">
        <f>Results!AY128</f>
        <v>0</v>
      </c>
      <c r="BV126" s="1">
        <f>Results!AZ128</f>
        <v>0</v>
      </c>
      <c r="BW126" s="1" t="e">
        <f>IF(OR(ISNA('Reaction Information'!$D$38), $N126 = "", $D$27 = FALSE, 'Reaction Information'!$D$38 = ""), NA(), 24.465)</f>
        <v>#N/A</v>
      </c>
      <c r="BX126" s="1" t="e">
        <f>IF(OR(ISNA('Reaction Information'!$D$42), $N126 = "", $D$27 = FALSE, 'Reaction Information'!$D$42 = ""), NA(), 24.465)</f>
        <v>#N/A</v>
      </c>
      <c r="BY126" s="8" t="e">
        <f t="shared" si="37"/>
        <v>#N/A</v>
      </c>
      <c r="BZ126" s="8">
        <f>IF(OR(ISBLANK(Input!$BK$4),$D$27=FALSE),NA(),('Reaction Information'!$J$46/10+'Reaction Information'!$K$46*100/(Calculations!$C$12+Calculations!$M126)+('Reaction Information'!$L$46+'Reaction Information'!$M$46*10000/(Calculations!$C$12+Calculations!$M126))/(Calculations!$O126-Calculations!$C$13)-calculateOmega(Calculations!M126,Calculations!N126,Calculations!Q126,'Reaction Information'!$C$46,'Reaction Information'!$P$46*10^5,'Reaction Information'!$Q$46)*Calculations!$U126*10^-6 + (1/$S126 - 1)*calculate_domegadP(Calculations!M126,Calculations!N126,Calculations!Q126,'Reaction Information'!$C$46,'Reaction Information'!$P$46*10^5,'Reaction Information'!$Q$46,$D$20,$D$19=3))*41.84)</f>
        <v>0</v>
      </c>
      <c r="CA126" s="8">
        <f>IF(OR(ISBLANK(Input!$BN$4),$D$27=FALSE),NA(),('Reaction Information'!$J$50/10+'Reaction Information'!$K$50*100/(Calculations!$C$12+Calculations!$M126)+('Reaction Information'!$L$50+'Reaction Information'!$M$50*10000/(Calculations!$C$12+Calculations!$M126))/(Calculations!$O126-Calculations!$C$13)-calculateOmega(Calculations!M126,Calculations!N126,Calculations!Q126,'Reaction Information'!$C$50,'Reaction Information'!$P$50*10^5,'Reaction Information'!$Q$50)*Calculations!$U126*10^-6 + (1/$S126 - 1)*calculate_domegadP(Calculations!M126,Calculations!N126,Calculations!Q126,'Reaction Information'!$C$50,'Reaction Information'!$P$50*10^5,'Reaction Information'!$Q$50,$D$20,$D$19=3))*41.84)</f>
        <v>31.630701140211027</v>
      </c>
      <c r="CB126" s="8" t="e">
        <f>IF(OR(ISBLANK(Input!$BQ$4),$D$27=FALSE),NA(),('Reaction Information'!$J$54/10+'Reaction Information'!$K$54*100/(Calculations!$C$12+Calculations!$M126)+('Reaction Information'!$L$54+'Reaction Information'!$M$54*10000/(Calculations!$C$12+Calculations!$M126))/(Calculations!$O126-Calculations!$C$13)-calculateOmega(Calculations!M126,Calculations!N126,Calculations!Q126,'Reaction Information'!$C$54,'Reaction Information'!$P$54*10^5,'Reaction Information'!$Q$54)*Calculations!$U126*10^-6 + (1/$S126 - 1)*calculate_domegadP(Calculations!M126,Calculations!N126,Calculations!Q126,'Reaction Information'!$C$54,'Reaction Information'!$P$54*10^5,'Reaction Information'!$Q$54,$D$20,$D$19=3))*41.84)</f>
        <v>#N/A</v>
      </c>
      <c r="CC126" s="8" t="e">
        <f>IF(OR(ISBLANK(Input!$BT$4),$D$27=FALSE),NA(),('Reaction Information'!$J$58/10+'Reaction Information'!$K$58*100/(Calculations!$C$12+Calculations!$M126)+('Reaction Information'!$L$58+'Reaction Information'!$M$58*10000/(Calculations!$C$12+Calculations!$M126))/(Calculations!$O126-Calculations!$C$13)-calculateOmega(Calculations!M126,Calculations!N126,Calculations!Q126,'Reaction Information'!$C$58,'Reaction Information'!$P$58*10^5,'Reaction Information'!$Q$58)*Calculations!$U126*10^-6 + (1/$S126 - 1)*calculate_domegadP(Calculations!M126,Calculations!N126,Calculations!Q126,'Reaction Information'!$C$58,'Reaction Information'!$P$58*10^5,'Reaction Information'!$Q$58,$D$20,$D$19=3))*41.84)</f>
        <v>#N/A</v>
      </c>
      <c r="CD126" s="8" t="e">
        <f>IF(OR(ISBLANK(Input!$BW$4),$D$27=FALSE),NA(),('Reaction Information'!$J$62/10+'Reaction Information'!$K$62*100/(Calculations!$C$12+Calculations!$M126)+('Reaction Information'!$L$62+'Reaction Information'!$M$62*10000/(Calculations!$C$12+Calculations!$M126))/(Calculations!$O126-Calculations!$C$13)-calculateOmega(Calculations!M126,Calculations!N126,Calculations!Q126,'Reaction Information'!$C$62,'Reaction Information'!$P$62*10^5,'Reaction Information'!$Q$62)*Calculations!$U126*10^-6 + (1/$S126 - 1)*calculate_domegadP(Calculations!M126,Calculations!N126,Calculations!Q126,'Reaction Information'!$C$62,'Reaction Information'!$P$62*10^5,'Reaction Information'!$Q$62,$D$20,$D$19=3))*41.84)</f>
        <v>#N/A</v>
      </c>
      <c r="CE126" s="8" t="e">
        <f>IF(OR(ISBLANK(Input!$BZ$4),$D$27=FALSE),NA(),('Reaction Information'!$J$66/10+'Reaction Information'!$K$66*100/(Calculations!$C$12+Calculations!$M126)+('Reaction Information'!$L$66+'Reaction Information'!$M$66*10000/(Calculations!$C$12+Calculations!$M126))/(Calculations!$O126-Calculations!$C$13)-calculateOmega(Calculations!M126,Calculations!N126,Calculations!Q126,'Reaction Information'!$C$66,'Reaction Information'!$P$66*10^5,'Reaction Information'!$Q$66)*Calculations!$U126*10^-6 + (1/$S126 - 1)*calculate_domegadP(Calculations!M126,Calculations!N126,Calculations!Q126,'Reaction Information'!$C$66,'Reaction Information'!$P$66*10^5,'Reaction Information'!$Q$66,$D$20,$D$19=3))*41.84)</f>
        <v>#N/A</v>
      </c>
      <c r="CF126" s="31">
        <f>(BS126*Input!$AO$4+BT126*Input!$AR$4+BU126*Input!$AU$4+BV126*Input!$AX$4+IF(ISNA(BW126),0,BW126*Input!$BA$4)+IF(ISNA(BX126),0,BX126*Input!$BD$4)+IF(ISNA(BY126),0,BY126*Input!$BG$4)+IF(ISNA(BZ126),0,BZ126*Input!$BJ$4)+IF(ISNA(CA126),0,CA126*Input!$BM$4)+IF(ISNA(CB126),0,CB126*Input!$BP$4)+IF(ISNA(CC126),0,CC126*Input!$BS$4)+IF(ISNA(CD126),0,CD126*Input!$BV$4)+IF(ISNA(CE126),0,CE126*Input!$BY$4))-(BF126*Input!$B$4+BG126*Input!$E$4+BH126*Input!$H$4+BI126*Input!$K$4+IF(ISNA(BJ126),0,BJ126*Input!$N$4)+IF(ISNA(BK126),0,BK126*Input!$Q$4)+IF(ISNA(BL126),0,BL126*Input!$T$4)+IF(ISNA(BM126),0,BM126*Input!$W$4)+IF(ISNA(BN126),0,BN126*Input!$Z$4)+IF(ISNA(BO126),0,BO126*Input!$AC$4)+IF(ISNA(BP126),0,BP126*Input!$AF$4)+IF(ISNA(BQ126),0,BQ126*Input!$AI$4)+IF(ISNA(BR126),0,BR126*Input!$AL$4))</f>
        <v>-10.758337402876609</v>
      </c>
      <c r="CG126" s="1">
        <f t="shared" si="31"/>
        <v>300</v>
      </c>
      <c r="CH126" s="46">
        <f t="shared" si="32"/>
        <v>45000</v>
      </c>
      <c r="CI126" s="1"/>
    </row>
    <row r="127" spans="1:87" x14ac:dyDescent="0.2">
      <c r="A127" s="1"/>
      <c r="B127" s="1"/>
      <c r="C127" s="1"/>
      <c r="D127" s="1"/>
      <c r="E127" s="1"/>
      <c r="F127" s="2">
        <v>122</v>
      </c>
      <c r="G127" s="1" t="str">
        <f>IF(ISBLANK(Input!CB127), "", Input!CB127*1000)</f>
        <v/>
      </c>
      <c r="H127" s="1" t="str">
        <f>IF(ISBLANK(Input!CC127), "", Input!CC127)</f>
        <v/>
      </c>
      <c r="I127" s="1">
        <f>IF(Input!$CF$5 + Input!$CF$6*(FLOOR((Calculations!$F127-1)/(FLOOR((Input!$CF$12-Input!$CF$10)/Input!$CF$11,1)+1),1)) &gt; Input!$CF$7, "", (Input!$CF$5 + Input!$CF$6*(FLOOR((Calculations!$F127-1)/(FLOOR((Input!$CF$12-Input!$CF$10)/Input!$CF$11,1)+1),1)))*1000)</f>
        <v>45000</v>
      </c>
      <c r="J127" s="1">
        <f>IF(Calculations!I127 = "", "", Input!$CF$10 + Input!$CF$11*(Calculations!$F127-1) - (FLOOR((Input!$CF$12-Input!$CF$10)/Input!$CF$11,1)+1)*Input!$CF$11*FLOOR((Calculations!$F127-1)/(FLOOR((Input!$CF$12-Input!$CF$10)/Input!$CF$11,1)+1),1))</f>
        <v>350</v>
      </c>
      <c r="K127" s="8" t="str">
        <f t="shared" si="33"/>
        <v/>
      </c>
      <c r="L127" s="117" t="str">
        <f>IF(OR(Input!$CJ$5 + Input!$CJ$6*(Calculations!F127-1) &gt; Input!$CJ$7, Input!$CJ$5 + Input!$CJ$6*(Calculations!F127-1) &gt; 350), "", Input!$CJ$5 + Input!$CJ$6*(Calculations!F127-1))</f>
        <v/>
      </c>
      <c r="M127" s="1">
        <f t="shared" si="23"/>
        <v>45000</v>
      </c>
      <c r="N127" s="1">
        <f t="shared" si="24"/>
        <v>350</v>
      </c>
      <c r="O127" s="1">
        <f t="shared" si="34"/>
        <v>623.15</v>
      </c>
      <c r="P127" s="1" t="e">
        <f>IF(OR($D$20=3,AND($D$21=TRUE,M127&lt;1000)),INDEX('Water Density'!$C$6:$CX$120,MATCH(Calculations!N127,'Water Density'!$B$6:$B$120),MATCH(Calculations!M127/1000,'Water Density'!$C$5:$CX$5)),NA())</f>
        <v>#N/A</v>
      </c>
      <c r="Q127" s="182">
        <f>IF(OR($D$20=3,AND($D$21=TRUE,M127&lt;1000)), IF(P127&lt;&gt;0,P127,NA()), calculateDensity(M127,N127,$D$20,0.01,$D$19 = 3))</f>
        <v>1.4271156192028522</v>
      </c>
      <c r="R127" s="1" t="e">
        <f>IF($D$22=5,INDEX('Dielectric Constant'!$C$6:$CX$120,MATCH(Calculations!N127,'Dielectric Constant'!$B$6:$B$120),MATCH(Calculations!M127/1000,'Dielectric Constant'!$C$5:$CX$5)),NA())</f>
        <v>#N/A</v>
      </c>
      <c r="S127" s="58">
        <f>IF($D$22=5, IF(R127&lt;&gt;0,R127,NA()), IF(AND($D$23,M127&lt;=5000,$D$19 &lt;&gt; 3),calculateEpsilon(Q127,N127,1,FALSE),calculateEpsilon(Q127,N127,$D$22,$D$19 = 3)))</f>
        <v>52.443577470183122</v>
      </c>
      <c r="T127" s="1" t="e">
        <f>IF($D$24=3,INDEX('Water Free Energy'!$C$6:$CX$120,MATCH(Calculations!N127,'Water Free Energy'!$B$6:$B$120),MATCH(Calculations!M127/1000,'Water Free Energy'!$C$5:$CX$5)),NA())</f>
        <v>#N/A</v>
      </c>
      <c r="U127" s="179">
        <f>IF($D$27,calculateQ(M127,N127,Q127,$D$20,$D$22,$D$19=3)*10^6,NA())</f>
        <v>9.5564954575939665E-2</v>
      </c>
      <c r="V127"/>
      <c r="W127" s="2">
        <f t="shared" si="25"/>
        <v>45000</v>
      </c>
      <c r="X127" s="1">
        <f t="shared" si="26"/>
        <v>350</v>
      </c>
      <c r="Y127" s="1">
        <f>Results!F129</f>
        <v>0</v>
      </c>
      <c r="Z127" s="1">
        <f>Results!G129</f>
        <v>0</v>
      </c>
      <c r="AA127" s="1">
        <f>Results!H129</f>
        <v>0</v>
      </c>
      <c r="AB127" s="1">
        <f>Results!I129</f>
        <v>0</v>
      </c>
      <c r="AC127" s="1" t="e">
        <f>IF(ISBLANK(Input!$O$4),NA(),'Reaction Information'!$E$5-'Reaction Information'!$G$5*(Calculations!$O127-Calculations!$C$8)+'Reaction Information'!$I$5*(Calculations!$O127-Calculations!$C$8-Calculations!$O127*LN(Calculations!$O127/Calculations!$C$8))+'Reaction Information'!$J$5*0.001/2*(2*Calculations!$O127*Calculations!$C$8-Calculations!$O127^2-Calculations!$C$8^2) + 'Reaction Information'!$K$5*100000*(Calculations!$O127^2 + Calculations!$C$8^2 - 2*Calculations!$O127*Calculations!$C$8)/(2*Calculations!$O127*Calculations!$C$8^2))</f>
        <v>#N/A</v>
      </c>
      <c r="AD127" s="8" t="e">
        <f>IF(ISBLANK(Input!$R$4),NA(),'Reaction Information'!$E$9-'Reaction Information'!$G$9*(Calculations!$O127-Calculations!$C$8)+'Reaction Information'!$I$9*(Calculations!$O127-Calculations!$C$8-Calculations!$O127*LN(Calculations!$O127/Calculations!$C$8))+'Reaction Information'!$J$9*0.001/2*(2*Calculations!$O127*Calculations!$C$8-Calculations!$O127^2-Calculations!$C$8^2) + 'Reaction Information'!$K$9*100000*(Calculations!$O127^2 + Calculations!$C$8^2 - 2*Calculations!$O127*Calculations!$C$8)/(2*Calculations!$O127*Calculations!$C$8^2))</f>
        <v>#N/A</v>
      </c>
      <c r="AE127" s="8">
        <f>IF(AE$5="H2O",IF($D$24=3,IF(T127=0,NA(),T127),calculateGibbsOfWater(M127,N127,$D$24,$D$20,$D$19=3)),NA())</f>
        <v>-48084.894846093346</v>
      </c>
      <c r="AF127" s="8">
        <f>IF(ISBLANK(Input!$X$4),NA(),'Reaction Information'!$E$13-'Reaction Information'!$G$13*(Calculations!O127-Calculations!$C$8)-'Reaction Information'!$N$13*(Calculations!O127*LN(Calculations!O127/Calculations!$C$8)-Calculations!O127+Calculations!$C$8)-'Reaction Information'!$O$13*10^4*(((1/(Calculations!O127-Calculations!$C$13))-(1/(Calculations!$C$8-Calculations!$C$13)))*((Calculations!$C$13-Calculations!O127)/(Calculations!$C$13))-(Calculations!O127/(Calculations!$C$13*Calculations!$C$13))*LN((Calculations!$C$8*(Calculations!O127-Calculations!$C$13))/(Calculations!O127*(Calculations!$C$8-Calculations!$C$13))))+'Reaction Information'!$J$13*10^-1*(Calculations!M127-Calculations!$C$9)+'Reaction Information'!$K$13*10^2*LN((Calculations!$C$12+Calculations!M127)/(Calculations!$C$12+Calculations!$C$9))+(1/(Calculations!O127-Calculations!$C$13))*('Reaction Information'!$L$13*(Calculations!M127-Calculations!$C$9)+'Reaction Information'!$M$13*10^4*LN((Calculations!$C$12+Calculations!M127)/(Calculations!$C$12+Calculations!$C$9)))+calculateOmega(Calculations!M127,Calculations!N127,Calculations!Q127,'Reaction Information'!$C$13,'Reaction Information'!$P$13*10^5,'Reaction Information'!$Q$13)*((1/Calculations!S127)-1)-'Reaction Information'!$P$13*10^5*((1/Calculations!$C$10)-1)+'Reaction Information'!$P$13*10^5*Calculations!$C$14*(Calculations!O127-Calculations!$C$8))</f>
        <v>-71906.829773490608</v>
      </c>
      <c r="AG127" s="8" t="e">
        <f>IF(ISBLANK(Input!$AA$4),NA(),'Reaction Information'!$E$17-'Reaction Information'!$G$17*(Calculations!$O127-Calculations!$C$8)-'Reaction Information'!$N$17*(Calculations!$O127*LN(Calculations!$O127/Calculations!$C$8)-Calculations!$O127+Calculations!$C$8)-'Reaction Information'!$O$17*10^4*(((1/(Calculations!$O127-Calculations!$C$13))-(1/(Calculations!$C$8-Calculations!$C$13)))*((Calculations!$C$13-Calculations!$O127)/(Calculations!$C$13))-(Calculations!$O127/(Calculations!$C$13*Calculations!$C$13))*LN((Calculations!$C$8*(Calculations!$O127-Calculations!$C$13))/(Calculations!$O127*(Calculations!$C$8-Calculations!$C$13))))+'Reaction Information'!$J$17*10^-1*(Calculations!$M127-Calculations!$C$9)+'Reaction Information'!$K$17*10^2*LN((Calculations!$C$12+Calculations!$M127)/(Calculations!$C$12+Calculations!$C$9))+(1/(Calculations!$O127-Calculations!$C$13))*('Reaction Information'!$L$17*(Calculations!$M127-Calculations!$C$9)+'Reaction Information'!$M$17*10^4*LN((Calculations!$C$12+Calculations!$M127)/(Calculations!$C$12+Calculations!$C$9)))+calculateOmega(Calculations!M127,Calculations!N127,Calculations!Q127,'Reaction Information'!$C$17,'Reaction Information'!$P$17*10^5,'Reaction Information'!$Q$17)*((1/Calculations!$S127)-1)-'Reaction Information'!$P$17*10^5*((1/Calculations!$C$10)-1)+'Reaction Information'!$P$17*10^5*Calculations!$C$14*(Calculations!$O127-Calculations!$C$8))</f>
        <v>#N/A</v>
      </c>
      <c r="AH127" s="8" t="e">
        <f>IF(ISBLANK(Input!$AD$4),NA(),'Reaction Information'!$E$21-'Reaction Information'!$G$21*(Calculations!$O127-Calculations!$C$8)-'Reaction Information'!$N$21*(Calculations!$O127*LN(Calculations!$O127/Calculations!$C$8)-Calculations!$O127+Calculations!$C$8)-'Reaction Information'!$O$21*10^4*(((1/(Calculations!$O127-Calculations!$C$13))-(1/(Calculations!$C$8-Calculations!$C$13)))*((Calculations!$C$13-Calculations!$O127)/(Calculations!$C$13))-(Calculations!$O127/(Calculations!$C$13*Calculations!$C$13))*LN((Calculations!$C$8*(Calculations!$O127-Calculations!$C$13))/(Calculations!$O127*(Calculations!$C$8-Calculations!$C$13))))+'Reaction Information'!$J$21*10^-1*(Calculations!$M127-Calculations!$C$9)+'Reaction Information'!$K$21*10^2*LN((Calculations!$C$12+Calculations!$M127)/(Calculations!$C$12+Calculations!$C$9))+(1/(Calculations!$O127-Calculations!$C$13))*('Reaction Information'!$L$21*(Calculations!$M127-Calculations!$C$9)+'Reaction Information'!$M$21*10^4*LN((Calculations!$C$12+Calculations!$M127)/(Calculations!$C$12+Calculations!$C$9)))+calculateOmega(Calculations!M127,Calculations!N127,Calculations!Q127,'Reaction Information'!$C$21,'Reaction Information'!$P$21*10^5,'Reaction Information'!$Q$21)*((1/Calculations!$S127)-1)-'Reaction Information'!$P$21*10^5*((1/Calculations!$C$10)-1)+'Reaction Information'!$P$21*10^5*Calculations!$C$14*(Calculations!$O127-Calculations!$C$8))</f>
        <v>#N/A</v>
      </c>
      <c r="AI127" s="8" t="e">
        <f>IF(ISBLANK(Input!$AG$4),NA(),'Reaction Information'!$E$25-'Reaction Information'!$G$25*(Calculations!$O127-Calculations!$C$8)-'Reaction Information'!$N$25*(Calculations!$O127*LN(Calculations!$O127/Calculations!$C$8)-Calculations!$O127+Calculations!$C$8)-'Reaction Information'!$O$25*10^4*(((1/(Calculations!$O127-Calculations!$C$13))-(1/(Calculations!$C$8-Calculations!$C$13)))*((Calculations!$C$13-Calculations!$O127)/(Calculations!$C$13))-(Calculations!$O127/(Calculations!$C$13*Calculations!$C$13))*LN((Calculations!$C$8*(Calculations!$O127-Calculations!$C$13))/(Calculations!$O127*(Calculations!$C$8-Calculations!$C$13))))+'Reaction Information'!$J$25*10^-1*(Calculations!$M127-Calculations!$C$9)+'Reaction Information'!$K$25*10^2*LN((Calculations!$C$12+Calculations!$M127)/(Calculations!$C$12+Calculations!$C$9))+(1/(Calculations!$O127-Calculations!$C$13))*('Reaction Information'!$L$25*(Calculations!$M127-Calculations!$C$9)+'Reaction Information'!$M$25*10^4*LN((Calculations!$C$12+Calculations!$M127)/(Calculations!$C$12+Calculations!$C$9)))+calculateOmega(Calculations!M127,Calculations!N127,Calculations!Q127,'Reaction Information'!$C$25,'Reaction Information'!$P$25*10^5,'Reaction Information'!$Q$25)*((1/Calculations!$S127)-1)-'Reaction Information'!$P$25*10^5*((1/Calculations!$C$10)-1)+'Reaction Information'!$P$25*10^5*Calculations!$C$14*(Calculations!$O127-Calculations!$C$8))</f>
        <v>#N/A</v>
      </c>
      <c r="AJ127" s="8" t="e">
        <f>IF(ISBLANK(Input!$AJ$4),NA(),'Reaction Information'!$E$29-'Reaction Information'!$G$29*(Calculations!$O127-Calculations!$C$8)-'Reaction Information'!$N$29*(Calculations!$O127*LN(Calculations!$O127/Calculations!$C$8)-Calculations!$O127+Calculations!$C$8)-'Reaction Information'!$O$29*10^4*(((1/(Calculations!$O127-Calculations!$C$13))-(1/(Calculations!$C$8-Calculations!$C$13)))*((Calculations!$C$13-Calculations!$O127)/(Calculations!$C$13))-(Calculations!$O127/(Calculations!$C$13*Calculations!$C$13))*LN((Calculations!$C$8*(Calculations!$O127-Calculations!$C$13))/(Calculations!$O127*(Calculations!$C$8-Calculations!$C$13))))+'Reaction Information'!$J$29*10^-1*(Calculations!$M127-Calculations!$C$9)+'Reaction Information'!$K$29*10^2*LN((Calculations!$C$12+Calculations!$M127)/(Calculations!$C$12+Calculations!$C$9))+(1/(Calculations!$O127-Calculations!$C$13))*('Reaction Information'!$L$29*(Calculations!$M127-Calculations!$C$9)+'Reaction Information'!$M$29*10^4*LN((Calculations!$C$12+Calculations!$M127)/(Calculations!$C$12+Calculations!$C$9)))+calculateOmega(Calculations!M127,Calculations!N127,Calculations!Q127,'Reaction Information'!$C$29,'Reaction Information'!$P$29*10^5,'Reaction Information'!$Q$29)*((1/Calculations!$S127)-1)-'Reaction Information'!$P$29*10^5*((1/Calculations!$C$10)-1)+'Reaction Information'!$P$29*10^5*Calculations!$C$14*(Calculations!$O127-Calculations!$C$8))</f>
        <v>#N/A</v>
      </c>
      <c r="AK127" s="8" t="e">
        <f>IF(ISBLANK(Input!$AM$4),NA(),'Reaction Information'!$E$33-'Reaction Information'!$G$33*(Calculations!$O127-Calculations!$C$8)-'Reaction Information'!$N$33*(Calculations!$O127*LN(Calculations!$O127/Calculations!$C$8)-Calculations!$O127+Calculations!$C$8)-'Reaction Information'!$O$33*10^4*(((1/(Calculations!$O127-Calculations!$C$13))-(1/(Calculations!$C$8-Calculations!$C$13)))*((Calculations!$C$13-Calculations!$O127)/(Calculations!$C$13))-(Calculations!$O127/(Calculations!$C$13*Calculations!$C$13))*LN((Calculations!$C$8*(Calculations!$O127-Calculations!$C$13))/(Calculations!$O127*(Calculations!$C$8-Calculations!$C$13))))+'Reaction Information'!$J$33*10^-1*(Calculations!$M127-Calculations!$C$9)+'Reaction Information'!$K$33*10^2*LN((Calculations!$C$12+Calculations!$M127)/(Calculations!$C$12+Calculations!$C$9))+(1/(Calculations!$O127-Calculations!$C$13))*('Reaction Information'!$L$33*(Calculations!$M127-Calculations!$C$9)+'Reaction Information'!$M$33*10^4*LN((Calculations!$C$12+Calculations!$M127)/(Calculations!$C$12+Calculations!$C$9)))+calculateOmega(Calculations!M127,Calculations!N127,Calculations!Q127,'Reaction Information'!$C$33,'Reaction Information'!$P$33*10^5,'Reaction Information'!$Q$33)*((1/Calculations!$S127)-1)-'Reaction Information'!$P$33*10^5*((1/Calculations!$C$10)-1)+'Reaction Information'!$P$33*10^5*Calculations!$C$14*(Calculations!$O127-Calculations!$C$8))</f>
        <v>#N/A</v>
      </c>
      <c r="AL127" s="1">
        <f>Results!S129</f>
        <v>0</v>
      </c>
      <c r="AM127" s="1">
        <f>Results!T129</f>
        <v>0</v>
      </c>
      <c r="AN127" s="1">
        <f>Results!U129</f>
        <v>0</v>
      </c>
      <c r="AO127" s="1">
        <f>Results!V129</f>
        <v>0</v>
      </c>
      <c r="AP127" s="8" t="e">
        <f>IF(ISBLANK(Input!$BB$4),NA(),'Reaction Information'!$E$38-'Reaction Information'!$G$38*(Calculations!$O127-Calculations!$C$8)+'Reaction Information'!$I$38*(Calculations!$O127-Calculations!$C$8-Calculations!$O127*LN(Calculations!$O127/Calculations!$C$8))+'Reaction Information'!$J$38*0.001/2*(2*Calculations!$O127*Calculations!$C$8-Calculations!$O127^2-Calculations!$C$8^2) + 'Reaction Information'!$K$38*100000*(Calculations!$O127^2 + Calculations!$C$8^2 - 2*Calculations!$O127*Calculations!$C$8)/(2*Calculations!$O127*Calculations!$C$8^2))</f>
        <v>#N/A</v>
      </c>
      <c r="AQ127" s="8" t="e">
        <f>IF(ISBLANK(Input!$BE$4),NA(),'Reaction Information'!$E$42-'Reaction Information'!$G$42*(Calculations!$O127-Calculations!$C$8)+'Reaction Information'!$I$42*(Calculations!$O127-Calculations!$C$8-Calculations!$O127*LN(Calculations!$O127/Calculations!$C$8))+'Reaction Information'!$J$42*0.001/2*(2*Calculations!$O127*Calculations!$C$8-Calculations!$O127^2-Calculations!$C$8^2) + 'Reaction Information'!$K$42*100000*(Calculations!$O127^2 + Calculations!$C$8^2 - 2*Calculations!$O127*Calculations!$C$8)/(2*Calculations!$O127*Calculations!$C$8^2))</f>
        <v>#N/A</v>
      </c>
      <c r="AR127" s="8" t="e">
        <f>IF(AR$5="H2O", IF($D$24=3,IF(T127=0,NA(),T127),calculateGibbsOfWater(M127,N127,$D$24,$D$20,$D$19=3)),NA())</f>
        <v>#N/A</v>
      </c>
      <c r="AS127" s="8">
        <f>IF(ISBLANK(Input!$BK$4),NA(),'Reaction Information'!$E$46-'Reaction Information'!$G$46*(Calculations!O127-Calculations!$C$8)-'Reaction Information'!$N$46*(Calculations!O127*LN(Calculations!O127/Calculations!$C$8)-Calculations!O127+Calculations!$C$8)-'Reaction Information'!$O$46*10^4*(((1/(Calculations!O127-Calculations!$C$13))-(1/(Calculations!$C$8-Calculations!$C$13)))*((Calculations!$C$13-Calculations!O127)/(Calculations!$C$13))-(Calculations!O127/(Calculations!$C$13*Calculations!$C$13))*LN((Calculations!$C$8*(Calculations!O127-Calculations!$C$13))/(Calculations!O127*(Calculations!$C$8-Calculations!$C$13))))+'Reaction Information'!$J$46*10^-1*(Calculations!$M127-Calculations!$C$9)+'Reaction Information'!$K$46*10^2*LN((Calculations!$C$12+Calculations!$M127)/(Calculations!$C$12+Calculations!$C$9))+(1/(Calculations!O127-Calculations!$C$13))*('Reaction Information'!$L$46*(Calculations!$M127-Calculations!$C$9)+'Reaction Information'!$M$46*10^4*LN((Calculations!$C$12+Calculations!$M127)/(Calculations!$C$12+Calculations!$C$9)))+calculateOmega(Calculations!M127,Calculations!N127,Calculations!Q127,'Reaction Information'!$C$46,'Reaction Information'!$P$46*10^5,'Reaction Information'!$Q$46)*((1/Calculations!S127)-1)-'Reaction Information'!$P$46*10^5*((1/Calculations!$C$10)-1)+'Reaction Information'!$P$46*10^5*Calculations!$C$14*(Calculations!O127-Calculations!$C$8))</f>
        <v>0</v>
      </c>
      <c r="AT127" s="8">
        <f>IF(ISBLANK(Input!$BN$4),NA(),'Reaction Information'!$E$50-'Reaction Information'!$G$50*(Calculations!O127-Calculations!$C$8)-'Reaction Information'!$N$50*(Calculations!O127*LN(Calculations!O127/Calculations!$C$8)-Calculations!O127+Calculations!$C$8)-'Reaction Information'!$O$50*10^4*(((1/(Calculations!O127-Calculations!$C$13))-(1/(Calculations!$C$8-Calculations!$C$13)))*((Calculations!$C$13-Calculations!O127)/(Calculations!$C$13))-(Calculations!O127/(Calculations!$C$13*Calculations!$C$13))*LN((Calculations!$C$8*(Calculations!O127-Calculations!$C$13))/(Calculations!O127*(Calculations!$C$8-Calculations!$C$13))))+'Reaction Information'!$J$50*10^-1*(Calculations!$M127-Calculations!$C$9)+'Reaction Information'!$K$50*10^2*LN((Calculations!$C$12+Calculations!$M127)/(Calculations!$C$12+Calculations!$C$9))+(1/(Calculations!O127-Calculations!$C$13))*('Reaction Information'!$L$50*(Calculations!$M127-Calculations!$C$9)+'Reaction Information'!$M$50*10^4*LN((Calculations!$C$12+Calculations!$M127)/(Calculations!$C$12+Calculations!$C$9)))+calculateOmega(Calculations!M127,Calculations!N127,Calculations!Q127,'Reaction Information'!$C$50,'Reaction Information'!$P$50*10^5,'Reaction Information'!$Q$50)*((1/Calculations!S127)-1)-'Reaction Information'!$P$50*10^5*((1/Calculations!$C$10)-1)+'Reaction Information'!$P$50*10^5*Calculations!$C$14*(Calculations!O127-Calculations!$C$8))</f>
        <v>-116128.67938983331</v>
      </c>
      <c r="AU127" s="8" t="e">
        <f>IF(ISBLANK(Input!$BQ$4),NA(),'Reaction Information'!$E$54-'Reaction Information'!$G$54*(Calculations!$O127-Calculations!$C$8)-'Reaction Information'!$N$54*(Calculations!$O127*LN(Calculations!$O127/Calculations!$C$8)-Calculations!$O127+Calculations!$C$8)-'Reaction Information'!$O$54*10^4*(((1/(Calculations!$O127-Calculations!$C$13))-(1/(Calculations!$C$8-Calculations!$C$13)))*((Calculations!$C$13-Calculations!$O127)/(Calculations!$C$13))-(Calculations!$O127/(Calculations!$C$13*Calculations!$C$13))*LN((Calculations!$C$8*(Calculations!$O127-Calculations!$C$13))/(Calculations!$O127*(Calculations!$C$8-Calculations!$C$13))))+'Reaction Information'!$J$54*10^-1*(Calculations!$M127-Calculations!$C$9)+'Reaction Information'!$K$54*10^2*LN((Calculations!$C$12+Calculations!$M127)/(Calculations!$C$12+Calculations!$C$9))+(1/(Calculations!$O127-Calculations!$C$13))*('Reaction Information'!$L$54*(Calculations!$M127-Calculations!$C$9)+'Reaction Information'!$M$54*10^4*LN((Calculations!$C$12+Calculations!$M127)/(Calculations!$C$12+Calculations!$C$9)))+calculateOmega(Calculations!M127,Calculations!N127,Calculations!Q127,'Reaction Information'!$C$54,'Reaction Information'!$P$54*10^5,'Reaction Information'!$Q$54)*((1/Calculations!$S127)-1)-'Reaction Information'!$P$54*10^5*((1/Calculations!$C$10)-1)+'Reaction Information'!$P$54*10^5*Calculations!$C$14*(Calculations!$O127-Calculations!$C$8))</f>
        <v>#N/A</v>
      </c>
      <c r="AV127" s="8" t="e">
        <f>IF(ISBLANK(Input!$BT$4),NA(),'Reaction Information'!$E$58-'Reaction Information'!$G$58*(Calculations!$O127-Calculations!$C$8)-'Reaction Information'!$N$58*(Calculations!$O127*LN(Calculations!$O127/Calculations!$C$8)-Calculations!$O127+Calculations!$C$8)-'Reaction Information'!$O$58*10^4*(((1/(Calculations!$O127-Calculations!$C$13))-(1/(Calculations!$C$8-Calculations!$C$13)))*((Calculations!$C$13-Calculations!$O127)/(Calculations!$C$13))-(Calculations!$O127/(Calculations!$C$13*Calculations!$C$13))*LN((Calculations!$C$8*(Calculations!$O127-Calculations!$C$13))/(Calculations!$O127*(Calculations!$C$8-Calculations!$C$13))))+'Reaction Information'!$J$58*10^-1*(Calculations!$M127-Calculations!$C$9)+'Reaction Information'!$K$58*10^2*LN((Calculations!$C$12+Calculations!$M127)/(Calculations!$C$12+Calculations!$C$9))+(1/(Calculations!$O127-Calculations!$C$13))*('Reaction Information'!$L$58*(Calculations!$M127-Calculations!$C$9)+'Reaction Information'!$M$58*10^4*LN((Calculations!$C$12+Calculations!$M127)/(Calculations!$C$12+Calculations!$C$9)))+calculateOmega(Calculations!M127,Calculations!N127,Calculations!Q127,'Reaction Information'!$C$58,'Reaction Information'!$P$58*10^5,'Reaction Information'!$Q$58)*((1/Calculations!$S127)-1)-'Reaction Information'!$P$58*10^5*((1/Calculations!$C$10)-1)+'Reaction Information'!$P$58*10^5*Calculations!$C$14*(Calculations!$O127-Calculations!$C$8))</f>
        <v>#N/A</v>
      </c>
      <c r="AW127" s="8" t="e">
        <f>IF(ISBLANK(Input!$BW$4),NA(),'Reaction Information'!$E$62-'Reaction Information'!$G$62*(Calculations!$O127-Calculations!$C$8)-'Reaction Information'!$N$62*(Calculations!$O127*LN(Calculations!$O127/Calculations!$C$8)-Calculations!$O127+Calculations!$C$8)-'Reaction Information'!$O$62*10^4*(((1/(Calculations!$O127-Calculations!$C$13))-(1/(Calculations!$C$8-Calculations!$C$13)))*((Calculations!$C$13-Calculations!$O127)/(Calculations!$C$13))-(Calculations!$O127/(Calculations!$C$13*Calculations!$C$13))*LN((Calculations!$C$8*(Calculations!$O127-Calculations!$C$13))/(Calculations!$O127*(Calculations!$C$8-Calculations!$C$13))))+'Reaction Information'!$J$62*10^-1*(Calculations!$M127-Calculations!$C$9)+'Reaction Information'!$K$62*10^2*LN((Calculations!$C$12+Calculations!$M127)/(Calculations!$C$12+Calculations!$C$9))+(1/(Calculations!$O127-Calculations!$C$13))*('Reaction Information'!$L$62*(Calculations!$M127-Calculations!$C$9)+'Reaction Information'!$M$62*10^4*LN((Calculations!$C$12+Calculations!$M127)/(Calculations!$C$12+Calculations!$C$9)))+calculateOmega(Calculations!M127,Calculations!N127,Calculations!Q127,'Reaction Information'!$C$62,'Reaction Information'!$P$62*10^5,'Reaction Information'!$Q$62)*((1/Calculations!$S127)-1)-'Reaction Information'!$P$62*10^5*((1/Calculations!$C$10)-1)+'Reaction Information'!$P$62*10^5*Calculations!$C$14*(Calculations!$O127-Calculations!$C$8))</f>
        <v>#N/A</v>
      </c>
      <c r="AX127" s="8" t="e">
        <f>IF(ISBLANK(Input!$BZ$4),NA(),'Reaction Information'!$E$66-'Reaction Information'!$G$66*(Calculations!$O127-Calculations!$C$8)-'Reaction Information'!$N$66*(Calculations!$O127*LN(Calculations!$O127/Calculations!$C$8)-Calculations!$O127+Calculations!$C$8)-'Reaction Information'!$O$66*10^4*(((1/(Calculations!$O127-Calculations!$C$13))-(1/(Calculations!$C$8-Calculations!$C$13)))*((Calculations!$C$13-Calculations!$O127)/(Calculations!$C$13))-(Calculations!$O127/(Calculations!$C$13*Calculations!$C$13))*LN((Calculations!$C$8*(Calculations!$O127-Calculations!$C$13))/(Calculations!$O127*(Calculations!$C$8-Calculations!$C$13))))+'Reaction Information'!$J$66*10^-1*(Calculations!$M127-Calculations!$C$9)+'Reaction Information'!$K$66*10^2*LN((Calculations!$C$12+Calculations!$M127)/(Calculations!$C$12+Calculations!$C$9))+(1/(Calculations!$O127-Calculations!$C$13))*('Reaction Information'!$L$66*(Calculations!$M127-Calculations!$C$9)+'Reaction Information'!$M$66*10^4*LN((Calculations!$C$12+Calculations!$M127)/(Calculations!$C$12+Calculations!$C$9)))+calculateOmega(Calculations!M127,Calculations!N127,Calculations!Q127,'Reaction Information'!$C$66,'Reaction Information'!$P$66*10^5,'Reaction Information'!$Q$66)*((1/Calculations!$S127)-1)-'Reaction Information'!$P$66*10^5*((1/Calculations!$C$10)-1)+'Reaction Information'!$P$66*10^5*Calculations!$C$14*(Calculations!$O127-Calculations!$C$8))</f>
        <v>#N/A</v>
      </c>
      <c r="AY127" s="31">
        <f>(AL127*Input!$AO$4+AM127*Input!$AR$4+AN127*Input!$AU$4+AO127*Input!$AX$4+IF(ISNA(AP127),0,AP127*Input!$BA$4)+IF(ISNA(AQ127),0,AQ127*Input!$BD$4)+IF(ISNA(AR127),0,AR127*Input!$BG$4)+IF(ISNA(AS127),0,AS127*Input!$BJ$4)+IF(ISNA(AT127),0,AT127*Input!$BM$4)+IF(ISNA(AU127),0,AU127*Input!$BP$4)+IF(ISNA(AV127),0,AV127*Input!$BS$4)+IF(ISNA(AW127),0,AW127*Input!$BV$4)+IF(ISNA(AX127),0,AX127*Input!$BY$4))-(Y127*Input!$B$4+Z127*Input!$E$4+AA127*Input!$H$4+AB127*Input!$K$4+IF(ISNA(AC127),0,AC127*Input!$N$4)+IF(ISNA(AD127),0,AD127*Input!$Q$4)+IF(ISNA(AE127),0,AE127*Input!$T$4)+IF(ISNA(AF127),0,AF127*Input!$W$4)+IF(ISNA(AG127),0,AG127*Input!$Z$4)+IF(ISNA(AH127),0,AH127*Input!$AC$4)+IF(ISNA(AI127),0,AI127*Input!$AF$4)+IF(ISNA(AJ127),0,AJ127*Input!$AI$4)+IF(ISNA(AK127),0,AK127*Input!$AL$4))</f>
        <v>3863.0452297506417</v>
      </c>
      <c r="AZ127" s="42">
        <f t="shared" si="35"/>
        <v>-1.3557170790331092</v>
      </c>
      <c r="BA127" s="1">
        <f t="shared" si="27"/>
        <v>350</v>
      </c>
      <c r="BB127" s="46">
        <f t="shared" si="28"/>
        <v>45000</v>
      </c>
      <c r="BC127" s="1"/>
      <c r="BD127" s="2">
        <f t="shared" si="29"/>
        <v>45000</v>
      </c>
      <c r="BE127" s="46">
        <f t="shared" si="30"/>
        <v>350</v>
      </c>
      <c r="BF127" s="1">
        <f>Results!AJ129</f>
        <v>0</v>
      </c>
      <c r="BG127" s="1">
        <f>Results!AK129</f>
        <v>0</v>
      </c>
      <c r="BH127" s="1">
        <f>Results!AL129</f>
        <v>0</v>
      </c>
      <c r="BI127" s="1">
        <f>Results!AM129</f>
        <v>0</v>
      </c>
      <c r="BJ127" s="1" t="e">
        <f>IF(OR(ISNA('Reaction Information'!$D$5), $N127 = "", $D$27 = FALSE, 'Reaction Information'!$D$5 = ""), NA(), 24.465)</f>
        <v>#N/A</v>
      </c>
      <c r="BK127" s="1" t="e">
        <f>IF(OR(ISNA('Reaction Information'!$D$9), $N127 = "", $D$27 = FALSE, 'Reaction Information'!$D$9 = ""), NA(), 24.465)</f>
        <v>#N/A</v>
      </c>
      <c r="BL127" s="8">
        <f t="shared" si="36"/>
        <v>12.623560248091772</v>
      </c>
      <c r="BM127" s="8">
        <f>IF(OR(ISBLANK(Input!$X$4),$D$27=FALSE),NA(),('Reaction Information'!$J$13/10+'Reaction Information'!$K$13*100/(Calculations!$C$12+Calculations!$M127)+('Reaction Information'!$L$13+'Reaction Information'!$M$13*10^4/(Calculations!$C$12+Calculations!$M127))/(Calculations!$O127-Calculations!$C$13) -calculateOmega(Calculations!$M127,Calculations!$N127,Calculations!$Q127,'Reaction Information'!$C$13,'Reaction Information'!$P$13*10^5,'Reaction Information'!$Q$13)*Calculations!$U127*10^-6 + (1/$S127 - 1)*calculate_domegadP(Calculations!$M127,Calculations!$N127,Calculations!$Q127,'Reaction Information'!$C$13,'Reaction Information'!$P$13*10^5,'Reaction Information'!$Q$13,$D$20,$D$19=3))*41.84)</f>
        <v>29.899196080964579</v>
      </c>
      <c r="BN127" s="8" t="e">
        <f>IF(OR(ISBLANK(Input!$AA$4),$D$27=FALSE),NA(),('Reaction Information'!$J$17/10+'Reaction Information'!$K$17*100/(Calculations!$C$12+Calculations!$M127)+('Reaction Information'!$L$17+'Reaction Information'!$M$17*10000/(Calculations!$C$12+Calculations!$M127))/(Calculations!$O127-Calculations!$C$13)-calculateOmega(Calculations!M127,Calculations!N127,Calculations!Q127,'Reaction Information'!$C$17,'Reaction Information'!$P$17*10^5,'Reaction Information'!$Q$17)*Calculations!$U127*10^-6 + (1/$S127 - 1)*calculate_domegadP(Calculations!M127,Calculations!N127,Calculations!Q127,'Reaction Information'!$C$17,'Reaction Information'!$P$17*10^5,'Reaction Information'!$Q$17,$D$20,$D$19=3))*41.84)</f>
        <v>#N/A</v>
      </c>
      <c r="BO127" s="8" t="e">
        <f>IF(OR(ISBLANK(Input!$AD$4),$D$27=FALSE),NA(),('Reaction Information'!$J$21/10+'Reaction Information'!$K$21*100/(Calculations!$C$12+Calculations!$M127)+('Reaction Information'!$L$21+'Reaction Information'!$M$21*10000/(Calculations!$C$12+Calculations!$M127))/(Calculations!$O127-Calculations!$C$13)-calculateOmega(Calculations!M127,Calculations!N127,Calculations!Q127,'Reaction Information'!$C$21,'Reaction Information'!$P$21*10^5,'Reaction Information'!$Q$21)*Calculations!$U127*10^-6 + (1/$S127 - 1)*calculate_domegadP(Calculations!M127,Calculations!N127,Calculations!Q127,'Reaction Information'!$C$21,'Reaction Information'!$P$21*10^5,'Reaction Information'!$Q$21,$D$20,$D$19=3))*41.84)</f>
        <v>#N/A</v>
      </c>
      <c r="BP127" s="8" t="e">
        <f>IF(OR(ISBLANK(Input!$AG$4),$D$27=FALSE),NA(),('Reaction Information'!$J$25/10+'Reaction Information'!$K$25*100/(Calculations!$C$12+Calculations!$M127)+('Reaction Information'!$L$25+'Reaction Information'!$M$25*10000/(Calculations!$C$12+Calculations!$M127))/(Calculations!$O127-Calculations!$C$13)-calculateOmega(Calculations!M127,Calculations!N127,Calculations!Q127,'Reaction Information'!$C$25,'Reaction Information'!$P$25*10^5,'Reaction Information'!$Q$25)*Calculations!$U127*10^-6 + (1/$S127 - 1)*calculate_domegadP(Calculations!M127,Calculations!N127,Calculations!Q127,'Reaction Information'!$C$25,'Reaction Information'!$P$25*10^5,'Reaction Information'!$Q$25,$D$20,$D$19=3))*41.84)</f>
        <v>#N/A</v>
      </c>
      <c r="BQ127" s="8" t="e">
        <f>IF(OR(ISBLANK(Input!$AJ$4),$D$27=FALSE),NA(),('Reaction Information'!$J$29/10+'Reaction Information'!$K$29*100/(Calculations!$C$12+Calculations!$M127)+('Reaction Information'!$L$29+'Reaction Information'!$M$29*10000/(Calculations!$C$12+Calculations!$M127))/(Calculations!$O127-Calculations!$C$13)-calculateOmega(Calculations!M127,Calculations!N127,Calculations!Q127,'Reaction Information'!$C$29,'Reaction Information'!$P$29*10^5,'Reaction Information'!$Q$29)*Calculations!$U127*10^-6 + (1/$S127 - 1)*calculate_domegadP(Calculations!M127,Calculations!N127,Calculations!Q127,'Reaction Information'!$C$29,'Reaction Information'!$P$29*10^5,'Reaction Information'!$Q$29,$D$20,$D$19=3))*41.84)</f>
        <v>#N/A</v>
      </c>
      <c r="BR127" s="8" t="e">
        <f>IF(OR(ISBLANK(Input!$AM$4),$D$27=FALSE),NA(),('Reaction Information'!$J$33/10+'Reaction Information'!$K$33*100/(Calculations!$C$12+Calculations!$M127)+('Reaction Information'!$L$33+'Reaction Information'!$M$33*10000/(Calculations!$C$12+Calculations!$M127))/(Calculations!$O127-Calculations!$C$13)-calculateOmega(Calculations!M127,Calculations!N127,Calculations!Q127,'Reaction Information'!$C$33,'Reaction Information'!$P$33*10^5,'Reaction Information'!$Q$33)*Calculations!$U127*10^-6 + (1/$S127 - 1)*calculate_domegadP(Calculations!M127,Calculations!N127,Calculations!Q127,'Reaction Information'!$C$33,'Reaction Information'!$P$33*10^5,'Reaction Information'!$Q$33,$D$20,$D$19=3))*41.84)</f>
        <v>#N/A</v>
      </c>
      <c r="BS127" s="1">
        <f>Results!AW129</f>
        <v>0</v>
      </c>
      <c r="BT127" s="1">
        <f>Results!AX129</f>
        <v>0</v>
      </c>
      <c r="BU127" s="1">
        <f>Results!AY129</f>
        <v>0</v>
      </c>
      <c r="BV127" s="1">
        <f>Results!AZ129</f>
        <v>0</v>
      </c>
      <c r="BW127" s="1" t="e">
        <f>IF(OR(ISNA('Reaction Information'!$D$38), $N127 = "", $D$27 = FALSE, 'Reaction Information'!$D$38 = ""), NA(), 24.465)</f>
        <v>#N/A</v>
      </c>
      <c r="BX127" s="1" t="e">
        <f>IF(OR(ISNA('Reaction Information'!$D$42), $N127 = "", $D$27 = FALSE, 'Reaction Information'!$D$42 = ""), NA(), 24.465)</f>
        <v>#N/A</v>
      </c>
      <c r="BY127" s="8" t="e">
        <f t="shared" si="37"/>
        <v>#N/A</v>
      </c>
      <c r="BZ127" s="8">
        <f>IF(OR(ISBLANK(Input!$BK$4),$D$27=FALSE),NA(),('Reaction Information'!$J$46/10+'Reaction Information'!$K$46*100/(Calculations!$C$12+Calculations!$M127)+('Reaction Information'!$L$46+'Reaction Information'!$M$46*10000/(Calculations!$C$12+Calculations!$M127))/(Calculations!$O127-Calculations!$C$13)-calculateOmega(Calculations!M127,Calculations!N127,Calculations!Q127,'Reaction Information'!$C$46,'Reaction Information'!$P$46*10^5,'Reaction Information'!$Q$46)*Calculations!$U127*10^-6 + (1/$S127 - 1)*calculate_domegadP(Calculations!M127,Calculations!N127,Calculations!Q127,'Reaction Information'!$C$46,'Reaction Information'!$P$46*10^5,'Reaction Information'!$Q$46,$D$20,$D$19=3))*41.84)</f>
        <v>0</v>
      </c>
      <c r="CA127" s="8">
        <f>IF(OR(ISBLANK(Input!$BN$4),$D$27=FALSE),NA(),('Reaction Information'!$J$50/10+'Reaction Information'!$K$50*100/(Calculations!$C$12+Calculations!$M127)+('Reaction Information'!$L$50+'Reaction Information'!$M$50*10000/(Calculations!$C$12+Calculations!$M127))/(Calculations!$O127-Calculations!$C$13)-calculateOmega(Calculations!M127,Calculations!N127,Calculations!Q127,'Reaction Information'!$C$50,'Reaction Information'!$P$50*10^5,'Reaction Information'!$Q$50)*Calculations!$U127*10^-6 + (1/$S127 - 1)*calculate_domegadP(Calculations!M127,Calculations!N127,Calculations!Q127,'Reaction Information'!$C$50,'Reaction Information'!$P$50*10^5,'Reaction Information'!$Q$50,$D$20,$D$19=3))*41.84)</f>
        <v>31.580146956782063</v>
      </c>
      <c r="CB127" s="8" t="e">
        <f>IF(OR(ISBLANK(Input!$BQ$4),$D$27=FALSE),NA(),('Reaction Information'!$J$54/10+'Reaction Information'!$K$54*100/(Calculations!$C$12+Calculations!$M127)+('Reaction Information'!$L$54+'Reaction Information'!$M$54*10000/(Calculations!$C$12+Calculations!$M127))/(Calculations!$O127-Calculations!$C$13)-calculateOmega(Calculations!M127,Calculations!N127,Calculations!Q127,'Reaction Information'!$C$54,'Reaction Information'!$P$54*10^5,'Reaction Information'!$Q$54)*Calculations!$U127*10^-6 + (1/$S127 - 1)*calculate_domegadP(Calculations!M127,Calculations!N127,Calculations!Q127,'Reaction Information'!$C$54,'Reaction Information'!$P$54*10^5,'Reaction Information'!$Q$54,$D$20,$D$19=3))*41.84)</f>
        <v>#N/A</v>
      </c>
      <c r="CC127" s="8" t="e">
        <f>IF(OR(ISBLANK(Input!$BT$4),$D$27=FALSE),NA(),('Reaction Information'!$J$58/10+'Reaction Information'!$K$58*100/(Calculations!$C$12+Calculations!$M127)+('Reaction Information'!$L$58+'Reaction Information'!$M$58*10000/(Calculations!$C$12+Calculations!$M127))/(Calculations!$O127-Calculations!$C$13)-calculateOmega(Calculations!M127,Calculations!N127,Calculations!Q127,'Reaction Information'!$C$58,'Reaction Information'!$P$58*10^5,'Reaction Information'!$Q$58)*Calculations!$U127*10^-6 + (1/$S127 - 1)*calculate_domegadP(Calculations!M127,Calculations!N127,Calculations!Q127,'Reaction Information'!$C$58,'Reaction Information'!$P$58*10^5,'Reaction Information'!$Q$58,$D$20,$D$19=3))*41.84)</f>
        <v>#N/A</v>
      </c>
      <c r="CD127" s="8" t="e">
        <f>IF(OR(ISBLANK(Input!$BW$4),$D$27=FALSE),NA(),('Reaction Information'!$J$62/10+'Reaction Information'!$K$62*100/(Calculations!$C$12+Calculations!$M127)+('Reaction Information'!$L$62+'Reaction Information'!$M$62*10000/(Calculations!$C$12+Calculations!$M127))/(Calculations!$O127-Calculations!$C$13)-calculateOmega(Calculations!M127,Calculations!N127,Calculations!Q127,'Reaction Information'!$C$62,'Reaction Information'!$P$62*10^5,'Reaction Information'!$Q$62)*Calculations!$U127*10^-6 + (1/$S127 - 1)*calculate_domegadP(Calculations!M127,Calculations!N127,Calculations!Q127,'Reaction Information'!$C$62,'Reaction Information'!$P$62*10^5,'Reaction Information'!$Q$62,$D$20,$D$19=3))*41.84)</f>
        <v>#N/A</v>
      </c>
      <c r="CE127" s="8" t="e">
        <f>IF(OR(ISBLANK(Input!$BZ$4),$D$27=FALSE),NA(),('Reaction Information'!$J$66/10+'Reaction Information'!$K$66*100/(Calculations!$C$12+Calculations!$M127)+('Reaction Information'!$L$66+'Reaction Information'!$M$66*10000/(Calculations!$C$12+Calculations!$M127))/(Calculations!$O127-Calculations!$C$13)-calculateOmega(Calculations!M127,Calculations!N127,Calculations!Q127,'Reaction Information'!$C$66,'Reaction Information'!$P$66*10^5,'Reaction Information'!$Q$66)*Calculations!$U127*10^-6 + (1/$S127 - 1)*calculate_domegadP(Calculations!M127,Calculations!N127,Calculations!Q127,'Reaction Information'!$C$66,'Reaction Information'!$P$66*10^5,'Reaction Information'!$Q$66,$D$20,$D$19=3))*41.84)</f>
        <v>#N/A</v>
      </c>
      <c r="CF127" s="31">
        <f>(BS127*Input!$AO$4+BT127*Input!$AR$4+BU127*Input!$AU$4+BV127*Input!$AX$4+IF(ISNA(BW127),0,BW127*Input!$BA$4)+IF(ISNA(BX127),0,BX127*Input!$BD$4)+IF(ISNA(BY127),0,BY127*Input!$BG$4)+IF(ISNA(BZ127),0,BZ127*Input!$BJ$4)+IF(ISNA(CA127),0,CA127*Input!$BM$4)+IF(ISNA(CB127),0,CB127*Input!$BP$4)+IF(ISNA(CC127),0,CC127*Input!$BS$4)+IF(ISNA(CD127),0,CD127*Input!$BV$4)+IF(ISNA(CE127),0,CE127*Input!$BY$4))-(BF127*Input!$B$4+BG127*Input!$E$4+BH127*Input!$H$4+BI127*Input!$K$4+IF(ISNA(BJ127),0,BJ127*Input!$N$4)+IF(ISNA(BK127),0,BK127*Input!$Q$4)+IF(ISNA(BL127),0,BL127*Input!$T$4)+IF(ISNA(BM127),0,BM127*Input!$W$4)+IF(ISNA(BN127),0,BN127*Input!$Z$4)+IF(ISNA(BO127),0,BO127*Input!$AC$4)+IF(ISNA(BP127),0,BP127*Input!$AF$4)+IF(ISNA(BQ127),0,BQ127*Input!$AI$4)+IF(ISNA(BR127),0,BR127*Input!$AL$4))</f>
        <v>-10.942609372274287</v>
      </c>
      <c r="CG127" s="1">
        <f t="shared" si="31"/>
        <v>350</v>
      </c>
      <c r="CH127" s="46">
        <f t="shared" si="32"/>
        <v>45000</v>
      </c>
      <c r="CI127" s="1"/>
    </row>
    <row r="128" spans="1:87" x14ac:dyDescent="0.2">
      <c r="A128" s="1"/>
      <c r="B128" s="1"/>
      <c r="C128" s="1"/>
      <c r="D128" s="1"/>
      <c r="E128" s="1"/>
      <c r="F128" s="2">
        <v>123</v>
      </c>
      <c r="G128" s="1" t="str">
        <f>IF(ISBLANK(Input!CB128), "", Input!CB128*1000)</f>
        <v/>
      </c>
      <c r="H128" s="1" t="str">
        <f>IF(ISBLANK(Input!CC128), "", Input!CC128)</f>
        <v/>
      </c>
      <c r="I128" s="1">
        <f>IF(Input!$CF$5 + Input!$CF$6*(FLOOR((Calculations!$F128-1)/(FLOOR((Input!$CF$12-Input!$CF$10)/Input!$CF$11,1)+1),1)) &gt; Input!$CF$7, "", (Input!$CF$5 + Input!$CF$6*(FLOOR((Calculations!$F128-1)/(FLOOR((Input!$CF$12-Input!$CF$10)/Input!$CF$11,1)+1),1)))*1000)</f>
        <v>45000</v>
      </c>
      <c r="J128" s="1">
        <f>IF(Calculations!I128 = "", "", Input!$CF$10 + Input!$CF$11*(Calculations!$F128-1) - (FLOOR((Input!$CF$12-Input!$CF$10)/Input!$CF$11,1)+1)*Input!$CF$11*FLOOR((Calculations!$F128-1)/(FLOOR((Input!$CF$12-Input!$CF$10)/Input!$CF$11,1)+1),1))</f>
        <v>400</v>
      </c>
      <c r="K128" s="8" t="str">
        <f t="shared" si="33"/>
        <v/>
      </c>
      <c r="L128" s="117" t="str">
        <f>IF(OR(Input!$CJ$5 + Input!$CJ$6*(Calculations!F128-1) &gt; Input!$CJ$7, Input!$CJ$5 + Input!$CJ$6*(Calculations!F128-1) &gt; 350), "", Input!$CJ$5 + Input!$CJ$6*(Calculations!F128-1))</f>
        <v/>
      </c>
      <c r="M128" s="1">
        <f t="shared" si="23"/>
        <v>45000</v>
      </c>
      <c r="N128" s="1">
        <f t="shared" si="24"/>
        <v>400</v>
      </c>
      <c r="O128" s="1">
        <f t="shared" si="34"/>
        <v>673.15</v>
      </c>
      <c r="P128" s="1" t="e">
        <f>IF(OR($D$20=3,AND($D$21=TRUE,M128&lt;1000)),INDEX('Water Density'!$C$6:$CX$120,MATCH(Calculations!N128,'Water Density'!$B$6:$B$120),MATCH(Calculations!M128/1000,'Water Density'!$C$5:$CX$5)),NA())</f>
        <v>#N/A</v>
      </c>
      <c r="Q128" s="182">
        <f>IF(OR($D$20=3,AND($D$21=TRUE,M128&lt;1000)), IF(P128&lt;&gt;0,P128,NA()), calculateDensity(M128,N128,$D$20,0.01,$D$19 = 3))</f>
        <v>1.4121409061717989</v>
      </c>
      <c r="R128" s="1" t="e">
        <f>IF($D$22=5,INDEX('Dielectric Constant'!$C$6:$CX$120,MATCH(Calculations!N128,'Dielectric Constant'!$B$6:$B$120),MATCH(Calculations!M128/1000,'Dielectric Constant'!$C$5:$CX$5)),NA())</f>
        <v>#N/A</v>
      </c>
      <c r="S128" s="58">
        <f>IF($D$22=5, IF(R128&lt;&gt;0,R128,NA()), IF(AND($D$23,M128&lt;=5000,$D$19 &lt;&gt; 3),calculateEpsilon(Q128,N128,1,FALSE),calculateEpsilon(Q128,N128,$D$22,$D$19 = 3)))</f>
        <v>47.207057327290876</v>
      </c>
      <c r="T128" s="1" t="e">
        <f>IF($D$24=3,INDEX('Water Free Energy'!$C$6:$CX$120,MATCH(Calculations!N128,'Water Free Energy'!$B$6:$B$120),MATCH(Calculations!M128/1000,'Water Free Energy'!$C$5:$CX$5)),NA())</f>
        <v>#N/A</v>
      </c>
      <c r="U128" s="179">
        <f>IF($D$27,calculateQ(M128,N128,Q128,$D$20,$D$22,$D$19=3)*10^6,NA())</f>
        <v>0.10538579246503675</v>
      </c>
      <c r="V128"/>
      <c r="W128" s="2">
        <f t="shared" si="25"/>
        <v>45000</v>
      </c>
      <c r="X128" s="1">
        <f t="shared" si="26"/>
        <v>400</v>
      </c>
      <c r="Y128" s="1">
        <f>Results!F130</f>
        <v>0</v>
      </c>
      <c r="Z128" s="1">
        <f>Results!G130</f>
        <v>0</v>
      </c>
      <c r="AA128" s="1">
        <f>Results!H130</f>
        <v>0</v>
      </c>
      <c r="AB128" s="1">
        <f>Results!I130</f>
        <v>0</v>
      </c>
      <c r="AC128" s="1" t="e">
        <f>IF(ISBLANK(Input!$O$4),NA(),'Reaction Information'!$E$5-'Reaction Information'!$G$5*(Calculations!$O128-Calculations!$C$8)+'Reaction Information'!$I$5*(Calculations!$O128-Calculations!$C$8-Calculations!$O128*LN(Calculations!$O128/Calculations!$C$8))+'Reaction Information'!$J$5*0.001/2*(2*Calculations!$O128*Calculations!$C$8-Calculations!$O128^2-Calculations!$C$8^2) + 'Reaction Information'!$K$5*100000*(Calculations!$O128^2 + Calculations!$C$8^2 - 2*Calculations!$O128*Calculations!$C$8)/(2*Calculations!$O128*Calculations!$C$8^2))</f>
        <v>#N/A</v>
      </c>
      <c r="AD128" s="8" t="e">
        <f>IF(ISBLANK(Input!$R$4),NA(),'Reaction Information'!$E$9-'Reaction Information'!$G$9*(Calculations!$O128-Calculations!$C$8)+'Reaction Information'!$I$9*(Calculations!$O128-Calculations!$C$8-Calculations!$O128*LN(Calculations!$O128/Calculations!$C$8))+'Reaction Information'!$J$9*0.001/2*(2*Calculations!$O128*Calculations!$C$8-Calculations!$O128^2-Calculations!$C$8^2) + 'Reaction Information'!$K$9*100000*(Calculations!$O128^2 + Calculations!$C$8^2 - 2*Calculations!$O128*Calculations!$C$8)/(2*Calculations!$O128*Calculations!$C$8^2))</f>
        <v>#N/A</v>
      </c>
      <c r="AE128" s="8">
        <f>IF(AE$5="H2O",IF($D$24=3,IF(T128=0,NA(),T128),calculateGibbsOfWater(M128,N128,$D$24,$D$20,$D$19=3)),NA())</f>
        <v>-49284.087891216172</v>
      </c>
      <c r="AF128" s="8">
        <f>IF(ISBLANK(Input!$X$4),NA(),'Reaction Information'!$E$13-'Reaction Information'!$G$13*(Calculations!O128-Calculations!$C$8)-'Reaction Information'!$N$13*(Calculations!O128*LN(Calculations!O128/Calculations!$C$8)-Calculations!O128+Calculations!$C$8)-'Reaction Information'!$O$13*10^4*(((1/(Calculations!O128-Calculations!$C$13))-(1/(Calculations!$C$8-Calculations!$C$13)))*((Calculations!$C$13-Calculations!O128)/(Calculations!$C$13))-(Calculations!O128/(Calculations!$C$13*Calculations!$C$13))*LN((Calculations!$C$8*(Calculations!O128-Calculations!$C$13))/(Calculations!O128*(Calculations!$C$8-Calculations!$C$13))))+'Reaction Information'!$J$13*10^-1*(Calculations!M128-Calculations!$C$9)+'Reaction Information'!$K$13*10^2*LN((Calculations!$C$12+Calculations!M128)/(Calculations!$C$12+Calculations!$C$9))+(1/(Calculations!O128-Calculations!$C$13))*('Reaction Information'!$L$13*(Calculations!M128-Calculations!$C$9)+'Reaction Information'!$M$13*10^4*LN((Calculations!$C$12+Calculations!M128)/(Calculations!$C$12+Calculations!$C$9)))+calculateOmega(Calculations!M128,Calculations!N128,Calculations!Q128,'Reaction Information'!$C$13,'Reaction Information'!$P$13*10^5,'Reaction Information'!$Q$13)*((1/Calculations!S128)-1)-'Reaction Information'!$P$13*10^5*((1/Calculations!$C$10)-1)+'Reaction Information'!$P$13*10^5*Calculations!$C$14*(Calculations!O128-Calculations!$C$8))</f>
        <v>-73991.408590144769</v>
      </c>
      <c r="AG128" s="8" t="e">
        <f>IF(ISBLANK(Input!$AA$4),NA(),'Reaction Information'!$E$17-'Reaction Information'!$G$17*(Calculations!$O128-Calculations!$C$8)-'Reaction Information'!$N$17*(Calculations!$O128*LN(Calculations!$O128/Calculations!$C$8)-Calculations!$O128+Calculations!$C$8)-'Reaction Information'!$O$17*10^4*(((1/(Calculations!$O128-Calculations!$C$13))-(1/(Calculations!$C$8-Calculations!$C$13)))*((Calculations!$C$13-Calculations!$O128)/(Calculations!$C$13))-(Calculations!$O128/(Calculations!$C$13*Calculations!$C$13))*LN((Calculations!$C$8*(Calculations!$O128-Calculations!$C$13))/(Calculations!$O128*(Calculations!$C$8-Calculations!$C$13))))+'Reaction Information'!$J$17*10^-1*(Calculations!$M128-Calculations!$C$9)+'Reaction Information'!$K$17*10^2*LN((Calculations!$C$12+Calculations!$M128)/(Calculations!$C$12+Calculations!$C$9))+(1/(Calculations!$O128-Calculations!$C$13))*('Reaction Information'!$L$17*(Calculations!$M128-Calculations!$C$9)+'Reaction Information'!$M$17*10^4*LN((Calculations!$C$12+Calculations!$M128)/(Calculations!$C$12+Calculations!$C$9)))+calculateOmega(Calculations!M128,Calculations!N128,Calculations!Q128,'Reaction Information'!$C$17,'Reaction Information'!$P$17*10^5,'Reaction Information'!$Q$17)*((1/Calculations!$S128)-1)-'Reaction Information'!$P$17*10^5*((1/Calculations!$C$10)-1)+'Reaction Information'!$P$17*10^5*Calculations!$C$14*(Calculations!$O128-Calculations!$C$8))</f>
        <v>#N/A</v>
      </c>
      <c r="AH128" s="8" t="e">
        <f>IF(ISBLANK(Input!$AD$4),NA(),'Reaction Information'!$E$21-'Reaction Information'!$G$21*(Calculations!$O128-Calculations!$C$8)-'Reaction Information'!$N$21*(Calculations!$O128*LN(Calculations!$O128/Calculations!$C$8)-Calculations!$O128+Calculations!$C$8)-'Reaction Information'!$O$21*10^4*(((1/(Calculations!$O128-Calculations!$C$13))-(1/(Calculations!$C$8-Calculations!$C$13)))*((Calculations!$C$13-Calculations!$O128)/(Calculations!$C$13))-(Calculations!$O128/(Calculations!$C$13*Calculations!$C$13))*LN((Calculations!$C$8*(Calculations!$O128-Calculations!$C$13))/(Calculations!$O128*(Calculations!$C$8-Calculations!$C$13))))+'Reaction Information'!$J$21*10^-1*(Calculations!$M128-Calculations!$C$9)+'Reaction Information'!$K$21*10^2*LN((Calculations!$C$12+Calculations!$M128)/(Calculations!$C$12+Calculations!$C$9))+(1/(Calculations!$O128-Calculations!$C$13))*('Reaction Information'!$L$21*(Calculations!$M128-Calculations!$C$9)+'Reaction Information'!$M$21*10^4*LN((Calculations!$C$12+Calculations!$M128)/(Calculations!$C$12+Calculations!$C$9)))+calculateOmega(Calculations!M128,Calculations!N128,Calculations!Q128,'Reaction Information'!$C$21,'Reaction Information'!$P$21*10^5,'Reaction Information'!$Q$21)*((1/Calculations!$S128)-1)-'Reaction Information'!$P$21*10^5*((1/Calculations!$C$10)-1)+'Reaction Information'!$P$21*10^5*Calculations!$C$14*(Calculations!$O128-Calculations!$C$8))</f>
        <v>#N/A</v>
      </c>
      <c r="AI128" s="8" t="e">
        <f>IF(ISBLANK(Input!$AG$4),NA(),'Reaction Information'!$E$25-'Reaction Information'!$G$25*(Calculations!$O128-Calculations!$C$8)-'Reaction Information'!$N$25*(Calculations!$O128*LN(Calculations!$O128/Calculations!$C$8)-Calculations!$O128+Calculations!$C$8)-'Reaction Information'!$O$25*10^4*(((1/(Calculations!$O128-Calculations!$C$13))-(1/(Calculations!$C$8-Calculations!$C$13)))*((Calculations!$C$13-Calculations!$O128)/(Calculations!$C$13))-(Calculations!$O128/(Calculations!$C$13*Calculations!$C$13))*LN((Calculations!$C$8*(Calculations!$O128-Calculations!$C$13))/(Calculations!$O128*(Calculations!$C$8-Calculations!$C$13))))+'Reaction Information'!$J$25*10^-1*(Calculations!$M128-Calculations!$C$9)+'Reaction Information'!$K$25*10^2*LN((Calculations!$C$12+Calculations!$M128)/(Calculations!$C$12+Calculations!$C$9))+(1/(Calculations!$O128-Calculations!$C$13))*('Reaction Information'!$L$25*(Calculations!$M128-Calculations!$C$9)+'Reaction Information'!$M$25*10^4*LN((Calculations!$C$12+Calculations!$M128)/(Calculations!$C$12+Calculations!$C$9)))+calculateOmega(Calculations!M128,Calculations!N128,Calculations!Q128,'Reaction Information'!$C$25,'Reaction Information'!$P$25*10^5,'Reaction Information'!$Q$25)*((1/Calculations!$S128)-1)-'Reaction Information'!$P$25*10^5*((1/Calculations!$C$10)-1)+'Reaction Information'!$P$25*10^5*Calculations!$C$14*(Calculations!$O128-Calculations!$C$8))</f>
        <v>#N/A</v>
      </c>
      <c r="AJ128" s="8" t="e">
        <f>IF(ISBLANK(Input!$AJ$4),NA(),'Reaction Information'!$E$29-'Reaction Information'!$G$29*(Calculations!$O128-Calculations!$C$8)-'Reaction Information'!$N$29*(Calculations!$O128*LN(Calculations!$O128/Calculations!$C$8)-Calculations!$O128+Calculations!$C$8)-'Reaction Information'!$O$29*10^4*(((1/(Calculations!$O128-Calculations!$C$13))-(1/(Calculations!$C$8-Calculations!$C$13)))*((Calculations!$C$13-Calculations!$O128)/(Calculations!$C$13))-(Calculations!$O128/(Calculations!$C$13*Calculations!$C$13))*LN((Calculations!$C$8*(Calculations!$O128-Calculations!$C$13))/(Calculations!$O128*(Calculations!$C$8-Calculations!$C$13))))+'Reaction Information'!$J$29*10^-1*(Calculations!$M128-Calculations!$C$9)+'Reaction Information'!$K$29*10^2*LN((Calculations!$C$12+Calculations!$M128)/(Calculations!$C$12+Calculations!$C$9))+(1/(Calculations!$O128-Calculations!$C$13))*('Reaction Information'!$L$29*(Calculations!$M128-Calculations!$C$9)+'Reaction Information'!$M$29*10^4*LN((Calculations!$C$12+Calculations!$M128)/(Calculations!$C$12+Calculations!$C$9)))+calculateOmega(Calculations!M128,Calculations!N128,Calculations!Q128,'Reaction Information'!$C$29,'Reaction Information'!$P$29*10^5,'Reaction Information'!$Q$29)*((1/Calculations!$S128)-1)-'Reaction Information'!$P$29*10^5*((1/Calculations!$C$10)-1)+'Reaction Information'!$P$29*10^5*Calculations!$C$14*(Calculations!$O128-Calculations!$C$8))</f>
        <v>#N/A</v>
      </c>
      <c r="AK128" s="8" t="e">
        <f>IF(ISBLANK(Input!$AM$4),NA(),'Reaction Information'!$E$33-'Reaction Information'!$G$33*(Calculations!$O128-Calculations!$C$8)-'Reaction Information'!$N$33*(Calculations!$O128*LN(Calculations!$O128/Calculations!$C$8)-Calculations!$O128+Calculations!$C$8)-'Reaction Information'!$O$33*10^4*(((1/(Calculations!$O128-Calculations!$C$13))-(1/(Calculations!$C$8-Calculations!$C$13)))*((Calculations!$C$13-Calculations!$O128)/(Calculations!$C$13))-(Calculations!$O128/(Calculations!$C$13*Calculations!$C$13))*LN((Calculations!$C$8*(Calculations!$O128-Calculations!$C$13))/(Calculations!$O128*(Calculations!$C$8-Calculations!$C$13))))+'Reaction Information'!$J$33*10^-1*(Calculations!$M128-Calculations!$C$9)+'Reaction Information'!$K$33*10^2*LN((Calculations!$C$12+Calculations!$M128)/(Calculations!$C$12+Calculations!$C$9))+(1/(Calculations!$O128-Calculations!$C$13))*('Reaction Information'!$L$33*(Calculations!$M128-Calculations!$C$9)+'Reaction Information'!$M$33*10^4*LN((Calculations!$C$12+Calculations!$M128)/(Calculations!$C$12+Calculations!$C$9)))+calculateOmega(Calculations!M128,Calculations!N128,Calculations!Q128,'Reaction Information'!$C$33,'Reaction Information'!$P$33*10^5,'Reaction Information'!$Q$33)*((1/Calculations!$S128)-1)-'Reaction Information'!$P$33*10^5*((1/Calculations!$C$10)-1)+'Reaction Information'!$P$33*10^5*Calculations!$C$14*(Calculations!$O128-Calculations!$C$8))</f>
        <v>#N/A</v>
      </c>
      <c r="AL128" s="1">
        <f>Results!S130</f>
        <v>0</v>
      </c>
      <c r="AM128" s="1">
        <f>Results!T130</f>
        <v>0</v>
      </c>
      <c r="AN128" s="1">
        <f>Results!U130</f>
        <v>0</v>
      </c>
      <c r="AO128" s="1">
        <f>Results!V130</f>
        <v>0</v>
      </c>
      <c r="AP128" s="8" t="e">
        <f>IF(ISBLANK(Input!$BB$4),NA(),'Reaction Information'!$E$38-'Reaction Information'!$G$38*(Calculations!$O128-Calculations!$C$8)+'Reaction Information'!$I$38*(Calculations!$O128-Calculations!$C$8-Calculations!$O128*LN(Calculations!$O128/Calculations!$C$8))+'Reaction Information'!$J$38*0.001/2*(2*Calculations!$O128*Calculations!$C$8-Calculations!$O128^2-Calculations!$C$8^2) + 'Reaction Information'!$K$38*100000*(Calculations!$O128^2 + Calculations!$C$8^2 - 2*Calculations!$O128*Calculations!$C$8)/(2*Calculations!$O128*Calculations!$C$8^2))</f>
        <v>#N/A</v>
      </c>
      <c r="AQ128" s="8" t="e">
        <f>IF(ISBLANK(Input!$BE$4),NA(),'Reaction Information'!$E$42-'Reaction Information'!$G$42*(Calculations!$O128-Calculations!$C$8)+'Reaction Information'!$I$42*(Calculations!$O128-Calculations!$C$8-Calculations!$O128*LN(Calculations!$O128/Calculations!$C$8))+'Reaction Information'!$J$42*0.001/2*(2*Calculations!$O128*Calculations!$C$8-Calculations!$O128^2-Calculations!$C$8^2) + 'Reaction Information'!$K$42*100000*(Calculations!$O128^2 + Calculations!$C$8^2 - 2*Calculations!$O128*Calculations!$C$8)/(2*Calculations!$O128*Calculations!$C$8^2))</f>
        <v>#N/A</v>
      </c>
      <c r="AR128" s="8" t="e">
        <f>IF(AR$5="H2O", IF($D$24=3,IF(T128=0,NA(),T128),calculateGibbsOfWater(M128,N128,$D$24,$D$20,$D$19=3)),NA())</f>
        <v>#N/A</v>
      </c>
      <c r="AS128" s="8">
        <f>IF(ISBLANK(Input!$BK$4),NA(),'Reaction Information'!$E$46-'Reaction Information'!$G$46*(Calculations!O128-Calculations!$C$8)-'Reaction Information'!$N$46*(Calculations!O128*LN(Calculations!O128/Calculations!$C$8)-Calculations!O128+Calculations!$C$8)-'Reaction Information'!$O$46*10^4*(((1/(Calculations!O128-Calculations!$C$13))-(1/(Calculations!$C$8-Calculations!$C$13)))*((Calculations!$C$13-Calculations!O128)/(Calculations!$C$13))-(Calculations!O128/(Calculations!$C$13*Calculations!$C$13))*LN((Calculations!$C$8*(Calculations!O128-Calculations!$C$13))/(Calculations!O128*(Calculations!$C$8-Calculations!$C$13))))+'Reaction Information'!$J$46*10^-1*(Calculations!$M128-Calculations!$C$9)+'Reaction Information'!$K$46*10^2*LN((Calculations!$C$12+Calculations!$M128)/(Calculations!$C$12+Calculations!$C$9))+(1/(Calculations!O128-Calculations!$C$13))*('Reaction Information'!$L$46*(Calculations!$M128-Calculations!$C$9)+'Reaction Information'!$M$46*10^4*LN((Calculations!$C$12+Calculations!$M128)/(Calculations!$C$12+Calculations!$C$9)))+calculateOmega(Calculations!M128,Calculations!N128,Calculations!Q128,'Reaction Information'!$C$46,'Reaction Information'!$P$46*10^5,'Reaction Information'!$Q$46)*((1/Calculations!S128)-1)-'Reaction Information'!$P$46*10^5*((1/Calculations!$C$10)-1)+'Reaction Information'!$P$46*10^5*Calculations!$C$14*(Calculations!O128-Calculations!$C$8))</f>
        <v>0</v>
      </c>
      <c r="AT128" s="8">
        <f>IF(ISBLANK(Input!$BN$4),NA(),'Reaction Information'!$E$50-'Reaction Information'!$G$50*(Calculations!O128-Calculations!$C$8)-'Reaction Information'!$N$50*(Calculations!O128*LN(Calculations!O128/Calculations!$C$8)-Calculations!O128+Calculations!$C$8)-'Reaction Information'!$O$50*10^4*(((1/(Calculations!O128-Calculations!$C$13))-(1/(Calculations!$C$8-Calculations!$C$13)))*((Calculations!$C$13-Calculations!O128)/(Calculations!$C$13))-(Calculations!O128/(Calculations!$C$13*Calculations!$C$13))*LN((Calculations!$C$8*(Calculations!O128-Calculations!$C$13))/(Calculations!O128*(Calculations!$C$8-Calculations!$C$13))))+'Reaction Information'!$J$50*10^-1*(Calculations!$M128-Calculations!$C$9)+'Reaction Information'!$K$50*10^2*LN((Calculations!$C$12+Calculations!$M128)/(Calculations!$C$12+Calculations!$C$9))+(1/(Calculations!O128-Calculations!$C$13))*('Reaction Information'!$L$50*(Calculations!$M128-Calculations!$C$9)+'Reaction Information'!$M$50*10^4*LN((Calculations!$C$12+Calculations!$M128)/(Calculations!$C$12+Calculations!$C$9)))+calculateOmega(Calculations!M128,Calculations!N128,Calculations!Q128,'Reaction Information'!$C$50,'Reaction Information'!$P$50*10^5,'Reaction Information'!$Q$50)*((1/Calculations!S128)-1)-'Reaction Information'!$P$50*10^5*((1/Calculations!$C$10)-1)+'Reaction Information'!$P$50*10^5*Calculations!$C$14*(Calculations!O128-Calculations!$C$8))</f>
        <v>-117754.44582334871</v>
      </c>
      <c r="AU128" s="8" t="e">
        <f>IF(ISBLANK(Input!$BQ$4),NA(),'Reaction Information'!$E$54-'Reaction Information'!$G$54*(Calculations!$O128-Calculations!$C$8)-'Reaction Information'!$N$54*(Calculations!$O128*LN(Calculations!$O128/Calculations!$C$8)-Calculations!$O128+Calculations!$C$8)-'Reaction Information'!$O$54*10^4*(((1/(Calculations!$O128-Calculations!$C$13))-(1/(Calculations!$C$8-Calculations!$C$13)))*((Calculations!$C$13-Calculations!$O128)/(Calculations!$C$13))-(Calculations!$O128/(Calculations!$C$13*Calculations!$C$13))*LN((Calculations!$C$8*(Calculations!$O128-Calculations!$C$13))/(Calculations!$O128*(Calculations!$C$8-Calculations!$C$13))))+'Reaction Information'!$J$54*10^-1*(Calculations!$M128-Calculations!$C$9)+'Reaction Information'!$K$54*10^2*LN((Calculations!$C$12+Calculations!$M128)/(Calculations!$C$12+Calculations!$C$9))+(1/(Calculations!$O128-Calculations!$C$13))*('Reaction Information'!$L$54*(Calculations!$M128-Calculations!$C$9)+'Reaction Information'!$M$54*10^4*LN((Calculations!$C$12+Calculations!$M128)/(Calculations!$C$12+Calculations!$C$9)))+calculateOmega(Calculations!M128,Calculations!N128,Calculations!Q128,'Reaction Information'!$C$54,'Reaction Information'!$P$54*10^5,'Reaction Information'!$Q$54)*((1/Calculations!$S128)-1)-'Reaction Information'!$P$54*10^5*((1/Calculations!$C$10)-1)+'Reaction Information'!$P$54*10^5*Calculations!$C$14*(Calculations!$O128-Calculations!$C$8))</f>
        <v>#N/A</v>
      </c>
      <c r="AV128" s="8" t="e">
        <f>IF(ISBLANK(Input!$BT$4),NA(),'Reaction Information'!$E$58-'Reaction Information'!$G$58*(Calculations!$O128-Calculations!$C$8)-'Reaction Information'!$N$58*(Calculations!$O128*LN(Calculations!$O128/Calculations!$C$8)-Calculations!$O128+Calculations!$C$8)-'Reaction Information'!$O$58*10^4*(((1/(Calculations!$O128-Calculations!$C$13))-(1/(Calculations!$C$8-Calculations!$C$13)))*((Calculations!$C$13-Calculations!$O128)/(Calculations!$C$13))-(Calculations!$O128/(Calculations!$C$13*Calculations!$C$13))*LN((Calculations!$C$8*(Calculations!$O128-Calculations!$C$13))/(Calculations!$O128*(Calculations!$C$8-Calculations!$C$13))))+'Reaction Information'!$J$58*10^-1*(Calculations!$M128-Calculations!$C$9)+'Reaction Information'!$K$58*10^2*LN((Calculations!$C$12+Calculations!$M128)/(Calculations!$C$12+Calculations!$C$9))+(1/(Calculations!$O128-Calculations!$C$13))*('Reaction Information'!$L$58*(Calculations!$M128-Calculations!$C$9)+'Reaction Information'!$M$58*10^4*LN((Calculations!$C$12+Calculations!$M128)/(Calculations!$C$12+Calculations!$C$9)))+calculateOmega(Calculations!M128,Calculations!N128,Calculations!Q128,'Reaction Information'!$C$58,'Reaction Information'!$P$58*10^5,'Reaction Information'!$Q$58)*((1/Calculations!$S128)-1)-'Reaction Information'!$P$58*10^5*((1/Calculations!$C$10)-1)+'Reaction Information'!$P$58*10^5*Calculations!$C$14*(Calculations!$O128-Calculations!$C$8))</f>
        <v>#N/A</v>
      </c>
      <c r="AW128" s="8" t="e">
        <f>IF(ISBLANK(Input!$BW$4),NA(),'Reaction Information'!$E$62-'Reaction Information'!$G$62*(Calculations!$O128-Calculations!$C$8)-'Reaction Information'!$N$62*(Calculations!$O128*LN(Calculations!$O128/Calculations!$C$8)-Calculations!$O128+Calculations!$C$8)-'Reaction Information'!$O$62*10^4*(((1/(Calculations!$O128-Calculations!$C$13))-(1/(Calculations!$C$8-Calculations!$C$13)))*((Calculations!$C$13-Calculations!$O128)/(Calculations!$C$13))-(Calculations!$O128/(Calculations!$C$13*Calculations!$C$13))*LN((Calculations!$C$8*(Calculations!$O128-Calculations!$C$13))/(Calculations!$O128*(Calculations!$C$8-Calculations!$C$13))))+'Reaction Information'!$J$62*10^-1*(Calculations!$M128-Calculations!$C$9)+'Reaction Information'!$K$62*10^2*LN((Calculations!$C$12+Calculations!$M128)/(Calculations!$C$12+Calculations!$C$9))+(1/(Calculations!$O128-Calculations!$C$13))*('Reaction Information'!$L$62*(Calculations!$M128-Calculations!$C$9)+'Reaction Information'!$M$62*10^4*LN((Calculations!$C$12+Calculations!$M128)/(Calculations!$C$12+Calculations!$C$9)))+calculateOmega(Calculations!M128,Calculations!N128,Calculations!Q128,'Reaction Information'!$C$62,'Reaction Information'!$P$62*10^5,'Reaction Information'!$Q$62)*((1/Calculations!$S128)-1)-'Reaction Information'!$P$62*10^5*((1/Calculations!$C$10)-1)+'Reaction Information'!$P$62*10^5*Calculations!$C$14*(Calculations!$O128-Calculations!$C$8))</f>
        <v>#N/A</v>
      </c>
      <c r="AX128" s="8" t="e">
        <f>IF(ISBLANK(Input!$BZ$4),NA(),'Reaction Information'!$E$66-'Reaction Information'!$G$66*(Calculations!$O128-Calculations!$C$8)-'Reaction Information'!$N$66*(Calculations!$O128*LN(Calculations!$O128/Calculations!$C$8)-Calculations!$O128+Calculations!$C$8)-'Reaction Information'!$O$66*10^4*(((1/(Calculations!$O128-Calculations!$C$13))-(1/(Calculations!$C$8-Calculations!$C$13)))*((Calculations!$C$13-Calculations!$O128)/(Calculations!$C$13))-(Calculations!$O128/(Calculations!$C$13*Calculations!$C$13))*LN((Calculations!$C$8*(Calculations!$O128-Calculations!$C$13))/(Calculations!$O128*(Calculations!$C$8-Calculations!$C$13))))+'Reaction Information'!$J$66*10^-1*(Calculations!$M128-Calculations!$C$9)+'Reaction Information'!$K$66*10^2*LN((Calculations!$C$12+Calculations!$M128)/(Calculations!$C$12+Calculations!$C$9))+(1/(Calculations!$O128-Calculations!$C$13))*('Reaction Information'!$L$66*(Calculations!$M128-Calculations!$C$9)+'Reaction Information'!$M$66*10^4*LN((Calculations!$C$12+Calculations!$M128)/(Calculations!$C$12+Calculations!$C$9)))+calculateOmega(Calculations!M128,Calculations!N128,Calculations!Q128,'Reaction Information'!$C$66,'Reaction Information'!$P$66*10^5,'Reaction Information'!$Q$66)*((1/Calculations!$S128)-1)-'Reaction Information'!$P$66*10^5*((1/Calculations!$C$10)-1)+'Reaction Information'!$P$66*10^5*Calculations!$C$14*(Calculations!$O128-Calculations!$C$8))</f>
        <v>#N/A</v>
      </c>
      <c r="AY128" s="31">
        <f>(AL128*Input!$AO$4+AM128*Input!$AR$4+AN128*Input!$AU$4+AO128*Input!$AX$4+IF(ISNA(AP128),0,AP128*Input!$BA$4)+IF(ISNA(AQ128),0,AQ128*Input!$BD$4)+IF(ISNA(AR128),0,AR128*Input!$BG$4)+IF(ISNA(AS128),0,AS128*Input!$BJ$4)+IF(ISNA(AT128),0,AT128*Input!$BM$4)+IF(ISNA(AU128),0,AU128*Input!$BP$4)+IF(ISNA(AV128),0,AV128*Input!$BS$4)+IF(ISNA(AW128),0,AW128*Input!$BV$4)+IF(ISNA(AX128),0,AX128*Input!$BY$4))-(Y128*Input!$B$4+Z128*Input!$E$4+AA128*Input!$H$4+AB128*Input!$K$4+IF(ISNA(AC128),0,AC128*Input!$N$4)+IF(ISNA(AD128),0,AD128*Input!$Q$4)+IF(ISNA(AE128),0,AE128*Input!$T$4)+IF(ISNA(AF128),0,AF128*Input!$W$4)+IF(ISNA(AG128),0,AG128*Input!$Z$4)+IF(ISNA(AH128),0,AH128*Input!$AC$4)+IF(ISNA(AI128),0,AI128*Input!$AF$4)+IF(ISNA(AJ128),0,AJ128*Input!$AI$4)+IF(ISNA(AK128),0,AK128*Input!$AL$4))</f>
        <v>5521.050658012231</v>
      </c>
      <c r="AZ128" s="42">
        <f t="shared" si="35"/>
        <v>-1.7936667414304648</v>
      </c>
      <c r="BA128" s="1">
        <f t="shared" si="27"/>
        <v>400</v>
      </c>
      <c r="BB128" s="46">
        <f t="shared" si="28"/>
        <v>45000</v>
      </c>
      <c r="BC128" s="1"/>
      <c r="BD128" s="2">
        <f t="shared" si="29"/>
        <v>45000</v>
      </c>
      <c r="BE128" s="46">
        <f t="shared" si="30"/>
        <v>400</v>
      </c>
      <c r="BF128" s="1">
        <f>Results!AJ130</f>
        <v>0</v>
      </c>
      <c r="BG128" s="1">
        <f>Results!AK130</f>
        <v>0</v>
      </c>
      <c r="BH128" s="1">
        <f>Results!AL130</f>
        <v>0</v>
      </c>
      <c r="BI128" s="1">
        <f>Results!AM130</f>
        <v>0</v>
      </c>
      <c r="BJ128" s="1" t="e">
        <f>IF(OR(ISNA('Reaction Information'!$D$5), $N128 = "", $D$27 = FALSE, 'Reaction Information'!$D$5 = ""), NA(), 24.465)</f>
        <v>#N/A</v>
      </c>
      <c r="BK128" s="1" t="e">
        <f>IF(OR(ISNA('Reaction Information'!$D$9), $N128 = "", $D$27 = FALSE, 'Reaction Information'!$D$9 = ""), NA(), 24.465)</f>
        <v>#N/A</v>
      </c>
      <c r="BL128" s="8">
        <f t="shared" si="36"/>
        <v>12.757423796211658</v>
      </c>
      <c r="BM128" s="8">
        <f>IF(OR(ISBLANK(Input!$X$4),$D$27=FALSE),NA(),('Reaction Information'!$J$13/10+'Reaction Information'!$K$13*100/(Calculations!$C$12+Calculations!$M128)+('Reaction Information'!$L$13+'Reaction Information'!$M$13*10^4/(Calculations!$C$12+Calculations!$M128))/(Calculations!$O128-Calculations!$C$13) -calculateOmega(Calculations!$M128,Calculations!$N128,Calculations!$Q128,'Reaction Information'!$C$13,'Reaction Information'!$P$13*10^5,'Reaction Information'!$Q$13)*Calculations!$U128*10^-6 + (1/$S128 - 1)*calculate_domegadP(Calculations!$M128,Calculations!$N128,Calculations!$Q128,'Reaction Information'!$C$13,'Reaction Information'!$P$13*10^5,'Reaction Information'!$Q$13,$D$20,$D$19=3))*41.84)</f>
        <v>29.905112276110881</v>
      </c>
      <c r="BN128" s="8" t="e">
        <f>IF(OR(ISBLANK(Input!$AA$4),$D$27=FALSE),NA(),('Reaction Information'!$J$17/10+'Reaction Information'!$K$17*100/(Calculations!$C$12+Calculations!$M128)+('Reaction Information'!$L$17+'Reaction Information'!$M$17*10000/(Calculations!$C$12+Calculations!$M128))/(Calculations!$O128-Calculations!$C$13)-calculateOmega(Calculations!M128,Calculations!N128,Calculations!Q128,'Reaction Information'!$C$17,'Reaction Information'!$P$17*10^5,'Reaction Information'!$Q$17)*Calculations!$U128*10^-6 + (1/$S128 - 1)*calculate_domegadP(Calculations!M128,Calculations!N128,Calculations!Q128,'Reaction Information'!$C$17,'Reaction Information'!$P$17*10^5,'Reaction Information'!$Q$17,$D$20,$D$19=3))*41.84)</f>
        <v>#N/A</v>
      </c>
      <c r="BO128" s="8" t="e">
        <f>IF(OR(ISBLANK(Input!$AD$4),$D$27=FALSE),NA(),('Reaction Information'!$J$21/10+'Reaction Information'!$K$21*100/(Calculations!$C$12+Calculations!$M128)+('Reaction Information'!$L$21+'Reaction Information'!$M$21*10000/(Calculations!$C$12+Calculations!$M128))/(Calculations!$O128-Calculations!$C$13)-calculateOmega(Calculations!M128,Calculations!N128,Calculations!Q128,'Reaction Information'!$C$21,'Reaction Information'!$P$21*10^5,'Reaction Information'!$Q$21)*Calculations!$U128*10^-6 + (1/$S128 - 1)*calculate_domegadP(Calculations!M128,Calculations!N128,Calculations!Q128,'Reaction Information'!$C$21,'Reaction Information'!$P$21*10^5,'Reaction Information'!$Q$21,$D$20,$D$19=3))*41.84)</f>
        <v>#N/A</v>
      </c>
      <c r="BP128" s="8" t="e">
        <f>IF(OR(ISBLANK(Input!$AG$4),$D$27=FALSE),NA(),('Reaction Information'!$J$25/10+'Reaction Information'!$K$25*100/(Calculations!$C$12+Calculations!$M128)+('Reaction Information'!$L$25+'Reaction Information'!$M$25*10000/(Calculations!$C$12+Calculations!$M128))/(Calculations!$O128-Calculations!$C$13)-calculateOmega(Calculations!M128,Calculations!N128,Calculations!Q128,'Reaction Information'!$C$25,'Reaction Information'!$P$25*10^5,'Reaction Information'!$Q$25)*Calculations!$U128*10^-6 + (1/$S128 - 1)*calculate_domegadP(Calculations!M128,Calculations!N128,Calculations!Q128,'Reaction Information'!$C$25,'Reaction Information'!$P$25*10^5,'Reaction Information'!$Q$25,$D$20,$D$19=3))*41.84)</f>
        <v>#N/A</v>
      </c>
      <c r="BQ128" s="8" t="e">
        <f>IF(OR(ISBLANK(Input!$AJ$4),$D$27=FALSE),NA(),('Reaction Information'!$J$29/10+'Reaction Information'!$K$29*100/(Calculations!$C$12+Calculations!$M128)+('Reaction Information'!$L$29+'Reaction Information'!$M$29*10000/(Calculations!$C$12+Calculations!$M128))/(Calculations!$O128-Calculations!$C$13)-calculateOmega(Calculations!M128,Calculations!N128,Calculations!Q128,'Reaction Information'!$C$29,'Reaction Information'!$P$29*10^5,'Reaction Information'!$Q$29)*Calculations!$U128*10^-6 + (1/$S128 - 1)*calculate_domegadP(Calculations!M128,Calculations!N128,Calculations!Q128,'Reaction Information'!$C$29,'Reaction Information'!$P$29*10^5,'Reaction Information'!$Q$29,$D$20,$D$19=3))*41.84)</f>
        <v>#N/A</v>
      </c>
      <c r="BR128" s="8" t="e">
        <f>IF(OR(ISBLANK(Input!$AM$4),$D$27=FALSE),NA(),('Reaction Information'!$J$33/10+'Reaction Information'!$K$33*100/(Calculations!$C$12+Calculations!$M128)+('Reaction Information'!$L$33+'Reaction Information'!$M$33*10000/(Calculations!$C$12+Calculations!$M128))/(Calculations!$O128-Calculations!$C$13)-calculateOmega(Calculations!M128,Calculations!N128,Calculations!Q128,'Reaction Information'!$C$33,'Reaction Information'!$P$33*10^5,'Reaction Information'!$Q$33)*Calculations!$U128*10^-6 + (1/$S128 - 1)*calculate_domegadP(Calculations!M128,Calculations!N128,Calculations!Q128,'Reaction Information'!$C$33,'Reaction Information'!$P$33*10^5,'Reaction Information'!$Q$33,$D$20,$D$19=3))*41.84)</f>
        <v>#N/A</v>
      </c>
      <c r="BS128" s="1">
        <f>Results!AW130</f>
        <v>0</v>
      </c>
      <c r="BT128" s="1">
        <f>Results!AX130</f>
        <v>0</v>
      </c>
      <c r="BU128" s="1">
        <f>Results!AY130</f>
        <v>0</v>
      </c>
      <c r="BV128" s="1">
        <f>Results!AZ130</f>
        <v>0</v>
      </c>
      <c r="BW128" s="1" t="e">
        <f>IF(OR(ISNA('Reaction Information'!$D$38), $N128 = "", $D$27 = FALSE, 'Reaction Information'!$D$38 = ""), NA(), 24.465)</f>
        <v>#N/A</v>
      </c>
      <c r="BX128" s="1" t="e">
        <f>IF(OR(ISNA('Reaction Information'!$D$42), $N128 = "", $D$27 = FALSE, 'Reaction Information'!$D$42 = ""), NA(), 24.465)</f>
        <v>#N/A</v>
      </c>
      <c r="BY128" s="8" t="e">
        <f t="shared" si="37"/>
        <v>#N/A</v>
      </c>
      <c r="BZ128" s="8">
        <f>IF(OR(ISBLANK(Input!$BK$4),$D$27=FALSE),NA(),('Reaction Information'!$J$46/10+'Reaction Information'!$K$46*100/(Calculations!$C$12+Calculations!$M128)+('Reaction Information'!$L$46+'Reaction Information'!$M$46*10000/(Calculations!$C$12+Calculations!$M128))/(Calculations!$O128-Calculations!$C$13)-calculateOmega(Calculations!M128,Calculations!N128,Calculations!Q128,'Reaction Information'!$C$46,'Reaction Information'!$P$46*10^5,'Reaction Information'!$Q$46)*Calculations!$U128*10^-6 + (1/$S128 - 1)*calculate_domegadP(Calculations!M128,Calculations!N128,Calculations!Q128,'Reaction Information'!$C$46,'Reaction Information'!$P$46*10^5,'Reaction Information'!$Q$46,$D$20,$D$19=3))*41.84)</f>
        <v>0</v>
      </c>
      <c r="CA128" s="8">
        <f>IF(OR(ISBLANK(Input!$BN$4),$D$27=FALSE),NA(),('Reaction Information'!$J$50/10+'Reaction Information'!$K$50*100/(Calculations!$C$12+Calculations!$M128)+('Reaction Information'!$L$50+'Reaction Information'!$M$50*10000/(Calculations!$C$12+Calculations!$M128))/(Calculations!$O128-Calculations!$C$13)-calculateOmega(Calculations!M128,Calculations!N128,Calculations!Q128,'Reaction Information'!$C$50,'Reaction Information'!$P$50*10^5,'Reaction Information'!$Q$50)*Calculations!$U128*10^-6 + (1/$S128 - 1)*calculate_domegadP(Calculations!M128,Calculations!N128,Calculations!Q128,'Reaction Information'!$C$50,'Reaction Information'!$P$50*10^5,'Reaction Information'!$Q$50,$D$20,$D$19=3))*41.84)</f>
        <v>31.527736621182839</v>
      </c>
      <c r="CB128" s="8" t="e">
        <f>IF(OR(ISBLANK(Input!$BQ$4),$D$27=FALSE),NA(),('Reaction Information'!$J$54/10+'Reaction Information'!$K$54*100/(Calculations!$C$12+Calculations!$M128)+('Reaction Information'!$L$54+'Reaction Information'!$M$54*10000/(Calculations!$C$12+Calculations!$M128))/(Calculations!$O128-Calculations!$C$13)-calculateOmega(Calculations!M128,Calculations!N128,Calculations!Q128,'Reaction Information'!$C$54,'Reaction Information'!$P$54*10^5,'Reaction Information'!$Q$54)*Calculations!$U128*10^-6 + (1/$S128 - 1)*calculate_domegadP(Calculations!M128,Calculations!N128,Calculations!Q128,'Reaction Information'!$C$54,'Reaction Information'!$P$54*10^5,'Reaction Information'!$Q$54,$D$20,$D$19=3))*41.84)</f>
        <v>#N/A</v>
      </c>
      <c r="CC128" s="8" t="e">
        <f>IF(OR(ISBLANK(Input!$BT$4),$D$27=FALSE),NA(),('Reaction Information'!$J$58/10+'Reaction Information'!$K$58*100/(Calculations!$C$12+Calculations!$M128)+('Reaction Information'!$L$58+'Reaction Information'!$M$58*10000/(Calculations!$C$12+Calculations!$M128))/(Calculations!$O128-Calculations!$C$13)-calculateOmega(Calculations!M128,Calculations!N128,Calculations!Q128,'Reaction Information'!$C$58,'Reaction Information'!$P$58*10^5,'Reaction Information'!$Q$58)*Calculations!$U128*10^-6 + (1/$S128 - 1)*calculate_domegadP(Calculations!M128,Calculations!N128,Calculations!Q128,'Reaction Information'!$C$58,'Reaction Information'!$P$58*10^5,'Reaction Information'!$Q$58,$D$20,$D$19=3))*41.84)</f>
        <v>#N/A</v>
      </c>
      <c r="CD128" s="8" t="e">
        <f>IF(OR(ISBLANK(Input!$BW$4),$D$27=FALSE),NA(),('Reaction Information'!$J$62/10+'Reaction Information'!$K$62*100/(Calculations!$C$12+Calculations!$M128)+('Reaction Information'!$L$62+'Reaction Information'!$M$62*10000/(Calculations!$C$12+Calculations!$M128))/(Calculations!$O128-Calculations!$C$13)-calculateOmega(Calculations!M128,Calculations!N128,Calculations!Q128,'Reaction Information'!$C$62,'Reaction Information'!$P$62*10^5,'Reaction Information'!$Q$62)*Calculations!$U128*10^-6 + (1/$S128 - 1)*calculate_domegadP(Calculations!M128,Calculations!N128,Calculations!Q128,'Reaction Information'!$C$62,'Reaction Information'!$P$62*10^5,'Reaction Information'!$Q$62,$D$20,$D$19=3))*41.84)</f>
        <v>#N/A</v>
      </c>
      <c r="CE128" s="8" t="e">
        <f>IF(OR(ISBLANK(Input!$BZ$4),$D$27=FALSE),NA(),('Reaction Information'!$J$66/10+'Reaction Information'!$K$66*100/(Calculations!$C$12+Calculations!$M128)+('Reaction Information'!$L$66+'Reaction Information'!$M$66*10000/(Calculations!$C$12+Calculations!$M128))/(Calculations!$O128-Calculations!$C$13)-calculateOmega(Calculations!M128,Calculations!N128,Calculations!Q128,'Reaction Information'!$C$66,'Reaction Information'!$P$66*10^5,'Reaction Information'!$Q$66)*Calculations!$U128*10^-6 + (1/$S128 - 1)*calculate_domegadP(Calculations!M128,Calculations!N128,Calculations!Q128,'Reaction Information'!$C$66,'Reaction Information'!$P$66*10^5,'Reaction Information'!$Q$66,$D$20,$D$19=3))*41.84)</f>
        <v>#N/A</v>
      </c>
      <c r="CF128" s="31">
        <f>(BS128*Input!$AO$4+BT128*Input!$AR$4+BU128*Input!$AU$4+BV128*Input!$AX$4+IF(ISNA(BW128),0,BW128*Input!$BA$4)+IF(ISNA(BX128),0,BX128*Input!$BD$4)+IF(ISNA(BY128),0,BY128*Input!$BG$4)+IF(ISNA(BZ128),0,BZ128*Input!$BJ$4)+IF(ISNA(CA128),0,CA128*Input!$BM$4)+IF(ISNA(CB128),0,CB128*Input!$BP$4)+IF(ISNA(CC128),0,CC128*Input!$BS$4)+IF(ISNA(CD128),0,CD128*Input!$BV$4)+IF(ISNA(CE128),0,CE128*Input!$BY$4))-(BF128*Input!$B$4+BG128*Input!$E$4+BH128*Input!$H$4+BI128*Input!$K$4+IF(ISNA(BJ128),0,BJ128*Input!$N$4)+IF(ISNA(BK128),0,BK128*Input!$Q$4)+IF(ISNA(BL128),0,BL128*Input!$T$4)+IF(ISNA(BM128),0,BM128*Input!$W$4)+IF(ISNA(BN128),0,BN128*Input!$Z$4)+IF(ISNA(BO128),0,BO128*Input!$AC$4)+IF(ISNA(BP128),0,BP128*Input!$AF$4)+IF(ISNA(BQ128),0,BQ128*Input!$AI$4)+IF(ISNA(BR128),0,BR128*Input!$AL$4))</f>
        <v>-11.134799451139699</v>
      </c>
      <c r="CG128" s="1">
        <f t="shared" si="31"/>
        <v>400</v>
      </c>
      <c r="CH128" s="46">
        <f t="shared" si="32"/>
        <v>45000</v>
      </c>
      <c r="CI128" s="1"/>
    </row>
    <row r="129" spans="1:87" x14ac:dyDescent="0.2">
      <c r="A129" s="1"/>
      <c r="B129" s="1"/>
      <c r="C129" s="1"/>
      <c r="D129" s="1"/>
      <c r="E129" s="1"/>
      <c r="F129" s="2">
        <v>124</v>
      </c>
      <c r="G129" s="1" t="str">
        <f>IF(ISBLANK(Input!CB129), "", Input!CB129*1000)</f>
        <v/>
      </c>
      <c r="H129" s="1" t="str">
        <f>IF(ISBLANK(Input!CC129), "", Input!CC129)</f>
        <v/>
      </c>
      <c r="I129" s="1">
        <f>IF(Input!$CF$5 + Input!$CF$6*(FLOOR((Calculations!$F129-1)/(FLOOR((Input!$CF$12-Input!$CF$10)/Input!$CF$11,1)+1),1)) &gt; Input!$CF$7, "", (Input!$CF$5 + Input!$CF$6*(FLOOR((Calculations!$F129-1)/(FLOOR((Input!$CF$12-Input!$CF$10)/Input!$CF$11,1)+1),1)))*1000)</f>
        <v>45000</v>
      </c>
      <c r="J129" s="1">
        <f>IF(Calculations!I129 = "", "", Input!$CF$10 + Input!$CF$11*(Calculations!$F129-1) - (FLOOR((Input!$CF$12-Input!$CF$10)/Input!$CF$11,1)+1)*Input!$CF$11*FLOOR((Calculations!$F129-1)/(FLOOR((Input!$CF$12-Input!$CF$10)/Input!$CF$11,1)+1),1))</f>
        <v>450</v>
      </c>
      <c r="K129" s="8" t="str">
        <f t="shared" si="33"/>
        <v/>
      </c>
      <c r="L129" s="117" t="str">
        <f>IF(OR(Input!$CJ$5 + Input!$CJ$6*(Calculations!F129-1) &gt; Input!$CJ$7, Input!$CJ$5 + Input!$CJ$6*(Calculations!F129-1) &gt; 350), "", Input!$CJ$5 + Input!$CJ$6*(Calculations!F129-1))</f>
        <v/>
      </c>
      <c r="M129" s="1">
        <f t="shared" si="23"/>
        <v>45000</v>
      </c>
      <c r="N129" s="1">
        <f t="shared" si="24"/>
        <v>450</v>
      </c>
      <c r="O129" s="1">
        <f t="shared" si="34"/>
        <v>723.15</v>
      </c>
      <c r="P129" s="1" t="e">
        <f>IF(OR($D$20=3,AND($D$21=TRUE,M129&lt;1000)),INDEX('Water Density'!$C$6:$CX$120,MATCH(Calculations!N129,'Water Density'!$B$6:$B$120),MATCH(Calculations!M129/1000,'Water Density'!$C$5:$CX$5)),NA())</f>
        <v>#N/A</v>
      </c>
      <c r="Q129" s="182">
        <f>IF(OR($D$20=3,AND($D$21=TRUE,M129&lt;1000)), IF(P129&lt;&gt;0,P129,NA()), calculateDensity(M129,N129,$D$20,0.01,$D$19 = 3))</f>
        <v>1.3975740362912417</v>
      </c>
      <c r="R129" s="1" t="e">
        <f>IF($D$22=5,INDEX('Dielectric Constant'!$C$6:$CX$120,MATCH(Calculations!N129,'Dielectric Constant'!$B$6:$B$120),MATCH(Calculations!M129/1000,'Dielectric Constant'!$C$5:$CX$5)),NA())</f>
        <v>#N/A</v>
      </c>
      <c r="S129" s="58">
        <f>IF($D$22=5, IF(R129&lt;&gt;0,R129,NA()), IF(AND($D$23,M129&lt;=5000,$D$19 &lt;&gt; 3),calculateEpsilon(Q129,N129,1,FALSE),calculateEpsilon(Q129,N129,$D$22,$D$19 = 3)))</f>
        <v>42.65008710959372</v>
      </c>
      <c r="T129" s="1" t="e">
        <f>IF($D$24=3,INDEX('Water Free Energy'!$C$6:$CX$120,MATCH(Calculations!N129,'Water Free Energy'!$B$6:$B$120),MATCH(Calculations!M129/1000,'Water Free Energy'!$C$5:$CX$5)),NA())</f>
        <v>#N/A</v>
      </c>
      <c r="U129" s="179">
        <f>IF($D$27,calculateQ(M129,N129,Q129,$D$20,$D$22,$D$19=3)*10^6,NA())</f>
        <v>0.11553019538869559</v>
      </c>
      <c r="V129"/>
      <c r="W129" s="2">
        <f t="shared" si="25"/>
        <v>45000</v>
      </c>
      <c r="X129" s="1">
        <f t="shared" si="26"/>
        <v>450</v>
      </c>
      <c r="Y129" s="1">
        <f>Results!F131</f>
        <v>0</v>
      </c>
      <c r="Z129" s="1">
        <f>Results!G131</f>
        <v>0</v>
      </c>
      <c r="AA129" s="1">
        <f>Results!H131</f>
        <v>0</v>
      </c>
      <c r="AB129" s="1">
        <f>Results!I131</f>
        <v>0</v>
      </c>
      <c r="AC129" s="1" t="e">
        <f>IF(ISBLANK(Input!$O$4),NA(),'Reaction Information'!$E$5-'Reaction Information'!$G$5*(Calculations!$O129-Calculations!$C$8)+'Reaction Information'!$I$5*(Calculations!$O129-Calculations!$C$8-Calculations!$O129*LN(Calculations!$O129/Calculations!$C$8))+'Reaction Information'!$J$5*0.001/2*(2*Calculations!$O129*Calculations!$C$8-Calculations!$O129^2-Calculations!$C$8^2) + 'Reaction Information'!$K$5*100000*(Calculations!$O129^2 + Calculations!$C$8^2 - 2*Calculations!$O129*Calculations!$C$8)/(2*Calculations!$O129*Calculations!$C$8^2))</f>
        <v>#N/A</v>
      </c>
      <c r="AD129" s="8" t="e">
        <f>IF(ISBLANK(Input!$R$4),NA(),'Reaction Information'!$E$9-'Reaction Information'!$G$9*(Calculations!$O129-Calculations!$C$8)+'Reaction Information'!$I$9*(Calculations!$O129-Calculations!$C$8-Calculations!$O129*LN(Calculations!$O129/Calculations!$C$8))+'Reaction Information'!$J$9*0.001/2*(2*Calculations!$O129*Calculations!$C$8-Calculations!$O129^2-Calculations!$C$8^2) + 'Reaction Information'!$K$9*100000*(Calculations!$O129^2 + Calculations!$C$8^2 - 2*Calculations!$O129*Calculations!$C$8)/(2*Calculations!$O129*Calculations!$C$8^2))</f>
        <v>#N/A</v>
      </c>
      <c r="AE129" s="8">
        <f>IF(AE$5="H2O",IF($D$24=3,IF(T129=0,NA(),T129),calculateGibbsOfWater(M129,N129,$D$24,$D$20,$D$19=3)),NA())</f>
        <v>-50537.479607028072</v>
      </c>
      <c r="AF129" s="8">
        <f>IF(ISBLANK(Input!$X$4),NA(),'Reaction Information'!$E$13-'Reaction Information'!$G$13*(Calculations!O129-Calculations!$C$8)-'Reaction Information'!$N$13*(Calculations!O129*LN(Calculations!O129/Calculations!$C$8)-Calculations!O129+Calculations!$C$8)-'Reaction Information'!$O$13*10^4*(((1/(Calculations!O129-Calculations!$C$13))-(1/(Calculations!$C$8-Calculations!$C$13)))*((Calculations!$C$13-Calculations!O129)/(Calculations!$C$13))-(Calculations!O129/(Calculations!$C$13*Calculations!$C$13))*LN((Calculations!$C$8*(Calculations!O129-Calculations!$C$13))/(Calculations!O129*(Calculations!$C$8-Calculations!$C$13))))+'Reaction Information'!$J$13*10^-1*(Calculations!M129-Calculations!$C$9)+'Reaction Information'!$K$13*10^2*LN((Calculations!$C$12+Calculations!M129)/(Calculations!$C$12+Calculations!$C$9))+(1/(Calculations!O129-Calculations!$C$13))*('Reaction Information'!$L$13*(Calculations!M129-Calculations!$C$9)+'Reaction Information'!$M$13*10^4*LN((Calculations!$C$12+Calculations!M129)/(Calculations!$C$12+Calculations!$C$9)))+calculateOmega(Calculations!M129,Calculations!N129,Calculations!Q129,'Reaction Information'!$C$13,'Reaction Information'!$P$13*10^5,'Reaction Information'!$Q$13)*((1/Calculations!S129)-1)-'Reaction Information'!$P$13*10^5*((1/Calculations!$C$10)-1)+'Reaction Information'!$P$13*10^5*Calculations!$C$14*(Calculations!O129-Calculations!$C$8))</f>
        <v>-76117.64571593338</v>
      </c>
      <c r="AG129" s="8" t="e">
        <f>IF(ISBLANK(Input!$AA$4),NA(),'Reaction Information'!$E$17-'Reaction Information'!$G$17*(Calculations!$O129-Calculations!$C$8)-'Reaction Information'!$N$17*(Calculations!$O129*LN(Calculations!$O129/Calculations!$C$8)-Calculations!$O129+Calculations!$C$8)-'Reaction Information'!$O$17*10^4*(((1/(Calculations!$O129-Calculations!$C$13))-(1/(Calculations!$C$8-Calculations!$C$13)))*((Calculations!$C$13-Calculations!$O129)/(Calculations!$C$13))-(Calculations!$O129/(Calculations!$C$13*Calculations!$C$13))*LN((Calculations!$C$8*(Calculations!$O129-Calculations!$C$13))/(Calculations!$O129*(Calculations!$C$8-Calculations!$C$13))))+'Reaction Information'!$J$17*10^-1*(Calculations!$M129-Calculations!$C$9)+'Reaction Information'!$K$17*10^2*LN((Calculations!$C$12+Calculations!$M129)/(Calculations!$C$12+Calculations!$C$9))+(1/(Calculations!$O129-Calculations!$C$13))*('Reaction Information'!$L$17*(Calculations!$M129-Calculations!$C$9)+'Reaction Information'!$M$17*10^4*LN((Calculations!$C$12+Calculations!$M129)/(Calculations!$C$12+Calculations!$C$9)))+calculateOmega(Calculations!M129,Calculations!N129,Calculations!Q129,'Reaction Information'!$C$17,'Reaction Information'!$P$17*10^5,'Reaction Information'!$Q$17)*((1/Calculations!$S129)-1)-'Reaction Information'!$P$17*10^5*((1/Calculations!$C$10)-1)+'Reaction Information'!$P$17*10^5*Calculations!$C$14*(Calculations!$O129-Calculations!$C$8))</f>
        <v>#N/A</v>
      </c>
      <c r="AH129" s="8" t="e">
        <f>IF(ISBLANK(Input!$AD$4),NA(),'Reaction Information'!$E$21-'Reaction Information'!$G$21*(Calculations!$O129-Calculations!$C$8)-'Reaction Information'!$N$21*(Calculations!$O129*LN(Calculations!$O129/Calculations!$C$8)-Calculations!$O129+Calculations!$C$8)-'Reaction Information'!$O$21*10^4*(((1/(Calculations!$O129-Calculations!$C$13))-(1/(Calculations!$C$8-Calculations!$C$13)))*((Calculations!$C$13-Calculations!$O129)/(Calculations!$C$13))-(Calculations!$O129/(Calculations!$C$13*Calculations!$C$13))*LN((Calculations!$C$8*(Calculations!$O129-Calculations!$C$13))/(Calculations!$O129*(Calculations!$C$8-Calculations!$C$13))))+'Reaction Information'!$J$21*10^-1*(Calculations!$M129-Calculations!$C$9)+'Reaction Information'!$K$21*10^2*LN((Calculations!$C$12+Calculations!$M129)/(Calculations!$C$12+Calculations!$C$9))+(1/(Calculations!$O129-Calculations!$C$13))*('Reaction Information'!$L$21*(Calculations!$M129-Calculations!$C$9)+'Reaction Information'!$M$21*10^4*LN((Calculations!$C$12+Calculations!$M129)/(Calculations!$C$12+Calculations!$C$9)))+calculateOmega(Calculations!M129,Calculations!N129,Calculations!Q129,'Reaction Information'!$C$21,'Reaction Information'!$P$21*10^5,'Reaction Information'!$Q$21)*((1/Calculations!$S129)-1)-'Reaction Information'!$P$21*10^5*((1/Calculations!$C$10)-1)+'Reaction Information'!$P$21*10^5*Calculations!$C$14*(Calculations!$O129-Calculations!$C$8))</f>
        <v>#N/A</v>
      </c>
      <c r="AI129" s="8" t="e">
        <f>IF(ISBLANK(Input!$AG$4),NA(),'Reaction Information'!$E$25-'Reaction Information'!$G$25*(Calculations!$O129-Calculations!$C$8)-'Reaction Information'!$N$25*(Calculations!$O129*LN(Calculations!$O129/Calculations!$C$8)-Calculations!$O129+Calculations!$C$8)-'Reaction Information'!$O$25*10^4*(((1/(Calculations!$O129-Calculations!$C$13))-(1/(Calculations!$C$8-Calculations!$C$13)))*((Calculations!$C$13-Calculations!$O129)/(Calculations!$C$13))-(Calculations!$O129/(Calculations!$C$13*Calculations!$C$13))*LN((Calculations!$C$8*(Calculations!$O129-Calculations!$C$13))/(Calculations!$O129*(Calculations!$C$8-Calculations!$C$13))))+'Reaction Information'!$J$25*10^-1*(Calculations!$M129-Calculations!$C$9)+'Reaction Information'!$K$25*10^2*LN((Calculations!$C$12+Calculations!$M129)/(Calculations!$C$12+Calculations!$C$9))+(1/(Calculations!$O129-Calculations!$C$13))*('Reaction Information'!$L$25*(Calculations!$M129-Calculations!$C$9)+'Reaction Information'!$M$25*10^4*LN((Calculations!$C$12+Calculations!$M129)/(Calculations!$C$12+Calculations!$C$9)))+calculateOmega(Calculations!M129,Calculations!N129,Calculations!Q129,'Reaction Information'!$C$25,'Reaction Information'!$P$25*10^5,'Reaction Information'!$Q$25)*((1/Calculations!$S129)-1)-'Reaction Information'!$P$25*10^5*((1/Calculations!$C$10)-1)+'Reaction Information'!$P$25*10^5*Calculations!$C$14*(Calculations!$O129-Calculations!$C$8))</f>
        <v>#N/A</v>
      </c>
      <c r="AJ129" s="8" t="e">
        <f>IF(ISBLANK(Input!$AJ$4),NA(),'Reaction Information'!$E$29-'Reaction Information'!$G$29*(Calculations!$O129-Calculations!$C$8)-'Reaction Information'!$N$29*(Calculations!$O129*LN(Calculations!$O129/Calculations!$C$8)-Calculations!$O129+Calculations!$C$8)-'Reaction Information'!$O$29*10^4*(((1/(Calculations!$O129-Calculations!$C$13))-(1/(Calculations!$C$8-Calculations!$C$13)))*((Calculations!$C$13-Calculations!$O129)/(Calculations!$C$13))-(Calculations!$O129/(Calculations!$C$13*Calculations!$C$13))*LN((Calculations!$C$8*(Calculations!$O129-Calculations!$C$13))/(Calculations!$O129*(Calculations!$C$8-Calculations!$C$13))))+'Reaction Information'!$J$29*10^-1*(Calculations!$M129-Calculations!$C$9)+'Reaction Information'!$K$29*10^2*LN((Calculations!$C$12+Calculations!$M129)/(Calculations!$C$12+Calculations!$C$9))+(1/(Calculations!$O129-Calculations!$C$13))*('Reaction Information'!$L$29*(Calculations!$M129-Calculations!$C$9)+'Reaction Information'!$M$29*10^4*LN((Calculations!$C$12+Calculations!$M129)/(Calculations!$C$12+Calculations!$C$9)))+calculateOmega(Calculations!M129,Calculations!N129,Calculations!Q129,'Reaction Information'!$C$29,'Reaction Information'!$P$29*10^5,'Reaction Information'!$Q$29)*((1/Calculations!$S129)-1)-'Reaction Information'!$P$29*10^5*((1/Calculations!$C$10)-1)+'Reaction Information'!$P$29*10^5*Calculations!$C$14*(Calculations!$O129-Calculations!$C$8))</f>
        <v>#N/A</v>
      </c>
      <c r="AK129" s="8" t="e">
        <f>IF(ISBLANK(Input!$AM$4),NA(),'Reaction Information'!$E$33-'Reaction Information'!$G$33*(Calculations!$O129-Calculations!$C$8)-'Reaction Information'!$N$33*(Calculations!$O129*LN(Calculations!$O129/Calculations!$C$8)-Calculations!$O129+Calculations!$C$8)-'Reaction Information'!$O$33*10^4*(((1/(Calculations!$O129-Calculations!$C$13))-(1/(Calculations!$C$8-Calculations!$C$13)))*((Calculations!$C$13-Calculations!$O129)/(Calculations!$C$13))-(Calculations!$O129/(Calculations!$C$13*Calculations!$C$13))*LN((Calculations!$C$8*(Calculations!$O129-Calculations!$C$13))/(Calculations!$O129*(Calculations!$C$8-Calculations!$C$13))))+'Reaction Information'!$J$33*10^-1*(Calculations!$M129-Calculations!$C$9)+'Reaction Information'!$K$33*10^2*LN((Calculations!$C$12+Calculations!$M129)/(Calculations!$C$12+Calculations!$C$9))+(1/(Calculations!$O129-Calculations!$C$13))*('Reaction Information'!$L$33*(Calculations!$M129-Calculations!$C$9)+'Reaction Information'!$M$33*10^4*LN((Calculations!$C$12+Calculations!$M129)/(Calculations!$C$12+Calculations!$C$9)))+calculateOmega(Calculations!M129,Calculations!N129,Calculations!Q129,'Reaction Information'!$C$33,'Reaction Information'!$P$33*10^5,'Reaction Information'!$Q$33)*((1/Calculations!$S129)-1)-'Reaction Information'!$P$33*10^5*((1/Calculations!$C$10)-1)+'Reaction Information'!$P$33*10^5*Calculations!$C$14*(Calculations!$O129-Calculations!$C$8))</f>
        <v>#N/A</v>
      </c>
      <c r="AL129" s="1">
        <f>Results!S131</f>
        <v>0</v>
      </c>
      <c r="AM129" s="1">
        <f>Results!T131</f>
        <v>0</v>
      </c>
      <c r="AN129" s="1">
        <f>Results!U131</f>
        <v>0</v>
      </c>
      <c r="AO129" s="1">
        <f>Results!V131</f>
        <v>0</v>
      </c>
      <c r="AP129" s="8" t="e">
        <f>IF(ISBLANK(Input!$BB$4),NA(),'Reaction Information'!$E$38-'Reaction Information'!$G$38*(Calculations!$O129-Calculations!$C$8)+'Reaction Information'!$I$38*(Calculations!$O129-Calculations!$C$8-Calculations!$O129*LN(Calculations!$O129/Calculations!$C$8))+'Reaction Information'!$J$38*0.001/2*(2*Calculations!$O129*Calculations!$C$8-Calculations!$O129^2-Calculations!$C$8^2) + 'Reaction Information'!$K$38*100000*(Calculations!$O129^2 + Calculations!$C$8^2 - 2*Calculations!$O129*Calculations!$C$8)/(2*Calculations!$O129*Calculations!$C$8^2))</f>
        <v>#N/A</v>
      </c>
      <c r="AQ129" s="8" t="e">
        <f>IF(ISBLANK(Input!$BE$4),NA(),'Reaction Information'!$E$42-'Reaction Information'!$G$42*(Calculations!$O129-Calculations!$C$8)+'Reaction Information'!$I$42*(Calculations!$O129-Calculations!$C$8-Calculations!$O129*LN(Calculations!$O129/Calculations!$C$8))+'Reaction Information'!$J$42*0.001/2*(2*Calculations!$O129*Calculations!$C$8-Calculations!$O129^2-Calculations!$C$8^2) + 'Reaction Information'!$K$42*100000*(Calculations!$O129^2 + Calculations!$C$8^2 - 2*Calculations!$O129*Calculations!$C$8)/(2*Calculations!$O129*Calculations!$C$8^2))</f>
        <v>#N/A</v>
      </c>
      <c r="AR129" s="8" t="e">
        <f>IF(AR$5="H2O", IF($D$24=3,IF(T129=0,NA(),T129),calculateGibbsOfWater(M129,N129,$D$24,$D$20,$D$19=3)),NA())</f>
        <v>#N/A</v>
      </c>
      <c r="AS129" s="8">
        <f>IF(ISBLANK(Input!$BK$4),NA(),'Reaction Information'!$E$46-'Reaction Information'!$G$46*(Calculations!O129-Calculations!$C$8)-'Reaction Information'!$N$46*(Calculations!O129*LN(Calculations!O129/Calculations!$C$8)-Calculations!O129+Calculations!$C$8)-'Reaction Information'!$O$46*10^4*(((1/(Calculations!O129-Calculations!$C$13))-(1/(Calculations!$C$8-Calculations!$C$13)))*((Calculations!$C$13-Calculations!O129)/(Calculations!$C$13))-(Calculations!O129/(Calculations!$C$13*Calculations!$C$13))*LN((Calculations!$C$8*(Calculations!O129-Calculations!$C$13))/(Calculations!O129*(Calculations!$C$8-Calculations!$C$13))))+'Reaction Information'!$J$46*10^-1*(Calculations!$M129-Calculations!$C$9)+'Reaction Information'!$K$46*10^2*LN((Calculations!$C$12+Calculations!$M129)/(Calculations!$C$12+Calculations!$C$9))+(1/(Calculations!O129-Calculations!$C$13))*('Reaction Information'!$L$46*(Calculations!$M129-Calculations!$C$9)+'Reaction Information'!$M$46*10^4*LN((Calculations!$C$12+Calculations!$M129)/(Calculations!$C$12+Calculations!$C$9)))+calculateOmega(Calculations!M129,Calculations!N129,Calculations!Q129,'Reaction Information'!$C$46,'Reaction Information'!$P$46*10^5,'Reaction Information'!$Q$46)*((1/Calculations!S129)-1)-'Reaction Information'!$P$46*10^5*((1/Calculations!$C$10)-1)+'Reaction Information'!$P$46*10^5*Calculations!$C$14*(Calculations!O129-Calculations!$C$8))</f>
        <v>0</v>
      </c>
      <c r="AT129" s="8">
        <f>IF(ISBLANK(Input!$BN$4),NA(),'Reaction Information'!$E$50-'Reaction Information'!$G$50*(Calculations!O129-Calculations!$C$8)-'Reaction Information'!$N$50*(Calculations!O129*LN(Calculations!O129/Calculations!$C$8)-Calculations!O129+Calculations!$C$8)-'Reaction Information'!$O$50*10^4*(((1/(Calculations!O129-Calculations!$C$13))-(1/(Calculations!$C$8-Calculations!$C$13)))*((Calculations!$C$13-Calculations!O129)/(Calculations!$C$13))-(Calculations!O129/(Calculations!$C$13*Calculations!$C$13))*LN((Calculations!$C$8*(Calculations!O129-Calculations!$C$13))/(Calculations!O129*(Calculations!$C$8-Calculations!$C$13))))+'Reaction Information'!$J$50*10^-1*(Calculations!$M129-Calculations!$C$9)+'Reaction Information'!$K$50*10^2*LN((Calculations!$C$12+Calculations!$M129)/(Calculations!$C$12+Calculations!$C$9))+(1/(Calculations!O129-Calculations!$C$13))*('Reaction Information'!$L$50*(Calculations!$M129-Calculations!$C$9)+'Reaction Information'!$M$50*10^4*LN((Calculations!$C$12+Calculations!$M129)/(Calculations!$C$12+Calculations!$C$9)))+calculateOmega(Calculations!M129,Calculations!N129,Calculations!Q129,'Reaction Information'!$C$50,'Reaction Information'!$P$50*10^5,'Reaction Information'!$Q$50)*((1/Calculations!S129)-1)-'Reaction Information'!$P$50*10^5*((1/Calculations!$C$10)-1)+'Reaction Information'!$P$50*10^5*Calculations!$C$14*(Calculations!O129-Calculations!$C$8))</f>
        <v>-119404.67197602743</v>
      </c>
      <c r="AU129" s="8" t="e">
        <f>IF(ISBLANK(Input!$BQ$4),NA(),'Reaction Information'!$E$54-'Reaction Information'!$G$54*(Calculations!$O129-Calculations!$C$8)-'Reaction Information'!$N$54*(Calculations!$O129*LN(Calculations!$O129/Calculations!$C$8)-Calculations!$O129+Calculations!$C$8)-'Reaction Information'!$O$54*10^4*(((1/(Calculations!$O129-Calculations!$C$13))-(1/(Calculations!$C$8-Calculations!$C$13)))*((Calculations!$C$13-Calculations!$O129)/(Calculations!$C$13))-(Calculations!$O129/(Calculations!$C$13*Calculations!$C$13))*LN((Calculations!$C$8*(Calculations!$O129-Calculations!$C$13))/(Calculations!$O129*(Calculations!$C$8-Calculations!$C$13))))+'Reaction Information'!$J$54*10^-1*(Calculations!$M129-Calculations!$C$9)+'Reaction Information'!$K$54*10^2*LN((Calculations!$C$12+Calculations!$M129)/(Calculations!$C$12+Calculations!$C$9))+(1/(Calculations!$O129-Calculations!$C$13))*('Reaction Information'!$L$54*(Calculations!$M129-Calculations!$C$9)+'Reaction Information'!$M$54*10^4*LN((Calculations!$C$12+Calculations!$M129)/(Calculations!$C$12+Calculations!$C$9)))+calculateOmega(Calculations!M129,Calculations!N129,Calculations!Q129,'Reaction Information'!$C$54,'Reaction Information'!$P$54*10^5,'Reaction Information'!$Q$54)*((1/Calculations!$S129)-1)-'Reaction Information'!$P$54*10^5*((1/Calculations!$C$10)-1)+'Reaction Information'!$P$54*10^5*Calculations!$C$14*(Calculations!$O129-Calculations!$C$8))</f>
        <v>#N/A</v>
      </c>
      <c r="AV129" s="8" t="e">
        <f>IF(ISBLANK(Input!$BT$4),NA(),'Reaction Information'!$E$58-'Reaction Information'!$G$58*(Calculations!$O129-Calculations!$C$8)-'Reaction Information'!$N$58*(Calculations!$O129*LN(Calculations!$O129/Calculations!$C$8)-Calculations!$O129+Calculations!$C$8)-'Reaction Information'!$O$58*10^4*(((1/(Calculations!$O129-Calculations!$C$13))-(1/(Calculations!$C$8-Calculations!$C$13)))*((Calculations!$C$13-Calculations!$O129)/(Calculations!$C$13))-(Calculations!$O129/(Calculations!$C$13*Calculations!$C$13))*LN((Calculations!$C$8*(Calculations!$O129-Calculations!$C$13))/(Calculations!$O129*(Calculations!$C$8-Calculations!$C$13))))+'Reaction Information'!$J$58*10^-1*(Calculations!$M129-Calculations!$C$9)+'Reaction Information'!$K$58*10^2*LN((Calculations!$C$12+Calculations!$M129)/(Calculations!$C$12+Calculations!$C$9))+(1/(Calculations!$O129-Calculations!$C$13))*('Reaction Information'!$L$58*(Calculations!$M129-Calculations!$C$9)+'Reaction Information'!$M$58*10^4*LN((Calculations!$C$12+Calculations!$M129)/(Calculations!$C$12+Calculations!$C$9)))+calculateOmega(Calculations!M129,Calculations!N129,Calculations!Q129,'Reaction Information'!$C$58,'Reaction Information'!$P$58*10^5,'Reaction Information'!$Q$58)*((1/Calculations!$S129)-1)-'Reaction Information'!$P$58*10^5*((1/Calculations!$C$10)-1)+'Reaction Information'!$P$58*10^5*Calculations!$C$14*(Calculations!$O129-Calculations!$C$8))</f>
        <v>#N/A</v>
      </c>
      <c r="AW129" s="8" t="e">
        <f>IF(ISBLANK(Input!$BW$4),NA(),'Reaction Information'!$E$62-'Reaction Information'!$G$62*(Calculations!$O129-Calculations!$C$8)-'Reaction Information'!$N$62*(Calculations!$O129*LN(Calculations!$O129/Calculations!$C$8)-Calculations!$O129+Calculations!$C$8)-'Reaction Information'!$O$62*10^4*(((1/(Calculations!$O129-Calculations!$C$13))-(1/(Calculations!$C$8-Calculations!$C$13)))*((Calculations!$C$13-Calculations!$O129)/(Calculations!$C$13))-(Calculations!$O129/(Calculations!$C$13*Calculations!$C$13))*LN((Calculations!$C$8*(Calculations!$O129-Calculations!$C$13))/(Calculations!$O129*(Calculations!$C$8-Calculations!$C$13))))+'Reaction Information'!$J$62*10^-1*(Calculations!$M129-Calculations!$C$9)+'Reaction Information'!$K$62*10^2*LN((Calculations!$C$12+Calculations!$M129)/(Calculations!$C$12+Calculations!$C$9))+(1/(Calculations!$O129-Calculations!$C$13))*('Reaction Information'!$L$62*(Calculations!$M129-Calculations!$C$9)+'Reaction Information'!$M$62*10^4*LN((Calculations!$C$12+Calculations!$M129)/(Calculations!$C$12+Calculations!$C$9)))+calculateOmega(Calculations!M129,Calculations!N129,Calculations!Q129,'Reaction Information'!$C$62,'Reaction Information'!$P$62*10^5,'Reaction Information'!$Q$62)*((1/Calculations!$S129)-1)-'Reaction Information'!$P$62*10^5*((1/Calculations!$C$10)-1)+'Reaction Information'!$P$62*10^5*Calculations!$C$14*(Calculations!$O129-Calculations!$C$8))</f>
        <v>#N/A</v>
      </c>
      <c r="AX129" s="8" t="e">
        <f>IF(ISBLANK(Input!$BZ$4),NA(),'Reaction Information'!$E$66-'Reaction Information'!$G$66*(Calculations!$O129-Calculations!$C$8)-'Reaction Information'!$N$66*(Calculations!$O129*LN(Calculations!$O129/Calculations!$C$8)-Calculations!$O129+Calculations!$C$8)-'Reaction Information'!$O$66*10^4*(((1/(Calculations!$O129-Calculations!$C$13))-(1/(Calculations!$C$8-Calculations!$C$13)))*((Calculations!$C$13-Calculations!$O129)/(Calculations!$C$13))-(Calculations!$O129/(Calculations!$C$13*Calculations!$C$13))*LN((Calculations!$C$8*(Calculations!$O129-Calculations!$C$13))/(Calculations!$O129*(Calculations!$C$8-Calculations!$C$13))))+'Reaction Information'!$J$66*10^-1*(Calculations!$M129-Calculations!$C$9)+'Reaction Information'!$K$66*10^2*LN((Calculations!$C$12+Calculations!$M129)/(Calculations!$C$12+Calculations!$C$9))+(1/(Calculations!$O129-Calculations!$C$13))*('Reaction Information'!$L$66*(Calculations!$M129-Calculations!$C$9)+'Reaction Information'!$M$66*10^4*LN((Calculations!$C$12+Calculations!$M129)/(Calculations!$C$12+Calculations!$C$9)))+calculateOmega(Calculations!M129,Calculations!N129,Calculations!Q129,'Reaction Information'!$C$66,'Reaction Information'!$P$66*10^5,'Reaction Information'!$Q$66)*((1/Calculations!$S129)-1)-'Reaction Information'!$P$66*10^5*((1/Calculations!$C$10)-1)+'Reaction Information'!$P$66*10^5*Calculations!$C$14*(Calculations!$O129-Calculations!$C$8))</f>
        <v>#N/A</v>
      </c>
      <c r="AY129" s="31">
        <f>(AL129*Input!$AO$4+AM129*Input!$AR$4+AN129*Input!$AU$4+AO129*Input!$AX$4+IF(ISNA(AP129),0,AP129*Input!$BA$4)+IF(ISNA(AQ129),0,AQ129*Input!$BD$4)+IF(ISNA(AR129),0,AR129*Input!$BG$4)+IF(ISNA(AS129),0,AS129*Input!$BJ$4)+IF(ISNA(AT129),0,AT129*Input!$BM$4)+IF(ISNA(AU129),0,AU129*Input!$BP$4)+IF(ISNA(AV129),0,AV129*Input!$BS$4)+IF(ISNA(AW129),0,AW129*Input!$BV$4)+IF(ISNA(AX129),0,AX129*Input!$BY$4))-(Y129*Input!$B$4+Z129*Input!$E$4+AA129*Input!$H$4+AB129*Input!$K$4+IF(ISNA(AC129),0,AC129*Input!$N$4)+IF(ISNA(AD129),0,AD129*Input!$Q$4)+IF(ISNA(AE129),0,AE129*Input!$T$4)+IF(ISNA(AF129),0,AF129*Input!$W$4)+IF(ISNA(AG129),0,AG129*Input!$Z$4)+IF(ISNA(AH129),0,AH129*Input!$AC$4)+IF(ISNA(AI129),0,AI129*Input!$AF$4)+IF(ISNA(AJ129),0,AJ129*Input!$AI$4)+IF(ISNA(AK129),0,AK129*Input!$AL$4))</f>
        <v>7250.453346934024</v>
      </c>
      <c r="AZ129" s="42">
        <f t="shared" si="35"/>
        <v>-2.1926466281475561</v>
      </c>
      <c r="BA129" s="1">
        <f t="shared" si="27"/>
        <v>450</v>
      </c>
      <c r="BB129" s="46">
        <f t="shared" si="28"/>
        <v>45000</v>
      </c>
      <c r="BC129" s="1"/>
      <c r="BD129" s="2">
        <f t="shared" si="29"/>
        <v>45000</v>
      </c>
      <c r="BE129" s="46">
        <f t="shared" si="30"/>
        <v>450</v>
      </c>
      <c r="BF129" s="1">
        <f>Results!AJ131</f>
        <v>0</v>
      </c>
      <c r="BG129" s="1">
        <f>Results!AK131</f>
        <v>0</v>
      </c>
      <c r="BH129" s="1">
        <f>Results!AL131</f>
        <v>0</v>
      </c>
      <c r="BI129" s="1">
        <f>Results!AM131</f>
        <v>0</v>
      </c>
      <c r="BJ129" s="1" t="e">
        <f>IF(OR(ISNA('Reaction Information'!$D$5), $N129 = "", $D$27 = FALSE, 'Reaction Information'!$D$5 = ""), NA(), 24.465)</f>
        <v>#N/A</v>
      </c>
      <c r="BK129" s="1" t="e">
        <f>IF(OR(ISNA('Reaction Information'!$D$9), $N129 = "", $D$27 = FALSE, 'Reaction Information'!$D$9 = ""), NA(), 24.465)</f>
        <v>#N/A</v>
      </c>
      <c r="BL129" s="8">
        <f t="shared" si="36"/>
        <v>12.890394020060187</v>
      </c>
      <c r="BM129" s="8">
        <f>IF(OR(ISBLANK(Input!$X$4),$D$27=FALSE),NA(),('Reaction Information'!$J$13/10+'Reaction Information'!$K$13*100/(Calculations!$C$12+Calculations!$M129)+('Reaction Information'!$L$13+'Reaction Information'!$M$13*10^4/(Calculations!$C$12+Calculations!$M129))/(Calculations!$O129-Calculations!$C$13) -calculateOmega(Calculations!$M129,Calculations!$N129,Calculations!$Q129,'Reaction Information'!$C$13,'Reaction Information'!$P$13*10^5,'Reaction Information'!$Q$13)*Calculations!$U129*10^-6 + (1/$S129 - 1)*calculate_domegadP(Calculations!$M129,Calculations!$N129,Calculations!$Q129,'Reaction Information'!$C$13,'Reaction Information'!$P$13*10^5,'Reaction Information'!$Q$13,$D$20,$D$19=3))*41.84)</f>
        <v>29.917555537916918</v>
      </c>
      <c r="BN129" s="8" t="e">
        <f>IF(OR(ISBLANK(Input!$AA$4),$D$27=FALSE),NA(),('Reaction Information'!$J$17/10+'Reaction Information'!$K$17*100/(Calculations!$C$12+Calculations!$M129)+('Reaction Information'!$L$17+'Reaction Information'!$M$17*10000/(Calculations!$C$12+Calculations!$M129))/(Calculations!$O129-Calculations!$C$13)-calculateOmega(Calculations!M129,Calculations!N129,Calculations!Q129,'Reaction Information'!$C$17,'Reaction Information'!$P$17*10^5,'Reaction Information'!$Q$17)*Calculations!$U129*10^-6 + (1/$S129 - 1)*calculate_domegadP(Calculations!M129,Calculations!N129,Calculations!Q129,'Reaction Information'!$C$17,'Reaction Information'!$P$17*10^5,'Reaction Information'!$Q$17,$D$20,$D$19=3))*41.84)</f>
        <v>#N/A</v>
      </c>
      <c r="BO129" s="8" t="e">
        <f>IF(OR(ISBLANK(Input!$AD$4),$D$27=FALSE),NA(),('Reaction Information'!$J$21/10+'Reaction Information'!$K$21*100/(Calculations!$C$12+Calculations!$M129)+('Reaction Information'!$L$21+'Reaction Information'!$M$21*10000/(Calculations!$C$12+Calculations!$M129))/(Calculations!$O129-Calculations!$C$13)-calculateOmega(Calculations!M129,Calculations!N129,Calculations!Q129,'Reaction Information'!$C$21,'Reaction Information'!$P$21*10^5,'Reaction Information'!$Q$21)*Calculations!$U129*10^-6 + (1/$S129 - 1)*calculate_domegadP(Calculations!M129,Calculations!N129,Calculations!Q129,'Reaction Information'!$C$21,'Reaction Information'!$P$21*10^5,'Reaction Information'!$Q$21,$D$20,$D$19=3))*41.84)</f>
        <v>#N/A</v>
      </c>
      <c r="BP129" s="8" t="e">
        <f>IF(OR(ISBLANK(Input!$AG$4),$D$27=FALSE),NA(),('Reaction Information'!$J$25/10+'Reaction Information'!$K$25*100/(Calculations!$C$12+Calculations!$M129)+('Reaction Information'!$L$25+'Reaction Information'!$M$25*10000/(Calculations!$C$12+Calculations!$M129))/(Calculations!$O129-Calculations!$C$13)-calculateOmega(Calculations!M129,Calculations!N129,Calculations!Q129,'Reaction Information'!$C$25,'Reaction Information'!$P$25*10^5,'Reaction Information'!$Q$25)*Calculations!$U129*10^-6 + (1/$S129 - 1)*calculate_domegadP(Calculations!M129,Calculations!N129,Calculations!Q129,'Reaction Information'!$C$25,'Reaction Information'!$P$25*10^5,'Reaction Information'!$Q$25,$D$20,$D$19=3))*41.84)</f>
        <v>#N/A</v>
      </c>
      <c r="BQ129" s="8" t="e">
        <f>IF(OR(ISBLANK(Input!$AJ$4),$D$27=FALSE),NA(),('Reaction Information'!$J$29/10+'Reaction Information'!$K$29*100/(Calculations!$C$12+Calculations!$M129)+('Reaction Information'!$L$29+'Reaction Information'!$M$29*10000/(Calculations!$C$12+Calculations!$M129))/(Calculations!$O129-Calculations!$C$13)-calculateOmega(Calculations!M129,Calculations!N129,Calculations!Q129,'Reaction Information'!$C$29,'Reaction Information'!$P$29*10^5,'Reaction Information'!$Q$29)*Calculations!$U129*10^-6 + (1/$S129 - 1)*calculate_domegadP(Calculations!M129,Calculations!N129,Calculations!Q129,'Reaction Information'!$C$29,'Reaction Information'!$P$29*10^5,'Reaction Information'!$Q$29,$D$20,$D$19=3))*41.84)</f>
        <v>#N/A</v>
      </c>
      <c r="BR129" s="8" t="e">
        <f>IF(OR(ISBLANK(Input!$AM$4),$D$27=FALSE),NA(),('Reaction Information'!$J$33/10+'Reaction Information'!$K$33*100/(Calculations!$C$12+Calculations!$M129)+('Reaction Information'!$L$33+'Reaction Information'!$M$33*10000/(Calculations!$C$12+Calculations!$M129))/(Calculations!$O129-Calculations!$C$13)-calculateOmega(Calculations!M129,Calculations!N129,Calculations!Q129,'Reaction Information'!$C$33,'Reaction Information'!$P$33*10^5,'Reaction Information'!$Q$33)*Calculations!$U129*10^-6 + (1/$S129 - 1)*calculate_domegadP(Calculations!M129,Calculations!N129,Calculations!Q129,'Reaction Information'!$C$33,'Reaction Information'!$P$33*10^5,'Reaction Information'!$Q$33,$D$20,$D$19=3))*41.84)</f>
        <v>#N/A</v>
      </c>
      <c r="BS129" s="1">
        <f>Results!AW131</f>
        <v>0</v>
      </c>
      <c r="BT129" s="1">
        <f>Results!AX131</f>
        <v>0</v>
      </c>
      <c r="BU129" s="1">
        <f>Results!AY131</f>
        <v>0</v>
      </c>
      <c r="BV129" s="1">
        <f>Results!AZ131</f>
        <v>0</v>
      </c>
      <c r="BW129" s="1" t="e">
        <f>IF(OR(ISNA('Reaction Information'!$D$38), $N129 = "", $D$27 = FALSE, 'Reaction Information'!$D$38 = ""), NA(), 24.465)</f>
        <v>#N/A</v>
      </c>
      <c r="BX129" s="1" t="e">
        <f>IF(OR(ISNA('Reaction Information'!$D$42), $N129 = "", $D$27 = FALSE, 'Reaction Information'!$D$42 = ""), NA(), 24.465)</f>
        <v>#N/A</v>
      </c>
      <c r="BY129" s="8" t="e">
        <f t="shared" si="37"/>
        <v>#N/A</v>
      </c>
      <c r="BZ129" s="8">
        <f>IF(OR(ISBLANK(Input!$BK$4),$D$27=FALSE),NA(),('Reaction Information'!$J$46/10+'Reaction Information'!$K$46*100/(Calculations!$C$12+Calculations!$M129)+('Reaction Information'!$L$46+'Reaction Information'!$M$46*10000/(Calculations!$C$12+Calculations!$M129))/(Calculations!$O129-Calculations!$C$13)-calculateOmega(Calculations!M129,Calculations!N129,Calculations!Q129,'Reaction Information'!$C$46,'Reaction Information'!$P$46*10^5,'Reaction Information'!$Q$46)*Calculations!$U129*10^-6 + (1/$S129 - 1)*calculate_domegadP(Calculations!M129,Calculations!N129,Calculations!Q129,'Reaction Information'!$C$46,'Reaction Information'!$P$46*10^5,'Reaction Information'!$Q$46,$D$20,$D$19=3))*41.84)</f>
        <v>0</v>
      </c>
      <c r="CA129" s="8">
        <f>IF(OR(ISBLANK(Input!$BN$4),$D$27=FALSE),NA(),('Reaction Information'!$J$50/10+'Reaction Information'!$K$50*100/(Calculations!$C$12+Calculations!$M129)+('Reaction Information'!$L$50+'Reaction Information'!$M$50*10000/(Calculations!$C$12+Calculations!$M129))/(Calculations!$O129-Calculations!$C$13)-calculateOmega(Calculations!M129,Calculations!N129,Calculations!Q129,'Reaction Information'!$C$50,'Reaction Information'!$P$50*10^5,'Reaction Information'!$Q$50)*Calculations!$U129*10^-6 + (1/$S129 - 1)*calculate_domegadP(Calculations!M129,Calculations!N129,Calculations!Q129,'Reaction Information'!$C$50,'Reaction Information'!$P$50*10^5,'Reaction Information'!$Q$50,$D$20,$D$19=3))*41.84)</f>
        <v>31.473620662701251</v>
      </c>
      <c r="CB129" s="8" t="e">
        <f>IF(OR(ISBLANK(Input!$BQ$4),$D$27=FALSE),NA(),('Reaction Information'!$J$54/10+'Reaction Information'!$K$54*100/(Calculations!$C$12+Calculations!$M129)+('Reaction Information'!$L$54+'Reaction Information'!$M$54*10000/(Calculations!$C$12+Calculations!$M129))/(Calculations!$O129-Calculations!$C$13)-calculateOmega(Calculations!M129,Calculations!N129,Calculations!Q129,'Reaction Information'!$C$54,'Reaction Information'!$P$54*10^5,'Reaction Information'!$Q$54)*Calculations!$U129*10^-6 + (1/$S129 - 1)*calculate_domegadP(Calculations!M129,Calculations!N129,Calculations!Q129,'Reaction Information'!$C$54,'Reaction Information'!$P$54*10^5,'Reaction Information'!$Q$54,$D$20,$D$19=3))*41.84)</f>
        <v>#N/A</v>
      </c>
      <c r="CC129" s="8" t="e">
        <f>IF(OR(ISBLANK(Input!$BT$4),$D$27=FALSE),NA(),('Reaction Information'!$J$58/10+'Reaction Information'!$K$58*100/(Calculations!$C$12+Calculations!$M129)+('Reaction Information'!$L$58+'Reaction Information'!$M$58*10000/(Calculations!$C$12+Calculations!$M129))/(Calculations!$O129-Calculations!$C$13)-calculateOmega(Calculations!M129,Calculations!N129,Calculations!Q129,'Reaction Information'!$C$58,'Reaction Information'!$P$58*10^5,'Reaction Information'!$Q$58)*Calculations!$U129*10^-6 + (1/$S129 - 1)*calculate_domegadP(Calculations!M129,Calculations!N129,Calculations!Q129,'Reaction Information'!$C$58,'Reaction Information'!$P$58*10^5,'Reaction Information'!$Q$58,$D$20,$D$19=3))*41.84)</f>
        <v>#N/A</v>
      </c>
      <c r="CD129" s="8" t="e">
        <f>IF(OR(ISBLANK(Input!$BW$4),$D$27=FALSE),NA(),('Reaction Information'!$J$62/10+'Reaction Information'!$K$62*100/(Calculations!$C$12+Calculations!$M129)+('Reaction Information'!$L$62+'Reaction Information'!$M$62*10000/(Calculations!$C$12+Calculations!$M129))/(Calculations!$O129-Calculations!$C$13)-calculateOmega(Calculations!M129,Calculations!N129,Calculations!Q129,'Reaction Information'!$C$62,'Reaction Information'!$P$62*10^5,'Reaction Information'!$Q$62)*Calculations!$U129*10^-6 + (1/$S129 - 1)*calculate_domegadP(Calculations!M129,Calculations!N129,Calculations!Q129,'Reaction Information'!$C$62,'Reaction Information'!$P$62*10^5,'Reaction Information'!$Q$62,$D$20,$D$19=3))*41.84)</f>
        <v>#N/A</v>
      </c>
      <c r="CE129" s="8" t="e">
        <f>IF(OR(ISBLANK(Input!$BZ$4),$D$27=FALSE),NA(),('Reaction Information'!$J$66/10+'Reaction Information'!$K$66*100/(Calculations!$C$12+Calculations!$M129)+('Reaction Information'!$L$66+'Reaction Information'!$M$66*10000/(Calculations!$C$12+Calculations!$M129))/(Calculations!$O129-Calculations!$C$13)-calculateOmega(Calculations!M129,Calculations!N129,Calculations!Q129,'Reaction Information'!$C$66,'Reaction Information'!$P$66*10^5,'Reaction Information'!$Q$66)*Calculations!$U129*10^-6 + (1/$S129 - 1)*calculate_domegadP(Calculations!M129,Calculations!N129,Calculations!Q129,'Reaction Information'!$C$66,'Reaction Information'!$P$66*10^5,'Reaction Information'!$Q$66,$D$20,$D$19=3))*41.84)</f>
        <v>#N/A</v>
      </c>
      <c r="CF129" s="31">
        <f>(BS129*Input!$AO$4+BT129*Input!$AR$4+BU129*Input!$AU$4+BV129*Input!$AX$4+IF(ISNA(BW129),0,BW129*Input!$BA$4)+IF(ISNA(BX129),0,BX129*Input!$BD$4)+IF(ISNA(BY129),0,BY129*Input!$BG$4)+IF(ISNA(BZ129),0,BZ129*Input!$BJ$4)+IF(ISNA(CA129),0,CA129*Input!$BM$4)+IF(ISNA(CB129),0,CB129*Input!$BP$4)+IF(ISNA(CC129),0,CC129*Input!$BS$4)+IF(ISNA(CD129),0,CD129*Input!$BV$4)+IF(ISNA(CE129),0,CE129*Input!$BY$4))-(BF129*Input!$B$4+BG129*Input!$E$4+BH129*Input!$H$4+BI129*Input!$K$4+IF(ISNA(BJ129),0,BJ129*Input!$N$4)+IF(ISNA(BK129),0,BK129*Input!$Q$4)+IF(ISNA(BL129),0,BL129*Input!$T$4)+IF(ISNA(BM129),0,BM129*Input!$W$4)+IF(ISNA(BN129),0,BN129*Input!$Z$4)+IF(ISNA(BO129),0,BO129*Input!$AC$4)+IF(ISNA(BP129),0,BP129*Input!$AF$4)+IF(ISNA(BQ129),0,BQ129*Input!$AI$4)+IF(ISNA(BR129),0,BR129*Input!$AL$4))</f>
        <v>-11.334328895275853</v>
      </c>
      <c r="CG129" s="1">
        <f t="shared" si="31"/>
        <v>450</v>
      </c>
      <c r="CH129" s="46">
        <f t="shared" si="32"/>
        <v>45000</v>
      </c>
      <c r="CI129" s="1"/>
    </row>
    <row r="130" spans="1:87" x14ac:dyDescent="0.2">
      <c r="A130" s="1"/>
      <c r="B130" s="1"/>
      <c r="C130" s="1"/>
      <c r="D130" s="1"/>
      <c r="E130" s="1"/>
      <c r="F130" s="2">
        <v>125</v>
      </c>
      <c r="G130" s="1" t="str">
        <f>IF(ISBLANK(Input!CB130), "", Input!CB130*1000)</f>
        <v/>
      </c>
      <c r="H130" s="1" t="str">
        <f>IF(ISBLANK(Input!CC130), "", Input!CC130)</f>
        <v/>
      </c>
      <c r="I130" s="1">
        <f>IF(Input!$CF$5 + Input!$CF$6*(FLOOR((Calculations!$F130-1)/(FLOOR((Input!$CF$12-Input!$CF$10)/Input!$CF$11,1)+1),1)) &gt; Input!$CF$7, "", (Input!$CF$5 + Input!$CF$6*(FLOOR((Calculations!$F130-1)/(FLOOR((Input!$CF$12-Input!$CF$10)/Input!$CF$11,1)+1),1)))*1000)</f>
        <v>45000</v>
      </c>
      <c r="J130" s="1">
        <f>IF(Calculations!I130 = "", "", Input!$CF$10 + Input!$CF$11*(Calculations!$F130-1) - (FLOOR((Input!$CF$12-Input!$CF$10)/Input!$CF$11,1)+1)*Input!$CF$11*FLOOR((Calculations!$F130-1)/(FLOOR((Input!$CF$12-Input!$CF$10)/Input!$CF$11,1)+1),1))</f>
        <v>500</v>
      </c>
      <c r="K130" s="8" t="str">
        <f t="shared" si="33"/>
        <v/>
      </c>
      <c r="L130" s="117" t="str">
        <f>IF(OR(Input!$CJ$5 + Input!$CJ$6*(Calculations!F130-1) &gt; Input!$CJ$7, Input!$CJ$5 + Input!$CJ$6*(Calculations!F130-1) &gt; 350), "", Input!$CJ$5 + Input!$CJ$6*(Calculations!F130-1))</f>
        <v/>
      </c>
      <c r="M130" s="1">
        <f t="shared" si="23"/>
        <v>45000</v>
      </c>
      <c r="N130" s="1">
        <f t="shared" si="24"/>
        <v>500</v>
      </c>
      <c r="O130" s="1">
        <f t="shared" si="34"/>
        <v>773.15</v>
      </c>
      <c r="P130" s="1" t="e">
        <f>IF(OR($D$20=3,AND($D$21=TRUE,M130&lt;1000)),INDEX('Water Density'!$C$6:$CX$120,MATCH(Calculations!N130,'Water Density'!$B$6:$B$120),MATCH(Calculations!M130/1000,'Water Density'!$C$5:$CX$5)),NA())</f>
        <v>#N/A</v>
      </c>
      <c r="Q130" s="182">
        <f>IF(OR($D$20=3,AND($D$21=TRUE,M130&lt;1000)), IF(P130&lt;&gt;0,P130,NA()), calculateDensity(M130,N130,$D$20,0.01,$D$19 = 3))</f>
        <v>1.3832943106383087</v>
      </c>
      <c r="R130" s="1" t="e">
        <f>IF($D$22=5,INDEX('Dielectric Constant'!$C$6:$CX$120,MATCH(Calculations!N130,'Dielectric Constant'!$B$6:$B$120),MATCH(Calculations!M130/1000,'Dielectric Constant'!$C$5:$CX$5)),NA())</f>
        <v>#N/A</v>
      </c>
      <c r="S130" s="58">
        <f>IF($D$22=5, IF(R130&lt;&gt;0,R130,NA()), IF(AND($D$23,M130&lt;=5000,$D$19 &lt;&gt; 3),calculateEpsilon(Q130,N130,1,FALSE),calculateEpsilon(Q130,N130,$D$22,$D$19 = 3)))</f>
        <v>38.653924913830473</v>
      </c>
      <c r="T130" s="1" t="e">
        <f>IF($D$24=3,INDEX('Water Free Energy'!$C$6:$CX$120,MATCH(Calculations!N130,'Water Free Energy'!$B$6:$B$120),MATCH(Calculations!M130/1000,'Water Free Energy'!$C$5:$CX$5)),NA())</f>
        <v>#N/A</v>
      </c>
      <c r="U130" s="179">
        <f>IF($D$27,calculateQ(M130,N130,Q130,$D$20,$D$22,$D$19=3)*10^6,NA())</f>
        <v>0.12597535905883442</v>
      </c>
      <c r="V130"/>
      <c r="W130" s="2">
        <f t="shared" si="25"/>
        <v>45000</v>
      </c>
      <c r="X130" s="1">
        <f t="shared" si="26"/>
        <v>500</v>
      </c>
      <c r="Y130" s="1">
        <f>Results!F132</f>
        <v>0</v>
      </c>
      <c r="Z130" s="1">
        <f>Results!G132</f>
        <v>0</v>
      </c>
      <c r="AA130" s="1">
        <f>Results!H132</f>
        <v>0</v>
      </c>
      <c r="AB130" s="1">
        <f>Results!I132</f>
        <v>0</v>
      </c>
      <c r="AC130" s="1" t="e">
        <f>IF(ISBLANK(Input!$O$4),NA(),'Reaction Information'!$E$5-'Reaction Information'!$G$5*(Calculations!$O130-Calculations!$C$8)+'Reaction Information'!$I$5*(Calculations!$O130-Calculations!$C$8-Calculations!$O130*LN(Calculations!$O130/Calculations!$C$8))+'Reaction Information'!$J$5*0.001/2*(2*Calculations!$O130*Calculations!$C$8-Calculations!$O130^2-Calculations!$C$8^2) + 'Reaction Information'!$K$5*100000*(Calculations!$O130^2 + Calculations!$C$8^2 - 2*Calculations!$O130*Calculations!$C$8)/(2*Calculations!$O130*Calculations!$C$8^2))</f>
        <v>#N/A</v>
      </c>
      <c r="AD130" s="8" t="e">
        <f>IF(ISBLANK(Input!$R$4),NA(),'Reaction Information'!$E$9-'Reaction Information'!$G$9*(Calculations!$O130-Calculations!$C$8)+'Reaction Information'!$I$9*(Calculations!$O130-Calculations!$C$8-Calculations!$O130*LN(Calculations!$O130/Calculations!$C$8))+'Reaction Information'!$J$9*0.001/2*(2*Calculations!$O130*Calculations!$C$8-Calculations!$O130^2-Calculations!$C$8^2) + 'Reaction Information'!$K$9*100000*(Calculations!$O130^2 + Calculations!$C$8^2 - 2*Calculations!$O130*Calculations!$C$8)/(2*Calculations!$O130*Calculations!$C$8^2))</f>
        <v>#N/A</v>
      </c>
      <c r="AE130" s="8">
        <f>IF(AE$5="H2O",IF($D$24=3,IF(T130=0,NA(),T130),calculateGibbsOfWater(M130,N130,$D$24,$D$20,$D$19=3)),NA())</f>
        <v>-51837.79878453281</v>
      </c>
      <c r="AF130" s="8">
        <f>IF(ISBLANK(Input!$X$4),NA(),'Reaction Information'!$E$13-'Reaction Information'!$G$13*(Calculations!O130-Calculations!$C$8)-'Reaction Information'!$N$13*(Calculations!O130*LN(Calculations!O130/Calculations!$C$8)-Calculations!O130+Calculations!$C$8)-'Reaction Information'!$O$13*10^4*(((1/(Calculations!O130-Calculations!$C$13))-(1/(Calculations!$C$8-Calculations!$C$13)))*((Calculations!$C$13-Calculations!O130)/(Calculations!$C$13))-(Calculations!O130/(Calculations!$C$13*Calculations!$C$13))*LN((Calculations!$C$8*(Calculations!O130-Calculations!$C$13))/(Calculations!O130*(Calculations!$C$8-Calculations!$C$13))))+'Reaction Information'!$J$13*10^-1*(Calculations!M130-Calculations!$C$9)+'Reaction Information'!$K$13*10^2*LN((Calculations!$C$12+Calculations!M130)/(Calculations!$C$12+Calculations!$C$9))+(1/(Calculations!O130-Calculations!$C$13))*('Reaction Information'!$L$13*(Calculations!M130-Calculations!$C$9)+'Reaction Information'!$M$13*10^4*LN((Calculations!$C$12+Calculations!M130)/(Calculations!$C$12+Calculations!$C$9)))+calculateOmega(Calculations!M130,Calculations!N130,Calculations!Q130,'Reaction Information'!$C$13,'Reaction Information'!$P$13*10^5,'Reaction Information'!$Q$13)*((1/Calculations!S130)-1)-'Reaction Information'!$P$13*10^5*((1/Calculations!$C$10)-1)+'Reaction Information'!$P$13*10^5*Calculations!$C$14*(Calculations!O130-Calculations!$C$8))</f>
        <v>-78284.999403955066</v>
      </c>
      <c r="AG130" s="8" t="e">
        <f>IF(ISBLANK(Input!$AA$4),NA(),'Reaction Information'!$E$17-'Reaction Information'!$G$17*(Calculations!$O130-Calculations!$C$8)-'Reaction Information'!$N$17*(Calculations!$O130*LN(Calculations!$O130/Calculations!$C$8)-Calculations!$O130+Calculations!$C$8)-'Reaction Information'!$O$17*10^4*(((1/(Calculations!$O130-Calculations!$C$13))-(1/(Calculations!$C$8-Calculations!$C$13)))*((Calculations!$C$13-Calculations!$O130)/(Calculations!$C$13))-(Calculations!$O130/(Calculations!$C$13*Calculations!$C$13))*LN((Calculations!$C$8*(Calculations!$O130-Calculations!$C$13))/(Calculations!$O130*(Calculations!$C$8-Calculations!$C$13))))+'Reaction Information'!$J$17*10^-1*(Calculations!$M130-Calculations!$C$9)+'Reaction Information'!$K$17*10^2*LN((Calculations!$C$12+Calculations!$M130)/(Calculations!$C$12+Calculations!$C$9))+(1/(Calculations!$O130-Calculations!$C$13))*('Reaction Information'!$L$17*(Calculations!$M130-Calculations!$C$9)+'Reaction Information'!$M$17*10^4*LN((Calculations!$C$12+Calculations!$M130)/(Calculations!$C$12+Calculations!$C$9)))+calculateOmega(Calculations!M130,Calculations!N130,Calculations!Q130,'Reaction Information'!$C$17,'Reaction Information'!$P$17*10^5,'Reaction Information'!$Q$17)*((1/Calculations!$S130)-1)-'Reaction Information'!$P$17*10^5*((1/Calculations!$C$10)-1)+'Reaction Information'!$P$17*10^5*Calculations!$C$14*(Calculations!$O130-Calculations!$C$8))</f>
        <v>#N/A</v>
      </c>
      <c r="AH130" s="8" t="e">
        <f>IF(ISBLANK(Input!$AD$4),NA(),'Reaction Information'!$E$21-'Reaction Information'!$G$21*(Calculations!$O130-Calculations!$C$8)-'Reaction Information'!$N$21*(Calculations!$O130*LN(Calculations!$O130/Calculations!$C$8)-Calculations!$O130+Calculations!$C$8)-'Reaction Information'!$O$21*10^4*(((1/(Calculations!$O130-Calculations!$C$13))-(1/(Calculations!$C$8-Calculations!$C$13)))*((Calculations!$C$13-Calculations!$O130)/(Calculations!$C$13))-(Calculations!$O130/(Calculations!$C$13*Calculations!$C$13))*LN((Calculations!$C$8*(Calculations!$O130-Calculations!$C$13))/(Calculations!$O130*(Calculations!$C$8-Calculations!$C$13))))+'Reaction Information'!$J$21*10^-1*(Calculations!$M130-Calculations!$C$9)+'Reaction Information'!$K$21*10^2*LN((Calculations!$C$12+Calculations!$M130)/(Calculations!$C$12+Calculations!$C$9))+(1/(Calculations!$O130-Calculations!$C$13))*('Reaction Information'!$L$21*(Calculations!$M130-Calculations!$C$9)+'Reaction Information'!$M$21*10^4*LN((Calculations!$C$12+Calculations!$M130)/(Calculations!$C$12+Calculations!$C$9)))+calculateOmega(Calculations!M130,Calculations!N130,Calculations!Q130,'Reaction Information'!$C$21,'Reaction Information'!$P$21*10^5,'Reaction Information'!$Q$21)*((1/Calculations!$S130)-1)-'Reaction Information'!$P$21*10^5*((1/Calculations!$C$10)-1)+'Reaction Information'!$P$21*10^5*Calculations!$C$14*(Calculations!$O130-Calculations!$C$8))</f>
        <v>#N/A</v>
      </c>
      <c r="AI130" s="8" t="e">
        <f>IF(ISBLANK(Input!$AG$4),NA(),'Reaction Information'!$E$25-'Reaction Information'!$G$25*(Calculations!$O130-Calculations!$C$8)-'Reaction Information'!$N$25*(Calculations!$O130*LN(Calculations!$O130/Calculations!$C$8)-Calculations!$O130+Calculations!$C$8)-'Reaction Information'!$O$25*10^4*(((1/(Calculations!$O130-Calculations!$C$13))-(1/(Calculations!$C$8-Calculations!$C$13)))*((Calculations!$C$13-Calculations!$O130)/(Calculations!$C$13))-(Calculations!$O130/(Calculations!$C$13*Calculations!$C$13))*LN((Calculations!$C$8*(Calculations!$O130-Calculations!$C$13))/(Calculations!$O130*(Calculations!$C$8-Calculations!$C$13))))+'Reaction Information'!$J$25*10^-1*(Calculations!$M130-Calculations!$C$9)+'Reaction Information'!$K$25*10^2*LN((Calculations!$C$12+Calculations!$M130)/(Calculations!$C$12+Calculations!$C$9))+(1/(Calculations!$O130-Calculations!$C$13))*('Reaction Information'!$L$25*(Calculations!$M130-Calculations!$C$9)+'Reaction Information'!$M$25*10^4*LN((Calculations!$C$12+Calculations!$M130)/(Calculations!$C$12+Calculations!$C$9)))+calculateOmega(Calculations!M130,Calculations!N130,Calculations!Q130,'Reaction Information'!$C$25,'Reaction Information'!$P$25*10^5,'Reaction Information'!$Q$25)*((1/Calculations!$S130)-1)-'Reaction Information'!$P$25*10^5*((1/Calculations!$C$10)-1)+'Reaction Information'!$P$25*10^5*Calculations!$C$14*(Calculations!$O130-Calculations!$C$8))</f>
        <v>#N/A</v>
      </c>
      <c r="AJ130" s="8" t="e">
        <f>IF(ISBLANK(Input!$AJ$4),NA(),'Reaction Information'!$E$29-'Reaction Information'!$G$29*(Calculations!$O130-Calculations!$C$8)-'Reaction Information'!$N$29*(Calculations!$O130*LN(Calculations!$O130/Calculations!$C$8)-Calculations!$O130+Calculations!$C$8)-'Reaction Information'!$O$29*10^4*(((1/(Calculations!$O130-Calculations!$C$13))-(1/(Calculations!$C$8-Calculations!$C$13)))*((Calculations!$C$13-Calculations!$O130)/(Calculations!$C$13))-(Calculations!$O130/(Calculations!$C$13*Calculations!$C$13))*LN((Calculations!$C$8*(Calculations!$O130-Calculations!$C$13))/(Calculations!$O130*(Calculations!$C$8-Calculations!$C$13))))+'Reaction Information'!$J$29*10^-1*(Calculations!$M130-Calculations!$C$9)+'Reaction Information'!$K$29*10^2*LN((Calculations!$C$12+Calculations!$M130)/(Calculations!$C$12+Calculations!$C$9))+(1/(Calculations!$O130-Calculations!$C$13))*('Reaction Information'!$L$29*(Calculations!$M130-Calculations!$C$9)+'Reaction Information'!$M$29*10^4*LN((Calculations!$C$12+Calculations!$M130)/(Calculations!$C$12+Calculations!$C$9)))+calculateOmega(Calculations!M130,Calculations!N130,Calculations!Q130,'Reaction Information'!$C$29,'Reaction Information'!$P$29*10^5,'Reaction Information'!$Q$29)*((1/Calculations!$S130)-1)-'Reaction Information'!$P$29*10^5*((1/Calculations!$C$10)-1)+'Reaction Information'!$P$29*10^5*Calculations!$C$14*(Calculations!$O130-Calculations!$C$8))</f>
        <v>#N/A</v>
      </c>
      <c r="AK130" s="8" t="e">
        <f>IF(ISBLANK(Input!$AM$4),NA(),'Reaction Information'!$E$33-'Reaction Information'!$G$33*(Calculations!$O130-Calculations!$C$8)-'Reaction Information'!$N$33*(Calculations!$O130*LN(Calculations!$O130/Calculations!$C$8)-Calculations!$O130+Calculations!$C$8)-'Reaction Information'!$O$33*10^4*(((1/(Calculations!$O130-Calculations!$C$13))-(1/(Calculations!$C$8-Calculations!$C$13)))*((Calculations!$C$13-Calculations!$O130)/(Calculations!$C$13))-(Calculations!$O130/(Calculations!$C$13*Calculations!$C$13))*LN((Calculations!$C$8*(Calculations!$O130-Calculations!$C$13))/(Calculations!$O130*(Calculations!$C$8-Calculations!$C$13))))+'Reaction Information'!$J$33*10^-1*(Calculations!$M130-Calculations!$C$9)+'Reaction Information'!$K$33*10^2*LN((Calculations!$C$12+Calculations!$M130)/(Calculations!$C$12+Calculations!$C$9))+(1/(Calculations!$O130-Calculations!$C$13))*('Reaction Information'!$L$33*(Calculations!$M130-Calculations!$C$9)+'Reaction Information'!$M$33*10^4*LN((Calculations!$C$12+Calculations!$M130)/(Calculations!$C$12+Calculations!$C$9)))+calculateOmega(Calculations!M130,Calculations!N130,Calculations!Q130,'Reaction Information'!$C$33,'Reaction Information'!$P$33*10^5,'Reaction Information'!$Q$33)*((1/Calculations!$S130)-1)-'Reaction Information'!$P$33*10^5*((1/Calculations!$C$10)-1)+'Reaction Information'!$P$33*10^5*Calculations!$C$14*(Calculations!$O130-Calculations!$C$8))</f>
        <v>#N/A</v>
      </c>
      <c r="AL130" s="1">
        <f>Results!S132</f>
        <v>0</v>
      </c>
      <c r="AM130" s="1">
        <f>Results!T132</f>
        <v>0</v>
      </c>
      <c r="AN130" s="1">
        <f>Results!U132</f>
        <v>0</v>
      </c>
      <c r="AO130" s="1">
        <f>Results!V132</f>
        <v>0</v>
      </c>
      <c r="AP130" s="8" t="e">
        <f>IF(ISBLANK(Input!$BB$4),NA(),'Reaction Information'!$E$38-'Reaction Information'!$G$38*(Calculations!$O130-Calculations!$C$8)+'Reaction Information'!$I$38*(Calculations!$O130-Calculations!$C$8-Calculations!$O130*LN(Calculations!$O130/Calculations!$C$8))+'Reaction Information'!$J$38*0.001/2*(2*Calculations!$O130*Calculations!$C$8-Calculations!$O130^2-Calculations!$C$8^2) + 'Reaction Information'!$K$38*100000*(Calculations!$O130^2 + Calculations!$C$8^2 - 2*Calculations!$O130*Calculations!$C$8)/(2*Calculations!$O130*Calculations!$C$8^2))</f>
        <v>#N/A</v>
      </c>
      <c r="AQ130" s="8" t="e">
        <f>IF(ISBLANK(Input!$BE$4),NA(),'Reaction Information'!$E$42-'Reaction Information'!$G$42*(Calculations!$O130-Calculations!$C$8)+'Reaction Information'!$I$42*(Calculations!$O130-Calculations!$C$8-Calculations!$O130*LN(Calculations!$O130/Calculations!$C$8))+'Reaction Information'!$J$42*0.001/2*(2*Calculations!$O130*Calculations!$C$8-Calculations!$O130^2-Calculations!$C$8^2) + 'Reaction Information'!$K$42*100000*(Calculations!$O130^2 + Calculations!$C$8^2 - 2*Calculations!$O130*Calculations!$C$8)/(2*Calculations!$O130*Calculations!$C$8^2))</f>
        <v>#N/A</v>
      </c>
      <c r="AR130" s="8" t="e">
        <f>IF(AR$5="H2O", IF($D$24=3,IF(T130=0,NA(),T130),calculateGibbsOfWater(M130,N130,$D$24,$D$20,$D$19=3)),NA())</f>
        <v>#N/A</v>
      </c>
      <c r="AS130" s="8">
        <f>IF(ISBLANK(Input!$BK$4),NA(),'Reaction Information'!$E$46-'Reaction Information'!$G$46*(Calculations!O130-Calculations!$C$8)-'Reaction Information'!$N$46*(Calculations!O130*LN(Calculations!O130/Calculations!$C$8)-Calculations!O130+Calculations!$C$8)-'Reaction Information'!$O$46*10^4*(((1/(Calculations!O130-Calculations!$C$13))-(1/(Calculations!$C$8-Calculations!$C$13)))*((Calculations!$C$13-Calculations!O130)/(Calculations!$C$13))-(Calculations!O130/(Calculations!$C$13*Calculations!$C$13))*LN((Calculations!$C$8*(Calculations!O130-Calculations!$C$13))/(Calculations!O130*(Calculations!$C$8-Calculations!$C$13))))+'Reaction Information'!$J$46*10^-1*(Calculations!$M130-Calculations!$C$9)+'Reaction Information'!$K$46*10^2*LN((Calculations!$C$12+Calculations!$M130)/(Calculations!$C$12+Calculations!$C$9))+(1/(Calculations!O130-Calculations!$C$13))*('Reaction Information'!$L$46*(Calculations!$M130-Calculations!$C$9)+'Reaction Information'!$M$46*10^4*LN((Calculations!$C$12+Calculations!$M130)/(Calculations!$C$12+Calculations!$C$9)))+calculateOmega(Calculations!M130,Calculations!N130,Calculations!Q130,'Reaction Information'!$C$46,'Reaction Information'!$P$46*10^5,'Reaction Information'!$Q$46)*((1/Calculations!S130)-1)-'Reaction Information'!$P$46*10^5*((1/Calculations!$C$10)-1)+'Reaction Information'!$P$46*10^5*Calculations!$C$14*(Calculations!O130-Calculations!$C$8))</f>
        <v>0</v>
      </c>
      <c r="AT130" s="8">
        <f>IF(ISBLANK(Input!$BN$4),NA(),'Reaction Information'!$E$50-'Reaction Information'!$G$50*(Calculations!O130-Calculations!$C$8)-'Reaction Information'!$N$50*(Calculations!O130*LN(Calculations!O130/Calculations!$C$8)-Calculations!O130+Calculations!$C$8)-'Reaction Information'!$O$50*10^4*(((1/(Calculations!O130-Calculations!$C$13))-(1/(Calculations!$C$8-Calculations!$C$13)))*((Calculations!$C$13-Calculations!O130)/(Calculations!$C$13))-(Calculations!O130/(Calculations!$C$13*Calculations!$C$13))*LN((Calculations!$C$8*(Calculations!O130-Calculations!$C$13))/(Calculations!O130*(Calculations!$C$8-Calculations!$C$13))))+'Reaction Information'!$J$50*10^-1*(Calculations!$M130-Calculations!$C$9)+'Reaction Information'!$K$50*10^2*LN((Calculations!$C$12+Calculations!$M130)/(Calculations!$C$12+Calculations!$C$9))+(1/(Calculations!O130-Calculations!$C$13))*('Reaction Information'!$L$50*(Calculations!$M130-Calculations!$C$9)+'Reaction Information'!$M$50*10^4*LN((Calculations!$C$12+Calculations!$M130)/(Calculations!$C$12+Calculations!$C$9)))+calculateOmega(Calculations!M130,Calculations!N130,Calculations!Q130,'Reaction Information'!$C$50,'Reaction Information'!$P$50*10^5,'Reaction Information'!$Q$50)*((1/Calculations!S130)-1)-'Reaction Information'!$P$50*10^5*((1/Calculations!$C$10)-1)+'Reaction Information'!$P$50*10^5*Calculations!$C$14*(Calculations!O130-Calculations!$C$8))</f>
        <v>-121074.24893062098</v>
      </c>
      <c r="AU130" s="8" t="e">
        <f>IF(ISBLANK(Input!$BQ$4),NA(),'Reaction Information'!$E$54-'Reaction Information'!$G$54*(Calculations!$O130-Calculations!$C$8)-'Reaction Information'!$N$54*(Calculations!$O130*LN(Calculations!$O130/Calculations!$C$8)-Calculations!$O130+Calculations!$C$8)-'Reaction Information'!$O$54*10^4*(((1/(Calculations!$O130-Calculations!$C$13))-(1/(Calculations!$C$8-Calculations!$C$13)))*((Calculations!$C$13-Calculations!$O130)/(Calculations!$C$13))-(Calculations!$O130/(Calculations!$C$13*Calculations!$C$13))*LN((Calculations!$C$8*(Calculations!$O130-Calculations!$C$13))/(Calculations!$O130*(Calculations!$C$8-Calculations!$C$13))))+'Reaction Information'!$J$54*10^-1*(Calculations!$M130-Calculations!$C$9)+'Reaction Information'!$K$54*10^2*LN((Calculations!$C$12+Calculations!$M130)/(Calculations!$C$12+Calculations!$C$9))+(1/(Calculations!$O130-Calculations!$C$13))*('Reaction Information'!$L$54*(Calculations!$M130-Calculations!$C$9)+'Reaction Information'!$M$54*10^4*LN((Calculations!$C$12+Calculations!$M130)/(Calculations!$C$12+Calculations!$C$9)))+calculateOmega(Calculations!M130,Calculations!N130,Calculations!Q130,'Reaction Information'!$C$54,'Reaction Information'!$P$54*10^5,'Reaction Information'!$Q$54)*((1/Calculations!$S130)-1)-'Reaction Information'!$P$54*10^5*((1/Calculations!$C$10)-1)+'Reaction Information'!$P$54*10^5*Calculations!$C$14*(Calculations!$O130-Calculations!$C$8))</f>
        <v>#N/A</v>
      </c>
      <c r="AV130" s="8" t="e">
        <f>IF(ISBLANK(Input!$BT$4),NA(),'Reaction Information'!$E$58-'Reaction Information'!$G$58*(Calculations!$O130-Calculations!$C$8)-'Reaction Information'!$N$58*(Calculations!$O130*LN(Calculations!$O130/Calculations!$C$8)-Calculations!$O130+Calculations!$C$8)-'Reaction Information'!$O$58*10^4*(((1/(Calculations!$O130-Calculations!$C$13))-(1/(Calculations!$C$8-Calculations!$C$13)))*((Calculations!$C$13-Calculations!$O130)/(Calculations!$C$13))-(Calculations!$O130/(Calculations!$C$13*Calculations!$C$13))*LN((Calculations!$C$8*(Calculations!$O130-Calculations!$C$13))/(Calculations!$O130*(Calculations!$C$8-Calculations!$C$13))))+'Reaction Information'!$J$58*10^-1*(Calculations!$M130-Calculations!$C$9)+'Reaction Information'!$K$58*10^2*LN((Calculations!$C$12+Calculations!$M130)/(Calculations!$C$12+Calculations!$C$9))+(1/(Calculations!$O130-Calculations!$C$13))*('Reaction Information'!$L$58*(Calculations!$M130-Calculations!$C$9)+'Reaction Information'!$M$58*10^4*LN((Calculations!$C$12+Calculations!$M130)/(Calculations!$C$12+Calculations!$C$9)))+calculateOmega(Calculations!M130,Calculations!N130,Calculations!Q130,'Reaction Information'!$C$58,'Reaction Information'!$P$58*10^5,'Reaction Information'!$Q$58)*((1/Calculations!$S130)-1)-'Reaction Information'!$P$58*10^5*((1/Calculations!$C$10)-1)+'Reaction Information'!$P$58*10^5*Calculations!$C$14*(Calculations!$O130-Calculations!$C$8))</f>
        <v>#N/A</v>
      </c>
      <c r="AW130" s="8" t="e">
        <f>IF(ISBLANK(Input!$BW$4),NA(),'Reaction Information'!$E$62-'Reaction Information'!$G$62*(Calculations!$O130-Calculations!$C$8)-'Reaction Information'!$N$62*(Calculations!$O130*LN(Calculations!$O130/Calculations!$C$8)-Calculations!$O130+Calculations!$C$8)-'Reaction Information'!$O$62*10^4*(((1/(Calculations!$O130-Calculations!$C$13))-(1/(Calculations!$C$8-Calculations!$C$13)))*((Calculations!$C$13-Calculations!$O130)/(Calculations!$C$13))-(Calculations!$O130/(Calculations!$C$13*Calculations!$C$13))*LN((Calculations!$C$8*(Calculations!$O130-Calculations!$C$13))/(Calculations!$O130*(Calculations!$C$8-Calculations!$C$13))))+'Reaction Information'!$J$62*10^-1*(Calculations!$M130-Calculations!$C$9)+'Reaction Information'!$K$62*10^2*LN((Calculations!$C$12+Calculations!$M130)/(Calculations!$C$12+Calculations!$C$9))+(1/(Calculations!$O130-Calculations!$C$13))*('Reaction Information'!$L$62*(Calculations!$M130-Calculations!$C$9)+'Reaction Information'!$M$62*10^4*LN((Calculations!$C$12+Calculations!$M130)/(Calculations!$C$12+Calculations!$C$9)))+calculateOmega(Calculations!M130,Calculations!N130,Calculations!Q130,'Reaction Information'!$C$62,'Reaction Information'!$P$62*10^5,'Reaction Information'!$Q$62)*((1/Calculations!$S130)-1)-'Reaction Information'!$P$62*10^5*((1/Calculations!$C$10)-1)+'Reaction Information'!$P$62*10^5*Calculations!$C$14*(Calculations!$O130-Calculations!$C$8))</f>
        <v>#N/A</v>
      </c>
      <c r="AX130" s="8" t="e">
        <f>IF(ISBLANK(Input!$BZ$4),NA(),'Reaction Information'!$E$66-'Reaction Information'!$G$66*(Calculations!$O130-Calculations!$C$8)-'Reaction Information'!$N$66*(Calculations!$O130*LN(Calculations!$O130/Calculations!$C$8)-Calculations!$O130+Calculations!$C$8)-'Reaction Information'!$O$66*10^4*(((1/(Calculations!$O130-Calculations!$C$13))-(1/(Calculations!$C$8-Calculations!$C$13)))*((Calculations!$C$13-Calculations!$O130)/(Calculations!$C$13))-(Calculations!$O130/(Calculations!$C$13*Calculations!$C$13))*LN((Calculations!$C$8*(Calculations!$O130-Calculations!$C$13))/(Calculations!$O130*(Calculations!$C$8-Calculations!$C$13))))+'Reaction Information'!$J$66*10^-1*(Calculations!$M130-Calculations!$C$9)+'Reaction Information'!$K$66*10^2*LN((Calculations!$C$12+Calculations!$M130)/(Calculations!$C$12+Calculations!$C$9))+(1/(Calculations!$O130-Calculations!$C$13))*('Reaction Information'!$L$66*(Calculations!$M130-Calculations!$C$9)+'Reaction Information'!$M$66*10^4*LN((Calculations!$C$12+Calculations!$M130)/(Calculations!$C$12+Calculations!$C$9)))+calculateOmega(Calculations!M130,Calculations!N130,Calculations!Q130,'Reaction Information'!$C$66,'Reaction Information'!$P$66*10^5,'Reaction Information'!$Q$66)*((1/Calculations!$S130)-1)-'Reaction Information'!$P$66*10^5*((1/Calculations!$C$10)-1)+'Reaction Information'!$P$66*10^5*Calculations!$C$14*(Calculations!$O130-Calculations!$C$8))</f>
        <v>#N/A</v>
      </c>
      <c r="AY130" s="31">
        <f>(AL130*Input!$AO$4+AM130*Input!$AR$4+AN130*Input!$AU$4+AO130*Input!$AX$4+IF(ISNA(AP130),0,AP130*Input!$BA$4)+IF(ISNA(AQ130),0,AQ130*Input!$BD$4)+IF(ISNA(AR130),0,AR130*Input!$BG$4)+IF(ISNA(AS130),0,AS130*Input!$BJ$4)+IF(ISNA(AT130),0,AT130*Input!$BM$4)+IF(ISNA(AU130),0,AU130*Input!$BP$4)+IF(ISNA(AV130),0,AV130*Input!$BS$4)+IF(ISNA(AW130),0,AW130*Input!$BV$4)+IF(ISNA(AX130),0,AX130*Input!$BY$4))-(Y130*Input!$B$4+Z130*Input!$E$4+AA130*Input!$H$4+AB130*Input!$K$4+IF(ISNA(AC130),0,AC130*Input!$N$4)+IF(ISNA(AD130),0,AD130*Input!$Q$4)+IF(ISNA(AE130),0,AE130*Input!$T$4)+IF(ISNA(AF130),0,AF130*Input!$W$4)+IF(ISNA(AG130),0,AG130*Input!$Z$4)+IF(ISNA(AH130),0,AH130*Input!$AC$4)+IF(ISNA(AI130),0,AI130*Input!$AF$4)+IF(ISNA(AJ130),0,AJ130*Input!$AI$4)+IF(ISNA(AK130),0,AK130*Input!$AL$4))</f>
        <v>9048.5492578669073</v>
      </c>
      <c r="AZ130" s="42">
        <f t="shared" si="35"/>
        <v>-2.559452465918457</v>
      </c>
      <c r="BA130" s="1">
        <f t="shared" si="27"/>
        <v>500</v>
      </c>
      <c r="BB130" s="46">
        <f t="shared" si="28"/>
        <v>45000</v>
      </c>
      <c r="BC130" s="1"/>
      <c r="BD130" s="2">
        <f t="shared" si="29"/>
        <v>45000</v>
      </c>
      <c r="BE130" s="46">
        <f t="shared" si="30"/>
        <v>500</v>
      </c>
      <c r="BF130" s="1">
        <f>Results!AJ132</f>
        <v>0</v>
      </c>
      <c r="BG130" s="1">
        <f>Results!AK132</f>
        <v>0</v>
      </c>
      <c r="BH130" s="1">
        <f>Results!AL132</f>
        <v>0</v>
      </c>
      <c r="BI130" s="1">
        <f>Results!AM132</f>
        <v>0</v>
      </c>
      <c r="BJ130" s="1" t="e">
        <f>IF(OR(ISNA('Reaction Information'!$D$5), $N130 = "", $D$27 = FALSE, 'Reaction Information'!$D$5 = ""), NA(), 24.465)</f>
        <v>#N/A</v>
      </c>
      <c r="BK130" s="1" t="e">
        <f>IF(OR(ISNA('Reaction Information'!$D$9), $N130 = "", $D$27 = FALSE, 'Reaction Information'!$D$9 = ""), NA(), 24.465)</f>
        <v>#N/A</v>
      </c>
      <c r="BL130" s="8">
        <f t="shared" si="36"/>
        <v>13.023461357031833</v>
      </c>
      <c r="BM130" s="8">
        <f>IF(OR(ISBLANK(Input!$X$4),$D$27=FALSE),NA(),('Reaction Information'!$J$13/10+'Reaction Information'!$K$13*100/(Calculations!$C$12+Calculations!$M130)+('Reaction Information'!$L$13+'Reaction Information'!$M$13*10^4/(Calculations!$C$12+Calculations!$M130))/(Calculations!$O130-Calculations!$C$13) -calculateOmega(Calculations!$M130,Calculations!$N130,Calculations!$Q130,'Reaction Information'!$C$13,'Reaction Information'!$P$13*10^5,'Reaction Information'!$Q$13)*Calculations!$U130*10^-6 + (1/$S130 - 1)*calculate_domegadP(Calculations!$M130,Calculations!$N130,Calculations!$Q130,'Reaction Information'!$C$13,'Reaction Information'!$P$13*10^5,'Reaction Information'!$Q$13,$D$20,$D$19=3))*41.84)</f>
        <v>29.934951591328833</v>
      </c>
      <c r="BN130" s="8" t="e">
        <f>IF(OR(ISBLANK(Input!$AA$4),$D$27=FALSE),NA(),('Reaction Information'!$J$17/10+'Reaction Information'!$K$17*100/(Calculations!$C$12+Calculations!$M130)+('Reaction Information'!$L$17+'Reaction Information'!$M$17*10000/(Calculations!$C$12+Calculations!$M130))/(Calculations!$O130-Calculations!$C$13)-calculateOmega(Calculations!M130,Calculations!N130,Calculations!Q130,'Reaction Information'!$C$17,'Reaction Information'!$P$17*10^5,'Reaction Information'!$Q$17)*Calculations!$U130*10^-6 + (1/$S130 - 1)*calculate_domegadP(Calculations!M130,Calculations!N130,Calculations!Q130,'Reaction Information'!$C$17,'Reaction Information'!$P$17*10^5,'Reaction Information'!$Q$17,$D$20,$D$19=3))*41.84)</f>
        <v>#N/A</v>
      </c>
      <c r="BO130" s="8" t="e">
        <f>IF(OR(ISBLANK(Input!$AD$4),$D$27=FALSE),NA(),('Reaction Information'!$J$21/10+'Reaction Information'!$K$21*100/(Calculations!$C$12+Calculations!$M130)+('Reaction Information'!$L$21+'Reaction Information'!$M$21*10000/(Calculations!$C$12+Calculations!$M130))/(Calculations!$O130-Calculations!$C$13)-calculateOmega(Calculations!M130,Calculations!N130,Calculations!Q130,'Reaction Information'!$C$21,'Reaction Information'!$P$21*10^5,'Reaction Information'!$Q$21)*Calculations!$U130*10^-6 + (1/$S130 - 1)*calculate_domegadP(Calculations!M130,Calculations!N130,Calculations!Q130,'Reaction Information'!$C$21,'Reaction Information'!$P$21*10^5,'Reaction Information'!$Q$21,$D$20,$D$19=3))*41.84)</f>
        <v>#N/A</v>
      </c>
      <c r="BP130" s="8" t="e">
        <f>IF(OR(ISBLANK(Input!$AG$4),$D$27=FALSE),NA(),('Reaction Information'!$J$25/10+'Reaction Information'!$K$25*100/(Calculations!$C$12+Calculations!$M130)+('Reaction Information'!$L$25+'Reaction Information'!$M$25*10000/(Calculations!$C$12+Calculations!$M130))/(Calculations!$O130-Calculations!$C$13)-calculateOmega(Calculations!M130,Calculations!N130,Calculations!Q130,'Reaction Information'!$C$25,'Reaction Information'!$P$25*10^5,'Reaction Information'!$Q$25)*Calculations!$U130*10^-6 + (1/$S130 - 1)*calculate_domegadP(Calculations!M130,Calculations!N130,Calculations!Q130,'Reaction Information'!$C$25,'Reaction Information'!$P$25*10^5,'Reaction Information'!$Q$25,$D$20,$D$19=3))*41.84)</f>
        <v>#N/A</v>
      </c>
      <c r="BQ130" s="8" t="e">
        <f>IF(OR(ISBLANK(Input!$AJ$4),$D$27=FALSE),NA(),('Reaction Information'!$J$29/10+'Reaction Information'!$K$29*100/(Calculations!$C$12+Calculations!$M130)+('Reaction Information'!$L$29+'Reaction Information'!$M$29*10000/(Calculations!$C$12+Calculations!$M130))/(Calculations!$O130-Calculations!$C$13)-calculateOmega(Calculations!M130,Calculations!N130,Calculations!Q130,'Reaction Information'!$C$29,'Reaction Information'!$P$29*10^5,'Reaction Information'!$Q$29)*Calculations!$U130*10^-6 + (1/$S130 - 1)*calculate_domegadP(Calculations!M130,Calculations!N130,Calculations!Q130,'Reaction Information'!$C$29,'Reaction Information'!$P$29*10^5,'Reaction Information'!$Q$29,$D$20,$D$19=3))*41.84)</f>
        <v>#N/A</v>
      </c>
      <c r="BR130" s="8" t="e">
        <f>IF(OR(ISBLANK(Input!$AM$4),$D$27=FALSE),NA(),('Reaction Information'!$J$33/10+'Reaction Information'!$K$33*100/(Calculations!$C$12+Calculations!$M130)+('Reaction Information'!$L$33+'Reaction Information'!$M$33*10000/(Calculations!$C$12+Calculations!$M130))/(Calculations!$O130-Calculations!$C$13)-calculateOmega(Calculations!M130,Calculations!N130,Calculations!Q130,'Reaction Information'!$C$33,'Reaction Information'!$P$33*10^5,'Reaction Information'!$Q$33)*Calculations!$U130*10^-6 + (1/$S130 - 1)*calculate_domegadP(Calculations!M130,Calculations!N130,Calculations!Q130,'Reaction Information'!$C$33,'Reaction Information'!$P$33*10^5,'Reaction Information'!$Q$33,$D$20,$D$19=3))*41.84)</f>
        <v>#N/A</v>
      </c>
      <c r="BS130" s="1">
        <f>Results!AW132</f>
        <v>0</v>
      </c>
      <c r="BT130" s="1">
        <f>Results!AX132</f>
        <v>0</v>
      </c>
      <c r="BU130" s="1">
        <f>Results!AY132</f>
        <v>0</v>
      </c>
      <c r="BV130" s="1">
        <f>Results!AZ132</f>
        <v>0</v>
      </c>
      <c r="BW130" s="1" t="e">
        <f>IF(OR(ISNA('Reaction Information'!$D$38), $N130 = "", $D$27 = FALSE, 'Reaction Information'!$D$38 = ""), NA(), 24.465)</f>
        <v>#N/A</v>
      </c>
      <c r="BX130" s="1" t="e">
        <f>IF(OR(ISNA('Reaction Information'!$D$42), $N130 = "", $D$27 = FALSE, 'Reaction Information'!$D$42 = ""), NA(), 24.465)</f>
        <v>#N/A</v>
      </c>
      <c r="BY130" s="8" t="e">
        <f t="shared" si="37"/>
        <v>#N/A</v>
      </c>
      <c r="BZ130" s="8">
        <f>IF(OR(ISBLANK(Input!$BK$4),$D$27=FALSE),NA(),('Reaction Information'!$J$46/10+'Reaction Information'!$K$46*100/(Calculations!$C$12+Calculations!$M130)+('Reaction Information'!$L$46+'Reaction Information'!$M$46*10000/(Calculations!$C$12+Calculations!$M130))/(Calculations!$O130-Calculations!$C$13)-calculateOmega(Calculations!M130,Calculations!N130,Calculations!Q130,'Reaction Information'!$C$46,'Reaction Information'!$P$46*10^5,'Reaction Information'!$Q$46)*Calculations!$U130*10^-6 + (1/$S130 - 1)*calculate_domegadP(Calculations!M130,Calculations!N130,Calculations!Q130,'Reaction Information'!$C$46,'Reaction Information'!$P$46*10^5,'Reaction Information'!$Q$46,$D$20,$D$19=3))*41.84)</f>
        <v>0</v>
      </c>
      <c r="CA130" s="8">
        <f>IF(OR(ISBLANK(Input!$BN$4),$D$27=FALSE),NA(),('Reaction Information'!$J$50/10+'Reaction Information'!$K$50*100/(Calculations!$C$12+Calculations!$M130)+('Reaction Information'!$L$50+'Reaction Information'!$M$50*10000/(Calculations!$C$12+Calculations!$M130))/(Calculations!$O130-Calculations!$C$13)-calculateOmega(Calculations!M130,Calculations!N130,Calculations!Q130,'Reaction Information'!$C$50,'Reaction Information'!$P$50*10^5,'Reaction Information'!$Q$50)*Calculations!$U130*10^-6 + (1/$S130 - 1)*calculate_domegadP(Calculations!M130,Calculations!N130,Calculations!Q130,'Reaction Information'!$C$50,'Reaction Information'!$P$50*10^5,'Reaction Information'!$Q$50,$D$20,$D$19=3))*41.84)</f>
        <v>31.41791557253255</v>
      </c>
      <c r="CB130" s="8" t="e">
        <f>IF(OR(ISBLANK(Input!$BQ$4),$D$27=FALSE),NA(),('Reaction Information'!$J$54/10+'Reaction Information'!$K$54*100/(Calculations!$C$12+Calculations!$M130)+('Reaction Information'!$L$54+'Reaction Information'!$M$54*10000/(Calculations!$C$12+Calculations!$M130))/(Calculations!$O130-Calculations!$C$13)-calculateOmega(Calculations!M130,Calculations!N130,Calculations!Q130,'Reaction Information'!$C$54,'Reaction Information'!$P$54*10^5,'Reaction Information'!$Q$54)*Calculations!$U130*10^-6 + (1/$S130 - 1)*calculate_domegadP(Calculations!M130,Calculations!N130,Calculations!Q130,'Reaction Information'!$C$54,'Reaction Information'!$P$54*10^5,'Reaction Information'!$Q$54,$D$20,$D$19=3))*41.84)</f>
        <v>#N/A</v>
      </c>
      <c r="CC130" s="8" t="e">
        <f>IF(OR(ISBLANK(Input!$BT$4),$D$27=FALSE),NA(),('Reaction Information'!$J$58/10+'Reaction Information'!$K$58*100/(Calculations!$C$12+Calculations!$M130)+('Reaction Information'!$L$58+'Reaction Information'!$M$58*10000/(Calculations!$C$12+Calculations!$M130))/(Calculations!$O130-Calculations!$C$13)-calculateOmega(Calculations!M130,Calculations!N130,Calculations!Q130,'Reaction Information'!$C$58,'Reaction Information'!$P$58*10^5,'Reaction Information'!$Q$58)*Calculations!$U130*10^-6 + (1/$S130 - 1)*calculate_domegadP(Calculations!M130,Calculations!N130,Calculations!Q130,'Reaction Information'!$C$58,'Reaction Information'!$P$58*10^5,'Reaction Information'!$Q$58,$D$20,$D$19=3))*41.84)</f>
        <v>#N/A</v>
      </c>
      <c r="CD130" s="8" t="e">
        <f>IF(OR(ISBLANK(Input!$BW$4),$D$27=FALSE),NA(),('Reaction Information'!$J$62/10+'Reaction Information'!$K$62*100/(Calculations!$C$12+Calculations!$M130)+('Reaction Information'!$L$62+'Reaction Information'!$M$62*10000/(Calculations!$C$12+Calculations!$M130))/(Calculations!$O130-Calculations!$C$13)-calculateOmega(Calculations!M130,Calculations!N130,Calculations!Q130,'Reaction Information'!$C$62,'Reaction Information'!$P$62*10^5,'Reaction Information'!$Q$62)*Calculations!$U130*10^-6 + (1/$S130 - 1)*calculate_domegadP(Calculations!M130,Calculations!N130,Calculations!Q130,'Reaction Information'!$C$62,'Reaction Information'!$P$62*10^5,'Reaction Information'!$Q$62,$D$20,$D$19=3))*41.84)</f>
        <v>#N/A</v>
      </c>
      <c r="CE130" s="8" t="e">
        <f>IF(OR(ISBLANK(Input!$BZ$4),$D$27=FALSE),NA(),('Reaction Information'!$J$66/10+'Reaction Information'!$K$66*100/(Calculations!$C$12+Calculations!$M130)+('Reaction Information'!$L$66+'Reaction Information'!$M$66*10000/(Calculations!$C$12+Calculations!$M130))/(Calculations!$O130-Calculations!$C$13)-calculateOmega(Calculations!M130,Calculations!N130,Calculations!Q130,'Reaction Information'!$C$66,'Reaction Information'!$P$66*10^5,'Reaction Information'!$Q$66)*Calculations!$U130*10^-6 + (1/$S130 - 1)*calculate_domegadP(Calculations!M130,Calculations!N130,Calculations!Q130,'Reaction Information'!$C$66,'Reaction Information'!$P$66*10^5,'Reaction Information'!$Q$66,$D$20,$D$19=3))*41.84)</f>
        <v>#N/A</v>
      </c>
      <c r="CF130" s="31">
        <f>(BS130*Input!$AO$4+BT130*Input!$AR$4+BU130*Input!$AU$4+BV130*Input!$AX$4+IF(ISNA(BW130),0,BW130*Input!$BA$4)+IF(ISNA(BX130),0,BX130*Input!$BD$4)+IF(ISNA(BY130),0,BY130*Input!$BG$4)+IF(ISNA(BZ130),0,BZ130*Input!$BJ$4)+IF(ISNA(CA130),0,CA130*Input!$BM$4)+IF(ISNA(CB130),0,CB130*Input!$BP$4)+IF(ISNA(CC130),0,CC130*Input!$BS$4)+IF(ISNA(CD130),0,CD130*Input!$BV$4)+IF(ISNA(CE130),0,CE130*Input!$BY$4))-(BF130*Input!$B$4+BG130*Input!$E$4+BH130*Input!$H$4+BI130*Input!$K$4+IF(ISNA(BJ130),0,BJ130*Input!$N$4)+IF(ISNA(BK130),0,BK130*Input!$Q$4)+IF(ISNA(BL130),0,BL130*Input!$T$4)+IF(ISNA(BM130),0,BM130*Input!$W$4)+IF(ISNA(BN130),0,BN130*Input!$Z$4)+IF(ISNA(BO130),0,BO130*Input!$AC$4)+IF(ISNA(BP130),0,BP130*Input!$AF$4)+IF(ISNA(BQ130),0,BQ130*Input!$AI$4)+IF(ISNA(BR130),0,BR130*Input!$AL$4))</f>
        <v>-11.540497375828117</v>
      </c>
      <c r="CG130" s="1">
        <f t="shared" si="31"/>
        <v>500</v>
      </c>
      <c r="CH130" s="46">
        <f t="shared" si="32"/>
        <v>45000</v>
      </c>
      <c r="CI130" s="1"/>
    </row>
    <row r="131" spans="1:87" x14ac:dyDescent="0.2">
      <c r="A131" s="1"/>
      <c r="B131" s="1"/>
      <c r="C131" s="1"/>
      <c r="D131" s="1"/>
      <c r="E131" s="1"/>
      <c r="F131" s="2">
        <v>126</v>
      </c>
      <c r="G131" s="1" t="str">
        <f>IF(ISBLANK(Input!CB131), "", Input!CB131*1000)</f>
        <v/>
      </c>
      <c r="H131" s="1" t="str">
        <f>IF(ISBLANK(Input!CC131), "", Input!CC131)</f>
        <v/>
      </c>
      <c r="I131" s="1">
        <f>IF(Input!$CF$5 + Input!$CF$6*(FLOOR((Calculations!$F131-1)/(FLOOR((Input!$CF$12-Input!$CF$10)/Input!$CF$11,1)+1),1)) &gt; Input!$CF$7, "", (Input!$CF$5 + Input!$CF$6*(FLOOR((Calculations!$F131-1)/(FLOOR((Input!$CF$12-Input!$CF$10)/Input!$CF$11,1)+1),1)))*1000)</f>
        <v>45000</v>
      </c>
      <c r="J131" s="1">
        <f>IF(Calculations!I131 = "", "", Input!$CF$10 + Input!$CF$11*(Calculations!$F131-1) - (FLOOR((Input!$CF$12-Input!$CF$10)/Input!$CF$11,1)+1)*Input!$CF$11*FLOOR((Calculations!$F131-1)/(FLOOR((Input!$CF$12-Input!$CF$10)/Input!$CF$11,1)+1),1))</f>
        <v>550</v>
      </c>
      <c r="K131" s="8" t="str">
        <f t="shared" si="33"/>
        <v/>
      </c>
      <c r="L131" s="117" t="str">
        <f>IF(OR(Input!$CJ$5 + Input!$CJ$6*(Calculations!F131-1) &gt; Input!$CJ$7, Input!$CJ$5 + Input!$CJ$6*(Calculations!F131-1) &gt; 350), "", Input!$CJ$5 + Input!$CJ$6*(Calculations!F131-1))</f>
        <v/>
      </c>
      <c r="M131" s="1">
        <f t="shared" si="23"/>
        <v>45000</v>
      </c>
      <c r="N131" s="1">
        <f t="shared" si="24"/>
        <v>550</v>
      </c>
      <c r="O131" s="1">
        <f t="shared" si="34"/>
        <v>823.15</v>
      </c>
      <c r="P131" s="1" t="e">
        <f>IF(OR($D$20=3,AND($D$21=TRUE,M131&lt;1000)),INDEX('Water Density'!$C$6:$CX$120,MATCH(Calculations!N131,'Water Density'!$B$6:$B$120),MATCH(Calculations!M131/1000,'Water Density'!$C$5:$CX$5)),NA())</f>
        <v>#N/A</v>
      </c>
      <c r="Q131" s="182">
        <f>IF(OR($D$20=3,AND($D$21=TRUE,M131&lt;1000)), IF(P131&lt;&gt;0,P131,NA()), calculateDensity(M131,N131,$D$20,0.01,$D$19 = 3))</f>
        <v>1.3692474892032149</v>
      </c>
      <c r="R131" s="1" t="e">
        <f>IF($D$22=5,INDEX('Dielectric Constant'!$C$6:$CX$120,MATCH(Calculations!N131,'Dielectric Constant'!$B$6:$B$120),MATCH(Calculations!M131/1000,'Dielectric Constant'!$C$5:$CX$5)),NA())</f>
        <v>#N/A</v>
      </c>
      <c r="S131" s="58">
        <f>IF($D$22=5, IF(R131&lt;&gt;0,R131,NA()), IF(AND($D$23,M131&lt;=5000,$D$19 &lt;&gt; 3),calculateEpsilon(Q131,N131,1,FALSE),calculateEpsilon(Q131,N131,$D$22,$D$19 = 3)))</f>
        <v>35.12906970236709</v>
      </c>
      <c r="T131" s="1" t="e">
        <f>IF($D$24=3,INDEX('Water Free Energy'!$C$6:$CX$120,MATCH(Calculations!N131,'Water Free Energy'!$B$6:$B$120),MATCH(Calculations!M131/1000,'Water Free Energy'!$C$5:$CX$5)),NA())</f>
        <v>#N/A</v>
      </c>
      <c r="U131" s="179">
        <f>IF($D$27,calculateQ(M131,N131,Q131,$D$20,$D$22,$D$19=3)*10^6,NA())</f>
        <v>0.13670079064997789</v>
      </c>
      <c r="V131"/>
      <c r="W131" s="2">
        <f t="shared" si="25"/>
        <v>45000</v>
      </c>
      <c r="X131" s="1">
        <f t="shared" si="26"/>
        <v>550</v>
      </c>
      <c r="Y131" s="1">
        <f>Results!F133</f>
        <v>0</v>
      </c>
      <c r="Z131" s="1">
        <f>Results!G133</f>
        <v>0</v>
      </c>
      <c r="AA131" s="1">
        <f>Results!H133</f>
        <v>0</v>
      </c>
      <c r="AB131" s="1">
        <f>Results!I133</f>
        <v>0</v>
      </c>
      <c r="AC131" s="1" t="e">
        <f>IF(ISBLANK(Input!$O$4),NA(),'Reaction Information'!$E$5-'Reaction Information'!$G$5*(Calculations!$O131-Calculations!$C$8)+'Reaction Information'!$I$5*(Calculations!$O131-Calculations!$C$8-Calculations!$O131*LN(Calculations!$O131/Calculations!$C$8))+'Reaction Information'!$J$5*0.001/2*(2*Calculations!$O131*Calculations!$C$8-Calculations!$O131^2-Calculations!$C$8^2) + 'Reaction Information'!$K$5*100000*(Calculations!$O131^2 + Calculations!$C$8^2 - 2*Calculations!$O131*Calculations!$C$8)/(2*Calculations!$O131*Calculations!$C$8^2))</f>
        <v>#N/A</v>
      </c>
      <c r="AD131" s="8" t="e">
        <f>IF(ISBLANK(Input!$R$4),NA(),'Reaction Information'!$E$9-'Reaction Information'!$G$9*(Calculations!$O131-Calculations!$C$8)+'Reaction Information'!$I$9*(Calculations!$O131-Calculations!$C$8-Calculations!$O131*LN(Calculations!$O131/Calculations!$C$8))+'Reaction Information'!$J$9*0.001/2*(2*Calculations!$O131*Calculations!$C$8-Calculations!$O131^2-Calculations!$C$8^2) + 'Reaction Information'!$K$9*100000*(Calculations!$O131^2 + Calculations!$C$8^2 - 2*Calculations!$O131*Calculations!$C$8)/(2*Calculations!$O131*Calculations!$C$8^2))</f>
        <v>#N/A</v>
      </c>
      <c r="AE131" s="8">
        <f>IF(AE$5="H2O",IF($D$24=3,IF(T131=0,NA(),T131),calculateGibbsOfWater(M131,N131,$D$24,$D$20,$D$19=3)),NA())</f>
        <v>-53172.740729324047</v>
      </c>
      <c r="AF131" s="8">
        <f>IF(ISBLANK(Input!$X$4),NA(),'Reaction Information'!$E$13-'Reaction Information'!$G$13*(Calculations!O131-Calculations!$C$8)-'Reaction Information'!$N$13*(Calculations!O131*LN(Calculations!O131/Calculations!$C$8)-Calculations!O131+Calculations!$C$8)-'Reaction Information'!$O$13*10^4*(((1/(Calculations!O131-Calculations!$C$13))-(1/(Calculations!$C$8-Calculations!$C$13)))*((Calculations!$C$13-Calculations!O131)/(Calculations!$C$13))-(Calculations!O131/(Calculations!$C$13*Calculations!$C$13))*LN((Calculations!$C$8*(Calculations!O131-Calculations!$C$13))/(Calculations!O131*(Calculations!$C$8-Calculations!$C$13))))+'Reaction Information'!$J$13*10^-1*(Calculations!M131-Calculations!$C$9)+'Reaction Information'!$K$13*10^2*LN((Calculations!$C$12+Calculations!M131)/(Calculations!$C$12+Calculations!$C$9))+(1/(Calculations!O131-Calculations!$C$13))*('Reaction Information'!$L$13*(Calculations!M131-Calculations!$C$9)+'Reaction Information'!$M$13*10^4*LN((Calculations!$C$12+Calculations!M131)/(Calculations!$C$12+Calculations!$C$9)))+calculateOmega(Calculations!M131,Calculations!N131,Calculations!Q131,'Reaction Information'!$C$13,'Reaction Information'!$P$13*10^5,'Reaction Information'!$Q$13)*((1/Calculations!S131)-1)-'Reaction Information'!$P$13*10^5*((1/Calculations!$C$10)-1)+'Reaction Information'!$P$13*10^5*Calculations!$C$14*(Calculations!O131-Calculations!$C$8))</f>
        <v>-80492.883125461478</v>
      </c>
      <c r="AG131" s="8" t="e">
        <f>IF(ISBLANK(Input!$AA$4),NA(),'Reaction Information'!$E$17-'Reaction Information'!$G$17*(Calculations!$O131-Calculations!$C$8)-'Reaction Information'!$N$17*(Calculations!$O131*LN(Calculations!$O131/Calculations!$C$8)-Calculations!$O131+Calculations!$C$8)-'Reaction Information'!$O$17*10^4*(((1/(Calculations!$O131-Calculations!$C$13))-(1/(Calculations!$C$8-Calculations!$C$13)))*((Calculations!$C$13-Calculations!$O131)/(Calculations!$C$13))-(Calculations!$O131/(Calculations!$C$13*Calculations!$C$13))*LN((Calculations!$C$8*(Calculations!$O131-Calculations!$C$13))/(Calculations!$O131*(Calculations!$C$8-Calculations!$C$13))))+'Reaction Information'!$J$17*10^-1*(Calculations!$M131-Calculations!$C$9)+'Reaction Information'!$K$17*10^2*LN((Calculations!$C$12+Calculations!$M131)/(Calculations!$C$12+Calculations!$C$9))+(1/(Calculations!$O131-Calculations!$C$13))*('Reaction Information'!$L$17*(Calculations!$M131-Calculations!$C$9)+'Reaction Information'!$M$17*10^4*LN((Calculations!$C$12+Calculations!$M131)/(Calculations!$C$12+Calculations!$C$9)))+calculateOmega(Calculations!M131,Calculations!N131,Calculations!Q131,'Reaction Information'!$C$17,'Reaction Information'!$P$17*10^5,'Reaction Information'!$Q$17)*((1/Calculations!$S131)-1)-'Reaction Information'!$P$17*10^5*((1/Calculations!$C$10)-1)+'Reaction Information'!$P$17*10^5*Calculations!$C$14*(Calculations!$O131-Calculations!$C$8))</f>
        <v>#N/A</v>
      </c>
      <c r="AH131" s="8" t="e">
        <f>IF(ISBLANK(Input!$AD$4),NA(),'Reaction Information'!$E$21-'Reaction Information'!$G$21*(Calculations!$O131-Calculations!$C$8)-'Reaction Information'!$N$21*(Calculations!$O131*LN(Calculations!$O131/Calculations!$C$8)-Calculations!$O131+Calculations!$C$8)-'Reaction Information'!$O$21*10^4*(((1/(Calculations!$O131-Calculations!$C$13))-(1/(Calculations!$C$8-Calculations!$C$13)))*((Calculations!$C$13-Calculations!$O131)/(Calculations!$C$13))-(Calculations!$O131/(Calculations!$C$13*Calculations!$C$13))*LN((Calculations!$C$8*(Calculations!$O131-Calculations!$C$13))/(Calculations!$O131*(Calculations!$C$8-Calculations!$C$13))))+'Reaction Information'!$J$21*10^-1*(Calculations!$M131-Calculations!$C$9)+'Reaction Information'!$K$21*10^2*LN((Calculations!$C$12+Calculations!$M131)/(Calculations!$C$12+Calculations!$C$9))+(1/(Calculations!$O131-Calculations!$C$13))*('Reaction Information'!$L$21*(Calculations!$M131-Calculations!$C$9)+'Reaction Information'!$M$21*10^4*LN((Calculations!$C$12+Calculations!$M131)/(Calculations!$C$12+Calculations!$C$9)))+calculateOmega(Calculations!M131,Calculations!N131,Calculations!Q131,'Reaction Information'!$C$21,'Reaction Information'!$P$21*10^5,'Reaction Information'!$Q$21)*((1/Calculations!$S131)-1)-'Reaction Information'!$P$21*10^5*((1/Calculations!$C$10)-1)+'Reaction Information'!$P$21*10^5*Calculations!$C$14*(Calculations!$O131-Calculations!$C$8))</f>
        <v>#N/A</v>
      </c>
      <c r="AI131" s="8" t="e">
        <f>IF(ISBLANK(Input!$AG$4),NA(),'Reaction Information'!$E$25-'Reaction Information'!$G$25*(Calculations!$O131-Calculations!$C$8)-'Reaction Information'!$N$25*(Calculations!$O131*LN(Calculations!$O131/Calculations!$C$8)-Calculations!$O131+Calculations!$C$8)-'Reaction Information'!$O$25*10^4*(((1/(Calculations!$O131-Calculations!$C$13))-(1/(Calculations!$C$8-Calculations!$C$13)))*((Calculations!$C$13-Calculations!$O131)/(Calculations!$C$13))-(Calculations!$O131/(Calculations!$C$13*Calculations!$C$13))*LN((Calculations!$C$8*(Calculations!$O131-Calculations!$C$13))/(Calculations!$O131*(Calculations!$C$8-Calculations!$C$13))))+'Reaction Information'!$J$25*10^-1*(Calculations!$M131-Calculations!$C$9)+'Reaction Information'!$K$25*10^2*LN((Calculations!$C$12+Calculations!$M131)/(Calculations!$C$12+Calculations!$C$9))+(1/(Calculations!$O131-Calculations!$C$13))*('Reaction Information'!$L$25*(Calculations!$M131-Calculations!$C$9)+'Reaction Information'!$M$25*10^4*LN((Calculations!$C$12+Calculations!$M131)/(Calculations!$C$12+Calculations!$C$9)))+calculateOmega(Calculations!M131,Calculations!N131,Calculations!Q131,'Reaction Information'!$C$25,'Reaction Information'!$P$25*10^5,'Reaction Information'!$Q$25)*((1/Calculations!$S131)-1)-'Reaction Information'!$P$25*10^5*((1/Calculations!$C$10)-1)+'Reaction Information'!$P$25*10^5*Calculations!$C$14*(Calculations!$O131-Calculations!$C$8))</f>
        <v>#N/A</v>
      </c>
      <c r="AJ131" s="8" t="e">
        <f>IF(ISBLANK(Input!$AJ$4),NA(),'Reaction Information'!$E$29-'Reaction Information'!$G$29*(Calculations!$O131-Calculations!$C$8)-'Reaction Information'!$N$29*(Calculations!$O131*LN(Calculations!$O131/Calculations!$C$8)-Calculations!$O131+Calculations!$C$8)-'Reaction Information'!$O$29*10^4*(((1/(Calculations!$O131-Calculations!$C$13))-(1/(Calculations!$C$8-Calculations!$C$13)))*((Calculations!$C$13-Calculations!$O131)/(Calculations!$C$13))-(Calculations!$O131/(Calculations!$C$13*Calculations!$C$13))*LN((Calculations!$C$8*(Calculations!$O131-Calculations!$C$13))/(Calculations!$O131*(Calculations!$C$8-Calculations!$C$13))))+'Reaction Information'!$J$29*10^-1*(Calculations!$M131-Calculations!$C$9)+'Reaction Information'!$K$29*10^2*LN((Calculations!$C$12+Calculations!$M131)/(Calculations!$C$12+Calculations!$C$9))+(1/(Calculations!$O131-Calculations!$C$13))*('Reaction Information'!$L$29*(Calculations!$M131-Calculations!$C$9)+'Reaction Information'!$M$29*10^4*LN((Calculations!$C$12+Calculations!$M131)/(Calculations!$C$12+Calculations!$C$9)))+calculateOmega(Calculations!M131,Calculations!N131,Calculations!Q131,'Reaction Information'!$C$29,'Reaction Information'!$P$29*10^5,'Reaction Information'!$Q$29)*((1/Calculations!$S131)-1)-'Reaction Information'!$P$29*10^5*((1/Calculations!$C$10)-1)+'Reaction Information'!$P$29*10^5*Calculations!$C$14*(Calculations!$O131-Calculations!$C$8))</f>
        <v>#N/A</v>
      </c>
      <c r="AK131" s="8" t="e">
        <f>IF(ISBLANK(Input!$AM$4),NA(),'Reaction Information'!$E$33-'Reaction Information'!$G$33*(Calculations!$O131-Calculations!$C$8)-'Reaction Information'!$N$33*(Calculations!$O131*LN(Calculations!$O131/Calculations!$C$8)-Calculations!$O131+Calculations!$C$8)-'Reaction Information'!$O$33*10^4*(((1/(Calculations!$O131-Calculations!$C$13))-(1/(Calculations!$C$8-Calculations!$C$13)))*((Calculations!$C$13-Calculations!$O131)/(Calculations!$C$13))-(Calculations!$O131/(Calculations!$C$13*Calculations!$C$13))*LN((Calculations!$C$8*(Calculations!$O131-Calculations!$C$13))/(Calculations!$O131*(Calculations!$C$8-Calculations!$C$13))))+'Reaction Information'!$J$33*10^-1*(Calculations!$M131-Calculations!$C$9)+'Reaction Information'!$K$33*10^2*LN((Calculations!$C$12+Calculations!$M131)/(Calculations!$C$12+Calculations!$C$9))+(1/(Calculations!$O131-Calculations!$C$13))*('Reaction Information'!$L$33*(Calculations!$M131-Calculations!$C$9)+'Reaction Information'!$M$33*10^4*LN((Calculations!$C$12+Calculations!$M131)/(Calculations!$C$12+Calculations!$C$9)))+calculateOmega(Calculations!M131,Calculations!N131,Calculations!Q131,'Reaction Information'!$C$33,'Reaction Information'!$P$33*10^5,'Reaction Information'!$Q$33)*((1/Calculations!$S131)-1)-'Reaction Information'!$P$33*10^5*((1/Calculations!$C$10)-1)+'Reaction Information'!$P$33*10^5*Calculations!$C$14*(Calculations!$O131-Calculations!$C$8))</f>
        <v>#N/A</v>
      </c>
      <c r="AL131" s="1">
        <f>Results!S133</f>
        <v>0</v>
      </c>
      <c r="AM131" s="1">
        <f>Results!T133</f>
        <v>0</v>
      </c>
      <c r="AN131" s="1">
        <f>Results!U133</f>
        <v>0</v>
      </c>
      <c r="AO131" s="1">
        <f>Results!V133</f>
        <v>0</v>
      </c>
      <c r="AP131" s="8" t="e">
        <f>IF(ISBLANK(Input!$BB$4),NA(),'Reaction Information'!$E$38-'Reaction Information'!$G$38*(Calculations!$O131-Calculations!$C$8)+'Reaction Information'!$I$38*(Calculations!$O131-Calculations!$C$8-Calculations!$O131*LN(Calculations!$O131/Calculations!$C$8))+'Reaction Information'!$J$38*0.001/2*(2*Calculations!$O131*Calculations!$C$8-Calculations!$O131^2-Calculations!$C$8^2) + 'Reaction Information'!$K$38*100000*(Calculations!$O131^2 + Calculations!$C$8^2 - 2*Calculations!$O131*Calculations!$C$8)/(2*Calculations!$O131*Calculations!$C$8^2))</f>
        <v>#N/A</v>
      </c>
      <c r="AQ131" s="8" t="e">
        <f>IF(ISBLANK(Input!$BE$4),NA(),'Reaction Information'!$E$42-'Reaction Information'!$G$42*(Calculations!$O131-Calculations!$C$8)+'Reaction Information'!$I$42*(Calculations!$O131-Calculations!$C$8-Calculations!$O131*LN(Calculations!$O131/Calculations!$C$8))+'Reaction Information'!$J$42*0.001/2*(2*Calculations!$O131*Calculations!$C$8-Calculations!$O131^2-Calculations!$C$8^2) + 'Reaction Information'!$K$42*100000*(Calculations!$O131^2 + Calculations!$C$8^2 - 2*Calculations!$O131*Calculations!$C$8)/(2*Calculations!$O131*Calculations!$C$8^2))</f>
        <v>#N/A</v>
      </c>
      <c r="AR131" s="8" t="e">
        <f>IF(AR$5="H2O", IF($D$24=3,IF(T131=0,NA(),T131),calculateGibbsOfWater(M131,N131,$D$24,$D$20,$D$19=3)),NA())</f>
        <v>#N/A</v>
      </c>
      <c r="AS131" s="8">
        <f>IF(ISBLANK(Input!$BK$4),NA(),'Reaction Information'!$E$46-'Reaction Information'!$G$46*(Calculations!O131-Calculations!$C$8)-'Reaction Information'!$N$46*(Calculations!O131*LN(Calculations!O131/Calculations!$C$8)-Calculations!O131+Calculations!$C$8)-'Reaction Information'!$O$46*10^4*(((1/(Calculations!O131-Calculations!$C$13))-(1/(Calculations!$C$8-Calculations!$C$13)))*((Calculations!$C$13-Calculations!O131)/(Calculations!$C$13))-(Calculations!O131/(Calculations!$C$13*Calculations!$C$13))*LN((Calculations!$C$8*(Calculations!O131-Calculations!$C$13))/(Calculations!O131*(Calculations!$C$8-Calculations!$C$13))))+'Reaction Information'!$J$46*10^-1*(Calculations!$M131-Calculations!$C$9)+'Reaction Information'!$K$46*10^2*LN((Calculations!$C$12+Calculations!$M131)/(Calculations!$C$12+Calculations!$C$9))+(1/(Calculations!O131-Calculations!$C$13))*('Reaction Information'!$L$46*(Calculations!$M131-Calculations!$C$9)+'Reaction Information'!$M$46*10^4*LN((Calculations!$C$12+Calculations!$M131)/(Calculations!$C$12+Calculations!$C$9)))+calculateOmega(Calculations!M131,Calculations!N131,Calculations!Q131,'Reaction Information'!$C$46,'Reaction Information'!$P$46*10^5,'Reaction Information'!$Q$46)*((1/Calculations!S131)-1)-'Reaction Information'!$P$46*10^5*((1/Calculations!$C$10)-1)+'Reaction Information'!$P$46*10^5*Calculations!$C$14*(Calculations!O131-Calculations!$C$8))</f>
        <v>0</v>
      </c>
      <c r="AT131" s="8">
        <f>IF(ISBLANK(Input!$BN$4),NA(),'Reaction Information'!$E$50-'Reaction Information'!$G$50*(Calculations!O131-Calculations!$C$8)-'Reaction Information'!$N$50*(Calculations!O131*LN(Calculations!O131/Calculations!$C$8)-Calculations!O131+Calculations!$C$8)-'Reaction Information'!$O$50*10^4*(((1/(Calculations!O131-Calculations!$C$13))-(1/(Calculations!$C$8-Calculations!$C$13)))*((Calculations!$C$13-Calculations!O131)/(Calculations!$C$13))-(Calculations!O131/(Calculations!$C$13*Calculations!$C$13))*LN((Calculations!$C$8*(Calculations!O131-Calculations!$C$13))/(Calculations!O131*(Calculations!$C$8-Calculations!$C$13))))+'Reaction Information'!$J$50*10^-1*(Calculations!$M131-Calculations!$C$9)+'Reaction Information'!$K$50*10^2*LN((Calculations!$C$12+Calculations!$M131)/(Calculations!$C$12+Calculations!$C$9))+(1/(Calculations!O131-Calculations!$C$13))*('Reaction Information'!$L$50*(Calculations!$M131-Calculations!$C$9)+'Reaction Information'!$M$50*10^4*LN((Calculations!$C$12+Calculations!$M131)/(Calculations!$C$12+Calculations!$C$9)))+calculateOmega(Calculations!M131,Calculations!N131,Calculations!Q131,'Reaction Information'!$C$50,'Reaction Information'!$P$50*10^5,'Reaction Information'!$Q$50)*((1/Calculations!S131)-1)-'Reaction Information'!$P$50*10^5*((1/Calculations!$C$10)-1)+'Reaction Information'!$P$50*10^5*Calculations!$C$14*(Calculations!O131-Calculations!$C$8))</f>
        <v>-122758.82932821808</v>
      </c>
      <c r="AU131" s="8" t="e">
        <f>IF(ISBLANK(Input!$BQ$4),NA(),'Reaction Information'!$E$54-'Reaction Information'!$G$54*(Calculations!$O131-Calculations!$C$8)-'Reaction Information'!$N$54*(Calculations!$O131*LN(Calculations!$O131/Calculations!$C$8)-Calculations!$O131+Calculations!$C$8)-'Reaction Information'!$O$54*10^4*(((1/(Calculations!$O131-Calculations!$C$13))-(1/(Calculations!$C$8-Calculations!$C$13)))*((Calculations!$C$13-Calculations!$O131)/(Calculations!$C$13))-(Calculations!$O131/(Calculations!$C$13*Calculations!$C$13))*LN((Calculations!$C$8*(Calculations!$O131-Calculations!$C$13))/(Calculations!$O131*(Calculations!$C$8-Calculations!$C$13))))+'Reaction Information'!$J$54*10^-1*(Calculations!$M131-Calculations!$C$9)+'Reaction Information'!$K$54*10^2*LN((Calculations!$C$12+Calculations!$M131)/(Calculations!$C$12+Calculations!$C$9))+(1/(Calculations!$O131-Calculations!$C$13))*('Reaction Information'!$L$54*(Calculations!$M131-Calculations!$C$9)+'Reaction Information'!$M$54*10^4*LN((Calculations!$C$12+Calculations!$M131)/(Calculations!$C$12+Calculations!$C$9)))+calculateOmega(Calculations!M131,Calculations!N131,Calculations!Q131,'Reaction Information'!$C$54,'Reaction Information'!$P$54*10^5,'Reaction Information'!$Q$54)*((1/Calculations!$S131)-1)-'Reaction Information'!$P$54*10^5*((1/Calculations!$C$10)-1)+'Reaction Information'!$P$54*10^5*Calculations!$C$14*(Calculations!$O131-Calculations!$C$8))</f>
        <v>#N/A</v>
      </c>
      <c r="AV131" s="8" t="e">
        <f>IF(ISBLANK(Input!$BT$4),NA(),'Reaction Information'!$E$58-'Reaction Information'!$G$58*(Calculations!$O131-Calculations!$C$8)-'Reaction Information'!$N$58*(Calculations!$O131*LN(Calculations!$O131/Calculations!$C$8)-Calculations!$O131+Calculations!$C$8)-'Reaction Information'!$O$58*10^4*(((1/(Calculations!$O131-Calculations!$C$13))-(1/(Calculations!$C$8-Calculations!$C$13)))*((Calculations!$C$13-Calculations!$O131)/(Calculations!$C$13))-(Calculations!$O131/(Calculations!$C$13*Calculations!$C$13))*LN((Calculations!$C$8*(Calculations!$O131-Calculations!$C$13))/(Calculations!$O131*(Calculations!$C$8-Calculations!$C$13))))+'Reaction Information'!$J$58*10^-1*(Calculations!$M131-Calculations!$C$9)+'Reaction Information'!$K$58*10^2*LN((Calculations!$C$12+Calculations!$M131)/(Calculations!$C$12+Calculations!$C$9))+(1/(Calculations!$O131-Calculations!$C$13))*('Reaction Information'!$L$58*(Calculations!$M131-Calculations!$C$9)+'Reaction Information'!$M$58*10^4*LN((Calculations!$C$12+Calculations!$M131)/(Calculations!$C$12+Calculations!$C$9)))+calculateOmega(Calculations!M131,Calculations!N131,Calculations!Q131,'Reaction Information'!$C$58,'Reaction Information'!$P$58*10^5,'Reaction Information'!$Q$58)*((1/Calculations!$S131)-1)-'Reaction Information'!$P$58*10^5*((1/Calculations!$C$10)-1)+'Reaction Information'!$P$58*10^5*Calculations!$C$14*(Calculations!$O131-Calculations!$C$8))</f>
        <v>#N/A</v>
      </c>
      <c r="AW131" s="8" t="e">
        <f>IF(ISBLANK(Input!$BW$4),NA(),'Reaction Information'!$E$62-'Reaction Information'!$G$62*(Calculations!$O131-Calculations!$C$8)-'Reaction Information'!$N$62*(Calculations!$O131*LN(Calculations!$O131/Calculations!$C$8)-Calculations!$O131+Calculations!$C$8)-'Reaction Information'!$O$62*10^4*(((1/(Calculations!$O131-Calculations!$C$13))-(1/(Calculations!$C$8-Calculations!$C$13)))*((Calculations!$C$13-Calculations!$O131)/(Calculations!$C$13))-(Calculations!$O131/(Calculations!$C$13*Calculations!$C$13))*LN((Calculations!$C$8*(Calculations!$O131-Calculations!$C$13))/(Calculations!$O131*(Calculations!$C$8-Calculations!$C$13))))+'Reaction Information'!$J$62*10^-1*(Calculations!$M131-Calculations!$C$9)+'Reaction Information'!$K$62*10^2*LN((Calculations!$C$12+Calculations!$M131)/(Calculations!$C$12+Calculations!$C$9))+(1/(Calculations!$O131-Calculations!$C$13))*('Reaction Information'!$L$62*(Calculations!$M131-Calculations!$C$9)+'Reaction Information'!$M$62*10^4*LN((Calculations!$C$12+Calculations!$M131)/(Calculations!$C$12+Calculations!$C$9)))+calculateOmega(Calculations!M131,Calculations!N131,Calculations!Q131,'Reaction Information'!$C$62,'Reaction Information'!$P$62*10^5,'Reaction Information'!$Q$62)*((1/Calculations!$S131)-1)-'Reaction Information'!$P$62*10^5*((1/Calculations!$C$10)-1)+'Reaction Information'!$P$62*10^5*Calculations!$C$14*(Calculations!$O131-Calculations!$C$8))</f>
        <v>#N/A</v>
      </c>
      <c r="AX131" s="8" t="e">
        <f>IF(ISBLANK(Input!$BZ$4),NA(),'Reaction Information'!$E$66-'Reaction Information'!$G$66*(Calculations!$O131-Calculations!$C$8)-'Reaction Information'!$N$66*(Calculations!$O131*LN(Calculations!$O131/Calculations!$C$8)-Calculations!$O131+Calculations!$C$8)-'Reaction Information'!$O$66*10^4*(((1/(Calculations!$O131-Calculations!$C$13))-(1/(Calculations!$C$8-Calculations!$C$13)))*((Calculations!$C$13-Calculations!$O131)/(Calculations!$C$13))-(Calculations!$O131/(Calculations!$C$13*Calculations!$C$13))*LN((Calculations!$C$8*(Calculations!$O131-Calculations!$C$13))/(Calculations!$O131*(Calculations!$C$8-Calculations!$C$13))))+'Reaction Information'!$J$66*10^-1*(Calculations!$M131-Calculations!$C$9)+'Reaction Information'!$K$66*10^2*LN((Calculations!$C$12+Calculations!$M131)/(Calculations!$C$12+Calculations!$C$9))+(1/(Calculations!$O131-Calculations!$C$13))*('Reaction Information'!$L$66*(Calculations!$M131-Calculations!$C$9)+'Reaction Information'!$M$66*10^4*LN((Calculations!$C$12+Calculations!$M131)/(Calculations!$C$12+Calculations!$C$9)))+calculateOmega(Calculations!M131,Calculations!N131,Calculations!Q131,'Reaction Information'!$C$66,'Reaction Information'!$P$66*10^5,'Reaction Information'!$Q$66)*((1/Calculations!$S131)-1)-'Reaction Information'!$P$66*10^5*((1/Calculations!$C$10)-1)+'Reaction Information'!$P$66*10^5*Calculations!$C$14*(Calculations!$O131-Calculations!$C$8))</f>
        <v>#N/A</v>
      </c>
      <c r="AY131" s="31">
        <f>(AL131*Input!$AO$4+AM131*Input!$AR$4+AN131*Input!$AU$4+AO131*Input!$AX$4+IF(ISNA(AP131),0,AP131*Input!$BA$4)+IF(ISNA(AQ131),0,AQ131*Input!$BD$4)+IF(ISNA(AR131),0,AR131*Input!$BG$4)+IF(ISNA(AS131),0,AS131*Input!$BJ$4)+IF(ISNA(AT131),0,AT131*Input!$BM$4)+IF(ISNA(AU131),0,AU131*Input!$BP$4)+IF(ISNA(AV131),0,AV131*Input!$BS$4)+IF(ISNA(AW131),0,AW131*Input!$BV$4)+IF(ISNA(AX131),0,AX131*Input!$BY$4))-(Y131*Input!$B$4+Z131*Input!$E$4+AA131*Input!$H$4+AB131*Input!$K$4+IF(ISNA(AC131),0,AC131*Input!$N$4)+IF(ISNA(AD131),0,AD131*Input!$Q$4)+IF(ISNA(AE131),0,AE131*Input!$T$4)+IF(ISNA(AF131),0,AF131*Input!$W$4)+IF(ISNA(AG131),0,AG131*Input!$Z$4)+IF(ISNA(AH131),0,AH131*Input!$AC$4)+IF(ISNA(AI131),0,AI131*Input!$AF$4)+IF(ISNA(AJ131),0,AJ131*Input!$AI$4)+IF(ISNA(AK131),0,AK131*Input!$AL$4))</f>
        <v>10906.794526567435</v>
      </c>
      <c r="AZ131" s="42">
        <f t="shared" si="35"/>
        <v>-2.8976773264593185</v>
      </c>
      <c r="BA131" s="1">
        <f t="shared" si="27"/>
        <v>550</v>
      </c>
      <c r="BB131" s="46">
        <f t="shared" si="28"/>
        <v>45000</v>
      </c>
      <c r="BC131" s="1"/>
      <c r="BD131" s="2">
        <f t="shared" si="29"/>
        <v>45000</v>
      </c>
      <c r="BE131" s="46">
        <f t="shared" si="30"/>
        <v>550</v>
      </c>
      <c r="BF131" s="1">
        <f>Results!AJ133</f>
        <v>0</v>
      </c>
      <c r="BG131" s="1">
        <f>Results!AK133</f>
        <v>0</v>
      </c>
      <c r="BH131" s="1">
        <f>Results!AL133</f>
        <v>0</v>
      </c>
      <c r="BI131" s="1">
        <f>Results!AM133</f>
        <v>0</v>
      </c>
      <c r="BJ131" s="1" t="e">
        <f>IF(OR(ISNA('Reaction Information'!$D$5), $N131 = "", $D$27 = FALSE, 'Reaction Information'!$D$5 = ""), NA(), 24.465)</f>
        <v>#N/A</v>
      </c>
      <c r="BK131" s="1" t="e">
        <f>IF(OR(ISNA('Reaction Information'!$D$9), $N131 = "", $D$27 = FALSE, 'Reaction Information'!$D$9 = ""), NA(), 24.465)</f>
        <v>#N/A</v>
      </c>
      <c r="BL131" s="8">
        <f t="shared" si="36"/>
        <v>13.15706630251581</v>
      </c>
      <c r="BM131" s="8">
        <f>IF(OR(ISBLANK(Input!$X$4),$D$27=FALSE),NA(),('Reaction Information'!$J$13/10+'Reaction Information'!$K$13*100/(Calculations!$C$12+Calculations!$M131)+('Reaction Information'!$L$13+'Reaction Information'!$M$13*10^4/(Calculations!$C$12+Calculations!$M131))/(Calculations!$O131-Calculations!$C$13) -calculateOmega(Calculations!$M131,Calculations!$N131,Calculations!$Q131,'Reaction Information'!$C$13,'Reaction Information'!$P$13*10^5,'Reaction Information'!$Q$13)*Calculations!$U131*10^-6 + (1/$S131 - 1)*calculate_domegadP(Calculations!$M131,Calculations!$N131,Calculations!$Q131,'Reaction Information'!$C$13,'Reaction Information'!$P$13*10^5,'Reaction Information'!$Q$13,$D$20,$D$19=3))*41.84)</f>
        <v>29.956237282086931</v>
      </c>
      <c r="BN131" s="8" t="e">
        <f>IF(OR(ISBLANK(Input!$AA$4),$D$27=FALSE),NA(),('Reaction Information'!$J$17/10+'Reaction Information'!$K$17*100/(Calculations!$C$12+Calculations!$M131)+('Reaction Information'!$L$17+'Reaction Information'!$M$17*10000/(Calculations!$C$12+Calculations!$M131))/(Calculations!$O131-Calculations!$C$13)-calculateOmega(Calculations!M131,Calculations!N131,Calculations!Q131,'Reaction Information'!$C$17,'Reaction Information'!$P$17*10^5,'Reaction Information'!$Q$17)*Calculations!$U131*10^-6 + (1/$S131 - 1)*calculate_domegadP(Calculations!M131,Calculations!N131,Calculations!Q131,'Reaction Information'!$C$17,'Reaction Information'!$P$17*10^5,'Reaction Information'!$Q$17,$D$20,$D$19=3))*41.84)</f>
        <v>#N/A</v>
      </c>
      <c r="BO131" s="8" t="e">
        <f>IF(OR(ISBLANK(Input!$AD$4),$D$27=FALSE),NA(),('Reaction Information'!$J$21/10+'Reaction Information'!$K$21*100/(Calculations!$C$12+Calculations!$M131)+('Reaction Information'!$L$21+'Reaction Information'!$M$21*10000/(Calculations!$C$12+Calculations!$M131))/(Calculations!$O131-Calculations!$C$13)-calculateOmega(Calculations!M131,Calculations!N131,Calculations!Q131,'Reaction Information'!$C$21,'Reaction Information'!$P$21*10^5,'Reaction Information'!$Q$21)*Calculations!$U131*10^-6 + (1/$S131 - 1)*calculate_domegadP(Calculations!M131,Calculations!N131,Calculations!Q131,'Reaction Information'!$C$21,'Reaction Information'!$P$21*10^5,'Reaction Information'!$Q$21,$D$20,$D$19=3))*41.84)</f>
        <v>#N/A</v>
      </c>
      <c r="BP131" s="8" t="e">
        <f>IF(OR(ISBLANK(Input!$AG$4),$D$27=FALSE),NA(),('Reaction Information'!$J$25/10+'Reaction Information'!$K$25*100/(Calculations!$C$12+Calculations!$M131)+('Reaction Information'!$L$25+'Reaction Information'!$M$25*10000/(Calculations!$C$12+Calculations!$M131))/(Calculations!$O131-Calculations!$C$13)-calculateOmega(Calculations!M131,Calculations!N131,Calculations!Q131,'Reaction Information'!$C$25,'Reaction Information'!$P$25*10^5,'Reaction Information'!$Q$25)*Calculations!$U131*10^-6 + (1/$S131 - 1)*calculate_domegadP(Calculations!M131,Calculations!N131,Calculations!Q131,'Reaction Information'!$C$25,'Reaction Information'!$P$25*10^5,'Reaction Information'!$Q$25,$D$20,$D$19=3))*41.84)</f>
        <v>#N/A</v>
      </c>
      <c r="BQ131" s="8" t="e">
        <f>IF(OR(ISBLANK(Input!$AJ$4),$D$27=FALSE),NA(),('Reaction Information'!$J$29/10+'Reaction Information'!$K$29*100/(Calculations!$C$12+Calculations!$M131)+('Reaction Information'!$L$29+'Reaction Information'!$M$29*10000/(Calculations!$C$12+Calculations!$M131))/(Calculations!$O131-Calculations!$C$13)-calculateOmega(Calculations!M131,Calculations!N131,Calculations!Q131,'Reaction Information'!$C$29,'Reaction Information'!$P$29*10^5,'Reaction Information'!$Q$29)*Calculations!$U131*10^-6 + (1/$S131 - 1)*calculate_domegadP(Calculations!M131,Calculations!N131,Calculations!Q131,'Reaction Information'!$C$29,'Reaction Information'!$P$29*10^5,'Reaction Information'!$Q$29,$D$20,$D$19=3))*41.84)</f>
        <v>#N/A</v>
      </c>
      <c r="BR131" s="8" t="e">
        <f>IF(OR(ISBLANK(Input!$AM$4),$D$27=FALSE),NA(),('Reaction Information'!$J$33/10+'Reaction Information'!$K$33*100/(Calculations!$C$12+Calculations!$M131)+('Reaction Information'!$L$33+'Reaction Information'!$M$33*10000/(Calculations!$C$12+Calculations!$M131))/(Calculations!$O131-Calculations!$C$13)-calculateOmega(Calculations!M131,Calculations!N131,Calculations!Q131,'Reaction Information'!$C$33,'Reaction Information'!$P$33*10^5,'Reaction Information'!$Q$33)*Calculations!$U131*10^-6 + (1/$S131 - 1)*calculate_domegadP(Calculations!M131,Calculations!N131,Calculations!Q131,'Reaction Information'!$C$33,'Reaction Information'!$P$33*10^5,'Reaction Information'!$Q$33,$D$20,$D$19=3))*41.84)</f>
        <v>#N/A</v>
      </c>
      <c r="BS131" s="1">
        <f>Results!AW133</f>
        <v>0</v>
      </c>
      <c r="BT131" s="1">
        <f>Results!AX133</f>
        <v>0</v>
      </c>
      <c r="BU131" s="1">
        <f>Results!AY133</f>
        <v>0</v>
      </c>
      <c r="BV131" s="1">
        <f>Results!AZ133</f>
        <v>0</v>
      </c>
      <c r="BW131" s="1" t="e">
        <f>IF(OR(ISNA('Reaction Information'!$D$38), $N131 = "", $D$27 = FALSE, 'Reaction Information'!$D$38 = ""), NA(), 24.465)</f>
        <v>#N/A</v>
      </c>
      <c r="BX131" s="1" t="e">
        <f>IF(OR(ISNA('Reaction Information'!$D$42), $N131 = "", $D$27 = FALSE, 'Reaction Information'!$D$42 = ""), NA(), 24.465)</f>
        <v>#N/A</v>
      </c>
      <c r="BY131" s="8" t="e">
        <f t="shared" si="37"/>
        <v>#N/A</v>
      </c>
      <c r="BZ131" s="8">
        <f>IF(OR(ISBLANK(Input!$BK$4),$D$27=FALSE),NA(),('Reaction Information'!$J$46/10+'Reaction Information'!$K$46*100/(Calculations!$C$12+Calculations!$M131)+('Reaction Information'!$L$46+'Reaction Information'!$M$46*10000/(Calculations!$C$12+Calculations!$M131))/(Calculations!$O131-Calculations!$C$13)-calculateOmega(Calculations!M131,Calculations!N131,Calculations!Q131,'Reaction Information'!$C$46,'Reaction Information'!$P$46*10^5,'Reaction Information'!$Q$46)*Calculations!$U131*10^-6 + (1/$S131 - 1)*calculate_domegadP(Calculations!M131,Calculations!N131,Calculations!Q131,'Reaction Information'!$C$46,'Reaction Information'!$P$46*10^5,'Reaction Information'!$Q$46,$D$20,$D$19=3))*41.84)</f>
        <v>0</v>
      </c>
      <c r="CA131" s="8">
        <f>IF(OR(ISBLANK(Input!$BN$4),$D$27=FALSE),NA(),('Reaction Information'!$J$50/10+'Reaction Information'!$K$50*100/(Calculations!$C$12+Calculations!$M131)+('Reaction Information'!$L$50+'Reaction Information'!$M$50*10000/(Calculations!$C$12+Calculations!$M131))/(Calculations!$O131-Calculations!$C$13)-calculateOmega(Calculations!M131,Calculations!N131,Calculations!Q131,'Reaction Information'!$C$50,'Reaction Information'!$P$50*10^5,'Reaction Information'!$Q$50)*Calculations!$U131*10^-6 + (1/$S131 - 1)*calculate_domegadP(Calculations!M131,Calculations!N131,Calculations!Q131,'Reaction Information'!$C$50,'Reaction Information'!$P$50*10^5,'Reaction Information'!$Q$50,$D$20,$D$19=3))*41.84)</f>
        <v>31.360727207281304</v>
      </c>
      <c r="CB131" s="8" t="e">
        <f>IF(OR(ISBLANK(Input!$BQ$4),$D$27=FALSE),NA(),('Reaction Information'!$J$54/10+'Reaction Information'!$K$54*100/(Calculations!$C$12+Calculations!$M131)+('Reaction Information'!$L$54+'Reaction Information'!$M$54*10000/(Calculations!$C$12+Calculations!$M131))/(Calculations!$O131-Calculations!$C$13)-calculateOmega(Calculations!M131,Calculations!N131,Calculations!Q131,'Reaction Information'!$C$54,'Reaction Information'!$P$54*10^5,'Reaction Information'!$Q$54)*Calculations!$U131*10^-6 + (1/$S131 - 1)*calculate_domegadP(Calculations!M131,Calculations!N131,Calculations!Q131,'Reaction Information'!$C$54,'Reaction Information'!$P$54*10^5,'Reaction Information'!$Q$54,$D$20,$D$19=3))*41.84)</f>
        <v>#N/A</v>
      </c>
      <c r="CC131" s="8" t="e">
        <f>IF(OR(ISBLANK(Input!$BT$4),$D$27=FALSE),NA(),('Reaction Information'!$J$58/10+'Reaction Information'!$K$58*100/(Calculations!$C$12+Calculations!$M131)+('Reaction Information'!$L$58+'Reaction Information'!$M$58*10000/(Calculations!$C$12+Calculations!$M131))/(Calculations!$O131-Calculations!$C$13)-calculateOmega(Calculations!M131,Calculations!N131,Calculations!Q131,'Reaction Information'!$C$58,'Reaction Information'!$P$58*10^5,'Reaction Information'!$Q$58)*Calculations!$U131*10^-6 + (1/$S131 - 1)*calculate_domegadP(Calculations!M131,Calculations!N131,Calculations!Q131,'Reaction Information'!$C$58,'Reaction Information'!$P$58*10^5,'Reaction Information'!$Q$58,$D$20,$D$19=3))*41.84)</f>
        <v>#N/A</v>
      </c>
      <c r="CD131" s="8" t="e">
        <f>IF(OR(ISBLANK(Input!$BW$4),$D$27=FALSE),NA(),('Reaction Information'!$J$62/10+'Reaction Information'!$K$62*100/(Calculations!$C$12+Calculations!$M131)+('Reaction Information'!$L$62+'Reaction Information'!$M$62*10000/(Calculations!$C$12+Calculations!$M131))/(Calculations!$O131-Calculations!$C$13)-calculateOmega(Calculations!M131,Calculations!N131,Calculations!Q131,'Reaction Information'!$C$62,'Reaction Information'!$P$62*10^5,'Reaction Information'!$Q$62)*Calculations!$U131*10^-6 + (1/$S131 - 1)*calculate_domegadP(Calculations!M131,Calculations!N131,Calculations!Q131,'Reaction Information'!$C$62,'Reaction Information'!$P$62*10^5,'Reaction Information'!$Q$62,$D$20,$D$19=3))*41.84)</f>
        <v>#N/A</v>
      </c>
      <c r="CE131" s="8" t="e">
        <f>IF(OR(ISBLANK(Input!$BZ$4),$D$27=FALSE),NA(),('Reaction Information'!$J$66/10+'Reaction Information'!$K$66*100/(Calculations!$C$12+Calculations!$M131)+('Reaction Information'!$L$66+'Reaction Information'!$M$66*10000/(Calculations!$C$12+Calculations!$M131))/(Calculations!$O131-Calculations!$C$13)-calculateOmega(Calculations!M131,Calculations!N131,Calculations!Q131,'Reaction Information'!$C$66,'Reaction Information'!$P$66*10^5,'Reaction Information'!$Q$66)*Calculations!$U131*10^-6 + (1/$S131 - 1)*calculate_domegadP(Calculations!M131,Calculations!N131,Calculations!Q131,'Reaction Information'!$C$66,'Reaction Information'!$P$66*10^5,'Reaction Information'!$Q$66,$D$20,$D$19=3))*41.84)</f>
        <v>#N/A</v>
      </c>
      <c r="CF131" s="31">
        <f>(BS131*Input!$AO$4+BT131*Input!$AR$4+BU131*Input!$AU$4+BV131*Input!$AX$4+IF(ISNA(BW131),0,BW131*Input!$BA$4)+IF(ISNA(BX131),0,BX131*Input!$BD$4)+IF(ISNA(BY131),0,BY131*Input!$BG$4)+IF(ISNA(BZ131),0,BZ131*Input!$BJ$4)+IF(ISNA(CA131),0,CA131*Input!$BM$4)+IF(ISNA(CB131),0,CB131*Input!$BP$4)+IF(ISNA(CC131),0,CC131*Input!$BS$4)+IF(ISNA(CD131),0,CD131*Input!$BV$4)+IF(ISNA(CE131),0,CE131*Input!$BY$4))-(BF131*Input!$B$4+BG131*Input!$E$4+BH131*Input!$H$4+BI131*Input!$K$4+IF(ISNA(BJ131),0,BJ131*Input!$N$4)+IF(ISNA(BK131),0,BK131*Input!$Q$4)+IF(ISNA(BL131),0,BL131*Input!$T$4)+IF(ISNA(BM131),0,BM131*Input!$W$4)+IF(ISNA(BN131),0,BN131*Input!$Z$4)+IF(ISNA(BO131),0,BO131*Input!$AC$4)+IF(ISNA(BP131),0,BP131*Input!$AF$4)+IF(ISNA(BQ131),0,BQ131*Input!$AI$4)+IF(ISNA(BR131),0,BR131*Input!$AL$4))</f>
        <v>-11.752576377321436</v>
      </c>
      <c r="CG131" s="1">
        <f t="shared" si="31"/>
        <v>550</v>
      </c>
      <c r="CH131" s="46">
        <f t="shared" si="32"/>
        <v>45000</v>
      </c>
      <c r="CI131" s="1"/>
    </row>
    <row r="132" spans="1:87" x14ac:dyDescent="0.2">
      <c r="A132" s="1"/>
      <c r="B132" s="1"/>
      <c r="C132" s="1"/>
      <c r="D132" s="1"/>
      <c r="E132" s="1"/>
      <c r="F132" s="2">
        <v>127</v>
      </c>
      <c r="G132" s="1" t="str">
        <f>IF(ISBLANK(Input!CB132), "", Input!CB132*1000)</f>
        <v/>
      </c>
      <c r="H132" s="1" t="str">
        <f>IF(ISBLANK(Input!CC132), "", Input!CC132)</f>
        <v/>
      </c>
      <c r="I132" s="1">
        <f>IF(Input!$CF$5 + Input!$CF$6*(FLOOR((Calculations!$F132-1)/(FLOOR((Input!$CF$12-Input!$CF$10)/Input!$CF$11,1)+1),1)) &gt; Input!$CF$7, "", (Input!$CF$5 + Input!$CF$6*(FLOOR((Calculations!$F132-1)/(FLOOR((Input!$CF$12-Input!$CF$10)/Input!$CF$11,1)+1),1)))*1000)</f>
        <v>45000</v>
      </c>
      <c r="J132" s="1">
        <f>IF(Calculations!I132 = "", "", Input!$CF$10 + Input!$CF$11*(Calculations!$F132-1) - (FLOOR((Input!$CF$12-Input!$CF$10)/Input!$CF$11,1)+1)*Input!$CF$11*FLOOR((Calculations!$F132-1)/(FLOOR((Input!$CF$12-Input!$CF$10)/Input!$CF$11,1)+1),1))</f>
        <v>600</v>
      </c>
      <c r="K132" s="8" t="str">
        <f t="shared" si="33"/>
        <v/>
      </c>
      <c r="L132" s="117" t="str">
        <f>IF(OR(Input!$CJ$5 + Input!$CJ$6*(Calculations!F132-1) &gt; Input!$CJ$7, Input!$CJ$5 + Input!$CJ$6*(Calculations!F132-1) &gt; 350), "", Input!$CJ$5 + Input!$CJ$6*(Calculations!F132-1))</f>
        <v/>
      </c>
      <c r="M132" s="1">
        <f t="shared" si="23"/>
        <v>45000</v>
      </c>
      <c r="N132" s="1">
        <f t="shared" si="24"/>
        <v>600</v>
      </c>
      <c r="O132" s="1">
        <f t="shared" si="34"/>
        <v>873.15</v>
      </c>
      <c r="P132" s="1" t="e">
        <f>IF(OR($D$20=3,AND($D$21=TRUE,M132&lt;1000)),INDEX('Water Density'!$C$6:$CX$120,MATCH(Calculations!N132,'Water Density'!$B$6:$B$120),MATCH(Calculations!M132/1000,'Water Density'!$C$5:$CX$5)),NA())</f>
        <v>#N/A</v>
      </c>
      <c r="Q132" s="182">
        <f>IF(OR($D$20=3,AND($D$21=TRUE,M132&lt;1000)), IF(P132&lt;&gt;0,P132,NA()), calculateDensity(M132,N132,$D$20,0.01,$D$19 = 3))</f>
        <v>1.3554139025318621</v>
      </c>
      <c r="R132" s="1" t="e">
        <f>IF($D$22=5,INDEX('Dielectric Constant'!$C$6:$CX$120,MATCH(Calculations!N132,'Dielectric Constant'!$B$6:$B$120),MATCH(Calculations!M132/1000,'Dielectric Constant'!$C$5:$CX$5)),NA())</f>
        <v>#N/A</v>
      </c>
      <c r="S132" s="58">
        <f>IF($D$22=5, IF(R132&lt;&gt;0,R132,NA()), IF(AND($D$23,M132&lt;=5000,$D$19 &lt;&gt; 3),calculateEpsilon(Q132,N132,1,FALSE),calculateEpsilon(Q132,N132,$D$22,$D$19 = 3)))</f>
        <v>32.005590092641256</v>
      </c>
      <c r="T132" s="1" t="e">
        <f>IF($D$24=3,INDEX('Water Free Energy'!$C$6:$CX$120,MATCH(Calculations!N132,'Water Free Energy'!$B$6:$B$120),MATCH(Calculations!M132/1000,'Water Free Energy'!$C$5:$CX$5)),NA())</f>
        <v>#N/A</v>
      </c>
      <c r="U132" s="179">
        <f>IF($D$27,calculateQ(M132,N132,Q132,$D$20,$D$22,$D$19=3)*10^6,NA())</f>
        <v>0.14768567025839696</v>
      </c>
      <c r="V132"/>
      <c r="W132" s="2">
        <f t="shared" si="25"/>
        <v>45000</v>
      </c>
      <c r="X132" s="1">
        <f t="shared" si="26"/>
        <v>600</v>
      </c>
      <c r="Y132" s="1">
        <f>Results!F134</f>
        <v>0</v>
      </c>
      <c r="Z132" s="1">
        <f>Results!G134</f>
        <v>0</v>
      </c>
      <c r="AA132" s="1">
        <f>Results!H134</f>
        <v>0</v>
      </c>
      <c r="AB132" s="1">
        <f>Results!I134</f>
        <v>0</v>
      </c>
      <c r="AC132" s="1" t="e">
        <f>IF(ISBLANK(Input!$O$4),NA(),'Reaction Information'!$E$5-'Reaction Information'!$G$5*(Calculations!$O132-Calculations!$C$8)+'Reaction Information'!$I$5*(Calculations!$O132-Calculations!$C$8-Calculations!$O132*LN(Calculations!$O132/Calculations!$C$8))+'Reaction Information'!$J$5*0.001/2*(2*Calculations!$O132*Calculations!$C$8-Calculations!$O132^2-Calculations!$C$8^2) + 'Reaction Information'!$K$5*100000*(Calculations!$O132^2 + Calculations!$C$8^2 - 2*Calculations!$O132*Calculations!$C$8)/(2*Calculations!$O132*Calculations!$C$8^2))</f>
        <v>#N/A</v>
      </c>
      <c r="AD132" s="8" t="e">
        <f>IF(ISBLANK(Input!$R$4),NA(),'Reaction Information'!$E$9-'Reaction Information'!$G$9*(Calculations!$O132-Calculations!$C$8)+'Reaction Information'!$I$9*(Calculations!$O132-Calculations!$C$8-Calculations!$O132*LN(Calculations!$O132/Calculations!$C$8))+'Reaction Information'!$J$9*0.001/2*(2*Calculations!$O132*Calculations!$C$8-Calculations!$O132^2-Calculations!$C$8^2) + 'Reaction Information'!$K$9*100000*(Calculations!$O132^2 + Calculations!$C$8^2 - 2*Calculations!$O132*Calculations!$C$8)/(2*Calculations!$O132*Calculations!$C$8^2))</f>
        <v>#N/A</v>
      </c>
      <c r="AE132" s="8">
        <f>IF(AE$5="H2O",IF($D$24=3,IF(T132=0,NA(),T132),calculateGibbsOfWater(M132,N132,$D$24,$D$20,$D$19=3)),NA())</f>
        <v>-54552.862690861664</v>
      </c>
      <c r="AF132" s="8">
        <f>IF(ISBLANK(Input!$X$4),NA(),'Reaction Information'!$E$13-'Reaction Information'!$G$13*(Calculations!O132-Calculations!$C$8)-'Reaction Information'!$N$13*(Calculations!O132*LN(Calculations!O132/Calculations!$C$8)-Calculations!O132+Calculations!$C$8)-'Reaction Information'!$O$13*10^4*(((1/(Calculations!O132-Calculations!$C$13))-(1/(Calculations!$C$8-Calculations!$C$13)))*((Calculations!$C$13-Calculations!O132)/(Calculations!$C$13))-(Calculations!O132/(Calculations!$C$13*Calculations!$C$13))*LN((Calculations!$C$8*(Calculations!O132-Calculations!$C$13))/(Calculations!O132*(Calculations!$C$8-Calculations!$C$13))))+'Reaction Information'!$J$13*10^-1*(Calculations!M132-Calculations!$C$9)+'Reaction Information'!$K$13*10^2*LN((Calculations!$C$12+Calculations!M132)/(Calculations!$C$12+Calculations!$C$9))+(1/(Calculations!O132-Calculations!$C$13))*('Reaction Information'!$L$13*(Calculations!M132-Calculations!$C$9)+'Reaction Information'!$M$13*10^4*LN((Calculations!$C$12+Calculations!M132)/(Calculations!$C$12+Calculations!$C$9)))+calculateOmega(Calculations!M132,Calculations!N132,Calculations!Q132,'Reaction Information'!$C$13,'Reaction Information'!$P$13*10^5,'Reaction Information'!$Q$13)*((1/Calculations!S132)-1)-'Reaction Information'!$P$13*10^5*((1/Calculations!$C$10)-1)+'Reaction Information'!$P$13*10^5*Calculations!$C$14*(Calculations!O132-Calculations!$C$8))</f>
        <v>-82740.733287320923</v>
      </c>
      <c r="AG132" s="8" t="e">
        <f>IF(ISBLANK(Input!$AA$4),NA(),'Reaction Information'!$E$17-'Reaction Information'!$G$17*(Calculations!$O132-Calculations!$C$8)-'Reaction Information'!$N$17*(Calculations!$O132*LN(Calculations!$O132/Calculations!$C$8)-Calculations!$O132+Calculations!$C$8)-'Reaction Information'!$O$17*10^4*(((1/(Calculations!$O132-Calculations!$C$13))-(1/(Calculations!$C$8-Calculations!$C$13)))*((Calculations!$C$13-Calculations!$O132)/(Calculations!$C$13))-(Calculations!$O132/(Calculations!$C$13*Calculations!$C$13))*LN((Calculations!$C$8*(Calculations!$O132-Calculations!$C$13))/(Calculations!$O132*(Calculations!$C$8-Calculations!$C$13))))+'Reaction Information'!$J$17*10^-1*(Calculations!$M132-Calculations!$C$9)+'Reaction Information'!$K$17*10^2*LN((Calculations!$C$12+Calculations!$M132)/(Calculations!$C$12+Calculations!$C$9))+(1/(Calculations!$O132-Calculations!$C$13))*('Reaction Information'!$L$17*(Calculations!$M132-Calculations!$C$9)+'Reaction Information'!$M$17*10^4*LN((Calculations!$C$12+Calculations!$M132)/(Calculations!$C$12+Calculations!$C$9)))+calculateOmega(Calculations!M132,Calculations!N132,Calculations!Q132,'Reaction Information'!$C$17,'Reaction Information'!$P$17*10^5,'Reaction Information'!$Q$17)*((1/Calculations!$S132)-1)-'Reaction Information'!$P$17*10^5*((1/Calculations!$C$10)-1)+'Reaction Information'!$P$17*10^5*Calculations!$C$14*(Calculations!$O132-Calculations!$C$8))</f>
        <v>#N/A</v>
      </c>
      <c r="AH132" s="8" t="e">
        <f>IF(ISBLANK(Input!$AD$4),NA(),'Reaction Information'!$E$21-'Reaction Information'!$G$21*(Calculations!$O132-Calculations!$C$8)-'Reaction Information'!$N$21*(Calculations!$O132*LN(Calculations!$O132/Calculations!$C$8)-Calculations!$O132+Calculations!$C$8)-'Reaction Information'!$O$21*10^4*(((1/(Calculations!$O132-Calculations!$C$13))-(1/(Calculations!$C$8-Calculations!$C$13)))*((Calculations!$C$13-Calculations!$O132)/(Calculations!$C$13))-(Calculations!$O132/(Calculations!$C$13*Calculations!$C$13))*LN((Calculations!$C$8*(Calculations!$O132-Calculations!$C$13))/(Calculations!$O132*(Calculations!$C$8-Calculations!$C$13))))+'Reaction Information'!$J$21*10^-1*(Calculations!$M132-Calculations!$C$9)+'Reaction Information'!$K$21*10^2*LN((Calculations!$C$12+Calculations!$M132)/(Calculations!$C$12+Calculations!$C$9))+(1/(Calculations!$O132-Calculations!$C$13))*('Reaction Information'!$L$21*(Calculations!$M132-Calculations!$C$9)+'Reaction Information'!$M$21*10^4*LN((Calculations!$C$12+Calculations!$M132)/(Calculations!$C$12+Calculations!$C$9)))+calculateOmega(Calculations!M132,Calculations!N132,Calculations!Q132,'Reaction Information'!$C$21,'Reaction Information'!$P$21*10^5,'Reaction Information'!$Q$21)*((1/Calculations!$S132)-1)-'Reaction Information'!$P$21*10^5*((1/Calculations!$C$10)-1)+'Reaction Information'!$P$21*10^5*Calculations!$C$14*(Calculations!$O132-Calculations!$C$8))</f>
        <v>#N/A</v>
      </c>
      <c r="AI132" s="8" t="e">
        <f>IF(ISBLANK(Input!$AG$4),NA(),'Reaction Information'!$E$25-'Reaction Information'!$G$25*(Calculations!$O132-Calculations!$C$8)-'Reaction Information'!$N$25*(Calculations!$O132*LN(Calculations!$O132/Calculations!$C$8)-Calculations!$O132+Calculations!$C$8)-'Reaction Information'!$O$25*10^4*(((1/(Calculations!$O132-Calculations!$C$13))-(1/(Calculations!$C$8-Calculations!$C$13)))*((Calculations!$C$13-Calculations!$O132)/(Calculations!$C$13))-(Calculations!$O132/(Calculations!$C$13*Calculations!$C$13))*LN((Calculations!$C$8*(Calculations!$O132-Calculations!$C$13))/(Calculations!$O132*(Calculations!$C$8-Calculations!$C$13))))+'Reaction Information'!$J$25*10^-1*(Calculations!$M132-Calculations!$C$9)+'Reaction Information'!$K$25*10^2*LN((Calculations!$C$12+Calculations!$M132)/(Calculations!$C$12+Calculations!$C$9))+(1/(Calculations!$O132-Calculations!$C$13))*('Reaction Information'!$L$25*(Calculations!$M132-Calculations!$C$9)+'Reaction Information'!$M$25*10^4*LN((Calculations!$C$12+Calculations!$M132)/(Calculations!$C$12+Calculations!$C$9)))+calculateOmega(Calculations!M132,Calculations!N132,Calculations!Q132,'Reaction Information'!$C$25,'Reaction Information'!$P$25*10^5,'Reaction Information'!$Q$25)*((1/Calculations!$S132)-1)-'Reaction Information'!$P$25*10^5*((1/Calculations!$C$10)-1)+'Reaction Information'!$P$25*10^5*Calculations!$C$14*(Calculations!$O132-Calculations!$C$8))</f>
        <v>#N/A</v>
      </c>
      <c r="AJ132" s="8" t="e">
        <f>IF(ISBLANK(Input!$AJ$4),NA(),'Reaction Information'!$E$29-'Reaction Information'!$G$29*(Calculations!$O132-Calculations!$C$8)-'Reaction Information'!$N$29*(Calculations!$O132*LN(Calculations!$O132/Calculations!$C$8)-Calculations!$O132+Calculations!$C$8)-'Reaction Information'!$O$29*10^4*(((1/(Calculations!$O132-Calculations!$C$13))-(1/(Calculations!$C$8-Calculations!$C$13)))*((Calculations!$C$13-Calculations!$O132)/(Calculations!$C$13))-(Calculations!$O132/(Calculations!$C$13*Calculations!$C$13))*LN((Calculations!$C$8*(Calculations!$O132-Calculations!$C$13))/(Calculations!$O132*(Calculations!$C$8-Calculations!$C$13))))+'Reaction Information'!$J$29*10^-1*(Calculations!$M132-Calculations!$C$9)+'Reaction Information'!$K$29*10^2*LN((Calculations!$C$12+Calculations!$M132)/(Calculations!$C$12+Calculations!$C$9))+(1/(Calculations!$O132-Calculations!$C$13))*('Reaction Information'!$L$29*(Calculations!$M132-Calculations!$C$9)+'Reaction Information'!$M$29*10^4*LN((Calculations!$C$12+Calculations!$M132)/(Calculations!$C$12+Calculations!$C$9)))+calculateOmega(Calculations!M132,Calculations!N132,Calculations!Q132,'Reaction Information'!$C$29,'Reaction Information'!$P$29*10^5,'Reaction Information'!$Q$29)*((1/Calculations!$S132)-1)-'Reaction Information'!$P$29*10^5*((1/Calculations!$C$10)-1)+'Reaction Information'!$P$29*10^5*Calculations!$C$14*(Calculations!$O132-Calculations!$C$8))</f>
        <v>#N/A</v>
      </c>
      <c r="AK132" s="8" t="e">
        <f>IF(ISBLANK(Input!$AM$4),NA(),'Reaction Information'!$E$33-'Reaction Information'!$G$33*(Calculations!$O132-Calculations!$C$8)-'Reaction Information'!$N$33*(Calculations!$O132*LN(Calculations!$O132/Calculations!$C$8)-Calculations!$O132+Calculations!$C$8)-'Reaction Information'!$O$33*10^4*(((1/(Calculations!$O132-Calculations!$C$13))-(1/(Calculations!$C$8-Calculations!$C$13)))*((Calculations!$C$13-Calculations!$O132)/(Calculations!$C$13))-(Calculations!$O132/(Calculations!$C$13*Calculations!$C$13))*LN((Calculations!$C$8*(Calculations!$O132-Calculations!$C$13))/(Calculations!$O132*(Calculations!$C$8-Calculations!$C$13))))+'Reaction Information'!$J$33*10^-1*(Calculations!$M132-Calculations!$C$9)+'Reaction Information'!$K$33*10^2*LN((Calculations!$C$12+Calculations!$M132)/(Calculations!$C$12+Calculations!$C$9))+(1/(Calculations!$O132-Calculations!$C$13))*('Reaction Information'!$L$33*(Calculations!$M132-Calculations!$C$9)+'Reaction Information'!$M$33*10^4*LN((Calculations!$C$12+Calculations!$M132)/(Calculations!$C$12+Calculations!$C$9)))+calculateOmega(Calculations!M132,Calculations!N132,Calculations!Q132,'Reaction Information'!$C$33,'Reaction Information'!$P$33*10^5,'Reaction Information'!$Q$33)*((1/Calculations!$S132)-1)-'Reaction Information'!$P$33*10^5*((1/Calculations!$C$10)-1)+'Reaction Information'!$P$33*10^5*Calculations!$C$14*(Calculations!$O132-Calculations!$C$8))</f>
        <v>#N/A</v>
      </c>
      <c r="AL132" s="1">
        <f>Results!S134</f>
        <v>0</v>
      </c>
      <c r="AM132" s="1">
        <f>Results!T134</f>
        <v>0</v>
      </c>
      <c r="AN132" s="1">
        <f>Results!U134</f>
        <v>0</v>
      </c>
      <c r="AO132" s="1">
        <f>Results!V134</f>
        <v>0</v>
      </c>
      <c r="AP132" s="8" t="e">
        <f>IF(ISBLANK(Input!$BB$4),NA(),'Reaction Information'!$E$38-'Reaction Information'!$G$38*(Calculations!$O132-Calculations!$C$8)+'Reaction Information'!$I$38*(Calculations!$O132-Calculations!$C$8-Calculations!$O132*LN(Calculations!$O132/Calculations!$C$8))+'Reaction Information'!$J$38*0.001/2*(2*Calculations!$O132*Calculations!$C$8-Calculations!$O132^2-Calculations!$C$8^2) + 'Reaction Information'!$K$38*100000*(Calculations!$O132^2 + Calculations!$C$8^2 - 2*Calculations!$O132*Calculations!$C$8)/(2*Calculations!$O132*Calculations!$C$8^2))</f>
        <v>#N/A</v>
      </c>
      <c r="AQ132" s="8" t="e">
        <f>IF(ISBLANK(Input!$BE$4),NA(),'Reaction Information'!$E$42-'Reaction Information'!$G$42*(Calculations!$O132-Calculations!$C$8)+'Reaction Information'!$I$42*(Calculations!$O132-Calculations!$C$8-Calculations!$O132*LN(Calculations!$O132/Calculations!$C$8))+'Reaction Information'!$J$42*0.001/2*(2*Calculations!$O132*Calculations!$C$8-Calculations!$O132^2-Calculations!$C$8^2) + 'Reaction Information'!$K$42*100000*(Calculations!$O132^2 + Calculations!$C$8^2 - 2*Calculations!$O132*Calculations!$C$8)/(2*Calculations!$O132*Calculations!$C$8^2))</f>
        <v>#N/A</v>
      </c>
      <c r="AR132" s="8" t="e">
        <f>IF(AR$5="H2O", IF($D$24=3,IF(T132=0,NA(),T132),calculateGibbsOfWater(M132,N132,$D$24,$D$20,$D$19=3)),NA())</f>
        <v>#N/A</v>
      </c>
      <c r="AS132" s="8">
        <f>IF(ISBLANK(Input!$BK$4),NA(),'Reaction Information'!$E$46-'Reaction Information'!$G$46*(Calculations!O132-Calculations!$C$8)-'Reaction Information'!$N$46*(Calculations!O132*LN(Calculations!O132/Calculations!$C$8)-Calculations!O132+Calculations!$C$8)-'Reaction Information'!$O$46*10^4*(((1/(Calculations!O132-Calculations!$C$13))-(1/(Calculations!$C$8-Calculations!$C$13)))*((Calculations!$C$13-Calculations!O132)/(Calculations!$C$13))-(Calculations!O132/(Calculations!$C$13*Calculations!$C$13))*LN((Calculations!$C$8*(Calculations!O132-Calculations!$C$13))/(Calculations!O132*(Calculations!$C$8-Calculations!$C$13))))+'Reaction Information'!$J$46*10^-1*(Calculations!$M132-Calculations!$C$9)+'Reaction Information'!$K$46*10^2*LN((Calculations!$C$12+Calculations!$M132)/(Calculations!$C$12+Calculations!$C$9))+(1/(Calculations!O132-Calculations!$C$13))*('Reaction Information'!$L$46*(Calculations!$M132-Calculations!$C$9)+'Reaction Information'!$M$46*10^4*LN((Calculations!$C$12+Calculations!$M132)/(Calculations!$C$12+Calculations!$C$9)))+calculateOmega(Calculations!M132,Calculations!N132,Calculations!Q132,'Reaction Information'!$C$46,'Reaction Information'!$P$46*10^5,'Reaction Information'!$Q$46)*((1/Calculations!S132)-1)-'Reaction Information'!$P$46*10^5*((1/Calculations!$C$10)-1)+'Reaction Information'!$P$46*10^5*Calculations!$C$14*(Calculations!O132-Calculations!$C$8))</f>
        <v>0</v>
      </c>
      <c r="AT132" s="8">
        <f>IF(ISBLANK(Input!$BN$4),NA(),'Reaction Information'!$E$50-'Reaction Information'!$G$50*(Calculations!O132-Calculations!$C$8)-'Reaction Information'!$N$50*(Calculations!O132*LN(Calculations!O132/Calculations!$C$8)-Calculations!O132+Calculations!$C$8)-'Reaction Information'!$O$50*10^4*(((1/(Calculations!O132-Calculations!$C$13))-(1/(Calculations!$C$8-Calculations!$C$13)))*((Calculations!$C$13-Calculations!O132)/(Calculations!$C$13))-(Calculations!O132/(Calculations!$C$13*Calculations!$C$13))*LN((Calculations!$C$8*(Calculations!O132-Calculations!$C$13))/(Calculations!O132*(Calculations!$C$8-Calculations!$C$13))))+'Reaction Information'!$J$50*10^-1*(Calculations!$M132-Calculations!$C$9)+'Reaction Information'!$K$50*10^2*LN((Calculations!$C$12+Calculations!$M132)/(Calculations!$C$12+Calculations!$C$9))+(1/(Calculations!O132-Calculations!$C$13))*('Reaction Information'!$L$50*(Calculations!$M132-Calculations!$C$9)+'Reaction Information'!$M$50*10^4*LN((Calculations!$C$12+Calculations!$M132)/(Calculations!$C$12+Calculations!$C$9)))+calculateOmega(Calculations!M132,Calculations!N132,Calculations!Q132,'Reaction Information'!$C$50,'Reaction Information'!$P$50*10^5,'Reaction Information'!$Q$50)*((1/Calculations!S132)-1)-'Reaction Information'!$P$50*10^5*((1/Calculations!$C$10)-1)+'Reaction Information'!$P$50*10^5*Calculations!$C$14*(Calculations!O132-Calculations!$C$8))</f>
        <v>-124454.6206138944</v>
      </c>
      <c r="AU132" s="8" t="e">
        <f>IF(ISBLANK(Input!$BQ$4),NA(),'Reaction Information'!$E$54-'Reaction Information'!$G$54*(Calculations!$O132-Calculations!$C$8)-'Reaction Information'!$N$54*(Calculations!$O132*LN(Calculations!$O132/Calculations!$C$8)-Calculations!$O132+Calculations!$C$8)-'Reaction Information'!$O$54*10^4*(((1/(Calculations!$O132-Calculations!$C$13))-(1/(Calculations!$C$8-Calculations!$C$13)))*((Calculations!$C$13-Calculations!$O132)/(Calculations!$C$13))-(Calculations!$O132/(Calculations!$C$13*Calculations!$C$13))*LN((Calculations!$C$8*(Calculations!$O132-Calculations!$C$13))/(Calculations!$O132*(Calculations!$C$8-Calculations!$C$13))))+'Reaction Information'!$J$54*10^-1*(Calculations!$M132-Calculations!$C$9)+'Reaction Information'!$K$54*10^2*LN((Calculations!$C$12+Calculations!$M132)/(Calculations!$C$12+Calculations!$C$9))+(1/(Calculations!$O132-Calculations!$C$13))*('Reaction Information'!$L$54*(Calculations!$M132-Calculations!$C$9)+'Reaction Information'!$M$54*10^4*LN((Calculations!$C$12+Calculations!$M132)/(Calculations!$C$12+Calculations!$C$9)))+calculateOmega(Calculations!M132,Calculations!N132,Calculations!Q132,'Reaction Information'!$C$54,'Reaction Information'!$P$54*10^5,'Reaction Information'!$Q$54)*((1/Calculations!$S132)-1)-'Reaction Information'!$P$54*10^5*((1/Calculations!$C$10)-1)+'Reaction Information'!$P$54*10^5*Calculations!$C$14*(Calculations!$O132-Calculations!$C$8))</f>
        <v>#N/A</v>
      </c>
      <c r="AV132" s="8" t="e">
        <f>IF(ISBLANK(Input!$BT$4),NA(),'Reaction Information'!$E$58-'Reaction Information'!$G$58*(Calculations!$O132-Calculations!$C$8)-'Reaction Information'!$N$58*(Calculations!$O132*LN(Calculations!$O132/Calculations!$C$8)-Calculations!$O132+Calculations!$C$8)-'Reaction Information'!$O$58*10^4*(((1/(Calculations!$O132-Calculations!$C$13))-(1/(Calculations!$C$8-Calculations!$C$13)))*((Calculations!$C$13-Calculations!$O132)/(Calculations!$C$13))-(Calculations!$O132/(Calculations!$C$13*Calculations!$C$13))*LN((Calculations!$C$8*(Calculations!$O132-Calculations!$C$13))/(Calculations!$O132*(Calculations!$C$8-Calculations!$C$13))))+'Reaction Information'!$J$58*10^-1*(Calculations!$M132-Calculations!$C$9)+'Reaction Information'!$K$58*10^2*LN((Calculations!$C$12+Calculations!$M132)/(Calculations!$C$12+Calculations!$C$9))+(1/(Calculations!$O132-Calculations!$C$13))*('Reaction Information'!$L$58*(Calculations!$M132-Calculations!$C$9)+'Reaction Information'!$M$58*10^4*LN((Calculations!$C$12+Calculations!$M132)/(Calculations!$C$12+Calculations!$C$9)))+calculateOmega(Calculations!M132,Calculations!N132,Calculations!Q132,'Reaction Information'!$C$58,'Reaction Information'!$P$58*10^5,'Reaction Information'!$Q$58)*((1/Calculations!$S132)-1)-'Reaction Information'!$P$58*10^5*((1/Calculations!$C$10)-1)+'Reaction Information'!$P$58*10^5*Calculations!$C$14*(Calculations!$O132-Calculations!$C$8))</f>
        <v>#N/A</v>
      </c>
      <c r="AW132" s="8" t="e">
        <f>IF(ISBLANK(Input!$BW$4),NA(),'Reaction Information'!$E$62-'Reaction Information'!$G$62*(Calculations!$O132-Calculations!$C$8)-'Reaction Information'!$N$62*(Calculations!$O132*LN(Calculations!$O132/Calculations!$C$8)-Calculations!$O132+Calculations!$C$8)-'Reaction Information'!$O$62*10^4*(((1/(Calculations!$O132-Calculations!$C$13))-(1/(Calculations!$C$8-Calculations!$C$13)))*((Calculations!$C$13-Calculations!$O132)/(Calculations!$C$13))-(Calculations!$O132/(Calculations!$C$13*Calculations!$C$13))*LN((Calculations!$C$8*(Calculations!$O132-Calculations!$C$13))/(Calculations!$O132*(Calculations!$C$8-Calculations!$C$13))))+'Reaction Information'!$J$62*10^-1*(Calculations!$M132-Calculations!$C$9)+'Reaction Information'!$K$62*10^2*LN((Calculations!$C$12+Calculations!$M132)/(Calculations!$C$12+Calculations!$C$9))+(1/(Calculations!$O132-Calculations!$C$13))*('Reaction Information'!$L$62*(Calculations!$M132-Calculations!$C$9)+'Reaction Information'!$M$62*10^4*LN((Calculations!$C$12+Calculations!$M132)/(Calculations!$C$12+Calculations!$C$9)))+calculateOmega(Calculations!M132,Calculations!N132,Calculations!Q132,'Reaction Information'!$C$62,'Reaction Information'!$P$62*10^5,'Reaction Information'!$Q$62)*((1/Calculations!$S132)-1)-'Reaction Information'!$P$62*10^5*((1/Calculations!$C$10)-1)+'Reaction Information'!$P$62*10^5*Calculations!$C$14*(Calculations!$O132-Calculations!$C$8))</f>
        <v>#N/A</v>
      </c>
      <c r="AX132" s="8" t="e">
        <f>IF(ISBLANK(Input!$BZ$4),NA(),'Reaction Information'!$E$66-'Reaction Information'!$G$66*(Calculations!$O132-Calculations!$C$8)-'Reaction Information'!$N$66*(Calculations!$O132*LN(Calculations!$O132/Calculations!$C$8)-Calculations!$O132+Calculations!$C$8)-'Reaction Information'!$O$66*10^4*(((1/(Calculations!$O132-Calculations!$C$13))-(1/(Calculations!$C$8-Calculations!$C$13)))*((Calculations!$C$13-Calculations!$O132)/(Calculations!$C$13))-(Calculations!$O132/(Calculations!$C$13*Calculations!$C$13))*LN((Calculations!$C$8*(Calculations!$O132-Calculations!$C$13))/(Calculations!$O132*(Calculations!$C$8-Calculations!$C$13))))+'Reaction Information'!$J$66*10^-1*(Calculations!$M132-Calculations!$C$9)+'Reaction Information'!$K$66*10^2*LN((Calculations!$C$12+Calculations!$M132)/(Calculations!$C$12+Calculations!$C$9))+(1/(Calculations!$O132-Calculations!$C$13))*('Reaction Information'!$L$66*(Calculations!$M132-Calculations!$C$9)+'Reaction Information'!$M$66*10^4*LN((Calculations!$C$12+Calculations!$M132)/(Calculations!$C$12+Calculations!$C$9)))+calculateOmega(Calculations!M132,Calculations!N132,Calculations!Q132,'Reaction Information'!$C$66,'Reaction Information'!$P$66*10^5,'Reaction Information'!$Q$66)*((1/Calculations!$S132)-1)-'Reaction Information'!$P$66*10^5*((1/Calculations!$C$10)-1)+'Reaction Information'!$P$66*10^5*Calculations!$C$14*(Calculations!$O132-Calculations!$C$8))</f>
        <v>#N/A</v>
      </c>
      <c r="AY132" s="31">
        <f>(AL132*Input!$AO$4+AM132*Input!$AR$4+AN132*Input!$AU$4+AO132*Input!$AX$4+IF(ISNA(AP132),0,AP132*Input!$BA$4)+IF(ISNA(AQ132),0,AQ132*Input!$BD$4)+IF(ISNA(AR132),0,AR132*Input!$BG$4)+IF(ISNA(AS132),0,AS132*Input!$BJ$4)+IF(ISNA(AT132),0,AT132*Input!$BM$4)+IF(ISNA(AU132),0,AU132*Input!$BP$4)+IF(ISNA(AV132),0,AV132*Input!$BS$4)+IF(ISNA(AW132),0,AW132*Input!$BV$4)+IF(ISNA(AX132),0,AX132*Input!$BY$4))-(Y132*Input!$B$4+Z132*Input!$E$4+AA132*Input!$H$4+AB132*Input!$K$4+IF(ISNA(AC132),0,AC132*Input!$N$4)+IF(ISNA(AD132),0,AD132*Input!$Q$4)+IF(ISNA(AE132),0,AE132*Input!$T$4)+IF(ISNA(AF132),0,AF132*Input!$W$4)+IF(ISNA(AG132),0,AG132*Input!$Z$4)+IF(ISNA(AH132),0,AH132*Input!$AC$4)+IF(ISNA(AI132),0,AI132*Input!$AF$4)+IF(ISNA(AJ132),0,AJ132*Input!$AI$4)+IF(ISNA(AK132),0,AK132*Input!$AL$4))</f>
        <v>12838.975364288199</v>
      </c>
      <c r="AZ132" s="42">
        <f t="shared" si="35"/>
        <v>-3.2156841183144249</v>
      </c>
      <c r="BA132" s="1">
        <f t="shared" si="27"/>
        <v>600</v>
      </c>
      <c r="BB132" s="46">
        <f t="shared" si="28"/>
        <v>45000</v>
      </c>
      <c r="BC132" s="1"/>
      <c r="BD132" s="2">
        <f t="shared" si="29"/>
        <v>45000</v>
      </c>
      <c r="BE132" s="46">
        <f t="shared" si="30"/>
        <v>600</v>
      </c>
      <c r="BF132" s="1">
        <f>Results!AJ134</f>
        <v>0</v>
      </c>
      <c r="BG132" s="1">
        <f>Results!AK134</f>
        <v>0</v>
      </c>
      <c r="BH132" s="1">
        <f>Results!AL134</f>
        <v>0</v>
      </c>
      <c r="BI132" s="1">
        <f>Results!AM134</f>
        <v>0</v>
      </c>
      <c r="BJ132" s="1" t="e">
        <f>IF(OR(ISNA('Reaction Information'!$D$5), $N132 = "", $D$27 = FALSE, 'Reaction Information'!$D$5 = ""), NA(), 24.465)</f>
        <v>#N/A</v>
      </c>
      <c r="BK132" s="1" t="e">
        <f>IF(OR(ISNA('Reaction Information'!$D$9), $N132 = "", $D$27 = FALSE, 'Reaction Information'!$D$9 = ""), NA(), 24.465)</f>
        <v>#N/A</v>
      </c>
      <c r="BL132" s="8">
        <f t="shared" si="36"/>
        <v>13.29134957694335</v>
      </c>
      <c r="BM132" s="8">
        <f>IF(OR(ISBLANK(Input!$X$4),$D$27=FALSE),NA(),('Reaction Information'!$J$13/10+'Reaction Information'!$K$13*100/(Calculations!$C$12+Calculations!$M132)+('Reaction Information'!$L$13+'Reaction Information'!$M$13*10^4/(Calculations!$C$12+Calculations!$M132))/(Calculations!$O132-Calculations!$C$13) -calculateOmega(Calculations!$M132,Calculations!$N132,Calculations!$Q132,'Reaction Information'!$C$13,'Reaction Information'!$P$13*10^5,'Reaction Information'!$Q$13)*Calculations!$U132*10^-6 + (1/$S132 - 1)*calculate_domegadP(Calculations!$M132,Calculations!$N132,Calculations!$Q132,'Reaction Information'!$C$13,'Reaction Information'!$P$13*10^5,'Reaction Information'!$Q$13,$D$20,$D$19=3))*41.84)</f>
        <v>29.980656680339795</v>
      </c>
      <c r="BN132" s="8" t="e">
        <f>IF(OR(ISBLANK(Input!$AA$4),$D$27=FALSE),NA(),('Reaction Information'!$J$17/10+'Reaction Information'!$K$17*100/(Calculations!$C$12+Calculations!$M132)+('Reaction Information'!$L$17+'Reaction Information'!$M$17*10000/(Calculations!$C$12+Calculations!$M132))/(Calculations!$O132-Calculations!$C$13)-calculateOmega(Calculations!M132,Calculations!N132,Calculations!Q132,'Reaction Information'!$C$17,'Reaction Information'!$P$17*10^5,'Reaction Information'!$Q$17)*Calculations!$U132*10^-6 + (1/$S132 - 1)*calculate_domegadP(Calculations!M132,Calculations!N132,Calculations!Q132,'Reaction Information'!$C$17,'Reaction Information'!$P$17*10^5,'Reaction Information'!$Q$17,$D$20,$D$19=3))*41.84)</f>
        <v>#N/A</v>
      </c>
      <c r="BO132" s="8" t="e">
        <f>IF(OR(ISBLANK(Input!$AD$4),$D$27=FALSE),NA(),('Reaction Information'!$J$21/10+'Reaction Information'!$K$21*100/(Calculations!$C$12+Calculations!$M132)+('Reaction Information'!$L$21+'Reaction Information'!$M$21*10000/(Calculations!$C$12+Calculations!$M132))/(Calculations!$O132-Calculations!$C$13)-calculateOmega(Calculations!M132,Calculations!N132,Calculations!Q132,'Reaction Information'!$C$21,'Reaction Information'!$P$21*10^5,'Reaction Information'!$Q$21)*Calculations!$U132*10^-6 + (1/$S132 - 1)*calculate_domegadP(Calculations!M132,Calculations!N132,Calculations!Q132,'Reaction Information'!$C$21,'Reaction Information'!$P$21*10^5,'Reaction Information'!$Q$21,$D$20,$D$19=3))*41.84)</f>
        <v>#N/A</v>
      </c>
      <c r="BP132" s="8" t="e">
        <f>IF(OR(ISBLANK(Input!$AG$4),$D$27=FALSE),NA(),('Reaction Information'!$J$25/10+'Reaction Information'!$K$25*100/(Calculations!$C$12+Calculations!$M132)+('Reaction Information'!$L$25+'Reaction Information'!$M$25*10000/(Calculations!$C$12+Calculations!$M132))/(Calculations!$O132-Calculations!$C$13)-calculateOmega(Calculations!M132,Calculations!N132,Calculations!Q132,'Reaction Information'!$C$25,'Reaction Information'!$P$25*10^5,'Reaction Information'!$Q$25)*Calculations!$U132*10^-6 + (1/$S132 - 1)*calculate_domegadP(Calculations!M132,Calculations!N132,Calculations!Q132,'Reaction Information'!$C$25,'Reaction Information'!$P$25*10^5,'Reaction Information'!$Q$25,$D$20,$D$19=3))*41.84)</f>
        <v>#N/A</v>
      </c>
      <c r="BQ132" s="8" t="e">
        <f>IF(OR(ISBLANK(Input!$AJ$4),$D$27=FALSE),NA(),('Reaction Information'!$J$29/10+'Reaction Information'!$K$29*100/(Calculations!$C$12+Calculations!$M132)+('Reaction Information'!$L$29+'Reaction Information'!$M$29*10000/(Calculations!$C$12+Calculations!$M132))/(Calculations!$O132-Calculations!$C$13)-calculateOmega(Calculations!M132,Calculations!N132,Calculations!Q132,'Reaction Information'!$C$29,'Reaction Information'!$P$29*10^5,'Reaction Information'!$Q$29)*Calculations!$U132*10^-6 + (1/$S132 - 1)*calculate_domegadP(Calculations!M132,Calculations!N132,Calculations!Q132,'Reaction Information'!$C$29,'Reaction Information'!$P$29*10^5,'Reaction Information'!$Q$29,$D$20,$D$19=3))*41.84)</f>
        <v>#N/A</v>
      </c>
      <c r="BR132" s="8" t="e">
        <f>IF(OR(ISBLANK(Input!$AM$4),$D$27=FALSE),NA(),('Reaction Information'!$J$33/10+'Reaction Information'!$K$33*100/(Calculations!$C$12+Calculations!$M132)+('Reaction Information'!$L$33+'Reaction Information'!$M$33*10000/(Calculations!$C$12+Calculations!$M132))/(Calculations!$O132-Calculations!$C$13)-calculateOmega(Calculations!M132,Calculations!N132,Calculations!Q132,'Reaction Information'!$C$33,'Reaction Information'!$P$33*10^5,'Reaction Information'!$Q$33)*Calculations!$U132*10^-6 + (1/$S132 - 1)*calculate_domegadP(Calculations!M132,Calculations!N132,Calculations!Q132,'Reaction Information'!$C$33,'Reaction Information'!$P$33*10^5,'Reaction Information'!$Q$33,$D$20,$D$19=3))*41.84)</f>
        <v>#N/A</v>
      </c>
      <c r="BS132" s="1">
        <f>Results!AW134</f>
        <v>0</v>
      </c>
      <c r="BT132" s="1">
        <f>Results!AX134</f>
        <v>0</v>
      </c>
      <c r="BU132" s="1">
        <f>Results!AY134</f>
        <v>0</v>
      </c>
      <c r="BV132" s="1">
        <f>Results!AZ134</f>
        <v>0</v>
      </c>
      <c r="BW132" s="1" t="e">
        <f>IF(OR(ISNA('Reaction Information'!$D$38), $N132 = "", $D$27 = FALSE, 'Reaction Information'!$D$38 = ""), NA(), 24.465)</f>
        <v>#N/A</v>
      </c>
      <c r="BX132" s="1" t="e">
        <f>IF(OR(ISNA('Reaction Information'!$D$42), $N132 = "", $D$27 = FALSE, 'Reaction Information'!$D$42 = ""), NA(), 24.465)</f>
        <v>#N/A</v>
      </c>
      <c r="BY132" s="8" t="e">
        <f t="shared" si="37"/>
        <v>#N/A</v>
      </c>
      <c r="BZ132" s="8">
        <f>IF(OR(ISBLANK(Input!$BK$4),$D$27=FALSE),NA(),('Reaction Information'!$J$46/10+'Reaction Information'!$K$46*100/(Calculations!$C$12+Calculations!$M132)+('Reaction Information'!$L$46+'Reaction Information'!$M$46*10000/(Calculations!$C$12+Calculations!$M132))/(Calculations!$O132-Calculations!$C$13)-calculateOmega(Calculations!M132,Calculations!N132,Calculations!Q132,'Reaction Information'!$C$46,'Reaction Information'!$P$46*10^5,'Reaction Information'!$Q$46)*Calculations!$U132*10^-6 + (1/$S132 - 1)*calculate_domegadP(Calculations!M132,Calculations!N132,Calculations!Q132,'Reaction Information'!$C$46,'Reaction Information'!$P$46*10^5,'Reaction Information'!$Q$46,$D$20,$D$19=3))*41.84)</f>
        <v>0</v>
      </c>
      <c r="CA132" s="8">
        <f>IF(OR(ISBLANK(Input!$BN$4),$D$27=FALSE),NA(),('Reaction Information'!$J$50/10+'Reaction Information'!$K$50*100/(Calculations!$C$12+Calculations!$M132)+('Reaction Information'!$L$50+'Reaction Information'!$M$50*10000/(Calculations!$C$12+Calculations!$M132))/(Calculations!$O132-Calculations!$C$13)-calculateOmega(Calculations!M132,Calculations!N132,Calculations!Q132,'Reaction Information'!$C$50,'Reaction Information'!$P$50*10^5,'Reaction Information'!$Q$50)*Calculations!$U132*10^-6 + (1/$S132 - 1)*calculate_domegadP(Calculations!M132,Calculations!N132,Calculations!Q132,'Reaction Information'!$C$50,'Reaction Information'!$P$50*10^5,'Reaction Information'!$Q$50,$D$20,$D$19=3))*41.84)</f>
        <v>31.302164194860154</v>
      </c>
      <c r="CB132" s="8" t="e">
        <f>IF(OR(ISBLANK(Input!$BQ$4),$D$27=FALSE),NA(),('Reaction Information'!$J$54/10+'Reaction Information'!$K$54*100/(Calculations!$C$12+Calculations!$M132)+('Reaction Information'!$L$54+'Reaction Information'!$M$54*10000/(Calculations!$C$12+Calculations!$M132))/(Calculations!$O132-Calculations!$C$13)-calculateOmega(Calculations!M132,Calculations!N132,Calculations!Q132,'Reaction Information'!$C$54,'Reaction Information'!$P$54*10^5,'Reaction Information'!$Q$54)*Calculations!$U132*10^-6 + (1/$S132 - 1)*calculate_domegadP(Calculations!M132,Calculations!N132,Calculations!Q132,'Reaction Information'!$C$54,'Reaction Information'!$P$54*10^5,'Reaction Information'!$Q$54,$D$20,$D$19=3))*41.84)</f>
        <v>#N/A</v>
      </c>
      <c r="CC132" s="8" t="e">
        <f>IF(OR(ISBLANK(Input!$BT$4),$D$27=FALSE),NA(),('Reaction Information'!$J$58/10+'Reaction Information'!$K$58*100/(Calculations!$C$12+Calculations!$M132)+('Reaction Information'!$L$58+'Reaction Information'!$M$58*10000/(Calculations!$C$12+Calculations!$M132))/(Calculations!$O132-Calculations!$C$13)-calculateOmega(Calculations!M132,Calculations!N132,Calculations!Q132,'Reaction Information'!$C$58,'Reaction Information'!$P$58*10^5,'Reaction Information'!$Q$58)*Calculations!$U132*10^-6 + (1/$S132 - 1)*calculate_domegadP(Calculations!M132,Calculations!N132,Calculations!Q132,'Reaction Information'!$C$58,'Reaction Information'!$P$58*10^5,'Reaction Information'!$Q$58,$D$20,$D$19=3))*41.84)</f>
        <v>#N/A</v>
      </c>
      <c r="CD132" s="8" t="e">
        <f>IF(OR(ISBLANK(Input!$BW$4),$D$27=FALSE),NA(),('Reaction Information'!$J$62/10+'Reaction Information'!$K$62*100/(Calculations!$C$12+Calculations!$M132)+('Reaction Information'!$L$62+'Reaction Information'!$M$62*10000/(Calculations!$C$12+Calculations!$M132))/(Calculations!$O132-Calculations!$C$13)-calculateOmega(Calculations!M132,Calculations!N132,Calculations!Q132,'Reaction Information'!$C$62,'Reaction Information'!$P$62*10^5,'Reaction Information'!$Q$62)*Calculations!$U132*10^-6 + (1/$S132 - 1)*calculate_domegadP(Calculations!M132,Calculations!N132,Calculations!Q132,'Reaction Information'!$C$62,'Reaction Information'!$P$62*10^5,'Reaction Information'!$Q$62,$D$20,$D$19=3))*41.84)</f>
        <v>#N/A</v>
      </c>
      <c r="CE132" s="8" t="e">
        <f>IF(OR(ISBLANK(Input!$BZ$4),$D$27=FALSE),NA(),('Reaction Information'!$J$66/10+'Reaction Information'!$K$66*100/(Calculations!$C$12+Calculations!$M132)+('Reaction Information'!$L$66+'Reaction Information'!$M$66*10000/(Calculations!$C$12+Calculations!$M132))/(Calculations!$O132-Calculations!$C$13)-calculateOmega(Calculations!M132,Calculations!N132,Calculations!Q132,'Reaction Information'!$C$66,'Reaction Information'!$P$66*10^5,'Reaction Information'!$Q$66)*Calculations!$U132*10^-6 + (1/$S132 - 1)*calculate_domegadP(Calculations!M132,Calculations!N132,Calculations!Q132,'Reaction Information'!$C$66,'Reaction Information'!$P$66*10^5,'Reaction Information'!$Q$66,$D$20,$D$19=3))*41.84)</f>
        <v>#N/A</v>
      </c>
      <c r="CF132" s="31">
        <f>(BS132*Input!$AO$4+BT132*Input!$AR$4+BU132*Input!$AU$4+BV132*Input!$AX$4+IF(ISNA(BW132),0,BW132*Input!$BA$4)+IF(ISNA(BX132),0,BX132*Input!$BD$4)+IF(ISNA(BY132),0,BY132*Input!$BG$4)+IF(ISNA(BZ132),0,BZ132*Input!$BJ$4)+IF(ISNA(CA132),0,CA132*Input!$BM$4)+IF(ISNA(CB132),0,CB132*Input!$BP$4)+IF(ISNA(CC132),0,CC132*Input!$BS$4)+IF(ISNA(CD132),0,CD132*Input!$BV$4)+IF(ISNA(CE132),0,CE132*Input!$BY$4))-(BF132*Input!$B$4+BG132*Input!$E$4+BH132*Input!$H$4+BI132*Input!$K$4+IF(ISNA(BJ132),0,BJ132*Input!$N$4)+IF(ISNA(BK132),0,BK132*Input!$Q$4)+IF(ISNA(BL132),0,BL132*Input!$T$4)+IF(ISNA(BM132),0,BM132*Input!$W$4)+IF(ISNA(BN132),0,BN132*Input!$Z$4)+IF(ISNA(BO132),0,BO132*Input!$AC$4)+IF(ISNA(BP132),0,BP132*Input!$AF$4)+IF(ISNA(BQ132),0,BQ132*Input!$AI$4)+IF(ISNA(BR132),0,BR132*Input!$AL$4))</f>
        <v>-11.969842062422991</v>
      </c>
      <c r="CG132" s="1">
        <f t="shared" si="31"/>
        <v>600</v>
      </c>
      <c r="CH132" s="46">
        <f t="shared" si="32"/>
        <v>45000</v>
      </c>
      <c r="CI132" s="1"/>
    </row>
    <row r="133" spans="1:87" x14ac:dyDescent="0.2">
      <c r="A133" s="1"/>
      <c r="B133" s="1"/>
      <c r="C133" s="1"/>
      <c r="D133" s="1"/>
      <c r="E133" s="1"/>
      <c r="F133" s="2">
        <v>128</v>
      </c>
      <c r="G133" s="1" t="str">
        <f>IF(ISBLANK(Input!CB133), "", Input!CB133*1000)</f>
        <v/>
      </c>
      <c r="H133" s="1" t="str">
        <f>IF(ISBLANK(Input!CC133), "", Input!CC133)</f>
        <v/>
      </c>
      <c r="I133" s="1">
        <f>IF(Input!$CF$5 + Input!$CF$6*(FLOOR((Calculations!$F133-1)/(FLOOR((Input!$CF$12-Input!$CF$10)/Input!$CF$11,1)+1),1)) &gt; Input!$CF$7, "", (Input!$CF$5 + Input!$CF$6*(FLOOR((Calculations!$F133-1)/(FLOOR((Input!$CF$12-Input!$CF$10)/Input!$CF$11,1)+1),1)))*1000)</f>
        <v>45000</v>
      </c>
      <c r="J133" s="1">
        <f>IF(Calculations!I133 = "", "", Input!$CF$10 + Input!$CF$11*(Calculations!$F133-1) - (FLOOR((Input!$CF$12-Input!$CF$10)/Input!$CF$11,1)+1)*Input!$CF$11*FLOOR((Calculations!$F133-1)/(FLOOR((Input!$CF$12-Input!$CF$10)/Input!$CF$11,1)+1),1))</f>
        <v>650</v>
      </c>
      <c r="K133" s="8" t="str">
        <f t="shared" si="33"/>
        <v/>
      </c>
      <c r="L133" s="117" t="str">
        <f>IF(OR(Input!$CJ$5 + Input!$CJ$6*(Calculations!F133-1) &gt; Input!$CJ$7, Input!$CJ$5 + Input!$CJ$6*(Calculations!F133-1) &gt; 350), "", Input!$CJ$5 + Input!$CJ$6*(Calculations!F133-1))</f>
        <v/>
      </c>
      <c r="M133" s="1">
        <f t="shared" si="23"/>
        <v>45000</v>
      </c>
      <c r="N133" s="1">
        <f t="shared" si="24"/>
        <v>650</v>
      </c>
      <c r="O133" s="1">
        <f t="shared" si="34"/>
        <v>923.15</v>
      </c>
      <c r="P133" s="1" t="e">
        <f>IF(OR($D$20=3,AND($D$21=TRUE,M133&lt;1000)),INDEX('Water Density'!$C$6:$CX$120,MATCH(Calculations!N133,'Water Density'!$B$6:$B$120),MATCH(Calculations!M133/1000,'Water Density'!$C$5:$CX$5)),NA())</f>
        <v>#N/A</v>
      </c>
      <c r="Q133" s="182">
        <f>IF(OR($D$20=3,AND($D$21=TRUE,M133&lt;1000)), IF(P133&lt;&gt;0,P133,NA()), calculateDensity(M133,N133,$D$20,0.01,$D$19 = 3))</f>
        <v>1.3417911664479973</v>
      </c>
      <c r="R133" s="1" t="e">
        <f>IF($D$22=5,INDEX('Dielectric Constant'!$C$6:$CX$120,MATCH(Calculations!N133,'Dielectric Constant'!$B$6:$B$120),MATCH(Calculations!M133/1000,'Dielectric Constant'!$C$5:$CX$5)),NA())</f>
        <v>#N/A</v>
      </c>
      <c r="S133" s="58">
        <f>IF($D$22=5, IF(R133&lt;&gt;0,R133,NA()), IF(AND($D$23,M133&lt;=5000,$D$19 &lt;&gt; 3),calculateEpsilon(Q133,N133,1,FALSE),calculateEpsilon(Q133,N133,$D$22,$D$19 = 3)))</f>
        <v>29.227313849656689</v>
      </c>
      <c r="T133" s="1" t="e">
        <f>IF($D$24=3,INDEX('Water Free Energy'!$C$6:$CX$120,MATCH(Calculations!N133,'Water Free Energy'!$B$6:$B$120),MATCH(Calculations!M133/1000,'Water Free Energy'!$C$5:$CX$5)),NA())</f>
        <v>#N/A</v>
      </c>
      <c r="U133" s="179">
        <f>IF($D$27,calculateQ(M133,N133,Q133,$D$20,$D$22,$D$19=3)*10^6,NA())</f>
        <v>0.15890755205829393</v>
      </c>
      <c r="V133"/>
      <c r="W133" s="2">
        <f t="shared" si="25"/>
        <v>45000</v>
      </c>
      <c r="X133" s="1">
        <f t="shared" si="26"/>
        <v>650</v>
      </c>
      <c r="Y133" s="1">
        <f>Results!F135</f>
        <v>0</v>
      </c>
      <c r="Z133" s="1">
        <f>Results!G135</f>
        <v>0</v>
      </c>
      <c r="AA133" s="1">
        <f>Results!H135</f>
        <v>0</v>
      </c>
      <c r="AB133" s="1">
        <f>Results!I135</f>
        <v>0</v>
      </c>
      <c r="AC133" s="1" t="e">
        <f>IF(ISBLANK(Input!$O$4),NA(),'Reaction Information'!$E$5-'Reaction Information'!$G$5*(Calculations!$O133-Calculations!$C$8)+'Reaction Information'!$I$5*(Calculations!$O133-Calculations!$C$8-Calculations!$O133*LN(Calculations!$O133/Calculations!$C$8))+'Reaction Information'!$J$5*0.001/2*(2*Calculations!$O133*Calculations!$C$8-Calculations!$O133^2-Calculations!$C$8^2) + 'Reaction Information'!$K$5*100000*(Calculations!$O133^2 + Calculations!$C$8^2 - 2*Calculations!$O133*Calculations!$C$8)/(2*Calculations!$O133*Calculations!$C$8^2))</f>
        <v>#N/A</v>
      </c>
      <c r="AD133" s="8" t="e">
        <f>IF(ISBLANK(Input!$R$4),NA(),'Reaction Information'!$E$9-'Reaction Information'!$G$9*(Calculations!$O133-Calculations!$C$8)+'Reaction Information'!$I$9*(Calculations!$O133-Calculations!$C$8-Calculations!$O133*LN(Calculations!$O133/Calculations!$C$8))+'Reaction Information'!$J$9*0.001/2*(2*Calculations!$O133*Calculations!$C$8-Calculations!$O133^2-Calculations!$C$8^2) + 'Reaction Information'!$K$9*100000*(Calculations!$O133^2 + Calculations!$C$8^2 - 2*Calculations!$O133*Calculations!$C$8)/(2*Calculations!$O133*Calculations!$C$8^2))</f>
        <v>#N/A</v>
      </c>
      <c r="AE133" s="8">
        <f>IF(AE$5="H2O",IF($D$24=3,IF(T133=0,NA(),T133),calculateGibbsOfWater(M133,N133,$D$24,$D$20,$D$19=3)),NA())</f>
        <v>-55949.735870890261</v>
      </c>
      <c r="AF133" s="8">
        <f>IF(ISBLANK(Input!$X$4),NA(),'Reaction Information'!$E$13-'Reaction Information'!$G$13*(Calculations!O133-Calculations!$C$8)-'Reaction Information'!$N$13*(Calculations!O133*LN(Calculations!O133/Calculations!$C$8)-Calculations!O133+Calculations!$C$8)-'Reaction Information'!$O$13*10^4*(((1/(Calculations!O133-Calculations!$C$13))-(1/(Calculations!$C$8-Calculations!$C$13)))*((Calculations!$C$13-Calculations!O133)/(Calculations!$C$13))-(Calculations!O133/(Calculations!$C$13*Calculations!$C$13))*LN((Calculations!$C$8*(Calculations!O133-Calculations!$C$13))/(Calculations!O133*(Calculations!$C$8-Calculations!$C$13))))+'Reaction Information'!$J$13*10^-1*(Calculations!M133-Calculations!$C$9)+'Reaction Information'!$K$13*10^2*LN((Calculations!$C$12+Calculations!M133)/(Calculations!$C$12+Calculations!$C$9))+(1/(Calculations!O133-Calculations!$C$13))*('Reaction Information'!$L$13*(Calculations!M133-Calculations!$C$9)+'Reaction Information'!$M$13*10^4*LN((Calculations!$C$12+Calculations!M133)/(Calculations!$C$12+Calculations!$C$9)))+calculateOmega(Calculations!M133,Calculations!N133,Calculations!Q133,'Reaction Information'!$C$13,'Reaction Information'!$P$13*10^5,'Reaction Information'!$Q$13)*((1/Calculations!S133)-1)-'Reaction Information'!$P$13*10^5*((1/Calculations!$C$10)-1)+'Reaction Information'!$P$13*10^5*Calculations!$C$14*(Calculations!O133-Calculations!$C$8))</f>
        <v>-85028.038711153902</v>
      </c>
      <c r="AG133" s="8" t="e">
        <f>IF(ISBLANK(Input!$AA$4),NA(),'Reaction Information'!$E$17-'Reaction Information'!$G$17*(Calculations!$O133-Calculations!$C$8)-'Reaction Information'!$N$17*(Calculations!$O133*LN(Calculations!$O133/Calculations!$C$8)-Calculations!$O133+Calculations!$C$8)-'Reaction Information'!$O$17*10^4*(((1/(Calculations!$O133-Calculations!$C$13))-(1/(Calculations!$C$8-Calculations!$C$13)))*((Calculations!$C$13-Calculations!$O133)/(Calculations!$C$13))-(Calculations!$O133/(Calculations!$C$13*Calculations!$C$13))*LN((Calculations!$C$8*(Calculations!$O133-Calculations!$C$13))/(Calculations!$O133*(Calculations!$C$8-Calculations!$C$13))))+'Reaction Information'!$J$17*10^-1*(Calculations!$M133-Calculations!$C$9)+'Reaction Information'!$K$17*10^2*LN((Calculations!$C$12+Calculations!$M133)/(Calculations!$C$12+Calculations!$C$9))+(1/(Calculations!$O133-Calculations!$C$13))*('Reaction Information'!$L$17*(Calculations!$M133-Calculations!$C$9)+'Reaction Information'!$M$17*10^4*LN((Calculations!$C$12+Calculations!$M133)/(Calculations!$C$12+Calculations!$C$9)))+calculateOmega(Calculations!M133,Calculations!N133,Calculations!Q133,'Reaction Information'!$C$17,'Reaction Information'!$P$17*10^5,'Reaction Information'!$Q$17)*((1/Calculations!$S133)-1)-'Reaction Information'!$P$17*10^5*((1/Calculations!$C$10)-1)+'Reaction Information'!$P$17*10^5*Calculations!$C$14*(Calculations!$O133-Calculations!$C$8))</f>
        <v>#N/A</v>
      </c>
      <c r="AH133" s="8" t="e">
        <f>IF(ISBLANK(Input!$AD$4),NA(),'Reaction Information'!$E$21-'Reaction Information'!$G$21*(Calculations!$O133-Calculations!$C$8)-'Reaction Information'!$N$21*(Calculations!$O133*LN(Calculations!$O133/Calculations!$C$8)-Calculations!$O133+Calculations!$C$8)-'Reaction Information'!$O$21*10^4*(((1/(Calculations!$O133-Calculations!$C$13))-(1/(Calculations!$C$8-Calculations!$C$13)))*((Calculations!$C$13-Calculations!$O133)/(Calculations!$C$13))-(Calculations!$O133/(Calculations!$C$13*Calculations!$C$13))*LN((Calculations!$C$8*(Calculations!$O133-Calculations!$C$13))/(Calculations!$O133*(Calculations!$C$8-Calculations!$C$13))))+'Reaction Information'!$J$21*10^-1*(Calculations!$M133-Calculations!$C$9)+'Reaction Information'!$K$21*10^2*LN((Calculations!$C$12+Calculations!$M133)/(Calculations!$C$12+Calculations!$C$9))+(1/(Calculations!$O133-Calculations!$C$13))*('Reaction Information'!$L$21*(Calculations!$M133-Calculations!$C$9)+'Reaction Information'!$M$21*10^4*LN((Calculations!$C$12+Calculations!$M133)/(Calculations!$C$12+Calculations!$C$9)))+calculateOmega(Calculations!M133,Calculations!N133,Calculations!Q133,'Reaction Information'!$C$21,'Reaction Information'!$P$21*10^5,'Reaction Information'!$Q$21)*((1/Calculations!$S133)-1)-'Reaction Information'!$P$21*10^5*((1/Calculations!$C$10)-1)+'Reaction Information'!$P$21*10^5*Calculations!$C$14*(Calculations!$O133-Calculations!$C$8))</f>
        <v>#N/A</v>
      </c>
      <c r="AI133" s="8" t="e">
        <f>IF(ISBLANK(Input!$AG$4),NA(),'Reaction Information'!$E$25-'Reaction Information'!$G$25*(Calculations!$O133-Calculations!$C$8)-'Reaction Information'!$N$25*(Calculations!$O133*LN(Calculations!$O133/Calculations!$C$8)-Calculations!$O133+Calculations!$C$8)-'Reaction Information'!$O$25*10^4*(((1/(Calculations!$O133-Calculations!$C$13))-(1/(Calculations!$C$8-Calculations!$C$13)))*((Calculations!$C$13-Calculations!$O133)/(Calculations!$C$13))-(Calculations!$O133/(Calculations!$C$13*Calculations!$C$13))*LN((Calculations!$C$8*(Calculations!$O133-Calculations!$C$13))/(Calculations!$O133*(Calculations!$C$8-Calculations!$C$13))))+'Reaction Information'!$J$25*10^-1*(Calculations!$M133-Calculations!$C$9)+'Reaction Information'!$K$25*10^2*LN((Calculations!$C$12+Calculations!$M133)/(Calculations!$C$12+Calculations!$C$9))+(1/(Calculations!$O133-Calculations!$C$13))*('Reaction Information'!$L$25*(Calculations!$M133-Calculations!$C$9)+'Reaction Information'!$M$25*10^4*LN((Calculations!$C$12+Calculations!$M133)/(Calculations!$C$12+Calculations!$C$9)))+calculateOmega(Calculations!M133,Calculations!N133,Calculations!Q133,'Reaction Information'!$C$25,'Reaction Information'!$P$25*10^5,'Reaction Information'!$Q$25)*((1/Calculations!$S133)-1)-'Reaction Information'!$P$25*10^5*((1/Calculations!$C$10)-1)+'Reaction Information'!$P$25*10^5*Calculations!$C$14*(Calculations!$O133-Calculations!$C$8))</f>
        <v>#N/A</v>
      </c>
      <c r="AJ133" s="8" t="e">
        <f>IF(ISBLANK(Input!$AJ$4),NA(),'Reaction Information'!$E$29-'Reaction Information'!$G$29*(Calculations!$O133-Calculations!$C$8)-'Reaction Information'!$N$29*(Calculations!$O133*LN(Calculations!$O133/Calculations!$C$8)-Calculations!$O133+Calculations!$C$8)-'Reaction Information'!$O$29*10^4*(((1/(Calculations!$O133-Calculations!$C$13))-(1/(Calculations!$C$8-Calculations!$C$13)))*((Calculations!$C$13-Calculations!$O133)/(Calculations!$C$13))-(Calculations!$O133/(Calculations!$C$13*Calculations!$C$13))*LN((Calculations!$C$8*(Calculations!$O133-Calculations!$C$13))/(Calculations!$O133*(Calculations!$C$8-Calculations!$C$13))))+'Reaction Information'!$J$29*10^-1*(Calculations!$M133-Calculations!$C$9)+'Reaction Information'!$K$29*10^2*LN((Calculations!$C$12+Calculations!$M133)/(Calculations!$C$12+Calculations!$C$9))+(1/(Calculations!$O133-Calculations!$C$13))*('Reaction Information'!$L$29*(Calculations!$M133-Calculations!$C$9)+'Reaction Information'!$M$29*10^4*LN((Calculations!$C$12+Calculations!$M133)/(Calculations!$C$12+Calculations!$C$9)))+calculateOmega(Calculations!M133,Calculations!N133,Calculations!Q133,'Reaction Information'!$C$29,'Reaction Information'!$P$29*10^5,'Reaction Information'!$Q$29)*((1/Calculations!$S133)-1)-'Reaction Information'!$P$29*10^5*((1/Calculations!$C$10)-1)+'Reaction Information'!$P$29*10^5*Calculations!$C$14*(Calculations!$O133-Calculations!$C$8))</f>
        <v>#N/A</v>
      </c>
      <c r="AK133" s="8" t="e">
        <f>IF(ISBLANK(Input!$AM$4),NA(),'Reaction Information'!$E$33-'Reaction Information'!$G$33*(Calculations!$O133-Calculations!$C$8)-'Reaction Information'!$N$33*(Calculations!$O133*LN(Calculations!$O133/Calculations!$C$8)-Calculations!$O133+Calculations!$C$8)-'Reaction Information'!$O$33*10^4*(((1/(Calculations!$O133-Calculations!$C$13))-(1/(Calculations!$C$8-Calculations!$C$13)))*((Calculations!$C$13-Calculations!$O133)/(Calculations!$C$13))-(Calculations!$O133/(Calculations!$C$13*Calculations!$C$13))*LN((Calculations!$C$8*(Calculations!$O133-Calculations!$C$13))/(Calculations!$O133*(Calculations!$C$8-Calculations!$C$13))))+'Reaction Information'!$J$33*10^-1*(Calculations!$M133-Calculations!$C$9)+'Reaction Information'!$K$33*10^2*LN((Calculations!$C$12+Calculations!$M133)/(Calculations!$C$12+Calculations!$C$9))+(1/(Calculations!$O133-Calculations!$C$13))*('Reaction Information'!$L$33*(Calculations!$M133-Calculations!$C$9)+'Reaction Information'!$M$33*10^4*LN((Calculations!$C$12+Calculations!$M133)/(Calculations!$C$12+Calculations!$C$9)))+calculateOmega(Calculations!M133,Calculations!N133,Calculations!Q133,'Reaction Information'!$C$33,'Reaction Information'!$P$33*10^5,'Reaction Information'!$Q$33)*((1/Calculations!$S133)-1)-'Reaction Information'!$P$33*10^5*((1/Calculations!$C$10)-1)+'Reaction Information'!$P$33*10^5*Calculations!$C$14*(Calculations!$O133-Calculations!$C$8))</f>
        <v>#N/A</v>
      </c>
      <c r="AL133" s="1">
        <f>Results!S135</f>
        <v>0</v>
      </c>
      <c r="AM133" s="1">
        <f>Results!T135</f>
        <v>0</v>
      </c>
      <c r="AN133" s="1">
        <f>Results!U135</f>
        <v>0</v>
      </c>
      <c r="AO133" s="1">
        <f>Results!V135</f>
        <v>0</v>
      </c>
      <c r="AP133" s="8" t="e">
        <f>IF(ISBLANK(Input!$BB$4),NA(),'Reaction Information'!$E$38-'Reaction Information'!$G$38*(Calculations!$O133-Calculations!$C$8)+'Reaction Information'!$I$38*(Calculations!$O133-Calculations!$C$8-Calculations!$O133*LN(Calculations!$O133/Calculations!$C$8))+'Reaction Information'!$J$38*0.001/2*(2*Calculations!$O133*Calculations!$C$8-Calculations!$O133^2-Calculations!$C$8^2) + 'Reaction Information'!$K$38*100000*(Calculations!$O133^2 + Calculations!$C$8^2 - 2*Calculations!$O133*Calculations!$C$8)/(2*Calculations!$O133*Calculations!$C$8^2))</f>
        <v>#N/A</v>
      </c>
      <c r="AQ133" s="8" t="e">
        <f>IF(ISBLANK(Input!$BE$4),NA(),'Reaction Information'!$E$42-'Reaction Information'!$G$42*(Calculations!$O133-Calculations!$C$8)+'Reaction Information'!$I$42*(Calculations!$O133-Calculations!$C$8-Calculations!$O133*LN(Calculations!$O133/Calculations!$C$8))+'Reaction Information'!$J$42*0.001/2*(2*Calculations!$O133*Calculations!$C$8-Calculations!$O133^2-Calculations!$C$8^2) + 'Reaction Information'!$K$42*100000*(Calculations!$O133^2 + Calculations!$C$8^2 - 2*Calculations!$O133*Calculations!$C$8)/(2*Calculations!$O133*Calculations!$C$8^2))</f>
        <v>#N/A</v>
      </c>
      <c r="AR133" s="8" t="e">
        <f>IF(AR$5="H2O", IF($D$24=3,IF(T133=0,NA(),T133),calculateGibbsOfWater(M133,N133,$D$24,$D$20,$D$19=3)),NA())</f>
        <v>#N/A</v>
      </c>
      <c r="AS133" s="8">
        <f>IF(ISBLANK(Input!$BK$4),NA(),'Reaction Information'!$E$46-'Reaction Information'!$G$46*(Calculations!O133-Calculations!$C$8)-'Reaction Information'!$N$46*(Calculations!O133*LN(Calculations!O133/Calculations!$C$8)-Calculations!O133+Calculations!$C$8)-'Reaction Information'!$O$46*10^4*(((1/(Calculations!O133-Calculations!$C$13))-(1/(Calculations!$C$8-Calculations!$C$13)))*((Calculations!$C$13-Calculations!O133)/(Calculations!$C$13))-(Calculations!O133/(Calculations!$C$13*Calculations!$C$13))*LN((Calculations!$C$8*(Calculations!O133-Calculations!$C$13))/(Calculations!O133*(Calculations!$C$8-Calculations!$C$13))))+'Reaction Information'!$J$46*10^-1*(Calculations!$M133-Calculations!$C$9)+'Reaction Information'!$K$46*10^2*LN((Calculations!$C$12+Calculations!$M133)/(Calculations!$C$12+Calculations!$C$9))+(1/(Calculations!O133-Calculations!$C$13))*('Reaction Information'!$L$46*(Calculations!$M133-Calculations!$C$9)+'Reaction Information'!$M$46*10^4*LN((Calculations!$C$12+Calculations!$M133)/(Calculations!$C$12+Calculations!$C$9)))+calculateOmega(Calculations!M133,Calculations!N133,Calculations!Q133,'Reaction Information'!$C$46,'Reaction Information'!$P$46*10^5,'Reaction Information'!$Q$46)*((1/Calculations!S133)-1)-'Reaction Information'!$P$46*10^5*((1/Calculations!$C$10)-1)+'Reaction Information'!$P$46*10^5*Calculations!$C$14*(Calculations!O133-Calculations!$C$8))</f>
        <v>0</v>
      </c>
      <c r="AT133" s="8">
        <f>IF(ISBLANK(Input!$BN$4),NA(),'Reaction Information'!$E$50-'Reaction Information'!$G$50*(Calculations!O133-Calculations!$C$8)-'Reaction Information'!$N$50*(Calculations!O133*LN(Calculations!O133/Calculations!$C$8)-Calculations!O133+Calculations!$C$8)-'Reaction Information'!$O$50*10^4*(((1/(Calculations!O133-Calculations!$C$13))-(1/(Calculations!$C$8-Calculations!$C$13)))*((Calculations!$C$13-Calculations!O133)/(Calculations!$C$13))-(Calculations!O133/(Calculations!$C$13*Calculations!$C$13))*LN((Calculations!$C$8*(Calculations!O133-Calculations!$C$13))/(Calculations!O133*(Calculations!$C$8-Calculations!$C$13))))+'Reaction Information'!$J$50*10^-1*(Calculations!$M133-Calculations!$C$9)+'Reaction Information'!$K$50*10^2*LN((Calculations!$C$12+Calculations!$M133)/(Calculations!$C$12+Calculations!$C$9))+(1/(Calculations!O133-Calculations!$C$13))*('Reaction Information'!$L$50*(Calculations!$M133-Calculations!$C$9)+'Reaction Information'!$M$50*10^4*LN((Calculations!$C$12+Calculations!$M133)/(Calculations!$C$12+Calculations!$C$9)))+calculateOmega(Calculations!M133,Calculations!N133,Calculations!Q133,'Reaction Information'!$C$50,'Reaction Information'!$P$50*10^5,'Reaction Information'!$Q$50)*((1/Calculations!S133)-1)-'Reaction Information'!$P$50*10^5*((1/Calculations!$C$10)-1)+'Reaction Information'!$P$50*10^5*Calculations!$C$14*(Calculations!O133-Calculations!$C$8))</f>
        <v>-126158.25174474693</v>
      </c>
      <c r="AU133" s="8" t="e">
        <f>IF(ISBLANK(Input!$BQ$4),NA(),'Reaction Information'!$E$54-'Reaction Information'!$G$54*(Calculations!$O133-Calculations!$C$8)-'Reaction Information'!$N$54*(Calculations!$O133*LN(Calculations!$O133/Calculations!$C$8)-Calculations!$O133+Calculations!$C$8)-'Reaction Information'!$O$54*10^4*(((1/(Calculations!$O133-Calculations!$C$13))-(1/(Calculations!$C$8-Calculations!$C$13)))*((Calculations!$C$13-Calculations!$O133)/(Calculations!$C$13))-(Calculations!$O133/(Calculations!$C$13*Calculations!$C$13))*LN((Calculations!$C$8*(Calculations!$O133-Calculations!$C$13))/(Calculations!$O133*(Calculations!$C$8-Calculations!$C$13))))+'Reaction Information'!$J$54*10^-1*(Calculations!$M133-Calculations!$C$9)+'Reaction Information'!$K$54*10^2*LN((Calculations!$C$12+Calculations!$M133)/(Calculations!$C$12+Calculations!$C$9))+(1/(Calculations!$O133-Calculations!$C$13))*('Reaction Information'!$L$54*(Calculations!$M133-Calculations!$C$9)+'Reaction Information'!$M$54*10^4*LN((Calculations!$C$12+Calculations!$M133)/(Calculations!$C$12+Calculations!$C$9)))+calculateOmega(Calculations!M133,Calculations!N133,Calculations!Q133,'Reaction Information'!$C$54,'Reaction Information'!$P$54*10^5,'Reaction Information'!$Q$54)*((1/Calculations!$S133)-1)-'Reaction Information'!$P$54*10^5*((1/Calculations!$C$10)-1)+'Reaction Information'!$P$54*10^5*Calculations!$C$14*(Calculations!$O133-Calculations!$C$8))</f>
        <v>#N/A</v>
      </c>
      <c r="AV133" s="8" t="e">
        <f>IF(ISBLANK(Input!$BT$4),NA(),'Reaction Information'!$E$58-'Reaction Information'!$G$58*(Calculations!$O133-Calculations!$C$8)-'Reaction Information'!$N$58*(Calculations!$O133*LN(Calculations!$O133/Calculations!$C$8)-Calculations!$O133+Calculations!$C$8)-'Reaction Information'!$O$58*10^4*(((1/(Calculations!$O133-Calculations!$C$13))-(1/(Calculations!$C$8-Calculations!$C$13)))*((Calculations!$C$13-Calculations!$O133)/(Calculations!$C$13))-(Calculations!$O133/(Calculations!$C$13*Calculations!$C$13))*LN((Calculations!$C$8*(Calculations!$O133-Calculations!$C$13))/(Calculations!$O133*(Calculations!$C$8-Calculations!$C$13))))+'Reaction Information'!$J$58*10^-1*(Calculations!$M133-Calculations!$C$9)+'Reaction Information'!$K$58*10^2*LN((Calculations!$C$12+Calculations!$M133)/(Calculations!$C$12+Calculations!$C$9))+(1/(Calculations!$O133-Calculations!$C$13))*('Reaction Information'!$L$58*(Calculations!$M133-Calculations!$C$9)+'Reaction Information'!$M$58*10^4*LN((Calculations!$C$12+Calculations!$M133)/(Calculations!$C$12+Calculations!$C$9)))+calculateOmega(Calculations!M133,Calculations!N133,Calculations!Q133,'Reaction Information'!$C$58,'Reaction Information'!$P$58*10^5,'Reaction Information'!$Q$58)*((1/Calculations!$S133)-1)-'Reaction Information'!$P$58*10^5*((1/Calculations!$C$10)-1)+'Reaction Information'!$P$58*10^5*Calculations!$C$14*(Calculations!$O133-Calculations!$C$8))</f>
        <v>#N/A</v>
      </c>
      <c r="AW133" s="8" t="e">
        <f>IF(ISBLANK(Input!$BW$4),NA(),'Reaction Information'!$E$62-'Reaction Information'!$G$62*(Calculations!$O133-Calculations!$C$8)-'Reaction Information'!$N$62*(Calculations!$O133*LN(Calculations!$O133/Calculations!$C$8)-Calculations!$O133+Calculations!$C$8)-'Reaction Information'!$O$62*10^4*(((1/(Calculations!$O133-Calculations!$C$13))-(1/(Calculations!$C$8-Calculations!$C$13)))*((Calculations!$C$13-Calculations!$O133)/(Calculations!$C$13))-(Calculations!$O133/(Calculations!$C$13*Calculations!$C$13))*LN((Calculations!$C$8*(Calculations!$O133-Calculations!$C$13))/(Calculations!$O133*(Calculations!$C$8-Calculations!$C$13))))+'Reaction Information'!$J$62*10^-1*(Calculations!$M133-Calculations!$C$9)+'Reaction Information'!$K$62*10^2*LN((Calculations!$C$12+Calculations!$M133)/(Calculations!$C$12+Calculations!$C$9))+(1/(Calculations!$O133-Calculations!$C$13))*('Reaction Information'!$L$62*(Calculations!$M133-Calculations!$C$9)+'Reaction Information'!$M$62*10^4*LN((Calculations!$C$12+Calculations!$M133)/(Calculations!$C$12+Calculations!$C$9)))+calculateOmega(Calculations!M133,Calculations!N133,Calculations!Q133,'Reaction Information'!$C$62,'Reaction Information'!$P$62*10^5,'Reaction Information'!$Q$62)*((1/Calculations!$S133)-1)-'Reaction Information'!$P$62*10^5*((1/Calculations!$C$10)-1)+'Reaction Information'!$P$62*10^5*Calculations!$C$14*(Calculations!$O133-Calculations!$C$8))</f>
        <v>#N/A</v>
      </c>
      <c r="AX133" s="8" t="e">
        <f>IF(ISBLANK(Input!$BZ$4),NA(),'Reaction Information'!$E$66-'Reaction Information'!$G$66*(Calculations!$O133-Calculations!$C$8)-'Reaction Information'!$N$66*(Calculations!$O133*LN(Calculations!$O133/Calculations!$C$8)-Calculations!$O133+Calculations!$C$8)-'Reaction Information'!$O$66*10^4*(((1/(Calculations!$O133-Calculations!$C$13))-(1/(Calculations!$C$8-Calculations!$C$13)))*((Calculations!$C$13-Calculations!$O133)/(Calculations!$C$13))-(Calculations!$O133/(Calculations!$C$13*Calculations!$C$13))*LN((Calculations!$C$8*(Calculations!$O133-Calculations!$C$13))/(Calculations!$O133*(Calculations!$C$8-Calculations!$C$13))))+'Reaction Information'!$J$66*10^-1*(Calculations!$M133-Calculations!$C$9)+'Reaction Information'!$K$66*10^2*LN((Calculations!$C$12+Calculations!$M133)/(Calculations!$C$12+Calculations!$C$9))+(1/(Calculations!$O133-Calculations!$C$13))*('Reaction Information'!$L$66*(Calculations!$M133-Calculations!$C$9)+'Reaction Information'!$M$66*10^4*LN((Calculations!$C$12+Calculations!$M133)/(Calculations!$C$12+Calculations!$C$9)))+calculateOmega(Calculations!M133,Calculations!N133,Calculations!Q133,'Reaction Information'!$C$66,'Reaction Information'!$P$66*10^5,'Reaction Information'!$Q$66)*((1/Calculations!$S133)-1)-'Reaction Information'!$P$66*10^5*((1/Calculations!$C$10)-1)+'Reaction Information'!$P$66*10^5*Calculations!$C$14*(Calculations!$O133-Calculations!$C$8))</f>
        <v>#N/A</v>
      </c>
      <c r="AY133" s="31">
        <f>(AL133*Input!$AO$4+AM133*Input!$AR$4+AN133*Input!$AU$4+AO133*Input!$AX$4+IF(ISNA(AP133),0,AP133*Input!$BA$4)+IF(ISNA(AQ133),0,AQ133*Input!$BD$4)+IF(ISNA(AR133),0,AR133*Input!$BG$4)+IF(ISNA(AS133),0,AS133*Input!$BJ$4)+IF(ISNA(AT133),0,AT133*Input!$BM$4)+IF(ISNA(AU133),0,AU133*Input!$BP$4)+IF(ISNA(AV133),0,AV133*Input!$BS$4)+IF(ISNA(AW133),0,AW133*Input!$BV$4)+IF(ISNA(AX133),0,AX133*Input!$BY$4))-(Y133*Input!$B$4+Z133*Input!$E$4+AA133*Input!$H$4+AB133*Input!$K$4+IF(ISNA(AC133),0,AC133*Input!$N$4)+IF(ISNA(AD133),0,AD133*Input!$Q$4)+IF(ISNA(AE133),0,AE133*Input!$T$4)+IF(ISNA(AF133),0,AF133*Input!$W$4)+IF(ISNA(AG133),0,AG133*Input!$Z$4)+IF(ISNA(AH133),0,AH133*Input!$AC$4)+IF(ISNA(AI133),0,AI133*Input!$AF$4)+IF(ISNA(AJ133),0,AJ133*Input!$AI$4)+IF(ISNA(AK133),0,AK133*Input!$AL$4))</f>
        <v>14819.522837297234</v>
      </c>
      <c r="AZ133" s="42">
        <f t="shared" si="35"/>
        <v>-3.5107008133365918</v>
      </c>
      <c r="BA133" s="1">
        <f t="shared" si="27"/>
        <v>650</v>
      </c>
      <c r="BB133" s="46">
        <f t="shared" si="28"/>
        <v>45000</v>
      </c>
      <c r="BC133" s="1"/>
      <c r="BD133" s="2">
        <f t="shared" si="29"/>
        <v>45000</v>
      </c>
      <c r="BE133" s="46">
        <f t="shared" si="30"/>
        <v>650</v>
      </c>
      <c r="BF133" s="1">
        <f>Results!AJ135</f>
        <v>0</v>
      </c>
      <c r="BG133" s="1">
        <f>Results!AK135</f>
        <v>0</v>
      </c>
      <c r="BH133" s="1">
        <f>Results!AL135</f>
        <v>0</v>
      </c>
      <c r="BI133" s="1">
        <f>Results!AM135</f>
        <v>0</v>
      </c>
      <c r="BJ133" s="1" t="e">
        <f>IF(OR(ISNA('Reaction Information'!$D$5), $N133 = "", $D$27 = FALSE, 'Reaction Information'!$D$5 = ""), NA(), 24.465)</f>
        <v>#N/A</v>
      </c>
      <c r="BK133" s="1" t="e">
        <f>IF(OR(ISNA('Reaction Information'!$D$9), $N133 = "", $D$27 = FALSE, 'Reaction Information'!$D$9 = ""), NA(), 24.465)</f>
        <v>#N/A</v>
      </c>
      <c r="BL133" s="8">
        <f t="shared" si="36"/>
        <v>13.426291997204174</v>
      </c>
      <c r="BM133" s="8">
        <f>IF(OR(ISBLANK(Input!$X$4),$D$27=FALSE),NA(),('Reaction Information'!$J$13/10+'Reaction Information'!$K$13*100/(Calculations!$C$12+Calculations!$M133)+('Reaction Information'!$L$13+'Reaction Information'!$M$13*10^4/(Calculations!$C$12+Calculations!$M133))/(Calculations!$O133-Calculations!$C$13) -calculateOmega(Calculations!$M133,Calculations!$N133,Calculations!$Q133,'Reaction Information'!$C$13,'Reaction Information'!$P$13*10^5,'Reaction Information'!$Q$13)*Calculations!$U133*10^-6 + (1/$S133 - 1)*calculate_domegadP(Calculations!$M133,Calculations!$N133,Calculations!$Q133,'Reaction Information'!$C$13,'Reaction Information'!$P$13*10^5,'Reaction Information'!$Q$13,$D$20,$D$19=3))*41.84)</f>
        <v>30.007645850896974</v>
      </c>
      <c r="BN133" s="8" t="e">
        <f>IF(OR(ISBLANK(Input!$AA$4),$D$27=FALSE),NA(),('Reaction Information'!$J$17/10+'Reaction Information'!$K$17*100/(Calculations!$C$12+Calculations!$M133)+('Reaction Information'!$L$17+'Reaction Information'!$M$17*10000/(Calculations!$C$12+Calculations!$M133))/(Calculations!$O133-Calculations!$C$13)-calculateOmega(Calculations!M133,Calculations!N133,Calculations!Q133,'Reaction Information'!$C$17,'Reaction Information'!$P$17*10^5,'Reaction Information'!$Q$17)*Calculations!$U133*10^-6 + (1/$S133 - 1)*calculate_domegadP(Calculations!M133,Calculations!N133,Calculations!Q133,'Reaction Information'!$C$17,'Reaction Information'!$P$17*10^5,'Reaction Information'!$Q$17,$D$20,$D$19=3))*41.84)</f>
        <v>#N/A</v>
      </c>
      <c r="BO133" s="8" t="e">
        <f>IF(OR(ISBLANK(Input!$AD$4),$D$27=FALSE),NA(),('Reaction Information'!$J$21/10+'Reaction Information'!$K$21*100/(Calculations!$C$12+Calculations!$M133)+('Reaction Information'!$L$21+'Reaction Information'!$M$21*10000/(Calculations!$C$12+Calculations!$M133))/(Calculations!$O133-Calculations!$C$13)-calculateOmega(Calculations!M133,Calculations!N133,Calculations!Q133,'Reaction Information'!$C$21,'Reaction Information'!$P$21*10^5,'Reaction Information'!$Q$21)*Calculations!$U133*10^-6 + (1/$S133 - 1)*calculate_domegadP(Calculations!M133,Calculations!N133,Calculations!Q133,'Reaction Information'!$C$21,'Reaction Information'!$P$21*10^5,'Reaction Information'!$Q$21,$D$20,$D$19=3))*41.84)</f>
        <v>#N/A</v>
      </c>
      <c r="BP133" s="8" t="e">
        <f>IF(OR(ISBLANK(Input!$AG$4),$D$27=FALSE),NA(),('Reaction Information'!$J$25/10+'Reaction Information'!$K$25*100/(Calculations!$C$12+Calculations!$M133)+('Reaction Information'!$L$25+'Reaction Information'!$M$25*10000/(Calculations!$C$12+Calculations!$M133))/(Calculations!$O133-Calculations!$C$13)-calculateOmega(Calculations!M133,Calculations!N133,Calculations!Q133,'Reaction Information'!$C$25,'Reaction Information'!$P$25*10^5,'Reaction Information'!$Q$25)*Calculations!$U133*10^-6 + (1/$S133 - 1)*calculate_domegadP(Calculations!M133,Calculations!N133,Calculations!Q133,'Reaction Information'!$C$25,'Reaction Information'!$P$25*10^5,'Reaction Information'!$Q$25,$D$20,$D$19=3))*41.84)</f>
        <v>#N/A</v>
      </c>
      <c r="BQ133" s="8" t="e">
        <f>IF(OR(ISBLANK(Input!$AJ$4),$D$27=FALSE),NA(),('Reaction Information'!$J$29/10+'Reaction Information'!$K$29*100/(Calculations!$C$12+Calculations!$M133)+('Reaction Information'!$L$29+'Reaction Information'!$M$29*10000/(Calculations!$C$12+Calculations!$M133))/(Calculations!$O133-Calculations!$C$13)-calculateOmega(Calculations!M133,Calculations!N133,Calculations!Q133,'Reaction Information'!$C$29,'Reaction Information'!$P$29*10^5,'Reaction Information'!$Q$29)*Calculations!$U133*10^-6 + (1/$S133 - 1)*calculate_domegadP(Calculations!M133,Calculations!N133,Calculations!Q133,'Reaction Information'!$C$29,'Reaction Information'!$P$29*10^5,'Reaction Information'!$Q$29,$D$20,$D$19=3))*41.84)</f>
        <v>#N/A</v>
      </c>
      <c r="BR133" s="8" t="e">
        <f>IF(OR(ISBLANK(Input!$AM$4),$D$27=FALSE),NA(),('Reaction Information'!$J$33/10+'Reaction Information'!$K$33*100/(Calculations!$C$12+Calculations!$M133)+('Reaction Information'!$L$33+'Reaction Information'!$M$33*10000/(Calculations!$C$12+Calculations!$M133))/(Calculations!$O133-Calculations!$C$13)-calculateOmega(Calculations!M133,Calculations!N133,Calculations!Q133,'Reaction Information'!$C$33,'Reaction Information'!$P$33*10^5,'Reaction Information'!$Q$33)*Calculations!$U133*10^-6 + (1/$S133 - 1)*calculate_domegadP(Calculations!M133,Calculations!N133,Calculations!Q133,'Reaction Information'!$C$33,'Reaction Information'!$P$33*10^5,'Reaction Information'!$Q$33,$D$20,$D$19=3))*41.84)</f>
        <v>#N/A</v>
      </c>
      <c r="BS133" s="1">
        <f>Results!AW135</f>
        <v>0</v>
      </c>
      <c r="BT133" s="1">
        <f>Results!AX135</f>
        <v>0</v>
      </c>
      <c r="BU133" s="1">
        <f>Results!AY135</f>
        <v>0</v>
      </c>
      <c r="BV133" s="1">
        <f>Results!AZ135</f>
        <v>0</v>
      </c>
      <c r="BW133" s="1" t="e">
        <f>IF(OR(ISNA('Reaction Information'!$D$38), $N133 = "", $D$27 = FALSE, 'Reaction Information'!$D$38 = ""), NA(), 24.465)</f>
        <v>#N/A</v>
      </c>
      <c r="BX133" s="1" t="e">
        <f>IF(OR(ISNA('Reaction Information'!$D$42), $N133 = "", $D$27 = FALSE, 'Reaction Information'!$D$42 = ""), NA(), 24.465)</f>
        <v>#N/A</v>
      </c>
      <c r="BY133" s="8" t="e">
        <f t="shared" si="37"/>
        <v>#N/A</v>
      </c>
      <c r="BZ133" s="8">
        <f>IF(OR(ISBLANK(Input!$BK$4),$D$27=FALSE),NA(),('Reaction Information'!$J$46/10+'Reaction Information'!$K$46*100/(Calculations!$C$12+Calculations!$M133)+('Reaction Information'!$L$46+'Reaction Information'!$M$46*10000/(Calculations!$C$12+Calculations!$M133))/(Calculations!$O133-Calculations!$C$13)-calculateOmega(Calculations!M133,Calculations!N133,Calculations!Q133,'Reaction Information'!$C$46,'Reaction Information'!$P$46*10^5,'Reaction Information'!$Q$46)*Calculations!$U133*10^-6 + (1/$S133 - 1)*calculate_domegadP(Calculations!M133,Calculations!N133,Calculations!Q133,'Reaction Information'!$C$46,'Reaction Information'!$P$46*10^5,'Reaction Information'!$Q$46,$D$20,$D$19=3))*41.84)</f>
        <v>0</v>
      </c>
      <c r="CA133" s="8">
        <f>IF(OR(ISBLANK(Input!$BN$4),$D$27=FALSE),NA(),('Reaction Information'!$J$50/10+'Reaction Information'!$K$50*100/(Calculations!$C$12+Calculations!$M133)+('Reaction Information'!$L$50+'Reaction Information'!$M$50*10000/(Calculations!$C$12+Calculations!$M133))/(Calculations!$O133-Calculations!$C$13)-calculateOmega(Calculations!M133,Calculations!N133,Calculations!Q133,'Reaction Information'!$C$50,'Reaction Information'!$P$50*10^5,'Reaction Information'!$Q$50)*Calculations!$U133*10^-6 + (1/$S133 - 1)*calculate_domegadP(Calculations!M133,Calculations!N133,Calculations!Q133,'Reaction Information'!$C$50,'Reaction Information'!$P$50*10^5,'Reaction Information'!$Q$50,$D$20,$D$19=3))*41.84)</f>
        <v>31.2423444840705</v>
      </c>
      <c r="CB133" s="8" t="e">
        <f>IF(OR(ISBLANK(Input!$BQ$4),$D$27=FALSE),NA(),('Reaction Information'!$J$54/10+'Reaction Information'!$K$54*100/(Calculations!$C$12+Calculations!$M133)+('Reaction Information'!$L$54+'Reaction Information'!$M$54*10000/(Calculations!$C$12+Calculations!$M133))/(Calculations!$O133-Calculations!$C$13)-calculateOmega(Calculations!M133,Calculations!N133,Calculations!Q133,'Reaction Information'!$C$54,'Reaction Information'!$P$54*10^5,'Reaction Information'!$Q$54)*Calculations!$U133*10^-6 + (1/$S133 - 1)*calculate_domegadP(Calculations!M133,Calculations!N133,Calculations!Q133,'Reaction Information'!$C$54,'Reaction Information'!$P$54*10^5,'Reaction Information'!$Q$54,$D$20,$D$19=3))*41.84)</f>
        <v>#N/A</v>
      </c>
      <c r="CC133" s="8" t="e">
        <f>IF(OR(ISBLANK(Input!$BT$4),$D$27=FALSE),NA(),('Reaction Information'!$J$58/10+'Reaction Information'!$K$58*100/(Calculations!$C$12+Calculations!$M133)+('Reaction Information'!$L$58+'Reaction Information'!$M$58*10000/(Calculations!$C$12+Calculations!$M133))/(Calculations!$O133-Calculations!$C$13)-calculateOmega(Calculations!M133,Calculations!N133,Calculations!Q133,'Reaction Information'!$C$58,'Reaction Information'!$P$58*10^5,'Reaction Information'!$Q$58)*Calculations!$U133*10^-6 + (1/$S133 - 1)*calculate_domegadP(Calculations!M133,Calculations!N133,Calculations!Q133,'Reaction Information'!$C$58,'Reaction Information'!$P$58*10^5,'Reaction Information'!$Q$58,$D$20,$D$19=3))*41.84)</f>
        <v>#N/A</v>
      </c>
      <c r="CD133" s="8" t="e">
        <f>IF(OR(ISBLANK(Input!$BW$4),$D$27=FALSE),NA(),('Reaction Information'!$J$62/10+'Reaction Information'!$K$62*100/(Calculations!$C$12+Calculations!$M133)+('Reaction Information'!$L$62+'Reaction Information'!$M$62*10000/(Calculations!$C$12+Calculations!$M133))/(Calculations!$O133-Calculations!$C$13)-calculateOmega(Calculations!M133,Calculations!N133,Calculations!Q133,'Reaction Information'!$C$62,'Reaction Information'!$P$62*10^5,'Reaction Information'!$Q$62)*Calculations!$U133*10^-6 + (1/$S133 - 1)*calculate_domegadP(Calculations!M133,Calculations!N133,Calculations!Q133,'Reaction Information'!$C$62,'Reaction Information'!$P$62*10^5,'Reaction Information'!$Q$62,$D$20,$D$19=3))*41.84)</f>
        <v>#N/A</v>
      </c>
      <c r="CE133" s="8" t="e">
        <f>IF(OR(ISBLANK(Input!$BZ$4),$D$27=FALSE),NA(),('Reaction Information'!$J$66/10+'Reaction Information'!$K$66*100/(Calculations!$C$12+Calculations!$M133)+('Reaction Information'!$L$66+'Reaction Information'!$M$66*10000/(Calculations!$C$12+Calculations!$M133))/(Calculations!$O133-Calculations!$C$13)-calculateOmega(Calculations!M133,Calculations!N133,Calculations!Q133,'Reaction Information'!$C$66,'Reaction Information'!$P$66*10^5,'Reaction Information'!$Q$66)*Calculations!$U133*10^-6 + (1/$S133 - 1)*calculate_domegadP(Calculations!M133,Calculations!N133,Calculations!Q133,'Reaction Information'!$C$66,'Reaction Information'!$P$66*10^5,'Reaction Information'!$Q$66,$D$20,$D$19=3))*41.84)</f>
        <v>#N/A</v>
      </c>
      <c r="CF133" s="31">
        <f>(BS133*Input!$AO$4+BT133*Input!$AR$4+BU133*Input!$AU$4+BV133*Input!$AX$4+IF(ISNA(BW133),0,BW133*Input!$BA$4)+IF(ISNA(BX133),0,BX133*Input!$BD$4)+IF(ISNA(BY133),0,BY133*Input!$BG$4)+IF(ISNA(BZ133),0,BZ133*Input!$BJ$4)+IF(ISNA(CA133),0,CA133*Input!$BM$4)+IF(ISNA(CB133),0,CB133*Input!$BP$4)+IF(ISNA(CC133),0,CC133*Input!$BS$4)+IF(ISNA(CD133),0,CD133*Input!$BV$4)+IF(ISNA(CE133),0,CE133*Input!$BY$4))-(BF133*Input!$B$4+BG133*Input!$E$4+BH133*Input!$H$4+BI133*Input!$K$4+IF(ISNA(BJ133),0,BJ133*Input!$N$4)+IF(ISNA(BK133),0,BK133*Input!$Q$4)+IF(ISNA(BL133),0,BL133*Input!$T$4)+IF(ISNA(BM133),0,BM133*Input!$W$4)+IF(ISNA(BN133),0,BN133*Input!$Z$4)+IF(ISNA(BO133),0,BO133*Input!$AC$4)+IF(ISNA(BP133),0,BP133*Input!$AF$4)+IF(ISNA(BQ133),0,BQ133*Input!$AI$4)+IF(ISNA(BR133),0,BR133*Input!$AL$4))</f>
        <v>-12.191593364030652</v>
      </c>
      <c r="CG133" s="1">
        <f t="shared" si="31"/>
        <v>650</v>
      </c>
      <c r="CH133" s="46">
        <f t="shared" si="32"/>
        <v>45000</v>
      </c>
      <c r="CI133" s="1"/>
    </row>
    <row r="134" spans="1:87" x14ac:dyDescent="0.2">
      <c r="A134" s="1"/>
      <c r="B134" s="1"/>
      <c r="C134" s="1"/>
      <c r="D134" s="1"/>
      <c r="E134" s="1"/>
      <c r="F134" s="2">
        <v>129</v>
      </c>
      <c r="G134" s="1" t="str">
        <f>IF(ISBLANK(Input!CB134), "", Input!CB134*1000)</f>
        <v/>
      </c>
      <c r="H134" s="1" t="str">
        <f>IF(ISBLANK(Input!CC134), "", Input!CC134)</f>
        <v/>
      </c>
      <c r="I134" s="1">
        <f>IF(Input!$CF$5 + Input!$CF$6*(FLOOR((Calculations!$F134-1)/(FLOOR((Input!$CF$12-Input!$CF$10)/Input!$CF$11,1)+1),1)) &gt; Input!$CF$7, "", (Input!$CF$5 + Input!$CF$6*(FLOOR((Calculations!$F134-1)/(FLOOR((Input!$CF$12-Input!$CF$10)/Input!$CF$11,1)+1),1)))*1000)</f>
        <v>45000</v>
      </c>
      <c r="J134" s="1">
        <f>IF(Calculations!I134 = "", "", Input!$CF$10 + Input!$CF$11*(Calculations!$F134-1) - (FLOOR((Input!$CF$12-Input!$CF$10)/Input!$CF$11,1)+1)*Input!$CF$11*FLOOR((Calculations!$F134-1)/(FLOOR((Input!$CF$12-Input!$CF$10)/Input!$CF$11,1)+1),1))</f>
        <v>700</v>
      </c>
      <c r="K134" s="8" t="str">
        <f t="shared" si="33"/>
        <v/>
      </c>
      <c r="L134" s="117" t="str">
        <f>IF(OR(Input!$CJ$5 + Input!$CJ$6*(Calculations!F134-1) &gt; Input!$CJ$7, Input!$CJ$5 + Input!$CJ$6*(Calculations!F134-1) &gt; 350), "", Input!$CJ$5 + Input!$CJ$6*(Calculations!F134-1))</f>
        <v/>
      </c>
      <c r="M134" s="1">
        <f t="shared" si="23"/>
        <v>45000</v>
      </c>
      <c r="N134" s="1">
        <f t="shared" si="24"/>
        <v>700</v>
      </c>
      <c r="O134" s="1">
        <f t="shared" ref="O134:O165" si="38">N134+273.15</f>
        <v>973.15</v>
      </c>
      <c r="P134" s="1" t="e">
        <f>IF(OR($D$20=3,AND($D$21=TRUE,M134&lt;1000)),INDEX('Water Density'!$C$6:$CX$120,MATCH(Calculations!N134,'Water Density'!$B$6:$B$120),MATCH(Calculations!M134/1000,'Water Density'!$C$5:$CX$5)),NA())</f>
        <v>#N/A</v>
      </c>
      <c r="Q134" s="182">
        <f>IF(OR($D$20=3,AND($D$21=TRUE,M134&lt;1000)), IF(P134&lt;&gt;0,P134,NA()), calculateDensity(M134,N134,$D$20,0.01,$D$19 = 3))</f>
        <v>1.3283856884253029</v>
      </c>
      <c r="R134" s="1" t="e">
        <f>IF($D$22=5,INDEX('Dielectric Constant'!$C$6:$CX$120,MATCH(Calculations!N134,'Dielectric Constant'!$B$6:$B$120),MATCH(Calculations!M134/1000,'Dielectric Constant'!$C$5:$CX$5)),NA())</f>
        <v>#N/A</v>
      </c>
      <c r="S134" s="58">
        <f>IF($D$22=5, IF(R134&lt;&gt;0,R134,NA()), IF(AND($D$23,M134&lt;=5000,$D$19 &lt;&gt; 3),calculateEpsilon(Q134,N134,1,FALSE),calculateEpsilon(Q134,N134,$D$22,$D$19 = 3)))</f>
        <v>26.748188510368365</v>
      </c>
      <c r="T134" s="1" t="e">
        <f>IF($D$24=3,INDEX('Water Free Energy'!$C$6:$CX$120,MATCH(Calculations!N134,'Water Free Energy'!$B$6:$B$120),MATCH(Calculations!M134/1000,'Water Free Energy'!$C$5:$CX$5)),NA())</f>
        <v>#N/A</v>
      </c>
      <c r="U134" s="179">
        <f>IF($D$27,calculateQ(M134,N134,Q134,$D$20,$D$22,$D$19=3)*10^6,NA())</f>
        <v>0.1703408892914674</v>
      </c>
      <c r="V134"/>
      <c r="W134" s="2">
        <f t="shared" si="25"/>
        <v>45000</v>
      </c>
      <c r="X134" s="1">
        <f t="shared" si="26"/>
        <v>700</v>
      </c>
      <c r="Y134" s="1">
        <f>Results!F136</f>
        <v>0</v>
      </c>
      <c r="Z134" s="1">
        <f>Results!G136</f>
        <v>0</v>
      </c>
      <c r="AA134" s="1">
        <f>Results!H136</f>
        <v>0</v>
      </c>
      <c r="AB134" s="1">
        <f>Results!I136</f>
        <v>0</v>
      </c>
      <c r="AC134" s="1" t="e">
        <f>IF(ISBLANK(Input!$O$4),NA(),'Reaction Information'!$E$5-'Reaction Information'!$G$5*(Calculations!$O134-Calculations!$C$8)+'Reaction Information'!$I$5*(Calculations!$O134-Calculations!$C$8-Calculations!$O134*LN(Calculations!$O134/Calculations!$C$8))+'Reaction Information'!$J$5*0.001/2*(2*Calculations!$O134*Calculations!$C$8-Calculations!$O134^2-Calculations!$C$8^2) + 'Reaction Information'!$K$5*100000*(Calculations!$O134^2 + Calculations!$C$8^2 - 2*Calculations!$O134*Calculations!$C$8)/(2*Calculations!$O134*Calculations!$C$8^2))</f>
        <v>#N/A</v>
      </c>
      <c r="AD134" s="8" t="e">
        <f>IF(ISBLANK(Input!$R$4),NA(),'Reaction Information'!$E$9-'Reaction Information'!$G$9*(Calculations!$O134-Calculations!$C$8)+'Reaction Information'!$I$9*(Calculations!$O134-Calculations!$C$8-Calculations!$O134*LN(Calculations!$O134/Calculations!$C$8))+'Reaction Information'!$J$9*0.001/2*(2*Calculations!$O134*Calculations!$C$8-Calculations!$O134^2-Calculations!$C$8^2) + 'Reaction Information'!$K$9*100000*(Calculations!$O134^2 + Calculations!$C$8^2 - 2*Calculations!$O134*Calculations!$C$8)/(2*Calculations!$O134*Calculations!$C$8^2))</f>
        <v>#N/A</v>
      </c>
      <c r="AE134" s="8">
        <f>IF(AE$5="H2O",IF($D$24=3,IF(T134=0,NA(),T134),calculateGibbsOfWater(M134,N134,$D$24,$D$20,$D$19=3)),NA())</f>
        <v>-57409.797032416755</v>
      </c>
      <c r="AF134" s="8">
        <f>IF(ISBLANK(Input!$X$4),NA(),'Reaction Information'!$E$13-'Reaction Information'!$G$13*(Calculations!O134-Calculations!$C$8)-'Reaction Information'!$N$13*(Calculations!O134*LN(Calculations!O134/Calculations!$C$8)-Calculations!O134+Calculations!$C$8)-'Reaction Information'!$O$13*10^4*(((1/(Calculations!O134-Calculations!$C$13))-(1/(Calculations!$C$8-Calculations!$C$13)))*((Calculations!$C$13-Calculations!O134)/(Calculations!$C$13))-(Calculations!O134/(Calculations!$C$13*Calculations!$C$13))*LN((Calculations!$C$8*(Calculations!O134-Calculations!$C$13))/(Calculations!O134*(Calculations!$C$8-Calculations!$C$13))))+'Reaction Information'!$J$13*10^-1*(Calculations!M134-Calculations!$C$9)+'Reaction Information'!$K$13*10^2*LN((Calculations!$C$12+Calculations!M134)/(Calculations!$C$12+Calculations!$C$9))+(1/(Calculations!O134-Calculations!$C$13))*('Reaction Information'!$L$13*(Calculations!M134-Calculations!$C$9)+'Reaction Information'!$M$13*10^4*LN((Calculations!$C$12+Calculations!M134)/(Calculations!$C$12+Calculations!$C$9)))+calculateOmega(Calculations!M134,Calculations!N134,Calculations!Q134,'Reaction Information'!$C$13,'Reaction Information'!$P$13*10^5,'Reaction Information'!$Q$13)*((1/Calculations!S134)-1)-'Reaction Information'!$P$13*10^5*((1/Calculations!$C$10)-1)+'Reaction Information'!$P$13*10^5*Calculations!$C$14*(Calculations!O134-Calculations!$C$8))</f>
        <v>-87354.348211740347</v>
      </c>
      <c r="AG134" s="8" t="e">
        <f>IF(ISBLANK(Input!$AA$4),NA(),'Reaction Information'!$E$17-'Reaction Information'!$G$17*(Calculations!$O134-Calculations!$C$8)-'Reaction Information'!$N$17*(Calculations!$O134*LN(Calculations!$O134/Calculations!$C$8)-Calculations!$O134+Calculations!$C$8)-'Reaction Information'!$O$17*10^4*(((1/(Calculations!$O134-Calculations!$C$13))-(1/(Calculations!$C$8-Calculations!$C$13)))*((Calculations!$C$13-Calculations!$O134)/(Calculations!$C$13))-(Calculations!$O134/(Calculations!$C$13*Calculations!$C$13))*LN((Calculations!$C$8*(Calculations!$O134-Calculations!$C$13))/(Calculations!$O134*(Calculations!$C$8-Calculations!$C$13))))+'Reaction Information'!$J$17*10^-1*(Calculations!$M134-Calculations!$C$9)+'Reaction Information'!$K$17*10^2*LN((Calculations!$C$12+Calculations!$M134)/(Calculations!$C$12+Calculations!$C$9))+(1/(Calculations!$O134-Calculations!$C$13))*('Reaction Information'!$L$17*(Calculations!$M134-Calculations!$C$9)+'Reaction Information'!$M$17*10^4*LN((Calculations!$C$12+Calculations!$M134)/(Calculations!$C$12+Calculations!$C$9)))+calculateOmega(Calculations!M134,Calculations!N134,Calculations!Q134,'Reaction Information'!$C$17,'Reaction Information'!$P$17*10^5,'Reaction Information'!$Q$17)*((1/Calculations!$S134)-1)-'Reaction Information'!$P$17*10^5*((1/Calculations!$C$10)-1)+'Reaction Information'!$P$17*10^5*Calculations!$C$14*(Calculations!$O134-Calculations!$C$8))</f>
        <v>#N/A</v>
      </c>
      <c r="AH134" s="8" t="e">
        <f>IF(ISBLANK(Input!$AD$4),NA(),'Reaction Information'!$E$21-'Reaction Information'!$G$21*(Calculations!$O134-Calculations!$C$8)-'Reaction Information'!$N$21*(Calculations!$O134*LN(Calculations!$O134/Calculations!$C$8)-Calculations!$O134+Calculations!$C$8)-'Reaction Information'!$O$21*10^4*(((1/(Calculations!$O134-Calculations!$C$13))-(1/(Calculations!$C$8-Calculations!$C$13)))*((Calculations!$C$13-Calculations!$O134)/(Calculations!$C$13))-(Calculations!$O134/(Calculations!$C$13*Calculations!$C$13))*LN((Calculations!$C$8*(Calculations!$O134-Calculations!$C$13))/(Calculations!$O134*(Calculations!$C$8-Calculations!$C$13))))+'Reaction Information'!$J$21*10^-1*(Calculations!$M134-Calculations!$C$9)+'Reaction Information'!$K$21*10^2*LN((Calculations!$C$12+Calculations!$M134)/(Calculations!$C$12+Calculations!$C$9))+(1/(Calculations!$O134-Calculations!$C$13))*('Reaction Information'!$L$21*(Calculations!$M134-Calculations!$C$9)+'Reaction Information'!$M$21*10^4*LN((Calculations!$C$12+Calculations!$M134)/(Calculations!$C$12+Calculations!$C$9)))+calculateOmega(Calculations!M134,Calculations!N134,Calculations!Q134,'Reaction Information'!$C$21,'Reaction Information'!$P$21*10^5,'Reaction Information'!$Q$21)*((1/Calculations!$S134)-1)-'Reaction Information'!$P$21*10^5*((1/Calculations!$C$10)-1)+'Reaction Information'!$P$21*10^5*Calculations!$C$14*(Calculations!$O134-Calculations!$C$8))</f>
        <v>#N/A</v>
      </c>
      <c r="AI134" s="8" t="e">
        <f>IF(ISBLANK(Input!$AG$4),NA(),'Reaction Information'!$E$25-'Reaction Information'!$G$25*(Calculations!$O134-Calculations!$C$8)-'Reaction Information'!$N$25*(Calculations!$O134*LN(Calculations!$O134/Calculations!$C$8)-Calculations!$O134+Calculations!$C$8)-'Reaction Information'!$O$25*10^4*(((1/(Calculations!$O134-Calculations!$C$13))-(1/(Calculations!$C$8-Calculations!$C$13)))*((Calculations!$C$13-Calculations!$O134)/(Calculations!$C$13))-(Calculations!$O134/(Calculations!$C$13*Calculations!$C$13))*LN((Calculations!$C$8*(Calculations!$O134-Calculations!$C$13))/(Calculations!$O134*(Calculations!$C$8-Calculations!$C$13))))+'Reaction Information'!$J$25*10^-1*(Calculations!$M134-Calculations!$C$9)+'Reaction Information'!$K$25*10^2*LN((Calculations!$C$12+Calculations!$M134)/(Calculations!$C$12+Calculations!$C$9))+(1/(Calculations!$O134-Calculations!$C$13))*('Reaction Information'!$L$25*(Calculations!$M134-Calculations!$C$9)+'Reaction Information'!$M$25*10^4*LN((Calculations!$C$12+Calculations!$M134)/(Calculations!$C$12+Calculations!$C$9)))+calculateOmega(Calculations!M134,Calculations!N134,Calculations!Q134,'Reaction Information'!$C$25,'Reaction Information'!$P$25*10^5,'Reaction Information'!$Q$25)*((1/Calculations!$S134)-1)-'Reaction Information'!$P$25*10^5*((1/Calculations!$C$10)-1)+'Reaction Information'!$P$25*10^5*Calculations!$C$14*(Calculations!$O134-Calculations!$C$8))</f>
        <v>#N/A</v>
      </c>
      <c r="AJ134" s="8" t="e">
        <f>IF(ISBLANK(Input!$AJ$4),NA(),'Reaction Information'!$E$29-'Reaction Information'!$G$29*(Calculations!$O134-Calculations!$C$8)-'Reaction Information'!$N$29*(Calculations!$O134*LN(Calculations!$O134/Calculations!$C$8)-Calculations!$O134+Calculations!$C$8)-'Reaction Information'!$O$29*10^4*(((1/(Calculations!$O134-Calculations!$C$13))-(1/(Calculations!$C$8-Calculations!$C$13)))*((Calculations!$C$13-Calculations!$O134)/(Calculations!$C$13))-(Calculations!$O134/(Calculations!$C$13*Calculations!$C$13))*LN((Calculations!$C$8*(Calculations!$O134-Calculations!$C$13))/(Calculations!$O134*(Calculations!$C$8-Calculations!$C$13))))+'Reaction Information'!$J$29*10^-1*(Calculations!$M134-Calculations!$C$9)+'Reaction Information'!$K$29*10^2*LN((Calculations!$C$12+Calculations!$M134)/(Calculations!$C$12+Calculations!$C$9))+(1/(Calculations!$O134-Calculations!$C$13))*('Reaction Information'!$L$29*(Calculations!$M134-Calculations!$C$9)+'Reaction Information'!$M$29*10^4*LN((Calculations!$C$12+Calculations!$M134)/(Calculations!$C$12+Calculations!$C$9)))+calculateOmega(Calculations!M134,Calculations!N134,Calculations!Q134,'Reaction Information'!$C$29,'Reaction Information'!$P$29*10^5,'Reaction Information'!$Q$29)*((1/Calculations!$S134)-1)-'Reaction Information'!$P$29*10^5*((1/Calculations!$C$10)-1)+'Reaction Information'!$P$29*10^5*Calculations!$C$14*(Calculations!$O134-Calculations!$C$8))</f>
        <v>#N/A</v>
      </c>
      <c r="AK134" s="8" t="e">
        <f>IF(ISBLANK(Input!$AM$4),NA(),'Reaction Information'!$E$33-'Reaction Information'!$G$33*(Calculations!$O134-Calculations!$C$8)-'Reaction Information'!$N$33*(Calculations!$O134*LN(Calculations!$O134/Calculations!$C$8)-Calculations!$O134+Calculations!$C$8)-'Reaction Information'!$O$33*10^4*(((1/(Calculations!$O134-Calculations!$C$13))-(1/(Calculations!$C$8-Calculations!$C$13)))*((Calculations!$C$13-Calculations!$O134)/(Calculations!$C$13))-(Calculations!$O134/(Calculations!$C$13*Calculations!$C$13))*LN((Calculations!$C$8*(Calculations!$O134-Calculations!$C$13))/(Calculations!$O134*(Calculations!$C$8-Calculations!$C$13))))+'Reaction Information'!$J$33*10^-1*(Calculations!$M134-Calculations!$C$9)+'Reaction Information'!$K$33*10^2*LN((Calculations!$C$12+Calculations!$M134)/(Calculations!$C$12+Calculations!$C$9))+(1/(Calculations!$O134-Calculations!$C$13))*('Reaction Information'!$L$33*(Calculations!$M134-Calculations!$C$9)+'Reaction Information'!$M$33*10^4*LN((Calculations!$C$12+Calculations!$M134)/(Calculations!$C$12+Calculations!$C$9)))+calculateOmega(Calculations!M134,Calculations!N134,Calculations!Q134,'Reaction Information'!$C$33,'Reaction Information'!$P$33*10^5,'Reaction Information'!$Q$33)*((1/Calculations!$S134)-1)-'Reaction Information'!$P$33*10^5*((1/Calculations!$C$10)-1)+'Reaction Information'!$P$33*10^5*Calculations!$C$14*(Calculations!$O134-Calculations!$C$8))</f>
        <v>#N/A</v>
      </c>
      <c r="AL134" s="1">
        <f>Results!S136</f>
        <v>0</v>
      </c>
      <c r="AM134" s="1">
        <f>Results!T136</f>
        <v>0</v>
      </c>
      <c r="AN134" s="1">
        <f>Results!U136</f>
        <v>0</v>
      </c>
      <c r="AO134" s="1">
        <f>Results!V136</f>
        <v>0</v>
      </c>
      <c r="AP134" s="8" t="e">
        <f>IF(ISBLANK(Input!$BB$4),NA(),'Reaction Information'!$E$38-'Reaction Information'!$G$38*(Calculations!$O134-Calculations!$C$8)+'Reaction Information'!$I$38*(Calculations!$O134-Calculations!$C$8-Calculations!$O134*LN(Calculations!$O134/Calculations!$C$8))+'Reaction Information'!$J$38*0.001/2*(2*Calculations!$O134*Calculations!$C$8-Calculations!$O134^2-Calculations!$C$8^2) + 'Reaction Information'!$K$38*100000*(Calculations!$O134^2 + Calculations!$C$8^2 - 2*Calculations!$O134*Calculations!$C$8)/(2*Calculations!$O134*Calculations!$C$8^2))</f>
        <v>#N/A</v>
      </c>
      <c r="AQ134" s="8" t="e">
        <f>IF(ISBLANK(Input!$BE$4),NA(),'Reaction Information'!$E$42-'Reaction Information'!$G$42*(Calculations!$O134-Calculations!$C$8)+'Reaction Information'!$I$42*(Calculations!$O134-Calculations!$C$8-Calculations!$O134*LN(Calculations!$O134/Calculations!$C$8))+'Reaction Information'!$J$42*0.001/2*(2*Calculations!$O134*Calculations!$C$8-Calculations!$O134^2-Calculations!$C$8^2) + 'Reaction Information'!$K$42*100000*(Calculations!$O134^2 + Calculations!$C$8^2 - 2*Calculations!$O134*Calculations!$C$8)/(2*Calculations!$O134*Calculations!$C$8^2))</f>
        <v>#N/A</v>
      </c>
      <c r="AR134" s="8" t="e">
        <f>IF(AR$5="H2O", IF($D$24=3,IF(T134=0,NA(),T134),calculateGibbsOfWater(M134,N134,$D$24,$D$20,$D$19=3)),NA())</f>
        <v>#N/A</v>
      </c>
      <c r="AS134" s="8">
        <f>IF(ISBLANK(Input!$BK$4),NA(),'Reaction Information'!$E$46-'Reaction Information'!$G$46*(Calculations!O134-Calculations!$C$8)-'Reaction Information'!$N$46*(Calculations!O134*LN(Calculations!O134/Calculations!$C$8)-Calculations!O134+Calculations!$C$8)-'Reaction Information'!$O$46*10^4*(((1/(Calculations!O134-Calculations!$C$13))-(1/(Calculations!$C$8-Calculations!$C$13)))*((Calculations!$C$13-Calculations!O134)/(Calculations!$C$13))-(Calculations!O134/(Calculations!$C$13*Calculations!$C$13))*LN((Calculations!$C$8*(Calculations!O134-Calculations!$C$13))/(Calculations!O134*(Calculations!$C$8-Calculations!$C$13))))+'Reaction Information'!$J$46*10^-1*(Calculations!$M134-Calculations!$C$9)+'Reaction Information'!$K$46*10^2*LN((Calculations!$C$12+Calculations!$M134)/(Calculations!$C$12+Calculations!$C$9))+(1/(Calculations!O134-Calculations!$C$13))*('Reaction Information'!$L$46*(Calculations!$M134-Calculations!$C$9)+'Reaction Information'!$M$46*10^4*LN((Calculations!$C$12+Calculations!$M134)/(Calculations!$C$12+Calculations!$C$9)))+calculateOmega(Calculations!M134,Calculations!N134,Calculations!Q134,'Reaction Information'!$C$46,'Reaction Information'!$P$46*10^5,'Reaction Information'!$Q$46)*((1/Calculations!S134)-1)-'Reaction Information'!$P$46*10^5*((1/Calculations!$C$10)-1)+'Reaction Information'!$P$46*10^5*Calculations!$C$14*(Calculations!O134-Calculations!$C$8))</f>
        <v>0</v>
      </c>
      <c r="AT134" s="8">
        <f>IF(ISBLANK(Input!$BN$4),NA(),'Reaction Information'!$E$50-'Reaction Information'!$G$50*(Calculations!O134-Calculations!$C$8)-'Reaction Information'!$N$50*(Calculations!O134*LN(Calculations!O134/Calculations!$C$8)-Calculations!O134+Calculations!$C$8)-'Reaction Information'!$O$50*10^4*(((1/(Calculations!O134-Calculations!$C$13))-(1/(Calculations!$C$8-Calculations!$C$13)))*((Calculations!$C$13-Calculations!O134)/(Calculations!$C$13))-(Calculations!O134/(Calculations!$C$13*Calculations!$C$13))*LN((Calculations!$C$8*(Calculations!O134-Calculations!$C$13))/(Calculations!O134*(Calculations!$C$8-Calculations!$C$13))))+'Reaction Information'!$J$50*10^-1*(Calculations!$M134-Calculations!$C$9)+'Reaction Information'!$K$50*10^2*LN((Calculations!$C$12+Calculations!$M134)/(Calculations!$C$12+Calculations!$C$9))+(1/(Calculations!O134-Calculations!$C$13))*('Reaction Information'!$L$50*(Calculations!$M134-Calculations!$C$9)+'Reaction Information'!$M$50*10^4*LN((Calculations!$C$12+Calculations!$M134)/(Calculations!$C$12+Calculations!$C$9)))+calculateOmega(Calculations!M134,Calculations!N134,Calculations!Q134,'Reaction Information'!$C$50,'Reaction Information'!$P$50*10^5,'Reaction Information'!$Q$50)*((1/Calculations!S134)-1)-'Reaction Information'!$P$50*10^5*((1/Calculations!$C$10)-1)+'Reaction Information'!$P$50*10^5*Calculations!$C$14*(Calculations!O134-Calculations!$C$8))</f>
        <v>-127866.68814709866</v>
      </c>
      <c r="AU134" s="8" t="e">
        <f>IF(ISBLANK(Input!$BQ$4),NA(),'Reaction Information'!$E$54-'Reaction Information'!$G$54*(Calculations!$O134-Calculations!$C$8)-'Reaction Information'!$N$54*(Calculations!$O134*LN(Calculations!$O134/Calculations!$C$8)-Calculations!$O134+Calculations!$C$8)-'Reaction Information'!$O$54*10^4*(((1/(Calculations!$O134-Calculations!$C$13))-(1/(Calculations!$C$8-Calculations!$C$13)))*((Calculations!$C$13-Calculations!$O134)/(Calculations!$C$13))-(Calculations!$O134/(Calculations!$C$13*Calculations!$C$13))*LN((Calculations!$C$8*(Calculations!$O134-Calculations!$C$13))/(Calculations!$O134*(Calculations!$C$8-Calculations!$C$13))))+'Reaction Information'!$J$54*10^-1*(Calculations!$M134-Calculations!$C$9)+'Reaction Information'!$K$54*10^2*LN((Calculations!$C$12+Calculations!$M134)/(Calculations!$C$12+Calculations!$C$9))+(1/(Calculations!$O134-Calculations!$C$13))*('Reaction Information'!$L$54*(Calculations!$M134-Calculations!$C$9)+'Reaction Information'!$M$54*10^4*LN((Calculations!$C$12+Calculations!$M134)/(Calculations!$C$12+Calculations!$C$9)))+calculateOmega(Calculations!M134,Calculations!N134,Calculations!Q134,'Reaction Information'!$C$54,'Reaction Information'!$P$54*10^5,'Reaction Information'!$Q$54)*((1/Calculations!$S134)-1)-'Reaction Information'!$P$54*10^5*((1/Calculations!$C$10)-1)+'Reaction Information'!$P$54*10^5*Calculations!$C$14*(Calculations!$O134-Calculations!$C$8))</f>
        <v>#N/A</v>
      </c>
      <c r="AV134" s="8" t="e">
        <f>IF(ISBLANK(Input!$BT$4),NA(),'Reaction Information'!$E$58-'Reaction Information'!$G$58*(Calculations!$O134-Calculations!$C$8)-'Reaction Information'!$N$58*(Calculations!$O134*LN(Calculations!$O134/Calculations!$C$8)-Calculations!$O134+Calculations!$C$8)-'Reaction Information'!$O$58*10^4*(((1/(Calculations!$O134-Calculations!$C$13))-(1/(Calculations!$C$8-Calculations!$C$13)))*((Calculations!$C$13-Calculations!$O134)/(Calculations!$C$13))-(Calculations!$O134/(Calculations!$C$13*Calculations!$C$13))*LN((Calculations!$C$8*(Calculations!$O134-Calculations!$C$13))/(Calculations!$O134*(Calculations!$C$8-Calculations!$C$13))))+'Reaction Information'!$J$58*10^-1*(Calculations!$M134-Calculations!$C$9)+'Reaction Information'!$K$58*10^2*LN((Calculations!$C$12+Calculations!$M134)/(Calculations!$C$12+Calculations!$C$9))+(1/(Calculations!$O134-Calculations!$C$13))*('Reaction Information'!$L$58*(Calculations!$M134-Calculations!$C$9)+'Reaction Information'!$M$58*10^4*LN((Calculations!$C$12+Calculations!$M134)/(Calculations!$C$12+Calculations!$C$9)))+calculateOmega(Calculations!M134,Calculations!N134,Calculations!Q134,'Reaction Information'!$C$58,'Reaction Information'!$P$58*10^5,'Reaction Information'!$Q$58)*((1/Calculations!$S134)-1)-'Reaction Information'!$P$58*10^5*((1/Calculations!$C$10)-1)+'Reaction Information'!$P$58*10^5*Calculations!$C$14*(Calculations!$O134-Calculations!$C$8))</f>
        <v>#N/A</v>
      </c>
      <c r="AW134" s="8" t="e">
        <f>IF(ISBLANK(Input!$BW$4),NA(),'Reaction Information'!$E$62-'Reaction Information'!$G$62*(Calculations!$O134-Calculations!$C$8)-'Reaction Information'!$N$62*(Calculations!$O134*LN(Calculations!$O134/Calculations!$C$8)-Calculations!$O134+Calculations!$C$8)-'Reaction Information'!$O$62*10^4*(((1/(Calculations!$O134-Calculations!$C$13))-(1/(Calculations!$C$8-Calculations!$C$13)))*((Calculations!$C$13-Calculations!$O134)/(Calculations!$C$13))-(Calculations!$O134/(Calculations!$C$13*Calculations!$C$13))*LN((Calculations!$C$8*(Calculations!$O134-Calculations!$C$13))/(Calculations!$O134*(Calculations!$C$8-Calculations!$C$13))))+'Reaction Information'!$J$62*10^-1*(Calculations!$M134-Calculations!$C$9)+'Reaction Information'!$K$62*10^2*LN((Calculations!$C$12+Calculations!$M134)/(Calculations!$C$12+Calculations!$C$9))+(1/(Calculations!$O134-Calculations!$C$13))*('Reaction Information'!$L$62*(Calculations!$M134-Calculations!$C$9)+'Reaction Information'!$M$62*10^4*LN((Calculations!$C$12+Calculations!$M134)/(Calculations!$C$12+Calculations!$C$9)))+calculateOmega(Calculations!M134,Calculations!N134,Calculations!Q134,'Reaction Information'!$C$62,'Reaction Information'!$P$62*10^5,'Reaction Information'!$Q$62)*((1/Calculations!$S134)-1)-'Reaction Information'!$P$62*10^5*((1/Calculations!$C$10)-1)+'Reaction Information'!$P$62*10^5*Calculations!$C$14*(Calculations!$O134-Calculations!$C$8))</f>
        <v>#N/A</v>
      </c>
      <c r="AX134" s="8" t="e">
        <f>IF(ISBLANK(Input!$BZ$4),NA(),'Reaction Information'!$E$66-'Reaction Information'!$G$66*(Calculations!$O134-Calculations!$C$8)-'Reaction Information'!$N$66*(Calculations!$O134*LN(Calculations!$O134/Calculations!$C$8)-Calculations!$O134+Calculations!$C$8)-'Reaction Information'!$O$66*10^4*(((1/(Calculations!$O134-Calculations!$C$13))-(1/(Calculations!$C$8-Calculations!$C$13)))*((Calculations!$C$13-Calculations!$O134)/(Calculations!$C$13))-(Calculations!$O134/(Calculations!$C$13*Calculations!$C$13))*LN((Calculations!$C$8*(Calculations!$O134-Calculations!$C$13))/(Calculations!$O134*(Calculations!$C$8-Calculations!$C$13))))+'Reaction Information'!$J$66*10^-1*(Calculations!$M134-Calculations!$C$9)+'Reaction Information'!$K$66*10^2*LN((Calculations!$C$12+Calculations!$M134)/(Calculations!$C$12+Calculations!$C$9))+(1/(Calculations!$O134-Calculations!$C$13))*('Reaction Information'!$L$66*(Calculations!$M134-Calculations!$C$9)+'Reaction Information'!$M$66*10^4*LN((Calculations!$C$12+Calculations!$M134)/(Calculations!$C$12+Calculations!$C$9)))+calculateOmega(Calculations!M134,Calculations!N134,Calculations!Q134,'Reaction Information'!$C$66,'Reaction Information'!$P$66*10^5,'Reaction Information'!$Q$66)*((1/Calculations!$S134)-1)-'Reaction Information'!$P$66*10^5*((1/Calculations!$C$10)-1)+'Reaction Information'!$P$66*10^5*Calculations!$C$14*(Calculations!$O134-Calculations!$C$8))</f>
        <v>#N/A</v>
      </c>
      <c r="AY134" s="31">
        <f>(AL134*Input!$AO$4+AM134*Input!$AR$4+AN134*Input!$AU$4+AO134*Input!$AX$4+IF(ISNA(AP134),0,AP134*Input!$BA$4)+IF(ISNA(AQ134),0,AQ134*Input!$BD$4)+IF(ISNA(AR134),0,AR134*Input!$BG$4)+IF(ISNA(AS134),0,AS134*Input!$BJ$4)+IF(ISNA(AT134),0,AT134*Input!$BM$4)+IF(ISNA(AU134),0,AU134*Input!$BP$4)+IF(ISNA(AV134),0,AV134*Input!$BS$4)+IF(ISNA(AW134),0,AW134*Input!$BV$4)+IF(ISNA(AX134),0,AX134*Input!$BY$4))-(Y134*Input!$B$4+Z134*Input!$E$4+AA134*Input!$H$4+AB134*Input!$K$4+IF(ISNA(AC134),0,AC134*Input!$N$4)+IF(ISNA(AD134),0,AD134*Input!$Q$4)+IF(ISNA(AE134),0,AE134*Input!$T$4)+IF(ISNA(AF134),0,AF134*Input!$W$4)+IF(ISNA(AG134),0,AG134*Input!$Z$4)+IF(ISNA(AH134),0,AH134*Input!$AC$4)+IF(ISNA(AI134),0,AI134*Input!$AF$4)+IF(ISNA(AJ134),0,AJ134*Input!$AI$4)+IF(ISNA(AK134),0,AK134*Input!$AL$4))</f>
        <v>16897.457097058461</v>
      </c>
      <c r="AZ134" s="42">
        <f t="shared" ref="AZ134:AZ165" si="39">-AY134/(2.302585*O134*$C$11)</f>
        <v>-3.7972871446009129</v>
      </c>
      <c r="BA134" s="1">
        <f t="shared" si="27"/>
        <v>700</v>
      </c>
      <c r="BB134" s="46">
        <f t="shared" si="28"/>
        <v>45000</v>
      </c>
      <c r="BC134" s="1"/>
      <c r="BD134" s="2">
        <f t="shared" si="29"/>
        <v>45000</v>
      </c>
      <c r="BE134" s="46">
        <f t="shared" si="30"/>
        <v>700</v>
      </c>
      <c r="BF134" s="1">
        <f>Results!AJ136</f>
        <v>0</v>
      </c>
      <c r="BG134" s="1">
        <f>Results!AK136</f>
        <v>0</v>
      </c>
      <c r="BH134" s="1">
        <f>Results!AL136</f>
        <v>0</v>
      </c>
      <c r="BI134" s="1">
        <f>Results!AM136</f>
        <v>0</v>
      </c>
      <c r="BJ134" s="1" t="e">
        <f>IF(OR(ISNA('Reaction Information'!$D$5), $N134 = "", $D$27 = FALSE, 'Reaction Information'!$D$5 = ""), NA(), 24.465)</f>
        <v>#N/A</v>
      </c>
      <c r="BK134" s="1" t="e">
        <f>IF(OR(ISNA('Reaction Information'!$D$9), $N134 = "", $D$27 = FALSE, 'Reaction Information'!$D$9 = ""), NA(), 24.465)</f>
        <v>#N/A</v>
      </c>
      <c r="BL134" s="8">
        <f t="shared" ref="BL134:BL165" si="40">IF(AND(BL$5="H2O",$D$27),18.01528/$Q134,NA())</f>
        <v>13.561784169291753</v>
      </c>
      <c r="BM134" s="8">
        <f>IF(OR(ISBLANK(Input!$X$4),$D$27=FALSE),NA(),('Reaction Information'!$J$13/10+'Reaction Information'!$K$13*100/(Calculations!$C$12+Calculations!$M134)+('Reaction Information'!$L$13+'Reaction Information'!$M$13*10^4/(Calculations!$C$12+Calculations!$M134))/(Calculations!$O134-Calculations!$C$13) -calculateOmega(Calculations!$M134,Calculations!$N134,Calculations!$Q134,'Reaction Information'!$C$13,'Reaction Information'!$P$13*10^5,'Reaction Information'!$Q$13)*Calculations!$U134*10^-6 + (1/$S134 - 1)*calculate_domegadP(Calculations!$M134,Calculations!$N134,Calculations!$Q134,'Reaction Information'!$C$13,'Reaction Information'!$P$13*10^5,'Reaction Information'!$Q$13,$D$20,$D$19=3))*41.84)</f>
        <v>30.036761675402293</v>
      </c>
      <c r="BN134" s="8" t="e">
        <f>IF(OR(ISBLANK(Input!$AA$4),$D$27=FALSE),NA(),('Reaction Information'!$J$17/10+'Reaction Information'!$K$17*100/(Calculations!$C$12+Calculations!$M134)+('Reaction Information'!$L$17+'Reaction Information'!$M$17*10000/(Calculations!$C$12+Calculations!$M134))/(Calculations!$O134-Calculations!$C$13)-calculateOmega(Calculations!M134,Calculations!N134,Calculations!Q134,'Reaction Information'!$C$17,'Reaction Information'!$P$17*10^5,'Reaction Information'!$Q$17)*Calculations!$U134*10^-6 + (1/$S134 - 1)*calculate_domegadP(Calculations!M134,Calculations!N134,Calculations!Q134,'Reaction Information'!$C$17,'Reaction Information'!$P$17*10^5,'Reaction Information'!$Q$17,$D$20,$D$19=3))*41.84)</f>
        <v>#N/A</v>
      </c>
      <c r="BO134" s="8" t="e">
        <f>IF(OR(ISBLANK(Input!$AD$4),$D$27=FALSE),NA(),('Reaction Information'!$J$21/10+'Reaction Information'!$K$21*100/(Calculations!$C$12+Calculations!$M134)+('Reaction Information'!$L$21+'Reaction Information'!$M$21*10000/(Calculations!$C$12+Calculations!$M134))/(Calculations!$O134-Calculations!$C$13)-calculateOmega(Calculations!M134,Calculations!N134,Calculations!Q134,'Reaction Information'!$C$21,'Reaction Information'!$P$21*10^5,'Reaction Information'!$Q$21)*Calculations!$U134*10^-6 + (1/$S134 - 1)*calculate_domegadP(Calculations!M134,Calculations!N134,Calculations!Q134,'Reaction Information'!$C$21,'Reaction Information'!$P$21*10^5,'Reaction Information'!$Q$21,$D$20,$D$19=3))*41.84)</f>
        <v>#N/A</v>
      </c>
      <c r="BP134" s="8" t="e">
        <f>IF(OR(ISBLANK(Input!$AG$4),$D$27=FALSE),NA(),('Reaction Information'!$J$25/10+'Reaction Information'!$K$25*100/(Calculations!$C$12+Calculations!$M134)+('Reaction Information'!$L$25+'Reaction Information'!$M$25*10000/(Calculations!$C$12+Calculations!$M134))/(Calculations!$O134-Calculations!$C$13)-calculateOmega(Calculations!M134,Calculations!N134,Calculations!Q134,'Reaction Information'!$C$25,'Reaction Information'!$P$25*10^5,'Reaction Information'!$Q$25)*Calculations!$U134*10^-6 + (1/$S134 - 1)*calculate_domegadP(Calculations!M134,Calculations!N134,Calculations!Q134,'Reaction Information'!$C$25,'Reaction Information'!$P$25*10^5,'Reaction Information'!$Q$25,$D$20,$D$19=3))*41.84)</f>
        <v>#N/A</v>
      </c>
      <c r="BQ134" s="8" t="e">
        <f>IF(OR(ISBLANK(Input!$AJ$4),$D$27=FALSE),NA(),('Reaction Information'!$J$29/10+'Reaction Information'!$K$29*100/(Calculations!$C$12+Calculations!$M134)+('Reaction Information'!$L$29+'Reaction Information'!$M$29*10000/(Calculations!$C$12+Calculations!$M134))/(Calculations!$O134-Calculations!$C$13)-calculateOmega(Calculations!M134,Calculations!N134,Calculations!Q134,'Reaction Information'!$C$29,'Reaction Information'!$P$29*10^5,'Reaction Information'!$Q$29)*Calculations!$U134*10^-6 + (1/$S134 - 1)*calculate_domegadP(Calculations!M134,Calculations!N134,Calculations!Q134,'Reaction Information'!$C$29,'Reaction Information'!$P$29*10^5,'Reaction Information'!$Q$29,$D$20,$D$19=3))*41.84)</f>
        <v>#N/A</v>
      </c>
      <c r="BR134" s="8" t="e">
        <f>IF(OR(ISBLANK(Input!$AM$4),$D$27=FALSE),NA(),('Reaction Information'!$J$33/10+'Reaction Information'!$K$33*100/(Calculations!$C$12+Calculations!$M134)+('Reaction Information'!$L$33+'Reaction Information'!$M$33*10000/(Calculations!$C$12+Calculations!$M134))/(Calculations!$O134-Calculations!$C$13)-calculateOmega(Calculations!M134,Calculations!N134,Calculations!Q134,'Reaction Information'!$C$33,'Reaction Information'!$P$33*10^5,'Reaction Information'!$Q$33)*Calculations!$U134*10^-6 + (1/$S134 - 1)*calculate_domegadP(Calculations!M134,Calculations!N134,Calculations!Q134,'Reaction Information'!$C$33,'Reaction Information'!$P$33*10^5,'Reaction Information'!$Q$33,$D$20,$D$19=3))*41.84)</f>
        <v>#N/A</v>
      </c>
      <c r="BS134" s="1">
        <f>Results!AW136</f>
        <v>0</v>
      </c>
      <c r="BT134" s="1">
        <f>Results!AX136</f>
        <v>0</v>
      </c>
      <c r="BU134" s="1">
        <f>Results!AY136</f>
        <v>0</v>
      </c>
      <c r="BV134" s="1">
        <f>Results!AZ136</f>
        <v>0</v>
      </c>
      <c r="BW134" s="1" t="e">
        <f>IF(OR(ISNA('Reaction Information'!$D$38), $N134 = "", $D$27 = FALSE, 'Reaction Information'!$D$38 = ""), NA(), 24.465)</f>
        <v>#N/A</v>
      </c>
      <c r="BX134" s="1" t="e">
        <f>IF(OR(ISNA('Reaction Information'!$D$42), $N134 = "", $D$27 = FALSE, 'Reaction Information'!$D$42 = ""), NA(), 24.465)</f>
        <v>#N/A</v>
      </c>
      <c r="BY134" s="8" t="e">
        <f t="shared" ref="BY134:BY165" si="41">IF(AND(BY$5="H2O",$D$27),18.01528/$Q134,NA())</f>
        <v>#N/A</v>
      </c>
      <c r="BZ134" s="8">
        <f>IF(OR(ISBLANK(Input!$BK$4),$D$27=FALSE),NA(),('Reaction Information'!$J$46/10+'Reaction Information'!$K$46*100/(Calculations!$C$12+Calculations!$M134)+('Reaction Information'!$L$46+'Reaction Information'!$M$46*10000/(Calculations!$C$12+Calculations!$M134))/(Calculations!$O134-Calculations!$C$13)-calculateOmega(Calculations!M134,Calculations!N134,Calculations!Q134,'Reaction Information'!$C$46,'Reaction Information'!$P$46*10^5,'Reaction Information'!$Q$46)*Calculations!$U134*10^-6 + (1/$S134 - 1)*calculate_domegadP(Calculations!M134,Calculations!N134,Calculations!Q134,'Reaction Information'!$C$46,'Reaction Information'!$P$46*10^5,'Reaction Information'!$Q$46,$D$20,$D$19=3))*41.84)</f>
        <v>0</v>
      </c>
      <c r="CA134" s="8">
        <f>IF(OR(ISBLANK(Input!$BN$4),$D$27=FALSE),NA(),('Reaction Information'!$J$50/10+'Reaction Information'!$K$50*100/(Calculations!$C$12+Calculations!$M134)+('Reaction Information'!$L$50+'Reaction Information'!$M$50*10000/(Calculations!$C$12+Calculations!$M134))/(Calculations!$O134-Calculations!$C$13)-calculateOmega(Calculations!M134,Calculations!N134,Calculations!Q134,'Reaction Information'!$C$50,'Reaction Information'!$P$50*10^5,'Reaction Information'!$Q$50)*Calculations!$U134*10^-6 + (1/$S134 - 1)*calculate_domegadP(Calculations!M134,Calculations!N134,Calculations!Q134,'Reaction Information'!$C$50,'Reaction Information'!$P$50*10^5,'Reaction Information'!$Q$50,$D$20,$D$19=3))*41.84)</f>
        <v>31.181402981668576</v>
      </c>
      <c r="CB134" s="8" t="e">
        <f>IF(OR(ISBLANK(Input!$BQ$4),$D$27=FALSE),NA(),('Reaction Information'!$J$54/10+'Reaction Information'!$K$54*100/(Calculations!$C$12+Calculations!$M134)+('Reaction Information'!$L$54+'Reaction Information'!$M$54*10000/(Calculations!$C$12+Calculations!$M134))/(Calculations!$O134-Calculations!$C$13)-calculateOmega(Calculations!M134,Calculations!N134,Calculations!Q134,'Reaction Information'!$C$54,'Reaction Information'!$P$54*10^5,'Reaction Information'!$Q$54)*Calculations!$U134*10^-6 + (1/$S134 - 1)*calculate_domegadP(Calculations!M134,Calculations!N134,Calculations!Q134,'Reaction Information'!$C$54,'Reaction Information'!$P$54*10^5,'Reaction Information'!$Q$54,$D$20,$D$19=3))*41.84)</f>
        <v>#N/A</v>
      </c>
      <c r="CC134" s="8" t="e">
        <f>IF(OR(ISBLANK(Input!$BT$4),$D$27=FALSE),NA(),('Reaction Information'!$J$58/10+'Reaction Information'!$K$58*100/(Calculations!$C$12+Calculations!$M134)+('Reaction Information'!$L$58+'Reaction Information'!$M$58*10000/(Calculations!$C$12+Calculations!$M134))/(Calculations!$O134-Calculations!$C$13)-calculateOmega(Calculations!M134,Calculations!N134,Calculations!Q134,'Reaction Information'!$C$58,'Reaction Information'!$P$58*10^5,'Reaction Information'!$Q$58)*Calculations!$U134*10^-6 + (1/$S134 - 1)*calculate_domegadP(Calculations!M134,Calculations!N134,Calculations!Q134,'Reaction Information'!$C$58,'Reaction Information'!$P$58*10^5,'Reaction Information'!$Q$58,$D$20,$D$19=3))*41.84)</f>
        <v>#N/A</v>
      </c>
      <c r="CD134" s="8" t="e">
        <f>IF(OR(ISBLANK(Input!$BW$4),$D$27=FALSE),NA(),('Reaction Information'!$J$62/10+'Reaction Information'!$K$62*100/(Calculations!$C$12+Calculations!$M134)+('Reaction Information'!$L$62+'Reaction Information'!$M$62*10000/(Calculations!$C$12+Calculations!$M134))/(Calculations!$O134-Calculations!$C$13)-calculateOmega(Calculations!M134,Calculations!N134,Calculations!Q134,'Reaction Information'!$C$62,'Reaction Information'!$P$62*10^5,'Reaction Information'!$Q$62)*Calculations!$U134*10^-6 + (1/$S134 - 1)*calculate_domegadP(Calculations!M134,Calculations!N134,Calculations!Q134,'Reaction Information'!$C$62,'Reaction Information'!$P$62*10^5,'Reaction Information'!$Q$62,$D$20,$D$19=3))*41.84)</f>
        <v>#N/A</v>
      </c>
      <c r="CE134" s="8" t="e">
        <f>IF(OR(ISBLANK(Input!$BZ$4),$D$27=FALSE),NA(),('Reaction Information'!$J$66/10+'Reaction Information'!$K$66*100/(Calculations!$C$12+Calculations!$M134)+('Reaction Information'!$L$66+'Reaction Information'!$M$66*10000/(Calculations!$C$12+Calculations!$M134))/(Calculations!$O134-Calculations!$C$13)-calculateOmega(Calculations!M134,Calculations!N134,Calculations!Q134,'Reaction Information'!$C$66,'Reaction Information'!$P$66*10^5,'Reaction Information'!$Q$66)*Calculations!$U134*10^-6 + (1/$S134 - 1)*calculate_domegadP(Calculations!M134,Calculations!N134,Calculations!Q134,'Reaction Information'!$C$66,'Reaction Information'!$P$66*10^5,'Reaction Information'!$Q$66,$D$20,$D$19=3))*41.84)</f>
        <v>#N/A</v>
      </c>
      <c r="CF134" s="31">
        <f>(BS134*Input!$AO$4+BT134*Input!$AR$4+BU134*Input!$AU$4+BV134*Input!$AX$4+IF(ISNA(BW134),0,BW134*Input!$BA$4)+IF(ISNA(BX134),0,BX134*Input!$BD$4)+IF(ISNA(BY134),0,BY134*Input!$BG$4)+IF(ISNA(BZ134),0,BZ134*Input!$BJ$4)+IF(ISNA(CA134),0,CA134*Input!$BM$4)+IF(ISNA(CB134),0,CB134*Input!$BP$4)+IF(ISNA(CC134),0,CC134*Input!$BS$4)+IF(ISNA(CD134),0,CD134*Input!$BV$4)+IF(ISNA(CE134),0,CE134*Input!$BY$4))-(BF134*Input!$B$4+BG134*Input!$E$4+BH134*Input!$H$4+BI134*Input!$K$4+IF(ISNA(BJ134),0,BJ134*Input!$N$4)+IF(ISNA(BK134),0,BK134*Input!$Q$4)+IF(ISNA(BL134),0,BL134*Input!$T$4)+IF(ISNA(BM134),0,BM134*Input!$W$4)+IF(ISNA(BN134),0,BN134*Input!$Z$4)+IF(ISNA(BO134),0,BO134*Input!$AC$4)+IF(ISNA(BP134),0,BP134*Input!$AF$4)+IF(ISNA(BQ134),0,BQ134*Input!$AI$4)+IF(ISNA(BR134),0,BR134*Input!$AL$4))</f>
        <v>-12.417142863025468</v>
      </c>
      <c r="CG134" s="1">
        <f t="shared" si="31"/>
        <v>700</v>
      </c>
      <c r="CH134" s="46">
        <f t="shared" si="32"/>
        <v>45000</v>
      </c>
      <c r="CI134" s="1"/>
    </row>
    <row r="135" spans="1:87" x14ac:dyDescent="0.2">
      <c r="A135" s="1"/>
      <c r="B135" s="1"/>
      <c r="C135" s="1"/>
      <c r="D135" s="1"/>
      <c r="E135" s="1"/>
      <c r="F135" s="2">
        <v>130</v>
      </c>
      <c r="G135" s="1" t="str">
        <f>IF(ISBLANK(Input!CB135), "", Input!CB135*1000)</f>
        <v/>
      </c>
      <c r="H135" s="1" t="str">
        <f>IF(ISBLANK(Input!CC135), "", Input!CC135)</f>
        <v/>
      </c>
      <c r="I135" s="1">
        <f>IF(Input!$CF$5 + Input!$CF$6*(FLOOR((Calculations!$F135-1)/(FLOOR((Input!$CF$12-Input!$CF$10)/Input!$CF$11,1)+1),1)) &gt; Input!$CF$7, "", (Input!$CF$5 + Input!$CF$6*(FLOOR((Calculations!$F135-1)/(FLOOR((Input!$CF$12-Input!$CF$10)/Input!$CF$11,1)+1),1)))*1000)</f>
        <v>45000</v>
      </c>
      <c r="J135" s="1">
        <f>IF(Calculations!I135 = "", "", Input!$CF$10 + Input!$CF$11*(Calculations!$F135-1) - (FLOOR((Input!$CF$12-Input!$CF$10)/Input!$CF$11,1)+1)*Input!$CF$11*FLOOR((Calculations!$F135-1)/(FLOOR((Input!$CF$12-Input!$CF$10)/Input!$CF$11,1)+1),1))</f>
        <v>750</v>
      </c>
      <c r="K135" s="8" t="str">
        <f t="shared" si="33"/>
        <v/>
      </c>
      <c r="L135" s="117" t="str">
        <f>IF(OR(Input!$CJ$5 + Input!$CJ$6*(Calculations!F135-1) &gt; Input!$CJ$7, Input!$CJ$5 + Input!$CJ$6*(Calculations!F135-1) &gt; 350), "", Input!$CJ$5 + Input!$CJ$6*(Calculations!F135-1))</f>
        <v/>
      </c>
      <c r="M135" s="1">
        <f t="shared" ref="M135:M198" si="42">CHOOSE($D$19,$G135,$I135,K135)</f>
        <v>45000</v>
      </c>
      <c r="N135" s="1">
        <f t="shared" ref="N135:N198" si="43">CHOOSE($D$19,$H135,$J135,L135)</f>
        <v>750</v>
      </c>
      <c r="O135" s="1">
        <f t="shared" si="38"/>
        <v>1023.15</v>
      </c>
      <c r="P135" s="1" t="e">
        <f>IF(OR($D$20=3,AND($D$21=TRUE,M135&lt;1000)),INDEX('Water Density'!$C$6:$CX$120,MATCH(Calculations!N135,'Water Density'!$B$6:$B$120),MATCH(Calculations!M135/1000,'Water Density'!$C$5:$CX$5)),NA())</f>
        <v>#N/A</v>
      </c>
      <c r="Q135" s="182">
        <f>IF(OR($D$20=3,AND($D$21=TRUE,M135&lt;1000)), IF(P135&lt;&gt;0,P135,NA()), calculateDensity(M135,N135,$D$20,0.01,$D$19 = 3))</f>
        <v>1.3152064091247322</v>
      </c>
      <c r="R135" s="1" t="e">
        <f>IF($D$22=5,INDEX('Dielectric Constant'!$C$6:$CX$120,MATCH(Calculations!N135,'Dielectric Constant'!$B$6:$B$120),MATCH(Calculations!M135/1000,'Dielectric Constant'!$C$5:$CX$5)),NA())</f>
        <v>#N/A</v>
      </c>
      <c r="S135" s="58">
        <f>IF($D$22=5, IF(R135&lt;&gt;0,R135,NA()), IF(AND($D$23,M135&lt;=5000,$D$19 &lt;&gt; 3),calculateEpsilon(Q135,N135,1,FALSE),calculateEpsilon(Q135,N135,$D$22,$D$19 = 3)))</f>
        <v>24.529816945316096</v>
      </c>
      <c r="T135" s="1" t="e">
        <f>IF($D$24=3,INDEX('Water Free Energy'!$C$6:$CX$120,MATCH(Calculations!N135,'Water Free Energy'!$B$6:$B$120),MATCH(Calculations!M135/1000,'Water Free Energy'!$C$5:$CX$5)),NA())</f>
        <v>#N/A</v>
      </c>
      <c r="U135" s="179">
        <f>IF($D$27,calculateQ(M135,N135,Q135,$D$20,$D$22,$D$19=3)*10^6,NA())</f>
        <v>0.18195719842361754</v>
      </c>
      <c r="V135"/>
      <c r="W135" s="2">
        <f t="shared" ref="W135:W198" si="44">$M135</f>
        <v>45000</v>
      </c>
      <c r="X135" s="1">
        <f t="shared" ref="X135:X198" si="45">$N135</f>
        <v>750</v>
      </c>
      <c r="Y135" s="1">
        <f>Results!F137</f>
        <v>0</v>
      </c>
      <c r="Z135" s="1">
        <f>Results!G137</f>
        <v>0</v>
      </c>
      <c r="AA135" s="1">
        <f>Results!H137</f>
        <v>0</v>
      </c>
      <c r="AB135" s="1">
        <f>Results!I137</f>
        <v>0</v>
      </c>
      <c r="AC135" s="1" t="e">
        <f>IF(ISBLANK(Input!$O$4),NA(),'Reaction Information'!$E$5-'Reaction Information'!$G$5*(Calculations!$O135-Calculations!$C$8)+'Reaction Information'!$I$5*(Calculations!$O135-Calculations!$C$8-Calculations!$O135*LN(Calculations!$O135/Calculations!$C$8))+'Reaction Information'!$J$5*0.001/2*(2*Calculations!$O135*Calculations!$C$8-Calculations!$O135^2-Calculations!$C$8^2) + 'Reaction Information'!$K$5*100000*(Calculations!$O135^2 + Calculations!$C$8^2 - 2*Calculations!$O135*Calculations!$C$8)/(2*Calculations!$O135*Calculations!$C$8^2))</f>
        <v>#N/A</v>
      </c>
      <c r="AD135" s="8" t="e">
        <f>IF(ISBLANK(Input!$R$4),NA(),'Reaction Information'!$E$9-'Reaction Information'!$G$9*(Calculations!$O135-Calculations!$C$8)+'Reaction Information'!$I$9*(Calculations!$O135-Calculations!$C$8-Calculations!$O135*LN(Calculations!$O135/Calculations!$C$8))+'Reaction Information'!$J$9*0.001/2*(2*Calculations!$O135*Calculations!$C$8-Calculations!$O135^2-Calculations!$C$8^2) + 'Reaction Information'!$K$9*100000*(Calculations!$O135^2 + Calculations!$C$8^2 - 2*Calculations!$O135*Calculations!$C$8)/(2*Calculations!$O135*Calculations!$C$8^2))</f>
        <v>#N/A</v>
      </c>
      <c r="AE135" s="8">
        <f>IF(AE$5="H2O",IF($D$24=3,IF(T135=0,NA(),T135),calculateGibbsOfWater(M135,N135,$D$24,$D$20,$D$19=3)),NA())</f>
        <v>-58908.065027467484</v>
      </c>
      <c r="AF135" s="8">
        <f>IF(ISBLANK(Input!$X$4),NA(),'Reaction Information'!$E$13-'Reaction Information'!$G$13*(Calculations!O135-Calculations!$C$8)-'Reaction Information'!$N$13*(Calculations!O135*LN(Calculations!O135/Calculations!$C$8)-Calculations!O135+Calculations!$C$8)-'Reaction Information'!$O$13*10^4*(((1/(Calculations!O135-Calculations!$C$13))-(1/(Calculations!$C$8-Calculations!$C$13)))*((Calculations!$C$13-Calculations!O135)/(Calculations!$C$13))-(Calculations!O135/(Calculations!$C$13*Calculations!$C$13))*LN((Calculations!$C$8*(Calculations!O135-Calculations!$C$13))/(Calculations!O135*(Calculations!$C$8-Calculations!$C$13))))+'Reaction Information'!$J$13*10^-1*(Calculations!M135-Calculations!$C$9)+'Reaction Information'!$K$13*10^2*LN((Calculations!$C$12+Calculations!M135)/(Calculations!$C$12+Calculations!$C$9))+(1/(Calculations!O135-Calculations!$C$13))*('Reaction Information'!$L$13*(Calculations!M135-Calculations!$C$9)+'Reaction Information'!$M$13*10^4*LN((Calculations!$C$12+Calculations!M135)/(Calculations!$C$12+Calculations!$C$9)))+calculateOmega(Calculations!M135,Calculations!N135,Calculations!Q135,'Reaction Information'!$C$13,'Reaction Information'!$P$13*10^5,'Reaction Information'!$Q$13)*((1/Calculations!S135)-1)-'Reaction Information'!$P$13*10^5*((1/Calculations!$C$10)-1)+'Reaction Information'!$P$13*10^5*Calculations!$C$14*(Calculations!O135-Calculations!$C$8))</f>
        <v>-89719.274515763493</v>
      </c>
      <c r="AG135" s="8" t="e">
        <f>IF(ISBLANK(Input!$AA$4),NA(),'Reaction Information'!$E$17-'Reaction Information'!$G$17*(Calculations!$O135-Calculations!$C$8)-'Reaction Information'!$N$17*(Calculations!$O135*LN(Calculations!$O135/Calculations!$C$8)-Calculations!$O135+Calculations!$C$8)-'Reaction Information'!$O$17*10^4*(((1/(Calculations!$O135-Calculations!$C$13))-(1/(Calculations!$C$8-Calculations!$C$13)))*((Calculations!$C$13-Calculations!$O135)/(Calculations!$C$13))-(Calculations!$O135/(Calculations!$C$13*Calculations!$C$13))*LN((Calculations!$C$8*(Calculations!$O135-Calculations!$C$13))/(Calculations!$O135*(Calculations!$C$8-Calculations!$C$13))))+'Reaction Information'!$J$17*10^-1*(Calculations!$M135-Calculations!$C$9)+'Reaction Information'!$K$17*10^2*LN((Calculations!$C$12+Calculations!$M135)/(Calculations!$C$12+Calculations!$C$9))+(1/(Calculations!$O135-Calculations!$C$13))*('Reaction Information'!$L$17*(Calculations!$M135-Calculations!$C$9)+'Reaction Information'!$M$17*10^4*LN((Calculations!$C$12+Calculations!$M135)/(Calculations!$C$12+Calculations!$C$9)))+calculateOmega(Calculations!M135,Calculations!N135,Calculations!Q135,'Reaction Information'!$C$17,'Reaction Information'!$P$17*10^5,'Reaction Information'!$Q$17)*((1/Calculations!$S135)-1)-'Reaction Information'!$P$17*10^5*((1/Calculations!$C$10)-1)+'Reaction Information'!$P$17*10^5*Calculations!$C$14*(Calculations!$O135-Calculations!$C$8))</f>
        <v>#N/A</v>
      </c>
      <c r="AH135" s="8" t="e">
        <f>IF(ISBLANK(Input!$AD$4),NA(),'Reaction Information'!$E$21-'Reaction Information'!$G$21*(Calculations!$O135-Calculations!$C$8)-'Reaction Information'!$N$21*(Calculations!$O135*LN(Calculations!$O135/Calculations!$C$8)-Calculations!$O135+Calculations!$C$8)-'Reaction Information'!$O$21*10^4*(((1/(Calculations!$O135-Calculations!$C$13))-(1/(Calculations!$C$8-Calculations!$C$13)))*((Calculations!$C$13-Calculations!$O135)/(Calculations!$C$13))-(Calculations!$O135/(Calculations!$C$13*Calculations!$C$13))*LN((Calculations!$C$8*(Calculations!$O135-Calculations!$C$13))/(Calculations!$O135*(Calculations!$C$8-Calculations!$C$13))))+'Reaction Information'!$J$21*10^-1*(Calculations!$M135-Calculations!$C$9)+'Reaction Information'!$K$21*10^2*LN((Calculations!$C$12+Calculations!$M135)/(Calculations!$C$12+Calculations!$C$9))+(1/(Calculations!$O135-Calculations!$C$13))*('Reaction Information'!$L$21*(Calculations!$M135-Calculations!$C$9)+'Reaction Information'!$M$21*10^4*LN((Calculations!$C$12+Calculations!$M135)/(Calculations!$C$12+Calculations!$C$9)))+calculateOmega(Calculations!M135,Calculations!N135,Calculations!Q135,'Reaction Information'!$C$21,'Reaction Information'!$P$21*10^5,'Reaction Information'!$Q$21)*((1/Calculations!$S135)-1)-'Reaction Information'!$P$21*10^5*((1/Calculations!$C$10)-1)+'Reaction Information'!$P$21*10^5*Calculations!$C$14*(Calculations!$O135-Calculations!$C$8))</f>
        <v>#N/A</v>
      </c>
      <c r="AI135" s="8" t="e">
        <f>IF(ISBLANK(Input!$AG$4),NA(),'Reaction Information'!$E$25-'Reaction Information'!$G$25*(Calculations!$O135-Calculations!$C$8)-'Reaction Information'!$N$25*(Calculations!$O135*LN(Calculations!$O135/Calculations!$C$8)-Calculations!$O135+Calculations!$C$8)-'Reaction Information'!$O$25*10^4*(((1/(Calculations!$O135-Calculations!$C$13))-(1/(Calculations!$C$8-Calculations!$C$13)))*((Calculations!$C$13-Calculations!$O135)/(Calculations!$C$13))-(Calculations!$O135/(Calculations!$C$13*Calculations!$C$13))*LN((Calculations!$C$8*(Calculations!$O135-Calculations!$C$13))/(Calculations!$O135*(Calculations!$C$8-Calculations!$C$13))))+'Reaction Information'!$J$25*10^-1*(Calculations!$M135-Calculations!$C$9)+'Reaction Information'!$K$25*10^2*LN((Calculations!$C$12+Calculations!$M135)/(Calculations!$C$12+Calculations!$C$9))+(1/(Calculations!$O135-Calculations!$C$13))*('Reaction Information'!$L$25*(Calculations!$M135-Calculations!$C$9)+'Reaction Information'!$M$25*10^4*LN((Calculations!$C$12+Calculations!$M135)/(Calculations!$C$12+Calculations!$C$9)))+calculateOmega(Calculations!M135,Calculations!N135,Calculations!Q135,'Reaction Information'!$C$25,'Reaction Information'!$P$25*10^5,'Reaction Information'!$Q$25)*((1/Calculations!$S135)-1)-'Reaction Information'!$P$25*10^5*((1/Calculations!$C$10)-1)+'Reaction Information'!$P$25*10^5*Calculations!$C$14*(Calculations!$O135-Calculations!$C$8))</f>
        <v>#N/A</v>
      </c>
      <c r="AJ135" s="8" t="e">
        <f>IF(ISBLANK(Input!$AJ$4),NA(),'Reaction Information'!$E$29-'Reaction Information'!$G$29*(Calculations!$O135-Calculations!$C$8)-'Reaction Information'!$N$29*(Calculations!$O135*LN(Calculations!$O135/Calculations!$C$8)-Calculations!$O135+Calculations!$C$8)-'Reaction Information'!$O$29*10^4*(((1/(Calculations!$O135-Calculations!$C$13))-(1/(Calculations!$C$8-Calculations!$C$13)))*((Calculations!$C$13-Calculations!$O135)/(Calculations!$C$13))-(Calculations!$O135/(Calculations!$C$13*Calculations!$C$13))*LN((Calculations!$C$8*(Calculations!$O135-Calculations!$C$13))/(Calculations!$O135*(Calculations!$C$8-Calculations!$C$13))))+'Reaction Information'!$J$29*10^-1*(Calculations!$M135-Calculations!$C$9)+'Reaction Information'!$K$29*10^2*LN((Calculations!$C$12+Calculations!$M135)/(Calculations!$C$12+Calculations!$C$9))+(1/(Calculations!$O135-Calculations!$C$13))*('Reaction Information'!$L$29*(Calculations!$M135-Calculations!$C$9)+'Reaction Information'!$M$29*10^4*LN((Calculations!$C$12+Calculations!$M135)/(Calculations!$C$12+Calculations!$C$9)))+calculateOmega(Calculations!M135,Calculations!N135,Calculations!Q135,'Reaction Information'!$C$29,'Reaction Information'!$P$29*10^5,'Reaction Information'!$Q$29)*((1/Calculations!$S135)-1)-'Reaction Information'!$P$29*10^5*((1/Calculations!$C$10)-1)+'Reaction Information'!$P$29*10^5*Calculations!$C$14*(Calculations!$O135-Calculations!$C$8))</f>
        <v>#N/A</v>
      </c>
      <c r="AK135" s="8" t="e">
        <f>IF(ISBLANK(Input!$AM$4),NA(),'Reaction Information'!$E$33-'Reaction Information'!$G$33*(Calculations!$O135-Calculations!$C$8)-'Reaction Information'!$N$33*(Calculations!$O135*LN(Calculations!$O135/Calculations!$C$8)-Calculations!$O135+Calculations!$C$8)-'Reaction Information'!$O$33*10^4*(((1/(Calculations!$O135-Calculations!$C$13))-(1/(Calculations!$C$8-Calculations!$C$13)))*((Calculations!$C$13-Calculations!$O135)/(Calculations!$C$13))-(Calculations!$O135/(Calculations!$C$13*Calculations!$C$13))*LN((Calculations!$C$8*(Calculations!$O135-Calculations!$C$13))/(Calculations!$O135*(Calculations!$C$8-Calculations!$C$13))))+'Reaction Information'!$J$33*10^-1*(Calculations!$M135-Calculations!$C$9)+'Reaction Information'!$K$33*10^2*LN((Calculations!$C$12+Calculations!$M135)/(Calculations!$C$12+Calculations!$C$9))+(1/(Calculations!$O135-Calculations!$C$13))*('Reaction Information'!$L$33*(Calculations!$M135-Calculations!$C$9)+'Reaction Information'!$M$33*10^4*LN((Calculations!$C$12+Calculations!$M135)/(Calculations!$C$12+Calculations!$C$9)))+calculateOmega(Calculations!M135,Calculations!N135,Calculations!Q135,'Reaction Information'!$C$33,'Reaction Information'!$P$33*10^5,'Reaction Information'!$Q$33)*((1/Calculations!$S135)-1)-'Reaction Information'!$P$33*10^5*((1/Calculations!$C$10)-1)+'Reaction Information'!$P$33*10^5*Calculations!$C$14*(Calculations!$O135-Calculations!$C$8))</f>
        <v>#N/A</v>
      </c>
      <c r="AL135" s="1">
        <f>Results!S137</f>
        <v>0</v>
      </c>
      <c r="AM135" s="1">
        <f>Results!T137</f>
        <v>0</v>
      </c>
      <c r="AN135" s="1">
        <f>Results!U137</f>
        <v>0</v>
      </c>
      <c r="AO135" s="1">
        <f>Results!V137</f>
        <v>0</v>
      </c>
      <c r="AP135" s="8" t="e">
        <f>IF(ISBLANK(Input!$BB$4),NA(),'Reaction Information'!$E$38-'Reaction Information'!$G$38*(Calculations!$O135-Calculations!$C$8)+'Reaction Information'!$I$38*(Calculations!$O135-Calculations!$C$8-Calculations!$O135*LN(Calculations!$O135/Calculations!$C$8))+'Reaction Information'!$J$38*0.001/2*(2*Calculations!$O135*Calculations!$C$8-Calculations!$O135^2-Calculations!$C$8^2) + 'Reaction Information'!$K$38*100000*(Calculations!$O135^2 + Calculations!$C$8^2 - 2*Calculations!$O135*Calculations!$C$8)/(2*Calculations!$O135*Calculations!$C$8^2))</f>
        <v>#N/A</v>
      </c>
      <c r="AQ135" s="8" t="e">
        <f>IF(ISBLANK(Input!$BE$4),NA(),'Reaction Information'!$E$42-'Reaction Information'!$G$42*(Calculations!$O135-Calculations!$C$8)+'Reaction Information'!$I$42*(Calculations!$O135-Calculations!$C$8-Calculations!$O135*LN(Calculations!$O135/Calculations!$C$8))+'Reaction Information'!$J$42*0.001/2*(2*Calculations!$O135*Calculations!$C$8-Calculations!$O135^2-Calculations!$C$8^2) + 'Reaction Information'!$K$42*100000*(Calculations!$O135^2 + Calculations!$C$8^2 - 2*Calculations!$O135*Calculations!$C$8)/(2*Calculations!$O135*Calculations!$C$8^2))</f>
        <v>#N/A</v>
      </c>
      <c r="AR135" s="8" t="e">
        <f>IF(AR$5="H2O", IF($D$24=3,IF(T135=0,NA(),T135),calculateGibbsOfWater(M135,N135,$D$24,$D$20,$D$19=3)),NA())</f>
        <v>#N/A</v>
      </c>
      <c r="AS135" s="8">
        <f>IF(ISBLANK(Input!$BK$4),NA(),'Reaction Information'!$E$46-'Reaction Information'!$G$46*(Calculations!O135-Calculations!$C$8)-'Reaction Information'!$N$46*(Calculations!O135*LN(Calculations!O135/Calculations!$C$8)-Calculations!O135+Calculations!$C$8)-'Reaction Information'!$O$46*10^4*(((1/(Calculations!O135-Calculations!$C$13))-(1/(Calculations!$C$8-Calculations!$C$13)))*((Calculations!$C$13-Calculations!O135)/(Calculations!$C$13))-(Calculations!O135/(Calculations!$C$13*Calculations!$C$13))*LN((Calculations!$C$8*(Calculations!O135-Calculations!$C$13))/(Calculations!O135*(Calculations!$C$8-Calculations!$C$13))))+'Reaction Information'!$J$46*10^-1*(Calculations!$M135-Calculations!$C$9)+'Reaction Information'!$K$46*10^2*LN((Calculations!$C$12+Calculations!$M135)/(Calculations!$C$12+Calculations!$C$9))+(1/(Calculations!O135-Calculations!$C$13))*('Reaction Information'!$L$46*(Calculations!$M135-Calculations!$C$9)+'Reaction Information'!$M$46*10^4*LN((Calculations!$C$12+Calculations!$M135)/(Calculations!$C$12+Calculations!$C$9)))+calculateOmega(Calculations!M135,Calculations!N135,Calculations!Q135,'Reaction Information'!$C$46,'Reaction Information'!$P$46*10^5,'Reaction Information'!$Q$46)*((1/Calculations!S135)-1)-'Reaction Information'!$P$46*10^5*((1/Calculations!$C$10)-1)+'Reaction Information'!$P$46*10^5*Calculations!$C$14*(Calculations!O135-Calculations!$C$8))</f>
        <v>0</v>
      </c>
      <c r="AT135" s="8">
        <f>IF(ISBLANK(Input!$BN$4),NA(),'Reaction Information'!$E$50-'Reaction Information'!$G$50*(Calculations!O135-Calculations!$C$8)-'Reaction Information'!$N$50*(Calculations!O135*LN(Calculations!O135/Calculations!$C$8)-Calculations!O135+Calculations!$C$8)-'Reaction Information'!$O$50*10^4*(((1/(Calculations!O135-Calculations!$C$13))-(1/(Calculations!$C$8-Calculations!$C$13)))*((Calculations!$C$13-Calculations!O135)/(Calculations!$C$13))-(Calculations!O135/(Calculations!$C$13*Calculations!$C$13))*LN((Calculations!$C$8*(Calculations!O135-Calculations!$C$13))/(Calculations!O135*(Calculations!$C$8-Calculations!$C$13))))+'Reaction Information'!$J$50*10^-1*(Calculations!$M135-Calculations!$C$9)+'Reaction Information'!$K$50*10^2*LN((Calculations!$C$12+Calculations!$M135)/(Calculations!$C$12+Calculations!$C$9))+(1/(Calculations!O135-Calculations!$C$13))*('Reaction Information'!$L$50*(Calculations!$M135-Calculations!$C$9)+'Reaction Information'!$M$50*10^4*LN((Calculations!$C$12+Calculations!$M135)/(Calculations!$C$12+Calculations!$C$9)))+calculateOmega(Calculations!M135,Calculations!N135,Calculations!Q135,'Reaction Information'!$C$50,'Reaction Information'!$P$50*10^5,'Reaction Information'!$Q$50)*((1/Calculations!S135)-1)-'Reaction Information'!$P$50*10^5*((1/Calculations!$C$10)-1)+'Reaction Information'!$P$50*10^5*Calculations!$C$14*(Calculations!O135-Calculations!$C$8))</f>
        <v>-129577.16452905376</v>
      </c>
      <c r="AU135" s="8" t="e">
        <f>IF(ISBLANK(Input!$BQ$4),NA(),'Reaction Information'!$E$54-'Reaction Information'!$G$54*(Calculations!$O135-Calculations!$C$8)-'Reaction Information'!$N$54*(Calculations!$O135*LN(Calculations!$O135/Calculations!$C$8)-Calculations!$O135+Calculations!$C$8)-'Reaction Information'!$O$54*10^4*(((1/(Calculations!$O135-Calculations!$C$13))-(1/(Calculations!$C$8-Calculations!$C$13)))*((Calculations!$C$13-Calculations!$O135)/(Calculations!$C$13))-(Calculations!$O135/(Calculations!$C$13*Calculations!$C$13))*LN((Calculations!$C$8*(Calculations!$O135-Calculations!$C$13))/(Calculations!$O135*(Calculations!$C$8-Calculations!$C$13))))+'Reaction Information'!$J$54*10^-1*(Calculations!$M135-Calculations!$C$9)+'Reaction Information'!$K$54*10^2*LN((Calculations!$C$12+Calculations!$M135)/(Calculations!$C$12+Calculations!$C$9))+(1/(Calculations!$O135-Calculations!$C$13))*('Reaction Information'!$L$54*(Calculations!$M135-Calculations!$C$9)+'Reaction Information'!$M$54*10^4*LN((Calculations!$C$12+Calculations!$M135)/(Calculations!$C$12+Calculations!$C$9)))+calculateOmega(Calculations!M135,Calculations!N135,Calculations!Q135,'Reaction Information'!$C$54,'Reaction Information'!$P$54*10^5,'Reaction Information'!$Q$54)*((1/Calculations!$S135)-1)-'Reaction Information'!$P$54*10^5*((1/Calculations!$C$10)-1)+'Reaction Information'!$P$54*10^5*Calculations!$C$14*(Calculations!$O135-Calculations!$C$8))</f>
        <v>#N/A</v>
      </c>
      <c r="AV135" s="8" t="e">
        <f>IF(ISBLANK(Input!$BT$4),NA(),'Reaction Information'!$E$58-'Reaction Information'!$G$58*(Calculations!$O135-Calculations!$C$8)-'Reaction Information'!$N$58*(Calculations!$O135*LN(Calculations!$O135/Calculations!$C$8)-Calculations!$O135+Calculations!$C$8)-'Reaction Information'!$O$58*10^4*(((1/(Calculations!$O135-Calculations!$C$13))-(1/(Calculations!$C$8-Calculations!$C$13)))*((Calculations!$C$13-Calculations!$O135)/(Calculations!$C$13))-(Calculations!$O135/(Calculations!$C$13*Calculations!$C$13))*LN((Calculations!$C$8*(Calculations!$O135-Calculations!$C$13))/(Calculations!$O135*(Calculations!$C$8-Calculations!$C$13))))+'Reaction Information'!$J$58*10^-1*(Calculations!$M135-Calculations!$C$9)+'Reaction Information'!$K$58*10^2*LN((Calculations!$C$12+Calculations!$M135)/(Calculations!$C$12+Calculations!$C$9))+(1/(Calculations!$O135-Calculations!$C$13))*('Reaction Information'!$L$58*(Calculations!$M135-Calculations!$C$9)+'Reaction Information'!$M$58*10^4*LN((Calculations!$C$12+Calculations!$M135)/(Calculations!$C$12+Calculations!$C$9)))+calculateOmega(Calculations!M135,Calculations!N135,Calculations!Q135,'Reaction Information'!$C$58,'Reaction Information'!$P$58*10^5,'Reaction Information'!$Q$58)*((1/Calculations!$S135)-1)-'Reaction Information'!$P$58*10^5*((1/Calculations!$C$10)-1)+'Reaction Information'!$P$58*10^5*Calculations!$C$14*(Calculations!$O135-Calculations!$C$8))</f>
        <v>#N/A</v>
      </c>
      <c r="AW135" s="8" t="e">
        <f>IF(ISBLANK(Input!$BW$4),NA(),'Reaction Information'!$E$62-'Reaction Information'!$G$62*(Calculations!$O135-Calculations!$C$8)-'Reaction Information'!$N$62*(Calculations!$O135*LN(Calculations!$O135/Calculations!$C$8)-Calculations!$O135+Calculations!$C$8)-'Reaction Information'!$O$62*10^4*(((1/(Calculations!$O135-Calculations!$C$13))-(1/(Calculations!$C$8-Calculations!$C$13)))*((Calculations!$C$13-Calculations!$O135)/(Calculations!$C$13))-(Calculations!$O135/(Calculations!$C$13*Calculations!$C$13))*LN((Calculations!$C$8*(Calculations!$O135-Calculations!$C$13))/(Calculations!$O135*(Calculations!$C$8-Calculations!$C$13))))+'Reaction Information'!$J$62*10^-1*(Calculations!$M135-Calculations!$C$9)+'Reaction Information'!$K$62*10^2*LN((Calculations!$C$12+Calculations!$M135)/(Calculations!$C$12+Calculations!$C$9))+(1/(Calculations!$O135-Calculations!$C$13))*('Reaction Information'!$L$62*(Calculations!$M135-Calculations!$C$9)+'Reaction Information'!$M$62*10^4*LN((Calculations!$C$12+Calculations!$M135)/(Calculations!$C$12+Calculations!$C$9)))+calculateOmega(Calculations!M135,Calculations!N135,Calculations!Q135,'Reaction Information'!$C$62,'Reaction Information'!$P$62*10^5,'Reaction Information'!$Q$62)*((1/Calculations!$S135)-1)-'Reaction Information'!$P$62*10^5*((1/Calculations!$C$10)-1)+'Reaction Information'!$P$62*10^5*Calculations!$C$14*(Calculations!$O135-Calculations!$C$8))</f>
        <v>#N/A</v>
      </c>
      <c r="AX135" s="8" t="e">
        <f>IF(ISBLANK(Input!$BZ$4),NA(),'Reaction Information'!$E$66-'Reaction Information'!$G$66*(Calculations!$O135-Calculations!$C$8)-'Reaction Information'!$N$66*(Calculations!$O135*LN(Calculations!$O135/Calculations!$C$8)-Calculations!$O135+Calculations!$C$8)-'Reaction Information'!$O$66*10^4*(((1/(Calculations!$O135-Calculations!$C$13))-(1/(Calculations!$C$8-Calculations!$C$13)))*((Calculations!$C$13-Calculations!$O135)/(Calculations!$C$13))-(Calculations!$O135/(Calculations!$C$13*Calculations!$C$13))*LN((Calculations!$C$8*(Calculations!$O135-Calculations!$C$13))/(Calculations!$O135*(Calculations!$C$8-Calculations!$C$13))))+'Reaction Information'!$J$66*10^-1*(Calculations!$M135-Calculations!$C$9)+'Reaction Information'!$K$66*10^2*LN((Calculations!$C$12+Calculations!$M135)/(Calculations!$C$12+Calculations!$C$9))+(1/(Calculations!$O135-Calculations!$C$13))*('Reaction Information'!$L$66*(Calculations!$M135-Calculations!$C$9)+'Reaction Information'!$M$66*10^4*LN((Calculations!$C$12+Calculations!$M135)/(Calculations!$C$12+Calculations!$C$9)))+calculateOmega(Calculations!M135,Calculations!N135,Calculations!Q135,'Reaction Information'!$C$66,'Reaction Information'!$P$66*10^5,'Reaction Information'!$Q$66)*((1/Calculations!$S135)-1)-'Reaction Information'!$P$66*10^5*((1/Calculations!$C$10)-1)+'Reaction Information'!$P$66*10^5*Calculations!$C$14*(Calculations!$O135-Calculations!$C$8))</f>
        <v>#N/A</v>
      </c>
      <c r="AY135" s="31">
        <f>(AL135*Input!$AO$4+AM135*Input!$AR$4+AN135*Input!$AU$4+AO135*Input!$AX$4+IF(ISNA(AP135),0,AP135*Input!$BA$4)+IF(ISNA(AQ135),0,AQ135*Input!$BD$4)+IF(ISNA(AR135),0,AR135*Input!$BG$4)+IF(ISNA(AS135),0,AS135*Input!$BJ$4)+IF(ISNA(AT135),0,AT135*Input!$BM$4)+IF(ISNA(AU135),0,AU135*Input!$BP$4)+IF(ISNA(AV135),0,AV135*Input!$BS$4)+IF(ISNA(AW135),0,AW135*Input!$BV$4)+IF(ISNA(AX135),0,AX135*Input!$BY$4))-(Y135*Input!$B$4+Z135*Input!$E$4+AA135*Input!$H$4+AB135*Input!$K$4+IF(ISNA(AC135),0,AC135*Input!$N$4)+IF(ISNA(AD135),0,AD135*Input!$Q$4)+IF(ISNA(AE135),0,AE135*Input!$T$4)+IF(ISNA(AF135),0,AF135*Input!$W$4)+IF(ISNA(AG135),0,AG135*Input!$Z$4)+IF(ISNA(AH135),0,AH135*Input!$AC$4)+IF(ISNA(AI135),0,AI135*Input!$AF$4)+IF(ISNA(AJ135),0,AJ135*Input!$AI$4)+IF(ISNA(AK135),0,AK135*Input!$AL$4))</f>
        <v>19050.175014177221</v>
      </c>
      <c r="AZ135" s="42">
        <f t="shared" si="39"/>
        <v>-4.0718477865259928</v>
      </c>
      <c r="BA135" s="1">
        <f t="shared" ref="BA135:BA198" si="46">$N135</f>
        <v>750</v>
      </c>
      <c r="BB135" s="46">
        <f t="shared" ref="BB135:BB198" si="47">$M135</f>
        <v>45000</v>
      </c>
      <c r="BC135" s="1"/>
      <c r="BD135" s="2">
        <f t="shared" ref="BD135:BD198" si="48">$M135</f>
        <v>45000</v>
      </c>
      <c r="BE135" s="46">
        <f t="shared" ref="BE135:BE198" si="49">$N135</f>
        <v>750</v>
      </c>
      <c r="BF135" s="1">
        <f>Results!AJ137</f>
        <v>0</v>
      </c>
      <c r="BG135" s="1">
        <f>Results!AK137</f>
        <v>0</v>
      </c>
      <c r="BH135" s="1">
        <f>Results!AL137</f>
        <v>0</v>
      </c>
      <c r="BI135" s="1">
        <f>Results!AM137</f>
        <v>0</v>
      </c>
      <c r="BJ135" s="1" t="e">
        <f>IF(OR(ISNA('Reaction Information'!$D$5), $N135 = "", $D$27 = FALSE, 'Reaction Information'!$D$5 = ""), NA(), 24.465)</f>
        <v>#N/A</v>
      </c>
      <c r="BK135" s="1" t="e">
        <f>IF(OR(ISNA('Reaction Information'!$D$9), $N135 = "", $D$27 = FALSE, 'Reaction Information'!$D$9 = ""), NA(), 24.465)</f>
        <v>#N/A</v>
      </c>
      <c r="BL135" s="8">
        <f t="shared" si="40"/>
        <v>13.697682641304297</v>
      </c>
      <c r="BM135" s="8">
        <f>IF(OR(ISBLANK(Input!$X$4),$D$27=FALSE),NA(),('Reaction Information'!$J$13/10+'Reaction Information'!$K$13*100/(Calculations!$C$12+Calculations!$M135)+('Reaction Information'!$L$13+'Reaction Information'!$M$13*10^4/(Calculations!$C$12+Calculations!$M135))/(Calculations!$O135-Calculations!$C$13) -calculateOmega(Calculations!$M135,Calculations!$N135,Calculations!$Q135,'Reaction Information'!$C$13,'Reaction Information'!$P$13*10^5,'Reaction Information'!$Q$13)*Calculations!$U135*10^-6 + (1/$S135 - 1)*calculate_domegadP(Calculations!$M135,Calculations!$N135,Calculations!$Q135,'Reaction Information'!$C$13,'Reaction Information'!$P$13*10^5,'Reaction Information'!$Q$13,$D$20,$D$19=3))*41.84)</f>
        <v>30.067641152890303</v>
      </c>
      <c r="BN135" s="8" t="e">
        <f>IF(OR(ISBLANK(Input!$AA$4),$D$27=FALSE),NA(),('Reaction Information'!$J$17/10+'Reaction Information'!$K$17*100/(Calculations!$C$12+Calculations!$M135)+('Reaction Information'!$L$17+'Reaction Information'!$M$17*10000/(Calculations!$C$12+Calculations!$M135))/(Calculations!$O135-Calculations!$C$13)-calculateOmega(Calculations!M135,Calculations!N135,Calculations!Q135,'Reaction Information'!$C$17,'Reaction Information'!$P$17*10^5,'Reaction Information'!$Q$17)*Calculations!$U135*10^-6 + (1/$S135 - 1)*calculate_domegadP(Calculations!M135,Calculations!N135,Calculations!Q135,'Reaction Information'!$C$17,'Reaction Information'!$P$17*10^5,'Reaction Information'!$Q$17,$D$20,$D$19=3))*41.84)</f>
        <v>#N/A</v>
      </c>
      <c r="BO135" s="8" t="e">
        <f>IF(OR(ISBLANK(Input!$AD$4),$D$27=FALSE),NA(),('Reaction Information'!$J$21/10+'Reaction Information'!$K$21*100/(Calculations!$C$12+Calculations!$M135)+('Reaction Information'!$L$21+'Reaction Information'!$M$21*10000/(Calculations!$C$12+Calculations!$M135))/(Calculations!$O135-Calculations!$C$13)-calculateOmega(Calculations!M135,Calculations!N135,Calculations!Q135,'Reaction Information'!$C$21,'Reaction Information'!$P$21*10^5,'Reaction Information'!$Q$21)*Calculations!$U135*10^-6 + (1/$S135 - 1)*calculate_domegadP(Calculations!M135,Calculations!N135,Calculations!Q135,'Reaction Information'!$C$21,'Reaction Information'!$P$21*10^5,'Reaction Information'!$Q$21,$D$20,$D$19=3))*41.84)</f>
        <v>#N/A</v>
      </c>
      <c r="BP135" s="8" t="e">
        <f>IF(OR(ISBLANK(Input!$AG$4),$D$27=FALSE),NA(),('Reaction Information'!$J$25/10+'Reaction Information'!$K$25*100/(Calculations!$C$12+Calculations!$M135)+('Reaction Information'!$L$25+'Reaction Information'!$M$25*10000/(Calculations!$C$12+Calculations!$M135))/(Calculations!$O135-Calculations!$C$13)-calculateOmega(Calculations!M135,Calculations!N135,Calculations!Q135,'Reaction Information'!$C$25,'Reaction Information'!$P$25*10^5,'Reaction Information'!$Q$25)*Calculations!$U135*10^-6 + (1/$S135 - 1)*calculate_domegadP(Calculations!M135,Calculations!N135,Calculations!Q135,'Reaction Information'!$C$25,'Reaction Information'!$P$25*10^5,'Reaction Information'!$Q$25,$D$20,$D$19=3))*41.84)</f>
        <v>#N/A</v>
      </c>
      <c r="BQ135" s="8" t="e">
        <f>IF(OR(ISBLANK(Input!$AJ$4),$D$27=FALSE),NA(),('Reaction Information'!$J$29/10+'Reaction Information'!$K$29*100/(Calculations!$C$12+Calculations!$M135)+('Reaction Information'!$L$29+'Reaction Information'!$M$29*10000/(Calculations!$C$12+Calculations!$M135))/(Calculations!$O135-Calculations!$C$13)-calculateOmega(Calculations!M135,Calculations!N135,Calculations!Q135,'Reaction Information'!$C$29,'Reaction Information'!$P$29*10^5,'Reaction Information'!$Q$29)*Calculations!$U135*10^-6 + (1/$S135 - 1)*calculate_domegadP(Calculations!M135,Calculations!N135,Calculations!Q135,'Reaction Information'!$C$29,'Reaction Information'!$P$29*10^5,'Reaction Information'!$Q$29,$D$20,$D$19=3))*41.84)</f>
        <v>#N/A</v>
      </c>
      <c r="BR135" s="8" t="e">
        <f>IF(OR(ISBLANK(Input!$AM$4),$D$27=FALSE),NA(),('Reaction Information'!$J$33/10+'Reaction Information'!$K$33*100/(Calculations!$C$12+Calculations!$M135)+('Reaction Information'!$L$33+'Reaction Information'!$M$33*10000/(Calculations!$C$12+Calculations!$M135))/(Calculations!$O135-Calculations!$C$13)-calculateOmega(Calculations!M135,Calculations!N135,Calculations!Q135,'Reaction Information'!$C$33,'Reaction Information'!$P$33*10^5,'Reaction Information'!$Q$33)*Calculations!$U135*10^-6 + (1/$S135 - 1)*calculate_domegadP(Calculations!M135,Calculations!N135,Calculations!Q135,'Reaction Information'!$C$33,'Reaction Information'!$P$33*10^5,'Reaction Information'!$Q$33,$D$20,$D$19=3))*41.84)</f>
        <v>#N/A</v>
      </c>
      <c r="BS135" s="1">
        <f>Results!AW137</f>
        <v>0</v>
      </c>
      <c r="BT135" s="1">
        <f>Results!AX137</f>
        <v>0</v>
      </c>
      <c r="BU135" s="1">
        <f>Results!AY137</f>
        <v>0</v>
      </c>
      <c r="BV135" s="1">
        <f>Results!AZ137</f>
        <v>0</v>
      </c>
      <c r="BW135" s="1" t="e">
        <f>IF(OR(ISNA('Reaction Information'!$D$38), $N135 = "", $D$27 = FALSE, 'Reaction Information'!$D$38 = ""), NA(), 24.465)</f>
        <v>#N/A</v>
      </c>
      <c r="BX135" s="1" t="e">
        <f>IF(OR(ISNA('Reaction Information'!$D$42), $N135 = "", $D$27 = FALSE, 'Reaction Information'!$D$42 = ""), NA(), 24.465)</f>
        <v>#N/A</v>
      </c>
      <c r="BY135" s="8" t="e">
        <f t="shared" si="41"/>
        <v>#N/A</v>
      </c>
      <c r="BZ135" s="8">
        <f>IF(OR(ISBLANK(Input!$BK$4),$D$27=FALSE),NA(),('Reaction Information'!$J$46/10+'Reaction Information'!$K$46*100/(Calculations!$C$12+Calculations!$M135)+('Reaction Information'!$L$46+'Reaction Information'!$M$46*10000/(Calculations!$C$12+Calculations!$M135))/(Calculations!$O135-Calculations!$C$13)-calculateOmega(Calculations!M135,Calculations!N135,Calculations!Q135,'Reaction Information'!$C$46,'Reaction Information'!$P$46*10^5,'Reaction Information'!$Q$46)*Calculations!$U135*10^-6 + (1/$S135 - 1)*calculate_domegadP(Calculations!M135,Calculations!N135,Calculations!Q135,'Reaction Information'!$C$46,'Reaction Information'!$P$46*10^5,'Reaction Information'!$Q$46,$D$20,$D$19=3))*41.84)</f>
        <v>0</v>
      </c>
      <c r="CA135" s="8">
        <f>IF(OR(ISBLANK(Input!$BN$4),$D$27=FALSE),NA(),('Reaction Information'!$J$50/10+'Reaction Information'!$K$50*100/(Calculations!$C$12+Calculations!$M135)+('Reaction Information'!$L$50+'Reaction Information'!$M$50*10000/(Calculations!$C$12+Calculations!$M135))/(Calculations!$O135-Calculations!$C$13)-calculateOmega(Calculations!M135,Calculations!N135,Calculations!Q135,'Reaction Information'!$C$50,'Reaction Information'!$P$50*10^5,'Reaction Information'!$Q$50)*Calculations!$U135*10^-6 + (1/$S135 - 1)*calculate_domegadP(Calculations!M135,Calculations!N135,Calculations!Q135,'Reaction Information'!$C$50,'Reaction Information'!$P$50*10^5,'Reaction Information'!$Q$50,$D$20,$D$19=3))*41.84)</f>
        <v>31.119490540185055</v>
      </c>
      <c r="CB135" s="8" t="e">
        <f>IF(OR(ISBLANK(Input!$BQ$4),$D$27=FALSE),NA(),('Reaction Information'!$J$54/10+'Reaction Information'!$K$54*100/(Calculations!$C$12+Calculations!$M135)+('Reaction Information'!$L$54+'Reaction Information'!$M$54*10000/(Calculations!$C$12+Calculations!$M135))/(Calculations!$O135-Calculations!$C$13)-calculateOmega(Calculations!M135,Calculations!N135,Calculations!Q135,'Reaction Information'!$C$54,'Reaction Information'!$P$54*10^5,'Reaction Information'!$Q$54)*Calculations!$U135*10^-6 + (1/$S135 - 1)*calculate_domegadP(Calculations!M135,Calculations!N135,Calculations!Q135,'Reaction Information'!$C$54,'Reaction Information'!$P$54*10^5,'Reaction Information'!$Q$54,$D$20,$D$19=3))*41.84)</f>
        <v>#N/A</v>
      </c>
      <c r="CC135" s="8" t="e">
        <f>IF(OR(ISBLANK(Input!$BT$4),$D$27=FALSE),NA(),('Reaction Information'!$J$58/10+'Reaction Information'!$K$58*100/(Calculations!$C$12+Calculations!$M135)+('Reaction Information'!$L$58+'Reaction Information'!$M$58*10000/(Calculations!$C$12+Calculations!$M135))/(Calculations!$O135-Calculations!$C$13)-calculateOmega(Calculations!M135,Calculations!N135,Calculations!Q135,'Reaction Information'!$C$58,'Reaction Information'!$P$58*10^5,'Reaction Information'!$Q$58)*Calculations!$U135*10^-6 + (1/$S135 - 1)*calculate_domegadP(Calculations!M135,Calculations!N135,Calculations!Q135,'Reaction Information'!$C$58,'Reaction Information'!$P$58*10^5,'Reaction Information'!$Q$58,$D$20,$D$19=3))*41.84)</f>
        <v>#N/A</v>
      </c>
      <c r="CD135" s="8" t="e">
        <f>IF(OR(ISBLANK(Input!$BW$4),$D$27=FALSE),NA(),('Reaction Information'!$J$62/10+'Reaction Information'!$K$62*100/(Calculations!$C$12+Calculations!$M135)+('Reaction Information'!$L$62+'Reaction Information'!$M$62*10000/(Calculations!$C$12+Calculations!$M135))/(Calculations!$O135-Calculations!$C$13)-calculateOmega(Calculations!M135,Calculations!N135,Calculations!Q135,'Reaction Information'!$C$62,'Reaction Information'!$P$62*10^5,'Reaction Information'!$Q$62)*Calculations!$U135*10^-6 + (1/$S135 - 1)*calculate_domegadP(Calculations!M135,Calculations!N135,Calculations!Q135,'Reaction Information'!$C$62,'Reaction Information'!$P$62*10^5,'Reaction Information'!$Q$62,$D$20,$D$19=3))*41.84)</f>
        <v>#N/A</v>
      </c>
      <c r="CE135" s="8" t="e">
        <f>IF(OR(ISBLANK(Input!$BZ$4),$D$27=FALSE),NA(),('Reaction Information'!$J$66/10+'Reaction Information'!$K$66*100/(Calculations!$C$12+Calculations!$M135)+('Reaction Information'!$L$66+'Reaction Information'!$M$66*10000/(Calculations!$C$12+Calculations!$M135))/(Calculations!$O135-Calculations!$C$13)-calculateOmega(Calculations!M135,Calculations!N135,Calculations!Q135,'Reaction Information'!$C$66,'Reaction Information'!$P$66*10^5,'Reaction Information'!$Q$66)*Calculations!$U135*10^-6 + (1/$S135 - 1)*calculate_domegadP(Calculations!M135,Calculations!N135,Calculations!Q135,'Reaction Information'!$C$66,'Reaction Information'!$P$66*10^5,'Reaction Information'!$Q$66,$D$20,$D$19=3))*41.84)</f>
        <v>#N/A</v>
      </c>
      <c r="CF135" s="31">
        <f>(BS135*Input!$AO$4+BT135*Input!$AR$4+BU135*Input!$AU$4+BV135*Input!$AX$4+IF(ISNA(BW135),0,BW135*Input!$BA$4)+IF(ISNA(BX135),0,BX135*Input!$BD$4)+IF(ISNA(BY135),0,BY135*Input!$BG$4)+IF(ISNA(BZ135),0,BZ135*Input!$BJ$4)+IF(ISNA(CA135),0,CA135*Input!$BM$4)+IF(ISNA(CB135),0,CB135*Input!$BP$4)+IF(ISNA(CC135),0,CC135*Input!$BS$4)+IF(ISNA(CD135),0,CD135*Input!$BV$4)+IF(ISNA(CE135),0,CE135*Input!$BY$4))-(BF135*Input!$B$4+BG135*Input!$E$4+BH135*Input!$H$4+BI135*Input!$K$4+IF(ISNA(BJ135),0,BJ135*Input!$N$4)+IF(ISNA(BK135),0,BK135*Input!$Q$4)+IF(ISNA(BL135),0,BL135*Input!$T$4)+IF(ISNA(BM135),0,BM135*Input!$W$4)+IF(ISNA(BN135),0,BN135*Input!$Z$4)+IF(ISNA(BO135),0,BO135*Input!$AC$4)+IF(ISNA(BP135),0,BP135*Input!$AF$4)+IF(ISNA(BQ135),0,BQ135*Input!$AI$4)+IF(ISNA(BR135),0,BR135*Input!$AL$4))</f>
        <v>-12.645833254009545</v>
      </c>
      <c r="CG135" s="1">
        <f t="shared" ref="CG135:CG198" si="50">$N135</f>
        <v>750</v>
      </c>
      <c r="CH135" s="46">
        <f t="shared" ref="CH135:CH198" si="51">$M135</f>
        <v>45000</v>
      </c>
      <c r="CI135" s="1"/>
    </row>
    <row r="136" spans="1:87" x14ac:dyDescent="0.2">
      <c r="A136" s="1"/>
      <c r="B136" s="1"/>
      <c r="C136" s="1"/>
      <c r="D136" s="1"/>
      <c r="E136" s="1"/>
      <c r="F136" s="2">
        <v>131</v>
      </c>
      <c r="G136" s="1" t="str">
        <f>IF(ISBLANK(Input!CB136), "", Input!CB136*1000)</f>
        <v/>
      </c>
      <c r="H136" s="1" t="str">
        <f>IF(ISBLANK(Input!CC136), "", Input!CC136)</f>
        <v/>
      </c>
      <c r="I136" s="1">
        <f>IF(Input!$CF$5 + Input!$CF$6*(FLOOR((Calculations!$F136-1)/(FLOOR((Input!$CF$12-Input!$CF$10)/Input!$CF$11,1)+1),1)) &gt; Input!$CF$7, "", (Input!$CF$5 + Input!$CF$6*(FLOOR((Calculations!$F136-1)/(FLOOR((Input!$CF$12-Input!$CF$10)/Input!$CF$11,1)+1),1)))*1000)</f>
        <v>45000</v>
      </c>
      <c r="J136" s="1">
        <f>IF(Calculations!I136 = "", "", Input!$CF$10 + Input!$CF$11*(Calculations!$F136-1) - (FLOOR((Input!$CF$12-Input!$CF$10)/Input!$CF$11,1)+1)*Input!$CF$11*FLOOR((Calculations!$F136-1)/(FLOOR((Input!$CF$12-Input!$CF$10)/Input!$CF$11,1)+1),1))</f>
        <v>800</v>
      </c>
      <c r="K136" s="8" t="str">
        <f t="shared" ref="K136:K199" si="52">IF(L136 = "", "", IF(L136&lt;100, 1, 2.1650906415E-11*L136^5 + 0.0008467019353*L136^2 - 0.17973651666*L136 + 10.7768850763807))</f>
        <v/>
      </c>
      <c r="L136" s="117" t="str">
        <f>IF(OR(Input!$CJ$5 + Input!$CJ$6*(Calculations!F136-1) &gt; Input!$CJ$7, Input!$CJ$5 + Input!$CJ$6*(Calculations!F136-1) &gt; 350), "", Input!$CJ$5 + Input!$CJ$6*(Calculations!F136-1))</f>
        <v/>
      </c>
      <c r="M136" s="1">
        <f t="shared" si="42"/>
        <v>45000</v>
      </c>
      <c r="N136" s="1">
        <f t="shared" si="43"/>
        <v>800</v>
      </c>
      <c r="O136" s="1">
        <f t="shared" si="38"/>
        <v>1073.1500000000001</v>
      </c>
      <c r="P136" s="1" t="e">
        <f>IF(OR($D$20=3,AND($D$21=TRUE,M136&lt;1000)),INDEX('Water Density'!$C$6:$CX$120,MATCH(Calculations!N136,'Water Density'!$B$6:$B$120),MATCH(Calculations!M136/1000,'Water Density'!$C$5:$CX$5)),NA())</f>
        <v>#N/A</v>
      </c>
      <c r="Q136" s="182">
        <f>IF(OR($D$20=3,AND($D$21=TRUE,M136&lt;1000)), IF(P136&lt;&gt;0,P136,NA()), calculateDensity(M136,N136,$D$20,0.01,$D$19 = 3))</f>
        <v>1.3022628652513029</v>
      </c>
      <c r="R136" s="1" t="e">
        <f>IF($D$22=5,INDEX('Dielectric Constant'!$C$6:$CX$120,MATCH(Calculations!N136,'Dielectric Constant'!$B$6:$B$120),MATCH(Calculations!M136/1000,'Dielectric Constant'!$C$5:$CX$5)),NA())</f>
        <v>#N/A</v>
      </c>
      <c r="S136" s="58">
        <f>IF($D$22=5, IF(R136&lt;&gt;0,R136,NA()), IF(AND($D$23,M136&lt;=5000,$D$19 &lt;&gt; 3),calculateEpsilon(Q136,N136,1,FALSE),calculateEpsilon(Q136,N136,$D$22,$D$19 = 3)))</f>
        <v>22.539811331128799</v>
      </c>
      <c r="T136" s="1" t="e">
        <f>IF($D$24=3,INDEX('Water Free Energy'!$C$6:$CX$120,MATCH(Calculations!N136,'Water Free Energy'!$B$6:$B$120),MATCH(Calculations!M136/1000,'Water Free Energy'!$C$5:$CX$5)),NA())</f>
        <v>#N/A</v>
      </c>
      <c r="U136" s="179">
        <f>IF($D$27,calculateQ(M136,N136,Q136,$D$20,$D$22,$D$19=3)*10^6,NA())</f>
        <v>0.19372406802862732</v>
      </c>
      <c r="V136"/>
      <c r="W136" s="2">
        <f t="shared" si="44"/>
        <v>45000</v>
      </c>
      <c r="X136" s="1">
        <f t="shared" si="45"/>
        <v>800</v>
      </c>
      <c r="Y136" s="1">
        <f>Results!F138</f>
        <v>0</v>
      </c>
      <c r="Z136" s="1">
        <f>Results!G138</f>
        <v>0</v>
      </c>
      <c r="AA136" s="1">
        <f>Results!H138</f>
        <v>0</v>
      </c>
      <c r="AB136" s="1">
        <f>Results!I138</f>
        <v>0</v>
      </c>
      <c r="AC136" s="1" t="e">
        <f>IF(ISBLANK(Input!$O$4),NA(),'Reaction Information'!$E$5-'Reaction Information'!$G$5*(Calculations!$O136-Calculations!$C$8)+'Reaction Information'!$I$5*(Calculations!$O136-Calculations!$C$8-Calculations!$O136*LN(Calculations!$O136/Calculations!$C$8))+'Reaction Information'!$J$5*0.001/2*(2*Calculations!$O136*Calculations!$C$8-Calculations!$O136^2-Calculations!$C$8^2) + 'Reaction Information'!$K$5*100000*(Calculations!$O136^2 + Calculations!$C$8^2 - 2*Calculations!$O136*Calculations!$C$8)/(2*Calculations!$O136*Calculations!$C$8^2))</f>
        <v>#N/A</v>
      </c>
      <c r="AD136" s="8" t="e">
        <f>IF(ISBLANK(Input!$R$4),NA(),'Reaction Information'!$E$9-'Reaction Information'!$G$9*(Calculations!$O136-Calculations!$C$8)+'Reaction Information'!$I$9*(Calculations!$O136-Calculations!$C$8-Calculations!$O136*LN(Calculations!$O136/Calculations!$C$8))+'Reaction Information'!$J$9*0.001/2*(2*Calculations!$O136*Calculations!$C$8-Calculations!$O136^2-Calculations!$C$8^2) + 'Reaction Information'!$K$9*100000*(Calculations!$O136^2 + Calculations!$C$8^2 - 2*Calculations!$O136*Calculations!$C$8)/(2*Calculations!$O136*Calculations!$C$8^2))</f>
        <v>#N/A</v>
      </c>
      <c r="AE136" s="8">
        <f>IF(AE$5="H2O",IF($D$24=3,IF(T136=0,NA(),T136),calculateGibbsOfWater(M136,N136,$D$24,$D$20,$D$19=3)),NA())</f>
        <v>-60431.439765341944</v>
      </c>
      <c r="AF136" s="8">
        <f>IF(ISBLANK(Input!$X$4),NA(),'Reaction Information'!$E$13-'Reaction Information'!$G$13*(Calculations!O136-Calculations!$C$8)-'Reaction Information'!$N$13*(Calculations!O136*LN(Calculations!O136/Calculations!$C$8)-Calculations!O136+Calculations!$C$8)-'Reaction Information'!$O$13*10^4*(((1/(Calculations!O136-Calculations!$C$13))-(1/(Calculations!$C$8-Calculations!$C$13)))*((Calculations!$C$13-Calculations!O136)/(Calculations!$C$13))-(Calculations!O136/(Calculations!$C$13*Calculations!$C$13))*LN((Calculations!$C$8*(Calculations!O136-Calculations!$C$13))/(Calculations!O136*(Calculations!$C$8-Calculations!$C$13))))+'Reaction Information'!$J$13*10^-1*(Calculations!M136-Calculations!$C$9)+'Reaction Information'!$K$13*10^2*LN((Calculations!$C$12+Calculations!M136)/(Calculations!$C$12+Calculations!$C$9))+(1/(Calculations!O136-Calculations!$C$13))*('Reaction Information'!$L$13*(Calculations!M136-Calculations!$C$9)+'Reaction Information'!$M$13*10^4*LN((Calculations!$C$12+Calculations!M136)/(Calculations!$C$12+Calculations!$C$9)))+calculateOmega(Calculations!M136,Calculations!N136,Calculations!Q136,'Reaction Information'!$C$13,'Reaction Information'!$P$13*10^5,'Reaction Information'!$Q$13)*((1/Calculations!S136)-1)-'Reaction Information'!$P$13*10^5*((1/Calculations!$C$10)-1)+'Reaction Information'!$P$13*10^5*Calculations!$C$14*(Calculations!O136-Calculations!$C$8))</f>
        <v>-92122.488012736139</v>
      </c>
      <c r="AG136" s="8" t="e">
        <f>IF(ISBLANK(Input!$AA$4),NA(),'Reaction Information'!$E$17-'Reaction Information'!$G$17*(Calculations!$O136-Calculations!$C$8)-'Reaction Information'!$N$17*(Calculations!$O136*LN(Calculations!$O136/Calculations!$C$8)-Calculations!$O136+Calculations!$C$8)-'Reaction Information'!$O$17*10^4*(((1/(Calculations!$O136-Calculations!$C$13))-(1/(Calculations!$C$8-Calculations!$C$13)))*((Calculations!$C$13-Calculations!$O136)/(Calculations!$C$13))-(Calculations!$O136/(Calculations!$C$13*Calculations!$C$13))*LN((Calculations!$C$8*(Calculations!$O136-Calculations!$C$13))/(Calculations!$O136*(Calculations!$C$8-Calculations!$C$13))))+'Reaction Information'!$J$17*10^-1*(Calculations!$M136-Calculations!$C$9)+'Reaction Information'!$K$17*10^2*LN((Calculations!$C$12+Calculations!$M136)/(Calculations!$C$12+Calculations!$C$9))+(1/(Calculations!$O136-Calculations!$C$13))*('Reaction Information'!$L$17*(Calculations!$M136-Calculations!$C$9)+'Reaction Information'!$M$17*10^4*LN((Calculations!$C$12+Calculations!$M136)/(Calculations!$C$12+Calculations!$C$9)))+calculateOmega(Calculations!M136,Calculations!N136,Calculations!Q136,'Reaction Information'!$C$17,'Reaction Information'!$P$17*10^5,'Reaction Information'!$Q$17)*((1/Calculations!$S136)-1)-'Reaction Information'!$P$17*10^5*((1/Calculations!$C$10)-1)+'Reaction Information'!$P$17*10^5*Calculations!$C$14*(Calculations!$O136-Calculations!$C$8))</f>
        <v>#N/A</v>
      </c>
      <c r="AH136" s="8" t="e">
        <f>IF(ISBLANK(Input!$AD$4),NA(),'Reaction Information'!$E$21-'Reaction Information'!$G$21*(Calculations!$O136-Calculations!$C$8)-'Reaction Information'!$N$21*(Calculations!$O136*LN(Calculations!$O136/Calculations!$C$8)-Calculations!$O136+Calculations!$C$8)-'Reaction Information'!$O$21*10^4*(((1/(Calculations!$O136-Calculations!$C$13))-(1/(Calculations!$C$8-Calculations!$C$13)))*((Calculations!$C$13-Calculations!$O136)/(Calculations!$C$13))-(Calculations!$O136/(Calculations!$C$13*Calculations!$C$13))*LN((Calculations!$C$8*(Calculations!$O136-Calculations!$C$13))/(Calculations!$O136*(Calculations!$C$8-Calculations!$C$13))))+'Reaction Information'!$J$21*10^-1*(Calculations!$M136-Calculations!$C$9)+'Reaction Information'!$K$21*10^2*LN((Calculations!$C$12+Calculations!$M136)/(Calculations!$C$12+Calculations!$C$9))+(1/(Calculations!$O136-Calculations!$C$13))*('Reaction Information'!$L$21*(Calculations!$M136-Calculations!$C$9)+'Reaction Information'!$M$21*10^4*LN((Calculations!$C$12+Calculations!$M136)/(Calculations!$C$12+Calculations!$C$9)))+calculateOmega(Calculations!M136,Calculations!N136,Calculations!Q136,'Reaction Information'!$C$21,'Reaction Information'!$P$21*10^5,'Reaction Information'!$Q$21)*((1/Calculations!$S136)-1)-'Reaction Information'!$P$21*10^5*((1/Calculations!$C$10)-1)+'Reaction Information'!$P$21*10^5*Calculations!$C$14*(Calculations!$O136-Calculations!$C$8))</f>
        <v>#N/A</v>
      </c>
      <c r="AI136" s="8" t="e">
        <f>IF(ISBLANK(Input!$AG$4),NA(),'Reaction Information'!$E$25-'Reaction Information'!$G$25*(Calculations!$O136-Calculations!$C$8)-'Reaction Information'!$N$25*(Calculations!$O136*LN(Calculations!$O136/Calculations!$C$8)-Calculations!$O136+Calculations!$C$8)-'Reaction Information'!$O$25*10^4*(((1/(Calculations!$O136-Calculations!$C$13))-(1/(Calculations!$C$8-Calculations!$C$13)))*((Calculations!$C$13-Calculations!$O136)/(Calculations!$C$13))-(Calculations!$O136/(Calculations!$C$13*Calculations!$C$13))*LN((Calculations!$C$8*(Calculations!$O136-Calculations!$C$13))/(Calculations!$O136*(Calculations!$C$8-Calculations!$C$13))))+'Reaction Information'!$J$25*10^-1*(Calculations!$M136-Calculations!$C$9)+'Reaction Information'!$K$25*10^2*LN((Calculations!$C$12+Calculations!$M136)/(Calculations!$C$12+Calculations!$C$9))+(1/(Calculations!$O136-Calculations!$C$13))*('Reaction Information'!$L$25*(Calculations!$M136-Calculations!$C$9)+'Reaction Information'!$M$25*10^4*LN((Calculations!$C$12+Calculations!$M136)/(Calculations!$C$12+Calculations!$C$9)))+calculateOmega(Calculations!M136,Calculations!N136,Calculations!Q136,'Reaction Information'!$C$25,'Reaction Information'!$P$25*10^5,'Reaction Information'!$Q$25)*((1/Calculations!$S136)-1)-'Reaction Information'!$P$25*10^5*((1/Calculations!$C$10)-1)+'Reaction Information'!$P$25*10^5*Calculations!$C$14*(Calculations!$O136-Calculations!$C$8))</f>
        <v>#N/A</v>
      </c>
      <c r="AJ136" s="8" t="e">
        <f>IF(ISBLANK(Input!$AJ$4),NA(),'Reaction Information'!$E$29-'Reaction Information'!$G$29*(Calculations!$O136-Calculations!$C$8)-'Reaction Information'!$N$29*(Calculations!$O136*LN(Calculations!$O136/Calculations!$C$8)-Calculations!$O136+Calculations!$C$8)-'Reaction Information'!$O$29*10^4*(((1/(Calculations!$O136-Calculations!$C$13))-(1/(Calculations!$C$8-Calculations!$C$13)))*((Calculations!$C$13-Calculations!$O136)/(Calculations!$C$13))-(Calculations!$O136/(Calculations!$C$13*Calculations!$C$13))*LN((Calculations!$C$8*(Calculations!$O136-Calculations!$C$13))/(Calculations!$O136*(Calculations!$C$8-Calculations!$C$13))))+'Reaction Information'!$J$29*10^-1*(Calculations!$M136-Calculations!$C$9)+'Reaction Information'!$K$29*10^2*LN((Calculations!$C$12+Calculations!$M136)/(Calculations!$C$12+Calculations!$C$9))+(1/(Calculations!$O136-Calculations!$C$13))*('Reaction Information'!$L$29*(Calculations!$M136-Calculations!$C$9)+'Reaction Information'!$M$29*10^4*LN((Calculations!$C$12+Calculations!$M136)/(Calculations!$C$12+Calculations!$C$9)))+calculateOmega(Calculations!M136,Calculations!N136,Calculations!Q136,'Reaction Information'!$C$29,'Reaction Information'!$P$29*10^5,'Reaction Information'!$Q$29)*((1/Calculations!$S136)-1)-'Reaction Information'!$P$29*10^5*((1/Calculations!$C$10)-1)+'Reaction Information'!$P$29*10^5*Calculations!$C$14*(Calculations!$O136-Calculations!$C$8))</f>
        <v>#N/A</v>
      </c>
      <c r="AK136" s="8" t="e">
        <f>IF(ISBLANK(Input!$AM$4),NA(),'Reaction Information'!$E$33-'Reaction Information'!$G$33*(Calculations!$O136-Calculations!$C$8)-'Reaction Information'!$N$33*(Calculations!$O136*LN(Calculations!$O136/Calculations!$C$8)-Calculations!$O136+Calculations!$C$8)-'Reaction Information'!$O$33*10^4*(((1/(Calculations!$O136-Calculations!$C$13))-(1/(Calculations!$C$8-Calculations!$C$13)))*((Calculations!$C$13-Calculations!$O136)/(Calculations!$C$13))-(Calculations!$O136/(Calculations!$C$13*Calculations!$C$13))*LN((Calculations!$C$8*(Calculations!$O136-Calculations!$C$13))/(Calculations!$O136*(Calculations!$C$8-Calculations!$C$13))))+'Reaction Information'!$J$33*10^-1*(Calculations!$M136-Calculations!$C$9)+'Reaction Information'!$K$33*10^2*LN((Calculations!$C$12+Calculations!$M136)/(Calculations!$C$12+Calculations!$C$9))+(1/(Calculations!$O136-Calculations!$C$13))*('Reaction Information'!$L$33*(Calculations!$M136-Calculations!$C$9)+'Reaction Information'!$M$33*10^4*LN((Calculations!$C$12+Calculations!$M136)/(Calculations!$C$12+Calculations!$C$9)))+calculateOmega(Calculations!M136,Calculations!N136,Calculations!Q136,'Reaction Information'!$C$33,'Reaction Information'!$P$33*10^5,'Reaction Information'!$Q$33)*((1/Calculations!$S136)-1)-'Reaction Information'!$P$33*10^5*((1/Calculations!$C$10)-1)+'Reaction Information'!$P$33*10^5*Calculations!$C$14*(Calculations!$O136-Calculations!$C$8))</f>
        <v>#N/A</v>
      </c>
      <c r="AL136" s="1">
        <f>Results!S138</f>
        <v>0</v>
      </c>
      <c r="AM136" s="1">
        <f>Results!T138</f>
        <v>0</v>
      </c>
      <c r="AN136" s="1">
        <f>Results!U138</f>
        <v>0</v>
      </c>
      <c r="AO136" s="1">
        <f>Results!V138</f>
        <v>0</v>
      </c>
      <c r="AP136" s="8" t="e">
        <f>IF(ISBLANK(Input!$BB$4),NA(),'Reaction Information'!$E$38-'Reaction Information'!$G$38*(Calculations!$O136-Calculations!$C$8)+'Reaction Information'!$I$38*(Calculations!$O136-Calculations!$C$8-Calculations!$O136*LN(Calculations!$O136/Calculations!$C$8))+'Reaction Information'!$J$38*0.001/2*(2*Calculations!$O136*Calculations!$C$8-Calculations!$O136^2-Calculations!$C$8^2) + 'Reaction Information'!$K$38*100000*(Calculations!$O136^2 + Calculations!$C$8^2 - 2*Calculations!$O136*Calculations!$C$8)/(2*Calculations!$O136*Calculations!$C$8^2))</f>
        <v>#N/A</v>
      </c>
      <c r="AQ136" s="8" t="e">
        <f>IF(ISBLANK(Input!$BE$4),NA(),'Reaction Information'!$E$42-'Reaction Information'!$G$42*(Calculations!$O136-Calculations!$C$8)+'Reaction Information'!$I$42*(Calculations!$O136-Calculations!$C$8-Calculations!$O136*LN(Calculations!$O136/Calculations!$C$8))+'Reaction Information'!$J$42*0.001/2*(2*Calculations!$O136*Calculations!$C$8-Calculations!$O136^2-Calculations!$C$8^2) + 'Reaction Information'!$K$42*100000*(Calculations!$O136^2 + Calculations!$C$8^2 - 2*Calculations!$O136*Calculations!$C$8)/(2*Calculations!$O136*Calculations!$C$8^2))</f>
        <v>#N/A</v>
      </c>
      <c r="AR136" s="8" t="e">
        <f>IF(AR$5="H2O", IF($D$24=3,IF(T136=0,NA(),T136),calculateGibbsOfWater(M136,N136,$D$24,$D$20,$D$19=3)),NA())</f>
        <v>#N/A</v>
      </c>
      <c r="AS136" s="8">
        <f>IF(ISBLANK(Input!$BK$4),NA(),'Reaction Information'!$E$46-'Reaction Information'!$G$46*(Calculations!O136-Calculations!$C$8)-'Reaction Information'!$N$46*(Calculations!O136*LN(Calculations!O136/Calculations!$C$8)-Calculations!O136+Calculations!$C$8)-'Reaction Information'!$O$46*10^4*(((1/(Calculations!O136-Calculations!$C$13))-(1/(Calculations!$C$8-Calculations!$C$13)))*((Calculations!$C$13-Calculations!O136)/(Calculations!$C$13))-(Calculations!O136/(Calculations!$C$13*Calculations!$C$13))*LN((Calculations!$C$8*(Calculations!O136-Calculations!$C$13))/(Calculations!O136*(Calculations!$C$8-Calculations!$C$13))))+'Reaction Information'!$J$46*10^-1*(Calculations!$M136-Calculations!$C$9)+'Reaction Information'!$K$46*10^2*LN((Calculations!$C$12+Calculations!$M136)/(Calculations!$C$12+Calculations!$C$9))+(1/(Calculations!O136-Calculations!$C$13))*('Reaction Information'!$L$46*(Calculations!$M136-Calculations!$C$9)+'Reaction Information'!$M$46*10^4*LN((Calculations!$C$12+Calculations!$M136)/(Calculations!$C$12+Calculations!$C$9)))+calculateOmega(Calculations!M136,Calculations!N136,Calculations!Q136,'Reaction Information'!$C$46,'Reaction Information'!$P$46*10^5,'Reaction Information'!$Q$46)*((1/Calculations!S136)-1)-'Reaction Information'!$P$46*10^5*((1/Calculations!$C$10)-1)+'Reaction Information'!$P$46*10^5*Calculations!$C$14*(Calculations!O136-Calculations!$C$8))</f>
        <v>0</v>
      </c>
      <c r="AT136" s="8">
        <f>IF(ISBLANK(Input!$BN$4),NA(),'Reaction Information'!$E$50-'Reaction Information'!$G$50*(Calculations!O136-Calculations!$C$8)-'Reaction Information'!$N$50*(Calculations!O136*LN(Calculations!O136/Calculations!$C$8)-Calculations!O136+Calculations!$C$8)-'Reaction Information'!$O$50*10^4*(((1/(Calculations!O136-Calculations!$C$13))-(1/(Calculations!$C$8-Calculations!$C$13)))*((Calculations!$C$13-Calculations!O136)/(Calculations!$C$13))-(Calculations!O136/(Calculations!$C$13*Calculations!$C$13))*LN((Calculations!$C$8*(Calculations!O136-Calculations!$C$13))/(Calculations!O136*(Calculations!$C$8-Calculations!$C$13))))+'Reaction Information'!$J$50*10^-1*(Calculations!$M136-Calculations!$C$9)+'Reaction Information'!$K$50*10^2*LN((Calculations!$C$12+Calculations!$M136)/(Calculations!$C$12+Calculations!$C$9))+(1/(Calculations!O136-Calculations!$C$13))*('Reaction Information'!$L$50*(Calculations!$M136-Calculations!$C$9)+'Reaction Information'!$M$50*10^4*LN((Calculations!$C$12+Calculations!$M136)/(Calculations!$C$12+Calculations!$C$9)))+calculateOmega(Calculations!M136,Calculations!N136,Calculations!Q136,'Reaction Information'!$C$50,'Reaction Information'!$P$50*10^5,'Reaction Information'!$Q$50)*((1/Calculations!S136)-1)-'Reaction Information'!$P$50*10^5*((1/Calculations!$C$10)-1)+'Reaction Information'!$P$50*10^5*Calculations!$C$14*(Calculations!O136-Calculations!$C$8))</f>
        <v>-131287.14405777428</v>
      </c>
      <c r="AU136" s="8" t="e">
        <f>IF(ISBLANK(Input!$BQ$4),NA(),'Reaction Information'!$E$54-'Reaction Information'!$G$54*(Calculations!$O136-Calculations!$C$8)-'Reaction Information'!$N$54*(Calculations!$O136*LN(Calculations!$O136/Calculations!$C$8)-Calculations!$O136+Calculations!$C$8)-'Reaction Information'!$O$54*10^4*(((1/(Calculations!$O136-Calculations!$C$13))-(1/(Calculations!$C$8-Calculations!$C$13)))*((Calculations!$C$13-Calculations!$O136)/(Calculations!$C$13))-(Calculations!$O136/(Calculations!$C$13*Calculations!$C$13))*LN((Calculations!$C$8*(Calculations!$O136-Calculations!$C$13))/(Calculations!$O136*(Calculations!$C$8-Calculations!$C$13))))+'Reaction Information'!$J$54*10^-1*(Calculations!$M136-Calculations!$C$9)+'Reaction Information'!$K$54*10^2*LN((Calculations!$C$12+Calculations!$M136)/(Calculations!$C$12+Calculations!$C$9))+(1/(Calculations!$O136-Calculations!$C$13))*('Reaction Information'!$L$54*(Calculations!$M136-Calculations!$C$9)+'Reaction Information'!$M$54*10^4*LN((Calculations!$C$12+Calculations!$M136)/(Calculations!$C$12+Calculations!$C$9)))+calculateOmega(Calculations!M136,Calculations!N136,Calculations!Q136,'Reaction Information'!$C$54,'Reaction Information'!$P$54*10^5,'Reaction Information'!$Q$54)*((1/Calculations!$S136)-1)-'Reaction Information'!$P$54*10^5*((1/Calculations!$C$10)-1)+'Reaction Information'!$P$54*10^5*Calculations!$C$14*(Calculations!$O136-Calculations!$C$8))</f>
        <v>#N/A</v>
      </c>
      <c r="AV136" s="8" t="e">
        <f>IF(ISBLANK(Input!$BT$4),NA(),'Reaction Information'!$E$58-'Reaction Information'!$G$58*(Calculations!$O136-Calculations!$C$8)-'Reaction Information'!$N$58*(Calculations!$O136*LN(Calculations!$O136/Calculations!$C$8)-Calculations!$O136+Calculations!$C$8)-'Reaction Information'!$O$58*10^4*(((1/(Calculations!$O136-Calculations!$C$13))-(1/(Calculations!$C$8-Calculations!$C$13)))*((Calculations!$C$13-Calculations!$O136)/(Calculations!$C$13))-(Calculations!$O136/(Calculations!$C$13*Calculations!$C$13))*LN((Calculations!$C$8*(Calculations!$O136-Calculations!$C$13))/(Calculations!$O136*(Calculations!$C$8-Calculations!$C$13))))+'Reaction Information'!$J$58*10^-1*(Calculations!$M136-Calculations!$C$9)+'Reaction Information'!$K$58*10^2*LN((Calculations!$C$12+Calculations!$M136)/(Calculations!$C$12+Calculations!$C$9))+(1/(Calculations!$O136-Calculations!$C$13))*('Reaction Information'!$L$58*(Calculations!$M136-Calculations!$C$9)+'Reaction Information'!$M$58*10^4*LN((Calculations!$C$12+Calculations!$M136)/(Calculations!$C$12+Calculations!$C$9)))+calculateOmega(Calculations!M136,Calculations!N136,Calculations!Q136,'Reaction Information'!$C$58,'Reaction Information'!$P$58*10^5,'Reaction Information'!$Q$58)*((1/Calculations!$S136)-1)-'Reaction Information'!$P$58*10^5*((1/Calculations!$C$10)-1)+'Reaction Information'!$P$58*10^5*Calculations!$C$14*(Calculations!$O136-Calculations!$C$8))</f>
        <v>#N/A</v>
      </c>
      <c r="AW136" s="8" t="e">
        <f>IF(ISBLANK(Input!$BW$4),NA(),'Reaction Information'!$E$62-'Reaction Information'!$G$62*(Calculations!$O136-Calculations!$C$8)-'Reaction Information'!$N$62*(Calculations!$O136*LN(Calculations!$O136/Calculations!$C$8)-Calculations!$O136+Calculations!$C$8)-'Reaction Information'!$O$62*10^4*(((1/(Calculations!$O136-Calculations!$C$13))-(1/(Calculations!$C$8-Calculations!$C$13)))*((Calculations!$C$13-Calculations!$O136)/(Calculations!$C$13))-(Calculations!$O136/(Calculations!$C$13*Calculations!$C$13))*LN((Calculations!$C$8*(Calculations!$O136-Calculations!$C$13))/(Calculations!$O136*(Calculations!$C$8-Calculations!$C$13))))+'Reaction Information'!$J$62*10^-1*(Calculations!$M136-Calculations!$C$9)+'Reaction Information'!$K$62*10^2*LN((Calculations!$C$12+Calculations!$M136)/(Calculations!$C$12+Calculations!$C$9))+(1/(Calculations!$O136-Calculations!$C$13))*('Reaction Information'!$L$62*(Calculations!$M136-Calculations!$C$9)+'Reaction Information'!$M$62*10^4*LN((Calculations!$C$12+Calculations!$M136)/(Calculations!$C$12+Calculations!$C$9)))+calculateOmega(Calculations!M136,Calculations!N136,Calculations!Q136,'Reaction Information'!$C$62,'Reaction Information'!$P$62*10^5,'Reaction Information'!$Q$62)*((1/Calculations!$S136)-1)-'Reaction Information'!$P$62*10^5*((1/Calculations!$C$10)-1)+'Reaction Information'!$P$62*10^5*Calculations!$C$14*(Calculations!$O136-Calculations!$C$8))</f>
        <v>#N/A</v>
      </c>
      <c r="AX136" s="8" t="e">
        <f>IF(ISBLANK(Input!$BZ$4),NA(),'Reaction Information'!$E$66-'Reaction Information'!$G$66*(Calculations!$O136-Calculations!$C$8)-'Reaction Information'!$N$66*(Calculations!$O136*LN(Calculations!$O136/Calculations!$C$8)-Calculations!$O136+Calculations!$C$8)-'Reaction Information'!$O$66*10^4*(((1/(Calculations!$O136-Calculations!$C$13))-(1/(Calculations!$C$8-Calculations!$C$13)))*((Calculations!$C$13-Calculations!$O136)/(Calculations!$C$13))-(Calculations!$O136/(Calculations!$C$13*Calculations!$C$13))*LN((Calculations!$C$8*(Calculations!$O136-Calculations!$C$13))/(Calculations!$O136*(Calculations!$C$8-Calculations!$C$13))))+'Reaction Information'!$J$66*10^-1*(Calculations!$M136-Calculations!$C$9)+'Reaction Information'!$K$66*10^2*LN((Calculations!$C$12+Calculations!$M136)/(Calculations!$C$12+Calculations!$C$9))+(1/(Calculations!$O136-Calculations!$C$13))*('Reaction Information'!$L$66*(Calculations!$M136-Calculations!$C$9)+'Reaction Information'!$M$66*10^4*LN((Calculations!$C$12+Calculations!$M136)/(Calculations!$C$12+Calculations!$C$9)))+calculateOmega(Calculations!M136,Calculations!N136,Calculations!Q136,'Reaction Information'!$C$66,'Reaction Information'!$P$66*10^5,'Reaction Information'!$Q$66)*((1/Calculations!$S136)-1)-'Reaction Information'!$P$66*10^5*((1/Calculations!$C$10)-1)+'Reaction Information'!$P$66*10^5*Calculations!$C$14*(Calculations!$O136-Calculations!$C$8))</f>
        <v>#N/A</v>
      </c>
      <c r="AY136" s="31">
        <f>(AL136*Input!$AO$4+AM136*Input!$AR$4+AN136*Input!$AU$4+AO136*Input!$AX$4+IF(ISNA(AP136),0,AP136*Input!$BA$4)+IF(ISNA(AQ136),0,AQ136*Input!$BD$4)+IF(ISNA(AR136),0,AR136*Input!$BG$4)+IF(ISNA(AS136),0,AS136*Input!$BJ$4)+IF(ISNA(AT136),0,AT136*Input!$BM$4)+IF(ISNA(AU136),0,AU136*Input!$BP$4)+IF(ISNA(AV136),0,AV136*Input!$BS$4)+IF(ISNA(AW136),0,AW136*Input!$BV$4)+IF(ISNA(AX136),0,AX136*Input!$BY$4))-(Y136*Input!$B$4+Z136*Input!$E$4+AA136*Input!$H$4+AB136*Input!$K$4+IF(ISNA(AC136),0,AC136*Input!$N$4)+IF(ISNA(AD136),0,AD136*Input!$Q$4)+IF(ISNA(AE136),0,AE136*Input!$T$4)+IF(ISNA(AF136),0,AF136*Input!$W$4)+IF(ISNA(AG136),0,AG136*Input!$Z$4)+IF(ISNA(AH136),0,AH136*Input!$AC$4)+IF(ISNA(AI136),0,AI136*Input!$AF$4)+IF(ISNA(AJ136),0,AJ136*Input!$AI$4)+IF(ISNA(AK136),0,AK136*Input!$AL$4))</f>
        <v>21266.783720303793</v>
      </c>
      <c r="AZ136" s="42">
        <f t="shared" si="39"/>
        <v>-4.3338438357394287</v>
      </c>
      <c r="BA136" s="1">
        <f t="shared" si="46"/>
        <v>800</v>
      </c>
      <c r="BB136" s="46">
        <f t="shared" si="47"/>
        <v>45000</v>
      </c>
      <c r="BC136" s="1"/>
      <c r="BD136" s="2">
        <f t="shared" si="48"/>
        <v>45000</v>
      </c>
      <c r="BE136" s="46">
        <f t="shared" si="49"/>
        <v>800</v>
      </c>
      <c r="BF136" s="1">
        <f>Results!AJ138</f>
        <v>0</v>
      </c>
      <c r="BG136" s="1">
        <f>Results!AK138</f>
        <v>0</v>
      </c>
      <c r="BH136" s="1">
        <f>Results!AL138</f>
        <v>0</v>
      </c>
      <c r="BI136" s="1">
        <f>Results!AM138</f>
        <v>0</v>
      </c>
      <c r="BJ136" s="1" t="e">
        <f>IF(OR(ISNA('Reaction Information'!$D$5), $N136 = "", $D$27 = FALSE, 'Reaction Information'!$D$5 = ""), NA(), 24.465)</f>
        <v>#N/A</v>
      </c>
      <c r="BK136" s="1" t="e">
        <f>IF(OR(ISNA('Reaction Information'!$D$9), $N136 = "", $D$27 = FALSE, 'Reaction Information'!$D$9 = ""), NA(), 24.465)</f>
        <v>#N/A</v>
      </c>
      <c r="BL136" s="8">
        <f t="shared" si="40"/>
        <v>13.833827624750338</v>
      </c>
      <c r="BM136" s="8">
        <f>IF(OR(ISBLANK(Input!$X$4),$D$27=FALSE),NA(),('Reaction Information'!$J$13/10+'Reaction Information'!$K$13*100/(Calculations!$C$12+Calculations!$M136)+('Reaction Information'!$L$13+'Reaction Information'!$M$13*10^4/(Calculations!$C$12+Calculations!$M136))/(Calculations!$O136-Calculations!$C$13) -calculateOmega(Calculations!$M136,Calculations!$N136,Calculations!$Q136,'Reaction Information'!$C$13,'Reaction Information'!$P$13*10^5,'Reaction Information'!$Q$13)*Calculations!$U136*10^-6 + (1/$S136 - 1)*calculate_domegadP(Calculations!$M136,Calculations!$N136,Calculations!$Q136,'Reaction Information'!$C$13,'Reaction Information'!$P$13*10^5,'Reaction Information'!$Q$13,$D$20,$D$19=3))*41.84)</f>
        <v>30.099971475399656</v>
      </c>
      <c r="BN136" s="8" t="e">
        <f>IF(OR(ISBLANK(Input!$AA$4),$D$27=FALSE),NA(),('Reaction Information'!$J$17/10+'Reaction Information'!$K$17*100/(Calculations!$C$12+Calculations!$M136)+('Reaction Information'!$L$17+'Reaction Information'!$M$17*10000/(Calculations!$C$12+Calculations!$M136))/(Calculations!$O136-Calculations!$C$13)-calculateOmega(Calculations!M136,Calculations!N136,Calculations!Q136,'Reaction Information'!$C$17,'Reaction Information'!$P$17*10^5,'Reaction Information'!$Q$17)*Calculations!$U136*10^-6 + (1/$S136 - 1)*calculate_domegadP(Calculations!M136,Calculations!N136,Calculations!Q136,'Reaction Information'!$C$17,'Reaction Information'!$P$17*10^5,'Reaction Information'!$Q$17,$D$20,$D$19=3))*41.84)</f>
        <v>#N/A</v>
      </c>
      <c r="BO136" s="8" t="e">
        <f>IF(OR(ISBLANK(Input!$AD$4),$D$27=FALSE),NA(),('Reaction Information'!$J$21/10+'Reaction Information'!$K$21*100/(Calculations!$C$12+Calculations!$M136)+('Reaction Information'!$L$21+'Reaction Information'!$M$21*10000/(Calculations!$C$12+Calculations!$M136))/(Calculations!$O136-Calculations!$C$13)-calculateOmega(Calculations!M136,Calculations!N136,Calculations!Q136,'Reaction Information'!$C$21,'Reaction Information'!$P$21*10^5,'Reaction Information'!$Q$21)*Calculations!$U136*10^-6 + (1/$S136 - 1)*calculate_domegadP(Calculations!M136,Calculations!N136,Calculations!Q136,'Reaction Information'!$C$21,'Reaction Information'!$P$21*10^5,'Reaction Information'!$Q$21,$D$20,$D$19=3))*41.84)</f>
        <v>#N/A</v>
      </c>
      <c r="BP136" s="8" t="e">
        <f>IF(OR(ISBLANK(Input!$AG$4),$D$27=FALSE),NA(),('Reaction Information'!$J$25/10+'Reaction Information'!$K$25*100/(Calculations!$C$12+Calculations!$M136)+('Reaction Information'!$L$25+'Reaction Information'!$M$25*10000/(Calculations!$C$12+Calculations!$M136))/(Calculations!$O136-Calculations!$C$13)-calculateOmega(Calculations!M136,Calculations!N136,Calculations!Q136,'Reaction Information'!$C$25,'Reaction Information'!$P$25*10^5,'Reaction Information'!$Q$25)*Calculations!$U136*10^-6 + (1/$S136 - 1)*calculate_domegadP(Calculations!M136,Calculations!N136,Calculations!Q136,'Reaction Information'!$C$25,'Reaction Information'!$P$25*10^5,'Reaction Information'!$Q$25,$D$20,$D$19=3))*41.84)</f>
        <v>#N/A</v>
      </c>
      <c r="BQ136" s="8" t="e">
        <f>IF(OR(ISBLANK(Input!$AJ$4),$D$27=FALSE),NA(),('Reaction Information'!$J$29/10+'Reaction Information'!$K$29*100/(Calculations!$C$12+Calculations!$M136)+('Reaction Information'!$L$29+'Reaction Information'!$M$29*10000/(Calculations!$C$12+Calculations!$M136))/(Calculations!$O136-Calculations!$C$13)-calculateOmega(Calculations!M136,Calculations!N136,Calculations!Q136,'Reaction Information'!$C$29,'Reaction Information'!$P$29*10^5,'Reaction Information'!$Q$29)*Calculations!$U136*10^-6 + (1/$S136 - 1)*calculate_domegadP(Calculations!M136,Calculations!N136,Calculations!Q136,'Reaction Information'!$C$29,'Reaction Information'!$P$29*10^5,'Reaction Information'!$Q$29,$D$20,$D$19=3))*41.84)</f>
        <v>#N/A</v>
      </c>
      <c r="BR136" s="8" t="e">
        <f>IF(OR(ISBLANK(Input!$AM$4),$D$27=FALSE),NA(),('Reaction Information'!$J$33/10+'Reaction Information'!$K$33*100/(Calculations!$C$12+Calculations!$M136)+('Reaction Information'!$L$33+'Reaction Information'!$M$33*10000/(Calculations!$C$12+Calculations!$M136))/(Calculations!$O136-Calculations!$C$13)-calculateOmega(Calculations!M136,Calculations!N136,Calculations!Q136,'Reaction Information'!$C$33,'Reaction Information'!$P$33*10^5,'Reaction Information'!$Q$33)*Calculations!$U136*10^-6 + (1/$S136 - 1)*calculate_domegadP(Calculations!M136,Calculations!N136,Calculations!Q136,'Reaction Information'!$C$33,'Reaction Information'!$P$33*10^5,'Reaction Information'!$Q$33,$D$20,$D$19=3))*41.84)</f>
        <v>#N/A</v>
      </c>
      <c r="BS136" s="1">
        <f>Results!AW138</f>
        <v>0</v>
      </c>
      <c r="BT136" s="1">
        <f>Results!AX138</f>
        <v>0</v>
      </c>
      <c r="BU136" s="1">
        <f>Results!AY138</f>
        <v>0</v>
      </c>
      <c r="BV136" s="1">
        <f>Results!AZ138</f>
        <v>0</v>
      </c>
      <c r="BW136" s="1" t="e">
        <f>IF(OR(ISNA('Reaction Information'!$D$38), $N136 = "", $D$27 = FALSE, 'Reaction Information'!$D$38 = ""), NA(), 24.465)</f>
        <v>#N/A</v>
      </c>
      <c r="BX136" s="1" t="e">
        <f>IF(OR(ISNA('Reaction Information'!$D$42), $N136 = "", $D$27 = FALSE, 'Reaction Information'!$D$42 = ""), NA(), 24.465)</f>
        <v>#N/A</v>
      </c>
      <c r="BY136" s="8" t="e">
        <f t="shared" si="41"/>
        <v>#N/A</v>
      </c>
      <c r="BZ136" s="8">
        <f>IF(OR(ISBLANK(Input!$BK$4),$D$27=FALSE),NA(),('Reaction Information'!$J$46/10+'Reaction Information'!$K$46*100/(Calculations!$C$12+Calculations!$M136)+('Reaction Information'!$L$46+'Reaction Information'!$M$46*10000/(Calculations!$C$12+Calculations!$M136))/(Calculations!$O136-Calculations!$C$13)-calculateOmega(Calculations!M136,Calculations!N136,Calculations!Q136,'Reaction Information'!$C$46,'Reaction Information'!$P$46*10^5,'Reaction Information'!$Q$46)*Calculations!$U136*10^-6 + (1/$S136 - 1)*calculate_domegadP(Calculations!M136,Calculations!N136,Calculations!Q136,'Reaction Information'!$C$46,'Reaction Information'!$P$46*10^5,'Reaction Information'!$Q$46,$D$20,$D$19=3))*41.84)</f>
        <v>0</v>
      </c>
      <c r="CA136" s="8">
        <f>IF(OR(ISBLANK(Input!$BN$4),$D$27=FALSE),NA(),('Reaction Information'!$J$50/10+'Reaction Information'!$K$50*100/(Calculations!$C$12+Calculations!$M136)+('Reaction Information'!$L$50+'Reaction Information'!$M$50*10000/(Calculations!$C$12+Calculations!$M136))/(Calculations!$O136-Calculations!$C$13)-calculateOmega(Calculations!M136,Calculations!N136,Calculations!Q136,'Reaction Information'!$C$50,'Reaction Information'!$P$50*10^5,'Reaction Information'!$Q$50)*Calculations!$U136*10^-6 + (1/$S136 - 1)*calculate_domegadP(Calculations!M136,Calculations!N136,Calculations!Q136,'Reaction Information'!$C$50,'Reaction Information'!$P$50*10^5,'Reaction Information'!$Q$50,$D$20,$D$19=3))*41.84)</f>
        <v>31.056779149299057</v>
      </c>
      <c r="CB136" s="8" t="e">
        <f>IF(OR(ISBLANK(Input!$BQ$4),$D$27=FALSE),NA(),('Reaction Information'!$J$54/10+'Reaction Information'!$K$54*100/(Calculations!$C$12+Calculations!$M136)+('Reaction Information'!$L$54+'Reaction Information'!$M$54*10000/(Calculations!$C$12+Calculations!$M136))/(Calculations!$O136-Calculations!$C$13)-calculateOmega(Calculations!M136,Calculations!N136,Calculations!Q136,'Reaction Information'!$C$54,'Reaction Information'!$P$54*10^5,'Reaction Information'!$Q$54)*Calculations!$U136*10^-6 + (1/$S136 - 1)*calculate_domegadP(Calculations!M136,Calculations!N136,Calculations!Q136,'Reaction Information'!$C$54,'Reaction Information'!$P$54*10^5,'Reaction Information'!$Q$54,$D$20,$D$19=3))*41.84)</f>
        <v>#N/A</v>
      </c>
      <c r="CC136" s="8" t="e">
        <f>IF(OR(ISBLANK(Input!$BT$4),$D$27=FALSE),NA(),('Reaction Information'!$J$58/10+'Reaction Information'!$K$58*100/(Calculations!$C$12+Calculations!$M136)+('Reaction Information'!$L$58+'Reaction Information'!$M$58*10000/(Calculations!$C$12+Calculations!$M136))/(Calculations!$O136-Calculations!$C$13)-calculateOmega(Calculations!M136,Calculations!N136,Calculations!Q136,'Reaction Information'!$C$58,'Reaction Information'!$P$58*10^5,'Reaction Information'!$Q$58)*Calculations!$U136*10^-6 + (1/$S136 - 1)*calculate_domegadP(Calculations!M136,Calculations!N136,Calculations!Q136,'Reaction Information'!$C$58,'Reaction Information'!$P$58*10^5,'Reaction Information'!$Q$58,$D$20,$D$19=3))*41.84)</f>
        <v>#N/A</v>
      </c>
      <c r="CD136" s="8" t="e">
        <f>IF(OR(ISBLANK(Input!$BW$4),$D$27=FALSE),NA(),('Reaction Information'!$J$62/10+'Reaction Information'!$K$62*100/(Calculations!$C$12+Calculations!$M136)+('Reaction Information'!$L$62+'Reaction Information'!$M$62*10000/(Calculations!$C$12+Calculations!$M136))/(Calculations!$O136-Calculations!$C$13)-calculateOmega(Calculations!M136,Calculations!N136,Calculations!Q136,'Reaction Information'!$C$62,'Reaction Information'!$P$62*10^5,'Reaction Information'!$Q$62)*Calculations!$U136*10^-6 + (1/$S136 - 1)*calculate_domegadP(Calculations!M136,Calculations!N136,Calculations!Q136,'Reaction Information'!$C$62,'Reaction Information'!$P$62*10^5,'Reaction Information'!$Q$62,$D$20,$D$19=3))*41.84)</f>
        <v>#N/A</v>
      </c>
      <c r="CE136" s="8" t="e">
        <f>IF(OR(ISBLANK(Input!$BZ$4),$D$27=FALSE),NA(),('Reaction Information'!$J$66/10+'Reaction Information'!$K$66*100/(Calculations!$C$12+Calculations!$M136)+('Reaction Information'!$L$66+'Reaction Information'!$M$66*10000/(Calculations!$C$12+Calculations!$M136))/(Calculations!$O136-Calculations!$C$13)-calculateOmega(Calculations!M136,Calculations!N136,Calculations!Q136,'Reaction Information'!$C$66,'Reaction Information'!$P$66*10^5,'Reaction Information'!$Q$66)*Calculations!$U136*10^-6 + (1/$S136 - 1)*calculate_domegadP(Calculations!M136,Calculations!N136,Calculations!Q136,'Reaction Information'!$C$66,'Reaction Information'!$P$66*10^5,'Reaction Information'!$Q$66,$D$20,$D$19=3))*41.84)</f>
        <v>#N/A</v>
      </c>
      <c r="CF136" s="31">
        <f>(BS136*Input!$AO$4+BT136*Input!$AR$4+BU136*Input!$AU$4+BV136*Input!$AX$4+IF(ISNA(BW136),0,BW136*Input!$BA$4)+IF(ISNA(BX136),0,BX136*Input!$BD$4)+IF(ISNA(BY136),0,BY136*Input!$BG$4)+IF(ISNA(BZ136),0,BZ136*Input!$BJ$4)+IF(ISNA(CA136),0,CA136*Input!$BM$4)+IF(ISNA(CB136),0,CB136*Input!$BP$4)+IF(ISNA(CC136),0,CC136*Input!$BS$4)+IF(ISNA(CD136),0,CD136*Input!$BV$4)+IF(ISNA(CE136),0,CE136*Input!$BY$4))-(BF136*Input!$B$4+BG136*Input!$E$4+BH136*Input!$H$4+BI136*Input!$K$4+IF(ISNA(BJ136),0,BJ136*Input!$N$4)+IF(ISNA(BK136),0,BK136*Input!$Q$4)+IF(ISNA(BL136),0,BL136*Input!$T$4)+IF(ISNA(BM136),0,BM136*Input!$W$4)+IF(ISNA(BN136),0,BN136*Input!$Z$4)+IF(ISNA(BO136),0,BO136*Input!$AC$4)+IF(ISNA(BP136),0,BP136*Input!$AF$4)+IF(ISNA(BQ136),0,BQ136*Input!$AI$4)+IF(ISNA(BR136),0,BR136*Input!$AL$4))</f>
        <v>-12.87701995085094</v>
      </c>
      <c r="CG136" s="1">
        <f t="shared" si="50"/>
        <v>800</v>
      </c>
      <c r="CH136" s="46">
        <f t="shared" si="51"/>
        <v>45000</v>
      </c>
      <c r="CI136" s="1"/>
    </row>
    <row r="137" spans="1:87" x14ac:dyDescent="0.2">
      <c r="A137" s="1"/>
      <c r="B137" s="1"/>
      <c r="C137" s="1"/>
      <c r="D137" s="1"/>
      <c r="E137" s="1"/>
      <c r="F137" s="2">
        <v>132</v>
      </c>
      <c r="G137" s="1" t="str">
        <f>IF(ISBLANK(Input!CB137), "", Input!CB137*1000)</f>
        <v/>
      </c>
      <c r="H137" s="1" t="str">
        <f>IF(ISBLANK(Input!CC137), "", Input!CC137)</f>
        <v/>
      </c>
      <c r="I137" s="1">
        <f>IF(Input!$CF$5 + Input!$CF$6*(FLOOR((Calculations!$F137-1)/(FLOOR((Input!$CF$12-Input!$CF$10)/Input!$CF$11,1)+1),1)) &gt; Input!$CF$7, "", (Input!$CF$5 + Input!$CF$6*(FLOOR((Calculations!$F137-1)/(FLOOR((Input!$CF$12-Input!$CF$10)/Input!$CF$11,1)+1),1)))*1000)</f>
        <v>45000</v>
      </c>
      <c r="J137" s="1">
        <f>IF(Calculations!I137 = "", "", Input!$CF$10 + Input!$CF$11*(Calculations!$F137-1) - (FLOOR((Input!$CF$12-Input!$CF$10)/Input!$CF$11,1)+1)*Input!$CF$11*FLOOR((Calculations!$F137-1)/(FLOOR((Input!$CF$12-Input!$CF$10)/Input!$CF$11,1)+1),1))</f>
        <v>850</v>
      </c>
      <c r="K137" s="8" t="str">
        <f t="shared" si="52"/>
        <v/>
      </c>
      <c r="L137" s="117" t="str">
        <f>IF(OR(Input!$CJ$5 + Input!$CJ$6*(Calculations!F137-1) &gt; Input!$CJ$7, Input!$CJ$5 + Input!$CJ$6*(Calculations!F137-1) &gt; 350), "", Input!$CJ$5 + Input!$CJ$6*(Calculations!F137-1))</f>
        <v/>
      </c>
      <c r="M137" s="1">
        <f t="shared" si="42"/>
        <v>45000</v>
      </c>
      <c r="N137" s="1">
        <f t="shared" si="43"/>
        <v>850</v>
      </c>
      <c r="O137" s="1">
        <f t="shared" si="38"/>
        <v>1123.1500000000001</v>
      </c>
      <c r="P137" s="1" t="e">
        <f>IF(OR($D$20=3,AND($D$21=TRUE,M137&lt;1000)),INDEX('Water Density'!$C$6:$CX$120,MATCH(Calculations!N137,'Water Density'!$B$6:$B$120),MATCH(Calculations!M137/1000,'Water Density'!$C$5:$CX$5)),NA())</f>
        <v>#N/A</v>
      </c>
      <c r="Q137" s="182">
        <f>IF(OR($D$20=3,AND($D$21=TRUE,M137&lt;1000)), IF(P137&lt;&gt;0,P137,NA()), calculateDensity(M137,N137,$D$20,0.01,$D$19 = 3))</f>
        <v>1.2895635504329206</v>
      </c>
      <c r="R137" s="1" t="e">
        <f>IF($D$22=5,INDEX('Dielectric Constant'!$C$6:$CX$120,MATCH(Calculations!N137,'Dielectric Constant'!$B$6:$B$120),MATCH(Calculations!M137/1000,'Dielectric Constant'!$C$5:$CX$5)),NA())</f>
        <v>#N/A</v>
      </c>
      <c r="S137" s="58">
        <f>IF($D$22=5, IF(R137&lt;&gt;0,R137,NA()), IF(AND($D$23,M137&lt;=5000,$D$19 &lt;&gt; 3),calculateEpsilon(Q137,N137,1,FALSE),calculateEpsilon(Q137,N137,$D$22,$D$19 = 3)))</f>
        <v>20.750586916777987</v>
      </c>
      <c r="T137" s="1" t="e">
        <f>IF($D$24=3,INDEX('Water Free Energy'!$C$6:$CX$120,MATCH(Calculations!N137,'Water Free Energy'!$B$6:$B$120),MATCH(Calculations!M137/1000,'Water Free Energy'!$C$5:$CX$5)),NA())</f>
        <v>#N/A</v>
      </c>
      <c r="U137" s="179">
        <f>IF($D$27,calculateQ(M137,N137,Q137,$D$20,$D$22,$D$19=3)*10^6,NA())</f>
        <v>0.20560498983653702</v>
      </c>
      <c r="V137"/>
      <c r="W137" s="2">
        <f t="shared" si="44"/>
        <v>45000</v>
      </c>
      <c r="X137" s="1">
        <f t="shared" si="45"/>
        <v>850</v>
      </c>
      <c r="Y137" s="1">
        <f>Results!F139</f>
        <v>0</v>
      </c>
      <c r="Z137" s="1">
        <f>Results!G139</f>
        <v>0</v>
      </c>
      <c r="AA137" s="1">
        <f>Results!H139</f>
        <v>0</v>
      </c>
      <c r="AB137" s="1">
        <f>Results!I139</f>
        <v>0</v>
      </c>
      <c r="AC137" s="1" t="e">
        <f>IF(ISBLANK(Input!$O$4),NA(),'Reaction Information'!$E$5-'Reaction Information'!$G$5*(Calculations!$O137-Calculations!$C$8)+'Reaction Information'!$I$5*(Calculations!$O137-Calculations!$C$8-Calculations!$O137*LN(Calculations!$O137/Calculations!$C$8))+'Reaction Information'!$J$5*0.001/2*(2*Calculations!$O137*Calculations!$C$8-Calculations!$O137^2-Calculations!$C$8^2) + 'Reaction Information'!$K$5*100000*(Calculations!$O137^2 + Calculations!$C$8^2 - 2*Calculations!$O137*Calculations!$C$8)/(2*Calculations!$O137*Calculations!$C$8^2))</f>
        <v>#N/A</v>
      </c>
      <c r="AD137" s="8" t="e">
        <f>IF(ISBLANK(Input!$R$4),NA(),'Reaction Information'!$E$9-'Reaction Information'!$G$9*(Calculations!$O137-Calculations!$C$8)+'Reaction Information'!$I$9*(Calculations!$O137-Calculations!$C$8-Calculations!$O137*LN(Calculations!$O137/Calculations!$C$8))+'Reaction Information'!$J$9*0.001/2*(2*Calculations!$O137*Calculations!$C$8-Calculations!$O137^2-Calculations!$C$8^2) + 'Reaction Information'!$K$9*100000*(Calculations!$O137^2 + Calculations!$C$8^2 - 2*Calculations!$O137*Calculations!$C$8)/(2*Calculations!$O137*Calculations!$C$8^2))</f>
        <v>#N/A</v>
      </c>
      <c r="AE137" s="8">
        <f>IF(AE$5="H2O",IF($D$24=3,IF(T137=0,NA(),T137),calculateGibbsOfWater(M137,N137,$D$24,$D$20,$D$19=3)),NA())</f>
        <v>-62002.790356683356</v>
      </c>
      <c r="AF137" s="8">
        <f>IF(ISBLANK(Input!$X$4),NA(),'Reaction Information'!$E$13-'Reaction Information'!$G$13*(Calculations!O137-Calculations!$C$8)-'Reaction Information'!$N$13*(Calculations!O137*LN(Calculations!O137/Calculations!$C$8)-Calculations!O137+Calculations!$C$8)-'Reaction Information'!$O$13*10^4*(((1/(Calculations!O137-Calculations!$C$13))-(1/(Calculations!$C$8-Calculations!$C$13)))*((Calculations!$C$13-Calculations!O137)/(Calculations!$C$13))-(Calculations!O137/(Calculations!$C$13*Calculations!$C$13))*LN((Calculations!$C$8*(Calculations!O137-Calculations!$C$13))/(Calculations!O137*(Calculations!$C$8-Calculations!$C$13))))+'Reaction Information'!$J$13*10^-1*(Calculations!M137-Calculations!$C$9)+'Reaction Information'!$K$13*10^2*LN((Calculations!$C$12+Calculations!M137)/(Calculations!$C$12+Calculations!$C$9))+(1/(Calculations!O137-Calculations!$C$13))*('Reaction Information'!$L$13*(Calculations!M137-Calculations!$C$9)+'Reaction Information'!$M$13*10^4*LN((Calculations!$C$12+Calculations!M137)/(Calculations!$C$12+Calculations!$C$9)))+calculateOmega(Calculations!M137,Calculations!N137,Calculations!Q137,'Reaction Information'!$C$13,'Reaction Information'!$P$13*10^5,'Reaction Information'!$Q$13)*((1/Calculations!S137)-1)-'Reaction Information'!$P$13*10^5*((1/Calculations!$C$10)-1)+'Reaction Information'!$P$13*10^5*Calculations!$C$14*(Calculations!O137-Calculations!$C$8))</f>
        <v>-94563.711285469253</v>
      </c>
      <c r="AG137" s="8" t="e">
        <f>IF(ISBLANK(Input!$AA$4),NA(),'Reaction Information'!$E$17-'Reaction Information'!$G$17*(Calculations!$O137-Calculations!$C$8)-'Reaction Information'!$N$17*(Calculations!$O137*LN(Calculations!$O137/Calculations!$C$8)-Calculations!$O137+Calculations!$C$8)-'Reaction Information'!$O$17*10^4*(((1/(Calculations!$O137-Calculations!$C$13))-(1/(Calculations!$C$8-Calculations!$C$13)))*((Calculations!$C$13-Calculations!$O137)/(Calculations!$C$13))-(Calculations!$O137/(Calculations!$C$13*Calculations!$C$13))*LN((Calculations!$C$8*(Calculations!$O137-Calculations!$C$13))/(Calculations!$O137*(Calculations!$C$8-Calculations!$C$13))))+'Reaction Information'!$J$17*10^-1*(Calculations!$M137-Calculations!$C$9)+'Reaction Information'!$K$17*10^2*LN((Calculations!$C$12+Calculations!$M137)/(Calculations!$C$12+Calculations!$C$9))+(1/(Calculations!$O137-Calculations!$C$13))*('Reaction Information'!$L$17*(Calculations!$M137-Calculations!$C$9)+'Reaction Information'!$M$17*10^4*LN((Calculations!$C$12+Calculations!$M137)/(Calculations!$C$12+Calculations!$C$9)))+calculateOmega(Calculations!M137,Calculations!N137,Calculations!Q137,'Reaction Information'!$C$17,'Reaction Information'!$P$17*10^5,'Reaction Information'!$Q$17)*((1/Calculations!$S137)-1)-'Reaction Information'!$P$17*10^5*((1/Calculations!$C$10)-1)+'Reaction Information'!$P$17*10^5*Calculations!$C$14*(Calculations!$O137-Calculations!$C$8))</f>
        <v>#N/A</v>
      </c>
      <c r="AH137" s="8" t="e">
        <f>IF(ISBLANK(Input!$AD$4),NA(),'Reaction Information'!$E$21-'Reaction Information'!$G$21*(Calculations!$O137-Calculations!$C$8)-'Reaction Information'!$N$21*(Calculations!$O137*LN(Calculations!$O137/Calculations!$C$8)-Calculations!$O137+Calculations!$C$8)-'Reaction Information'!$O$21*10^4*(((1/(Calculations!$O137-Calculations!$C$13))-(1/(Calculations!$C$8-Calculations!$C$13)))*((Calculations!$C$13-Calculations!$O137)/(Calculations!$C$13))-(Calculations!$O137/(Calculations!$C$13*Calculations!$C$13))*LN((Calculations!$C$8*(Calculations!$O137-Calculations!$C$13))/(Calculations!$O137*(Calculations!$C$8-Calculations!$C$13))))+'Reaction Information'!$J$21*10^-1*(Calculations!$M137-Calculations!$C$9)+'Reaction Information'!$K$21*10^2*LN((Calculations!$C$12+Calculations!$M137)/(Calculations!$C$12+Calculations!$C$9))+(1/(Calculations!$O137-Calculations!$C$13))*('Reaction Information'!$L$21*(Calculations!$M137-Calculations!$C$9)+'Reaction Information'!$M$21*10^4*LN((Calculations!$C$12+Calculations!$M137)/(Calculations!$C$12+Calculations!$C$9)))+calculateOmega(Calculations!M137,Calculations!N137,Calculations!Q137,'Reaction Information'!$C$21,'Reaction Information'!$P$21*10^5,'Reaction Information'!$Q$21)*((1/Calculations!$S137)-1)-'Reaction Information'!$P$21*10^5*((1/Calculations!$C$10)-1)+'Reaction Information'!$P$21*10^5*Calculations!$C$14*(Calculations!$O137-Calculations!$C$8))</f>
        <v>#N/A</v>
      </c>
      <c r="AI137" s="8" t="e">
        <f>IF(ISBLANK(Input!$AG$4),NA(),'Reaction Information'!$E$25-'Reaction Information'!$G$25*(Calculations!$O137-Calculations!$C$8)-'Reaction Information'!$N$25*(Calculations!$O137*LN(Calculations!$O137/Calculations!$C$8)-Calculations!$O137+Calculations!$C$8)-'Reaction Information'!$O$25*10^4*(((1/(Calculations!$O137-Calculations!$C$13))-(1/(Calculations!$C$8-Calculations!$C$13)))*((Calculations!$C$13-Calculations!$O137)/(Calculations!$C$13))-(Calculations!$O137/(Calculations!$C$13*Calculations!$C$13))*LN((Calculations!$C$8*(Calculations!$O137-Calculations!$C$13))/(Calculations!$O137*(Calculations!$C$8-Calculations!$C$13))))+'Reaction Information'!$J$25*10^-1*(Calculations!$M137-Calculations!$C$9)+'Reaction Information'!$K$25*10^2*LN((Calculations!$C$12+Calculations!$M137)/(Calculations!$C$12+Calculations!$C$9))+(1/(Calculations!$O137-Calculations!$C$13))*('Reaction Information'!$L$25*(Calculations!$M137-Calculations!$C$9)+'Reaction Information'!$M$25*10^4*LN((Calculations!$C$12+Calculations!$M137)/(Calculations!$C$12+Calculations!$C$9)))+calculateOmega(Calculations!M137,Calculations!N137,Calculations!Q137,'Reaction Information'!$C$25,'Reaction Information'!$P$25*10^5,'Reaction Information'!$Q$25)*((1/Calculations!$S137)-1)-'Reaction Information'!$P$25*10^5*((1/Calculations!$C$10)-1)+'Reaction Information'!$P$25*10^5*Calculations!$C$14*(Calculations!$O137-Calculations!$C$8))</f>
        <v>#N/A</v>
      </c>
      <c r="AJ137" s="8" t="e">
        <f>IF(ISBLANK(Input!$AJ$4),NA(),'Reaction Information'!$E$29-'Reaction Information'!$G$29*(Calculations!$O137-Calculations!$C$8)-'Reaction Information'!$N$29*(Calculations!$O137*LN(Calculations!$O137/Calculations!$C$8)-Calculations!$O137+Calculations!$C$8)-'Reaction Information'!$O$29*10^4*(((1/(Calculations!$O137-Calculations!$C$13))-(1/(Calculations!$C$8-Calculations!$C$13)))*((Calculations!$C$13-Calculations!$O137)/(Calculations!$C$13))-(Calculations!$O137/(Calculations!$C$13*Calculations!$C$13))*LN((Calculations!$C$8*(Calculations!$O137-Calculations!$C$13))/(Calculations!$O137*(Calculations!$C$8-Calculations!$C$13))))+'Reaction Information'!$J$29*10^-1*(Calculations!$M137-Calculations!$C$9)+'Reaction Information'!$K$29*10^2*LN((Calculations!$C$12+Calculations!$M137)/(Calculations!$C$12+Calculations!$C$9))+(1/(Calculations!$O137-Calculations!$C$13))*('Reaction Information'!$L$29*(Calculations!$M137-Calculations!$C$9)+'Reaction Information'!$M$29*10^4*LN((Calculations!$C$12+Calculations!$M137)/(Calculations!$C$12+Calculations!$C$9)))+calculateOmega(Calculations!M137,Calculations!N137,Calculations!Q137,'Reaction Information'!$C$29,'Reaction Information'!$P$29*10^5,'Reaction Information'!$Q$29)*((1/Calculations!$S137)-1)-'Reaction Information'!$P$29*10^5*((1/Calculations!$C$10)-1)+'Reaction Information'!$P$29*10^5*Calculations!$C$14*(Calculations!$O137-Calculations!$C$8))</f>
        <v>#N/A</v>
      </c>
      <c r="AK137" s="8" t="e">
        <f>IF(ISBLANK(Input!$AM$4),NA(),'Reaction Information'!$E$33-'Reaction Information'!$G$33*(Calculations!$O137-Calculations!$C$8)-'Reaction Information'!$N$33*(Calculations!$O137*LN(Calculations!$O137/Calculations!$C$8)-Calculations!$O137+Calculations!$C$8)-'Reaction Information'!$O$33*10^4*(((1/(Calculations!$O137-Calculations!$C$13))-(1/(Calculations!$C$8-Calculations!$C$13)))*((Calculations!$C$13-Calculations!$O137)/(Calculations!$C$13))-(Calculations!$O137/(Calculations!$C$13*Calculations!$C$13))*LN((Calculations!$C$8*(Calculations!$O137-Calculations!$C$13))/(Calculations!$O137*(Calculations!$C$8-Calculations!$C$13))))+'Reaction Information'!$J$33*10^-1*(Calculations!$M137-Calculations!$C$9)+'Reaction Information'!$K$33*10^2*LN((Calculations!$C$12+Calculations!$M137)/(Calculations!$C$12+Calculations!$C$9))+(1/(Calculations!$O137-Calculations!$C$13))*('Reaction Information'!$L$33*(Calculations!$M137-Calculations!$C$9)+'Reaction Information'!$M$33*10^4*LN((Calculations!$C$12+Calculations!$M137)/(Calculations!$C$12+Calculations!$C$9)))+calculateOmega(Calculations!M137,Calculations!N137,Calculations!Q137,'Reaction Information'!$C$33,'Reaction Information'!$P$33*10^5,'Reaction Information'!$Q$33)*((1/Calculations!$S137)-1)-'Reaction Information'!$P$33*10^5*((1/Calculations!$C$10)-1)+'Reaction Information'!$P$33*10^5*Calculations!$C$14*(Calculations!$O137-Calculations!$C$8))</f>
        <v>#N/A</v>
      </c>
      <c r="AL137" s="1">
        <f>Results!S139</f>
        <v>0</v>
      </c>
      <c r="AM137" s="1">
        <f>Results!T139</f>
        <v>0</v>
      </c>
      <c r="AN137" s="1">
        <f>Results!U139</f>
        <v>0</v>
      </c>
      <c r="AO137" s="1">
        <f>Results!V139</f>
        <v>0</v>
      </c>
      <c r="AP137" s="8" t="e">
        <f>IF(ISBLANK(Input!$BB$4),NA(),'Reaction Information'!$E$38-'Reaction Information'!$G$38*(Calculations!$O137-Calculations!$C$8)+'Reaction Information'!$I$38*(Calculations!$O137-Calculations!$C$8-Calculations!$O137*LN(Calculations!$O137/Calculations!$C$8))+'Reaction Information'!$J$38*0.001/2*(2*Calculations!$O137*Calculations!$C$8-Calculations!$O137^2-Calculations!$C$8^2) + 'Reaction Information'!$K$38*100000*(Calculations!$O137^2 + Calculations!$C$8^2 - 2*Calculations!$O137*Calculations!$C$8)/(2*Calculations!$O137*Calculations!$C$8^2))</f>
        <v>#N/A</v>
      </c>
      <c r="AQ137" s="8" t="e">
        <f>IF(ISBLANK(Input!$BE$4),NA(),'Reaction Information'!$E$42-'Reaction Information'!$G$42*(Calculations!$O137-Calculations!$C$8)+'Reaction Information'!$I$42*(Calculations!$O137-Calculations!$C$8-Calculations!$O137*LN(Calculations!$O137/Calculations!$C$8))+'Reaction Information'!$J$42*0.001/2*(2*Calculations!$O137*Calculations!$C$8-Calculations!$O137^2-Calculations!$C$8^2) + 'Reaction Information'!$K$42*100000*(Calculations!$O137^2 + Calculations!$C$8^2 - 2*Calculations!$O137*Calculations!$C$8)/(2*Calculations!$O137*Calculations!$C$8^2))</f>
        <v>#N/A</v>
      </c>
      <c r="AR137" s="8" t="e">
        <f>IF(AR$5="H2O", IF($D$24=3,IF(T137=0,NA(),T137),calculateGibbsOfWater(M137,N137,$D$24,$D$20,$D$19=3)),NA())</f>
        <v>#N/A</v>
      </c>
      <c r="AS137" s="8">
        <f>IF(ISBLANK(Input!$BK$4),NA(),'Reaction Information'!$E$46-'Reaction Information'!$G$46*(Calculations!O137-Calculations!$C$8)-'Reaction Information'!$N$46*(Calculations!O137*LN(Calculations!O137/Calculations!$C$8)-Calculations!O137+Calculations!$C$8)-'Reaction Information'!$O$46*10^4*(((1/(Calculations!O137-Calculations!$C$13))-(1/(Calculations!$C$8-Calculations!$C$13)))*((Calculations!$C$13-Calculations!O137)/(Calculations!$C$13))-(Calculations!O137/(Calculations!$C$13*Calculations!$C$13))*LN((Calculations!$C$8*(Calculations!O137-Calculations!$C$13))/(Calculations!O137*(Calculations!$C$8-Calculations!$C$13))))+'Reaction Information'!$J$46*10^-1*(Calculations!$M137-Calculations!$C$9)+'Reaction Information'!$K$46*10^2*LN((Calculations!$C$12+Calculations!$M137)/(Calculations!$C$12+Calculations!$C$9))+(1/(Calculations!O137-Calculations!$C$13))*('Reaction Information'!$L$46*(Calculations!$M137-Calculations!$C$9)+'Reaction Information'!$M$46*10^4*LN((Calculations!$C$12+Calculations!$M137)/(Calculations!$C$12+Calculations!$C$9)))+calculateOmega(Calculations!M137,Calculations!N137,Calculations!Q137,'Reaction Information'!$C$46,'Reaction Information'!$P$46*10^5,'Reaction Information'!$Q$46)*((1/Calculations!S137)-1)-'Reaction Information'!$P$46*10^5*((1/Calculations!$C$10)-1)+'Reaction Information'!$P$46*10^5*Calculations!$C$14*(Calculations!O137-Calculations!$C$8))</f>
        <v>0</v>
      </c>
      <c r="AT137" s="8">
        <f>IF(ISBLANK(Input!$BN$4),NA(),'Reaction Information'!$E$50-'Reaction Information'!$G$50*(Calculations!O137-Calculations!$C$8)-'Reaction Information'!$N$50*(Calculations!O137*LN(Calculations!O137/Calculations!$C$8)-Calculations!O137+Calculations!$C$8)-'Reaction Information'!$O$50*10^4*(((1/(Calculations!O137-Calculations!$C$13))-(1/(Calculations!$C$8-Calculations!$C$13)))*((Calculations!$C$13-Calculations!O137)/(Calculations!$C$13))-(Calculations!O137/(Calculations!$C$13*Calculations!$C$13))*LN((Calculations!$C$8*(Calculations!O137-Calculations!$C$13))/(Calculations!O137*(Calculations!$C$8-Calculations!$C$13))))+'Reaction Information'!$J$50*10^-1*(Calculations!$M137-Calculations!$C$9)+'Reaction Information'!$K$50*10^2*LN((Calculations!$C$12+Calculations!$M137)/(Calculations!$C$12+Calculations!$C$9))+(1/(Calculations!O137-Calculations!$C$13))*('Reaction Information'!$L$50*(Calculations!$M137-Calculations!$C$9)+'Reaction Information'!$M$50*10^4*LN((Calculations!$C$12+Calculations!$M137)/(Calculations!$C$12+Calculations!$C$9)))+calculateOmega(Calculations!M137,Calculations!N137,Calculations!Q137,'Reaction Information'!$C$50,'Reaction Information'!$P$50*10^5,'Reaction Information'!$Q$50)*((1/Calculations!S137)-1)-'Reaction Information'!$P$50*10^5*((1/Calculations!$C$10)-1)+'Reaction Information'!$P$50*10^5*Calculations!$C$14*(Calculations!O137-Calculations!$C$8))</f>
        <v>-132994.28470609718</v>
      </c>
      <c r="AU137" s="8" t="e">
        <f>IF(ISBLANK(Input!$BQ$4),NA(),'Reaction Information'!$E$54-'Reaction Information'!$G$54*(Calculations!$O137-Calculations!$C$8)-'Reaction Information'!$N$54*(Calculations!$O137*LN(Calculations!$O137/Calculations!$C$8)-Calculations!$O137+Calculations!$C$8)-'Reaction Information'!$O$54*10^4*(((1/(Calculations!$O137-Calculations!$C$13))-(1/(Calculations!$C$8-Calculations!$C$13)))*((Calculations!$C$13-Calculations!$O137)/(Calculations!$C$13))-(Calculations!$O137/(Calculations!$C$13*Calculations!$C$13))*LN((Calculations!$C$8*(Calculations!$O137-Calculations!$C$13))/(Calculations!$O137*(Calculations!$C$8-Calculations!$C$13))))+'Reaction Information'!$J$54*10^-1*(Calculations!$M137-Calculations!$C$9)+'Reaction Information'!$K$54*10^2*LN((Calculations!$C$12+Calculations!$M137)/(Calculations!$C$12+Calculations!$C$9))+(1/(Calculations!$O137-Calculations!$C$13))*('Reaction Information'!$L$54*(Calculations!$M137-Calculations!$C$9)+'Reaction Information'!$M$54*10^4*LN((Calculations!$C$12+Calculations!$M137)/(Calculations!$C$12+Calculations!$C$9)))+calculateOmega(Calculations!M137,Calculations!N137,Calculations!Q137,'Reaction Information'!$C$54,'Reaction Information'!$P$54*10^5,'Reaction Information'!$Q$54)*((1/Calculations!$S137)-1)-'Reaction Information'!$P$54*10^5*((1/Calculations!$C$10)-1)+'Reaction Information'!$P$54*10^5*Calculations!$C$14*(Calculations!$O137-Calculations!$C$8))</f>
        <v>#N/A</v>
      </c>
      <c r="AV137" s="8" t="e">
        <f>IF(ISBLANK(Input!$BT$4),NA(),'Reaction Information'!$E$58-'Reaction Information'!$G$58*(Calculations!$O137-Calculations!$C$8)-'Reaction Information'!$N$58*(Calculations!$O137*LN(Calculations!$O137/Calculations!$C$8)-Calculations!$O137+Calculations!$C$8)-'Reaction Information'!$O$58*10^4*(((1/(Calculations!$O137-Calculations!$C$13))-(1/(Calculations!$C$8-Calculations!$C$13)))*((Calculations!$C$13-Calculations!$O137)/(Calculations!$C$13))-(Calculations!$O137/(Calculations!$C$13*Calculations!$C$13))*LN((Calculations!$C$8*(Calculations!$O137-Calculations!$C$13))/(Calculations!$O137*(Calculations!$C$8-Calculations!$C$13))))+'Reaction Information'!$J$58*10^-1*(Calculations!$M137-Calculations!$C$9)+'Reaction Information'!$K$58*10^2*LN((Calculations!$C$12+Calculations!$M137)/(Calculations!$C$12+Calculations!$C$9))+(1/(Calculations!$O137-Calculations!$C$13))*('Reaction Information'!$L$58*(Calculations!$M137-Calculations!$C$9)+'Reaction Information'!$M$58*10^4*LN((Calculations!$C$12+Calculations!$M137)/(Calculations!$C$12+Calculations!$C$9)))+calculateOmega(Calculations!M137,Calculations!N137,Calculations!Q137,'Reaction Information'!$C$58,'Reaction Information'!$P$58*10^5,'Reaction Information'!$Q$58)*((1/Calculations!$S137)-1)-'Reaction Information'!$P$58*10^5*((1/Calculations!$C$10)-1)+'Reaction Information'!$P$58*10^5*Calculations!$C$14*(Calculations!$O137-Calculations!$C$8))</f>
        <v>#N/A</v>
      </c>
      <c r="AW137" s="8" t="e">
        <f>IF(ISBLANK(Input!$BW$4),NA(),'Reaction Information'!$E$62-'Reaction Information'!$G$62*(Calculations!$O137-Calculations!$C$8)-'Reaction Information'!$N$62*(Calculations!$O137*LN(Calculations!$O137/Calculations!$C$8)-Calculations!$O137+Calculations!$C$8)-'Reaction Information'!$O$62*10^4*(((1/(Calculations!$O137-Calculations!$C$13))-(1/(Calculations!$C$8-Calculations!$C$13)))*((Calculations!$C$13-Calculations!$O137)/(Calculations!$C$13))-(Calculations!$O137/(Calculations!$C$13*Calculations!$C$13))*LN((Calculations!$C$8*(Calculations!$O137-Calculations!$C$13))/(Calculations!$O137*(Calculations!$C$8-Calculations!$C$13))))+'Reaction Information'!$J$62*10^-1*(Calculations!$M137-Calculations!$C$9)+'Reaction Information'!$K$62*10^2*LN((Calculations!$C$12+Calculations!$M137)/(Calculations!$C$12+Calculations!$C$9))+(1/(Calculations!$O137-Calculations!$C$13))*('Reaction Information'!$L$62*(Calculations!$M137-Calculations!$C$9)+'Reaction Information'!$M$62*10^4*LN((Calculations!$C$12+Calculations!$M137)/(Calculations!$C$12+Calculations!$C$9)))+calculateOmega(Calculations!M137,Calculations!N137,Calculations!Q137,'Reaction Information'!$C$62,'Reaction Information'!$P$62*10^5,'Reaction Information'!$Q$62)*((1/Calculations!$S137)-1)-'Reaction Information'!$P$62*10^5*((1/Calculations!$C$10)-1)+'Reaction Information'!$P$62*10^5*Calculations!$C$14*(Calculations!$O137-Calculations!$C$8))</f>
        <v>#N/A</v>
      </c>
      <c r="AX137" s="8" t="e">
        <f>IF(ISBLANK(Input!$BZ$4),NA(),'Reaction Information'!$E$66-'Reaction Information'!$G$66*(Calculations!$O137-Calculations!$C$8)-'Reaction Information'!$N$66*(Calculations!$O137*LN(Calculations!$O137/Calculations!$C$8)-Calculations!$O137+Calculations!$C$8)-'Reaction Information'!$O$66*10^4*(((1/(Calculations!$O137-Calculations!$C$13))-(1/(Calculations!$C$8-Calculations!$C$13)))*((Calculations!$C$13-Calculations!$O137)/(Calculations!$C$13))-(Calculations!$O137/(Calculations!$C$13*Calculations!$C$13))*LN((Calculations!$C$8*(Calculations!$O137-Calculations!$C$13))/(Calculations!$O137*(Calculations!$C$8-Calculations!$C$13))))+'Reaction Information'!$J$66*10^-1*(Calculations!$M137-Calculations!$C$9)+'Reaction Information'!$K$66*10^2*LN((Calculations!$C$12+Calculations!$M137)/(Calculations!$C$12+Calculations!$C$9))+(1/(Calculations!$O137-Calculations!$C$13))*('Reaction Information'!$L$66*(Calculations!$M137-Calculations!$C$9)+'Reaction Information'!$M$66*10^4*LN((Calculations!$C$12+Calculations!$M137)/(Calculations!$C$12+Calculations!$C$9)))+calculateOmega(Calculations!M137,Calculations!N137,Calculations!Q137,'Reaction Information'!$C$66,'Reaction Information'!$P$66*10^5,'Reaction Information'!$Q$66)*((1/Calculations!$S137)-1)-'Reaction Information'!$P$66*10^5*((1/Calculations!$C$10)-1)+'Reaction Information'!$P$66*10^5*Calculations!$C$14*(Calculations!$O137-Calculations!$C$8))</f>
        <v>#N/A</v>
      </c>
      <c r="AY137" s="31">
        <f>(AL137*Input!$AO$4+AM137*Input!$AR$4+AN137*Input!$AU$4+AO137*Input!$AX$4+IF(ISNA(AP137),0,AP137*Input!$BA$4)+IF(ISNA(AQ137),0,AQ137*Input!$BD$4)+IF(ISNA(AR137),0,AR137*Input!$BG$4)+IF(ISNA(AS137),0,AS137*Input!$BJ$4)+IF(ISNA(AT137),0,AT137*Input!$BM$4)+IF(ISNA(AU137),0,AU137*Input!$BP$4)+IF(ISNA(AV137),0,AV137*Input!$BS$4)+IF(ISNA(AW137),0,AW137*Input!$BV$4)+IF(ISNA(AX137),0,AX137*Input!$BY$4))-(Y137*Input!$B$4+Z137*Input!$E$4+AA137*Input!$H$4+AB137*Input!$K$4+IF(ISNA(AC137),0,AC137*Input!$N$4)+IF(ISNA(AD137),0,AD137*Input!$Q$4)+IF(ISNA(AE137),0,AE137*Input!$T$4)+IF(ISNA(AF137),0,AF137*Input!$W$4)+IF(ISNA(AG137),0,AG137*Input!$Z$4)+IF(ISNA(AH137),0,AH137*Input!$AC$4)+IF(ISNA(AI137),0,AI137*Input!$AF$4)+IF(ISNA(AJ137),0,AJ137*Input!$AI$4)+IF(ISNA(AK137),0,AK137*Input!$AL$4))</f>
        <v>23572.216936055425</v>
      </c>
      <c r="AZ137" s="42">
        <f t="shared" si="39"/>
        <v>-4.5898082409073426</v>
      </c>
      <c r="BA137" s="1">
        <f t="shared" si="46"/>
        <v>850</v>
      </c>
      <c r="BB137" s="46">
        <f t="shared" si="47"/>
        <v>45000</v>
      </c>
      <c r="BC137" s="1"/>
      <c r="BD137" s="2">
        <f t="shared" si="48"/>
        <v>45000</v>
      </c>
      <c r="BE137" s="46">
        <f t="shared" si="49"/>
        <v>850</v>
      </c>
      <c r="BF137" s="1">
        <f>Results!AJ139</f>
        <v>0</v>
      </c>
      <c r="BG137" s="1">
        <f>Results!AK139</f>
        <v>0</v>
      </c>
      <c r="BH137" s="1">
        <f>Results!AL139</f>
        <v>0</v>
      </c>
      <c r="BI137" s="1">
        <f>Results!AM139</f>
        <v>0</v>
      </c>
      <c r="BJ137" s="1" t="e">
        <f>IF(OR(ISNA('Reaction Information'!$D$5), $N137 = "", $D$27 = FALSE, 'Reaction Information'!$D$5 = ""), NA(), 24.465)</f>
        <v>#N/A</v>
      </c>
      <c r="BK137" s="1" t="e">
        <f>IF(OR(ISNA('Reaction Information'!$D$9), $N137 = "", $D$27 = FALSE, 'Reaction Information'!$D$9 = ""), NA(), 24.465)</f>
        <v>#N/A</v>
      </c>
      <c r="BL137" s="8">
        <f t="shared" si="40"/>
        <v>13.970059865566203</v>
      </c>
      <c r="BM137" s="8">
        <f>IF(OR(ISBLANK(Input!$X$4),$D$27=FALSE),NA(),('Reaction Information'!$J$13/10+'Reaction Information'!$K$13*100/(Calculations!$C$12+Calculations!$M137)+('Reaction Information'!$L$13+'Reaction Information'!$M$13*10^4/(Calculations!$C$12+Calculations!$M137))/(Calculations!$O137-Calculations!$C$13) -calculateOmega(Calculations!$M137,Calculations!$N137,Calculations!$Q137,'Reaction Information'!$C$13,'Reaction Information'!$P$13*10^5,'Reaction Information'!$Q$13)*Calculations!$U137*10^-6 + (1/$S137 - 1)*calculate_domegadP(Calculations!$M137,Calculations!$N137,Calculations!$Q137,'Reaction Information'!$C$13,'Reaction Information'!$P$13*10^5,'Reaction Information'!$Q$13,$D$20,$D$19=3))*41.84)</f>
        <v>30.133471772560302</v>
      </c>
      <c r="BN137" s="8" t="e">
        <f>IF(OR(ISBLANK(Input!$AA$4),$D$27=FALSE),NA(),('Reaction Information'!$J$17/10+'Reaction Information'!$K$17*100/(Calculations!$C$12+Calculations!$M137)+('Reaction Information'!$L$17+'Reaction Information'!$M$17*10000/(Calculations!$C$12+Calculations!$M137))/(Calculations!$O137-Calculations!$C$13)-calculateOmega(Calculations!M137,Calculations!N137,Calculations!Q137,'Reaction Information'!$C$17,'Reaction Information'!$P$17*10^5,'Reaction Information'!$Q$17)*Calculations!$U137*10^-6 + (1/$S137 - 1)*calculate_domegadP(Calculations!M137,Calculations!N137,Calculations!Q137,'Reaction Information'!$C$17,'Reaction Information'!$P$17*10^5,'Reaction Information'!$Q$17,$D$20,$D$19=3))*41.84)</f>
        <v>#N/A</v>
      </c>
      <c r="BO137" s="8" t="e">
        <f>IF(OR(ISBLANK(Input!$AD$4),$D$27=FALSE),NA(),('Reaction Information'!$J$21/10+'Reaction Information'!$K$21*100/(Calculations!$C$12+Calculations!$M137)+('Reaction Information'!$L$21+'Reaction Information'!$M$21*10000/(Calculations!$C$12+Calculations!$M137))/(Calculations!$O137-Calculations!$C$13)-calculateOmega(Calculations!M137,Calculations!N137,Calculations!Q137,'Reaction Information'!$C$21,'Reaction Information'!$P$21*10^5,'Reaction Information'!$Q$21)*Calculations!$U137*10^-6 + (1/$S137 - 1)*calculate_domegadP(Calculations!M137,Calculations!N137,Calculations!Q137,'Reaction Information'!$C$21,'Reaction Information'!$P$21*10^5,'Reaction Information'!$Q$21,$D$20,$D$19=3))*41.84)</f>
        <v>#N/A</v>
      </c>
      <c r="BP137" s="8" t="e">
        <f>IF(OR(ISBLANK(Input!$AG$4),$D$27=FALSE),NA(),('Reaction Information'!$J$25/10+'Reaction Information'!$K$25*100/(Calculations!$C$12+Calculations!$M137)+('Reaction Information'!$L$25+'Reaction Information'!$M$25*10000/(Calculations!$C$12+Calculations!$M137))/(Calculations!$O137-Calculations!$C$13)-calculateOmega(Calculations!M137,Calculations!N137,Calculations!Q137,'Reaction Information'!$C$25,'Reaction Information'!$P$25*10^5,'Reaction Information'!$Q$25)*Calculations!$U137*10^-6 + (1/$S137 - 1)*calculate_domegadP(Calculations!M137,Calculations!N137,Calculations!Q137,'Reaction Information'!$C$25,'Reaction Information'!$P$25*10^5,'Reaction Information'!$Q$25,$D$20,$D$19=3))*41.84)</f>
        <v>#N/A</v>
      </c>
      <c r="BQ137" s="8" t="e">
        <f>IF(OR(ISBLANK(Input!$AJ$4),$D$27=FALSE),NA(),('Reaction Information'!$J$29/10+'Reaction Information'!$K$29*100/(Calculations!$C$12+Calculations!$M137)+('Reaction Information'!$L$29+'Reaction Information'!$M$29*10000/(Calculations!$C$12+Calculations!$M137))/(Calculations!$O137-Calculations!$C$13)-calculateOmega(Calculations!M137,Calculations!N137,Calculations!Q137,'Reaction Information'!$C$29,'Reaction Information'!$P$29*10^5,'Reaction Information'!$Q$29)*Calculations!$U137*10^-6 + (1/$S137 - 1)*calculate_domegadP(Calculations!M137,Calculations!N137,Calculations!Q137,'Reaction Information'!$C$29,'Reaction Information'!$P$29*10^5,'Reaction Information'!$Q$29,$D$20,$D$19=3))*41.84)</f>
        <v>#N/A</v>
      </c>
      <c r="BR137" s="8" t="e">
        <f>IF(OR(ISBLANK(Input!$AM$4),$D$27=FALSE),NA(),('Reaction Information'!$J$33/10+'Reaction Information'!$K$33*100/(Calculations!$C$12+Calculations!$M137)+('Reaction Information'!$L$33+'Reaction Information'!$M$33*10000/(Calculations!$C$12+Calculations!$M137))/(Calculations!$O137-Calculations!$C$13)-calculateOmega(Calculations!M137,Calculations!N137,Calculations!Q137,'Reaction Information'!$C$33,'Reaction Information'!$P$33*10^5,'Reaction Information'!$Q$33)*Calculations!$U137*10^-6 + (1/$S137 - 1)*calculate_domegadP(Calculations!M137,Calculations!N137,Calculations!Q137,'Reaction Information'!$C$33,'Reaction Information'!$P$33*10^5,'Reaction Information'!$Q$33,$D$20,$D$19=3))*41.84)</f>
        <v>#N/A</v>
      </c>
      <c r="BS137" s="1">
        <f>Results!AW139</f>
        <v>0</v>
      </c>
      <c r="BT137" s="1">
        <f>Results!AX139</f>
        <v>0</v>
      </c>
      <c r="BU137" s="1">
        <f>Results!AY139</f>
        <v>0</v>
      </c>
      <c r="BV137" s="1">
        <f>Results!AZ139</f>
        <v>0</v>
      </c>
      <c r="BW137" s="1" t="e">
        <f>IF(OR(ISNA('Reaction Information'!$D$38), $N137 = "", $D$27 = FALSE, 'Reaction Information'!$D$38 = ""), NA(), 24.465)</f>
        <v>#N/A</v>
      </c>
      <c r="BX137" s="1" t="e">
        <f>IF(OR(ISNA('Reaction Information'!$D$42), $N137 = "", $D$27 = FALSE, 'Reaction Information'!$D$42 = ""), NA(), 24.465)</f>
        <v>#N/A</v>
      </c>
      <c r="BY137" s="8" t="e">
        <f t="shared" si="41"/>
        <v>#N/A</v>
      </c>
      <c r="BZ137" s="8">
        <f>IF(OR(ISBLANK(Input!$BK$4),$D$27=FALSE),NA(),('Reaction Information'!$J$46/10+'Reaction Information'!$K$46*100/(Calculations!$C$12+Calculations!$M137)+('Reaction Information'!$L$46+'Reaction Information'!$M$46*10000/(Calculations!$C$12+Calculations!$M137))/(Calculations!$O137-Calculations!$C$13)-calculateOmega(Calculations!M137,Calculations!N137,Calculations!Q137,'Reaction Information'!$C$46,'Reaction Information'!$P$46*10^5,'Reaction Information'!$Q$46)*Calculations!$U137*10^-6 + (1/$S137 - 1)*calculate_domegadP(Calculations!M137,Calculations!N137,Calculations!Q137,'Reaction Information'!$C$46,'Reaction Information'!$P$46*10^5,'Reaction Information'!$Q$46,$D$20,$D$19=3))*41.84)</f>
        <v>0</v>
      </c>
      <c r="CA137" s="8">
        <f>IF(OR(ISBLANK(Input!$BN$4),$D$27=FALSE),NA(),('Reaction Information'!$J$50/10+'Reaction Information'!$K$50*100/(Calculations!$C$12+Calculations!$M137)+('Reaction Information'!$L$50+'Reaction Information'!$M$50*10000/(Calculations!$C$12+Calculations!$M137))/(Calculations!$O137-Calculations!$C$13)-calculateOmega(Calculations!M137,Calculations!N137,Calculations!Q137,'Reaction Information'!$C$50,'Reaction Information'!$P$50*10^5,'Reaction Information'!$Q$50)*Calculations!$U137*10^-6 + (1/$S137 - 1)*calculate_domegadP(Calculations!M137,Calculations!N137,Calculations!Q137,'Reaction Information'!$C$50,'Reaction Information'!$P$50*10^5,'Reaction Information'!$Q$50,$D$20,$D$19=3))*41.84)</f>
        <v>30.993462776900085</v>
      </c>
      <c r="CB137" s="8" t="e">
        <f>IF(OR(ISBLANK(Input!$BQ$4),$D$27=FALSE),NA(),('Reaction Information'!$J$54/10+'Reaction Information'!$K$54*100/(Calculations!$C$12+Calculations!$M137)+('Reaction Information'!$L$54+'Reaction Information'!$M$54*10000/(Calculations!$C$12+Calculations!$M137))/(Calculations!$O137-Calculations!$C$13)-calculateOmega(Calculations!M137,Calculations!N137,Calculations!Q137,'Reaction Information'!$C$54,'Reaction Information'!$P$54*10^5,'Reaction Information'!$Q$54)*Calculations!$U137*10^-6 + (1/$S137 - 1)*calculate_domegadP(Calculations!M137,Calculations!N137,Calculations!Q137,'Reaction Information'!$C$54,'Reaction Information'!$P$54*10^5,'Reaction Information'!$Q$54,$D$20,$D$19=3))*41.84)</f>
        <v>#N/A</v>
      </c>
      <c r="CC137" s="8" t="e">
        <f>IF(OR(ISBLANK(Input!$BT$4),$D$27=FALSE),NA(),('Reaction Information'!$J$58/10+'Reaction Information'!$K$58*100/(Calculations!$C$12+Calculations!$M137)+('Reaction Information'!$L$58+'Reaction Information'!$M$58*10000/(Calculations!$C$12+Calculations!$M137))/(Calculations!$O137-Calculations!$C$13)-calculateOmega(Calculations!M137,Calculations!N137,Calculations!Q137,'Reaction Information'!$C$58,'Reaction Information'!$P$58*10^5,'Reaction Information'!$Q$58)*Calculations!$U137*10^-6 + (1/$S137 - 1)*calculate_domegadP(Calculations!M137,Calculations!N137,Calculations!Q137,'Reaction Information'!$C$58,'Reaction Information'!$P$58*10^5,'Reaction Information'!$Q$58,$D$20,$D$19=3))*41.84)</f>
        <v>#N/A</v>
      </c>
      <c r="CD137" s="8" t="e">
        <f>IF(OR(ISBLANK(Input!$BW$4),$D$27=FALSE),NA(),('Reaction Information'!$J$62/10+'Reaction Information'!$K$62*100/(Calculations!$C$12+Calculations!$M137)+('Reaction Information'!$L$62+'Reaction Information'!$M$62*10000/(Calculations!$C$12+Calculations!$M137))/(Calculations!$O137-Calculations!$C$13)-calculateOmega(Calculations!M137,Calculations!N137,Calculations!Q137,'Reaction Information'!$C$62,'Reaction Information'!$P$62*10^5,'Reaction Information'!$Q$62)*Calculations!$U137*10^-6 + (1/$S137 - 1)*calculate_domegadP(Calculations!M137,Calculations!N137,Calculations!Q137,'Reaction Information'!$C$62,'Reaction Information'!$P$62*10^5,'Reaction Information'!$Q$62,$D$20,$D$19=3))*41.84)</f>
        <v>#N/A</v>
      </c>
      <c r="CE137" s="8" t="e">
        <f>IF(OR(ISBLANK(Input!$BZ$4),$D$27=FALSE),NA(),('Reaction Information'!$J$66/10+'Reaction Information'!$K$66*100/(Calculations!$C$12+Calculations!$M137)+('Reaction Information'!$L$66+'Reaction Information'!$M$66*10000/(Calculations!$C$12+Calculations!$M137))/(Calculations!$O137-Calculations!$C$13)-calculateOmega(Calculations!M137,Calculations!N137,Calculations!Q137,'Reaction Information'!$C$66,'Reaction Information'!$P$66*10^5,'Reaction Information'!$Q$66)*Calculations!$U137*10^-6 + (1/$S137 - 1)*calculate_domegadP(Calculations!M137,Calculations!N137,Calculations!Q137,'Reaction Information'!$C$66,'Reaction Information'!$P$66*10^5,'Reaction Information'!$Q$66,$D$20,$D$19=3))*41.84)</f>
        <v>#N/A</v>
      </c>
      <c r="CF137" s="31">
        <f>(BS137*Input!$AO$4+BT137*Input!$AR$4+BU137*Input!$AU$4+BV137*Input!$AX$4+IF(ISNA(BW137),0,BW137*Input!$BA$4)+IF(ISNA(BX137),0,BX137*Input!$BD$4)+IF(ISNA(BY137),0,BY137*Input!$BG$4)+IF(ISNA(BZ137),0,BZ137*Input!$BJ$4)+IF(ISNA(CA137),0,CA137*Input!$BM$4)+IF(ISNA(CB137),0,CB137*Input!$BP$4)+IF(ISNA(CC137),0,CC137*Input!$BS$4)+IF(ISNA(CD137),0,CD137*Input!$BV$4)+IF(ISNA(CE137),0,CE137*Input!$BY$4))-(BF137*Input!$B$4+BG137*Input!$E$4+BH137*Input!$H$4+BI137*Input!$K$4+IF(ISNA(BJ137),0,BJ137*Input!$N$4)+IF(ISNA(BK137),0,BK137*Input!$Q$4)+IF(ISNA(BL137),0,BL137*Input!$T$4)+IF(ISNA(BM137),0,BM137*Input!$W$4)+IF(ISNA(BN137),0,BN137*Input!$Z$4)+IF(ISNA(BO137),0,BO137*Input!$AC$4)+IF(ISNA(BP137),0,BP137*Input!$AF$4)+IF(ISNA(BQ137),0,BQ137*Input!$AI$4)+IF(ISNA(BR137),0,BR137*Input!$AL$4))</f>
        <v>-13.11006886122642</v>
      </c>
      <c r="CG137" s="1">
        <f t="shared" si="50"/>
        <v>850</v>
      </c>
      <c r="CH137" s="46">
        <f t="shared" si="51"/>
        <v>45000</v>
      </c>
      <c r="CI137" s="1"/>
    </row>
    <row r="138" spans="1:87" x14ac:dyDescent="0.2">
      <c r="A138" s="1"/>
      <c r="B138" s="1"/>
      <c r="C138" s="1"/>
      <c r="D138" s="1"/>
      <c r="E138" s="1"/>
      <c r="F138" s="2">
        <v>133</v>
      </c>
      <c r="G138" s="1" t="str">
        <f>IF(ISBLANK(Input!CB138), "", Input!CB138*1000)</f>
        <v/>
      </c>
      <c r="H138" s="1" t="str">
        <f>IF(ISBLANK(Input!CC138), "", Input!CC138)</f>
        <v/>
      </c>
      <c r="I138" s="1">
        <f>IF(Input!$CF$5 + Input!$CF$6*(FLOOR((Calculations!$F138-1)/(FLOOR((Input!$CF$12-Input!$CF$10)/Input!$CF$11,1)+1),1)) &gt; Input!$CF$7, "", (Input!$CF$5 + Input!$CF$6*(FLOOR((Calculations!$F138-1)/(FLOOR((Input!$CF$12-Input!$CF$10)/Input!$CF$11,1)+1),1)))*1000)</f>
        <v>45000</v>
      </c>
      <c r="J138" s="1">
        <f>IF(Calculations!I138 = "", "", Input!$CF$10 + Input!$CF$11*(Calculations!$F138-1) - (FLOOR((Input!$CF$12-Input!$CF$10)/Input!$CF$11,1)+1)*Input!$CF$11*FLOOR((Calculations!$F138-1)/(FLOOR((Input!$CF$12-Input!$CF$10)/Input!$CF$11,1)+1),1))</f>
        <v>900</v>
      </c>
      <c r="K138" s="8" t="str">
        <f t="shared" si="52"/>
        <v/>
      </c>
      <c r="L138" s="117" t="str">
        <f>IF(OR(Input!$CJ$5 + Input!$CJ$6*(Calculations!F138-1) &gt; Input!$CJ$7, Input!$CJ$5 + Input!$CJ$6*(Calculations!F138-1) &gt; 350), "", Input!$CJ$5 + Input!$CJ$6*(Calculations!F138-1))</f>
        <v/>
      </c>
      <c r="M138" s="1">
        <f t="shared" si="42"/>
        <v>45000</v>
      </c>
      <c r="N138" s="1">
        <f t="shared" si="43"/>
        <v>900</v>
      </c>
      <c r="O138" s="1">
        <f t="shared" si="38"/>
        <v>1173.1500000000001</v>
      </c>
      <c r="P138" s="1" t="e">
        <f>IF(OR($D$20=3,AND($D$21=TRUE,M138&lt;1000)),INDEX('Water Density'!$C$6:$CX$120,MATCH(Calculations!N138,'Water Density'!$B$6:$B$120),MATCH(Calculations!M138/1000,'Water Density'!$C$5:$CX$5)),NA())</f>
        <v>#N/A</v>
      </c>
      <c r="Q138" s="182">
        <f>IF(OR($D$20=3,AND($D$21=TRUE,M138&lt;1000)), IF(P138&lt;&gt;0,P138,NA()), calculateDensity(M138,N138,$D$20,0.01,$D$19 = 3))</f>
        <v>1.2771150211542843</v>
      </c>
      <c r="R138" s="1" t="e">
        <f>IF($D$22=5,INDEX('Dielectric Constant'!$C$6:$CX$120,MATCH(Calculations!N138,'Dielectric Constant'!$B$6:$B$120),MATCH(Calculations!M138/1000,'Dielectric Constant'!$C$5:$CX$5)),NA())</f>
        <v>#N/A</v>
      </c>
      <c r="S138" s="58">
        <f>IF($D$22=5, IF(R138&lt;&gt;0,R138,NA()), IF(AND($D$23,M138&lt;=5000,$D$19 &lt;&gt; 3),calculateEpsilon(Q138,N138,1,FALSE),calculateEpsilon(Q138,N138,$D$22,$D$19 = 3)))</f>
        <v>19.138469750433597</v>
      </c>
      <c r="T138" s="1" t="e">
        <f>IF($D$24=3,INDEX('Water Free Energy'!$C$6:$CX$120,MATCH(Calculations!N138,'Water Free Energy'!$B$6:$B$120),MATCH(Calculations!M138/1000,'Water Free Energy'!$C$5:$CX$5)),NA())</f>
        <v>#N/A</v>
      </c>
      <c r="U138" s="179">
        <f>IF($D$27,calculateQ(M138,N138,Q138,$D$20,$D$22,$D$19=3)*10^6,NA())</f>
        <v>0.21755937906726761</v>
      </c>
      <c r="V138"/>
      <c r="W138" s="2">
        <f t="shared" si="44"/>
        <v>45000</v>
      </c>
      <c r="X138" s="1">
        <f t="shared" si="45"/>
        <v>900</v>
      </c>
      <c r="Y138" s="1">
        <f>Results!F140</f>
        <v>0</v>
      </c>
      <c r="Z138" s="1">
        <f>Results!G140</f>
        <v>0</v>
      </c>
      <c r="AA138" s="1">
        <f>Results!H140</f>
        <v>0</v>
      </c>
      <c r="AB138" s="1">
        <f>Results!I140</f>
        <v>0</v>
      </c>
      <c r="AC138" s="1" t="e">
        <f>IF(ISBLANK(Input!$O$4),NA(),'Reaction Information'!$E$5-'Reaction Information'!$G$5*(Calculations!$O138-Calculations!$C$8)+'Reaction Information'!$I$5*(Calculations!$O138-Calculations!$C$8-Calculations!$O138*LN(Calculations!$O138/Calculations!$C$8))+'Reaction Information'!$J$5*0.001/2*(2*Calculations!$O138*Calculations!$C$8-Calculations!$O138^2-Calculations!$C$8^2) + 'Reaction Information'!$K$5*100000*(Calculations!$O138^2 + Calculations!$C$8^2 - 2*Calculations!$O138*Calculations!$C$8)/(2*Calculations!$O138*Calculations!$C$8^2))</f>
        <v>#N/A</v>
      </c>
      <c r="AD138" s="8" t="e">
        <f>IF(ISBLANK(Input!$R$4),NA(),'Reaction Information'!$E$9-'Reaction Information'!$G$9*(Calculations!$O138-Calculations!$C$8)+'Reaction Information'!$I$9*(Calculations!$O138-Calculations!$C$8-Calculations!$O138*LN(Calculations!$O138/Calculations!$C$8))+'Reaction Information'!$J$9*0.001/2*(2*Calculations!$O138*Calculations!$C$8-Calculations!$O138^2-Calculations!$C$8^2) + 'Reaction Information'!$K$9*100000*(Calculations!$O138^2 + Calculations!$C$8^2 - 2*Calculations!$O138*Calculations!$C$8)/(2*Calculations!$O138*Calculations!$C$8^2))</f>
        <v>#N/A</v>
      </c>
      <c r="AE138" s="8">
        <f>IF(AE$5="H2O",IF($D$24=3,IF(T138=0,NA(),T138),calculateGibbsOfWater(M138,N138,$D$24,$D$20,$D$19=3)),NA())</f>
        <v>-63630.111198218081</v>
      </c>
      <c r="AF138" s="8">
        <f>IF(ISBLANK(Input!$X$4),NA(),'Reaction Information'!$E$13-'Reaction Information'!$G$13*(Calculations!O138-Calculations!$C$8)-'Reaction Information'!$N$13*(Calculations!O138*LN(Calculations!O138/Calculations!$C$8)-Calculations!O138+Calculations!$C$8)-'Reaction Information'!$O$13*10^4*(((1/(Calculations!O138-Calculations!$C$13))-(1/(Calculations!$C$8-Calculations!$C$13)))*((Calculations!$C$13-Calculations!O138)/(Calculations!$C$13))-(Calculations!O138/(Calculations!$C$13*Calculations!$C$13))*LN((Calculations!$C$8*(Calculations!O138-Calculations!$C$13))/(Calculations!O138*(Calculations!$C$8-Calculations!$C$13))))+'Reaction Information'!$J$13*10^-1*(Calculations!M138-Calculations!$C$9)+'Reaction Information'!$K$13*10^2*LN((Calculations!$C$12+Calculations!M138)/(Calculations!$C$12+Calculations!$C$9))+(1/(Calculations!O138-Calculations!$C$13))*('Reaction Information'!$L$13*(Calculations!M138-Calculations!$C$9)+'Reaction Information'!$M$13*10^4*LN((Calculations!$C$12+Calculations!M138)/(Calculations!$C$12+Calculations!$C$9)))+calculateOmega(Calculations!M138,Calculations!N138,Calculations!Q138,'Reaction Information'!$C$13,'Reaction Information'!$P$13*10^5,'Reaction Information'!$Q$13)*((1/Calculations!S138)-1)-'Reaction Information'!$P$13*10^5*((1/Calculations!$C$10)-1)+'Reaction Information'!$P$13*10^5*Calculations!$C$14*(Calculations!O138-Calculations!$C$8))</f>
        <v>-97042.713261471654</v>
      </c>
      <c r="AG138" s="8" t="e">
        <f>IF(ISBLANK(Input!$AA$4),NA(),'Reaction Information'!$E$17-'Reaction Information'!$G$17*(Calculations!$O138-Calculations!$C$8)-'Reaction Information'!$N$17*(Calculations!$O138*LN(Calculations!$O138/Calculations!$C$8)-Calculations!$O138+Calculations!$C$8)-'Reaction Information'!$O$17*10^4*(((1/(Calculations!$O138-Calculations!$C$13))-(1/(Calculations!$C$8-Calculations!$C$13)))*((Calculations!$C$13-Calculations!$O138)/(Calculations!$C$13))-(Calculations!$O138/(Calculations!$C$13*Calculations!$C$13))*LN((Calculations!$C$8*(Calculations!$O138-Calculations!$C$13))/(Calculations!$O138*(Calculations!$C$8-Calculations!$C$13))))+'Reaction Information'!$J$17*10^-1*(Calculations!$M138-Calculations!$C$9)+'Reaction Information'!$K$17*10^2*LN((Calculations!$C$12+Calculations!$M138)/(Calculations!$C$12+Calculations!$C$9))+(1/(Calculations!$O138-Calculations!$C$13))*('Reaction Information'!$L$17*(Calculations!$M138-Calculations!$C$9)+'Reaction Information'!$M$17*10^4*LN((Calculations!$C$12+Calculations!$M138)/(Calculations!$C$12+Calculations!$C$9)))+calculateOmega(Calculations!M138,Calculations!N138,Calculations!Q138,'Reaction Information'!$C$17,'Reaction Information'!$P$17*10^5,'Reaction Information'!$Q$17)*((1/Calculations!$S138)-1)-'Reaction Information'!$P$17*10^5*((1/Calculations!$C$10)-1)+'Reaction Information'!$P$17*10^5*Calculations!$C$14*(Calculations!$O138-Calculations!$C$8))</f>
        <v>#N/A</v>
      </c>
      <c r="AH138" s="8" t="e">
        <f>IF(ISBLANK(Input!$AD$4),NA(),'Reaction Information'!$E$21-'Reaction Information'!$G$21*(Calculations!$O138-Calculations!$C$8)-'Reaction Information'!$N$21*(Calculations!$O138*LN(Calculations!$O138/Calculations!$C$8)-Calculations!$O138+Calculations!$C$8)-'Reaction Information'!$O$21*10^4*(((1/(Calculations!$O138-Calculations!$C$13))-(1/(Calculations!$C$8-Calculations!$C$13)))*((Calculations!$C$13-Calculations!$O138)/(Calculations!$C$13))-(Calculations!$O138/(Calculations!$C$13*Calculations!$C$13))*LN((Calculations!$C$8*(Calculations!$O138-Calculations!$C$13))/(Calculations!$O138*(Calculations!$C$8-Calculations!$C$13))))+'Reaction Information'!$J$21*10^-1*(Calculations!$M138-Calculations!$C$9)+'Reaction Information'!$K$21*10^2*LN((Calculations!$C$12+Calculations!$M138)/(Calculations!$C$12+Calculations!$C$9))+(1/(Calculations!$O138-Calculations!$C$13))*('Reaction Information'!$L$21*(Calculations!$M138-Calculations!$C$9)+'Reaction Information'!$M$21*10^4*LN((Calculations!$C$12+Calculations!$M138)/(Calculations!$C$12+Calculations!$C$9)))+calculateOmega(Calculations!M138,Calculations!N138,Calculations!Q138,'Reaction Information'!$C$21,'Reaction Information'!$P$21*10^5,'Reaction Information'!$Q$21)*((1/Calculations!$S138)-1)-'Reaction Information'!$P$21*10^5*((1/Calculations!$C$10)-1)+'Reaction Information'!$P$21*10^5*Calculations!$C$14*(Calculations!$O138-Calculations!$C$8))</f>
        <v>#N/A</v>
      </c>
      <c r="AI138" s="8" t="e">
        <f>IF(ISBLANK(Input!$AG$4),NA(),'Reaction Information'!$E$25-'Reaction Information'!$G$25*(Calculations!$O138-Calculations!$C$8)-'Reaction Information'!$N$25*(Calculations!$O138*LN(Calculations!$O138/Calculations!$C$8)-Calculations!$O138+Calculations!$C$8)-'Reaction Information'!$O$25*10^4*(((1/(Calculations!$O138-Calculations!$C$13))-(1/(Calculations!$C$8-Calculations!$C$13)))*((Calculations!$C$13-Calculations!$O138)/(Calculations!$C$13))-(Calculations!$O138/(Calculations!$C$13*Calculations!$C$13))*LN((Calculations!$C$8*(Calculations!$O138-Calculations!$C$13))/(Calculations!$O138*(Calculations!$C$8-Calculations!$C$13))))+'Reaction Information'!$J$25*10^-1*(Calculations!$M138-Calculations!$C$9)+'Reaction Information'!$K$25*10^2*LN((Calculations!$C$12+Calculations!$M138)/(Calculations!$C$12+Calculations!$C$9))+(1/(Calculations!$O138-Calculations!$C$13))*('Reaction Information'!$L$25*(Calculations!$M138-Calculations!$C$9)+'Reaction Information'!$M$25*10^4*LN((Calculations!$C$12+Calculations!$M138)/(Calculations!$C$12+Calculations!$C$9)))+calculateOmega(Calculations!M138,Calculations!N138,Calculations!Q138,'Reaction Information'!$C$25,'Reaction Information'!$P$25*10^5,'Reaction Information'!$Q$25)*((1/Calculations!$S138)-1)-'Reaction Information'!$P$25*10^5*((1/Calculations!$C$10)-1)+'Reaction Information'!$P$25*10^5*Calculations!$C$14*(Calculations!$O138-Calculations!$C$8))</f>
        <v>#N/A</v>
      </c>
      <c r="AJ138" s="8" t="e">
        <f>IF(ISBLANK(Input!$AJ$4),NA(),'Reaction Information'!$E$29-'Reaction Information'!$G$29*(Calculations!$O138-Calculations!$C$8)-'Reaction Information'!$N$29*(Calculations!$O138*LN(Calculations!$O138/Calculations!$C$8)-Calculations!$O138+Calculations!$C$8)-'Reaction Information'!$O$29*10^4*(((1/(Calculations!$O138-Calculations!$C$13))-(1/(Calculations!$C$8-Calculations!$C$13)))*((Calculations!$C$13-Calculations!$O138)/(Calculations!$C$13))-(Calculations!$O138/(Calculations!$C$13*Calculations!$C$13))*LN((Calculations!$C$8*(Calculations!$O138-Calculations!$C$13))/(Calculations!$O138*(Calculations!$C$8-Calculations!$C$13))))+'Reaction Information'!$J$29*10^-1*(Calculations!$M138-Calculations!$C$9)+'Reaction Information'!$K$29*10^2*LN((Calculations!$C$12+Calculations!$M138)/(Calculations!$C$12+Calculations!$C$9))+(1/(Calculations!$O138-Calculations!$C$13))*('Reaction Information'!$L$29*(Calculations!$M138-Calculations!$C$9)+'Reaction Information'!$M$29*10^4*LN((Calculations!$C$12+Calculations!$M138)/(Calculations!$C$12+Calculations!$C$9)))+calculateOmega(Calculations!M138,Calculations!N138,Calculations!Q138,'Reaction Information'!$C$29,'Reaction Information'!$P$29*10^5,'Reaction Information'!$Q$29)*((1/Calculations!$S138)-1)-'Reaction Information'!$P$29*10^5*((1/Calculations!$C$10)-1)+'Reaction Information'!$P$29*10^5*Calculations!$C$14*(Calculations!$O138-Calculations!$C$8))</f>
        <v>#N/A</v>
      </c>
      <c r="AK138" s="8" t="e">
        <f>IF(ISBLANK(Input!$AM$4),NA(),'Reaction Information'!$E$33-'Reaction Information'!$G$33*(Calculations!$O138-Calculations!$C$8)-'Reaction Information'!$N$33*(Calculations!$O138*LN(Calculations!$O138/Calculations!$C$8)-Calculations!$O138+Calculations!$C$8)-'Reaction Information'!$O$33*10^4*(((1/(Calculations!$O138-Calculations!$C$13))-(1/(Calculations!$C$8-Calculations!$C$13)))*((Calculations!$C$13-Calculations!$O138)/(Calculations!$C$13))-(Calculations!$O138/(Calculations!$C$13*Calculations!$C$13))*LN((Calculations!$C$8*(Calculations!$O138-Calculations!$C$13))/(Calculations!$O138*(Calculations!$C$8-Calculations!$C$13))))+'Reaction Information'!$J$33*10^-1*(Calculations!$M138-Calculations!$C$9)+'Reaction Information'!$K$33*10^2*LN((Calculations!$C$12+Calculations!$M138)/(Calculations!$C$12+Calculations!$C$9))+(1/(Calculations!$O138-Calculations!$C$13))*('Reaction Information'!$L$33*(Calculations!$M138-Calculations!$C$9)+'Reaction Information'!$M$33*10^4*LN((Calculations!$C$12+Calculations!$M138)/(Calculations!$C$12+Calculations!$C$9)))+calculateOmega(Calculations!M138,Calculations!N138,Calculations!Q138,'Reaction Information'!$C$33,'Reaction Information'!$P$33*10^5,'Reaction Information'!$Q$33)*((1/Calculations!$S138)-1)-'Reaction Information'!$P$33*10^5*((1/Calculations!$C$10)-1)+'Reaction Information'!$P$33*10^5*Calculations!$C$14*(Calculations!$O138-Calculations!$C$8))</f>
        <v>#N/A</v>
      </c>
      <c r="AL138" s="1">
        <f>Results!S140</f>
        <v>0</v>
      </c>
      <c r="AM138" s="1">
        <f>Results!T140</f>
        <v>0</v>
      </c>
      <c r="AN138" s="1">
        <f>Results!U140</f>
        <v>0</v>
      </c>
      <c r="AO138" s="1">
        <f>Results!V140</f>
        <v>0</v>
      </c>
      <c r="AP138" s="8" t="e">
        <f>IF(ISBLANK(Input!$BB$4),NA(),'Reaction Information'!$E$38-'Reaction Information'!$G$38*(Calculations!$O138-Calculations!$C$8)+'Reaction Information'!$I$38*(Calculations!$O138-Calculations!$C$8-Calculations!$O138*LN(Calculations!$O138/Calculations!$C$8))+'Reaction Information'!$J$38*0.001/2*(2*Calculations!$O138*Calculations!$C$8-Calculations!$O138^2-Calculations!$C$8^2) + 'Reaction Information'!$K$38*100000*(Calculations!$O138^2 + Calculations!$C$8^2 - 2*Calculations!$O138*Calculations!$C$8)/(2*Calculations!$O138*Calculations!$C$8^2))</f>
        <v>#N/A</v>
      </c>
      <c r="AQ138" s="8" t="e">
        <f>IF(ISBLANK(Input!$BE$4),NA(),'Reaction Information'!$E$42-'Reaction Information'!$G$42*(Calculations!$O138-Calculations!$C$8)+'Reaction Information'!$I$42*(Calculations!$O138-Calculations!$C$8-Calculations!$O138*LN(Calculations!$O138/Calculations!$C$8))+'Reaction Information'!$J$42*0.001/2*(2*Calculations!$O138*Calculations!$C$8-Calculations!$O138^2-Calculations!$C$8^2) + 'Reaction Information'!$K$42*100000*(Calculations!$O138^2 + Calculations!$C$8^2 - 2*Calculations!$O138*Calculations!$C$8)/(2*Calculations!$O138*Calculations!$C$8^2))</f>
        <v>#N/A</v>
      </c>
      <c r="AR138" s="8" t="e">
        <f>IF(AR$5="H2O", IF($D$24=3,IF(T138=0,NA(),T138),calculateGibbsOfWater(M138,N138,$D$24,$D$20,$D$19=3)),NA())</f>
        <v>#N/A</v>
      </c>
      <c r="AS138" s="8">
        <f>IF(ISBLANK(Input!$BK$4),NA(),'Reaction Information'!$E$46-'Reaction Information'!$G$46*(Calculations!O138-Calculations!$C$8)-'Reaction Information'!$N$46*(Calculations!O138*LN(Calculations!O138/Calculations!$C$8)-Calculations!O138+Calculations!$C$8)-'Reaction Information'!$O$46*10^4*(((1/(Calculations!O138-Calculations!$C$13))-(1/(Calculations!$C$8-Calculations!$C$13)))*((Calculations!$C$13-Calculations!O138)/(Calculations!$C$13))-(Calculations!O138/(Calculations!$C$13*Calculations!$C$13))*LN((Calculations!$C$8*(Calculations!O138-Calculations!$C$13))/(Calculations!O138*(Calculations!$C$8-Calculations!$C$13))))+'Reaction Information'!$J$46*10^-1*(Calculations!$M138-Calculations!$C$9)+'Reaction Information'!$K$46*10^2*LN((Calculations!$C$12+Calculations!$M138)/(Calculations!$C$12+Calculations!$C$9))+(1/(Calculations!O138-Calculations!$C$13))*('Reaction Information'!$L$46*(Calculations!$M138-Calculations!$C$9)+'Reaction Information'!$M$46*10^4*LN((Calculations!$C$12+Calculations!$M138)/(Calculations!$C$12+Calculations!$C$9)))+calculateOmega(Calculations!M138,Calculations!N138,Calculations!Q138,'Reaction Information'!$C$46,'Reaction Information'!$P$46*10^5,'Reaction Information'!$Q$46)*((1/Calculations!S138)-1)-'Reaction Information'!$P$46*10^5*((1/Calculations!$C$10)-1)+'Reaction Information'!$P$46*10^5*Calculations!$C$14*(Calculations!O138-Calculations!$C$8))</f>
        <v>0</v>
      </c>
      <c r="AT138" s="8">
        <f>IF(ISBLANK(Input!$BN$4),NA(),'Reaction Information'!$E$50-'Reaction Information'!$G$50*(Calculations!O138-Calculations!$C$8)-'Reaction Information'!$N$50*(Calculations!O138*LN(Calculations!O138/Calculations!$C$8)-Calculations!O138+Calculations!$C$8)-'Reaction Information'!$O$50*10^4*(((1/(Calculations!O138-Calculations!$C$13))-(1/(Calculations!$C$8-Calculations!$C$13)))*((Calculations!$C$13-Calculations!O138)/(Calculations!$C$13))-(Calculations!O138/(Calculations!$C$13*Calculations!$C$13))*LN((Calculations!$C$8*(Calculations!O138-Calculations!$C$13))/(Calculations!O138*(Calculations!$C$8-Calculations!$C$13))))+'Reaction Information'!$J$50*10^-1*(Calculations!$M138-Calculations!$C$9)+'Reaction Information'!$K$50*10^2*LN((Calculations!$C$12+Calculations!$M138)/(Calculations!$C$12+Calculations!$C$9))+(1/(Calculations!O138-Calculations!$C$13))*('Reaction Information'!$L$50*(Calculations!$M138-Calculations!$C$9)+'Reaction Information'!$M$50*10^4*LN((Calculations!$C$12+Calculations!$M138)/(Calculations!$C$12+Calculations!$C$9)))+calculateOmega(Calculations!M138,Calculations!N138,Calculations!Q138,'Reaction Information'!$C$50,'Reaction Information'!$P$50*10^5,'Reaction Information'!$Q$50)*((1/Calculations!S138)-1)-'Reaction Information'!$P$50*10^5*((1/Calculations!$C$10)-1)+'Reaction Information'!$P$50*10^5*Calculations!$C$14*(Calculations!O138-Calculations!$C$8))</f>
        <v>-134696.41308549876</v>
      </c>
      <c r="AU138" s="8" t="e">
        <f>IF(ISBLANK(Input!$BQ$4),NA(),'Reaction Information'!$E$54-'Reaction Information'!$G$54*(Calculations!$O138-Calculations!$C$8)-'Reaction Information'!$N$54*(Calculations!$O138*LN(Calculations!$O138/Calculations!$C$8)-Calculations!$O138+Calculations!$C$8)-'Reaction Information'!$O$54*10^4*(((1/(Calculations!$O138-Calculations!$C$13))-(1/(Calculations!$C$8-Calculations!$C$13)))*((Calculations!$C$13-Calculations!$O138)/(Calculations!$C$13))-(Calculations!$O138/(Calculations!$C$13*Calculations!$C$13))*LN((Calculations!$C$8*(Calculations!$O138-Calculations!$C$13))/(Calculations!$O138*(Calculations!$C$8-Calculations!$C$13))))+'Reaction Information'!$J$54*10^-1*(Calculations!$M138-Calculations!$C$9)+'Reaction Information'!$K$54*10^2*LN((Calculations!$C$12+Calculations!$M138)/(Calculations!$C$12+Calculations!$C$9))+(1/(Calculations!$O138-Calculations!$C$13))*('Reaction Information'!$L$54*(Calculations!$M138-Calculations!$C$9)+'Reaction Information'!$M$54*10^4*LN((Calculations!$C$12+Calculations!$M138)/(Calculations!$C$12+Calculations!$C$9)))+calculateOmega(Calculations!M138,Calculations!N138,Calculations!Q138,'Reaction Information'!$C$54,'Reaction Information'!$P$54*10^5,'Reaction Information'!$Q$54)*((1/Calculations!$S138)-1)-'Reaction Information'!$P$54*10^5*((1/Calculations!$C$10)-1)+'Reaction Information'!$P$54*10^5*Calculations!$C$14*(Calculations!$O138-Calculations!$C$8))</f>
        <v>#N/A</v>
      </c>
      <c r="AV138" s="8" t="e">
        <f>IF(ISBLANK(Input!$BT$4),NA(),'Reaction Information'!$E$58-'Reaction Information'!$G$58*(Calculations!$O138-Calculations!$C$8)-'Reaction Information'!$N$58*(Calculations!$O138*LN(Calculations!$O138/Calculations!$C$8)-Calculations!$O138+Calculations!$C$8)-'Reaction Information'!$O$58*10^4*(((1/(Calculations!$O138-Calculations!$C$13))-(1/(Calculations!$C$8-Calculations!$C$13)))*((Calculations!$C$13-Calculations!$O138)/(Calculations!$C$13))-(Calculations!$O138/(Calculations!$C$13*Calculations!$C$13))*LN((Calculations!$C$8*(Calculations!$O138-Calculations!$C$13))/(Calculations!$O138*(Calculations!$C$8-Calculations!$C$13))))+'Reaction Information'!$J$58*10^-1*(Calculations!$M138-Calculations!$C$9)+'Reaction Information'!$K$58*10^2*LN((Calculations!$C$12+Calculations!$M138)/(Calculations!$C$12+Calculations!$C$9))+(1/(Calculations!$O138-Calculations!$C$13))*('Reaction Information'!$L$58*(Calculations!$M138-Calculations!$C$9)+'Reaction Information'!$M$58*10^4*LN((Calculations!$C$12+Calculations!$M138)/(Calculations!$C$12+Calculations!$C$9)))+calculateOmega(Calculations!M138,Calculations!N138,Calculations!Q138,'Reaction Information'!$C$58,'Reaction Information'!$P$58*10^5,'Reaction Information'!$Q$58)*((1/Calculations!$S138)-1)-'Reaction Information'!$P$58*10^5*((1/Calculations!$C$10)-1)+'Reaction Information'!$P$58*10^5*Calculations!$C$14*(Calculations!$O138-Calculations!$C$8))</f>
        <v>#N/A</v>
      </c>
      <c r="AW138" s="8" t="e">
        <f>IF(ISBLANK(Input!$BW$4),NA(),'Reaction Information'!$E$62-'Reaction Information'!$G$62*(Calculations!$O138-Calculations!$C$8)-'Reaction Information'!$N$62*(Calculations!$O138*LN(Calculations!$O138/Calculations!$C$8)-Calculations!$O138+Calculations!$C$8)-'Reaction Information'!$O$62*10^4*(((1/(Calculations!$O138-Calculations!$C$13))-(1/(Calculations!$C$8-Calculations!$C$13)))*((Calculations!$C$13-Calculations!$O138)/(Calculations!$C$13))-(Calculations!$O138/(Calculations!$C$13*Calculations!$C$13))*LN((Calculations!$C$8*(Calculations!$O138-Calculations!$C$13))/(Calculations!$O138*(Calculations!$C$8-Calculations!$C$13))))+'Reaction Information'!$J$62*10^-1*(Calculations!$M138-Calculations!$C$9)+'Reaction Information'!$K$62*10^2*LN((Calculations!$C$12+Calculations!$M138)/(Calculations!$C$12+Calculations!$C$9))+(1/(Calculations!$O138-Calculations!$C$13))*('Reaction Information'!$L$62*(Calculations!$M138-Calculations!$C$9)+'Reaction Information'!$M$62*10^4*LN((Calculations!$C$12+Calculations!$M138)/(Calculations!$C$12+Calculations!$C$9)))+calculateOmega(Calculations!M138,Calculations!N138,Calculations!Q138,'Reaction Information'!$C$62,'Reaction Information'!$P$62*10^5,'Reaction Information'!$Q$62)*((1/Calculations!$S138)-1)-'Reaction Information'!$P$62*10^5*((1/Calculations!$C$10)-1)+'Reaction Information'!$P$62*10^5*Calculations!$C$14*(Calculations!$O138-Calculations!$C$8))</f>
        <v>#N/A</v>
      </c>
      <c r="AX138" s="8" t="e">
        <f>IF(ISBLANK(Input!$BZ$4),NA(),'Reaction Information'!$E$66-'Reaction Information'!$G$66*(Calculations!$O138-Calculations!$C$8)-'Reaction Information'!$N$66*(Calculations!$O138*LN(Calculations!$O138/Calculations!$C$8)-Calculations!$O138+Calculations!$C$8)-'Reaction Information'!$O$66*10^4*(((1/(Calculations!$O138-Calculations!$C$13))-(1/(Calculations!$C$8-Calculations!$C$13)))*((Calculations!$C$13-Calculations!$O138)/(Calculations!$C$13))-(Calculations!$O138/(Calculations!$C$13*Calculations!$C$13))*LN((Calculations!$C$8*(Calculations!$O138-Calculations!$C$13))/(Calculations!$O138*(Calculations!$C$8-Calculations!$C$13))))+'Reaction Information'!$J$66*10^-1*(Calculations!$M138-Calculations!$C$9)+'Reaction Information'!$K$66*10^2*LN((Calculations!$C$12+Calculations!$M138)/(Calculations!$C$12+Calculations!$C$9))+(1/(Calculations!$O138-Calculations!$C$13))*('Reaction Information'!$L$66*(Calculations!$M138-Calculations!$C$9)+'Reaction Information'!$M$66*10^4*LN((Calculations!$C$12+Calculations!$M138)/(Calculations!$C$12+Calculations!$C$9)))+calculateOmega(Calculations!M138,Calculations!N138,Calculations!Q138,'Reaction Information'!$C$66,'Reaction Information'!$P$66*10^5,'Reaction Information'!$Q$66)*((1/Calculations!$S138)-1)-'Reaction Information'!$P$66*10^5*((1/Calculations!$C$10)-1)+'Reaction Information'!$P$66*10^5*Calculations!$C$14*(Calculations!$O138-Calculations!$C$8))</f>
        <v>#N/A</v>
      </c>
      <c r="AY138" s="31">
        <f>(AL138*Input!$AO$4+AM138*Input!$AR$4+AN138*Input!$AU$4+AO138*Input!$AX$4+IF(ISNA(AP138),0,AP138*Input!$BA$4)+IF(ISNA(AQ138),0,AQ138*Input!$BD$4)+IF(ISNA(AR138),0,AR138*Input!$BG$4)+IF(ISNA(AS138),0,AS138*Input!$BJ$4)+IF(ISNA(AT138),0,AT138*Input!$BM$4)+IF(ISNA(AU138),0,AU138*Input!$BP$4)+IF(ISNA(AV138),0,AV138*Input!$BS$4)+IF(ISNA(AW138),0,AW138*Input!$BV$4)+IF(ISNA(AX138),0,AX138*Input!$BY$4))-(Y138*Input!$B$4+Z138*Input!$E$4+AA138*Input!$H$4+AB138*Input!$K$4+IF(ISNA(AC138),0,AC138*Input!$N$4)+IF(ISNA(AD138),0,AD138*Input!$Q$4)+IF(ISNA(AE138),0,AE138*Input!$T$4)+IF(ISNA(AF138),0,AF138*Input!$W$4)+IF(ISNA(AG138),0,AG138*Input!$Z$4)+IF(ISNA(AH138),0,AH138*Input!$AC$4)+IF(ISNA(AI138),0,AI138*Input!$AF$4)+IF(ISNA(AJ138),0,AJ138*Input!$AI$4)+IF(ISNA(AK138),0,AK138*Input!$AL$4))</f>
        <v>25976.411374190968</v>
      </c>
      <c r="AZ138" s="42">
        <f t="shared" si="39"/>
        <v>-4.8423645549221845</v>
      </c>
      <c r="BA138" s="1">
        <f t="shared" si="46"/>
        <v>900</v>
      </c>
      <c r="BB138" s="46">
        <f t="shared" si="47"/>
        <v>45000</v>
      </c>
      <c r="BC138" s="1"/>
      <c r="BD138" s="2">
        <f t="shared" si="48"/>
        <v>45000</v>
      </c>
      <c r="BE138" s="46">
        <f t="shared" si="49"/>
        <v>900</v>
      </c>
      <c r="BF138" s="1">
        <f>Results!AJ140</f>
        <v>0</v>
      </c>
      <c r="BG138" s="1">
        <f>Results!AK140</f>
        <v>0</v>
      </c>
      <c r="BH138" s="1">
        <f>Results!AL140</f>
        <v>0</v>
      </c>
      <c r="BI138" s="1">
        <f>Results!AM140</f>
        <v>0</v>
      </c>
      <c r="BJ138" s="1" t="e">
        <f>IF(OR(ISNA('Reaction Information'!$D$5), $N138 = "", $D$27 = FALSE, 'Reaction Information'!$D$5 = ""), NA(), 24.465)</f>
        <v>#N/A</v>
      </c>
      <c r="BK138" s="1" t="e">
        <f>IF(OR(ISNA('Reaction Information'!$D$9), $N138 = "", $D$27 = FALSE, 'Reaction Information'!$D$9 = ""), NA(), 24.465)</f>
        <v>#N/A</v>
      </c>
      <c r="BL138" s="8">
        <f t="shared" si="40"/>
        <v>14.106231389963137</v>
      </c>
      <c r="BM138" s="8">
        <f>IF(OR(ISBLANK(Input!$X$4),$D$27=FALSE),NA(),('Reaction Information'!$J$13/10+'Reaction Information'!$K$13*100/(Calculations!$C$12+Calculations!$M138)+('Reaction Information'!$L$13+'Reaction Information'!$M$13*10^4/(Calculations!$C$12+Calculations!$M138))/(Calculations!$O138-Calculations!$C$13) -calculateOmega(Calculations!$M138,Calculations!$N138,Calculations!$Q138,'Reaction Information'!$C$13,'Reaction Information'!$P$13*10^5,'Reaction Information'!$Q$13)*Calculations!$U138*10^-6 + (1/$S138 - 1)*calculate_domegadP(Calculations!$M138,Calculations!$N138,Calculations!$Q138,'Reaction Information'!$C$13,'Reaction Information'!$P$13*10^5,'Reaction Information'!$Q$13,$D$20,$D$19=3))*41.84)</f>
        <v>30.167881104706922</v>
      </c>
      <c r="BN138" s="8" t="e">
        <f>IF(OR(ISBLANK(Input!$AA$4),$D$27=FALSE),NA(),('Reaction Information'!$J$17/10+'Reaction Information'!$K$17*100/(Calculations!$C$12+Calculations!$M138)+('Reaction Information'!$L$17+'Reaction Information'!$M$17*10000/(Calculations!$C$12+Calculations!$M138))/(Calculations!$O138-Calculations!$C$13)-calculateOmega(Calculations!M138,Calculations!N138,Calculations!Q138,'Reaction Information'!$C$17,'Reaction Information'!$P$17*10^5,'Reaction Information'!$Q$17)*Calculations!$U138*10^-6 + (1/$S138 - 1)*calculate_domegadP(Calculations!M138,Calculations!N138,Calculations!Q138,'Reaction Information'!$C$17,'Reaction Information'!$P$17*10^5,'Reaction Information'!$Q$17,$D$20,$D$19=3))*41.84)</f>
        <v>#N/A</v>
      </c>
      <c r="BO138" s="8" t="e">
        <f>IF(OR(ISBLANK(Input!$AD$4),$D$27=FALSE),NA(),('Reaction Information'!$J$21/10+'Reaction Information'!$K$21*100/(Calculations!$C$12+Calculations!$M138)+('Reaction Information'!$L$21+'Reaction Information'!$M$21*10000/(Calculations!$C$12+Calculations!$M138))/(Calculations!$O138-Calculations!$C$13)-calculateOmega(Calculations!M138,Calculations!N138,Calculations!Q138,'Reaction Information'!$C$21,'Reaction Information'!$P$21*10^5,'Reaction Information'!$Q$21)*Calculations!$U138*10^-6 + (1/$S138 - 1)*calculate_domegadP(Calculations!M138,Calculations!N138,Calculations!Q138,'Reaction Information'!$C$21,'Reaction Information'!$P$21*10^5,'Reaction Information'!$Q$21,$D$20,$D$19=3))*41.84)</f>
        <v>#N/A</v>
      </c>
      <c r="BP138" s="8" t="e">
        <f>IF(OR(ISBLANK(Input!$AG$4),$D$27=FALSE),NA(),('Reaction Information'!$J$25/10+'Reaction Information'!$K$25*100/(Calculations!$C$12+Calculations!$M138)+('Reaction Information'!$L$25+'Reaction Information'!$M$25*10000/(Calculations!$C$12+Calculations!$M138))/(Calculations!$O138-Calculations!$C$13)-calculateOmega(Calculations!M138,Calculations!N138,Calculations!Q138,'Reaction Information'!$C$25,'Reaction Information'!$P$25*10^5,'Reaction Information'!$Q$25)*Calculations!$U138*10^-6 + (1/$S138 - 1)*calculate_domegadP(Calculations!M138,Calculations!N138,Calculations!Q138,'Reaction Information'!$C$25,'Reaction Information'!$P$25*10^5,'Reaction Information'!$Q$25,$D$20,$D$19=3))*41.84)</f>
        <v>#N/A</v>
      </c>
      <c r="BQ138" s="8" t="e">
        <f>IF(OR(ISBLANK(Input!$AJ$4),$D$27=FALSE),NA(),('Reaction Information'!$J$29/10+'Reaction Information'!$K$29*100/(Calculations!$C$12+Calculations!$M138)+('Reaction Information'!$L$29+'Reaction Information'!$M$29*10000/(Calculations!$C$12+Calculations!$M138))/(Calculations!$O138-Calculations!$C$13)-calculateOmega(Calculations!M138,Calculations!N138,Calculations!Q138,'Reaction Information'!$C$29,'Reaction Information'!$P$29*10^5,'Reaction Information'!$Q$29)*Calculations!$U138*10^-6 + (1/$S138 - 1)*calculate_domegadP(Calculations!M138,Calculations!N138,Calculations!Q138,'Reaction Information'!$C$29,'Reaction Information'!$P$29*10^5,'Reaction Information'!$Q$29,$D$20,$D$19=3))*41.84)</f>
        <v>#N/A</v>
      </c>
      <c r="BR138" s="8" t="e">
        <f>IF(OR(ISBLANK(Input!$AM$4),$D$27=FALSE),NA(),('Reaction Information'!$J$33/10+'Reaction Information'!$K$33*100/(Calculations!$C$12+Calculations!$M138)+('Reaction Information'!$L$33+'Reaction Information'!$M$33*10000/(Calculations!$C$12+Calculations!$M138))/(Calculations!$O138-Calculations!$C$13)-calculateOmega(Calculations!M138,Calculations!N138,Calculations!Q138,'Reaction Information'!$C$33,'Reaction Information'!$P$33*10^5,'Reaction Information'!$Q$33)*Calculations!$U138*10^-6 + (1/$S138 - 1)*calculate_domegadP(Calculations!M138,Calculations!N138,Calculations!Q138,'Reaction Information'!$C$33,'Reaction Information'!$P$33*10^5,'Reaction Information'!$Q$33,$D$20,$D$19=3))*41.84)</f>
        <v>#N/A</v>
      </c>
      <c r="BS138" s="1">
        <f>Results!AW140</f>
        <v>0</v>
      </c>
      <c r="BT138" s="1">
        <f>Results!AX140</f>
        <v>0</v>
      </c>
      <c r="BU138" s="1">
        <f>Results!AY140</f>
        <v>0</v>
      </c>
      <c r="BV138" s="1">
        <f>Results!AZ140</f>
        <v>0</v>
      </c>
      <c r="BW138" s="1" t="e">
        <f>IF(OR(ISNA('Reaction Information'!$D$38), $N138 = "", $D$27 = FALSE, 'Reaction Information'!$D$38 = ""), NA(), 24.465)</f>
        <v>#N/A</v>
      </c>
      <c r="BX138" s="1" t="e">
        <f>IF(OR(ISNA('Reaction Information'!$D$42), $N138 = "", $D$27 = FALSE, 'Reaction Information'!$D$42 = ""), NA(), 24.465)</f>
        <v>#N/A</v>
      </c>
      <c r="BY138" s="8" t="e">
        <f t="shared" si="41"/>
        <v>#N/A</v>
      </c>
      <c r="BZ138" s="8">
        <f>IF(OR(ISBLANK(Input!$BK$4),$D$27=FALSE),NA(),('Reaction Information'!$J$46/10+'Reaction Information'!$K$46*100/(Calculations!$C$12+Calculations!$M138)+('Reaction Information'!$L$46+'Reaction Information'!$M$46*10000/(Calculations!$C$12+Calculations!$M138))/(Calculations!$O138-Calculations!$C$13)-calculateOmega(Calculations!M138,Calculations!N138,Calculations!Q138,'Reaction Information'!$C$46,'Reaction Information'!$P$46*10^5,'Reaction Information'!$Q$46)*Calculations!$U138*10^-6 + (1/$S138 - 1)*calculate_domegadP(Calculations!M138,Calculations!N138,Calculations!Q138,'Reaction Information'!$C$46,'Reaction Information'!$P$46*10^5,'Reaction Information'!$Q$46,$D$20,$D$19=3))*41.84)</f>
        <v>0</v>
      </c>
      <c r="CA138" s="8">
        <f>IF(OR(ISBLANK(Input!$BN$4),$D$27=FALSE),NA(),('Reaction Information'!$J$50/10+'Reaction Information'!$K$50*100/(Calculations!$C$12+Calculations!$M138)+('Reaction Information'!$L$50+'Reaction Information'!$M$50*10000/(Calculations!$C$12+Calculations!$M138))/(Calculations!$O138-Calculations!$C$13)-calculateOmega(Calculations!M138,Calculations!N138,Calculations!Q138,'Reaction Information'!$C$50,'Reaction Information'!$P$50*10^5,'Reaction Information'!$Q$50)*Calculations!$U138*10^-6 + (1/$S138 - 1)*calculate_domegadP(Calculations!M138,Calculations!N138,Calculations!Q138,'Reaction Information'!$C$50,'Reaction Information'!$P$50*10^5,'Reaction Information'!$Q$50,$D$20,$D$19=3))*41.84)</f>
        <v>30.929757220468534</v>
      </c>
      <c r="CB138" s="8" t="e">
        <f>IF(OR(ISBLANK(Input!$BQ$4),$D$27=FALSE),NA(),('Reaction Information'!$J$54/10+'Reaction Information'!$K$54*100/(Calculations!$C$12+Calculations!$M138)+('Reaction Information'!$L$54+'Reaction Information'!$M$54*10000/(Calculations!$C$12+Calculations!$M138))/(Calculations!$O138-Calculations!$C$13)-calculateOmega(Calculations!M138,Calculations!N138,Calculations!Q138,'Reaction Information'!$C$54,'Reaction Information'!$P$54*10^5,'Reaction Information'!$Q$54)*Calculations!$U138*10^-6 + (1/$S138 - 1)*calculate_domegadP(Calculations!M138,Calculations!N138,Calculations!Q138,'Reaction Information'!$C$54,'Reaction Information'!$P$54*10^5,'Reaction Information'!$Q$54,$D$20,$D$19=3))*41.84)</f>
        <v>#N/A</v>
      </c>
      <c r="CC138" s="8" t="e">
        <f>IF(OR(ISBLANK(Input!$BT$4),$D$27=FALSE),NA(),('Reaction Information'!$J$58/10+'Reaction Information'!$K$58*100/(Calculations!$C$12+Calculations!$M138)+('Reaction Information'!$L$58+'Reaction Information'!$M$58*10000/(Calculations!$C$12+Calculations!$M138))/(Calculations!$O138-Calculations!$C$13)-calculateOmega(Calculations!M138,Calculations!N138,Calculations!Q138,'Reaction Information'!$C$58,'Reaction Information'!$P$58*10^5,'Reaction Information'!$Q$58)*Calculations!$U138*10^-6 + (1/$S138 - 1)*calculate_domegadP(Calculations!M138,Calculations!N138,Calculations!Q138,'Reaction Information'!$C$58,'Reaction Information'!$P$58*10^5,'Reaction Information'!$Q$58,$D$20,$D$19=3))*41.84)</f>
        <v>#N/A</v>
      </c>
      <c r="CD138" s="8" t="e">
        <f>IF(OR(ISBLANK(Input!$BW$4),$D$27=FALSE),NA(),('Reaction Information'!$J$62/10+'Reaction Information'!$K$62*100/(Calculations!$C$12+Calculations!$M138)+('Reaction Information'!$L$62+'Reaction Information'!$M$62*10000/(Calculations!$C$12+Calculations!$M138))/(Calculations!$O138-Calculations!$C$13)-calculateOmega(Calculations!M138,Calculations!N138,Calculations!Q138,'Reaction Information'!$C$62,'Reaction Information'!$P$62*10^5,'Reaction Information'!$Q$62)*Calculations!$U138*10^-6 + (1/$S138 - 1)*calculate_domegadP(Calculations!M138,Calculations!N138,Calculations!Q138,'Reaction Information'!$C$62,'Reaction Information'!$P$62*10^5,'Reaction Information'!$Q$62,$D$20,$D$19=3))*41.84)</f>
        <v>#N/A</v>
      </c>
      <c r="CE138" s="8" t="e">
        <f>IF(OR(ISBLANK(Input!$BZ$4),$D$27=FALSE),NA(),('Reaction Information'!$J$66/10+'Reaction Information'!$K$66*100/(Calculations!$C$12+Calculations!$M138)+('Reaction Information'!$L$66+'Reaction Information'!$M$66*10000/(Calculations!$C$12+Calculations!$M138))/(Calculations!$O138-Calculations!$C$13)-calculateOmega(Calculations!M138,Calculations!N138,Calculations!Q138,'Reaction Information'!$C$66,'Reaction Information'!$P$66*10^5,'Reaction Information'!$Q$66)*Calculations!$U138*10^-6 + (1/$S138 - 1)*calculate_domegadP(Calculations!M138,Calculations!N138,Calculations!Q138,'Reaction Information'!$C$66,'Reaction Information'!$P$66*10^5,'Reaction Information'!$Q$66,$D$20,$D$19=3))*41.84)</f>
        <v>#N/A</v>
      </c>
      <c r="CF138" s="31">
        <f>(BS138*Input!$AO$4+BT138*Input!$AR$4+BU138*Input!$AU$4+BV138*Input!$AX$4+IF(ISNA(BW138),0,BW138*Input!$BA$4)+IF(ISNA(BX138),0,BX138*Input!$BD$4)+IF(ISNA(BY138),0,BY138*Input!$BG$4)+IF(ISNA(BZ138),0,BZ138*Input!$BJ$4)+IF(ISNA(CA138),0,CA138*Input!$BM$4)+IF(ISNA(CB138),0,CB138*Input!$BP$4)+IF(ISNA(CC138),0,CC138*Input!$BS$4)+IF(ISNA(CD138),0,CD138*Input!$BV$4)+IF(ISNA(CE138),0,CE138*Input!$BY$4))-(BF138*Input!$B$4+BG138*Input!$E$4+BH138*Input!$H$4+BI138*Input!$K$4+IF(ISNA(BJ138),0,BJ138*Input!$N$4)+IF(ISNA(BK138),0,BK138*Input!$Q$4)+IF(ISNA(BL138),0,BL138*Input!$T$4)+IF(ISNA(BM138),0,BM138*Input!$W$4)+IF(ISNA(BN138),0,BN138*Input!$Z$4)+IF(ISNA(BO138),0,BO138*Input!$AC$4)+IF(ISNA(BP138),0,BP138*Input!$AF$4)+IF(ISNA(BQ138),0,BQ138*Input!$AI$4)+IF(ISNA(BR138),0,BR138*Input!$AL$4))</f>
        <v>-13.344355274201522</v>
      </c>
      <c r="CG138" s="1">
        <f t="shared" si="50"/>
        <v>900</v>
      </c>
      <c r="CH138" s="46">
        <f t="shared" si="51"/>
        <v>45000</v>
      </c>
      <c r="CI138" s="1"/>
    </row>
    <row r="139" spans="1:87" x14ac:dyDescent="0.2">
      <c r="A139" s="1"/>
      <c r="B139" s="1"/>
      <c r="C139" s="1"/>
      <c r="D139" s="1"/>
      <c r="E139" s="1"/>
      <c r="F139" s="2">
        <v>134</v>
      </c>
      <c r="G139" s="1" t="str">
        <f>IF(ISBLANK(Input!CB139), "", Input!CB139*1000)</f>
        <v/>
      </c>
      <c r="H139" s="1" t="str">
        <f>IF(ISBLANK(Input!CC139), "", Input!CC139)</f>
        <v/>
      </c>
      <c r="I139" s="1">
        <f>IF(Input!$CF$5 + Input!$CF$6*(FLOOR((Calculations!$F139-1)/(FLOOR((Input!$CF$12-Input!$CF$10)/Input!$CF$11,1)+1),1)) &gt; Input!$CF$7, "", (Input!$CF$5 + Input!$CF$6*(FLOOR((Calculations!$F139-1)/(FLOOR((Input!$CF$12-Input!$CF$10)/Input!$CF$11,1)+1),1)))*1000)</f>
        <v>45000</v>
      </c>
      <c r="J139" s="1">
        <f>IF(Calculations!I139 = "", "", Input!$CF$10 + Input!$CF$11*(Calculations!$F139-1) - (FLOOR((Input!$CF$12-Input!$CF$10)/Input!$CF$11,1)+1)*Input!$CF$11*FLOOR((Calculations!$F139-1)/(FLOOR((Input!$CF$12-Input!$CF$10)/Input!$CF$11,1)+1),1))</f>
        <v>950</v>
      </c>
      <c r="K139" s="8" t="str">
        <f t="shared" si="52"/>
        <v/>
      </c>
      <c r="L139" s="117" t="str">
        <f>IF(OR(Input!$CJ$5 + Input!$CJ$6*(Calculations!F139-1) &gt; Input!$CJ$7, Input!$CJ$5 + Input!$CJ$6*(Calculations!F139-1) &gt; 350), "", Input!$CJ$5 + Input!$CJ$6*(Calculations!F139-1))</f>
        <v/>
      </c>
      <c r="M139" s="1">
        <f t="shared" si="42"/>
        <v>45000</v>
      </c>
      <c r="N139" s="1">
        <f t="shared" si="43"/>
        <v>950</v>
      </c>
      <c r="O139" s="1">
        <f t="shared" si="38"/>
        <v>1223.1500000000001</v>
      </c>
      <c r="P139" s="1" t="e">
        <f>IF(OR($D$20=3,AND($D$21=TRUE,M139&lt;1000)),INDEX('Water Density'!$C$6:$CX$120,MATCH(Calculations!N139,'Water Density'!$B$6:$B$120),MATCH(Calculations!M139/1000,'Water Density'!$C$5:$CX$5)),NA())</f>
        <v>#N/A</v>
      </c>
      <c r="Q139" s="182">
        <f>IF(OR($D$20=3,AND($D$21=TRUE,M139&lt;1000)), IF(P139&lt;&gt;0,P139,NA()), calculateDensity(M139,N139,$D$20,0.01,$D$19 = 3))</f>
        <v>1.2649220457679036</v>
      </c>
      <c r="R139" s="1" t="e">
        <f>IF($D$22=5,INDEX('Dielectric Constant'!$C$6:$CX$120,MATCH(Calculations!N139,'Dielectric Constant'!$B$6:$B$120),MATCH(Calculations!M139/1000,'Dielectric Constant'!$C$5:$CX$5)),NA())</f>
        <v>#N/A</v>
      </c>
      <c r="S139" s="58">
        <f>IF($D$22=5, IF(R139&lt;&gt;0,R139,NA()), IF(AND($D$23,M139&lt;=5000,$D$19 &lt;&gt; 3),calculateEpsilon(Q139,N139,1,FALSE),calculateEpsilon(Q139,N139,$D$22,$D$19 = 3)))</f>
        <v>17.683029550938564</v>
      </c>
      <c r="T139" s="1" t="e">
        <f>IF($D$24=3,INDEX('Water Free Energy'!$C$6:$CX$120,MATCH(Calculations!N139,'Water Free Energy'!$B$6:$B$120),MATCH(Calculations!M139/1000,'Water Free Energy'!$C$5:$CX$5)),NA())</f>
        <v>#N/A</v>
      </c>
      <c r="U139" s="179">
        <f>IF($D$27,calculateQ(M139,N139,Q139,$D$20,$D$22,$D$19=3)*10^6,NA())</f>
        <v>0.22954211303919275</v>
      </c>
      <c r="V139"/>
      <c r="W139" s="2">
        <f t="shared" si="44"/>
        <v>45000</v>
      </c>
      <c r="X139" s="1">
        <f t="shared" si="45"/>
        <v>950</v>
      </c>
      <c r="Y139" s="1">
        <f>Results!F141</f>
        <v>0</v>
      </c>
      <c r="Z139" s="1">
        <f>Results!G141</f>
        <v>0</v>
      </c>
      <c r="AA139" s="1">
        <f>Results!H141</f>
        <v>0</v>
      </c>
      <c r="AB139" s="1">
        <f>Results!I141</f>
        <v>0</v>
      </c>
      <c r="AC139" s="1" t="e">
        <f>IF(ISBLANK(Input!$O$4),NA(),'Reaction Information'!$E$5-'Reaction Information'!$G$5*(Calculations!$O139-Calculations!$C$8)+'Reaction Information'!$I$5*(Calculations!$O139-Calculations!$C$8-Calculations!$O139*LN(Calculations!$O139/Calculations!$C$8))+'Reaction Information'!$J$5*0.001/2*(2*Calculations!$O139*Calculations!$C$8-Calculations!$O139^2-Calculations!$C$8^2) + 'Reaction Information'!$K$5*100000*(Calculations!$O139^2 + Calculations!$C$8^2 - 2*Calculations!$O139*Calculations!$C$8)/(2*Calculations!$O139*Calculations!$C$8^2))</f>
        <v>#N/A</v>
      </c>
      <c r="AD139" s="8" t="e">
        <f>IF(ISBLANK(Input!$R$4),NA(),'Reaction Information'!$E$9-'Reaction Information'!$G$9*(Calculations!$O139-Calculations!$C$8)+'Reaction Information'!$I$9*(Calculations!$O139-Calculations!$C$8-Calculations!$O139*LN(Calculations!$O139/Calculations!$C$8))+'Reaction Information'!$J$9*0.001/2*(2*Calculations!$O139*Calculations!$C$8-Calculations!$O139^2-Calculations!$C$8^2) + 'Reaction Information'!$K$9*100000*(Calculations!$O139^2 + Calculations!$C$8^2 - 2*Calculations!$O139*Calculations!$C$8)/(2*Calculations!$O139*Calculations!$C$8^2))</f>
        <v>#N/A</v>
      </c>
      <c r="AE139" s="8">
        <f>IF(AE$5="H2O",IF($D$24=3,IF(T139=0,NA(),T139),calculateGibbsOfWater(M139,N139,$D$24,$D$20,$D$19=3)),NA())</f>
        <v>-65263.26327274627</v>
      </c>
      <c r="AF139" s="8">
        <f>IF(ISBLANK(Input!$X$4),NA(),'Reaction Information'!$E$13-'Reaction Information'!$G$13*(Calculations!O139-Calculations!$C$8)-'Reaction Information'!$N$13*(Calculations!O139*LN(Calculations!O139/Calculations!$C$8)-Calculations!O139+Calculations!$C$8)-'Reaction Information'!$O$13*10^4*(((1/(Calculations!O139-Calculations!$C$13))-(1/(Calculations!$C$8-Calculations!$C$13)))*((Calculations!$C$13-Calculations!O139)/(Calculations!$C$13))-(Calculations!O139/(Calculations!$C$13*Calculations!$C$13))*LN((Calculations!$C$8*(Calculations!O139-Calculations!$C$13))/(Calculations!O139*(Calculations!$C$8-Calculations!$C$13))))+'Reaction Information'!$J$13*10^-1*(Calculations!M139-Calculations!$C$9)+'Reaction Information'!$K$13*10^2*LN((Calculations!$C$12+Calculations!M139)/(Calculations!$C$12+Calculations!$C$9))+(1/(Calculations!O139-Calculations!$C$13))*('Reaction Information'!$L$13*(Calculations!M139-Calculations!$C$9)+'Reaction Information'!$M$13*10^4*LN((Calculations!$C$12+Calculations!M139)/(Calculations!$C$12+Calculations!$C$9)))+calculateOmega(Calculations!M139,Calculations!N139,Calculations!Q139,'Reaction Information'!$C$13,'Reaction Information'!$P$13*10^5,'Reaction Information'!$Q$13)*((1/Calculations!S139)-1)-'Reaction Information'!$P$13*10^5*((1/Calculations!$C$10)-1)+'Reaction Information'!$P$13*10^5*Calculations!$C$14*(Calculations!O139-Calculations!$C$8))</f>
        <v>-99559.300690572578</v>
      </c>
      <c r="AG139" s="8" t="e">
        <f>IF(ISBLANK(Input!$AA$4),NA(),'Reaction Information'!$E$17-'Reaction Information'!$G$17*(Calculations!$O139-Calculations!$C$8)-'Reaction Information'!$N$17*(Calculations!$O139*LN(Calculations!$O139/Calculations!$C$8)-Calculations!$O139+Calculations!$C$8)-'Reaction Information'!$O$17*10^4*(((1/(Calculations!$O139-Calculations!$C$13))-(1/(Calculations!$C$8-Calculations!$C$13)))*((Calculations!$C$13-Calculations!$O139)/(Calculations!$C$13))-(Calculations!$O139/(Calculations!$C$13*Calculations!$C$13))*LN((Calculations!$C$8*(Calculations!$O139-Calculations!$C$13))/(Calculations!$O139*(Calculations!$C$8-Calculations!$C$13))))+'Reaction Information'!$J$17*10^-1*(Calculations!$M139-Calculations!$C$9)+'Reaction Information'!$K$17*10^2*LN((Calculations!$C$12+Calculations!$M139)/(Calculations!$C$12+Calculations!$C$9))+(1/(Calculations!$O139-Calculations!$C$13))*('Reaction Information'!$L$17*(Calculations!$M139-Calculations!$C$9)+'Reaction Information'!$M$17*10^4*LN((Calculations!$C$12+Calculations!$M139)/(Calculations!$C$12+Calculations!$C$9)))+calculateOmega(Calculations!M139,Calculations!N139,Calculations!Q139,'Reaction Information'!$C$17,'Reaction Information'!$P$17*10^5,'Reaction Information'!$Q$17)*((1/Calculations!$S139)-1)-'Reaction Information'!$P$17*10^5*((1/Calculations!$C$10)-1)+'Reaction Information'!$P$17*10^5*Calculations!$C$14*(Calculations!$O139-Calculations!$C$8))</f>
        <v>#N/A</v>
      </c>
      <c r="AH139" s="8" t="e">
        <f>IF(ISBLANK(Input!$AD$4),NA(),'Reaction Information'!$E$21-'Reaction Information'!$G$21*(Calculations!$O139-Calculations!$C$8)-'Reaction Information'!$N$21*(Calculations!$O139*LN(Calculations!$O139/Calculations!$C$8)-Calculations!$O139+Calculations!$C$8)-'Reaction Information'!$O$21*10^4*(((1/(Calculations!$O139-Calculations!$C$13))-(1/(Calculations!$C$8-Calculations!$C$13)))*((Calculations!$C$13-Calculations!$O139)/(Calculations!$C$13))-(Calculations!$O139/(Calculations!$C$13*Calculations!$C$13))*LN((Calculations!$C$8*(Calculations!$O139-Calculations!$C$13))/(Calculations!$O139*(Calculations!$C$8-Calculations!$C$13))))+'Reaction Information'!$J$21*10^-1*(Calculations!$M139-Calculations!$C$9)+'Reaction Information'!$K$21*10^2*LN((Calculations!$C$12+Calculations!$M139)/(Calculations!$C$12+Calculations!$C$9))+(1/(Calculations!$O139-Calculations!$C$13))*('Reaction Information'!$L$21*(Calculations!$M139-Calculations!$C$9)+'Reaction Information'!$M$21*10^4*LN((Calculations!$C$12+Calculations!$M139)/(Calculations!$C$12+Calculations!$C$9)))+calculateOmega(Calculations!M139,Calculations!N139,Calculations!Q139,'Reaction Information'!$C$21,'Reaction Information'!$P$21*10^5,'Reaction Information'!$Q$21)*((1/Calculations!$S139)-1)-'Reaction Information'!$P$21*10^5*((1/Calculations!$C$10)-1)+'Reaction Information'!$P$21*10^5*Calculations!$C$14*(Calculations!$O139-Calculations!$C$8))</f>
        <v>#N/A</v>
      </c>
      <c r="AI139" s="8" t="e">
        <f>IF(ISBLANK(Input!$AG$4),NA(),'Reaction Information'!$E$25-'Reaction Information'!$G$25*(Calculations!$O139-Calculations!$C$8)-'Reaction Information'!$N$25*(Calculations!$O139*LN(Calculations!$O139/Calculations!$C$8)-Calculations!$O139+Calculations!$C$8)-'Reaction Information'!$O$25*10^4*(((1/(Calculations!$O139-Calculations!$C$13))-(1/(Calculations!$C$8-Calculations!$C$13)))*((Calculations!$C$13-Calculations!$O139)/(Calculations!$C$13))-(Calculations!$O139/(Calculations!$C$13*Calculations!$C$13))*LN((Calculations!$C$8*(Calculations!$O139-Calculations!$C$13))/(Calculations!$O139*(Calculations!$C$8-Calculations!$C$13))))+'Reaction Information'!$J$25*10^-1*(Calculations!$M139-Calculations!$C$9)+'Reaction Information'!$K$25*10^2*LN((Calculations!$C$12+Calculations!$M139)/(Calculations!$C$12+Calculations!$C$9))+(1/(Calculations!$O139-Calculations!$C$13))*('Reaction Information'!$L$25*(Calculations!$M139-Calculations!$C$9)+'Reaction Information'!$M$25*10^4*LN((Calculations!$C$12+Calculations!$M139)/(Calculations!$C$12+Calculations!$C$9)))+calculateOmega(Calculations!M139,Calculations!N139,Calculations!Q139,'Reaction Information'!$C$25,'Reaction Information'!$P$25*10^5,'Reaction Information'!$Q$25)*((1/Calculations!$S139)-1)-'Reaction Information'!$P$25*10^5*((1/Calculations!$C$10)-1)+'Reaction Information'!$P$25*10^5*Calculations!$C$14*(Calculations!$O139-Calculations!$C$8))</f>
        <v>#N/A</v>
      </c>
      <c r="AJ139" s="8" t="e">
        <f>IF(ISBLANK(Input!$AJ$4),NA(),'Reaction Information'!$E$29-'Reaction Information'!$G$29*(Calculations!$O139-Calculations!$C$8)-'Reaction Information'!$N$29*(Calculations!$O139*LN(Calculations!$O139/Calculations!$C$8)-Calculations!$O139+Calculations!$C$8)-'Reaction Information'!$O$29*10^4*(((1/(Calculations!$O139-Calculations!$C$13))-(1/(Calculations!$C$8-Calculations!$C$13)))*((Calculations!$C$13-Calculations!$O139)/(Calculations!$C$13))-(Calculations!$O139/(Calculations!$C$13*Calculations!$C$13))*LN((Calculations!$C$8*(Calculations!$O139-Calculations!$C$13))/(Calculations!$O139*(Calculations!$C$8-Calculations!$C$13))))+'Reaction Information'!$J$29*10^-1*(Calculations!$M139-Calculations!$C$9)+'Reaction Information'!$K$29*10^2*LN((Calculations!$C$12+Calculations!$M139)/(Calculations!$C$12+Calculations!$C$9))+(1/(Calculations!$O139-Calculations!$C$13))*('Reaction Information'!$L$29*(Calculations!$M139-Calculations!$C$9)+'Reaction Information'!$M$29*10^4*LN((Calculations!$C$12+Calculations!$M139)/(Calculations!$C$12+Calculations!$C$9)))+calculateOmega(Calculations!M139,Calculations!N139,Calculations!Q139,'Reaction Information'!$C$29,'Reaction Information'!$P$29*10^5,'Reaction Information'!$Q$29)*((1/Calculations!$S139)-1)-'Reaction Information'!$P$29*10^5*((1/Calculations!$C$10)-1)+'Reaction Information'!$P$29*10^5*Calculations!$C$14*(Calculations!$O139-Calculations!$C$8))</f>
        <v>#N/A</v>
      </c>
      <c r="AK139" s="8" t="e">
        <f>IF(ISBLANK(Input!$AM$4),NA(),'Reaction Information'!$E$33-'Reaction Information'!$G$33*(Calculations!$O139-Calculations!$C$8)-'Reaction Information'!$N$33*(Calculations!$O139*LN(Calculations!$O139/Calculations!$C$8)-Calculations!$O139+Calculations!$C$8)-'Reaction Information'!$O$33*10^4*(((1/(Calculations!$O139-Calculations!$C$13))-(1/(Calculations!$C$8-Calculations!$C$13)))*((Calculations!$C$13-Calculations!$O139)/(Calculations!$C$13))-(Calculations!$O139/(Calculations!$C$13*Calculations!$C$13))*LN((Calculations!$C$8*(Calculations!$O139-Calculations!$C$13))/(Calculations!$O139*(Calculations!$C$8-Calculations!$C$13))))+'Reaction Information'!$J$33*10^-1*(Calculations!$M139-Calculations!$C$9)+'Reaction Information'!$K$33*10^2*LN((Calculations!$C$12+Calculations!$M139)/(Calculations!$C$12+Calculations!$C$9))+(1/(Calculations!$O139-Calculations!$C$13))*('Reaction Information'!$L$33*(Calculations!$M139-Calculations!$C$9)+'Reaction Information'!$M$33*10^4*LN((Calculations!$C$12+Calculations!$M139)/(Calculations!$C$12+Calculations!$C$9)))+calculateOmega(Calculations!M139,Calculations!N139,Calculations!Q139,'Reaction Information'!$C$33,'Reaction Information'!$P$33*10^5,'Reaction Information'!$Q$33)*((1/Calculations!$S139)-1)-'Reaction Information'!$P$33*10^5*((1/Calculations!$C$10)-1)+'Reaction Information'!$P$33*10^5*Calculations!$C$14*(Calculations!$O139-Calculations!$C$8))</f>
        <v>#N/A</v>
      </c>
      <c r="AL139" s="1">
        <f>Results!S141</f>
        <v>0</v>
      </c>
      <c r="AM139" s="1">
        <f>Results!T141</f>
        <v>0</v>
      </c>
      <c r="AN139" s="1">
        <f>Results!U141</f>
        <v>0</v>
      </c>
      <c r="AO139" s="1">
        <f>Results!V141</f>
        <v>0</v>
      </c>
      <c r="AP139" s="8" t="e">
        <f>IF(ISBLANK(Input!$BB$4),NA(),'Reaction Information'!$E$38-'Reaction Information'!$G$38*(Calculations!$O139-Calculations!$C$8)+'Reaction Information'!$I$38*(Calculations!$O139-Calculations!$C$8-Calculations!$O139*LN(Calculations!$O139/Calculations!$C$8))+'Reaction Information'!$J$38*0.001/2*(2*Calculations!$O139*Calculations!$C$8-Calculations!$O139^2-Calculations!$C$8^2) + 'Reaction Information'!$K$38*100000*(Calculations!$O139^2 + Calculations!$C$8^2 - 2*Calculations!$O139*Calculations!$C$8)/(2*Calculations!$O139*Calculations!$C$8^2))</f>
        <v>#N/A</v>
      </c>
      <c r="AQ139" s="8" t="e">
        <f>IF(ISBLANK(Input!$BE$4),NA(),'Reaction Information'!$E$42-'Reaction Information'!$G$42*(Calculations!$O139-Calculations!$C$8)+'Reaction Information'!$I$42*(Calculations!$O139-Calculations!$C$8-Calculations!$O139*LN(Calculations!$O139/Calculations!$C$8))+'Reaction Information'!$J$42*0.001/2*(2*Calculations!$O139*Calculations!$C$8-Calculations!$O139^2-Calculations!$C$8^2) + 'Reaction Information'!$K$42*100000*(Calculations!$O139^2 + Calculations!$C$8^2 - 2*Calculations!$O139*Calculations!$C$8)/(2*Calculations!$O139*Calculations!$C$8^2))</f>
        <v>#N/A</v>
      </c>
      <c r="AR139" s="8" t="e">
        <f>IF(AR$5="H2O", IF($D$24=3,IF(T139=0,NA(),T139),calculateGibbsOfWater(M139,N139,$D$24,$D$20,$D$19=3)),NA())</f>
        <v>#N/A</v>
      </c>
      <c r="AS139" s="8">
        <f>IF(ISBLANK(Input!$BK$4),NA(),'Reaction Information'!$E$46-'Reaction Information'!$G$46*(Calculations!O139-Calculations!$C$8)-'Reaction Information'!$N$46*(Calculations!O139*LN(Calculations!O139/Calculations!$C$8)-Calculations!O139+Calculations!$C$8)-'Reaction Information'!$O$46*10^4*(((1/(Calculations!O139-Calculations!$C$13))-(1/(Calculations!$C$8-Calculations!$C$13)))*((Calculations!$C$13-Calculations!O139)/(Calculations!$C$13))-(Calculations!O139/(Calculations!$C$13*Calculations!$C$13))*LN((Calculations!$C$8*(Calculations!O139-Calculations!$C$13))/(Calculations!O139*(Calculations!$C$8-Calculations!$C$13))))+'Reaction Information'!$J$46*10^-1*(Calculations!$M139-Calculations!$C$9)+'Reaction Information'!$K$46*10^2*LN((Calculations!$C$12+Calculations!$M139)/(Calculations!$C$12+Calculations!$C$9))+(1/(Calculations!O139-Calculations!$C$13))*('Reaction Information'!$L$46*(Calculations!$M139-Calculations!$C$9)+'Reaction Information'!$M$46*10^4*LN((Calculations!$C$12+Calculations!$M139)/(Calculations!$C$12+Calculations!$C$9)))+calculateOmega(Calculations!M139,Calculations!N139,Calculations!Q139,'Reaction Information'!$C$46,'Reaction Information'!$P$46*10^5,'Reaction Information'!$Q$46)*((1/Calculations!S139)-1)-'Reaction Information'!$P$46*10^5*((1/Calculations!$C$10)-1)+'Reaction Information'!$P$46*10^5*Calculations!$C$14*(Calculations!O139-Calculations!$C$8))</f>
        <v>0</v>
      </c>
      <c r="AT139" s="8">
        <f>IF(ISBLANK(Input!$BN$4),NA(),'Reaction Information'!$E$50-'Reaction Information'!$G$50*(Calculations!O139-Calculations!$C$8)-'Reaction Information'!$N$50*(Calculations!O139*LN(Calculations!O139/Calculations!$C$8)-Calculations!O139+Calculations!$C$8)-'Reaction Information'!$O$50*10^4*(((1/(Calculations!O139-Calculations!$C$13))-(1/(Calculations!$C$8-Calculations!$C$13)))*((Calculations!$C$13-Calculations!O139)/(Calculations!$C$13))-(Calculations!O139/(Calculations!$C$13*Calculations!$C$13))*LN((Calculations!$C$8*(Calculations!O139-Calculations!$C$13))/(Calculations!O139*(Calculations!$C$8-Calculations!$C$13))))+'Reaction Information'!$J$50*10^-1*(Calculations!$M139-Calculations!$C$9)+'Reaction Information'!$K$50*10^2*LN((Calculations!$C$12+Calculations!$M139)/(Calculations!$C$12+Calculations!$C$9))+(1/(Calculations!O139-Calculations!$C$13))*('Reaction Information'!$L$50*(Calculations!$M139-Calculations!$C$9)+'Reaction Information'!$M$50*10^4*LN((Calculations!$C$12+Calculations!$M139)/(Calculations!$C$12+Calculations!$C$9)))+calculateOmega(Calculations!M139,Calculations!N139,Calculations!Q139,'Reaction Information'!$C$50,'Reaction Information'!$P$50*10^5,'Reaction Information'!$Q$50)*((1/Calculations!S139)-1)-'Reaction Information'!$P$50*10^5*((1/Calculations!$C$10)-1)+'Reaction Information'!$P$50*10^5*Calculations!$C$14*(Calculations!O139-Calculations!$C$8))</f>
        <v>-136391.50815636583</v>
      </c>
      <c r="AU139" s="8" t="e">
        <f>IF(ISBLANK(Input!$BQ$4),NA(),'Reaction Information'!$E$54-'Reaction Information'!$G$54*(Calculations!$O139-Calculations!$C$8)-'Reaction Information'!$N$54*(Calculations!$O139*LN(Calculations!$O139/Calculations!$C$8)-Calculations!$O139+Calculations!$C$8)-'Reaction Information'!$O$54*10^4*(((1/(Calculations!$O139-Calculations!$C$13))-(1/(Calculations!$C$8-Calculations!$C$13)))*((Calculations!$C$13-Calculations!$O139)/(Calculations!$C$13))-(Calculations!$O139/(Calculations!$C$13*Calculations!$C$13))*LN((Calculations!$C$8*(Calculations!$O139-Calculations!$C$13))/(Calculations!$O139*(Calculations!$C$8-Calculations!$C$13))))+'Reaction Information'!$J$54*10^-1*(Calculations!$M139-Calculations!$C$9)+'Reaction Information'!$K$54*10^2*LN((Calculations!$C$12+Calculations!$M139)/(Calculations!$C$12+Calculations!$C$9))+(1/(Calculations!$O139-Calculations!$C$13))*('Reaction Information'!$L$54*(Calculations!$M139-Calculations!$C$9)+'Reaction Information'!$M$54*10^4*LN((Calculations!$C$12+Calculations!$M139)/(Calculations!$C$12+Calculations!$C$9)))+calculateOmega(Calculations!M139,Calculations!N139,Calculations!Q139,'Reaction Information'!$C$54,'Reaction Information'!$P$54*10^5,'Reaction Information'!$Q$54)*((1/Calculations!$S139)-1)-'Reaction Information'!$P$54*10^5*((1/Calculations!$C$10)-1)+'Reaction Information'!$P$54*10^5*Calculations!$C$14*(Calculations!$O139-Calculations!$C$8))</f>
        <v>#N/A</v>
      </c>
      <c r="AV139" s="8" t="e">
        <f>IF(ISBLANK(Input!$BT$4),NA(),'Reaction Information'!$E$58-'Reaction Information'!$G$58*(Calculations!$O139-Calculations!$C$8)-'Reaction Information'!$N$58*(Calculations!$O139*LN(Calculations!$O139/Calculations!$C$8)-Calculations!$O139+Calculations!$C$8)-'Reaction Information'!$O$58*10^4*(((1/(Calculations!$O139-Calculations!$C$13))-(1/(Calculations!$C$8-Calculations!$C$13)))*((Calculations!$C$13-Calculations!$O139)/(Calculations!$C$13))-(Calculations!$O139/(Calculations!$C$13*Calculations!$C$13))*LN((Calculations!$C$8*(Calculations!$O139-Calculations!$C$13))/(Calculations!$O139*(Calculations!$C$8-Calculations!$C$13))))+'Reaction Information'!$J$58*10^-1*(Calculations!$M139-Calculations!$C$9)+'Reaction Information'!$K$58*10^2*LN((Calculations!$C$12+Calculations!$M139)/(Calculations!$C$12+Calculations!$C$9))+(1/(Calculations!$O139-Calculations!$C$13))*('Reaction Information'!$L$58*(Calculations!$M139-Calculations!$C$9)+'Reaction Information'!$M$58*10^4*LN((Calculations!$C$12+Calculations!$M139)/(Calculations!$C$12+Calculations!$C$9)))+calculateOmega(Calculations!M139,Calculations!N139,Calculations!Q139,'Reaction Information'!$C$58,'Reaction Information'!$P$58*10^5,'Reaction Information'!$Q$58)*((1/Calculations!$S139)-1)-'Reaction Information'!$P$58*10^5*((1/Calculations!$C$10)-1)+'Reaction Information'!$P$58*10^5*Calculations!$C$14*(Calculations!$O139-Calculations!$C$8))</f>
        <v>#N/A</v>
      </c>
      <c r="AW139" s="8" t="e">
        <f>IF(ISBLANK(Input!$BW$4),NA(),'Reaction Information'!$E$62-'Reaction Information'!$G$62*(Calculations!$O139-Calculations!$C$8)-'Reaction Information'!$N$62*(Calculations!$O139*LN(Calculations!$O139/Calculations!$C$8)-Calculations!$O139+Calculations!$C$8)-'Reaction Information'!$O$62*10^4*(((1/(Calculations!$O139-Calculations!$C$13))-(1/(Calculations!$C$8-Calculations!$C$13)))*((Calculations!$C$13-Calculations!$O139)/(Calculations!$C$13))-(Calculations!$O139/(Calculations!$C$13*Calculations!$C$13))*LN((Calculations!$C$8*(Calculations!$O139-Calculations!$C$13))/(Calculations!$O139*(Calculations!$C$8-Calculations!$C$13))))+'Reaction Information'!$J$62*10^-1*(Calculations!$M139-Calculations!$C$9)+'Reaction Information'!$K$62*10^2*LN((Calculations!$C$12+Calculations!$M139)/(Calculations!$C$12+Calculations!$C$9))+(1/(Calculations!$O139-Calculations!$C$13))*('Reaction Information'!$L$62*(Calculations!$M139-Calculations!$C$9)+'Reaction Information'!$M$62*10^4*LN((Calculations!$C$12+Calculations!$M139)/(Calculations!$C$12+Calculations!$C$9)))+calculateOmega(Calculations!M139,Calculations!N139,Calculations!Q139,'Reaction Information'!$C$62,'Reaction Information'!$P$62*10^5,'Reaction Information'!$Q$62)*((1/Calculations!$S139)-1)-'Reaction Information'!$P$62*10^5*((1/Calculations!$C$10)-1)+'Reaction Information'!$P$62*10^5*Calculations!$C$14*(Calculations!$O139-Calculations!$C$8))</f>
        <v>#N/A</v>
      </c>
      <c r="AX139" s="8" t="e">
        <f>IF(ISBLANK(Input!$BZ$4),NA(),'Reaction Information'!$E$66-'Reaction Information'!$G$66*(Calculations!$O139-Calculations!$C$8)-'Reaction Information'!$N$66*(Calculations!$O139*LN(Calculations!$O139/Calculations!$C$8)-Calculations!$O139+Calculations!$C$8)-'Reaction Information'!$O$66*10^4*(((1/(Calculations!$O139-Calculations!$C$13))-(1/(Calculations!$C$8-Calculations!$C$13)))*((Calculations!$C$13-Calculations!$O139)/(Calculations!$C$13))-(Calculations!$O139/(Calculations!$C$13*Calculations!$C$13))*LN((Calculations!$C$8*(Calculations!$O139-Calculations!$C$13))/(Calculations!$O139*(Calculations!$C$8-Calculations!$C$13))))+'Reaction Information'!$J$66*10^-1*(Calculations!$M139-Calculations!$C$9)+'Reaction Information'!$K$66*10^2*LN((Calculations!$C$12+Calculations!$M139)/(Calculations!$C$12+Calculations!$C$9))+(1/(Calculations!$O139-Calculations!$C$13))*('Reaction Information'!$L$66*(Calculations!$M139-Calculations!$C$9)+'Reaction Information'!$M$66*10^4*LN((Calculations!$C$12+Calculations!$M139)/(Calculations!$C$12+Calculations!$C$9)))+calculateOmega(Calculations!M139,Calculations!N139,Calculations!Q139,'Reaction Information'!$C$66,'Reaction Information'!$P$66*10^5,'Reaction Information'!$Q$66)*((1/Calculations!$S139)-1)-'Reaction Information'!$P$66*10^5*((1/Calculations!$C$10)-1)+'Reaction Information'!$P$66*10^5*Calculations!$C$14*(Calculations!$O139-Calculations!$C$8))</f>
        <v>#N/A</v>
      </c>
      <c r="AY139" s="31">
        <f>(AL139*Input!$AO$4+AM139*Input!$AR$4+AN139*Input!$AU$4+AO139*Input!$AX$4+IF(ISNA(AP139),0,AP139*Input!$BA$4)+IF(ISNA(AQ139),0,AQ139*Input!$BD$4)+IF(ISNA(AR139),0,AR139*Input!$BG$4)+IF(ISNA(AS139),0,AS139*Input!$BJ$4)+IF(ISNA(AT139),0,AT139*Input!$BM$4)+IF(ISNA(AU139),0,AU139*Input!$BP$4)+IF(ISNA(AV139),0,AV139*Input!$BS$4)+IF(ISNA(AW139),0,AW139*Input!$BV$4)+IF(ISNA(AX139),0,AX139*Input!$BY$4))-(Y139*Input!$B$4+Z139*Input!$E$4+AA139*Input!$H$4+AB139*Input!$K$4+IF(ISNA(AC139),0,AC139*Input!$N$4)+IF(ISNA(AD139),0,AD139*Input!$Q$4)+IF(ISNA(AE139),0,AE139*Input!$T$4)+IF(ISNA(AF139),0,AF139*Input!$W$4)+IF(ISNA(AG139),0,AG139*Input!$Z$4)+IF(ISNA(AH139),0,AH139*Input!$AC$4)+IF(ISNA(AI139),0,AI139*Input!$AF$4)+IF(ISNA(AJ139),0,AJ139*Input!$AI$4)+IF(ISNA(AK139),0,AK139*Input!$AL$4))</f>
        <v>28431.055806953023</v>
      </c>
      <c r="AZ139" s="42">
        <f t="shared" si="39"/>
        <v>-5.0832929842459453</v>
      </c>
      <c r="BA139" s="1">
        <f t="shared" si="46"/>
        <v>950</v>
      </c>
      <c r="BB139" s="46">
        <f t="shared" si="47"/>
        <v>45000</v>
      </c>
      <c r="BC139" s="1"/>
      <c r="BD139" s="2">
        <f t="shared" si="48"/>
        <v>45000</v>
      </c>
      <c r="BE139" s="46">
        <f t="shared" si="49"/>
        <v>950</v>
      </c>
      <c r="BF139" s="1">
        <f>Results!AJ141</f>
        <v>0</v>
      </c>
      <c r="BG139" s="1">
        <f>Results!AK141</f>
        <v>0</v>
      </c>
      <c r="BH139" s="1">
        <f>Results!AL141</f>
        <v>0</v>
      </c>
      <c r="BI139" s="1">
        <f>Results!AM141</f>
        <v>0</v>
      </c>
      <c r="BJ139" s="1" t="e">
        <f>IF(OR(ISNA('Reaction Information'!$D$5), $N139 = "", $D$27 = FALSE, 'Reaction Information'!$D$5 = ""), NA(), 24.465)</f>
        <v>#N/A</v>
      </c>
      <c r="BK139" s="1" t="e">
        <f>IF(OR(ISNA('Reaction Information'!$D$9), $N139 = "", $D$27 = FALSE, 'Reaction Information'!$D$9 = ""), NA(), 24.465)</f>
        <v>#N/A</v>
      </c>
      <c r="BL139" s="8">
        <f t="shared" si="40"/>
        <v>14.242205723486588</v>
      </c>
      <c r="BM139" s="8">
        <f>IF(OR(ISBLANK(Input!$X$4),$D$27=FALSE),NA(),('Reaction Information'!$J$13/10+'Reaction Information'!$K$13*100/(Calculations!$C$12+Calculations!$M139)+('Reaction Information'!$L$13+'Reaction Information'!$M$13*10^4/(Calculations!$C$12+Calculations!$M139))/(Calculations!$O139-Calculations!$C$13) -calculateOmega(Calculations!$M139,Calculations!$N139,Calculations!$Q139,'Reaction Information'!$C$13,'Reaction Information'!$P$13*10^5,'Reaction Information'!$Q$13)*Calculations!$U139*10^-6 + (1/$S139 - 1)*calculate_domegadP(Calculations!$M139,Calculations!$N139,Calculations!$Q139,'Reaction Information'!$C$13,'Reaction Information'!$P$13*10^5,'Reaction Information'!$Q$13,$D$20,$D$19=3))*41.84)</f>
        <v>30.202948483700872</v>
      </c>
      <c r="BN139" s="8" t="e">
        <f>IF(OR(ISBLANK(Input!$AA$4),$D$27=FALSE),NA(),('Reaction Information'!$J$17/10+'Reaction Information'!$K$17*100/(Calculations!$C$12+Calculations!$M139)+('Reaction Information'!$L$17+'Reaction Information'!$M$17*10000/(Calculations!$C$12+Calculations!$M139))/(Calculations!$O139-Calculations!$C$13)-calculateOmega(Calculations!M139,Calculations!N139,Calculations!Q139,'Reaction Information'!$C$17,'Reaction Information'!$P$17*10^5,'Reaction Information'!$Q$17)*Calculations!$U139*10^-6 + (1/$S139 - 1)*calculate_domegadP(Calculations!M139,Calculations!N139,Calculations!Q139,'Reaction Information'!$C$17,'Reaction Information'!$P$17*10^5,'Reaction Information'!$Q$17,$D$20,$D$19=3))*41.84)</f>
        <v>#N/A</v>
      </c>
      <c r="BO139" s="8" t="e">
        <f>IF(OR(ISBLANK(Input!$AD$4),$D$27=FALSE),NA(),('Reaction Information'!$J$21/10+'Reaction Information'!$K$21*100/(Calculations!$C$12+Calculations!$M139)+('Reaction Information'!$L$21+'Reaction Information'!$M$21*10000/(Calculations!$C$12+Calculations!$M139))/(Calculations!$O139-Calculations!$C$13)-calculateOmega(Calculations!M139,Calculations!N139,Calculations!Q139,'Reaction Information'!$C$21,'Reaction Information'!$P$21*10^5,'Reaction Information'!$Q$21)*Calculations!$U139*10^-6 + (1/$S139 - 1)*calculate_domegadP(Calculations!M139,Calculations!N139,Calculations!Q139,'Reaction Information'!$C$21,'Reaction Information'!$P$21*10^5,'Reaction Information'!$Q$21,$D$20,$D$19=3))*41.84)</f>
        <v>#N/A</v>
      </c>
      <c r="BP139" s="8" t="e">
        <f>IF(OR(ISBLANK(Input!$AG$4),$D$27=FALSE),NA(),('Reaction Information'!$J$25/10+'Reaction Information'!$K$25*100/(Calculations!$C$12+Calculations!$M139)+('Reaction Information'!$L$25+'Reaction Information'!$M$25*10000/(Calculations!$C$12+Calculations!$M139))/(Calculations!$O139-Calculations!$C$13)-calculateOmega(Calculations!M139,Calculations!N139,Calculations!Q139,'Reaction Information'!$C$25,'Reaction Information'!$P$25*10^5,'Reaction Information'!$Q$25)*Calculations!$U139*10^-6 + (1/$S139 - 1)*calculate_domegadP(Calculations!M139,Calculations!N139,Calculations!Q139,'Reaction Information'!$C$25,'Reaction Information'!$P$25*10^5,'Reaction Information'!$Q$25,$D$20,$D$19=3))*41.84)</f>
        <v>#N/A</v>
      </c>
      <c r="BQ139" s="8" t="e">
        <f>IF(OR(ISBLANK(Input!$AJ$4),$D$27=FALSE),NA(),('Reaction Information'!$J$29/10+'Reaction Information'!$K$29*100/(Calculations!$C$12+Calculations!$M139)+('Reaction Information'!$L$29+'Reaction Information'!$M$29*10000/(Calculations!$C$12+Calculations!$M139))/(Calculations!$O139-Calculations!$C$13)-calculateOmega(Calculations!M139,Calculations!N139,Calculations!Q139,'Reaction Information'!$C$29,'Reaction Information'!$P$29*10^5,'Reaction Information'!$Q$29)*Calculations!$U139*10^-6 + (1/$S139 - 1)*calculate_domegadP(Calculations!M139,Calculations!N139,Calculations!Q139,'Reaction Information'!$C$29,'Reaction Information'!$P$29*10^5,'Reaction Information'!$Q$29,$D$20,$D$19=3))*41.84)</f>
        <v>#N/A</v>
      </c>
      <c r="BR139" s="8" t="e">
        <f>IF(OR(ISBLANK(Input!$AM$4),$D$27=FALSE),NA(),('Reaction Information'!$J$33/10+'Reaction Information'!$K$33*100/(Calculations!$C$12+Calculations!$M139)+('Reaction Information'!$L$33+'Reaction Information'!$M$33*10000/(Calculations!$C$12+Calculations!$M139))/(Calculations!$O139-Calculations!$C$13)-calculateOmega(Calculations!M139,Calculations!N139,Calculations!Q139,'Reaction Information'!$C$33,'Reaction Information'!$P$33*10^5,'Reaction Information'!$Q$33)*Calculations!$U139*10^-6 + (1/$S139 - 1)*calculate_domegadP(Calculations!M139,Calculations!N139,Calculations!Q139,'Reaction Information'!$C$33,'Reaction Information'!$P$33*10^5,'Reaction Information'!$Q$33,$D$20,$D$19=3))*41.84)</f>
        <v>#N/A</v>
      </c>
      <c r="BS139" s="1">
        <f>Results!AW141</f>
        <v>0</v>
      </c>
      <c r="BT139" s="1">
        <f>Results!AX141</f>
        <v>0</v>
      </c>
      <c r="BU139" s="1">
        <f>Results!AY141</f>
        <v>0</v>
      </c>
      <c r="BV139" s="1">
        <f>Results!AZ141</f>
        <v>0</v>
      </c>
      <c r="BW139" s="1" t="e">
        <f>IF(OR(ISNA('Reaction Information'!$D$38), $N139 = "", $D$27 = FALSE, 'Reaction Information'!$D$38 = ""), NA(), 24.465)</f>
        <v>#N/A</v>
      </c>
      <c r="BX139" s="1" t="e">
        <f>IF(OR(ISNA('Reaction Information'!$D$42), $N139 = "", $D$27 = FALSE, 'Reaction Information'!$D$42 = ""), NA(), 24.465)</f>
        <v>#N/A</v>
      </c>
      <c r="BY139" s="8" t="e">
        <f t="shared" si="41"/>
        <v>#N/A</v>
      </c>
      <c r="BZ139" s="8">
        <f>IF(OR(ISBLANK(Input!$BK$4),$D$27=FALSE),NA(),('Reaction Information'!$J$46/10+'Reaction Information'!$K$46*100/(Calculations!$C$12+Calculations!$M139)+('Reaction Information'!$L$46+'Reaction Information'!$M$46*10000/(Calculations!$C$12+Calculations!$M139))/(Calculations!$O139-Calculations!$C$13)-calculateOmega(Calculations!M139,Calculations!N139,Calculations!Q139,'Reaction Information'!$C$46,'Reaction Information'!$P$46*10^5,'Reaction Information'!$Q$46)*Calculations!$U139*10^-6 + (1/$S139 - 1)*calculate_domegadP(Calculations!M139,Calculations!N139,Calculations!Q139,'Reaction Information'!$C$46,'Reaction Information'!$P$46*10^5,'Reaction Information'!$Q$46,$D$20,$D$19=3))*41.84)</f>
        <v>0</v>
      </c>
      <c r="CA139" s="8">
        <f>IF(OR(ISBLANK(Input!$BN$4),$D$27=FALSE),NA(),('Reaction Information'!$J$50/10+'Reaction Information'!$K$50*100/(Calculations!$C$12+Calculations!$M139)+('Reaction Information'!$L$50+'Reaction Information'!$M$50*10000/(Calculations!$C$12+Calculations!$M139))/(Calculations!$O139-Calculations!$C$13)-calculateOmega(Calculations!M139,Calculations!N139,Calculations!Q139,'Reaction Information'!$C$50,'Reaction Information'!$P$50*10^5,'Reaction Information'!$Q$50)*Calculations!$U139*10^-6 + (1/$S139 - 1)*calculate_domegadP(Calculations!M139,Calculations!N139,Calculations!Q139,'Reaction Information'!$C$50,'Reaction Information'!$P$50*10^5,'Reaction Information'!$Q$50,$D$20,$D$19=3))*41.84)</f>
        <v>30.865902536987289</v>
      </c>
      <c r="CB139" s="8" t="e">
        <f>IF(OR(ISBLANK(Input!$BQ$4),$D$27=FALSE),NA(),('Reaction Information'!$J$54/10+'Reaction Information'!$K$54*100/(Calculations!$C$12+Calculations!$M139)+('Reaction Information'!$L$54+'Reaction Information'!$M$54*10000/(Calculations!$C$12+Calculations!$M139))/(Calculations!$O139-Calculations!$C$13)-calculateOmega(Calculations!M139,Calculations!N139,Calculations!Q139,'Reaction Information'!$C$54,'Reaction Information'!$P$54*10^5,'Reaction Information'!$Q$54)*Calculations!$U139*10^-6 + (1/$S139 - 1)*calculate_domegadP(Calculations!M139,Calculations!N139,Calculations!Q139,'Reaction Information'!$C$54,'Reaction Information'!$P$54*10^5,'Reaction Information'!$Q$54,$D$20,$D$19=3))*41.84)</f>
        <v>#N/A</v>
      </c>
      <c r="CC139" s="8" t="e">
        <f>IF(OR(ISBLANK(Input!$BT$4),$D$27=FALSE),NA(),('Reaction Information'!$J$58/10+'Reaction Information'!$K$58*100/(Calculations!$C$12+Calculations!$M139)+('Reaction Information'!$L$58+'Reaction Information'!$M$58*10000/(Calculations!$C$12+Calculations!$M139))/(Calculations!$O139-Calculations!$C$13)-calculateOmega(Calculations!M139,Calculations!N139,Calculations!Q139,'Reaction Information'!$C$58,'Reaction Information'!$P$58*10^5,'Reaction Information'!$Q$58)*Calculations!$U139*10^-6 + (1/$S139 - 1)*calculate_domegadP(Calculations!M139,Calculations!N139,Calculations!Q139,'Reaction Information'!$C$58,'Reaction Information'!$P$58*10^5,'Reaction Information'!$Q$58,$D$20,$D$19=3))*41.84)</f>
        <v>#N/A</v>
      </c>
      <c r="CD139" s="8" t="e">
        <f>IF(OR(ISBLANK(Input!$BW$4),$D$27=FALSE),NA(),('Reaction Information'!$J$62/10+'Reaction Information'!$K$62*100/(Calculations!$C$12+Calculations!$M139)+('Reaction Information'!$L$62+'Reaction Information'!$M$62*10000/(Calculations!$C$12+Calculations!$M139))/(Calculations!$O139-Calculations!$C$13)-calculateOmega(Calculations!M139,Calculations!N139,Calculations!Q139,'Reaction Information'!$C$62,'Reaction Information'!$P$62*10^5,'Reaction Information'!$Q$62)*Calculations!$U139*10^-6 + (1/$S139 - 1)*calculate_domegadP(Calculations!M139,Calculations!N139,Calculations!Q139,'Reaction Information'!$C$62,'Reaction Information'!$P$62*10^5,'Reaction Information'!$Q$62,$D$20,$D$19=3))*41.84)</f>
        <v>#N/A</v>
      </c>
      <c r="CE139" s="8" t="e">
        <f>IF(OR(ISBLANK(Input!$BZ$4),$D$27=FALSE),NA(),('Reaction Information'!$J$66/10+'Reaction Information'!$K$66*100/(Calculations!$C$12+Calculations!$M139)+('Reaction Information'!$L$66+'Reaction Information'!$M$66*10000/(Calculations!$C$12+Calculations!$M139))/(Calculations!$O139-Calculations!$C$13)-calculateOmega(Calculations!M139,Calculations!N139,Calculations!Q139,'Reaction Information'!$C$66,'Reaction Information'!$P$66*10^5,'Reaction Information'!$Q$66)*Calculations!$U139*10^-6 + (1/$S139 - 1)*calculate_domegadP(Calculations!M139,Calculations!N139,Calculations!Q139,'Reaction Information'!$C$66,'Reaction Information'!$P$66*10^5,'Reaction Information'!$Q$66,$D$20,$D$19=3))*41.84)</f>
        <v>#N/A</v>
      </c>
      <c r="CF139" s="31">
        <f>(BS139*Input!$AO$4+BT139*Input!$AR$4+BU139*Input!$AU$4+BV139*Input!$AX$4+IF(ISNA(BW139),0,BW139*Input!$BA$4)+IF(ISNA(BX139),0,BX139*Input!$BD$4)+IF(ISNA(BY139),0,BY139*Input!$BG$4)+IF(ISNA(BZ139),0,BZ139*Input!$BJ$4)+IF(ISNA(CA139),0,CA139*Input!$BM$4)+IF(ISNA(CB139),0,CB139*Input!$BP$4)+IF(ISNA(CC139),0,CC139*Input!$BS$4)+IF(ISNA(CD139),0,CD139*Input!$BV$4)+IF(ISNA(CE139),0,CE139*Input!$BY$4))-(BF139*Input!$B$4+BG139*Input!$E$4+BH139*Input!$H$4+BI139*Input!$K$4+IF(ISNA(BJ139),0,BJ139*Input!$N$4)+IF(ISNA(BK139),0,BK139*Input!$Q$4)+IF(ISNA(BL139),0,BL139*Input!$T$4)+IF(ISNA(BM139),0,BM139*Input!$W$4)+IF(ISNA(BN139),0,BN139*Input!$Z$4)+IF(ISNA(BO139),0,BO139*Input!$AC$4)+IF(ISNA(BP139),0,BP139*Input!$AF$4)+IF(ISNA(BQ139),0,BQ139*Input!$AI$4)+IF(ISNA(BR139),0,BR139*Input!$AL$4))</f>
        <v>-13.579251670200168</v>
      </c>
      <c r="CG139" s="1">
        <f t="shared" si="50"/>
        <v>950</v>
      </c>
      <c r="CH139" s="46">
        <f t="shared" si="51"/>
        <v>45000</v>
      </c>
      <c r="CI139" s="1"/>
    </row>
    <row r="140" spans="1:87" x14ac:dyDescent="0.2">
      <c r="A140" s="1"/>
      <c r="B140" s="1"/>
      <c r="C140" s="1"/>
      <c r="D140" s="1"/>
      <c r="E140" s="1"/>
      <c r="F140" s="2">
        <v>135</v>
      </c>
      <c r="G140" s="1" t="str">
        <f>IF(ISBLANK(Input!CB140), "", Input!CB140*1000)</f>
        <v/>
      </c>
      <c r="H140" s="1" t="str">
        <f>IF(ISBLANK(Input!CC140), "", Input!CC140)</f>
        <v/>
      </c>
      <c r="I140" s="1">
        <f>IF(Input!$CF$5 + Input!$CF$6*(FLOOR((Calculations!$F140-1)/(FLOOR((Input!$CF$12-Input!$CF$10)/Input!$CF$11,1)+1),1)) &gt; Input!$CF$7, "", (Input!$CF$5 + Input!$CF$6*(FLOOR((Calculations!$F140-1)/(FLOOR((Input!$CF$12-Input!$CF$10)/Input!$CF$11,1)+1),1)))*1000)</f>
        <v>45000</v>
      </c>
      <c r="J140" s="1">
        <f>IF(Calculations!I140 = "", "", Input!$CF$10 + Input!$CF$11*(Calculations!$F140-1) - (FLOOR((Input!$CF$12-Input!$CF$10)/Input!$CF$11,1)+1)*Input!$CF$11*FLOOR((Calculations!$F140-1)/(FLOOR((Input!$CF$12-Input!$CF$10)/Input!$CF$11,1)+1),1))</f>
        <v>1000</v>
      </c>
      <c r="K140" s="8" t="str">
        <f t="shared" si="52"/>
        <v/>
      </c>
      <c r="L140" s="117" t="str">
        <f>IF(OR(Input!$CJ$5 + Input!$CJ$6*(Calculations!F140-1) &gt; Input!$CJ$7, Input!$CJ$5 + Input!$CJ$6*(Calculations!F140-1) &gt; 350), "", Input!$CJ$5 + Input!$CJ$6*(Calculations!F140-1))</f>
        <v/>
      </c>
      <c r="M140" s="1">
        <f t="shared" si="42"/>
        <v>45000</v>
      </c>
      <c r="N140" s="1">
        <f t="shared" si="43"/>
        <v>1000</v>
      </c>
      <c r="O140" s="1">
        <f t="shared" si="38"/>
        <v>1273.1500000000001</v>
      </c>
      <c r="P140" s="1" t="e">
        <f>IF(OR($D$20=3,AND($D$21=TRUE,M140&lt;1000)),INDEX('Water Density'!$C$6:$CX$120,MATCH(Calculations!N140,'Water Density'!$B$6:$B$120),MATCH(Calculations!M140/1000,'Water Density'!$C$5:$CX$5)),NA())</f>
        <v>#N/A</v>
      </c>
      <c r="Q140" s="182">
        <f>IF(OR($D$20=3,AND($D$21=TRUE,M140&lt;1000)), IF(P140&lt;&gt;0,P140,NA()), calculateDensity(M140,N140,$D$20,0.01,$D$19 = 3))</f>
        <v>1.2529873064720631</v>
      </c>
      <c r="R140" s="1" t="e">
        <f>IF($D$22=5,INDEX('Dielectric Constant'!$C$6:$CX$120,MATCH(Calculations!N140,'Dielectric Constant'!$B$6:$B$120),MATCH(Calculations!M140/1000,'Dielectric Constant'!$C$5:$CX$5)),NA())</f>
        <v>#N/A</v>
      </c>
      <c r="S140" s="58">
        <f>IF($D$22=5, IF(R140&lt;&gt;0,R140,NA()), IF(AND($D$23,M140&lt;=5000,$D$19 &lt;&gt; 3),calculateEpsilon(Q140,N140,1,FALSE),calculateEpsilon(Q140,N140,$D$22,$D$19 = 3)))</f>
        <v>16.366544687737473</v>
      </c>
      <c r="T140" s="1" t="e">
        <f>IF($D$24=3,INDEX('Water Free Energy'!$C$6:$CX$120,MATCH(Calculations!N140,'Water Free Energy'!$B$6:$B$120),MATCH(Calculations!M140/1000,'Water Free Energy'!$C$5:$CX$5)),NA())</f>
        <v>#N/A</v>
      </c>
      <c r="U140" s="179">
        <f>IF($D$27,calculateQ(M140,N140,Q140,$D$20,$D$22,$D$19=3)*10^6,NA())</f>
        <v>0.24150376154439085</v>
      </c>
      <c r="V140"/>
      <c r="W140" s="2">
        <f t="shared" si="44"/>
        <v>45000</v>
      </c>
      <c r="X140" s="1">
        <f t="shared" si="45"/>
        <v>1000</v>
      </c>
      <c r="Y140" s="1">
        <f>Results!F142</f>
        <v>0</v>
      </c>
      <c r="Z140" s="1">
        <f>Results!G142</f>
        <v>0</v>
      </c>
      <c r="AA140" s="1">
        <f>Results!H142</f>
        <v>0</v>
      </c>
      <c r="AB140" s="1">
        <f>Results!I142</f>
        <v>0</v>
      </c>
      <c r="AC140" s="1" t="e">
        <f>IF(ISBLANK(Input!$O$4),NA(),'Reaction Information'!$E$5-'Reaction Information'!$G$5*(Calculations!$O140-Calculations!$C$8)+'Reaction Information'!$I$5*(Calculations!$O140-Calculations!$C$8-Calculations!$O140*LN(Calculations!$O140/Calculations!$C$8))+'Reaction Information'!$J$5*0.001/2*(2*Calculations!$O140*Calculations!$C$8-Calculations!$O140^2-Calculations!$C$8^2) + 'Reaction Information'!$K$5*100000*(Calculations!$O140^2 + Calculations!$C$8^2 - 2*Calculations!$O140*Calculations!$C$8)/(2*Calculations!$O140*Calculations!$C$8^2))</f>
        <v>#N/A</v>
      </c>
      <c r="AD140" s="8" t="e">
        <f>IF(ISBLANK(Input!$R$4),NA(),'Reaction Information'!$E$9-'Reaction Information'!$G$9*(Calculations!$O140-Calculations!$C$8)+'Reaction Information'!$I$9*(Calculations!$O140-Calculations!$C$8-Calculations!$O140*LN(Calculations!$O140/Calculations!$C$8))+'Reaction Information'!$J$9*0.001/2*(2*Calculations!$O140*Calculations!$C$8-Calculations!$O140^2-Calculations!$C$8^2) + 'Reaction Information'!$K$9*100000*(Calculations!$O140^2 + Calculations!$C$8^2 - 2*Calculations!$O140*Calculations!$C$8)/(2*Calculations!$O140*Calculations!$C$8^2))</f>
        <v>#N/A</v>
      </c>
      <c r="AE140" s="8">
        <f>IF(AE$5="H2O",IF($D$24=3,IF(T140=0,NA(),T140),calculateGibbsOfWater(M140,N140,$D$24,$D$20,$D$19=3)),NA())</f>
        <v>-66906.763791280944</v>
      </c>
      <c r="AF140" s="8">
        <f>IF(ISBLANK(Input!$X$4),NA(),'Reaction Information'!$E$13-'Reaction Information'!$G$13*(Calculations!O140-Calculations!$C$8)-'Reaction Information'!$N$13*(Calculations!O140*LN(Calculations!O140/Calculations!$C$8)-Calculations!O140+Calculations!$C$8)-'Reaction Information'!$O$13*10^4*(((1/(Calculations!O140-Calculations!$C$13))-(1/(Calculations!$C$8-Calculations!$C$13)))*((Calculations!$C$13-Calculations!O140)/(Calculations!$C$13))-(Calculations!O140/(Calculations!$C$13*Calculations!$C$13))*LN((Calculations!$C$8*(Calculations!O140-Calculations!$C$13))/(Calculations!O140*(Calculations!$C$8-Calculations!$C$13))))+'Reaction Information'!$J$13*10^-1*(Calculations!M140-Calculations!$C$9)+'Reaction Information'!$K$13*10^2*LN((Calculations!$C$12+Calculations!M140)/(Calculations!$C$12+Calculations!$C$9))+(1/(Calculations!O140-Calculations!$C$13))*('Reaction Information'!$L$13*(Calculations!M140-Calculations!$C$9)+'Reaction Information'!$M$13*10^4*LN((Calculations!$C$12+Calculations!M140)/(Calculations!$C$12+Calculations!$C$9)))+calculateOmega(Calculations!M140,Calculations!N140,Calculations!Q140,'Reaction Information'!$C$13,'Reaction Information'!$P$13*10^5,'Reaction Information'!$Q$13)*((1/Calculations!S140)-1)-'Reaction Information'!$P$13*10^5*((1/Calculations!$C$10)-1)+'Reaction Information'!$P$13*10^5*Calculations!$C$14*(Calculations!O140-Calculations!$C$8))</f>
        <v>-102113.31259291421</v>
      </c>
      <c r="AG140" s="8" t="e">
        <f>IF(ISBLANK(Input!$AA$4),NA(),'Reaction Information'!$E$17-'Reaction Information'!$G$17*(Calculations!$O140-Calculations!$C$8)-'Reaction Information'!$N$17*(Calculations!$O140*LN(Calculations!$O140/Calculations!$C$8)-Calculations!$O140+Calculations!$C$8)-'Reaction Information'!$O$17*10^4*(((1/(Calculations!$O140-Calculations!$C$13))-(1/(Calculations!$C$8-Calculations!$C$13)))*((Calculations!$C$13-Calculations!$O140)/(Calculations!$C$13))-(Calculations!$O140/(Calculations!$C$13*Calculations!$C$13))*LN((Calculations!$C$8*(Calculations!$O140-Calculations!$C$13))/(Calculations!$O140*(Calculations!$C$8-Calculations!$C$13))))+'Reaction Information'!$J$17*10^-1*(Calculations!$M140-Calculations!$C$9)+'Reaction Information'!$K$17*10^2*LN((Calculations!$C$12+Calculations!$M140)/(Calculations!$C$12+Calculations!$C$9))+(1/(Calculations!$O140-Calculations!$C$13))*('Reaction Information'!$L$17*(Calculations!$M140-Calculations!$C$9)+'Reaction Information'!$M$17*10^4*LN((Calculations!$C$12+Calculations!$M140)/(Calculations!$C$12+Calculations!$C$9)))+calculateOmega(Calculations!M140,Calculations!N140,Calculations!Q140,'Reaction Information'!$C$17,'Reaction Information'!$P$17*10^5,'Reaction Information'!$Q$17)*((1/Calculations!$S140)-1)-'Reaction Information'!$P$17*10^5*((1/Calculations!$C$10)-1)+'Reaction Information'!$P$17*10^5*Calculations!$C$14*(Calculations!$O140-Calculations!$C$8))</f>
        <v>#N/A</v>
      </c>
      <c r="AH140" s="8" t="e">
        <f>IF(ISBLANK(Input!$AD$4),NA(),'Reaction Information'!$E$21-'Reaction Information'!$G$21*(Calculations!$O140-Calculations!$C$8)-'Reaction Information'!$N$21*(Calculations!$O140*LN(Calculations!$O140/Calculations!$C$8)-Calculations!$O140+Calculations!$C$8)-'Reaction Information'!$O$21*10^4*(((1/(Calculations!$O140-Calculations!$C$13))-(1/(Calculations!$C$8-Calculations!$C$13)))*((Calculations!$C$13-Calculations!$O140)/(Calculations!$C$13))-(Calculations!$O140/(Calculations!$C$13*Calculations!$C$13))*LN((Calculations!$C$8*(Calculations!$O140-Calculations!$C$13))/(Calculations!$O140*(Calculations!$C$8-Calculations!$C$13))))+'Reaction Information'!$J$21*10^-1*(Calculations!$M140-Calculations!$C$9)+'Reaction Information'!$K$21*10^2*LN((Calculations!$C$12+Calculations!$M140)/(Calculations!$C$12+Calculations!$C$9))+(1/(Calculations!$O140-Calculations!$C$13))*('Reaction Information'!$L$21*(Calculations!$M140-Calculations!$C$9)+'Reaction Information'!$M$21*10^4*LN((Calculations!$C$12+Calculations!$M140)/(Calculations!$C$12+Calculations!$C$9)))+calculateOmega(Calculations!M140,Calculations!N140,Calculations!Q140,'Reaction Information'!$C$21,'Reaction Information'!$P$21*10^5,'Reaction Information'!$Q$21)*((1/Calculations!$S140)-1)-'Reaction Information'!$P$21*10^5*((1/Calculations!$C$10)-1)+'Reaction Information'!$P$21*10^5*Calculations!$C$14*(Calculations!$O140-Calculations!$C$8))</f>
        <v>#N/A</v>
      </c>
      <c r="AI140" s="8" t="e">
        <f>IF(ISBLANK(Input!$AG$4),NA(),'Reaction Information'!$E$25-'Reaction Information'!$G$25*(Calculations!$O140-Calculations!$C$8)-'Reaction Information'!$N$25*(Calculations!$O140*LN(Calculations!$O140/Calculations!$C$8)-Calculations!$O140+Calculations!$C$8)-'Reaction Information'!$O$25*10^4*(((1/(Calculations!$O140-Calculations!$C$13))-(1/(Calculations!$C$8-Calculations!$C$13)))*((Calculations!$C$13-Calculations!$O140)/(Calculations!$C$13))-(Calculations!$O140/(Calculations!$C$13*Calculations!$C$13))*LN((Calculations!$C$8*(Calculations!$O140-Calculations!$C$13))/(Calculations!$O140*(Calculations!$C$8-Calculations!$C$13))))+'Reaction Information'!$J$25*10^-1*(Calculations!$M140-Calculations!$C$9)+'Reaction Information'!$K$25*10^2*LN((Calculations!$C$12+Calculations!$M140)/(Calculations!$C$12+Calculations!$C$9))+(1/(Calculations!$O140-Calculations!$C$13))*('Reaction Information'!$L$25*(Calculations!$M140-Calculations!$C$9)+'Reaction Information'!$M$25*10^4*LN((Calculations!$C$12+Calculations!$M140)/(Calculations!$C$12+Calculations!$C$9)))+calculateOmega(Calculations!M140,Calculations!N140,Calculations!Q140,'Reaction Information'!$C$25,'Reaction Information'!$P$25*10^5,'Reaction Information'!$Q$25)*((1/Calculations!$S140)-1)-'Reaction Information'!$P$25*10^5*((1/Calculations!$C$10)-1)+'Reaction Information'!$P$25*10^5*Calculations!$C$14*(Calculations!$O140-Calculations!$C$8))</f>
        <v>#N/A</v>
      </c>
      <c r="AJ140" s="8" t="e">
        <f>IF(ISBLANK(Input!$AJ$4),NA(),'Reaction Information'!$E$29-'Reaction Information'!$G$29*(Calculations!$O140-Calculations!$C$8)-'Reaction Information'!$N$29*(Calculations!$O140*LN(Calculations!$O140/Calculations!$C$8)-Calculations!$O140+Calculations!$C$8)-'Reaction Information'!$O$29*10^4*(((1/(Calculations!$O140-Calculations!$C$13))-(1/(Calculations!$C$8-Calculations!$C$13)))*((Calculations!$C$13-Calculations!$O140)/(Calculations!$C$13))-(Calculations!$O140/(Calculations!$C$13*Calculations!$C$13))*LN((Calculations!$C$8*(Calculations!$O140-Calculations!$C$13))/(Calculations!$O140*(Calculations!$C$8-Calculations!$C$13))))+'Reaction Information'!$J$29*10^-1*(Calculations!$M140-Calculations!$C$9)+'Reaction Information'!$K$29*10^2*LN((Calculations!$C$12+Calculations!$M140)/(Calculations!$C$12+Calculations!$C$9))+(1/(Calculations!$O140-Calculations!$C$13))*('Reaction Information'!$L$29*(Calculations!$M140-Calculations!$C$9)+'Reaction Information'!$M$29*10^4*LN((Calculations!$C$12+Calculations!$M140)/(Calculations!$C$12+Calculations!$C$9)))+calculateOmega(Calculations!M140,Calculations!N140,Calculations!Q140,'Reaction Information'!$C$29,'Reaction Information'!$P$29*10^5,'Reaction Information'!$Q$29)*((1/Calculations!$S140)-1)-'Reaction Information'!$P$29*10^5*((1/Calculations!$C$10)-1)+'Reaction Information'!$P$29*10^5*Calculations!$C$14*(Calculations!$O140-Calculations!$C$8))</f>
        <v>#N/A</v>
      </c>
      <c r="AK140" s="8" t="e">
        <f>IF(ISBLANK(Input!$AM$4),NA(),'Reaction Information'!$E$33-'Reaction Information'!$G$33*(Calculations!$O140-Calculations!$C$8)-'Reaction Information'!$N$33*(Calculations!$O140*LN(Calculations!$O140/Calculations!$C$8)-Calculations!$O140+Calculations!$C$8)-'Reaction Information'!$O$33*10^4*(((1/(Calculations!$O140-Calculations!$C$13))-(1/(Calculations!$C$8-Calculations!$C$13)))*((Calculations!$C$13-Calculations!$O140)/(Calculations!$C$13))-(Calculations!$O140/(Calculations!$C$13*Calculations!$C$13))*LN((Calculations!$C$8*(Calculations!$O140-Calculations!$C$13))/(Calculations!$O140*(Calculations!$C$8-Calculations!$C$13))))+'Reaction Information'!$J$33*10^-1*(Calculations!$M140-Calculations!$C$9)+'Reaction Information'!$K$33*10^2*LN((Calculations!$C$12+Calculations!$M140)/(Calculations!$C$12+Calculations!$C$9))+(1/(Calculations!$O140-Calculations!$C$13))*('Reaction Information'!$L$33*(Calculations!$M140-Calculations!$C$9)+'Reaction Information'!$M$33*10^4*LN((Calculations!$C$12+Calculations!$M140)/(Calculations!$C$12+Calculations!$C$9)))+calculateOmega(Calculations!M140,Calculations!N140,Calculations!Q140,'Reaction Information'!$C$33,'Reaction Information'!$P$33*10^5,'Reaction Information'!$Q$33)*((1/Calculations!$S140)-1)-'Reaction Information'!$P$33*10^5*((1/Calculations!$C$10)-1)+'Reaction Information'!$P$33*10^5*Calculations!$C$14*(Calculations!$O140-Calculations!$C$8))</f>
        <v>#N/A</v>
      </c>
      <c r="AL140" s="1">
        <f>Results!S142</f>
        <v>0</v>
      </c>
      <c r="AM140" s="1">
        <f>Results!T142</f>
        <v>0</v>
      </c>
      <c r="AN140" s="1">
        <f>Results!U142</f>
        <v>0</v>
      </c>
      <c r="AO140" s="1">
        <f>Results!V142</f>
        <v>0</v>
      </c>
      <c r="AP140" s="8" t="e">
        <f>IF(ISBLANK(Input!$BB$4),NA(),'Reaction Information'!$E$38-'Reaction Information'!$G$38*(Calculations!$O140-Calculations!$C$8)+'Reaction Information'!$I$38*(Calculations!$O140-Calculations!$C$8-Calculations!$O140*LN(Calculations!$O140/Calculations!$C$8))+'Reaction Information'!$J$38*0.001/2*(2*Calculations!$O140*Calculations!$C$8-Calculations!$O140^2-Calculations!$C$8^2) + 'Reaction Information'!$K$38*100000*(Calculations!$O140^2 + Calculations!$C$8^2 - 2*Calculations!$O140*Calculations!$C$8)/(2*Calculations!$O140*Calculations!$C$8^2))</f>
        <v>#N/A</v>
      </c>
      <c r="AQ140" s="8" t="e">
        <f>IF(ISBLANK(Input!$BE$4),NA(),'Reaction Information'!$E$42-'Reaction Information'!$G$42*(Calculations!$O140-Calculations!$C$8)+'Reaction Information'!$I$42*(Calculations!$O140-Calculations!$C$8-Calculations!$O140*LN(Calculations!$O140/Calculations!$C$8))+'Reaction Information'!$J$42*0.001/2*(2*Calculations!$O140*Calculations!$C$8-Calculations!$O140^2-Calculations!$C$8^2) + 'Reaction Information'!$K$42*100000*(Calculations!$O140^2 + Calculations!$C$8^2 - 2*Calculations!$O140*Calculations!$C$8)/(2*Calculations!$O140*Calculations!$C$8^2))</f>
        <v>#N/A</v>
      </c>
      <c r="AR140" s="8" t="e">
        <f>IF(AR$5="H2O", IF($D$24=3,IF(T140=0,NA(),T140),calculateGibbsOfWater(M140,N140,$D$24,$D$20,$D$19=3)),NA())</f>
        <v>#N/A</v>
      </c>
      <c r="AS140" s="8">
        <f>IF(ISBLANK(Input!$BK$4),NA(),'Reaction Information'!$E$46-'Reaction Information'!$G$46*(Calculations!O140-Calculations!$C$8)-'Reaction Information'!$N$46*(Calculations!O140*LN(Calculations!O140/Calculations!$C$8)-Calculations!O140+Calculations!$C$8)-'Reaction Information'!$O$46*10^4*(((1/(Calculations!O140-Calculations!$C$13))-(1/(Calculations!$C$8-Calculations!$C$13)))*((Calculations!$C$13-Calculations!O140)/(Calculations!$C$13))-(Calculations!O140/(Calculations!$C$13*Calculations!$C$13))*LN((Calculations!$C$8*(Calculations!O140-Calculations!$C$13))/(Calculations!O140*(Calculations!$C$8-Calculations!$C$13))))+'Reaction Information'!$J$46*10^-1*(Calculations!$M140-Calculations!$C$9)+'Reaction Information'!$K$46*10^2*LN((Calculations!$C$12+Calculations!$M140)/(Calculations!$C$12+Calculations!$C$9))+(1/(Calculations!O140-Calculations!$C$13))*('Reaction Information'!$L$46*(Calculations!$M140-Calculations!$C$9)+'Reaction Information'!$M$46*10^4*LN((Calculations!$C$12+Calculations!$M140)/(Calculations!$C$12+Calculations!$C$9)))+calculateOmega(Calculations!M140,Calculations!N140,Calculations!Q140,'Reaction Information'!$C$46,'Reaction Information'!$P$46*10^5,'Reaction Information'!$Q$46)*((1/Calculations!S140)-1)-'Reaction Information'!$P$46*10^5*((1/Calculations!$C$10)-1)+'Reaction Information'!$P$46*10^5*Calculations!$C$14*(Calculations!O140-Calculations!$C$8))</f>
        <v>0</v>
      </c>
      <c r="AT140" s="8">
        <f>IF(ISBLANK(Input!$BN$4),NA(),'Reaction Information'!$E$50-'Reaction Information'!$G$50*(Calculations!O140-Calculations!$C$8)-'Reaction Information'!$N$50*(Calculations!O140*LN(Calculations!O140/Calculations!$C$8)-Calculations!O140+Calculations!$C$8)-'Reaction Information'!$O$50*10^4*(((1/(Calculations!O140-Calculations!$C$13))-(1/(Calculations!$C$8-Calculations!$C$13)))*((Calculations!$C$13-Calculations!O140)/(Calculations!$C$13))-(Calculations!O140/(Calculations!$C$13*Calculations!$C$13))*LN((Calculations!$C$8*(Calculations!O140-Calculations!$C$13))/(Calculations!O140*(Calculations!$C$8-Calculations!$C$13))))+'Reaction Information'!$J$50*10^-1*(Calculations!$M140-Calculations!$C$9)+'Reaction Information'!$K$50*10^2*LN((Calculations!$C$12+Calculations!$M140)/(Calculations!$C$12+Calculations!$C$9))+(1/(Calculations!O140-Calculations!$C$13))*('Reaction Information'!$L$50*(Calculations!$M140-Calculations!$C$9)+'Reaction Information'!$M$50*10^4*LN((Calculations!$C$12+Calculations!$M140)/(Calculations!$C$12+Calculations!$C$9)))+calculateOmega(Calculations!M140,Calculations!N140,Calculations!Q140,'Reaction Information'!$C$50,'Reaction Information'!$P$50*10^5,'Reaction Information'!$Q$50)*((1/Calculations!S140)-1)-'Reaction Information'!$P$50*10^5*((1/Calculations!$C$10)-1)+'Reaction Information'!$P$50*10^5*Calculations!$C$14*(Calculations!O140-Calculations!$C$8))</f>
        <v>-138077.68480948525</v>
      </c>
      <c r="AU140" s="8" t="e">
        <f>IF(ISBLANK(Input!$BQ$4),NA(),'Reaction Information'!$E$54-'Reaction Information'!$G$54*(Calculations!$O140-Calculations!$C$8)-'Reaction Information'!$N$54*(Calculations!$O140*LN(Calculations!$O140/Calculations!$C$8)-Calculations!$O140+Calculations!$C$8)-'Reaction Information'!$O$54*10^4*(((1/(Calculations!$O140-Calculations!$C$13))-(1/(Calculations!$C$8-Calculations!$C$13)))*((Calculations!$C$13-Calculations!$O140)/(Calculations!$C$13))-(Calculations!$O140/(Calculations!$C$13*Calculations!$C$13))*LN((Calculations!$C$8*(Calculations!$O140-Calculations!$C$13))/(Calculations!$O140*(Calculations!$C$8-Calculations!$C$13))))+'Reaction Information'!$J$54*10^-1*(Calculations!$M140-Calculations!$C$9)+'Reaction Information'!$K$54*10^2*LN((Calculations!$C$12+Calculations!$M140)/(Calculations!$C$12+Calculations!$C$9))+(1/(Calculations!$O140-Calculations!$C$13))*('Reaction Information'!$L$54*(Calculations!$M140-Calculations!$C$9)+'Reaction Information'!$M$54*10^4*LN((Calculations!$C$12+Calculations!$M140)/(Calculations!$C$12+Calculations!$C$9)))+calculateOmega(Calculations!M140,Calculations!N140,Calculations!Q140,'Reaction Information'!$C$54,'Reaction Information'!$P$54*10^5,'Reaction Information'!$Q$54)*((1/Calculations!$S140)-1)-'Reaction Information'!$P$54*10^5*((1/Calculations!$C$10)-1)+'Reaction Information'!$P$54*10^5*Calculations!$C$14*(Calculations!$O140-Calculations!$C$8))</f>
        <v>#N/A</v>
      </c>
      <c r="AV140" s="8" t="e">
        <f>IF(ISBLANK(Input!$BT$4),NA(),'Reaction Information'!$E$58-'Reaction Information'!$G$58*(Calculations!$O140-Calculations!$C$8)-'Reaction Information'!$N$58*(Calculations!$O140*LN(Calculations!$O140/Calculations!$C$8)-Calculations!$O140+Calculations!$C$8)-'Reaction Information'!$O$58*10^4*(((1/(Calculations!$O140-Calculations!$C$13))-(1/(Calculations!$C$8-Calculations!$C$13)))*((Calculations!$C$13-Calculations!$O140)/(Calculations!$C$13))-(Calculations!$O140/(Calculations!$C$13*Calculations!$C$13))*LN((Calculations!$C$8*(Calculations!$O140-Calculations!$C$13))/(Calculations!$O140*(Calculations!$C$8-Calculations!$C$13))))+'Reaction Information'!$J$58*10^-1*(Calculations!$M140-Calculations!$C$9)+'Reaction Information'!$K$58*10^2*LN((Calculations!$C$12+Calculations!$M140)/(Calculations!$C$12+Calculations!$C$9))+(1/(Calculations!$O140-Calculations!$C$13))*('Reaction Information'!$L$58*(Calculations!$M140-Calculations!$C$9)+'Reaction Information'!$M$58*10^4*LN((Calculations!$C$12+Calculations!$M140)/(Calculations!$C$12+Calculations!$C$9)))+calculateOmega(Calculations!M140,Calculations!N140,Calculations!Q140,'Reaction Information'!$C$58,'Reaction Information'!$P$58*10^5,'Reaction Information'!$Q$58)*((1/Calculations!$S140)-1)-'Reaction Information'!$P$58*10^5*((1/Calculations!$C$10)-1)+'Reaction Information'!$P$58*10^5*Calculations!$C$14*(Calculations!$O140-Calculations!$C$8))</f>
        <v>#N/A</v>
      </c>
      <c r="AW140" s="8" t="e">
        <f>IF(ISBLANK(Input!$BW$4),NA(),'Reaction Information'!$E$62-'Reaction Information'!$G$62*(Calculations!$O140-Calculations!$C$8)-'Reaction Information'!$N$62*(Calculations!$O140*LN(Calculations!$O140/Calculations!$C$8)-Calculations!$O140+Calculations!$C$8)-'Reaction Information'!$O$62*10^4*(((1/(Calculations!$O140-Calculations!$C$13))-(1/(Calculations!$C$8-Calculations!$C$13)))*((Calculations!$C$13-Calculations!$O140)/(Calculations!$C$13))-(Calculations!$O140/(Calculations!$C$13*Calculations!$C$13))*LN((Calculations!$C$8*(Calculations!$O140-Calculations!$C$13))/(Calculations!$O140*(Calculations!$C$8-Calculations!$C$13))))+'Reaction Information'!$J$62*10^-1*(Calculations!$M140-Calculations!$C$9)+'Reaction Information'!$K$62*10^2*LN((Calculations!$C$12+Calculations!$M140)/(Calculations!$C$12+Calculations!$C$9))+(1/(Calculations!$O140-Calculations!$C$13))*('Reaction Information'!$L$62*(Calculations!$M140-Calculations!$C$9)+'Reaction Information'!$M$62*10^4*LN((Calculations!$C$12+Calculations!$M140)/(Calculations!$C$12+Calculations!$C$9)))+calculateOmega(Calculations!M140,Calculations!N140,Calculations!Q140,'Reaction Information'!$C$62,'Reaction Information'!$P$62*10^5,'Reaction Information'!$Q$62)*((1/Calculations!$S140)-1)-'Reaction Information'!$P$62*10^5*((1/Calculations!$C$10)-1)+'Reaction Information'!$P$62*10^5*Calculations!$C$14*(Calculations!$O140-Calculations!$C$8))</f>
        <v>#N/A</v>
      </c>
      <c r="AX140" s="8" t="e">
        <f>IF(ISBLANK(Input!$BZ$4),NA(),'Reaction Information'!$E$66-'Reaction Information'!$G$66*(Calculations!$O140-Calculations!$C$8)-'Reaction Information'!$N$66*(Calculations!$O140*LN(Calculations!$O140/Calculations!$C$8)-Calculations!$O140+Calculations!$C$8)-'Reaction Information'!$O$66*10^4*(((1/(Calculations!$O140-Calculations!$C$13))-(1/(Calculations!$C$8-Calculations!$C$13)))*((Calculations!$C$13-Calculations!$O140)/(Calculations!$C$13))-(Calculations!$O140/(Calculations!$C$13*Calculations!$C$13))*LN((Calculations!$C$8*(Calculations!$O140-Calculations!$C$13))/(Calculations!$O140*(Calculations!$C$8-Calculations!$C$13))))+'Reaction Information'!$J$66*10^-1*(Calculations!$M140-Calculations!$C$9)+'Reaction Information'!$K$66*10^2*LN((Calculations!$C$12+Calculations!$M140)/(Calculations!$C$12+Calculations!$C$9))+(1/(Calculations!$O140-Calculations!$C$13))*('Reaction Information'!$L$66*(Calculations!$M140-Calculations!$C$9)+'Reaction Information'!$M$66*10^4*LN((Calculations!$C$12+Calculations!$M140)/(Calculations!$C$12+Calculations!$C$9)))+calculateOmega(Calculations!M140,Calculations!N140,Calculations!Q140,'Reaction Information'!$C$66,'Reaction Information'!$P$66*10^5,'Reaction Information'!$Q$66)*((1/Calculations!$S140)-1)-'Reaction Information'!$P$66*10^5*((1/Calculations!$C$10)-1)+'Reaction Information'!$P$66*10^5*Calculations!$C$14*(Calculations!$O140-Calculations!$C$8))</f>
        <v>#N/A</v>
      </c>
      <c r="AY140" s="31">
        <f>(AL140*Input!$AO$4+AM140*Input!$AR$4+AN140*Input!$AU$4+AO140*Input!$AX$4+IF(ISNA(AP140),0,AP140*Input!$BA$4)+IF(ISNA(AQ140),0,AQ140*Input!$BD$4)+IF(ISNA(AR140),0,AR140*Input!$BG$4)+IF(ISNA(AS140),0,AS140*Input!$BJ$4)+IF(ISNA(AT140),0,AT140*Input!$BM$4)+IF(ISNA(AU140),0,AU140*Input!$BP$4)+IF(ISNA(AV140),0,AV140*Input!$BS$4)+IF(ISNA(AW140),0,AW140*Input!$BV$4)+IF(ISNA(AX140),0,AX140*Input!$BY$4))-(Y140*Input!$B$4+Z140*Input!$E$4+AA140*Input!$H$4+AB140*Input!$K$4+IF(ISNA(AC140),0,AC140*Input!$N$4)+IF(ISNA(AD140),0,AD140*Input!$Q$4)+IF(ISNA(AE140),0,AE140*Input!$T$4)+IF(ISNA(AF140),0,AF140*Input!$W$4)+IF(ISNA(AG140),0,AG140*Input!$Z$4)+IF(ISNA(AH140),0,AH140*Input!$AC$4)+IF(ISNA(AI140),0,AI140*Input!$AF$4)+IF(ISNA(AJ140),0,AJ140*Input!$AI$4)+IF(ISNA(AK140),0,AK140*Input!$AL$4))</f>
        <v>30942.391574709909</v>
      </c>
      <c r="AZ140" s="42">
        <f t="shared" si="39"/>
        <v>-5.3150355904558229</v>
      </c>
      <c r="BA140" s="1">
        <f t="shared" si="46"/>
        <v>1000</v>
      </c>
      <c r="BB140" s="46">
        <f t="shared" si="47"/>
        <v>45000</v>
      </c>
      <c r="BC140" s="1"/>
      <c r="BD140" s="2">
        <f t="shared" si="48"/>
        <v>45000</v>
      </c>
      <c r="BE140" s="46">
        <f t="shared" si="49"/>
        <v>1000</v>
      </c>
      <c r="BF140" s="1">
        <f>Results!AJ142</f>
        <v>0</v>
      </c>
      <c r="BG140" s="1">
        <f>Results!AK142</f>
        <v>0</v>
      </c>
      <c r="BH140" s="1">
        <f>Results!AL142</f>
        <v>0</v>
      </c>
      <c r="BI140" s="1">
        <f>Results!AM142</f>
        <v>0</v>
      </c>
      <c r="BJ140" s="1" t="e">
        <f>IF(OR(ISNA('Reaction Information'!$D$5), $N140 = "", $D$27 = FALSE, 'Reaction Information'!$D$5 = ""), NA(), 24.465)</f>
        <v>#N/A</v>
      </c>
      <c r="BK140" s="1" t="e">
        <f>IF(OR(ISNA('Reaction Information'!$D$9), $N140 = "", $D$27 = FALSE, 'Reaction Information'!$D$9 = ""), NA(), 24.465)</f>
        <v>#N/A</v>
      </c>
      <c r="BL140" s="8">
        <f t="shared" si="40"/>
        <v>14.377863133126379</v>
      </c>
      <c r="BM140" s="8">
        <f>IF(OR(ISBLANK(Input!$X$4),$D$27=FALSE),NA(),('Reaction Information'!$J$13/10+'Reaction Information'!$K$13*100/(Calculations!$C$12+Calculations!$M140)+('Reaction Information'!$L$13+'Reaction Information'!$M$13*10^4/(Calculations!$C$12+Calculations!$M140))/(Calculations!$O140-Calculations!$C$13) -calculateOmega(Calculations!$M140,Calculations!$N140,Calculations!$Q140,'Reaction Information'!$C$13,'Reaction Information'!$P$13*10^5,'Reaction Information'!$Q$13)*Calculations!$U140*10^-6 + (1/$S140 - 1)*calculate_domegadP(Calculations!$M140,Calculations!$N140,Calculations!$Q140,'Reaction Information'!$C$13,'Reaction Information'!$P$13*10^5,'Reaction Information'!$Q$13,$D$20,$D$19=3))*41.84)</f>
        <v>30.238427630362164</v>
      </c>
      <c r="BN140" s="8" t="e">
        <f>IF(OR(ISBLANK(Input!$AA$4),$D$27=FALSE),NA(),('Reaction Information'!$J$17/10+'Reaction Information'!$K$17*100/(Calculations!$C$12+Calculations!$M140)+('Reaction Information'!$L$17+'Reaction Information'!$M$17*10000/(Calculations!$C$12+Calculations!$M140))/(Calculations!$O140-Calculations!$C$13)-calculateOmega(Calculations!M140,Calculations!N140,Calculations!Q140,'Reaction Information'!$C$17,'Reaction Information'!$P$17*10^5,'Reaction Information'!$Q$17)*Calculations!$U140*10^-6 + (1/$S140 - 1)*calculate_domegadP(Calculations!M140,Calculations!N140,Calculations!Q140,'Reaction Information'!$C$17,'Reaction Information'!$P$17*10^5,'Reaction Information'!$Q$17,$D$20,$D$19=3))*41.84)</f>
        <v>#N/A</v>
      </c>
      <c r="BO140" s="8" t="e">
        <f>IF(OR(ISBLANK(Input!$AD$4),$D$27=FALSE),NA(),('Reaction Information'!$J$21/10+'Reaction Information'!$K$21*100/(Calculations!$C$12+Calculations!$M140)+('Reaction Information'!$L$21+'Reaction Information'!$M$21*10000/(Calculations!$C$12+Calculations!$M140))/(Calculations!$O140-Calculations!$C$13)-calculateOmega(Calculations!M140,Calculations!N140,Calculations!Q140,'Reaction Information'!$C$21,'Reaction Information'!$P$21*10^5,'Reaction Information'!$Q$21)*Calculations!$U140*10^-6 + (1/$S140 - 1)*calculate_domegadP(Calculations!M140,Calculations!N140,Calculations!Q140,'Reaction Information'!$C$21,'Reaction Information'!$P$21*10^5,'Reaction Information'!$Q$21,$D$20,$D$19=3))*41.84)</f>
        <v>#N/A</v>
      </c>
      <c r="BP140" s="8" t="e">
        <f>IF(OR(ISBLANK(Input!$AG$4),$D$27=FALSE),NA(),('Reaction Information'!$J$25/10+'Reaction Information'!$K$25*100/(Calculations!$C$12+Calculations!$M140)+('Reaction Information'!$L$25+'Reaction Information'!$M$25*10000/(Calculations!$C$12+Calculations!$M140))/(Calculations!$O140-Calculations!$C$13)-calculateOmega(Calculations!M140,Calculations!N140,Calculations!Q140,'Reaction Information'!$C$25,'Reaction Information'!$P$25*10^5,'Reaction Information'!$Q$25)*Calculations!$U140*10^-6 + (1/$S140 - 1)*calculate_domegadP(Calculations!M140,Calculations!N140,Calculations!Q140,'Reaction Information'!$C$25,'Reaction Information'!$P$25*10^5,'Reaction Information'!$Q$25,$D$20,$D$19=3))*41.84)</f>
        <v>#N/A</v>
      </c>
      <c r="BQ140" s="8" t="e">
        <f>IF(OR(ISBLANK(Input!$AJ$4),$D$27=FALSE),NA(),('Reaction Information'!$J$29/10+'Reaction Information'!$K$29*100/(Calculations!$C$12+Calculations!$M140)+('Reaction Information'!$L$29+'Reaction Information'!$M$29*10000/(Calculations!$C$12+Calculations!$M140))/(Calculations!$O140-Calculations!$C$13)-calculateOmega(Calculations!M140,Calculations!N140,Calculations!Q140,'Reaction Information'!$C$29,'Reaction Information'!$P$29*10^5,'Reaction Information'!$Q$29)*Calculations!$U140*10^-6 + (1/$S140 - 1)*calculate_domegadP(Calculations!M140,Calculations!N140,Calculations!Q140,'Reaction Information'!$C$29,'Reaction Information'!$P$29*10^5,'Reaction Information'!$Q$29,$D$20,$D$19=3))*41.84)</f>
        <v>#N/A</v>
      </c>
      <c r="BR140" s="8" t="e">
        <f>IF(OR(ISBLANK(Input!$AM$4),$D$27=FALSE),NA(),('Reaction Information'!$J$33/10+'Reaction Information'!$K$33*100/(Calculations!$C$12+Calculations!$M140)+('Reaction Information'!$L$33+'Reaction Information'!$M$33*10000/(Calculations!$C$12+Calculations!$M140))/(Calculations!$O140-Calculations!$C$13)-calculateOmega(Calculations!M140,Calculations!N140,Calculations!Q140,'Reaction Information'!$C$33,'Reaction Information'!$P$33*10^5,'Reaction Information'!$Q$33)*Calculations!$U140*10^-6 + (1/$S140 - 1)*calculate_domegadP(Calculations!M140,Calculations!N140,Calculations!Q140,'Reaction Information'!$C$33,'Reaction Information'!$P$33*10^5,'Reaction Information'!$Q$33,$D$20,$D$19=3))*41.84)</f>
        <v>#N/A</v>
      </c>
      <c r="BS140" s="1">
        <f>Results!AW142</f>
        <v>0</v>
      </c>
      <c r="BT140" s="1">
        <f>Results!AX142</f>
        <v>0</v>
      </c>
      <c r="BU140" s="1">
        <f>Results!AY142</f>
        <v>0</v>
      </c>
      <c r="BV140" s="1">
        <f>Results!AZ142</f>
        <v>0</v>
      </c>
      <c r="BW140" s="1" t="e">
        <f>IF(OR(ISNA('Reaction Information'!$D$38), $N140 = "", $D$27 = FALSE, 'Reaction Information'!$D$38 = ""), NA(), 24.465)</f>
        <v>#N/A</v>
      </c>
      <c r="BX140" s="1" t="e">
        <f>IF(OR(ISNA('Reaction Information'!$D$42), $N140 = "", $D$27 = FALSE, 'Reaction Information'!$D$42 = ""), NA(), 24.465)</f>
        <v>#N/A</v>
      </c>
      <c r="BY140" s="8" t="e">
        <f t="shared" si="41"/>
        <v>#N/A</v>
      </c>
      <c r="BZ140" s="8">
        <f>IF(OR(ISBLANK(Input!$BK$4),$D$27=FALSE),NA(),('Reaction Information'!$J$46/10+'Reaction Information'!$K$46*100/(Calculations!$C$12+Calculations!$M140)+('Reaction Information'!$L$46+'Reaction Information'!$M$46*10000/(Calculations!$C$12+Calculations!$M140))/(Calculations!$O140-Calculations!$C$13)-calculateOmega(Calculations!M140,Calculations!N140,Calculations!Q140,'Reaction Information'!$C$46,'Reaction Information'!$P$46*10^5,'Reaction Information'!$Q$46)*Calculations!$U140*10^-6 + (1/$S140 - 1)*calculate_domegadP(Calculations!M140,Calculations!N140,Calculations!Q140,'Reaction Information'!$C$46,'Reaction Information'!$P$46*10^5,'Reaction Information'!$Q$46,$D$20,$D$19=3))*41.84)</f>
        <v>0</v>
      </c>
      <c r="CA140" s="8">
        <f>IF(OR(ISBLANK(Input!$BN$4),$D$27=FALSE),NA(),('Reaction Information'!$J$50/10+'Reaction Information'!$K$50*100/(Calculations!$C$12+Calculations!$M140)+('Reaction Information'!$L$50+'Reaction Information'!$M$50*10000/(Calculations!$C$12+Calculations!$M140))/(Calculations!$O140-Calculations!$C$13)-calculateOmega(Calculations!M140,Calculations!N140,Calculations!Q140,'Reaction Information'!$C$50,'Reaction Information'!$P$50*10^5,'Reaction Information'!$Q$50)*Calculations!$U140*10^-6 + (1/$S140 - 1)*calculate_domegadP(Calculations!M140,Calculations!N140,Calculations!Q140,'Reaction Information'!$C$50,'Reaction Information'!$P$50*10^5,'Reaction Information'!$Q$50,$D$20,$D$19=3))*41.84)</f>
        <v>30.802161795553971</v>
      </c>
      <c r="CB140" s="8" t="e">
        <f>IF(OR(ISBLANK(Input!$BQ$4),$D$27=FALSE),NA(),('Reaction Information'!$J$54/10+'Reaction Information'!$K$54*100/(Calculations!$C$12+Calculations!$M140)+('Reaction Information'!$L$54+'Reaction Information'!$M$54*10000/(Calculations!$C$12+Calculations!$M140))/(Calculations!$O140-Calculations!$C$13)-calculateOmega(Calculations!M140,Calculations!N140,Calculations!Q140,'Reaction Information'!$C$54,'Reaction Information'!$P$54*10^5,'Reaction Information'!$Q$54)*Calculations!$U140*10^-6 + (1/$S140 - 1)*calculate_domegadP(Calculations!M140,Calculations!N140,Calculations!Q140,'Reaction Information'!$C$54,'Reaction Information'!$P$54*10^5,'Reaction Information'!$Q$54,$D$20,$D$19=3))*41.84)</f>
        <v>#N/A</v>
      </c>
      <c r="CC140" s="8" t="e">
        <f>IF(OR(ISBLANK(Input!$BT$4),$D$27=FALSE),NA(),('Reaction Information'!$J$58/10+'Reaction Information'!$K$58*100/(Calculations!$C$12+Calculations!$M140)+('Reaction Information'!$L$58+'Reaction Information'!$M$58*10000/(Calculations!$C$12+Calculations!$M140))/(Calculations!$O140-Calculations!$C$13)-calculateOmega(Calculations!M140,Calculations!N140,Calculations!Q140,'Reaction Information'!$C$58,'Reaction Information'!$P$58*10^5,'Reaction Information'!$Q$58)*Calculations!$U140*10^-6 + (1/$S140 - 1)*calculate_domegadP(Calculations!M140,Calculations!N140,Calculations!Q140,'Reaction Information'!$C$58,'Reaction Information'!$P$58*10^5,'Reaction Information'!$Q$58,$D$20,$D$19=3))*41.84)</f>
        <v>#N/A</v>
      </c>
      <c r="CD140" s="8" t="e">
        <f>IF(OR(ISBLANK(Input!$BW$4),$D$27=FALSE),NA(),('Reaction Information'!$J$62/10+'Reaction Information'!$K$62*100/(Calculations!$C$12+Calculations!$M140)+('Reaction Information'!$L$62+'Reaction Information'!$M$62*10000/(Calculations!$C$12+Calculations!$M140))/(Calculations!$O140-Calculations!$C$13)-calculateOmega(Calculations!M140,Calculations!N140,Calculations!Q140,'Reaction Information'!$C$62,'Reaction Information'!$P$62*10^5,'Reaction Information'!$Q$62)*Calculations!$U140*10^-6 + (1/$S140 - 1)*calculate_domegadP(Calculations!M140,Calculations!N140,Calculations!Q140,'Reaction Information'!$C$62,'Reaction Information'!$P$62*10^5,'Reaction Information'!$Q$62,$D$20,$D$19=3))*41.84)</f>
        <v>#N/A</v>
      </c>
      <c r="CE140" s="8" t="e">
        <f>IF(OR(ISBLANK(Input!$BZ$4),$D$27=FALSE),NA(),('Reaction Information'!$J$66/10+'Reaction Information'!$K$66*100/(Calculations!$C$12+Calculations!$M140)+('Reaction Information'!$L$66+'Reaction Information'!$M$66*10000/(Calculations!$C$12+Calculations!$M140))/(Calculations!$O140-Calculations!$C$13)-calculateOmega(Calculations!M140,Calculations!N140,Calculations!Q140,'Reaction Information'!$C$66,'Reaction Information'!$P$66*10^5,'Reaction Information'!$Q$66)*Calculations!$U140*10^-6 + (1/$S140 - 1)*calculate_domegadP(Calculations!M140,Calculations!N140,Calculations!Q140,'Reaction Information'!$C$66,'Reaction Information'!$P$66*10^5,'Reaction Information'!$Q$66,$D$20,$D$19=3))*41.84)</f>
        <v>#N/A</v>
      </c>
      <c r="CF140" s="31">
        <f>(BS140*Input!$AO$4+BT140*Input!$AR$4+BU140*Input!$AU$4+BV140*Input!$AX$4+IF(ISNA(BW140),0,BW140*Input!$BA$4)+IF(ISNA(BX140),0,BX140*Input!$BD$4)+IF(ISNA(BY140),0,BY140*Input!$BG$4)+IF(ISNA(BZ140),0,BZ140*Input!$BJ$4)+IF(ISNA(CA140),0,CA140*Input!$BM$4)+IF(ISNA(CB140),0,CB140*Input!$BP$4)+IF(ISNA(CC140),0,CC140*Input!$BS$4)+IF(ISNA(CD140),0,CD140*Input!$BV$4)+IF(ISNA(CE140),0,CE140*Input!$BY$4))-(BF140*Input!$B$4+BG140*Input!$E$4+BH140*Input!$H$4+BI140*Input!$K$4+IF(ISNA(BJ140),0,BJ140*Input!$N$4)+IF(ISNA(BK140),0,BK140*Input!$Q$4)+IF(ISNA(BL140),0,BL140*Input!$T$4)+IF(ISNA(BM140),0,BM140*Input!$W$4)+IF(ISNA(BN140),0,BN140*Input!$Z$4)+IF(ISNA(BO140),0,BO140*Input!$AC$4)+IF(ISNA(BP140),0,BP140*Input!$AF$4)+IF(ISNA(BQ140),0,BQ140*Input!$AI$4)+IF(ISNA(BR140),0,BR140*Input!$AL$4))</f>
        <v>-13.814128967934572</v>
      </c>
      <c r="CG140" s="1">
        <f t="shared" si="50"/>
        <v>1000</v>
      </c>
      <c r="CH140" s="46">
        <f t="shared" si="51"/>
        <v>45000</v>
      </c>
      <c r="CI140" s="1"/>
    </row>
    <row r="141" spans="1:87" x14ac:dyDescent="0.2">
      <c r="A141" s="1"/>
      <c r="B141" s="1"/>
      <c r="C141" s="1"/>
      <c r="D141" s="1"/>
      <c r="E141" s="1"/>
      <c r="F141" s="2">
        <v>136</v>
      </c>
      <c r="G141" s="1" t="str">
        <f>IF(ISBLANK(Input!CB141), "", Input!CB141*1000)</f>
        <v/>
      </c>
      <c r="H141" s="1" t="str">
        <f>IF(ISBLANK(Input!CC141), "", Input!CC141)</f>
        <v/>
      </c>
      <c r="I141" s="1">
        <f>IF(Input!$CF$5 + Input!$CF$6*(FLOOR((Calculations!$F141-1)/(FLOOR((Input!$CF$12-Input!$CF$10)/Input!$CF$11,1)+1),1)) &gt; Input!$CF$7, "", (Input!$CF$5 + Input!$CF$6*(FLOOR((Calculations!$F141-1)/(FLOOR((Input!$CF$12-Input!$CF$10)/Input!$CF$11,1)+1),1)))*1000)</f>
        <v>50000</v>
      </c>
      <c r="J141" s="1">
        <f>IF(Calculations!I141 = "", "", Input!$CF$10 + Input!$CF$11*(Calculations!$F141-1) - (FLOOR((Input!$CF$12-Input!$CF$10)/Input!$CF$11,1)+1)*Input!$CF$11*FLOOR((Calculations!$F141-1)/(FLOOR((Input!$CF$12-Input!$CF$10)/Input!$CF$11,1)+1),1))</f>
        <v>300</v>
      </c>
      <c r="K141" s="8" t="str">
        <f t="shared" si="52"/>
        <v/>
      </c>
      <c r="L141" s="117" t="str">
        <f>IF(OR(Input!$CJ$5 + Input!$CJ$6*(Calculations!F141-1) &gt; Input!$CJ$7, Input!$CJ$5 + Input!$CJ$6*(Calculations!F141-1) &gt; 350), "", Input!$CJ$5 + Input!$CJ$6*(Calculations!F141-1))</f>
        <v/>
      </c>
      <c r="M141" s="1">
        <f t="shared" si="42"/>
        <v>50000</v>
      </c>
      <c r="N141" s="1">
        <f t="shared" si="43"/>
        <v>300</v>
      </c>
      <c r="O141" s="1">
        <f t="shared" si="38"/>
        <v>573.15</v>
      </c>
      <c r="P141" s="1" t="e">
        <f>IF(OR($D$20=3,AND($D$21=TRUE,M141&lt;1000)),INDEX('Water Density'!$C$6:$CX$120,MATCH(Calculations!N141,'Water Density'!$B$6:$B$120),MATCH(Calculations!M141/1000,'Water Density'!$C$5:$CX$5)),NA())</f>
        <v>#N/A</v>
      </c>
      <c r="Q141" s="182">
        <f>IF(OR($D$20=3,AND($D$21=TRUE,M141&lt;1000)), IF(P141&lt;&gt;0,P141,NA()), calculateDensity(M141,N141,$D$20,0.01,$D$19 = 3))</f>
        <v>1.4733589528197051</v>
      </c>
      <c r="R141" s="1" t="e">
        <f>IF($D$22=5,INDEX('Dielectric Constant'!$C$6:$CX$120,MATCH(Calculations!N141,'Dielectric Constant'!$B$6:$B$120),MATCH(Calculations!M141/1000,'Dielectric Constant'!$C$5:$CX$5)),NA())</f>
        <v>#N/A</v>
      </c>
      <c r="S141" s="58">
        <f>IF($D$22=5, IF(R141&lt;&gt;0,R141,NA()), IF(AND($D$23,M141&lt;=5000,$D$19 &lt;&gt; 3),calculateEpsilon(Q141,N141,1,FALSE),calculateEpsilon(Q141,N141,$D$22,$D$19 = 3)))</f>
        <v>60.348461415985632</v>
      </c>
      <c r="T141" s="1" t="e">
        <f>IF($D$24=3,INDEX('Water Free Energy'!$C$6:$CX$120,MATCH(Calculations!N141,'Water Free Energy'!$B$6:$B$120),MATCH(Calculations!M141/1000,'Water Free Energy'!$C$5:$CX$5)),NA())</f>
        <v>#N/A</v>
      </c>
      <c r="U141" s="179">
        <f>IF($D$27,calculateQ(M141,N141,Q141,$D$20,$D$22,$D$19=3)*10^6,NA())</f>
        <v>7.6223114683187362E-2</v>
      </c>
      <c r="V141"/>
      <c r="W141" s="2">
        <f t="shared" si="44"/>
        <v>50000</v>
      </c>
      <c r="X141" s="1">
        <f t="shared" si="45"/>
        <v>300</v>
      </c>
      <c r="Y141" s="1">
        <f>Results!F143</f>
        <v>0</v>
      </c>
      <c r="Z141" s="1">
        <f>Results!G143</f>
        <v>0</v>
      </c>
      <c r="AA141" s="1">
        <f>Results!H143</f>
        <v>0</v>
      </c>
      <c r="AB141" s="1">
        <f>Results!I143</f>
        <v>0</v>
      </c>
      <c r="AC141" s="1" t="e">
        <f>IF(ISBLANK(Input!$O$4),NA(),'Reaction Information'!$E$5-'Reaction Information'!$G$5*(Calculations!$O141-Calculations!$C$8)+'Reaction Information'!$I$5*(Calculations!$O141-Calculations!$C$8-Calculations!$O141*LN(Calculations!$O141/Calculations!$C$8))+'Reaction Information'!$J$5*0.001/2*(2*Calculations!$O141*Calculations!$C$8-Calculations!$O141^2-Calculations!$C$8^2) + 'Reaction Information'!$K$5*100000*(Calculations!$O141^2 + Calculations!$C$8^2 - 2*Calculations!$O141*Calculations!$C$8)/(2*Calculations!$O141*Calculations!$C$8^2))</f>
        <v>#N/A</v>
      </c>
      <c r="AD141" s="8" t="e">
        <f>IF(ISBLANK(Input!$R$4),NA(),'Reaction Information'!$E$9-'Reaction Information'!$G$9*(Calculations!$O141-Calculations!$C$8)+'Reaction Information'!$I$9*(Calculations!$O141-Calculations!$C$8-Calculations!$O141*LN(Calculations!$O141/Calculations!$C$8))+'Reaction Information'!$J$9*0.001/2*(2*Calculations!$O141*Calculations!$C$8-Calculations!$O141^2-Calculations!$C$8^2) + 'Reaction Information'!$K$9*100000*(Calculations!$O141^2 + Calculations!$C$8^2 - 2*Calculations!$O141*Calculations!$C$8)/(2*Calculations!$O141*Calculations!$C$8^2))</f>
        <v>#N/A</v>
      </c>
      <c r="AE141" s="8">
        <f>IF(AE$5="H2O",IF($D$24=3,IF(T141=0,NA(),T141),calculateGibbsOfWater(M141,N141,$D$24,$D$20,$D$19=3)),NA())</f>
        <v>-45467.551963909835</v>
      </c>
      <c r="AF141" s="8">
        <f>IF(ISBLANK(Input!$X$4),NA(),'Reaction Information'!$E$13-'Reaction Information'!$G$13*(Calculations!O141-Calculations!$C$8)-'Reaction Information'!$N$13*(Calculations!O141*LN(Calculations!O141/Calculations!$C$8)-Calculations!O141+Calculations!$C$8)-'Reaction Information'!$O$13*10^4*(((1/(Calculations!O141-Calculations!$C$13))-(1/(Calculations!$C$8-Calculations!$C$13)))*((Calculations!$C$13-Calculations!O141)/(Calculations!$C$13))-(Calculations!O141/(Calculations!$C$13*Calculations!$C$13))*LN((Calculations!$C$8*(Calculations!O141-Calculations!$C$13))/(Calculations!O141*(Calculations!$C$8-Calculations!$C$13))))+'Reaction Information'!$J$13*10^-1*(Calculations!M141-Calculations!$C$9)+'Reaction Information'!$K$13*10^2*LN((Calculations!$C$12+Calculations!M141)/(Calculations!$C$12+Calculations!$C$9))+(1/(Calculations!O141-Calculations!$C$13))*('Reaction Information'!$L$13*(Calculations!M141-Calculations!$C$9)+'Reaction Information'!$M$13*10^4*LN((Calculations!$C$12+Calculations!M141)/(Calculations!$C$12+Calculations!$C$9)))+calculateOmega(Calculations!M141,Calculations!N141,Calculations!Q141,'Reaction Information'!$C$13,'Reaction Information'!$P$13*10^5,'Reaction Information'!$Q$13)*((1/Calculations!S141)-1)-'Reaction Information'!$P$13*10^5*((1/Calculations!$C$10)-1)+'Reaction Information'!$P$13*10^5*Calculations!$C$14*(Calculations!O141-Calculations!$C$8))</f>
        <v>-66284.758151002781</v>
      </c>
      <c r="AG141" s="8" t="e">
        <f>IF(ISBLANK(Input!$AA$4),NA(),'Reaction Information'!$E$17-'Reaction Information'!$G$17*(Calculations!$O141-Calculations!$C$8)-'Reaction Information'!$N$17*(Calculations!$O141*LN(Calculations!$O141/Calculations!$C$8)-Calculations!$O141+Calculations!$C$8)-'Reaction Information'!$O$17*10^4*(((1/(Calculations!$O141-Calculations!$C$13))-(1/(Calculations!$C$8-Calculations!$C$13)))*((Calculations!$C$13-Calculations!$O141)/(Calculations!$C$13))-(Calculations!$O141/(Calculations!$C$13*Calculations!$C$13))*LN((Calculations!$C$8*(Calculations!$O141-Calculations!$C$13))/(Calculations!$O141*(Calculations!$C$8-Calculations!$C$13))))+'Reaction Information'!$J$17*10^-1*(Calculations!$M141-Calculations!$C$9)+'Reaction Information'!$K$17*10^2*LN((Calculations!$C$12+Calculations!$M141)/(Calculations!$C$12+Calculations!$C$9))+(1/(Calculations!$O141-Calculations!$C$13))*('Reaction Information'!$L$17*(Calculations!$M141-Calculations!$C$9)+'Reaction Information'!$M$17*10^4*LN((Calculations!$C$12+Calculations!$M141)/(Calculations!$C$12+Calculations!$C$9)))+calculateOmega(Calculations!M141,Calculations!N141,Calculations!Q141,'Reaction Information'!$C$17,'Reaction Information'!$P$17*10^5,'Reaction Information'!$Q$17)*((1/Calculations!$S141)-1)-'Reaction Information'!$P$17*10^5*((1/Calculations!$C$10)-1)+'Reaction Information'!$P$17*10^5*Calculations!$C$14*(Calculations!$O141-Calculations!$C$8))</f>
        <v>#N/A</v>
      </c>
      <c r="AH141" s="8" t="e">
        <f>IF(ISBLANK(Input!$AD$4),NA(),'Reaction Information'!$E$21-'Reaction Information'!$G$21*(Calculations!$O141-Calculations!$C$8)-'Reaction Information'!$N$21*(Calculations!$O141*LN(Calculations!$O141/Calculations!$C$8)-Calculations!$O141+Calculations!$C$8)-'Reaction Information'!$O$21*10^4*(((1/(Calculations!$O141-Calculations!$C$13))-(1/(Calculations!$C$8-Calculations!$C$13)))*((Calculations!$C$13-Calculations!$O141)/(Calculations!$C$13))-(Calculations!$O141/(Calculations!$C$13*Calculations!$C$13))*LN((Calculations!$C$8*(Calculations!$O141-Calculations!$C$13))/(Calculations!$O141*(Calculations!$C$8-Calculations!$C$13))))+'Reaction Information'!$J$21*10^-1*(Calculations!$M141-Calculations!$C$9)+'Reaction Information'!$K$21*10^2*LN((Calculations!$C$12+Calculations!$M141)/(Calculations!$C$12+Calculations!$C$9))+(1/(Calculations!$O141-Calculations!$C$13))*('Reaction Information'!$L$21*(Calculations!$M141-Calculations!$C$9)+'Reaction Information'!$M$21*10^4*LN((Calculations!$C$12+Calculations!$M141)/(Calculations!$C$12+Calculations!$C$9)))+calculateOmega(Calculations!M141,Calculations!N141,Calculations!Q141,'Reaction Information'!$C$21,'Reaction Information'!$P$21*10^5,'Reaction Information'!$Q$21)*((1/Calculations!$S141)-1)-'Reaction Information'!$P$21*10^5*((1/Calculations!$C$10)-1)+'Reaction Information'!$P$21*10^5*Calculations!$C$14*(Calculations!$O141-Calculations!$C$8))</f>
        <v>#N/A</v>
      </c>
      <c r="AI141" s="8" t="e">
        <f>IF(ISBLANK(Input!$AG$4),NA(),'Reaction Information'!$E$25-'Reaction Information'!$G$25*(Calculations!$O141-Calculations!$C$8)-'Reaction Information'!$N$25*(Calculations!$O141*LN(Calculations!$O141/Calculations!$C$8)-Calculations!$O141+Calculations!$C$8)-'Reaction Information'!$O$25*10^4*(((1/(Calculations!$O141-Calculations!$C$13))-(1/(Calculations!$C$8-Calculations!$C$13)))*((Calculations!$C$13-Calculations!$O141)/(Calculations!$C$13))-(Calculations!$O141/(Calculations!$C$13*Calculations!$C$13))*LN((Calculations!$C$8*(Calculations!$O141-Calculations!$C$13))/(Calculations!$O141*(Calculations!$C$8-Calculations!$C$13))))+'Reaction Information'!$J$25*10^-1*(Calculations!$M141-Calculations!$C$9)+'Reaction Information'!$K$25*10^2*LN((Calculations!$C$12+Calculations!$M141)/(Calculations!$C$12+Calculations!$C$9))+(1/(Calculations!$O141-Calculations!$C$13))*('Reaction Information'!$L$25*(Calculations!$M141-Calculations!$C$9)+'Reaction Information'!$M$25*10^4*LN((Calculations!$C$12+Calculations!$M141)/(Calculations!$C$12+Calculations!$C$9)))+calculateOmega(Calculations!M141,Calculations!N141,Calculations!Q141,'Reaction Information'!$C$25,'Reaction Information'!$P$25*10^5,'Reaction Information'!$Q$25)*((1/Calculations!$S141)-1)-'Reaction Information'!$P$25*10^5*((1/Calculations!$C$10)-1)+'Reaction Information'!$P$25*10^5*Calculations!$C$14*(Calculations!$O141-Calculations!$C$8))</f>
        <v>#N/A</v>
      </c>
      <c r="AJ141" s="8" t="e">
        <f>IF(ISBLANK(Input!$AJ$4),NA(),'Reaction Information'!$E$29-'Reaction Information'!$G$29*(Calculations!$O141-Calculations!$C$8)-'Reaction Information'!$N$29*(Calculations!$O141*LN(Calculations!$O141/Calculations!$C$8)-Calculations!$O141+Calculations!$C$8)-'Reaction Information'!$O$29*10^4*(((1/(Calculations!$O141-Calculations!$C$13))-(1/(Calculations!$C$8-Calculations!$C$13)))*((Calculations!$C$13-Calculations!$O141)/(Calculations!$C$13))-(Calculations!$O141/(Calculations!$C$13*Calculations!$C$13))*LN((Calculations!$C$8*(Calculations!$O141-Calculations!$C$13))/(Calculations!$O141*(Calculations!$C$8-Calculations!$C$13))))+'Reaction Information'!$J$29*10^-1*(Calculations!$M141-Calculations!$C$9)+'Reaction Information'!$K$29*10^2*LN((Calculations!$C$12+Calculations!$M141)/(Calculations!$C$12+Calculations!$C$9))+(1/(Calculations!$O141-Calculations!$C$13))*('Reaction Information'!$L$29*(Calculations!$M141-Calculations!$C$9)+'Reaction Information'!$M$29*10^4*LN((Calculations!$C$12+Calculations!$M141)/(Calculations!$C$12+Calculations!$C$9)))+calculateOmega(Calculations!M141,Calculations!N141,Calculations!Q141,'Reaction Information'!$C$29,'Reaction Information'!$P$29*10^5,'Reaction Information'!$Q$29)*((1/Calculations!$S141)-1)-'Reaction Information'!$P$29*10^5*((1/Calculations!$C$10)-1)+'Reaction Information'!$P$29*10^5*Calculations!$C$14*(Calculations!$O141-Calculations!$C$8))</f>
        <v>#N/A</v>
      </c>
      <c r="AK141" s="8" t="e">
        <f>IF(ISBLANK(Input!$AM$4),NA(),'Reaction Information'!$E$33-'Reaction Information'!$G$33*(Calculations!$O141-Calculations!$C$8)-'Reaction Information'!$N$33*(Calculations!$O141*LN(Calculations!$O141/Calculations!$C$8)-Calculations!$O141+Calculations!$C$8)-'Reaction Information'!$O$33*10^4*(((1/(Calculations!$O141-Calculations!$C$13))-(1/(Calculations!$C$8-Calculations!$C$13)))*((Calculations!$C$13-Calculations!$O141)/(Calculations!$C$13))-(Calculations!$O141/(Calculations!$C$13*Calculations!$C$13))*LN((Calculations!$C$8*(Calculations!$O141-Calculations!$C$13))/(Calculations!$O141*(Calculations!$C$8-Calculations!$C$13))))+'Reaction Information'!$J$33*10^-1*(Calculations!$M141-Calculations!$C$9)+'Reaction Information'!$K$33*10^2*LN((Calculations!$C$12+Calculations!$M141)/(Calculations!$C$12+Calculations!$C$9))+(1/(Calculations!$O141-Calculations!$C$13))*('Reaction Information'!$L$33*(Calculations!$M141-Calculations!$C$9)+'Reaction Information'!$M$33*10^4*LN((Calculations!$C$12+Calculations!$M141)/(Calculations!$C$12+Calculations!$C$9)))+calculateOmega(Calculations!M141,Calculations!N141,Calculations!Q141,'Reaction Information'!$C$33,'Reaction Information'!$P$33*10^5,'Reaction Information'!$Q$33)*((1/Calculations!$S141)-1)-'Reaction Information'!$P$33*10^5*((1/Calculations!$C$10)-1)+'Reaction Information'!$P$33*10^5*Calculations!$C$14*(Calculations!$O141-Calculations!$C$8))</f>
        <v>#N/A</v>
      </c>
      <c r="AL141" s="1">
        <f>Results!S143</f>
        <v>0</v>
      </c>
      <c r="AM141" s="1">
        <f>Results!T143</f>
        <v>0</v>
      </c>
      <c r="AN141" s="1">
        <f>Results!U143</f>
        <v>0</v>
      </c>
      <c r="AO141" s="1">
        <f>Results!V143</f>
        <v>0</v>
      </c>
      <c r="AP141" s="8" t="e">
        <f>IF(ISBLANK(Input!$BB$4),NA(),'Reaction Information'!$E$38-'Reaction Information'!$G$38*(Calculations!$O141-Calculations!$C$8)+'Reaction Information'!$I$38*(Calculations!$O141-Calculations!$C$8-Calculations!$O141*LN(Calculations!$O141/Calculations!$C$8))+'Reaction Information'!$J$38*0.001/2*(2*Calculations!$O141*Calculations!$C$8-Calculations!$O141^2-Calculations!$C$8^2) + 'Reaction Information'!$K$38*100000*(Calculations!$O141^2 + Calculations!$C$8^2 - 2*Calculations!$O141*Calculations!$C$8)/(2*Calculations!$O141*Calculations!$C$8^2))</f>
        <v>#N/A</v>
      </c>
      <c r="AQ141" s="8" t="e">
        <f>IF(ISBLANK(Input!$BE$4),NA(),'Reaction Information'!$E$42-'Reaction Information'!$G$42*(Calculations!$O141-Calculations!$C$8)+'Reaction Information'!$I$42*(Calculations!$O141-Calculations!$C$8-Calculations!$O141*LN(Calculations!$O141/Calculations!$C$8))+'Reaction Information'!$J$42*0.001/2*(2*Calculations!$O141*Calculations!$C$8-Calculations!$O141^2-Calculations!$C$8^2) + 'Reaction Information'!$K$42*100000*(Calculations!$O141^2 + Calculations!$C$8^2 - 2*Calculations!$O141*Calculations!$C$8)/(2*Calculations!$O141*Calculations!$C$8^2))</f>
        <v>#N/A</v>
      </c>
      <c r="AR141" s="8" t="e">
        <f>IF(AR$5="H2O", IF($D$24=3,IF(T141=0,NA(),T141),calculateGibbsOfWater(M141,N141,$D$24,$D$20,$D$19=3)),NA())</f>
        <v>#N/A</v>
      </c>
      <c r="AS141" s="8">
        <f>IF(ISBLANK(Input!$BK$4),NA(),'Reaction Information'!$E$46-'Reaction Information'!$G$46*(Calculations!O141-Calculations!$C$8)-'Reaction Information'!$N$46*(Calculations!O141*LN(Calculations!O141/Calculations!$C$8)-Calculations!O141+Calculations!$C$8)-'Reaction Information'!$O$46*10^4*(((1/(Calculations!O141-Calculations!$C$13))-(1/(Calculations!$C$8-Calculations!$C$13)))*((Calculations!$C$13-Calculations!O141)/(Calculations!$C$13))-(Calculations!O141/(Calculations!$C$13*Calculations!$C$13))*LN((Calculations!$C$8*(Calculations!O141-Calculations!$C$13))/(Calculations!O141*(Calculations!$C$8-Calculations!$C$13))))+'Reaction Information'!$J$46*10^-1*(Calculations!$M141-Calculations!$C$9)+'Reaction Information'!$K$46*10^2*LN((Calculations!$C$12+Calculations!$M141)/(Calculations!$C$12+Calculations!$C$9))+(1/(Calculations!O141-Calculations!$C$13))*('Reaction Information'!$L$46*(Calculations!$M141-Calculations!$C$9)+'Reaction Information'!$M$46*10^4*LN((Calculations!$C$12+Calculations!$M141)/(Calculations!$C$12+Calculations!$C$9)))+calculateOmega(Calculations!M141,Calculations!N141,Calculations!Q141,'Reaction Information'!$C$46,'Reaction Information'!$P$46*10^5,'Reaction Information'!$Q$46)*((1/Calculations!S141)-1)-'Reaction Information'!$P$46*10^5*((1/Calculations!$C$10)-1)+'Reaction Information'!$P$46*10^5*Calculations!$C$14*(Calculations!O141-Calculations!$C$8))</f>
        <v>0</v>
      </c>
      <c r="AT141" s="8">
        <f>IF(ISBLANK(Input!$BN$4),NA(),'Reaction Information'!$E$50-'Reaction Information'!$G$50*(Calculations!O141-Calculations!$C$8)-'Reaction Information'!$N$50*(Calculations!O141*LN(Calculations!O141/Calculations!$C$8)-Calculations!O141+Calculations!$C$8)-'Reaction Information'!$O$50*10^4*(((1/(Calculations!O141-Calculations!$C$13))-(1/(Calculations!$C$8-Calculations!$C$13)))*((Calculations!$C$13-Calculations!O141)/(Calculations!$C$13))-(Calculations!O141/(Calculations!$C$13*Calculations!$C$13))*LN((Calculations!$C$8*(Calculations!O141-Calculations!$C$13))/(Calculations!O141*(Calculations!$C$8-Calculations!$C$13))))+'Reaction Information'!$J$50*10^-1*(Calculations!$M141-Calculations!$C$9)+'Reaction Information'!$K$50*10^2*LN((Calculations!$C$12+Calculations!$M141)/(Calculations!$C$12+Calculations!$C$9))+(1/(Calculations!O141-Calculations!$C$13))*('Reaction Information'!$L$50*(Calculations!$M141-Calculations!$C$9)+'Reaction Information'!$M$50*10^4*LN((Calculations!$C$12+Calculations!$M141)/(Calculations!$C$12+Calculations!$C$9)))+calculateOmega(Calculations!M141,Calculations!N141,Calculations!Q141,'Reaction Information'!$C$50,'Reaction Information'!$P$50*10^5,'Reaction Information'!$Q$50)*((1/Calculations!S141)-1)-'Reaction Information'!$P$50*10^5*((1/Calculations!$C$10)-1)+'Reaction Information'!$P$50*10^5*Calculations!$C$14*(Calculations!O141-Calculations!$C$8))</f>
        <v>-110764.61588755051</v>
      </c>
      <c r="AU141" s="8" t="e">
        <f>IF(ISBLANK(Input!$BQ$4),NA(),'Reaction Information'!$E$54-'Reaction Information'!$G$54*(Calculations!$O141-Calculations!$C$8)-'Reaction Information'!$N$54*(Calculations!$O141*LN(Calculations!$O141/Calculations!$C$8)-Calculations!$O141+Calculations!$C$8)-'Reaction Information'!$O$54*10^4*(((1/(Calculations!$O141-Calculations!$C$13))-(1/(Calculations!$C$8-Calculations!$C$13)))*((Calculations!$C$13-Calculations!$O141)/(Calculations!$C$13))-(Calculations!$O141/(Calculations!$C$13*Calculations!$C$13))*LN((Calculations!$C$8*(Calculations!$O141-Calculations!$C$13))/(Calculations!$O141*(Calculations!$C$8-Calculations!$C$13))))+'Reaction Information'!$J$54*10^-1*(Calculations!$M141-Calculations!$C$9)+'Reaction Information'!$K$54*10^2*LN((Calculations!$C$12+Calculations!$M141)/(Calculations!$C$12+Calculations!$C$9))+(1/(Calculations!$O141-Calculations!$C$13))*('Reaction Information'!$L$54*(Calculations!$M141-Calculations!$C$9)+'Reaction Information'!$M$54*10^4*LN((Calculations!$C$12+Calculations!$M141)/(Calculations!$C$12+Calculations!$C$9)))+calculateOmega(Calculations!M141,Calculations!N141,Calculations!Q141,'Reaction Information'!$C$54,'Reaction Information'!$P$54*10^5,'Reaction Information'!$Q$54)*((1/Calculations!$S141)-1)-'Reaction Information'!$P$54*10^5*((1/Calculations!$C$10)-1)+'Reaction Information'!$P$54*10^5*Calculations!$C$14*(Calculations!$O141-Calculations!$C$8))</f>
        <v>#N/A</v>
      </c>
      <c r="AV141" s="8" t="e">
        <f>IF(ISBLANK(Input!$BT$4),NA(),'Reaction Information'!$E$58-'Reaction Information'!$G$58*(Calculations!$O141-Calculations!$C$8)-'Reaction Information'!$N$58*(Calculations!$O141*LN(Calculations!$O141/Calculations!$C$8)-Calculations!$O141+Calculations!$C$8)-'Reaction Information'!$O$58*10^4*(((1/(Calculations!$O141-Calculations!$C$13))-(1/(Calculations!$C$8-Calculations!$C$13)))*((Calculations!$C$13-Calculations!$O141)/(Calculations!$C$13))-(Calculations!$O141/(Calculations!$C$13*Calculations!$C$13))*LN((Calculations!$C$8*(Calculations!$O141-Calculations!$C$13))/(Calculations!$O141*(Calculations!$C$8-Calculations!$C$13))))+'Reaction Information'!$J$58*10^-1*(Calculations!$M141-Calculations!$C$9)+'Reaction Information'!$K$58*10^2*LN((Calculations!$C$12+Calculations!$M141)/(Calculations!$C$12+Calculations!$C$9))+(1/(Calculations!$O141-Calculations!$C$13))*('Reaction Information'!$L$58*(Calculations!$M141-Calculations!$C$9)+'Reaction Information'!$M$58*10^4*LN((Calculations!$C$12+Calculations!$M141)/(Calculations!$C$12+Calculations!$C$9)))+calculateOmega(Calculations!M141,Calculations!N141,Calculations!Q141,'Reaction Information'!$C$58,'Reaction Information'!$P$58*10^5,'Reaction Information'!$Q$58)*((1/Calculations!$S141)-1)-'Reaction Information'!$P$58*10^5*((1/Calculations!$C$10)-1)+'Reaction Information'!$P$58*10^5*Calculations!$C$14*(Calculations!$O141-Calculations!$C$8))</f>
        <v>#N/A</v>
      </c>
      <c r="AW141" s="8" t="e">
        <f>IF(ISBLANK(Input!$BW$4),NA(),'Reaction Information'!$E$62-'Reaction Information'!$G$62*(Calculations!$O141-Calculations!$C$8)-'Reaction Information'!$N$62*(Calculations!$O141*LN(Calculations!$O141/Calculations!$C$8)-Calculations!$O141+Calculations!$C$8)-'Reaction Information'!$O$62*10^4*(((1/(Calculations!$O141-Calculations!$C$13))-(1/(Calculations!$C$8-Calculations!$C$13)))*((Calculations!$C$13-Calculations!$O141)/(Calculations!$C$13))-(Calculations!$O141/(Calculations!$C$13*Calculations!$C$13))*LN((Calculations!$C$8*(Calculations!$O141-Calculations!$C$13))/(Calculations!$O141*(Calculations!$C$8-Calculations!$C$13))))+'Reaction Information'!$J$62*10^-1*(Calculations!$M141-Calculations!$C$9)+'Reaction Information'!$K$62*10^2*LN((Calculations!$C$12+Calculations!$M141)/(Calculations!$C$12+Calculations!$C$9))+(1/(Calculations!$O141-Calculations!$C$13))*('Reaction Information'!$L$62*(Calculations!$M141-Calculations!$C$9)+'Reaction Information'!$M$62*10^4*LN((Calculations!$C$12+Calculations!$M141)/(Calculations!$C$12+Calculations!$C$9)))+calculateOmega(Calculations!M141,Calculations!N141,Calculations!Q141,'Reaction Information'!$C$62,'Reaction Information'!$P$62*10^5,'Reaction Information'!$Q$62)*((1/Calculations!$S141)-1)-'Reaction Information'!$P$62*10^5*((1/Calculations!$C$10)-1)+'Reaction Information'!$P$62*10^5*Calculations!$C$14*(Calculations!$O141-Calculations!$C$8))</f>
        <v>#N/A</v>
      </c>
      <c r="AX141" s="8" t="e">
        <f>IF(ISBLANK(Input!$BZ$4),NA(),'Reaction Information'!$E$66-'Reaction Information'!$G$66*(Calculations!$O141-Calculations!$C$8)-'Reaction Information'!$N$66*(Calculations!$O141*LN(Calculations!$O141/Calculations!$C$8)-Calculations!$O141+Calculations!$C$8)-'Reaction Information'!$O$66*10^4*(((1/(Calculations!$O141-Calculations!$C$13))-(1/(Calculations!$C$8-Calculations!$C$13)))*((Calculations!$C$13-Calculations!$O141)/(Calculations!$C$13))-(Calculations!$O141/(Calculations!$C$13*Calculations!$C$13))*LN((Calculations!$C$8*(Calculations!$O141-Calculations!$C$13))/(Calculations!$O141*(Calculations!$C$8-Calculations!$C$13))))+'Reaction Information'!$J$66*10^-1*(Calculations!$M141-Calculations!$C$9)+'Reaction Information'!$K$66*10^2*LN((Calculations!$C$12+Calculations!$M141)/(Calculations!$C$12+Calculations!$C$9))+(1/(Calculations!$O141-Calculations!$C$13))*('Reaction Information'!$L$66*(Calculations!$M141-Calculations!$C$9)+'Reaction Information'!$M$66*10^4*LN((Calculations!$C$12+Calculations!$M141)/(Calculations!$C$12+Calculations!$C$9)))+calculateOmega(Calculations!M141,Calculations!N141,Calculations!Q141,'Reaction Information'!$C$66,'Reaction Information'!$P$66*10^5,'Reaction Information'!$Q$66)*((1/Calculations!$S141)-1)-'Reaction Information'!$P$66*10^5*((1/Calculations!$C$10)-1)+'Reaction Information'!$P$66*10^5*Calculations!$C$14*(Calculations!$O141-Calculations!$C$8))</f>
        <v>#N/A</v>
      </c>
      <c r="AY141" s="31">
        <f>(AL141*Input!$AO$4+AM141*Input!$AR$4+AN141*Input!$AU$4+AO141*Input!$AX$4+IF(ISNA(AP141),0,AP141*Input!$BA$4)+IF(ISNA(AQ141),0,AQ141*Input!$BD$4)+IF(ISNA(AR141),0,AR141*Input!$BG$4)+IF(ISNA(AS141),0,AS141*Input!$BJ$4)+IF(ISNA(AT141),0,AT141*Input!$BM$4)+IF(ISNA(AU141),0,AU141*Input!$BP$4)+IF(ISNA(AV141),0,AV141*Input!$BS$4)+IF(ISNA(AW141),0,AW141*Input!$BV$4)+IF(ISNA(AX141),0,AX141*Input!$BY$4))-(Y141*Input!$B$4+Z141*Input!$E$4+AA141*Input!$H$4+AB141*Input!$K$4+IF(ISNA(AC141),0,AC141*Input!$N$4)+IF(ISNA(AD141),0,AD141*Input!$Q$4)+IF(ISNA(AE141),0,AE141*Input!$T$4)+IF(ISNA(AF141),0,AF141*Input!$W$4)+IF(ISNA(AG141),0,AG141*Input!$Z$4)+IF(ISNA(AH141),0,AH141*Input!$AC$4)+IF(ISNA(AI141),0,AI141*Input!$AF$4)+IF(ISNA(AJ141),0,AJ141*Input!$AI$4)+IF(ISNA(AK141),0,AK141*Input!$AL$4))</f>
        <v>987.69422736210981</v>
      </c>
      <c r="AZ141" s="42">
        <f t="shared" si="39"/>
        <v>-0.37686524867464188</v>
      </c>
      <c r="BA141" s="1">
        <f t="shared" si="46"/>
        <v>300</v>
      </c>
      <c r="BB141" s="46">
        <f t="shared" si="47"/>
        <v>50000</v>
      </c>
      <c r="BC141" s="1"/>
      <c r="BD141" s="2">
        <f t="shared" si="48"/>
        <v>50000</v>
      </c>
      <c r="BE141" s="46">
        <f t="shared" si="49"/>
        <v>300</v>
      </c>
      <c r="BF141" s="1">
        <f>Results!AJ143</f>
        <v>0</v>
      </c>
      <c r="BG141" s="1">
        <f>Results!AK143</f>
        <v>0</v>
      </c>
      <c r="BH141" s="1">
        <f>Results!AL143</f>
        <v>0</v>
      </c>
      <c r="BI141" s="1">
        <f>Results!AM143</f>
        <v>0</v>
      </c>
      <c r="BJ141" s="1" t="e">
        <f>IF(OR(ISNA('Reaction Information'!$D$5), $N141 = "", $D$27 = FALSE, 'Reaction Information'!$D$5 = ""), NA(), 24.465)</f>
        <v>#N/A</v>
      </c>
      <c r="BK141" s="1" t="e">
        <f>IF(OR(ISNA('Reaction Information'!$D$9), $N141 = "", $D$27 = FALSE, 'Reaction Information'!$D$9 = ""), NA(), 24.465)</f>
        <v>#N/A</v>
      </c>
      <c r="BL141" s="8">
        <f t="shared" si="40"/>
        <v>12.227352991966059</v>
      </c>
      <c r="BM141" s="8">
        <f>IF(OR(ISBLANK(Input!$X$4),$D$27=FALSE),NA(),('Reaction Information'!$J$13/10+'Reaction Information'!$K$13*100/(Calculations!$C$12+Calculations!$M141)+('Reaction Information'!$L$13+'Reaction Information'!$M$13*10^4/(Calculations!$C$12+Calculations!$M141))/(Calculations!$O141-Calculations!$C$13) -calculateOmega(Calculations!$M141,Calculations!$N141,Calculations!$Q141,'Reaction Information'!$C$13,'Reaction Information'!$P$13*10^5,'Reaction Information'!$Q$13)*Calculations!$U141*10^-6 + (1/$S141 - 1)*calculate_domegadP(Calculations!$M141,Calculations!$N141,Calculations!$Q141,'Reaction Information'!$C$13,'Reaction Information'!$P$13*10^5,'Reaction Information'!$Q$13,$D$20,$D$19=3))*41.84)</f>
        <v>29.85657898708055</v>
      </c>
      <c r="BN141" s="8" t="e">
        <f>IF(OR(ISBLANK(Input!$AA$4),$D$27=FALSE),NA(),('Reaction Information'!$J$17/10+'Reaction Information'!$K$17*100/(Calculations!$C$12+Calculations!$M141)+('Reaction Information'!$L$17+'Reaction Information'!$M$17*10000/(Calculations!$C$12+Calculations!$M141))/(Calculations!$O141-Calculations!$C$13)-calculateOmega(Calculations!M141,Calculations!N141,Calculations!Q141,'Reaction Information'!$C$17,'Reaction Information'!$P$17*10^5,'Reaction Information'!$Q$17)*Calculations!$U141*10^-6 + (1/$S141 - 1)*calculate_domegadP(Calculations!M141,Calculations!N141,Calculations!Q141,'Reaction Information'!$C$17,'Reaction Information'!$P$17*10^5,'Reaction Information'!$Q$17,$D$20,$D$19=3))*41.84)</f>
        <v>#N/A</v>
      </c>
      <c r="BO141" s="8" t="e">
        <f>IF(OR(ISBLANK(Input!$AD$4),$D$27=FALSE),NA(),('Reaction Information'!$J$21/10+'Reaction Information'!$K$21*100/(Calculations!$C$12+Calculations!$M141)+('Reaction Information'!$L$21+'Reaction Information'!$M$21*10000/(Calculations!$C$12+Calculations!$M141))/(Calculations!$O141-Calculations!$C$13)-calculateOmega(Calculations!M141,Calculations!N141,Calculations!Q141,'Reaction Information'!$C$21,'Reaction Information'!$P$21*10^5,'Reaction Information'!$Q$21)*Calculations!$U141*10^-6 + (1/$S141 - 1)*calculate_domegadP(Calculations!M141,Calculations!N141,Calculations!Q141,'Reaction Information'!$C$21,'Reaction Information'!$P$21*10^5,'Reaction Information'!$Q$21,$D$20,$D$19=3))*41.84)</f>
        <v>#N/A</v>
      </c>
      <c r="BP141" s="8" t="e">
        <f>IF(OR(ISBLANK(Input!$AG$4),$D$27=FALSE),NA(),('Reaction Information'!$J$25/10+'Reaction Information'!$K$25*100/(Calculations!$C$12+Calculations!$M141)+('Reaction Information'!$L$25+'Reaction Information'!$M$25*10000/(Calculations!$C$12+Calculations!$M141))/(Calculations!$O141-Calculations!$C$13)-calculateOmega(Calculations!M141,Calculations!N141,Calculations!Q141,'Reaction Information'!$C$25,'Reaction Information'!$P$25*10^5,'Reaction Information'!$Q$25)*Calculations!$U141*10^-6 + (1/$S141 - 1)*calculate_domegadP(Calculations!M141,Calculations!N141,Calculations!Q141,'Reaction Information'!$C$25,'Reaction Information'!$P$25*10^5,'Reaction Information'!$Q$25,$D$20,$D$19=3))*41.84)</f>
        <v>#N/A</v>
      </c>
      <c r="BQ141" s="8" t="e">
        <f>IF(OR(ISBLANK(Input!$AJ$4),$D$27=FALSE),NA(),('Reaction Information'!$J$29/10+'Reaction Information'!$K$29*100/(Calculations!$C$12+Calculations!$M141)+('Reaction Information'!$L$29+'Reaction Information'!$M$29*10000/(Calculations!$C$12+Calculations!$M141))/(Calculations!$O141-Calculations!$C$13)-calculateOmega(Calculations!M141,Calculations!N141,Calculations!Q141,'Reaction Information'!$C$29,'Reaction Information'!$P$29*10^5,'Reaction Information'!$Q$29)*Calculations!$U141*10^-6 + (1/$S141 - 1)*calculate_domegadP(Calculations!M141,Calculations!N141,Calculations!Q141,'Reaction Information'!$C$29,'Reaction Information'!$P$29*10^5,'Reaction Information'!$Q$29,$D$20,$D$19=3))*41.84)</f>
        <v>#N/A</v>
      </c>
      <c r="BR141" s="8" t="e">
        <f>IF(OR(ISBLANK(Input!$AM$4),$D$27=FALSE),NA(),('Reaction Information'!$J$33/10+'Reaction Information'!$K$33*100/(Calculations!$C$12+Calculations!$M141)+('Reaction Information'!$L$33+'Reaction Information'!$M$33*10000/(Calculations!$C$12+Calculations!$M141))/(Calculations!$O141-Calculations!$C$13)-calculateOmega(Calculations!M141,Calculations!N141,Calculations!Q141,'Reaction Information'!$C$33,'Reaction Information'!$P$33*10^5,'Reaction Information'!$Q$33)*Calculations!$U141*10^-6 + (1/$S141 - 1)*calculate_domegadP(Calculations!M141,Calculations!N141,Calculations!Q141,'Reaction Information'!$C$33,'Reaction Information'!$P$33*10^5,'Reaction Information'!$Q$33,$D$20,$D$19=3))*41.84)</f>
        <v>#N/A</v>
      </c>
      <c r="BS141" s="1">
        <f>Results!AW143</f>
        <v>0</v>
      </c>
      <c r="BT141" s="1">
        <f>Results!AX143</f>
        <v>0</v>
      </c>
      <c r="BU141" s="1">
        <f>Results!AY143</f>
        <v>0</v>
      </c>
      <c r="BV141" s="1">
        <f>Results!AZ143</f>
        <v>0</v>
      </c>
      <c r="BW141" s="1" t="e">
        <f>IF(OR(ISNA('Reaction Information'!$D$38), $N141 = "", $D$27 = FALSE, 'Reaction Information'!$D$38 = ""), NA(), 24.465)</f>
        <v>#N/A</v>
      </c>
      <c r="BX141" s="1" t="e">
        <f>IF(OR(ISNA('Reaction Information'!$D$42), $N141 = "", $D$27 = FALSE, 'Reaction Information'!$D$42 = ""), NA(), 24.465)</f>
        <v>#N/A</v>
      </c>
      <c r="BY141" s="8" t="e">
        <f t="shared" si="41"/>
        <v>#N/A</v>
      </c>
      <c r="BZ141" s="8">
        <f>IF(OR(ISBLANK(Input!$BK$4),$D$27=FALSE),NA(),('Reaction Information'!$J$46/10+'Reaction Information'!$K$46*100/(Calculations!$C$12+Calculations!$M141)+('Reaction Information'!$L$46+'Reaction Information'!$M$46*10000/(Calculations!$C$12+Calculations!$M141))/(Calculations!$O141-Calculations!$C$13)-calculateOmega(Calculations!M141,Calculations!N141,Calculations!Q141,'Reaction Information'!$C$46,'Reaction Information'!$P$46*10^5,'Reaction Information'!$Q$46)*Calculations!$U141*10^-6 + (1/$S141 - 1)*calculate_domegadP(Calculations!M141,Calculations!N141,Calculations!Q141,'Reaction Information'!$C$46,'Reaction Information'!$P$46*10^5,'Reaction Information'!$Q$46,$D$20,$D$19=3))*41.84)</f>
        <v>0</v>
      </c>
      <c r="CA141" s="8">
        <f>IF(OR(ISBLANK(Input!$BN$4),$D$27=FALSE),NA(),('Reaction Information'!$J$50/10+'Reaction Information'!$K$50*100/(Calculations!$C$12+Calculations!$M141)+('Reaction Information'!$L$50+'Reaction Information'!$M$50*10000/(Calculations!$C$12+Calculations!$M141))/(Calculations!$O141-Calculations!$C$13)-calculateOmega(Calculations!M141,Calculations!N141,Calculations!Q141,'Reaction Information'!$C$50,'Reaction Information'!$P$50*10^5,'Reaction Information'!$Q$50)*Calculations!$U141*10^-6 + (1/$S141 - 1)*calculate_domegadP(Calculations!M141,Calculations!N141,Calculations!Q141,'Reaction Information'!$C$50,'Reaction Information'!$P$50*10^5,'Reaction Information'!$Q$50,$D$20,$D$19=3))*41.84)</f>
        <v>31.682446060829502</v>
      </c>
      <c r="CB141" s="8" t="e">
        <f>IF(OR(ISBLANK(Input!$BQ$4),$D$27=FALSE),NA(),('Reaction Information'!$J$54/10+'Reaction Information'!$K$54*100/(Calculations!$C$12+Calculations!$M141)+('Reaction Information'!$L$54+'Reaction Information'!$M$54*10000/(Calculations!$C$12+Calculations!$M141))/(Calculations!$O141-Calculations!$C$13)-calculateOmega(Calculations!M141,Calculations!N141,Calculations!Q141,'Reaction Information'!$C$54,'Reaction Information'!$P$54*10^5,'Reaction Information'!$Q$54)*Calculations!$U141*10^-6 + (1/$S141 - 1)*calculate_domegadP(Calculations!M141,Calculations!N141,Calculations!Q141,'Reaction Information'!$C$54,'Reaction Information'!$P$54*10^5,'Reaction Information'!$Q$54,$D$20,$D$19=3))*41.84)</f>
        <v>#N/A</v>
      </c>
      <c r="CC141" s="8" t="e">
        <f>IF(OR(ISBLANK(Input!$BT$4),$D$27=FALSE),NA(),('Reaction Information'!$J$58/10+'Reaction Information'!$K$58*100/(Calculations!$C$12+Calculations!$M141)+('Reaction Information'!$L$58+'Reaction Information'!$M$58*10000/(Calculations!$C$12+Calculations!$M141))/(Calculations!$O141-Calculations!$C$13)-calculateOmega(Calculations!M141,Calculations!N141,Calculations!Q141,'Reaction Information'!$C$58,'Reaction Information'!$P$58*10^5,'Reaction Information'!$Q$58)*Calculations!$U141*10^-6 + (1/$S141 - 1)*calculate_domegadP(Calculations!M141,Calculations!N141,Calculations!Q141,'Reaction Information'!$C$58,'Reaction Information'!$P$58*10^5,'Reaction Information'!$Q$58,$D$20,$D$19=3))*41.84)</f>
        <v>#N/A</v>
      </c>
      <c r="CD141" s="8" t="e">
        <f>IF(OR(ISBLANK(Input!$BW$4),$D$27=FALSE),NA(),('Reaction Information'!$J$62/10+'Reaction Information'!$K$62*100/(Calculations!$C$12+Calculations!$M141)+('Reaction Information'!$L$62+'Reaction Information'!$M$62*10000/(Calculations!$C$12+Calculations!$M141))/(Calculations!$O141-Calculations!$C$13)-calculateOmega(Calculations!M141,Calculations!N141,Calculations!Q141,'Reaction Information'!$C$62,'Reaction Information'!$P$62*10^5,'Reaction Information'!$Q$62)*Calculations!$U141*10^-6 + (1/$S141 - 1)*calculate_domegadP(Calculations!M141,Calculations!N141,Calculations!Q141,'Reaction Information'!$C$62,'Reaction Information'!$P$62*10^5,'Reaction Information'!$Q$62,$D$20,$D$19=3))*41.84)</f>
        <v>#N/A</v>
      </c>
      <c r="CE141" s="8" t="e">
        <f>IF(OR(ISBLANK(Input!$BZ$4),$D$27=FALSE),NA(),('Reaction Information'!$J$66/10+'Reaction Information'!$K$66*100/(Calculations!$C$12+Calculations!$M141)+('Reaction Information'!$L$66+'Reaction Information'!$M$66*10000/(Calculations!$C$12+Calculations!$M141))/(Calculations!$O141-Calculations!$C$13)-calculateOmega(Calculations!M141,Calculations!N141,Calculations!Q141,'Reaction Information'!$C$66,'Reaction Information'!$P$66*10^5,'Reaction Information'!$Q$66)*Calculations!$U141*10^-6 + (1/$S141 - 1)*calculate_domegadP(Calculations!M141,Calculations!N141,Calculations!Q141,'Reaction Information'!$C$66,'Reaction Information'!$P$66*10^5,'Reaction Information'!$Q$66,$D$20,$D$19=3))*41.84)</f>
        <v>#N/A</v>
      </c>
      <c r="CF141" s="31">
        <f>(BS141*Input!$AO$4+BT141*Input!$AR$4+BU141*Input!$AU$4+BV141*Input!$AX$4+IF(ISNA(BW141),0,BW141*Input!$BA$4)+IF(ISNA(BX141),0,BX141*Input!$BD$4)+IF(ISNA(BY141),0,BY141*Input!$BG$4)+IF(ISNA(BZ141),0,BZ141*Input!$BJ$4)+IF(ISNA(CA141),0,CA141*Input!$BM$4)+IF(ISNA(CB141),0,CB141*Input!$BP$4)+IF(ISNA(CC141),0,CC141*Input!$BS$4)+IF(ISNA(CD141),0,CD141*Input!$BV$4)+IF(ISNA(CE141),0,CE141*Input!$BY$4))-(BF141*Input!$B$4+BG141*Input!$E$4+BH141*Input!$H$4+BI141*Input!$K$4+IF(ISNA(BJ141),0,BJ141*Input!$N$4)+IF(ISNA(BK141),0,BK141*Input!$Q$4)+IF(ISNA(BL141),0,BL141*Input!$T$4)+IF(ISNA(BM141),0,BM141*Input!$W$4)+IF(ISNA(BN141),0,BN141*Input!$Z$4)+IF(ISNA(BO141),0,BO141*Input!$AC$4)+IF(ISNA(BP141),0,BP141*Input!$AF$4)+IF(ISNA(BQ141),0,BQ141*Input!$AI$4)+IF(ISNA(BR141),0,BR141*Input!$AL$4))</f>
        <v>-10.401485918217109</v>
      </c>
      <c r="CG141" s="1">
        <f t="shared" si="50"/>
        <v>300</v>
      </c>
      <c r="CH141" s="46">
        <f t="shared" si="51"/>
        <v>50000</v>
      </c>
      <c r="CI141" s="1"/>
    </row>
    <row r="142" spans="1:87" x14ac:dyDescent="0.2">
      <c r="A142" s="1"/>
      <c r="B142" s="1"/>
      <c r="C142" s="1"/>
      <c r="D142" s="1"/>
      <c r="E142" s="1"/>
      <c r="F142" s="2">
        <v>137</v>
      </c>
      <c r="G142" s="1" t="str">
        <f>IF(ISBLANK(Input!CB142), "", Input!CB142*1000)</f>
        <v/>
      </c>
      <c r="H142" s="1" t="str">
        <f>IF(ISBLANK(Input!CC142), "", Input!CC142)</f>
        <v/>
      </c>
      <c r="I142" s="1">
        <f>IF(Input!$CF$5 + Input!$CF$6*(FLOOR((Calculations!$F142-1)/(FLOOR((Input!$CF$12-Input!$CF$10)/Input!$CF$11,1)+1),1)) &gt; Input!$CF$7, "", (Input!$CF$5 + Input!$CF$6*(FLOOR((Calculations!$F142-1)/(FLOOR((Input!$CF$12-Input!$CF$10)/Input!$CF$11,1)+1),1)))*1000)</f>
        <v>50000</v>
      </c>
      <c r="J142" s="1">
        <f>IF(Calculations!I142 = "", "", Input!$CF$10 + Input!$CF$11*(Calculations!$F142-1) - (FLOOR((Input!$CF$12-Input!$CF$10)/Input!$CF$11,1)+1)*Input!$CF$11*FLOOR((Calculations!$F142-1)/(FLOOR((Input!$CF$12-Input!$CF$10)/Input!$CF$11,1)+1),1))</f>
        <v>350</v>
      </c>
      <c r="K142" s="8" t="str">
        <f t="shared" si="52"/>
        <v/>
      </c>
      <c r="L142" s="117" t="str">
        <f>IF(OR(Input!$CJ$5 + Input!$CJ$6*(Calculations!F142-1) &gt; Input!$CJ$7, Input!$CJ$5 + Input!$CJ$6*(Calculations!F142-1) &gt; 350), "", Input!$CJ$5 + Input!$CJ$6*(Calculations!F142-1))</f>
        <v/>
      </c>
      <c r="M142" s="1">
        <f t="shared" si="42"/>
        <v>50000</v>
      </c>
      <c r="N142" s="1">
        <f t="shared" si="43"/>
        <v>350</v>
      </c>
      <c r="O142" s="1">
        <f t="shared" si="38"/>
        <v>623.15</v>
      </c>
      <c r="P142" s="1" t="e">
        <f>IF(OR($D$20=3,AND($D$21=TRUE,M142&lt;1000)),INDEX('Water Density'!$C$6:$CX$120,MATCH(Calculations!N142,'Water Density'!$B$6:$B$120),MATCH(Calculations!M142/1000,'Water Density'!$C$5:$CX$5)),NA())</f>
        <v>#N/A</v>
      </c>
      <c r="Q142" s="182">
        <f>IF(OR($D$20=3,AND($D$21=TRUE,M142&lt;1000)), IF(P142&lt;&gt;0,P142,NA()), calculateDensity(M142,N142,$D$20,0.01,$D$19 = 3))</f>
        <v>1.4577794040751457</v>
      </c>
      <c r="R142" s="1" t="e">
        <f>IF($D$22=5,INDEX('Dielectric Constant'!$C$6:$CX$120,MATCH(Calculations!N142,'Dielectric Constant'!$B$6:$B$120),MATCH(Calculations!M142/1000,'Dielectric Constant'!$C$5:$CX$5)),NA())</f>
        <v>#N/A</v>
      </c>
      <c r="S142" s="58">
        <f>IF($D$22=5, IF(R142&lt;&gt;0,R142,NA()), IF(AND($D$23,M142&lt;=5000,$D$19 &lt;&gt; 3),calculateEpsilon(Q142,N142,1,FALSE),calculateEpsilon(Q142,N142,$D$22,$D$19 = 3)))</f>
        <v>54.116671149174934</v>
      </c>
      <c r="T142" s="1" t="e">
        <f>IF($D$24=3,INDEX('Water Free Energy'!$C$6:$CX$120,MATCH(Calculations!N142,'Water Free Energy'!$B$6:$B$120),MATCH(Calculations!M142/1000,'Water Free Energy'!$C$5:$CX$5)),NA())</f>
        <v>#N/A</v>
      </c>
      <c r="U142" s="179">
        <f>IF($D$27,calculateQ(M142,N142,Q142,$D$20,$D$22,$D$19=3)*10^6,NA())</f>
        <v>8.4282224141103243E-2</v>
      </c>
      <c r="V142"/>
      <c r="W142" s="2">
        <f t="shared" si="44"/>
        <v>50000</v>
      </c>
      <c r="X142" s="1">
        <f t="shared" si="45"/>
        <v>350</v>
      </c>
      <c r="Y142" s="1">
        <f>Results!F144</f>
        <v>0</v>
      </c>
      <c r="Z142" s="1">
        <f>Results!G144</f>
        <v>0</v>
      </c>
      <c r="AA142" s="1">
        <f>Results!H144</f>
        <v>0</v>
      </c>
      <c r="AB142" s="1">
        <f>Results!I144</f>
        <v>0</v>
      </c>
      <c r="AC142" s="1" t="e">
        <f>IF(ISBLANK(Input!$O$4),NA(),'Reaction Information'!$E$5-'Reaction Information'!$G$5*(Calculations!$O142-Calculations!$C$8)+'Reaction Information'!$I$5*(Calculations!$O142-Calculations!$C$8-Calculations!$O142*LN(Calculations!$O142/Calculations!$C$8))+'Reaction Information'!$J$5*0.001/2*(2*Calculations!$O142*Calculations!$C$8-Calculations!$O142^2-Calculations!$C$8^2) + 'Reaction Information'!$K$5*100000*(Calculations!$O142^2 + Calculations!$C$8^2 - 2*Calculations!$O142*Calculations!$C$8)/(2*Calculations!$O142*Calculations!$C$8^2))</f>
        <v>#N/A</v>
      </c>
      <c r="AD142" s="8" t="e">
        <f>IF(ISBLANK(Input!$R$4),NA(),'Reaction Information'!$E$9-'Reaction Information'!$G$9*(Calculations!$O142-Calculations!$C$8)+'Reaction Information'!$I$9*(Calculations!$O142-Calculations!$C$8-Calculations!$O142*LN(Calculations!$O142/Calculations!$C$8))+'Reaction Information'!$J$9*0.001/2*(2*Calculations!$O142*Calculations!$C$8-Calculations!$O142^2-Calculations!$C$8^2) + 'Reaction Information'!$K$9*100000*(Calculations!$O142^2 + Calculations!$C$8^2 - 2*Calculations!$O142*Calculations!$C$8)/(2*Calculations!$O142*Calculations!$C$8^2))</f>
        <v>#N/A</v>
      </c>
      <c r="AE142" s="8">
        <f>IF(AE$5="H2O",IF($D$24=3,IF(T142=0,NA(),T142),calculateGibbsOfWater(M142,N142,$D$24,$D$20,$D$19=3)),NA())</f>
        <v>-46586.92078686141</v>
      </c>
      <c r="AF142" s="8">
        <f>IF(ISBLANK(Input!$X$4),NA(),'Reaction Information'!$E$13-'Reaction Information'!$G$13*(Calculations!O142-Calculations!$C$8)-'Reaction Information'!$N$13*(Calculations!O142*LN(Calculations!O142/Calculations!$C$8)-Calculations!O142+Calculations!$C$8)-'Reaction Information'!$O$13*10^4*(((1/(Calculations!O142-Calculations!$C$13))-(1/(Calculations!$C$8-Calculations!$C$13)))*((Calculations!$C$13-Calculations!O142)/(Calculations!$C$13))-(Calculations!O142/(Calculations!$C$13*Calculations!$C$13))*LN((Calculations!$C$8*(Calculations!O142-Calculations!$C$13))/(Calculations!O142*(Calculations!$C$8-Calculations!$C$13))))+'Reaction Information'!$J$13*10^-1*(Calculations!M142-Calculations!$C$9)+'Reaction Information'!$K$13*10^2*LN((Calculations!$C$12+Calculations!M142)/(Calculations!$C$12+Calculations!$C$9))+(1/(Calculations!O142-Calculations!$C$13))*('Reaction Information'!$L$13*(Calculations!M142-Calculations!$C$9)+'Reaction Information'!$M$13*10^4*LN((Calculations!$C$12+Calculations!M142)/(Calculations!$C$12+Calculations!$C$9)))+calculateOmega(Calculations!M142,Calculations!N142,Calculations!Q142,'Reaction Information'!$C$13,'Reaction Information'!$P$13*10^5,'Reaction Information'!$Q$13)*((1/Calculations!S142)-1)-'Reaction Information'!$P$13*10^5*((1/Calculations!$C$10)-1)+'Reaction Information'!$P$13*10^5*Calculations!$C$14*(Calculations!O142-Calculations!$C$8))</f>
        <v>-68325.68957244308</v>
      </c>
      <c r="AG142" s="8" t="e">
        <f>IF(ISBLANK(Input!$AA$4),NA(),'Reaction Information'!$E$17-'Reaction Information'!$G$17*(Calculations!$O142-Calculations!$C$8)-'Reaction Information'!$N$17*(Calculations!$O142*LN(Calculations!$O142/Calculations!$C$8)-Calculations!$O142+Calculations!$C$8)-'Reaction Information'!$O$17*10^4*(((1/(Calculations!$O142-Calculations!$C$13))-(1/(Calculations!$C$8-Calculations!$C$13)))*((Calculations!$C$13-Calculations!$O142)/(Calculations!$C$13))-(Calculations!$O142/(Calculations!$C$13*Calculations!$C$13))*LN((Calculations!$C$8*(Calculations!$O142-Calculations!$C$13))/(Calculations!$O142*(Calculations!$C$8-Calculations!$C$13))))+'Reaction Information'!$J$17*10^-1*(Calculations!$M142-Calculations!$C$9)+'Reaction Information'!$K$17*10^2*LN((Calculations!$C$12+Calculations!$M142)/(Calculations!$C$12+Calculations!$C$9))+(1/(Calculations!$O142-Calculations!$C$13))*('Reaction Information'!$L$17*(Calculations!$M142-Calculations!$C$9)+'Reaction Information'!$M$17*10^4*LN((Calculations!$C$12+Calculations!$M142)/(Calculations!$C$12+Calculations!$C$9)))+calculateOmega(Calculations!M142,Calculations!N142,Calculations!Q142,'Reaction Information'!$C$17,'Reaction Information'!$P$17*10^5,'Reaction Information'!$Q$17)*((1/Calculations!$S142)-1)-'Reaction Information'!$P$17*10^5*((1/Calculations!$C$10)-1)+'Reaction Information'!$P$17*10^5*Calculations!$C$14*(Calculations!$O142-Calculations!$C$8))</f>
        <v>#N/A</v>
      </c>
      <c r="AH142" s="8" t="e">
        <f>IF(ISBLANK(Input!$AD$4),NA(),'Reaction Information'!$E$21-'Reaction Information'!$G$21*(Calculations!$O142-Calculations!$C$8)-'Reaction Information'!$N$21*(Calculations!$O142*LN(Calculations!$O142/Calculations!$C$8)-Calculations!$O142+Calculations!$C$8)-'Reaction Information'!$O$21*10^4*(((1/(Calculations!$O142-Calculations!$C$13))-(1/(Calculations!$C$8-Calculations!$C$13)))*((Calculations!$C$13-Calculations!$O142)/(Calculations!$C$13))-(Calculations!$O142/(Calculations!$C$13*Calculations!$C$13))*LN((Calculations!$C$8*(Calculations!$O142-Calculations!$C$13))/(Calculations!$O142*(Calculations!$C$8-Calculations!$C$13))))+'Reaction Information'!$J$21*10^-1*(Calculations!$M142-Calculations!$C$9)+'Reaction Information'!$K$21*10^2*LN((Calculations!$C$12+Calculations!$M142)/(Calculations!$C$12+Calculations!$C$9))+(1/(Calculations!$O142-Calculations!$C$13))*('Reaction Information'!$L$21*(Calculations!$M142-Calculations!$C$9)+'Reaction Information'!$M$21*10^4*LN((Calculations!$C$12+Calculations!$M142)/(Calculations!$C$12+Calculations!$C$9)))+calculateOmega(Calculations!M142,Calculations!N142,Calculations!Q142,'Reaction Information'!$C$21,'Reaction Information'!$P$21*10^5,'Reaction Information'!$Q$21)*((1/Calculations!$S142)-1)-'Reaction Information'!$P$21*10^5*((1/Calculations!$C$10)-1)+'Reaction Information'!$P$21*10^5*Calculations!$C$14*(Calculations!$O142-Calculations!$C$8))</f>
        <v>#N/A</v>
      </c>
      <c r="AI142" s="8" t="e">
        <f>IF(ISBLANK(Input!$AG$4),NA(),'Reaction Information'!$E$25-'Reaction Information'!$G$25*(Calculations!$O142-Calculations!$C$8)-'Reaction Information'!$N$25*(Calculations!$O142*LN(Calculations!$O142/Calculations!$C$8)-Calculations!$O142+Calculations!$C$8)-'Reaction Information'!$O$25*10^4*(((1/(Calculations!$O142-Calculations!$C$13))-(1/(Calculations!$C$8-Calculations!$C$13)))*((Calculations!$C$13-Calculations!$O142)/(Calculations!$C$13))-(Calculations!$O142/(Calculations!$C$13*Calculations!$C$13))*LN((Calculations!$C$8*(Calculations!$O142-Calculations!$C$13))/(Calculations!$O142*(Calculations!$C$8-Calculations!$C$13))))+'Reaction Information'!$J$25*10^-1*(Calculations!$M142-Calculations!$C$9)+'Reaction Information'!$K$25*10^2*LN((Calculations!$C$12+Calculations!$M142)/(Calculations!$C$12+Calculations!$C$9))+(1/(Calculations!$O142-Calculations!$C$13))*('Reaction Information'!$L$25*(Calculations!$M142-Calculations!$C$9)+'Reaction Information'!$M$25*10^4*LN((Calculations!$C$12+Calculations!$M142)/(Calculations!$C$12+Calculations!$C$9)))+calculateOmega(Calculations!M142,Calculations!N142,Calculations!Q142,'Reaction Information'!$C$25,'Reaction Information'!$P$25*10^5,'Reaction Information'!$Q$25)*((1/Calculations!$S142)-1)-'Reaction Information'!$P$25*10^5*((1/Calculations!$C$10)-1)+'Reaction Information'!$P$25*10^5*Calculations!$C$14*(Calculations!$O142-Calculations!$C$8))</f>
        <v>#N/A</v>
      </c>
      <c r="AJ142" s="8" t="e">
        <f>IF(ISBLANK(Input!$AJ$4),NA(),'Reaction Information'!$E$29-'Reaction Information'!$G$29*(Calculations!$O142-Calculations!$C$8)-'Reaction Information'!$N$29*(Calculations!$O142*LN(Calculations!$O142/Calculations!$C$8)-Calculations!$O142+Calculations!$C$8)-'Reaction Information'!$O$29*10^4*(((1/(Calculations!$O142-Calculations!$C$13))-(1/(Calculations!$C$8-Calculations!$C$13)))*((Calculations!$C$13-Calculations!$O142)/(Calculations!$C$13))-(Calculations!$O142/(Calculations!$C$13*Calculations!$C$13))*LN((Calculations!$C$8*(Calculations!$O142-Calculations!$C$13))/(Calculations!$O142*(Calculations!$C$8-Calculations!$C$13))))+'Reaction Information'!$J$29*10^-1*(Calculations!$M142-Calculations!$C$9)+'Reaction Information'!$K$29*10^2*LN((Calculations!$C$12+Calculations!$M142)/(Calculations!$C$12+Calculations!$C$9))+(1/(Calculations!$O142-Calculations!$C$13))*('Reaction Information'!$L$29*(Calculations!$M142-Calculations!$C$9)+'Reaction Information'!$M$29*10^4*LN((Calculations!$C$12+Calculations!$M142)/(Calculations!$C$12+Calculations!$C$9)))+calculateOmega(Calculations!M142,Calculations!N142,Calculations!Q142,'Reaction Information'!$C$29,'Reaction Information'!$P$29*10^5,'Reaction Information'!$Q$29)*((1/Calculations!$S142)-1)-'Reaction Information'!$P$29*10^5*((1/Calculations!$C$10)-1)+'Reaction Information'!$P$29*10^5*Calculations!$C$14*(Calculations!$O142-Calculations!$C$8))</f>
        <v>#N/A</v>
      </c>
      <c r="AK142" s="8" t="e">
        <f>IF(ISBLANK(Input!$AM$4),NA(),'Reaction Information'!$E$33-'Reaction Information'!$G$33*(Calculations!$O142-Calculations!$C$8)-'Reaction Information'!$N$33*(Calculations!$O142*LN(Calculations!$O142/Calculations!$C$8)-Calculations!$O142+Calculations!$C$8)-'Reaction Information'!$O$33*10^4*(((1/(Calculations!$O142-Calculations!$C$13))-(1/(Calculations!$C$8-Calculations!$C$13)))*((Calculations!$C$13-Calculations!$O142)/(Calculations!$C$13))-(Calculations!$O142/(Calculations!$C$13*Calculations!$C$13))*LN((Calculations!$C$8*(Calculations!$O142-Calculations!$C$13))/(Calculations!$O142*(Calculations!$C$8-Calculations!$C$13))))+'Reaction Information'!$J$33*10^-1*(Calculations!$M142-Calculations!$C$9)+'Reaction Information'!$K$33*10^2*LN((Calculations!$C$12+Calculations!$M142)/(Calculations!$C$12+Calculations!$C$9))+(1/(Calculations!$O142-Calculations!$C$13))*('Reaction Information'!$L$33*(Calculations!$M142-Calculations!$C$9)+'Reaction Information'!$M$33*10^4*LN((Calculations!$C$12+Calculations!$M142)/(Calculations!$C$12+Calculations!$C$9)))+calculateOmega(Calculations!M142,Calculations!N142,Calculations!Q142,'Reaction Information'!$C$33,'Reaction Information'!$P$33*10^5,'Reaction Information'!$Q$33)*((1/Calculations!$S142)-1)-'Reaction Information'!$P$33*10^5*((1/Calculations!$C$10)-1)+'Reaction Information'!$P$33*10^5*Calculations!$C$14*(Calculations!$O142-Calculations!$C$8))</f>
        <v>#N/A</v>
      </c>
      <c r="AL142" s="1">
        <f>Results!S144</f>
        <v>0</v>
      </c>
      <c r="AM142" s="1">
        <f>Results!T144</f>
        <v>0</v>
      </c>
      <c r="AN142" s="1">
        <f>Results!U144</f>
        <v>0</v>
      </c>
      <c r="AO142" s="1">
        <f>Results!V144</f>
        <v>0</v>
      </c>
      <c r="AP142" s="8" t="e">
        <f>IF(ISBLANK(Input!$BB$4),NA(),'Reaction Information'!$E$38-'Reaction Information'!$G$38*(Calculations!$O142-Calculations!$C$8)+'Reaction Information'!$I$38*(Calculations!$O142-Calculations!$C$8-Calculations!$O142*LN(Calculations!$O142/Calculations!$C$8))+'Reaction Information'!$J$38*0.001/2*(2*Calculations!$O142*Calculations!$C$8-Calculations!$O142^2-Calculations!$C$8^2) + 'Reaction Information'!$K$38*100000*(Calculations!$O142^2 + Calculations!$C$8^2 - 2*Calculations!$O142*Calculations!$C$8)/(2*Calculations!$O142*Calculations!$C$8^2))</f>
        <v>#N/A</v>
      </c>
      <c r="AQ142" s="8" t="e">
        <f>IF(ISBLANK(Input!$BE$4),NA(),'Reaction Information'!$E$42-'Reaction Information'!$G$42*(Calculations!$O142-Calculations!$C$8)+'Reaction Information'!$I$42*(Calculations!$O142-Calculations!$C$8-Calculations!$O142*LN(Calculations!$O142/Calculations!$C$8))+'Reaction Information'!$J$42*0.001/2*(2*Calculations!$O142*Calculations!$C$8-Calculations!$O142^2-Calculations!$C$8^2) + 'Reaction Information'!$K$42*100000*(Calculations!$O142^2 + Calculations!$C$8^2 - 2*Calculations!$O142*Calculations!$C$8)/(2*Calculations!$O142*Calculations!$C$8^2))</f>
        <v>#N/A</v>
      </c>
      <c r="AR142" s="8" t="e">
        <f>IF(AR$5="H2O", IF($D$24=3,IF(T142=0,NA(),T142),calculateGibbsOfWater(M142,N142,$D$24,$D$20,$D$19=3)),NA())</f>
        <v>#N/A</v>
      </c>
      <c r="AS142" s="8">
        <f>IF(ISBLANK(Input!$BK$4),NA(),'Reaction Information'!$E$46-'Reaction Information'!$G$46*(Calculations!O142-Calculations!$C$8)-'Reaction Information'!$N$46*(Calculations!O142*LN(Calculations!O142/Calculations!$C$8)-Calculations!O142+Calculations!$C$8)-'Reaction Information'!$O$46*10^4*(((1/(Calculations!O142-Calculations!$C$13))-(1/(Calculations!$C$8-Calculations!$C$13)))*((Calculations!$C$13-Calculations!O142)/(Calculations!$C$13))-(Calculations!O142/(Calculations!$C$13*Calculations!$C$13))*LN((Calculations!$C$8*(Calculations!O142-Calculations!$C$13))/(Calculations!O142*(Calculations!$C$8-Calculations!$C$13))))+'Reaction Information'!$J$46*10^-1*(Calculations!$M142-Calculations!$C$9)+'Reaction Information'!$K$46*10^2*LN((Calculations!$C$12+Calculations!$M142)/(Calculations!$C$12+Calculations!$C$9))+(1/(Calculations!O142-Calculations!$C$13))*('Reaction Information'!$L$46*(Calculations!$M142-Calculations!$C$9)+'Reaction Information'!$M$46*10^4*LN((Calculations!$C$12+Calculations!$M142)/(Calculations!$C$12+Calculations!$C$9)))+calculateOmega(Calculations!M142,Calculations!N142,Calculations!Q142,'Reaction Information'!$C$46,'Reaction Information'!$P$46*10^5,'Reaction Information'!$Q$46)*((1/Calculations!S142)-1)-'Reaction Information'!$P$46*10^5*((1/Calculations!$C$10)-1)+'Reaction Information'!$P$46*10^5*Calculations!$C$14*(Calculations!O142-Calculations!$C$8))</f>
        <v>0</v>
      </c>
      <c r="AT142" s="8">
        <f>IF(ISBLANK(Input!$BN$4),NA(),'Reaction Information'!$E$50-'Reaction Information'!$G$50*(Calculations!O142-Calculations!$C$8)-'Reaction Information'!$N$50*(Calculations!O142*LN(Calculations!O142/Calculations!$C$8)-Calculations!O142+Calculations!$C$8)-'Reaction Information'!$O$50*10^4*(((1/(Calculations!O142-Calculations!$C$13))-(1/(Calculations!$C$8-Calculations!$C$13)))*((Calculations!$C$13-Calculations!O142)/(Calculations!$C$13))-(Calculations!O142/(Calculations!$C$13*Calculations!$C$13))*LN((Calculations!$C$8*(Calculations!O142-Calculations!$C$13))/(Calculations!O142*(Calculations!$C$8-Calculations!$C$13))))+'Reaction Information'!$J$50*10^-1*(Calculations!$M142-Calculations!$C$9)+'Reaction Information'!$K$50*10^2*LN((Calculations!$C$12+Calculations!$M142)/(Calculations!$C$12+Calculations!$C$9))+(1/(Calculations!O142-Calculations!$C$13))*('Reaction Information'!$L$50*(Calculations!$M142-Calculations!$C$9)+'Reaction Information'!$M$50*10^4*LN((Calculations!$C$12+Calculations!$M142)/(Calculations!$C$12+Calculations!$C$9)))+calculateOmega(Calculations!M142,Calculations!N142,Calculations!Q142,'Reaction Information'!$C$50,'Reaction Information'!$P$50*10^5,'Reaction Information'!$Q$50)*((1/Calculations!S142)-1)-'Reaction Information'!$P$50*10^5*((1/Calculations!$C$10)-1)+'Reaction Information'!$P$50*10^5*Calculations!$C$14*(Calculations!O142-Calculations!$C$8))</f>
        <v>-112369.08956660896</v>
      </c>
      <c r="AU142" s="8" t="e">
        <f>IF(ISBLANK(Input!$BQ$4),NA(),'Reaction Information'!$E$54-'Reaction Information'!$G$54*(Calculations!$O142-Calculations!$C$8)-'Reaction Information'!$N$54*(Calculations!$O142*LN(Calculations!$O142/Calculations!$C$8)-Calculations!$O142+Calculations!$C$8)-'Reaction Information'!$O$54*10^4*(((1/(Calculations!$O142-Calculations!$C$13))-(1/(Calculations!$C$8-Calculations!$C$13)))*((Calculations!$C$13-Calculations!$O142)/(Calculations!$C$13))-(Calculations!$O142/(Calculations!$C$13*Calculations!$C$13))*LN((Calculations!$C$8*(Calculations!$O142-Calculations!$C$13))/(Calculations!$O142*(Calculations!$C$8-Calculations!$C$13))))+'Reaction Information'!$J$54*10^-1*(Calculations!$M142-Calculations!$C$9)+'Reaction Information'!$K$54*10^2*LN((Calculations!$C$12+Calculations!$M142)/(Calculations!$C$12+Calculations!$C$9))+(1/(Calculations!$O142-Calculations!$C$13))*('Reaction Information'!$L$54*(Calculations!$M142-Calculations!$C$9)+'Reaction Information'!$M$54*10^4*LN((Calculations!$C$12+Calculations!$M142)/(Calculations!$C$12+Calculations!$C$9)))+calculateOmega(Calculations!M142,Calculations!N142,Calculations!Q142,'Reaction Information'!$C$54,'Reaction Information'!$P$54*10^5,'Reaction Information'!$Q$54)*((1/Calculations!$S142)-1)-'Reaction Information'!$P$54*10^5*((1/Calculations!$C$10)-1)+'Reaction Information'!$P$54*10^5*Calculations!$C$14*(Calculations!$O142-Calculations!$C$8))</f>
        <v>#N/A</v>
      </c>
      <c r="AV142" s="8" t="e">
        <f>IF(ISBLANK(Input!$BT$4),NA(),'Reaction Information'!$E$58-'Reaction Information'!$G$58*(Calculations!$O142-Calculations!$C$8)-'Reaction Information'!$N$58*(Calculations!$O142*LN(Calculations!$O142/Calculations!$C$8)-Calculations!$O142+Calculations!$C$8)-'Reaction Information'!$O$58*10^4*(((1/(Calculations!$O142-Calculations!$C$13))-(1/(Calculations!$C$8-Calculations!$C$13)))*((Calculations!$C$13-Calculations!$O142)/(Calculations!$C$13))-(Calculations!$O142/(Calculations!$C$13*Calculations!$C$13))*LN((Calculations!$C$8*(Calculations!$O142-Calculations!$C$13))/(Calculations!$O142*(Calculations!$C$8-Calculations!$C$13))))+'Reaction Information'!$J$58*10^-1*(Calculations!$M142-Calculations!$C$9)+'Reaction Information'!$K$58*10^2*LN((Calculations!$C$12+Calculations!$M142)/(Calculations!$C$12+Calculations!$C$9))+(1/(Calculations!$O142-Calculations!$C$13))*('Reaction Information'!$L$58*(Calculations!$M142-Calculations!$C$9)+'Reaction Information'!$M$58*10^4*LN((Calculations!$C$12+Calculations!$M142)/(Calculations!$C$12+Calculations!$C$9)))+calculateOmega(Calculations!M142,Calculations!N142,Calculations!Q142,'Reaction Information'!$C$58,'Reaction Information'!$P$58*10^5,'Reaction Information'!$Q$58)*((1/Calculations!$S142)-1)-'Reaction Information'!$P$58*10^5*((1/Calculations!$C$10)-1)+'Reaction Information'!$P$58*10^5*Calculations!$C$14*(Calculations!$O142-Calculations!$C$8))</f>
        <v>#N/A</v>
      </c>
      <c r="AW142" s="8" t="e">
        <f>IF(ISBLANK(Input!$BW$4),NA(),'Reaction Information'!$E$62-'Reaction Information'!$G$62*(Calculations!$O142-Calculations!$C$8)-'Reaction Information'!$N$62*(Calculations!$O142*LN(Calculations!$O142/Calculations!$C$8)-Calculations!$O142+Calculations!$C$8)-'Reaction Information'!$O$62*10^4*(((1/(Calculations!$O142-Calculations!$C$13))-(1/(Calculations!$C$8-Calculations!$C$13)))*((Calculations!$C$13-Calculations!$O142)/(Calculations!$C$13))-(Calculations!$O142/(Calculations!$C$13*Calculations!$C$13))*LN((Calculations!$C$8*(Calculations!$O142-Calculations!$C$13))/(Calculations!$O142*(Calculations!$C$8-Calculations!$C$13))))+'Reaction Information'!$J$62*10^-1*(Calculations!$M142-Calculations!$C$9)+'Reaction Information'!$K$62*10^2*LN((Calculations!$C$12+Calculations!$M142)/(Calculations!$C$12+Calculations!$C$9))+(1/(Calculations!$O142-Calculations!$C$13))*('Reaction Information'!$L$62*(Calculations!$M142-Calculations!$C$9)+'Reaction Information'!$M$62*10^4*LN((Calculations!$C$12+Calculations!$M142)/(Calculations!$C$12+Calculations!$C$9)))+calculateOmega(Calculations!M142,Calculations!N142,Calculations!Q142,'Reaction Information'!$C$62,'Reaction Information'!$P$62*10^5,'Reaction Information'!$Q$62)*((1/Calculations!$S142)-1)-'Reaction Information'!$P$62*10^5*((1/Calculations!$C$10)-1)+'Reaction Information'!$P$62*10^5*Calculations!$C$14*(Calculations!$O142-Calculations!$C$8))</f>
        <v>#N/A</v>
      </c>
      <c r="AX142" s="8" t="e">
        <f>IF(ISBLANK(Input!$BZ$4),NA(),'Reaction Information'!$E$66-'Reaction Information'!$G$66*(Calculations!$O142-Calculations!$C$8)-'Reaction Information'!$N$66*(Calculations!$O142*LN(Calculations!$O142/Calculations!$C$8)-Calculations!$O142+Calculations!$C$8)-'Reaction Information'!$O$66*10^4*(((1/(Calculations!$O142-Calculations!$C$13))-(1/(Calculations!$C$8-Calculations!$C$13)))*((Calculations!$C$13-Calculations!$O142)/(Calculations!$C$13))-(Calculations!$O142/(Calculations!$C$13*Calculations!$C$13))*LN((Calculations!$C$8*(Calculations!$O142-Calculations!$C$13))/(Calculations!$O142*(Calculations!$C$8-Calculations!$C$13))))+'Reaction Information'!$J$66*10^-1*(Calculations!$M142-Calculations!$C$9)+'Reaction Information'!$K$66*10^2*LN((Calculations!$C$12+Calculations!$M142)/(Calculations!$C$12+Calculations!$C$9))+(1/(Calculations!$O142-Calculations!$C$13))*('Reaction Information'!$L$66*(Calculations!$M142-Calculations!$C$9)+'Reaction Information'!$M$66*10^4*LN((Calculations!$C$12+Calculations!$M142)/(Calculations!$C$12+Calculations!$C$9)))+calculateOmega(Calculations!M142,Calculations!N142,Calculations!Q142,'Reaction Information'!$C$66,'Reaction Information'!$P$66*10^5,'Reaction Information'!$Q$66)*((1/Calculations!$S142)-1)-'Reaction Information'!$P$66*10^5*((1/Calculations!$C$10)-1)+'Reaction Information'!$P$66*10^5*Calculations!$C$14*(Calculations!$O142-Calculations!$C$8))</f>
        <v>#N/A</v>
      </c>
      <c r="AY142" s="31">
        <f>(AL142*Input!$AO$4+AM142*Input!$AR$4+AN142*Input!$AU$4+AO142*Input!$AX$4+IF(ISNA(AP142),0,AP142*Input!$BA$4)+IF(ISNA(AQ142),0,AQ142*Input!$BD$4)+IF(ISNA(AR142),0,AR142*Input!$BG$4)+IF(ISNA(AS142),0,AS142*Input!$BJ$4)+IF(ISNA(AT142),0,AT142*Input!$BM$4)+IF(ISNA(AU142),0,AU142*Input!$BP$4)+IF(ISNA(AV142),0,AV142*Input!$BS$4)+IF(ISNA(AW142),0,AW142*Input!$BV$4)+IF(ISNA(AX142),0,AX142*Input!$BY$4))-(Y142*Input!$B$4+Z142*Input!$E$4+AA142*Input!$H$4+AB142*Input!$K$4+IF(ISNA(AC142),0,AC142*Input!$N$4)+IF(ISNA(AD142),0,AD142*Input!$Q$4)+IF(ISNA(AE142),0,AE142*Input!$T$4)+IF(ISNA(AF142),0,AF142*Input!$W$4)+IF(ISNA(AG142),0,AG142*Input!$Z$4)+IF(ISNA(AH142),0,AH142*Input!$AC$4)+IF(ISNA(AI142),0,AI142*Input!$AF$4)+IF(ISNA(AJ142),0,AJ142*Input!$AI$4)+IF(ISNA(AK142),0,AK142*Input!$AL$4))</f>
        <v>2543.5207926955336</v>
      </c>
      <c r="AZ142" s="42">
        <f t="shared" si="39"/>
        <v>-0.89263634631473199</v>
      </c>
      <c r="BA142" s="1">
        <f t="shared" si="46"/>
        <v>350</v>
      </c>
      <c r="BB142" s="46">
        <f t="shared" si="47"/>
        <v>50000</v>
      </c>
      <c r="BC142" s="1"/>
      <c r="BD142" s="2">
        <f t="shared" si="48"/>
        <v>50000</v>
      </c>
      <c r="BE142" s="46">
        <f t="shared" si="49"/>
        <v>350</v>
      </c>
      <c r="BF142" s="1">
        <f>Results!AJ144</f>
        <v>0</v>
      </c>
      <c r="BG142" s="1">
        <f>Results!AK144</f>
        <v>0</v>
      </c>
      <c r="BH142" s="1">
        <f>Results!AL144</f>
        <v>0</v>
      </c>
      <c r="BI142" s="1">
        <f>Results!AM144</f>
        <v>0</v>
      </c>
      <c r="BJ142" s="1" t="e">
        <f>IF(OR(ISNA('Reaction Information'!$D$5), $N142 = "", $D$27 = FALSE, 'Reaction Information'!$D$5 = ""), NA(), 24.465)</f>
        <v>#N/A</v>
      </c>
      <c r="BK142" s="1" t="e">
        <f>IF(OR(ISNA('Reaction Information'!$D$9), $N142 = "", $D$27 = FALSE, 'Reaction Information'!$D$9 = ""), NA(), 24.465)</f>
        <v>#N/A</v>
      </c>
      <c r="BL142" s="8">
        <f t="shared" si="40"/>
        <v>12.358028896305731</v>
      </c>
      <c r="BM142" s="8">
        <f>IF(OR(ISBLANK(Input!$X$4),$D$27=FALSE),NA(),('Reaction Information'!$J$13/10+'Reaction Information'!$K$13*100/(Calculations!$C$12+Calculations!$M142)+('Reaction Information'!$L$13+'Reaction Information'!$M$13*10^4/(Calculations!$C$12+Calculations!$M142))/(Calculations!$O142-Calculations!$C$13) -calculateOmega(Calculations!$M142,Calculations!$N142,Calculations!$Q142,'Reaction Information'!$C$13,'Reaction Information'!$P$13*10^5,'Reaction Information'!$Q$13)*Calculations!$U142*10^-6 + (1/$S142 - 1)*calculate_domegadP(Calculations!$M142,Calculations!$N142,Calculations!$Q142,'Reaction Information'!$C$13,'Reaction Information'!$P$13*10^5,'Reaction Information'!$Q$13,$D$20,$D$19=3))*41.84)</f>
        <v>29.847907391678667</v>
      </c>
      <c r="BN142" s="8" t="e">
        <f>IF(OR(ISBLANK(Input!$AA$4),$D$27=FALSE),NA(),('Reaction Information'!$J$17/10+'Reaction Information'!$K$17*100/(Calculations!$C$12+Calculations!$M142)+('Reaction Information'!$L$17+'Reaction Information'!$M$17*10000/(Calculations!$C$12+Calculations!$M142))/(Calculations!$O142-Calculations!$C$13)-calculateOmega(Calculations!M142,Calculations!N142,Calculations!Q142,'Reaction Information'!$C$17,'Reaction Information'!$P$17*10^5,'Reaction Information'!$Q$17)*Calculations!$U142*10^-6 + (1/$S142 - 1)*calculate_domegadP(Calculations!M142,Calculations!N142,Calculations!Q142,'Reaction Information'!$C$17,'Reaction Information'!$P$17*10^5,'Reaction Information'!$Q$17,$D$20,$D$19=3))*41.84)</f>
        <v>#N/A</v>
      </c>
      <c r="BO142" s="8" t="e">
        <f>IF(OR(ISBLANK(Input!$AD$4),$D$27=FALSE),NA(),('Reaction Information'!$J$21/10+'Reaction Information'!$K$21*100/(Calculations!$C$12+Calculations!$M142)+('Reaction Information'!$L$21+'Reaction Information'!$M$21*10000/(Calculations!$C$12+Calculations!$M142))/(Calculations!$O142-Calculations!$C$13)-calculateOmega(Calculations!M142,Calculations!N142,Calculations!Q142,'Reaction Information'!$C$21,'Reaction Information'!$P$21*10^5,'Reaction Information'!$Q$21)*Calculations!$U142*10^-6 + (1/$S142 - 1)*calculate_domegadP(Calculations!M142,Calculations!N142,Calculations!Q142,'Reaction Information'!$C$21,'Reaction Information'!$P$21*10^5,'Reaction Information'!$Q$21,$D$20,$D$19=3))*41.84)</f>
        <v>#N/A</v>
      </c>
      <c r="BP142" s="8" t="e">
        <f>IF(OR(ISBLANK(Input!$AG$4),$D$27=FALSE),NA(),('Reaction Information'!$J$25/10+'Reaction Information'!$K$25*100/(Calculations!$C$12+Calculations!$M142)+('Reaction Information'!$L$25+'Reaction Information'!$M$25*10000/(Calculations!$C$12+Calculations!$M142))/(Calculations!$O142-Calculations!$C$13)-calculateOmega(Calculations!M142,Calculations!N142,Calculations!Q142,'Reaction Information'!$C$25,'Reaction Information'!$P$25*10^5,'Reaction Information'!$Q$25)*Calculations!$U142*10^-6 + (1/$S142 - 1)*calculate_domegadP(Calculations!M142,Calculations!N142,Calculations!Q142,'Reaction Information'!$C$25,'Reaction Information'!$P$25*10^5,'Reaction Information'!$Q$25,$D$20,$D$19=3))*41.84)</f>
        <v>#N/A</v>
      </c>
      <c r="BQ142" s="8" t="e">
        <f>IF(OR(ISBLANK(Input!$AJ$4),$D$27=FALSE),NA(),('Reaction Information'!$J$29/10+'Reaction Information'!$K$29*100/(Calculations!$C$12+Calculations!$M142)+('Reaction Information'!$L$29+'Reaction Information'!$M$29*10000/(Calculations!$C$12+Calculations!$M142))/(Calculations!$O142-Calculations!$C$13)-calculateOmega(Calculations!M142,Calculations!N142,Calculations!Q142,'Reaction Information'!$C$29,'Reaction Information'!$P$29*10^5,'Reaction Information'!$Q$29)*Calculations!$U142*10^-6 + (1/$S142 - 1)*calculate_domegadP(Calculations!M142,Calculations!N142,Calculations!Q142,'Reaction Information'!$C$29,'Reaction Information'!$P$29*10^5,'Reaction Information'!$Q$29,$D$20,$D$19=3))*41.84)</f>
        <v>#N/A</v>
      </c>
      <c r="BR142" s="8" t="e">
        <f>IF(OR(ISBLANK(Input!$AM$4),$D$27=FALSE),NA(),('Reaction Information'!$J$33/10+'Reaction Information'!$K$33*100/(Calculations!$C$12+Calculations!$M142)+('Reaction Information'!$L$33+'Reaction Information'!$M$33*10000/(Calculations!$C$12+Calculations!$M142))/(Calculations!$O142-Calculations!$C$13)-calculateOmega(Calculations!M142,Calculations!N142,Calculations!Q142,'Reaction Information'!$C$33,'Reaction Information'!$P$33*10^5,'Reaction Information'!$Q$33)*Calculations!$U142*10^-6 + (1/$S142 - 1)*calculate_domegadP(Calculations!M142,Calculations!N142,Calculations!Q142,'Reaction Information'!$C$33,'Reaction Information'!$P$33*10^5,'Reaction Information'!$Q$33,$D$20,$D$19=3))*41.84)</f>
        <v>#N/A</v>
      </c>
      <c r="BS142" s="1">
        <f>Results!AW144</f>
        <v>0</v>
      </c>
      <c r="BT142" s="1">
        <f>Results!AX144</f>
        <v>0</v>
      </c>
      <c r="BU142" s="1">
        <f>Results!AY144</f>
        <v>0</v>
      </c>
      <c r="BV142" s="1">
        <f>Results!AZ144</f>
        <v>0</v>
      </c>
      <c r="BW142" s="1" t="e">
        <f>IF(OR(ISNA('Reaction Information'!$D$38), $N142 = "", $D$27 = FALSE, 'Reaction Information'!$D$38 = ""), NA(), 24.465)</f>
        <v>#N/A</v>
      </c>
      <c r="BX142" s="1" t="e">
        <f>IF(OR(ISNA('Reaction Information'!$D$42), $N142 = "", $D$27 = FALSE, 'Reaction Information'!$D$42 = ""), NA(), 24.465)</f>
        <v>#N/A</v>
      </c>
      <c r="BY142" s="8" t="e">
        <f t="shared" si="41"/>
        <v>#N/A</v>
      </c>
      <c r="BZ142" s="8">
        <f>IF(OR(ISBLANK(Input!$BK$4),$D$27=FALSE),NA(),('Reaction Information'!$J$46/10+'Reaction Information'!$K$46*100/(Calculations!$C$12+Calculations!$M142)+('Reaction Information'!$L$46+'Reaction Information'!$M$46*10000/(Calculations!$C$12+Calculations!$M142))/(Calculations!$O142-Calculations!$C$13)-calculateOmega(Calculations!M142,Calculations!N142,Calculations!Q142,'Reaction Information'!$C$46,'Reaction Information'!$P$46*10^5,'Reaction Information'!$Q$46)*Calculations!$U142*10^-6 + (1/$S142 - 1)*calculate_domegadP(Calculations!M142,Calculations!N142,Calculations!Q142,'Reaction Information'!$C$46,'Reaction Information'!$P$46*10^5,'Reaction Information'!$Q$46,$D$20,$D$19=3))*41.84)</f>
        <v>0</v>
      </c>
      <c r="CA142" s="8">
        <f>IF(OR(ISBLANK(Input!$BN$4),$D$27=FALSE),NA(),('Reaction Information'!$J$50/10+'Reaction Information'!$K$50*100/(Calculations!$C$12+Calculations!$M142)+('Reaction Information'!$L$50+'Reaction Information'!$M$50*10000/(Calculations!$C$12+Calculations!$M142))/(Calculations!$O142-Calculations!$C$13)-calculateOmega(Calculations!M142,Calculations!N142,Calculations!Q142,'Reaction Information'!$C$50,'Reaction Information'!$P$50*10^5,'Reaction Information'!$Q$50)*Calculations!$U142*10^-6 + (1/$S142 - 1)*calculate_domegadP(Calculations!M142,Calculations!N142,Calculations!Q142,'Reaction Information'!$C$50,'Reaction Information'!$P$50*10^5,'Reaction Information'!$Q$50,$D$20,$D$19=3))*41.84)</f>
        <v>31.638531440493633</v>
      </c>
      <c r="CB142" s="8" t="e">
        <f>IF(OR(ISBLANK(Input!$BQ$4),$D$27=FALSE),NA(),('Reaction Information'!$J$54/10+'Reaction Information'!$K$54*100/(Calculations!$C$12+Calculations!$M142)+('Reaction Information'!$L$54+'Reaction Information'!$M$54*10000/(Calculations!$C$12+Calculations!$M142))/(Calculations!$O142-Calculations!$C$13)-calculateOmega(Calculations!M142,Calculations!N142,Calculations!Q142,'Reaction Information'!$C$54,'Reaction Information'!$P$54*10^5,'Reaction Information'!$Q$54)*Calculations!$U142*10^-6 + (1/$S142 - 1)*calculate_domegadP(Calculations!M142,Calculations!N142,Calculations!Q142,'Reaction Information'!$C$54,'Reaction Information'!$P$54*10^5,'Reaction Information'!$Q$54,$D$20,$D$19=3))*41.84)</f>
        <v>#N/A</v>
      </c>
      <c r="CC142" s="8" t="e">
        <f>IF(OR(ISBLANK(Input!$BT$4),$D$27=FALSE),NA(),('Reaction Information'!$J$58/10+'Reaction Information'!$K$58*100/(Calculations!$C$12+Calculations!$M142)+('Reaction Information'!$L$58+'Reaction Information'!$M$58*10000/(Calculations!$C$12+Calculations!$M142))/(Calculations!$O142-Calculations!$C$13)-calculateOmega(Calculations!M142,Calculations!N142,Calculations!Q142,'Reaction Information'!$C$58,'Reaction Information'!$P$58*10^5,'Reaction Information'!$Q$58)*Calculations!$U142*10^-6 + (1/$S142 - 1)*calculate_domegadP(Calculations!M142,Calculations!N142,Calculations!Q142,'Reaction Information'!$C$58,'Reaction Information'!$P$58*10^5,'Reaction Information'!$Q$58,$D$20,$D$19=3))*41.84)</f>
        <v>#N/A</v>
      </c>
      <c r="CD142" s="8" t="e">
        <f>IF(OR(ISBLANK(Input!$BW$4),$D$27=FALSE),NA(),('Reaction Information'!$J$62/10+'Reaction Information'!$K$62*100/(Calculations!$C$12+Calculations!$M142)+('Reaction Information'!$L$62+'Reaction Information'!$M$62*10000/(Calculations!$C$12+Calculations!$M142))/(Calculations!$O142-Calculations!$C$13)-calculateOmega(Calculations!M142,Calculations!N142,Calculations!Q142,'Reaction Information'!$C$62,'Reaction Information'!$P$62*10^5,'Reaction Information'!$Q$62)*Calculations!$U142*10^-6 + (1/$S142 - 1)*calculate_domegadP(Calculations!M142,Calculations!N142,Calculations!Q142,'Reaction Information'!$C$62,'Reaction Information'!$P$62*10^5,'Reaction Information'!$Q$62,$D$20,$D$19=3))*41.84)</f>
        <v>#N/A</v>
      </c>
      <c r="CE142" s="8" t="e">
        <f>IF(OR(ISBLANK(Input!$BZ$4),$D$27=FALSE),NA(),('Reaction Information'!$J$66/10+'Reaction Information'!$K$66*100/(Calculations!$C$12+Calculations!$M142)+('Reaction Information'!$L$66+'Reaction Information'!$M$66*10000/(Calculations!$C$12+Calculations!$M142))/(Calculations!$O142-Calculations!$C$13)-calculateOmega(Calculations!M142,Calculations!N142,Calculations!Q142,'Reaction Information'!$C$66,'Reaction Information'!$P$66*10^5,'Reaction Information'!$Q$66)*Calculations!$U142*10^-6 + (1/$S142 - 1)*calculate_domegadP(Calculations!M142,Calculations!N142,Calculations!Q142,'Reaction Information'!$C$66,'Reaction Information'!$P$66*10^5,'Reaction Information'!$Q$66,$D$20,$D$19=3))*41.84)</f>
        <v>#N/A</v>
      </c>
      <c r="CF142" s="31">
        <f>(BS142*Input!$AO$4+BT142*Input!$AR$4+BU142*Input!$AU$4+BV142*Input!$AX$4+IF(ISNA(BW142),0,BW142*Input!$BA$4)+IF(ISNA(BX142),0,BX142*Input!$BD$4)+IF(ISNA(BY142),0,BY142*Input!$BG$4)+IF(ISNA(BZ142),0,BZ142*Input!$BJ$4)+IF(ISNA(CA142),0,CA142*Input!$BM$4)+IF(ISNA(CB142),0,CB142*Input!$BP$4)+IF(ISNA(CC142),0,CC142*Input!$BS$4)+IF(ISNA(CD142),0,CD142*Input!$BV$4)+IF(ISNA(CE142),0,CE142*Input!$BY$4))-(BF142*Input!$B$4+BG142*Input!$E$4+BH142*Input!$H$4+BI142*Input!$K$4+IF(ISNA(BJ142),0,BJ142*Input!$N$4)+IF(ISNA(BK142),0,BK142*Input!$Q$4)+IF(ISNA(BL142),0,BL142*Input!$T$4)+IF(ISNA(BM142),0,BM142*Input!$W$4)+IF(ISNA(BN142),0,BN142*Input!$Z$4)+IF(ISNA(BO142),0,BO142*Input!$AC$4)+IF(ISNA(BP142),0,BP142*Input!$AF$4)+IF(ISNA(BQ142),0,BQ142*Input!$AI$4)+IF(ISNA(BR142),0,BR142*Input!$AL$4))</f>
        <v>-10.567404847490767</v>
      </c>
      <c r="CG142" s="1">
        <f t="shared" si="50"/>
        <v>350</v>
      </c>
      <c r="CH142" s="46">
        <f t="shared" si="51"/>
        <v>50000</v>
      </c>
      <c r="CI142" s="1"/>
    </row>
    <row r="143" spans="1:87" x14ac:dyDescent="0.2">
      <c r="A143" s="1"/>
      <c r="B143" s="1"/>
      <c r="C143" s="1"/>
      <c r="D143" s="1"/>
      <c r="E143" s="1"/>
      <c r="F143" s="2">
        <v>138</v>
      </c>
      <c r="G143" s="1" t="str">
        <f>IF(ISBLANK(Input!CB143), "", Input!CB143*1000)</f>
        <v/>
      </c>
      <c r="H143" s="1" t="str">
        <f>IF(ISBLANK(Input!CC143), "", Input!CC143)</f>
        <v/>
      </c>
      <c r="I143" s="1">
        <f>IF(Input!$CF$5 + Input!$CF$6*(FLOOR((Calculations!$F143-1)/(FLOOR((Input!$CF$12-Input!$CF$10)/Input!$CF$11,1)+1),1)) &gt; Input!$CF$7, "", (Input!$CF$5 + Input!$CF$6*(FLOOR((Calculations!$F143-1)/(FLOOR((Input!$CF$12-Input!$CF$10)/Input!$CF$11,1)+1),1)))*1000)</f>
        <v>50000</v>
      </c>
      <c r="J143" s="1">
        <f>IF(Calculations!I143 = "", "", Input!$CF$10 + Input!$CF$11*(Calculations!$F143-1) - (FLOOR((Input!$CF$12-Input!$CF$10)/Input!$CF$11,1)+1)*Input!$CF$11*FLOOR((Calculations!$F143-1)/(FLOOR((Input!$CF$12-Input!$CF$10)/Input!$CF$11,1)+1),1))</f>
        <v>400</v>
      </c>
      <c r="K143" s="8" t="str">
        <f t="shared" si="52"/>
        <v/>
      </c>
      <c r="L143" s="117" t="str">
        <f>IF(OR(Input!$CJ$5 + Input!$CJ$6*(Calculations!F143-1) &gt; Input!$CJ$7, Input!$CJ$5 + Input!$CJ$6*(Calculations!F143-1) &gt; 350), "", Input!$CJ$5 + Input!$CJ$6*(Calculations!F143-1))</f>
        <v/>
      </c>
      <c r="M143" s="1">
        <f t="shared" si="42"/>
        <v>50000</v>
      </c>
      <c r="N143" s="1">
        <f t="shared" si="43"/>
        <v>400</v>
      </c>
      <c r="O143" s="1">
        <f t="shared" si="38"/>
        <v>673.15</v>
      </c>
      <c r="P143" s="1" t="e">
        <f>IF(OR($D$20=3,AND($D$21=TRUE,M143&lt;1000)),INDEX('Water Density'!$C$6:$CX$120,MATCH(Calculations!N143,'Water Density'!$B$6:$B$120),MATCH(Calculations!M143/1000,'Water Density'!$C$5:$CX$5)),NA())</f>
        <v>#N/A</v>
      </c>
      <c r="Q143" s="182">
        <f>IF(OR($D$20=3,AND($D$21=TRUE,M143&lt;1000)), IF(P143&lt;&gt;0,P143,NA()), calculateDensity(M143,N143,$D$20,0.01,$D$19 = 3))</f>
        <v>1.4429945310783387</v>
      </c>
      <c r="R143" s="1" t="e">
        <f>IF($D$22=5,INDEX('Dielectric Constant'!$C$6:$CX$120,MATCH(Calculations!N143,'Dielectric Constant'!$B$6:$B$120),MATCH(Calculations!M143/1000,'Dielectric Constant'!$C$5:$CX$5)),NA())</f>
        <v>#N/A</v>
      </c>
      <c r="S143" s="58">
        <f>IF($D$22=5, IF(R143&lt;&gt;0,R143,NA()), IF(AND($D$23,M143&lt;=5000,$D$19 &lt;&gt; 3),calculateEpsilon(Q143,N143,1,FALSE),calculateEpsilon(Q143,N143,$D$22,$D$19 = 3)))</f>
        <v>48.748255810437676</v>
      </c>
      <c r="T143" s="1" t="e">
        <f>IF($D$24=3,INDEX('Water Free Energy'!$C$6:$CX$120,MATCH(Calculations!N143,'Water Free Energy'!$B$6:$B$120),MATCH(Calculations!M143/1000,'Water Free Energy'!$C$5:$CX$5)),NA())</f>
        <v>#N/A</v>
      </c>
      <c r="U143" s="179">
        <f>IF($D$27,calculateQ(M143,N143,Q143,$D$20,$D$22,$D$19=3)*10^6,NA())</f>
        <v>9.2628943658874599E-2</v>
      </c>
      <c r="V143"/>
      <c r="W143" s="2">
        <f t="shared" si="44"/>
        <v>50000</v>
      </c>
      <c r="X143" s="1">
        <f t="shared" si="45"/>
        <v>400</v>
      </c>
      <c r="Y143" s="1">
        <f>Results!F145</f>
        <v>0</v>
      </c>
      <c r="Z143" s="1">
        <f>Results!G145</f>
        <v>0</v>
      </c>
      <c r="AA143" s="1">
        <f>Results!H145</f>
        <v>0</v>
      </c>
      <c r="AB143" s="1">
        <f>Results!I145</f>
        <v>0</v>
      </c>
      <c r="AC143" s="1" t="e">
        <f>IF(ISBLANK(Input!$O$4),NA(),'Reaction Information'!$E$5-'Reaction Information'!$G$5*(Calculations!$O143-Calculations!$C$8)+'Reaction Information'!$I$5*(Calculations!$O143-Calculations!$C$8-Calculations!$O143*LN(Calculations!$O143/Calculations!$C$8))+'Reaction Information'!$J$5*0.001/2*(2*Calculations!$O143*Calculations!$C$8-Calculations!$O143^2-Calculations!$C$8^2) + 'Reaction Information'!$K$5*100000*(Calculations!$O143^2 + Calculations!$C$8^2 - 2*Calculations!$O143*Calculations!$C$8)/(2*Calculations!$O143*Calculations!$C$8^2))</f>
        <v>#N/A</v>
      </c>
      <c r="AD143" s="8" t="e">
        <f>IF(ISBLANK(Input!$R$4),NA(),'Reaction Information'!$E$9-'Reaction Information'!$G$9*(Calculations!$O143-Calculations!$C$8)+'Reaction Information'!$I$9*(Calculations!$O143-Calculations!$C$8-Calculations!$O143*LN(Calculations!$O143/Calculations!$C$8))+'Reaction Information'!$J$9*0.001/2*(2*Calculations!$O143*Calculations!$C$8-Calculations!$O143^2-Calculations!$C$8^2) + 'Reaction Information'!$K$9*100000*(Calculations!$O143^2 + Calculations!$C$8^2 - 2*Calculations!$O143*Calculations!$C$8)/(2*Calculations!$O143*Calculations!$C$8^2))</f>
        <v>#N/A</v>
      </c>
      <c r="AE143" s="8">
        <f>IF(AE$5="H2O",IF($D$24=3,IF(T143=0,NA(),T143),calculateGibbsOfWater(M143,N143,$D$24,$D$20,$D$19=3)),NA())</f>
        <v>-47771.034689580119</v>
      </c>
      <c r="AF143" s="8">
        <f>IF(ISBLANK(Input!$X$4),NA(),'Reaction Information'!$E$13-'Reaction Information'!$G$13*(Calculations!O143-Calculations!$C$8)-'Reaction Information'!$N$13*(Calculations!O143*LN(Calculations!O143/Calculations!$C$8)-Calculations!O143+Calculations!$C$8)-'Reaction Information'!$O$13*10^4*(((1/(Calculations!O143-Calculations!$C$13))-(1/(Calculations!$C$8-Calculations!$C$13)))*((Calculations!$C$13-Calculations!O143)/(Calculations!$C$13))-(Calculations!O143/(Calculations!$C$13*Calculations!$C$13))*LN((Calculations!$C$8*(Calculations!O143-Calculations!$C$13))/(Calculations!O143*(Calculations!$C$8-Calculations!$C$13))))+'Reaction Information'!$J$13*10^-1*(Calculations!M143-Calculations!$C$9)+'Reaction Information'!$K$13*10^2*LN((Calculations!$C$12+Calculations!M143)/(Calculations!$C$12+Calculations!$C$9))+(1/(Calculations!O143-Calculations!$C$13))*('Reaction Information'!$L$13*(Calculations!M143-Calculations!$C$9)+'Reaction Information'!$M$13*10^4*LN((Calculations!$C$12+Calculations!M143)/(Calculations!$C$12+Calculations!$C$9)))+calculateOmega(Calculations!M143,Calculations!N143,Calculations!Q143,'Reaction Information'!$C$13,'Reaction Information'!$P$13*10^5,'Reaction Information'!$Q$13)*((1/Calculations!S143)-1)-'Reaction Information'!$P$13*10^5*((1/Calculations!$C$10)-1)+'Reaction Information'!$P$13*10^5*Calculations!$C$14*(Calculations!O143-Calculations!$C$8))</f>
        <v>-70407.115800123865</v>
      </c>
      <c r="AG143" s="8" t="e">
        <f>IF(ISBLANK(Input!$AA$4),NA(),'Reaction Information'!$E$17-'Reaction Information'!$G$17*(Calculations!$O143-Calculations!$C$8)-'Reaction Information'!$N$17*(Calculations!$O143*LN(Calculations!$O143/Calculations!$C$8)-Calculations!$O143+Calculations!$C$8)-'Reaction Information'!$O$17*10^4*(((1/(Calculations!$O143-Calculations!$C$13))-(1/(Calculations!$C$8-Calculations!$C$13)))*((Calculations!$C$13-Calculations!$O143)/(Calculations!$C$13))-(Calculations!$O143/(Calculations!$C$13*Calculations!$C$13))*LN((Calculations!$C$8*(Calculations!$O143-Calculations!$C$13))/(Calculations!$O143*(Calculations!$C$8-Calculations!$C$13))))+'Reaction Information'!$J$17*10^-1*(Calculations!$M143-Calculations!$C$9)+'Reaction Information'!$K$17*10^2*LN((Calculations!$C$12+Calculations!$M143)/(Calculations!$C$12+Calculations!$C$9))+(1/(Calculations!$O143-Calculations!$C$13))*('Reaction Information'!$L$17*(Calculations!$M143-Calculations!$C$9)+'Reaction Information'!$M$17*10^4*LN((Calculations!$C$12+Calculations!$M143)/(Calculations!$C$12+Calculations!$C$9)))+calculateOmega(Calculations!M143,Calculations!N143,Calculations!Q143,'Reaction Information'!$C$17,'Reaction Information'!$P$17*10^5,'Reaction Information'!$Q$17)*((1/Calculations!$S143)-1)-'Reaction Information'!$P$17*10^5*((1/Calculations!$C$10)-1)+'Reaction Information'!$P$17*10^5*Calculations!$C$14*(Calculations!$O143-Calculations!$C$8))</f>
        <v>#N/A</v>
      </c>
      <c r="AH143" s="8" t="e">
        <f>IF(ISBLANK(Input!$AD$4),NA(),'Reaction Information'!$E$21-'Reaction Information'!$G$21*(Calculations!$O143-Calculations!$C$8)-'Reaction Information'!$N$21*(Calculations!$O143*LN(Calculations!$O143/Calculations!$C$8)-Calculations!$O143+Calculations!$C$8)-'Reaction Information'!$O$21*10^4*(((1/(Calculations!$O143-Calculations!$C$13))-(1/(Calculations!$C$8-Calculations!$C$13)))*((Calculations!$C$13-Calculations!$O143)/(Calculations!$C$13))-(Calculations!$O143/(Calculations!$C$13*Calculations!$C$13))*LN((Calculations!$C$8*(Calculations!$O143-Calculations!$C$13))/(Calculations!$O143*(Calculations!$C$8-Calculations!$C$13))))+'Reaction Information'!$J$21*10^-1*(Calculations!$M143-Calculations!$C$9)+'Reaction Information'!$K$21*10^2*LN((Calculations!$C$12+Calculations!$M143)/(Calculations!$C$12+Calculations!$C$9))+(1/(Calculations!$O143-Calculations!$C$13))*('Reaction Information'!$L$21*(Calculations!$M143-Calculations!$C$9)+'Reaction Information'!$M$21*10^4*LN((Calculations!$C$12+Calculations!$M143)/(Calculations!$C$12+Calculations!$C$9)))+calculateOmega(Calculations!M143,Calculations!N143,Calculations!Q143,'Reaction Information'!$C$21,'Reaction Information'!$P$21*10^5,'Reaction Information'!$Q$21)*((1/Calculations!$S143)-1)-'Reaction Information'!$P$21*10^5*((1/Calculations!$C$10)-1)+'Reaction Information'!$P$21*10^5*Calculations!$C$14*(Calculations!$O143-Calculations!$C$8))</f>
        <v>#N/A</v>
      </c>
      <c r="AI143" s="8" t="e">
        <f>IF(ISBLANK(Input!$AG$4),NA(),'Reaction Information'!$E$25-'Reaction Information'!$G$25*(Calculations!$O143-Calculations!$C$8)-'Reaction Information'!$N$25*(Calculations!$O143*LN(Calculations!$O143/Calculations!$C$8)-Calculations!$O143+Calculations!$C$8)-'Reaction Information'!$O$25*10^4*(((1/(Calculations!$O143-Calculations!$C$13))-(1/(Calculations!$C$8-Calculations!$C$13)))*((Calculations!$C$13-Calculations!$O143)/(Calculations!$C$13))-(Calculations!$O143/(Calculations!$C$13*Calculations!$C$13))*LN((Calculations!$C$8*(Calculations!$O143-Calculations!$C$13))/(Calculations!$O143*(Calculations!$C$8-Calculations!$C$13))))+'Reaction Information'!$J$25*10^-1*(Calculations!$M143-Calculations!$C$9)+'Reaction Information'!$K$25*10^2*LN((Calculations!$C$12+Calculations!$M143)/(Calculations!$C$12+Calculations!$C$9))+(1/(Calculations!$O143-Calculations!$C$13))*('Reaction Information'!$L$25*(Calculations!$M143-Calculations!$C$9)+'Reaction Information'!$M$25*10^4*LN((Calculations!$C$12+Calculations!$M143)/(Calculations!$C$12+Calculations!$C$9)))+calculateOmega(Calculations!M143,Calculations!N143,Calculations!Q143,'Reaction Information'!$C$25,'Reaction Information'!$P$25*10^5,'Reaction Information'!$Q$25)*((1/Calculations!$S143)-1)-'Reaction Information'!$P$25*10^5*((1/Calculations!$C$10)-1)+'Reaction Information'!$P$25*10^5*Calculations!$C$14*(Calculations!$O143-Calculations!$C$8))</f>
        <v>#N/A</v>
      </c>
      <c r="AJ143" s="8" t="e">
        <f>IF(ISBLANK(Input!$AJ$4),NA(),'Reaction Information'!$E$29-'Reaction Information'!$G$29*(Calculations!$O143-Calculations!$C$8)-'Reaction Information'!$N$29*(Calculations!$O143*LN(Calculations!$O143/Calculations!$C$8)-Calculations!$O143+Calculations!$C$8)-'Reaction Information'!$O$29*10^4*(((1/(Calculations!$O143-Calculations!$C$13))-(1/(Calculations!$C$8-Calculations!$C$13)))*((Calculations!$C$13-Calculations!$O143)/(Calculations!$C$13))-(Calculations!$O143/(Calculations!$C$13*Calculations!$C$13))*LN((Calculations!$C$8*(Calculations!$O143-Calculations!$C$13))/(Calculations!$O143*(Calculations!$C$8-Calculations!$C$13))))+'Reaction Information'!$J$29*10^-1*(Calculations!$M143-Calculations!$C$9)+'Reaction Information'!$K$29*10^2*LN((Calculations!$C$12+Calculations!$M143)/(Calculations!$C$12+Calculations!$C$9))+(1/(Calculations!$O143-Calculations!$C$13))*('Reaction Information'!$L$29*(Calculations!$M143-Calculations!$C$9)+'Reaction Information'!$M$29*10^4*LN((Calculations!$C$12+Calculations!$M143)/(Calculations!$C$12+Calculations!$C$9)))+calculateOmega(Calculations!M143,Calculations!N143,Calculations!Q143,'Reaction Information'!$C$29,'Reaction Information'!$P$29*10^5,'Reaction Information'!$Q$29)*((1/Calculations!$S143)-1)-'Reaction Information'!$P$29*10^5*((1/Calculations!$C$10)-1)+'Reaction Information'!$P$29*10^5*Calculations!$C$14*(Calculations!$O143-Calculations!$C$8))</f>
        <v>#N/A</v>
      </c>
      <c r="AK143" s="8" t="e">
        <f>IF(ISBLANK(Input!$AM$4),NA(),'Reaction Information'!$E$33-'Reaction Information'!$G$33*(Calculations!$O143-Calculations!$C$8)-'Reaction Information'!$N$33*(Calculations!$O143*LN(Calculations!$O143/Calculations!$C$8)-Calculations!$O143+Calculations!$C$8)-'Reaction Information'!$O$33*10^4*(((1/(Calculations!$O143-Calculations!$C$13))-(1/(Calculations!$C$8-Calculations!$C$13)))*((Calculations!$C$13-Calculations!$O143)/(Calculations!$C$13))-(Calculations!$O143/(Calculations!$C$13*Calculations!$C$13))*LN((Calculations!$C$8*(Calculations!$O143-Calculations!$C$13))/(Calculations!$O143*(Calculations!$C$8-Calculations!$C$13))))+'Reaction Information'!$J$33*10^-1*(Calculations!$M143-Calculations!$C$9)+'Reaction Information'!$K$33*10^2*LN((Calculations!$C$12+Calculations!$M143)/(Calculations!$C$12+Calculations!$C$9))+(1/(Calculations!$O143-Calculations!$C$13))*('Reaction Information'!$L$33*(Calculations!$M143-Calculations!$C$9)+'Reaction Information'!$M$33*10^4*LN((Calculations!$C$12+Calculations!$M143)/(Calculations!$C$12+Calculations!$C$9)))+calculateOmega(Calculations!M143,Calculations!N143,Calculations!Q143,'Reaction Information'!$C$33,'Reaction Information'!$P$33*10^5,'Reaction Information'!$Q$33)*((1/Calculations!$S143)-1)-'Reaction Information'!$P$33*10^5*((1/Calculations!$C$10)-1)+'Reaction Information'!$P$33*10^5*Calculations!$C$14*(Calculations!$O143-Calculations!$C$8))</f>
        <v>#N/A</v>
      </c>
      <c r="AL143" s="1">
        <f>Results!S145</f>
        <v>0</v>
      </c>
      <c r="AM143" s="1">
        <f>Results!T145</f>
        <v>0</v>
      </c>
      <c r="AN143" s="1">
        <f>Results!U145</f>
        <v>0</v>
      </c>
      <c r="AO143" s="1">
        <f>Results!V145</f>
        <v>0</v>
      </c>
      <c r="AP143" s="8" t="e">
        <f>IF(ISBLANK(Input!$BB$4),NA(),'Reaction Information'!$E$38-'Reaction Information'!$G$38*(Calculations!$O143-Calculations!$C$8)+'Reaction Information'!$I$38*(Calculations!$O143-Calculations!$C$8-Calculations!$O143*LN(Calculations!$O143/Calculations!$C$8))+'Reaction Information'!$J$38*0.001/2*(2*Calculations!$O143*Calculations!$C$8-Calculations!$O143^2-Calculations!$C$8^2) + 'Reaction Information'!$K$38*100000*(Calculations!$O143^2 + Calculations!$C$8^2 - 2*Calculations!$O143*Calculations!$C$8)/(2*Calculations!$O143*Calculations!$C$8^2))</f>
        <v>#N/A</v>
      </c>
      <c r="AQ143" s="8" t="e">
        <f>IF(ISBLANK(Input!$BE$4),NA(),'Reaction Information'!$E$42-'Reaction Information'!$G$42*(Calculations!$O143-Calculations!$C$8)+'Reaction Information'!$I$42*(Calculations!$O143-Calculations!$C$8-Calculations!$O143*LN(Calculations!$O143/Calculations!$C$8))+'Reaction Information'!$J$42*0.001/2*(2*Calculations!$O143*Calculations!$C$8-Calculations!$O143^2-Calculations!$C$8^2) + 'Reaction Information'!$K$42*100000*(Calculations!$O143^2 + Calculations!$C$8^2 - 2*Calculations!$O143*Calculations!$C$8)/(2*Calculations!$O143*Calculations!$C$8^2))</f>
        <v>#N/A</v>
      </c>
      <c r="AR143" s="8" t="e">
        <f>IF(AR$5="H2O", IF($D$24=3,IF(T143=0,NA(),T143),calculateGibbsOfWater(M143,N143,$D$24,$D$20,$D$19=3)),NA())</f>
        <v>#N/A</v>
      </c>
      <c r="AS143" s="8">
        <f>IF(ISBLANK(Input!$BK$4),NA(),'Reaction Information'!$E$46-'Reaction Information'!$G$46*(Calculations!O143-Calculations!$C$8)-'Reaction Information'!$N$46*(Calculations!O143*LN(Calculations!O143/Calculations!$C$8)-Calculations!O143+Calculations!$C$8)-'Reaction Information'!$O$46*10^4*(((1/(Calculations!O143-Calculations!$C$13))-(1/(Calculations!$C$8-Calculations!$C$13)))*((Calculations!$C$13-Calculations!O143)/(Calculations!$C$13))-(Calculations!O143/(Calculations!$C$13*Calculations!$C$13))*LN((Calculations!$C$8*(Calculations!O143-Calculations!$C$13))/(Calculations!O143*(Calculations!$C$8-Calculations!$C$13))))+'Reaction Information'!$J$46*10^-1*(Calculations!$M143-Calculations!$C$9)+'Reaction Information'!$K$46*10^2*LN((Calculations!$C$12+Calculations!$M143)/(Calculations!$C$12+Calculations!$C$9))+(1/(Calculations!O143-Calculations!$C$13))*('Reaction Information'!$L$46*(Calculations!$M143-Calculations!$C$9)+'Reaction Information'!$M$46*10^4*LN((Calculations!$C$12+Calculations!$M143)/(Calculations!$C$12+Calculations!$C$9)))+calculateOmega(Calculations!M143,Calculations!N143,Calculations!Q143,'Reaction Information'!$C$46,'Reaction Information'!$P$46*10^5,'Reaction Information'!$Q$46)*((1/Calculations!S143)-1)-'Reaction Information'!$P$46*10^5*((1/Calculations!$C$10)-1)+'Reaction Information'!$P$46*10^5*Calculations!$C$14*(Calculations!O143-Calculations!$C$8))</f>
        <v>0</v>
      </c>
      <c r="AT143" s="8">
        <f>IF(ISBLANK(Input!$BN$4),NA(),'Reaction Information'!$E$50-'Reaction Information'!$G$50*(Calculations!O143-Calculations!$C$8)-'Reaction Information'!$N$50*(Calculations!O143*LN(Calculations!O143/Calculations!$C$8)-Calculations!O143+Calculations!$C$8)-'Reaction Information'!$O$50*10^4*(((1/(Calculations!O143-Calculations!$C$13))-(1/(Calculations!$C$8-Calculations!$C$13)))*((Calculations!$C$13-Calculations!O143)/(Calculations!$C$13))-(Calculations!O143/(Calculations!$C$13*Calculations!$C$13))*LN((Calculations!$C$8*(Calculations!O143-Calculations!$C$13))/(Calculations!O143*(Calculations!$C$8-Calculations!$C$13))))+'Reaction Information'!$J$50*10^-1*(Calculations!$M143-Calculations!$C$9)+'Reaction Information'!$K$50*10^2*LN((Calculations!$C$12+Calculations!$M143)/(Calculations!$C$12+Calculations!$C$9))+(1/(Calculations!O143-Calculations!$C$13))*('Reaction Information'!$L$50*(Calculations!$M143-Calculations!$C$9)+'Reaction Information'!$M$50*10^4*LN((Calculations!$C$12+Calculations!$M143)/(Calculations!$C$12+Calculations!$C$9)))+calculateOmega(Calculations!M143,Calculations!N143,Calculations!Q143,'Reaction Information'!$C$50,'Reaction Information'!$P$50*10^5,'Reaction Information'!$Q$50)*((1/Calculations!S143)-1)-'Reaction Information'!$P$50*10^5*((1/Calculations!$C$10)-1)+'Reaction Information'!$P$50*10^5*Calculations!$C$14*(Calculations!O143-Calculations!$C$8))</f>
        <v>-114005.12011599686</v>
      </c>
      <c r="AU143" s="8" t="e">
        <f>IF(ISBLANK(Input!$BQ$4),NA(),'Reaction Information'!$E$54-'Reaction Information'!$G$54*(Calculations!$O143-Calculations!$C$8)-'Reaction Information'!$N$54*(Calculations!$O143*LN(Calculations!$O143/Calculations!$C$8)-Calculations!$O143+Calculations!$C$8)-'Reaction Information'!$O$54*10^4*(((1/(Calculations!$O143-Calculations!$C$13))-(1/(Calculations!$C$8-Calculations!$C$13)))*((Calculations!$C$13-Calculations!$O143)/(Calculations!$C$13))-(Calculations!$O143/(Calculations!$C$13*Calculations!$C$13))*LN((Calculations!$C$8*(Calculations!$O143-Calculations!$C$13))/(Calculations!$O143*(Calculations!$C$8-Calculations!$C$13))))+'Reaction Information'!$J$54*10^-1*(Calculations!$M143-Calculations!$C$9)+'Reaction Information'!$K$54*10^2*LN((Calculations!$C$12+Calculations!$M143)/(Calculations!$C$12+Calculations!$C$9))+(1/(Calculations!$O143-Calculations!$C$13))*('Reaction Information'!$L$54*(Calculations!$M143-Calculations!$C$9)+'Reaction Information'!$M$54*10^4*LN((Calculations!$C$12+Calculations!$M143)/(Calculations!$C$12+Calculations!$C$9)))+calculateOmega(Calculations!M143,Calculations!N143,Calculations!Q143,'Reaction Information'!$C$54,'Reaction Information'!$P$54*10^5,'Reaction Information'!$Q$54)*((1/Calculations!$S143)-1)-'Reaction Information'!$P$54*10^5*((1/Calculations!$C$10)-1)+'Reaction Information'!$P$54*10^5*Calculations!$C$14*(Calculations!$O143-Calculations!$C$8))</f>
        <v>#N/A</v>
      </c>
      <c r="AV143" s="8" t="e">
        <f>IF(ISBLANK(Input!$BT$4),NA(),'Reaction Information'!$E$58-'Reaction Information'!$G$58*(Calculations!$O143-Calculations!$C$8)-'Reaction Information'!$N$58*(Calculations!$O143*LN(Calculations!$O143/Calculations!$C$8)-Calculations!$O143+Calculations!$C$8)-'Reaction Information'!$O$58*10^4*(((1/(Calculations!$O143-Calculations!$C$13))-(1/(Calculations!$C$8-Calculations!$C$13)))*((Calculations!$C$13-Calculations!$O143)/(Calculations!$C$13))-(Calculations!$O143/(Calculations!$C$13*Calculations!$C$13))*LN((Calculations!$C$8*(Calculations!$O143-Calculations!$C$13))/(Calculations!$O143*(Calculations!$C$8-Calculations!$C$13))))+'Reaction Information'!$J$58*10^-1*(Calculations!$M143-Calculations!$C$9)+'Reaction Information'!$K$58*10^2*LN((Calculations!$C$12+Calculations!$M143)/(Calculations!$C$12+Calculations!$C$9))+(1/(Calculations!$O143-Calculations!$C$13))*('Reaction Information'!$L$58*(Calculations!$M143-Calculations!$C$9)+'Reaction Information'!$M$58*10^4*LN((Calculations!$C$12+Calculations!$M143)/(Calculations!$C$12+Calculations!$C$9)))+calculateOmega(Calculations!M143,Calculations!N143,Calculations!Q143,'Reaction Information'!$C$58,'Reaction Information'!$P$58*10^5,'Reaction Information'!$Q$58)*((1/Calculations!$S143)-1)-'Reaction Information'!$P$58*10^5*((1/Calculations!$C$10)-1)+'Reaction Information'!$P$58*10^5*Calculations!$C$14*(Calculations!$O143-Calculations!$C$8))</f>
        <v>#N/A</v>
      </c>
      <c r="AW143" s="8" t="e">
        <f>IF(ISBLANK(Input!$BW$4),NA(),'Reaction Information'!$E$62-'Reaction Information'!$G$62*(Calculations!$O143-Calculations!$C$8)-'Reaction Information'!$N$62*(Calculations!$O143*LN(Calculations!$O143/Calculations!$C$8)-Calculations!$O143+Calculations!$C$8)-'Reaction Information'!$O$62*10^4*(((1/(Calculations!$O143-Calculations!$C$13))-(1/(Calculations!$C$8-Calculations!$C$13)))*((Calculations!$C$13-Calculations!$O143)/(Calculations!$C$13))-(Calculations!$O143/(Calculations!$C$13*Calculations!$C$13))*LN((Calculations!$C$8*(Calculations!$O143-Calculations!$C$13))/(Calculations!$O143*(Calculations!$C$8-Calculations!$C$13))))+'Reaction Information'!$J$62*10^-1*(Calculations!$M143-Calculations!$C$9)+'Reaction Information'!$K$62*10^2*LN((Calculations!$C$12+Calculations!$M143)/(Calculations!$C$12+Calculations!$C$9))+(1/(Calculations!$O143-Calculations!$C$13))*('Reaction Information'!$L$62*(Calculations!$M143-Calculations!$C$9)+'Reaction Information'!$M$62*10^4*LN((Calculations!$C$12+Calculations!$M143)/(Calculations!$C$12+Calculations!$C$9)))+calculateOmega(Calculations!M143,Calculations!N143,Calculations!Q143,'Reaction Information'!$C$62,'Reaction Information'!$P$62*10^5,'Reaction Information'!$Q$62)*((1/Calculations!$S143)-1)-'Reaction Information'!$P$62*10^5*((1/Calculations!$C$10)-1)+'Reaction Information'!$P$62*10^5*Calculations!$C$14*(Calculations!$O143-Calculations!$C$8))</f>
        <v>#N/A</v>
      </c>
      <c r="AX143" s="8" t="e">
        <f>IF(ISBLANK(Input!$BZ$4),NA(),'Reaction Information'!$E$66-'Reaction Information'!$G$66*(Calculations!$O143-Calculations!$C$8)-'Reaction Information'!$N$66*(Calculations!$O143*LN(Calculations!$O143/Calculations!$C$8)-Calculations!$O143+Calculations!$C$8)-'Reaction Information'!$O$66*10^4*(((1/(Calculations!$O143-Calculations!$C$13))-(1/(Calculations!$C$8-Calculations!$C$13)))*((Calculations!$C$13-Calculations!$O143)/(Calculations!$C$13))-(Calculations!$O143/(Calculations!$C$13*Calculations!$C$13))*LN((Calculations!$C$8*(Calculations!$O143-Calculations!$C$13))/(Calculations!$O143*(Calculations!$C$8-Calculations!$C$13))))+'Reaction Information'!$J$66*10^-1*(Calculations!$M143-Calculations!$C$9)+'Reaction Information'!$K$66*10^2*LN((Calculations!$C$12+Calculations!$M143)/(Calculations!$C$12+Calculations!$C$9))+(1/(Calculations!$O143-Calculations!$C$13))*('Reaction Information'!$L$66*(Calculations!$M143-Calculations!$C$9)+'Reaction Information'!$M$66*10^4*LN((Calculations!$C$12+Calculations!$M143)/(Calculations!$C$12+Calculations!$C$9)))+calculateOmega(Calculations!M143,Calculations!N143,Calculations!Q143,'Reaction Information'!$C$66,'Reaction Information'!$P$66*10^5,'Reaction Information'!$Q$66)*((1/Calculations!$S143)-1)-'Reaction Information'!$P$66*10^5*((1/Calculations!$C$10)-1)+'Reaction Information'!$P$66*10^5*Calculations!$C$14*(Calculations!$O143-Calculations!$C$8))</f>
        <v>#N/A</v>
      </c>
      <c r="AY143" s="31">
        <f>(AL143*Input!$AO$4+AM143*Input!$AR$4+AN143*Input!$AU$4+AO143*Input!$AX$4+IF(ISNA(AP143),0,AP143*Input!$BA$4)+IF(ISNA(AQ143),0,AQ143*Input!$BD$4)+IF(ISNA(AR143),0,AR143*Input!$BG$4)+IF(ISNA(AS143),0,AS143*Input!$BJ$4)+IF(ISNA(AT143),0,AT143*Input!$BM$4)+IF(ISNA(AU143),0,AU143*Input!$BP$4)+IF(ISNA(AV143),0,AV143*Input!$BS$4)+IF(ISNA(AW143),0,AW143*Input!$BV$4)+IF(ISNA(AX143),0,AX143*Input!$BY$4))-(Y143*Input!$B$4+Z143*Input!$E$4+AA143*Input!$H$4+AB143*Input!$K$4+IF(ISNA(AC143),0,AC143*Input!$N$4)+IF(ISNA(AD143),0,AD143*Input!$Q$4)+IF(ISNA(AE143),0,AE143*Input!$T$4)+IF(ISNA(AF143),0,AF143*Input!$W$4)+IF(ISNA(AG143),0,AG143*Input!$Z$4)+IF(ISNA(AH143),0,AH143*Input!$AC$4)+IF(ISNA(AI143),0,AI143*Input!$AF$4)+IF(ISNA(AJ143),0,AJ143*Input!$AI$4)+IF(ISNA(AK143),0,AK143*Input!$AL$4))</f>
        <v>4173.0303737071226</v>
      </c>
      <c r="AZ143" s="42">
        <f t="shared" si="39"/>
        <v>-1.3557248893261338</v>
      </c>
      <c r="BA143" s="1">
        <f t="shared" si="46"/>
        <v>400</v>
      </c>
      <c r="BB143" s="46">
        <f t="shared" si="47"/>
        <v>50000</v>
      </c>
      <c r="BC143" s="1"/>
      <c r="BD143" s="2">
        <f t="shared" si="48"/>
        <v>50000</v>
      </c>
      <c r="BE143" s="46">
        <f t="shared" si="49"/>
        <v>400</v>
      </c>
      <c r="BF143" s="1">
        <f>Results!AJ145</f>
        <v>0</v>
      </c>
      <c r="BG143" s="1">
        <f>Results!AK145</f>
        <v>0</v>
      </c>
      <c r="BH143" s="1">
        <f>Results!AL145</f>
        <v>0</v>
      </c>
      <c r="BI143" s="1">
        <f>Results!AM145</f>
        <v>0</v>
      </c>
      <c r="BJ143" s="1" t="e">
        <f>IF(OR(ISNA('Reaction Information'!$D$5), $N143 = "", $D$27 = FALSE, 'Reaction Information'!$D$5 = ""), NA(), 24.465)</f>
        <v>#N/A</v>
      </c>
      <c r="BK143" s="1" t="e">
        <f>IF(OR(ISNA('Reaction Information'!$D$9), $N143 = "", $D$27 = FALSE, 'Reaction Information'!$D$9 = ""), NA(), 24.465)</f>
        <v>#N/A</v>
      </c>
      <c r="BL143" s="8">
        <f t="shared" si="40"/>
        <v>12.484648841002413</v>
      </c>
      <c r="BM143" s="8">
        <f>IF(OR(ISBLANK(Input!$X$4),$D$27=FALSE),NA(),('Reaction Information'!$J$13/10+'Reaction Information'!$K$13*100/(Calculations!$C$12+Calculations!$M143)+('Reaction Information'!$L$13+'Reaction Information'!$M$13*10^4/(Calculations!$C$12+Calculations!$M143))/(Calculations!$O143-Calculations!$C$13) -calculateOmega(Calculations!$M143,Calculations!$N143,Calculations!$Q143,'Reaction Information'!$C$13,'Reaction Information'!$P$13*10^5,'Reaction Information'!$Q$13)*Calculations!$U143*10^-6 + (1/$S143 - 1)*calculate_domegadP(Calculations!$M143,Calculations!$N143,Calculations!$Q143,'Reaction Information'!$C$13,'Reaction Information'!$P$13*10^5,'Reaction Information'!$Q$13,$D$20,$D$19=3))*41.84)</f>
        <v>29.84820635765114</v>
      </c>
      <c r="BN143" s="8" t="e">
        <f>IF(OR(ISBLANK(Input!$AA$4),$D$27=FALSE),NA(),('Reaction Information'!$J$17/10+'Reaction Information'!$K$17*100/(Calculations!$C$12+Calculations!$M143)+('Reaction Information'!$L$17+'Reaction Information'!$M$17*10000/(Calculations!$C$12+Calculations!$M143))/(Calculations!$O143-Calculations!$C$13)-calculateOmega(Calculations!M143,Calculations!N143,Calculations!Q143,'Reaction Information'!$C$17,'Reaction Information'!$P$17*10^5,'Reaction Information'!$Q$17)*Calculations!$U143*10^-6 + (1/$S143 - 1)*calculate_domegadP(Calculations!M143,Calculations!N143,Calculations!Q143,'Reaction Information'!$C$17,'Reaction Information'!$P$17*10^5,'Reaction Information'!$Q$17,$D$20,$D$19=3))*41.84)</f>
        <v>#N/A</v>
      </c>
      <c r="BO143" s="8" t="e">
        <f>IF(OR(ISBLANK(Input!$AD$4),$D$27=FALSE),NA(),('Reaction Information'!$J$21/10+'Reaction Information'!$K$21*100/(Calculations!$C$12+Calculations!$M143)+('Reaction Information'!$L$21+'Reaction Information'!$M$21*10000/(Calculations!$C$12+Calculations!$M143))/(Calculations!$O143-Calculations!$C$13)-calculateOmega(Calculations!M143,Calculations!N143,Calculations!Q143,'Reaction Information'!$C$21,'Reaction Information'!$P$21*10^5,'Reaction Information'!$Q$21)*Calculations!$U143*10^-6 + (1/$S143 - 1)*calculate_domegadP(Calculations!M143,Calculations!N143,Calculations!Q143,'Reaction Information'!$C$21,'Reaction Information'!$P$21*10^5,'Reaction Information'!$Q$21,$D$20,$D$19=3))*41.84)</f>
        <v>#N/A</v>
      </c>
      <c r="BP143" s="8" t="e">
        <f>IF(OR(ISBLANK(Input!$AG$4),$D$27=FALSE),NA(),('Reaction Information'!$J$25/10+'Reaction Information'!$K$25*100/(Calculations!$C$12+Calculations!$M143)+('Reaction Information'!$L$25+'Reaction Information'!$M$25*10000/(Calculations!$C$12+Calculations!$M143))/(Calculations!$O143-Calculations!$C$13)-calculateOmega(Calculations!M143,Calculations!N143,Calculations!Q143,'Reaction Information'!$C$25,'Reaction Information'!$P$25*10^5,'Reaction Information'!$Q$25)*Calculations!$U143*10^-6 + (1/$S143 - 1)*calculate_domegadP(Calculations!M143,Calculations!N143,Calculations!Q143,'Reaction Information'!$C$25,'Reaction Information'!$P$25*10^5,'Reaction Information'!$Q$25,$D$20,$D$19=3))*41.84)</f>
        <v>#N/A</v>
      </c>
      <c r="BQ143" s="8" t="e">
        <f>IF(OR(ISBLANK(Input!$AJ$4),$D$27=FALSE),NA(),('Reaction Information'!$J$29/10+'Reaction Information'!$K$29*100/(Calculations!$C$12+Calculations!$M143)+('Reaction Information'!$L$29+'Reaction Information'!$M$29*10000/(Calculations!$C$12+Calculations!$M143))/(Calculations!$O143-Calculations!$C$13)-calculateOmega(Calculations!M143,Calculations!N143,Calculations!Q143,'Reaction Information'!$C$29,'Reaction Information'!$P$29*10^5,'Reaction Information'!$Q$29)*Calculations!$U143*10^-6 + (1/$S143 - 1)*calculate_domegadP(Calculations!M143,Calculations!N143,Calculations!Q143,'Reaction Information'!$C$29,'Reaction Information'!$P$29*10^5,'Reaction Information'!$Q$29,$D$20,$D$19=3))*41.84)</f>
        <v>#N/A</v>
      </c>
      <c r="BR143" s="8" t="e">
        <f>IF(OR(ISBLANK(Input!$AM$4),$D$27=FALSE),NA(),('Reaction Information'!$J$33/10+'Reaction Information'!$K$33*100/(Calculations!$C$12+Calculations!$M143)+('Reaction Information'!$L$33+'Reaction Information'!$M$33*10000/(Calculations!$C$12+Calculations!$M143))/(Calculations!$O143-Calculations!$C$13)-calculateOmega(Calculations!M143,Calculations!N143,Calculations!Q143,'Reaction Information'!$C$33,'Reaction Information'!$P$33*10^5,'Reaction Information'!$Q$33)*Calculations!$U143*10^-6 + (1/$S143 - 1)*calculate_domegadP(Calculations!M143,Calculations!N143,Calculations!Q143,'Reaction Information'!$C$33,'Reaction Information'!$P$33*10^5,'Reaction Information'!$Q$33,$D$20,$D$19=3))*41.84)</f>
        <v>#N/A</v>
      </c>
      <c r="BS143" s="1">
        <f>Results!AW145</f>
        <v>0</v>
      </c>
      <c r="BT143" s="1">
        <f>Results!AX145</f>
        <v>0</v>
      </c>
      <c r="BU143" s="1">
        <f>Results!AY145</f>
        <v>0</v>
      </c>
      <c r="BV143" s="1">
        <f>Results!AZ145</f>
        <v>0</v>
      </c>
      <c r="BW143" s="1" t="e">
        <f>IF(OR(ISNA('Reaction Information'!$D$38), $N143 = "", $D$27 = FALSE, 'Reaction Information'!$D$38 = ""), NA(), 24.465)</f>
        <v>#N/A</v>
      </c>
      <c r="BX143" s="1" t="e">
        <f>IF(OR(ISNA('Reaction Information'!$D$42), $N143 = "", $D$27 = FALSE, 'Reaction Information'!$D$42 = ""), NA(), 24.465)</f>
        <v>#N/A</v>
      </c>
      <c r="BY143" s="8" t="e">
        <f t="shared" si="41"/>
        <v>#N/A</v>
      </c>
      <c r="BZ143" s="8">
        <f>IF(OR(ISBLANK(Input!$BK$4),$D$27=FALSE),NA(),('Reaction Information'!$J$46/10+'Reaction Information'!$K$46*100/(Calculations!$C$12+Calculations!$M143)+('Reaction Information'!$L$46+'Reaction Information'!$M$46*10000/(Calculations!$C$12+Calculations!$M143))/(Calculations!$O143-Calculations!$C$13)-calculateOmega(Calculations!M143,Calculations!N143,Calculations!Q143,'Reaction Information'!$C$46,'Reaction Information'!$P$46*10^5,'Reaction Information'!$Q$46)*Calculations!$U143*10^-6 + (1/$S143 - 1)*calculate_domegadP(Calculations!M143,Calculations!N143,Calculations!Q143,'Reaction Information'!$C$46,'Reaction Information'!$P$46*10^5,'Reaction Information'!$Q$46,$D$20,$D$19=3))*41.84)</f>
        <v>0</v>
      </c>
      <c r="CA143" s="8">
        <f>IF(OR(ISBLANK(Input!$BN$4),$D$27=FALSE),NA(),('Reaction Information'!$J$50/10+'Reaction Information'!$K$50*100/(Calculations!$C$12+Calculations!$M143)+('Reaction Information'!$L$50+'Reaction Information'!$M$50*10000/(Calculations!$C$12+Calculations!$M143))/(Calculations!$O143-Calculations!$C$13)-calculateOmega(Calculations!M143,Calculations!N143,Calculations!Q143,'Reaction Information'!$C$50,'Reaction Information'!$P$50*10^5,'Reaction Information'!$Q$50)*Calculations!$U143*10^-6 + (1/$S143 - 1)*calculate_domegadP(Calculations!M143,Calculations!N143,Calculations!Q143,'Reaction Information'!$C$50,'Reaction Information'!$P$50*10^5,'Reaction Information'!$Q$50,$D$20,$D$19=3))*41.84)</f>
        <v>31.593304690838782</v>
      </c>
      <c r="CB143" s="8" t="e">
        <f>IF(OR(ISBLANK(Input!$BQ$4),$D$27=FALSE),NA(),('Reaction Information'!$J$54/10+'Reaction Information'!$K$54*100/(Calculations!$C$12+Calculations!$M143)+('Reaction Information'!$L$54+'Reaction Information'!$M$54*10000/(Calculations!$C$12+Calculations!$M143))/(Calculations!$O143-Calculations!$C$13)-calculateOmega(Calculations!M143,Calculations!N143,Calculations!Q143,'Reaction Information'!$C$54,'Reaction Information'!$P$54*10^5,'Reaction Information'!$Q$54)*Calculations!$U143*10^-6 + (1/$S143 - 1)*calculate_domegadP(Calculations!M143,Calculations!N143,Calculations!Q143,'Reaction Information'!$C$54,'Reaction Information'!$P$54*10^5,'Reaction Information'!$Q$54,$D$20,$D$19=3))*41.84)</f>
        <v>#N/A</v>
      </c>
      <c r="CC143" s="8" t="e">
        <f>IF(OR(ISBLANK(Input!$BT$4),$D$27=FALSE),NA(),('Reaction Information'!$J$58/10+'Reaction Information'!$K$58*100/(Calculations!$C$12+Calculations!$M143)+('Reaction Information'!$L$58+'Reaction Information'!$M$58*10000/(Calculations!$C$12+Calculations!$M143))/(Calculations!$O143-Calculations!$C$13)-calculateOmega(Calculations!M143,Calculations!N143,Calculations!Q143,'Reaction Information'!$C$58,'Reaction Information'!$P$58*10^5,'Reaction Information'!$Q$58)*Calculations!$U143*10^-6 + (1/$S143 - 1)*calculate_domegadP(Calculations!M143,Calculations!N143,Calculations!Q143,'Reaction Information'!$C$58,'Reaction Information'!$P$58*10^5,'Reaction Information'!$Q$58,$D$20,$D$19=3))*41.84)</f>
        <v>#N/A</v>
      </c>
      <c r="CD143" s="8" t="e">
        <f>IF(OR(ISBLANK(Input!$BW$4),$D$27=FALSE),NA(),('Reaction Information'!$J$62/10+'Reaction Information'!$K$62*100/(Calculations!$C$12+Calculations!$M143)+('Reaction Information'!$L$62+'Reaction Information'!$M$62*10000/(Calculations!$C$12+Calculations!$M143))/(Calculations!$O143-Calculations!$C$13)-calculateOmega(Calculations!M143,Calculations!N143,Calculations!Q143,'Reaction Information'!$C$62,'Reaction Information'!$P$62*10^5,'Reaction Information'!$Q$62)*Calculations!$U143*10^-6 + (1/$S143 - 1)*calculate_domegadP(Calculations!M143,Calculations!N143,Calculations!Q143,'Reaction Information'!$C$62,'Reaction Information'!$P$62*10^5,'Reaction Information'!$Q$62,$D$20,$D$19=3))*41.84)</f>
        <v>#N/A</v>
      </c>
      <c r="CE143" s="8" t="e">
        <f>IF(OR(ISBLANK(Input!$BZ$4),$D$27=FALSE),NA(),('Reaction Information'!$J$66/10+'Reaction Information'!$K$66*100/(Calculations!$C$12+Calculations!$M143)+('Reaction Information'!$L$66+'Reaction Information'!$M$66*10000/(Calculations!$C$12+Calculations!$M143))/(Calculations!$O143-Calculations!$C$13)-calculateOmega(Calculations!M143,Calculations!N143,Calculations!Q143,'Reaction Information'!$C$66,'Reaction Information'!$P$66*10^5,'Reaction Information'!$Q$66)*Calculations!$U143*10^-6 + (1/$S143 - 1)*calculate_domegadP(Calculations!M143,Calculations!N143,Calculations!Q143,'Reaction Information'!$C$66,'Reaction Information'!$P$66*10^5,'Reaction Information'!$Q$66,$D$20,$D$19=3))*41.84)</f>
        <v>#N/A</v>
      </c>
      <c r="CF143" s="31">
        <f>(BS143*Input!$AO$4+BT143*Input!$AR$4+BU143*Input!$AU$4+BV143*Input!$AX$4+IF(ISNA(BW143),0,BW143*Input!$BA$4)+IF(ISNA(BX143),0,BX143*Input!$BD$4)+IF(ISNA(BY143),0,BY143*Input!$BG$4)+IF(ISNA(BZ143),0,BZ143*Input!$BJ$4)+IF(ISNA(CA143),0,CA143*Input!$BM$4)+IF(ISNA(CB143),0,CB143*Input!$BP$4)+IF(ISNA(CC143),0,CC143*Input!$BS$4)+IF(ISNA(CD143),0,CD143*Input!$BV$4)+IF(ISNA(CE143),0,CE143*Input!$BY$4))-(BF143*Input!$B$4+BG143*Input!$E$4+BH143*Input!$H$4+BI143*Input!$K$4+IF(ISNA(BJ143),0,BJ143*Input!$N$4)+IF(ISNA(BK143),0,BK143*Input!$Q$4)+IF(ISNA(BL143),0,BL143*Input!$T$4)+IF(ISNA(BM143),0,BM143*Input!$W$4)+IF(ISNA(BN143),0,BN143*Input!$Z$4)+IF(ISNA(BO143),0,BO143*Input!$AC$4)+IF(ISNA(BP143),0,BP143*Input!$AF$4)+IF(ISNA(BQ143),0,BQ143*Input!$AI$4)+IF(ISNA(BR143),0,BR143*Input!$AL$4))</f>
        <v>-10.739550507814773</v>
      </c>
      <c r="CG143" s="1">
        <f t="shared" si="50"/>
        <v>400</v>
      </c>
      <c r="CH143" s="46">
        <f t="shared" si="51"/>
        <v>50000</v>
      </c>
      <c r="CI143" s="1"/>
    </row>
    <row r="144" spans="1:87" x14ac:dyDescent="0.2">
      <c r="A144" s="1"/>
      <c r="B144" s="1"/>
      <c r="C144" s="1"/>
      <c r="D144" s="1"/>
      <c r="E144" s="1"/>
      <c r="F144" s="2">
        <v>139</v>
      </c>
      <c r="G144" s="1" t="str">
        <f>IF(ISBLANK(Input!CB144), "", Input!CB144*1000)</f>
        <v/>
      </c>
      <c r="H144" s="1" t="str">
        <f>IF(ISBLANK(Input!CC144), "", Input!CC144)</f>
        <v/>
      </c>
      <c r="I144" s="1">
        <f>IF(Input!$CF$5 + Input!$CF$6*(FLOOR((Calculations!$F144-1)/(FLOOR((Input!$CF$12-Input!$CF$10)/Input!$CF$11,1)+1),1)) &gt; Input!$CF$7, "", (Input!$CF$5 + Input!$CF$6*(FLOOR((Calculations!$F144-1)/(FLOOR((Input!$CF$12-Input!$CF$10)/Input!$CF$11,1)+1),1)))*1000)</f>
        <v>50000</v>
      </c>
      <c r="J144" s="1">
        <f>IF(Calculations!I144 = "", "", Input!$CF$10 + Input!$CF$11*(Calculations!$F144-1) - (FLOOR((Input!$CF$12-Input!$CF$10)/Input!$CF$11,1)+1)*Input!$CF$11*FLOOR((Calculations!$F144-1)/(FLOOR((Input!$CF$12-Input!$CF$10)/Input!$CF$11,1)+1),1))</f>
        <v>450</v>
      </c>
      <c r="K144" s="8" t="str">
        <f t="shared" si="52"/>
        <v/>
      </c>
      <c r="L144" s="117" t="str">
        <f>IF(OR(Input!$CJ$5 + Input!$CJ$6*(Calculations!F144-1) &gt; Input!$CJ$7, Input!$CJ$5 + Input!$CJ$6*(Calculations!F144-1) &gt; 350), "", Input!$CJ$5 + Input!$CJ$6*(Calculations!F144-1))</f>
        <v/>
      </c>
      <c r="M144" s="1">
        <f t="shared" si="42"/>
        <v>50000</v>
      </c>
      <c r="N144" s="1">
        <f t="shared" si="43"/>
        <v>450</v>
      </c>
      <c r="O144" s="1">
        <f t="shared" si="38"/>
        <v>723.15</v>
      </c>
      <c r="P144" s="1" t="e">
        <f>IF(OR($D$20=3,AND($D$21=TRUE,M144&lt;1000)),INDEX('Water Density'!$C$6:$CX$120,MATCH(Calculations!N144,'Water Density'!$B$6:$B$120),MATCH(Calculations!M144/1000,'Water Density'!$C$5:$CX$5)),NA())</f>
        <v>#N/A</v>
      </c>
      <c r="Q144" s="182">
        <f>IF(OR($D$20=3,AND($D$21=TRUE,M144&lt;1000)), IF(P144&lt;&gt;0,P144,NA()), calculateDensity(M144,N144,$D$20,0.01,$D$19 = 3))</f>
        <v>1.4286951359713078</v>
      </c>
      <c r="R144" s="1" t="e">
        <f>IF($D$22=5,INDEX('Dielectric Constant'!$C$6:$CX$120,MATCH(Calculations!N144,'Dielectric Constant'!$B$6:$B$120),MATCH(Calculations!M144/1000,'Dielectric Constant'!$C$5:$CX$5)),NA())</f>
        <v>#N/A</v>
      </c>
      <c r="S144" s="58">
        <f>IF($D$22=5, IF(R144&lt;&gt;0,R144,NA()), IF(AND($D$23,M144&lt;=5000,$D$19 &lt;&gt; 3),calculateEpsilon(Q144,N144,1,FALSE),calculateEpsilon(Q144,N144,$D$22,$D$19 = 3)))</f>
        <v>44.073056274063035</v>
      </c>
      <c r="T144" s="1" t="e">
        <f>IF($D$24=3,INDEX('Water Free Energy'!$C$6:$CX$120,MATCH(Calculations!N144,'Water Free Energy'!$B$6:$B$120),MATCH(Calculations!M144/1000,'Water Free Energy'!$C$5:$CX$5)),NA())</f>
        <v>#N/A</v>
      </c>
      <c r="U144" s="179">
        <f>IF($D$27,calculateQ(M144,N144,Q144,$D$20,$D$22,$D$19=3)*10^6,NA())</f>
        <v>0.10123112684819367</v>
      </c>
      <c r="V144"/>
      <c r="W144" s="2">
        <f t="shared" si="44"/>
        <v>50000</v>
      </c>
      <c r="X144" s="1">
        <f t="shared" si="45"/>
        <v>450</v>
      </c>
      <c r="Y144" s="1">
        <f>Results!F146</f>
        <v>0</v>
      </c>
      <c r="Z144" s="1">
        <f>Results!G146</f>
        <v>0</v>
      </c>
      <c r="AA144" s="1">
        <f>Results!H146</f>
        <v>0</v>
      </c>
      <c r="AB144" s="1">
        <f>Results!I146</f>
        <v>0</v>
      </c>
      <c r="AC144" s="1" t="e">
        <f>IF(ISBLANK(Input!$O$4),NA(),'Reaction Information'!$E$5-'Reaction Information'!$G$5*(Calculations!$O144-Calculations!$C$8)+'Reaction Information'!$I$5*(Calculations!$O144-Calculations!$C$8-Calculations!$O144*LN(Calculations!$O144/Calculations!$C$8))+'Reaction Information'!$J$5*0.001/2*(2*Calculations!$O144*Calculations!$C$8-Calculations!$O144^2-Calculations!$C$8^2) + 'Reaction Information'!$K$5*100000*(Calculations!$O144^2 + Calculations!$C$8^2 - 2*Calculations!$O144*Calculations!$C$8)/(2*Calculations!$O144*Calculations!$C$8^2))</f>
        <v>#N/A</v>
      </c>
      <c r="AD144" s="8" t="e">
        <f>IF(ISBLANK(Input!$R$4),NA(),'Reaction Information'!$E$9-'Reaction Information'!$G$9*(Calculations!$O144-Calculations!$C$8)+'Reaction Information'!$I$9*(Calculations!$O144-Calculations!$C$8-Calculations!$O144*LN(Calculations!$O144/Calculations!$C$8))+'Reaction Information'!$J$9*0.001/2*(2*Calculations!$O144*Calculations!$C$8-Calculations!$O144^2-Calculations!$C$8^2) + 'Reaction Information'!$K$9*100000*(Calculations!$O144^2 + Calculations!$C$8^2 - 2*Calculations!$O144*Calculations!$C$8)/(2*Calculations!$O144*Calculations!$C$8^2))</f>
        <v>#N/A</v>
      </c>
      <c r="AE144" s="8">
        <f>IF(AE$5="H2O",IF($D$24=3,IF(T144=0,NA(),T144),calculateGibbsOfWater(M144,N144,$D$24,$D$20,$D$19=3)),NA())</f>
        <v>-49011.133520912816</v>
      </c>
      <c r="AF144" s="8">
        <f>IF(ISBLANK(Input!$X$4),NA(),'Reaction Information'!$E$13-'Reaction Information'!$G$13*(Calculations!O144-Calculations!$C$8)-'Reaction Information'!$N$13*(Calculations!O144*LN(Calculations!O144/Calculations!$C$8)-Calculations!O144+Calculations!$C$8)-'Reaction Information'!$O$13*10^4*(((1/(Calculations!O144-Calculations!$C$13))-(1/(Calculations!$C$8-Calculations!$C$13)))*((Calculations!$C$13-Calculations!O144)/(Calculations!$C$13))-(Calculations!O144/(Calculations!$C$13*Calculations!$C$13))*LN((Calculations!$C$8*(Calculations!O144-Calculations!$C$13))/(Calculations!O144*(Calculations!$C$8-Calculations!$C$13))))+'Reaction Information'!$J$13*10^-1*(Calculations!M144-Calculations!$C$9)+'Reaction Information'!$K$13*10^2*LN((Calculations!$C$12+Calculations!M144)/(Calculations!$C$12+Calculations!$C$9))+(1/(Calculations!O144-Calculations!$C$13))*('Reaction Information'!$L$13*(Calculations!M144-Calculations!$C$9)+'Reaction Information'!$M$13*10^4*LN((Calculations!$C$12+Calculations!M144)/(Calculations!$C$12+Calculations!$C$9)))+calculateOmega(Calculations!M144,Calculations!N144,Calculations!Q144,'Reaction Information'!$C$13,'Reaction Information'!$P$13*10^5,'Reaction Information'!$Q$13)*((1/Calculations!S144)-1)-'Reaction Information'!$P$13*10^5*((1/Calculations!$C$10)-1)+'Reaction Information'!$P$13*10^5*Calculations!$C$14*(Calculations!O144-Calculations!$C$8))</f>
        <v>-72528.973940577882</v>
      </c>
      <c r="AG144" s="8" t="e">
        <f>IF(ISBLANK(Input!$AA$4),NA(),'Reaction Information'!$E$17-'Reaction Information'!$G$17*(Calculations!$O144-Calculations!$C$8)-'Reaction Information'!$N$17*(Calculations!$O144*LN(Calculations!$O144/Calculations!$C$8)-Calculations!$O144+Calculations!$C$8)-'Reaction Information'!$O$17*10^4*(((1/(Calculations!$O144-Calculations!$C$13))-(1/(Calculations!$C$8-Calculations!$C$13)))*((Calculations!$C$13-Calculations!$O144)/(Calculations!$C$13))-(Calculations!$O144/(Calculations!$C$13*Calculations!$C$13))*LN((Calculations!$C$8*(Calculations!$O144-Calculations!$C$13))/(Calculations!$O144*(Calculations!$C$8-Calculations!$C$13))))+'Reaction Information'!$J$17*10^-1*(Calculations!$M144-Calculations!$C$9)+'Reaction Information'!$K$17*10^2*LN((Calculations!$C$12+Calculations!$M144)/(Calculations!$C$12+Calculations!$C$9))+(1/(Calculations!$O144-Calculations!$C$13))*('Reaction Information'!$L$17*(Calculations!$M144-Calculations!$C$9)+'Reaction Information'!$M$17*10^4*LN((Calculations!$C$12+Calculations!$M144)/(Calculations!$C$12+Calculations!$C$9)))+calculateOmega(Calculations!M144,Calculations!N144,Calculations!Q144,'Reaction Information'!$C$17,'Reaction Information'!$P$17*10^5,'Reaction Information'!$Q$17)*((1/Calculations!$S144)-1)-'Reaction Information'!$P$17*10^5*((1/Calculations!$C$10)-1)+'Reaction Information'!$P$17*10^5*Calculations!$C$14*(Calculations!$O144-Calculations!$C$8))</f>
        <v>#N/A</v>
      </c>
      <c r="AH144" s="8" t="e">
        <f>IF(ISBLANK(Input!$AD$4),NA(),'Reaction Information'!$E$21-'Reaction Information'!$G$21*(Calculations!$O144-Calculations!$C$8)-'Reaction Information'!$N$21*(Calculations!$O144*LN(Calculations!$O144/Calculations!$C$8)-Calculations!$O144+Calculations!$C$8)-'Reaction Information'!$O$21*10^4*(((1/(Calculations!$O144-Calculations!$C$13))-(1/(Calculations!$C$8-Calculations!$C$13)))*((Calculations!$C$13-Calculations!$O144)/(Calculations!$C$13))-(Calculations!$O144/(Calculations!$C$13*Calculations!$C$13))*LN((Calculations!$C$8*(Calculations!$O144-Calculations!$C$13))/(Calculations!$O144*(Calculations!$C$8-Calculations!$C$13))))+'Reaction Information'!$J$21*10^-1*(Calculations!$M144-Calculations!$C$9)+'Reaction Information'!$K$21*10^2*LN((Calculations!$C$12+Calculations!$M144)/(Calculations!$C$12+Calculations!$C$9))+(1/(Calculations!$O144-Calculations!$C$13))*('Reaction Information'!$L$21*(Calculations!$M144-Calculations!$C$9)+'Reaction Information'!$M$21*10^4*LN((Calculations!$C$12+Calculations!$M144)/(Calculations!$C$12+Calculations!$C$9)))+calculateOmega(Calculations!M144,Calculations!N144,Calculations!Q144,'Reaction Information'!$C$21,'Reaction Information'!$P$21*10^5,'Reaction Information'!$Q$21)*((1/Calculations!$S144)-1)-'Reaction Information'!$P$21*10^5*((1/Calculations!$C$10)-1)+'Reaction Information'!$P$21*10^5*Calculations!$C$14*(Calculations!$O144-Calculations!$C$8))</f>
        <v>#N/A</v>
      </c>
      <c r="AI144" s="8" t="e">
        <f>IF(ISBLANK(Input!$AG$4),NA(),'Reaction Information'!$E$25-'Reaction Information'!$G$25*(Calculations!$O144-Calculations!$C$8)-'Reaction Information'!$N$25*(Calculations!$O144*LN(Calculations!$O144/Calculations!$C$8)-Calculations!$O144+Calculations!$C$8)-'Reaction Information'!$O$25*10^4*(((1/(Calculations!$O144-Calculations!$C$13))-(1/(Calculations!$C$8-Calculations!$C$13)))*((Calculations!$C$13-Calculations!$O144)/(Calculations!$C$13))-(Calculations!$O144/(Calculations!$C$13*Calculations!$C$13))*LN((Calculations!$C$8*(Calculations!$O144-Calculations!$C$13))/(Calculations!$O144*(Calculations!$C$8-Calculations!$C$13))))+'Reaction Information'!$J$25*10^-1*(Calculations!$M144-Calculations!$C$9)+'Reaction Information'!$K$25*10^2*LN((Calculations!$C$12+Calculations!$M144)/(Calculations!$C$12+Calculations!$C$9))+(1/(Calculations!$O144-Calculations!$C$13))*('Reaction Information'!$L$25*(Calculations!$M144-Calculations!$C$9)+'Reaction Information'!$M$25*10^4*LN((Calculations!$C$12+Calculations!$M144)/(Calculations!$C$12+Calculations!$C$9)))+calculateOmega(Calculations!M144,Calculations!N144,Calculations!Q144,'Reaction Information'!$C$25,'Reaction Information'!$P$25*10^5,'Reaction Information'!$Q$25)*((1/Calculations!$S144)-1)-'Reaction Information'!$P$25*10^5*((1/Calculations!$C$10)-1)+'Reaction Information'!$P$25*10^5*Calculations!$C$14*(Calculations!$O144-Calculations!$C$8))</f>
        <v>#N/A</v>
      </c>
      <c r="AJ144" s="8" t="e">
        <f>IF(ISBLANK(Input!$AJ$4),NA(),'Reaction Information'!$E$29-'Reaction Information'!$G$29*(Calculations!$O144-Calculations!$C$8)-'Reaction Information'!$N$29*(Calculations!$O144*LN(Calculations!$O144/Calculations!$C$8)-Calculations!$O144+Calculations!$C$8)-'Reaction Information'!$O$29*10^4*(((1/(Calculations!$O144-Calculations!$C$13))-(1/(Calculations!$C$8-Calculations!$C$13)))*((Calculations!$C$13-Calculations!$O144)/(Calculations!$C$13))-(Calculations!$O144/(Calculations!$C$13*Calculations!$C$13))*LN((Calculations!$C$8*(Calculations!$O144-Calculations!$C$13))/(Calculations!$O144*(Calculations!$C$8-Calculations!$C$13))))+'Reaction Information'!$J$29*10^-1*(Calculations!$M144-Calculations!$C$9)+'Reaction Information'!$K$29*10^2*LN((Calculations!$C$12+Calculations!$M144)/(Calculations!$C$12+Calculations!$C$9))+(1/(Calculations!$O144-Calculations!$C$13))*('Reaction Information'!$L$29*(Calculations!$M144-Calculations!$C$9)+'Reaction Information'!$M$29*10^4*LN((Calculations!$C$12+Calculations!$M144)/(Calculations!$C$12+Calculations!$C$9)))+calculateOmega(Calculations!M144,Calculations!N144,Calculations!Q144,'Reaction Information'!$C$29,'Reaction Information'!$P$29*10^5,'Reaction Information'!$Q$29)*((1/Calculations!$S144)-1)-'Reaction Information'!$P$29*10^5*((1/Calculations!$C$10)-1)+'Reaction Information'!$P$29*10^5*Calculations!$C$14*(Calculations!$O144-Calculations!$C$8))</f>
        <v>#N/A</v>
      </c>
      <c r="AK144" s="8" t="e">
        <f>IF(ISBLANK(Input!$AM$4),NA(),'Reaction Information'!$E$33-'Reaction Information'!$G$33*(Calculations!$O144-Calculations!$C$8)-'Reaction Information'!$N$33*(Calculations!$O144*LN(Calculations!$O144/Calculations!$C$8)-Calculations!$O144+Calculations!$C$8)-'Reaction Information'!$O$33*10^4*(((1/(Calculations!$O144-Calculations!$C$13))-(1/(Calculations!$C$8-Calculations!$C$13)))*((Calculations!$C$13-Calculations!$O144)/(Calculations!$C$13))-(Calculations!$O144/(Calculations!$C$13*Calculations!$C$13))*LN((Calculations!$C$8*(Calculations!$O144-Calculations!$C$13))/(Calculations!$O144*(Calculations!$C$8-Calculations!$C$13))))+'Reaction Information'!$J$33*10^-1*(Calculations!$M144-Calculations!$C$9)+'Reaction Information'!$K$33*10^2*LN((Calculations!$C$12+Calculations!$M144)/(Calculations!$C$12+Calculations!$C$9))+(1/(Calculations!$O144-Calculations!$C$13))*('Reaction Information'!$L$33*(Calculations!$M144-Calculations!$C$9)+'Reaction Information'!$M$33*10^4*LN((Calculations!$C$12+Calculations!$M144)/(Calculations!$C$12+Calculations!$C$9)))+calculateOmega(Calculations!M144,Calculations!N144,Calculations!Q144,'Reaction Information'!$C$33,'Reaction Information'!$P$33*10^5,'Reaction Information'!$Q$33)*((1/Calculations!$S144)-1)-'Reaction Information'!$P$33*10^5*((1/Calculations!$C$10)-1)+'Reaction Information'!$P$33*10^5*Calculations!$C$14*(Calculations!$O144-Calculations!$C$8))</f>
        <v>#N/A</v>
      </c>
      <c r="AL144" s="1">
        <f>Results!S146</f>
        <v>0</v>
      </c>
      <c r="AM144" s="1">
        <f>Results!T146</f>
        <v>0</v>
      </c>
      <c r="AN144" s="1">
        <f>Results!U146</f>
        <v>0</v>
      </c>
      <c r="AO144" s="1">
        <f>Results!V146</f>
        <v>0</v>
      </c>
      <c r="AP144" s="8" t="e">
        <f>IF(ISBLANK(Input!$BB$4),NA(),'Reaction Information'!$E$38-'Reaction Information'!$G$38*(Calculations!$O144-Calculations!$C$8)+'Reaction Information'!$I$38*(Calculations!$O144-Calculations!$C$8-Calculations!$O144*LN(Calculations!$O144/Calculations!$C$8))+'Reaction Information'!$J$38*0.001/2*(2*Calculations!$O144*Calculations!$C$8-Calculations!$O144^2-Calculations!$C$8^2) + 'Reaction Information'!$K$38*100000*(Calculations!$O144^2 + Calculations!$C$8^2 - 2*Calculations!$O144*Calculations!$C$8)/(2*Calculations!$O144*Calculations!$C$8^2))</f>
        <v>#N/A</v>
      </c>
      <c r="AQ144" s="8" t="e">
        <f>IF(ISBLANK(Input!$BE$4),NA(),'Reaction Information'!$E$42-'Reaction Information'!$G$42*(Calculations!$O144-Calculations!$C$8)+'Reaction Information'!$I$42*(Calculations!$O144-Calculations!$C$8-Calculations!$O144*LN(Calculations!$O144/Calculations!$C$8))+'Reaction Information'!$J$42*0.001/2*(2*Calculations!$O144*Calculations!$C$8-Calculations!$O144^2-Calculations!$C$8^2) + 'Reaction Information'!$K$42*100000*(Calculations!$O144^2 + Calculations!$C$8^2 - 2*Calculations!$O144*Calculations!$C$8)/(2*Calculations!$O144*Calculations!$C$8^2))</f>
        <v>#N/A</v>
      </c>
      <c r="AR144" s="8" t="e">
        <f>IF(AR$5="H2O", IF($D$24=3,IF(T144=0,NA(),T144),calculateGibbsOfWater(M144,N144,$D$24,$D$20,$D$19=3)),NA())</f>
        <v>#N/A</v>
      </c>
      <c r="AS144" s="8">
        <f>IF(ISBLANK(Input!$BK$4),NA(),'Reaction Information'!$E$46-'Reaction Information'!$G$46*(Calculations!O144-Calculations!$C$8)-'Reaction Information'!$N$46*(Calculations!O144*LN(Calculations!O144/Calculations!$C$8)-Calculations!O144+Calculations!$C$8)-'Reaction Information'!$O$46*10^4*(((1/(Calculations!O144-Calculations!$C$13))-(1/(Calculations!$C$8-Calculations!$C$13)))*((Calculations!$C$13-Calculations!O144)/(Calculations!$C$13))-(Calculations!O144/(Calculations!$C$13*Calculations!$C$13))*LN((Calculations!$C$8*(Calculations!O144-Calculations!$C$13))/(Calculations!O144*(Calculations!$C$8-Calculations!$C$13))))+'Reaction Information'!$J$46*10^-1*(Calculations!$M144-Calculations!$C$9)+'Reaction Information'!$K$46*10^2*LN((Calculations!$C$12+Calculations!$M144)/(Calculations!$C$12+Calculations!$C$9))+(1/(Calculations!O144-Calculations!$C$13))*('Reaction Information'!$L$46*(Calculations!$M144-Calculations!$C$9)+'Reaction Information'!$M$46*10^4*LN((Calculations!$C$12+Calculations!$M144)/(Calculations!$C$12+Calculations!$C$9)))+calculateOmega(Calculations!M144,Calculations!N144,Calculations!Q144,'Reaction Information'!$C$46,'Reaction Information'!$P$46*10^5,'Reaction Information'!$Q$46)*((1/Calculations!S144)-1)-'Reaction Information'!$P$46*10^5*((1/Calculations!$C$10)-1)+'Reaction Information'!$P$46*10^5*Calculations!$C$14*(Calculations!O144-Calculations!$C$8))</f>
        <v>0</v>
      </c>
      <c r="AT144" s="8">
        <f>IF(ISBLANK(Input!$BN$4),NA(),'Reaction Information'!$E$50-'Reaction Information'!$G$50*(Calculations!O144-Calculations!$C$8)-'Reaction Information'!$N$50*(Calculations!O144*LN(Calculations!O144/Calculations!$C$8)-Calculations!O144+Calculations!$C$8)-'Reaction Information'!$O$50*10^4*(((1/(Calculations!O144-Calculations!$C$13))-(1/(Calculations!$C$8-Calculations!$C$13)))*((Calculations!$C$13-Calculations!O144)/(Calculations!$C$13))-(Calculations!O144/(Calculations!$C$13*Calculations!$C$13))*LN((Calculations!$C$8*(Calculations!O144-Calculations!$C$13))/(Calculations!O144*(Calculations!$C$8-Calculations!$C$13))))+'Reaction Information'!$J$50*10^-1*(Calculations!$M144-Calculations!$C$9)+'Reaction Information'!$K$50*10^2*LN((Calculations!$C$12+Calculations!$M144)/(Calculations!$C$12+Calculations!$C$9))+(1/(Calculations!O144-Calculations!$C$13))*('Reaction Information'!$L$50*(Calculations!$M144-Calculations!$C$9)+'Reaction Information'!$M$50*10^4*LN((Calculations!$C$12+Calculations!$M144)/(Calculations!$C$12+Calculations!$C$9)))+calculateOmega(Calculations!M144,Calculations!N144,Calculations!Q144,'Reaction Information'!$C$50,'Reaction Information'!$P$50*10^5,'Reaction Information'!$Q$50)*((1/Calculations!S144)-1)-'Reaction Information'!$P$50*10^5*((1/Calculations!$C$10)-1)+'Reaction Information'!$P$50*10^5*Calculations!$C$14*(Calculations!O144-Calculations!$C$8))</f>
        <v>-115666.50279470332</v>
      </c>
      <c r="AU144" s="8" t="e">
        <f>IF(ISBLANK(Input!$BQ$4),NA(),'Reaction Information'!$E$54-'Reaction Information'!$G$54*(Calculations!$O144-Calculations!$C$8)-'Reaction Information'!$N$54*(Calculations!$O144*LN(Calculations!$O144/Calculations!$C$8)-Calculations!$O144+Calculations!$C$8)-'Reaction Information'!$O$54*10^4*(((1/(Calculations!$O144-Calculations!$C$13))-(1/(Calculations!$C$8-Calculations!$C$13)))*((Calculations!$C$13-Calculations!$O144)/(Calculations!$C$13))-(Calculations!$O144/(Calculations!$C$13*Calculations!$C$13))*LN((Calculations!$C$8*(Calculations!$O144-Calculations!$C$13))/(Calculations!$O144*(Calculations!$C$8-Calculations!$C$13))))+'Reaction Information'!$J$54*10^-1*(Calculations!$M144-Calculations!$C$9)+'Reaction Information'!$K$54*10^2*LN((Calculations!$C$12+Calculations!$M144)/(Calculations!$C$12+Calculations!$C$9))+(1/(Calculations!$O144-Calculations!$C$13))*('Reaction Information'!$L$54*(Calculations!$M144-Calculations!$C$9)+'Reaction Information'!$M$54*10^4*LN((Calculations!$C$12+Calculations!$M144)/(Calculations!$C$12+Calculations!$C$9)))+calculateOmega(Calculations!M144,Calculations!N144,Calculations!Q144,'Reaction Information'!$C$54,'Reaction Information'!$P$54*10^5,'Reaction Information'!$Q$54)*((1/Calculations!$S144)-1)-'Reaction Information'!$P$54*10^5*((1/Calculations!$C$10)-1)+'Reaction Information'!$P$54*10^5*Calculations!$C$14*(Calculations!$O144-Calculations!$C$8))</f>
        <v>#N/A</v>
      </c>
      <c r="AV144" s="8" t="e">
        <f>IF(ISBLANK(Input!$BT$4),NA(),'Reaction Information'!$E$58-'Reaction Information'!$G$58*(Calculations!$O144-Calculations!$C$8)-'Reaction Information'!$N$58*(Calculations!$O144*LN(Calculations!$O144/Calculations!$C$8)-Calculations!$O144+Calculations!$C$8)-'Reaction Information'!$O$58*10^4*(((1/(Calculations!$O144-Calculations!$C$13))-(1/(Calculations!$C$8-Calculations!$C$13)))*((Calculations!$C$13-Calculations!$O144)/(Calculations!$C$13))-(Calculations!$O144/(Calculations!$C$13*Calculations!$C$13))*LN((Calculations!$C$8*(Calculations!$O144-Calculations!$C$13))/(Calculations!$O144*(Calculations!$C$8-Calculations!$C$13))))+'Reaction Information'!$J$58*10^-1*(Calculations!$M144-Calculations!$C$9)+'Reaction Information'!$K$58*10^2*LN((Calculations!$C$12+Calculations!$M144)/(Calculations!$C$12+Calculations!$C$9))+(1/(Calculations!$O144-Calculations!$C$13))*('Reaction Information'!$L$58*(Calculations!$M144-Calculations!$C$9)+'Reaction Information'!$M$58*10^4*LN((Calculations!$C$12+Calculations!$M144)/(Calculations!$C$12+Calculations!$C$9)))+calculateOmega(Calculations!M144,Calculations!N144,Calculations!Q144,'Reaction Information'!$C$58,'Reaction Information'!$P$58*10^5,'Reaction Information'!$Q$58)*((1/Calculations!$S144)-1)-'Reaction Information'!$P$58*10^5*((1/Calculations!$C$10)-1)+'Reaction Information'!$P$58*10^5*Calculations!$C$14*(Calculations!$O144-Calculations!$C$8))</f>
        <v>#N/A</v>
      </c>
      <c r="AW144" s="8" t="e">
        <f>IF(ISBLANK(Input!$BW$4),NA(),'Reaction Information'!$E$62-'Reaction Information'!$G$62*(Calculations!$O144-Calculations!$C$8)-'Reaction Information'!$N$62*(Calculations!$O144*LN(Calculations!$O144/Calculations!$C$8)-Calculations!$O144+Calculations!$C$8)-'Reaction Information'!$O$62*10^4*(((1/(Calculations!$O144-Calculations!$C$13))-(1/(Calculations!$C$8-Calculations!$C$13)))*((Calculations!$C$13-Calculations!$O144)/(Calculations!$C$13))-(Calculations!$O144/(Calculations!$C$13*Calculations!$C$13))*LN((Calculations!$C$8*(Calculations!$O144-Calculations!$C$13))/(Calculations!$O144*(Calculations!$C$8-Calculations!$C$13))))+'Reaction Information'!$J$62*10^-1*(Calculations!$M144-Calculations!$C$9)+'Reaction Information'!$K$62*10^2*LN((Calculations!$C$12+Calculations!$M144)/(Calculations!$C$12+Calculations!$C$9))+(1/(Calculations!$O144-Calculations!$C$13))*('Reaction Information'!$L$62*(Calculations!$M144-Calculations!$C$9)+'Reaction Information'!$M$62*10^4*LN((Calculations!$C$12+Calculations!$M144)/(Calculations!$C$12+Calculations!$C$9)))+calculateOmega(Calculations!M144,Calculations!N144,Calculations!Q144,'Reaction Information'!$C$62,'Reaction Information'!$P$62*10^5,'Reaction Information'!$Q$62)*((1/Calculations!$S144)-1)-'Reaction Information'!$P$62*10^5*((1/Calculations!$C$10)-1)+'Reaction Information'!$P$62*10^5*Calculations!$C$14*(Calculations!$O144-Calculations!$C$8))</f>
        <v>#N/A</v>
      </c>
      <c r="AX144" s="8" t="e">
        <f>IF(ISBLANK(Input!$BZ$4),NA(),'Reaction Information'!$E$66-'Reaction Information'!$G$66*(Calculations!$O144-Calculations!$C$8)-'Reaction Information'!$N$66*(Calculations!$O144*LN(Calculations!$O144/Calculations!$C$8)-Calculations!$O144+Calculations!$C$8)-'Reaction Information'!$O$66*10^4*(((1/(Calculations!$O144-Calculations!$C$13))-(1/(Calculations!$C$8-Calculations!$C$13)))*((Calculations!$C$13-Calculations!$O144)/(Calculations!$C$13))-(Calculations!$O144/(Calculations!$C$13*Calculations!$C$13))*LN((Calculations!$C$8*(Calculations!$O144-Calculations!$C$13))/(Calculations!$O144*(Calculations!$C$8-Calculations!$C$13))))+'Reaction Information'!$J$66*10^-1*(Calculations!$M144-Calculations!$C$9)+'Reaction Information'!$K$66*10^2*LN((Calculations!$C$12+Calculations!$M144)/(Calculations!$C$12+Calculations!$C$9))+(1/(Calculations!$O144-Calculations!$C$13))*('Reaction Information'!$L$66*(Calculations!$M144-Calculations!$C$9)+'Reaction Information'!$M$66*10^4*LN((Calculations!$C$12+Calculations!$M144)/(Calculations!$C$12+Calculations!$C$9)))+calculateOmega(Calculations!M144,Calculations!N144,Calculations!Q144,'Reaction Information'!$C$66,'Reaction Information'!$P$66*10^5,'Reaction Information'!$Q$66)*((1/Calculations!$S144)-1)-'Reaction Information'!$P$66*10^5*((1/Calculations!$C$10)-1)+'Reaction Information'!$P$66*10^5*Calculations!$C$14*(Calculations!$O144-Calculations!$C$8))</f>
        <v>#N/A</v>
      </c>
      <c r="AY144" s="31">
        <f>(AL144*Input!$AO$4+AM144*Input!$AR$4+AN144*Input!$AU$4+AO144*Input!$AX$4+IF(ISNA(AP144),0,AP144*Input!$BA$4)+IF(ISNA(AQ144),0,AQ144*Input!$BD$4)+IF(ISNA(AR144),0,AR144*Input!$BG$4)+IF(ISNA(AS144),0,AS144*Input!$BJ$4)+IF(ISNA(AT144),0,AT144*Input!$BM$4)+IF(ISNA(AU144),0,AU144*Input!$BP$4)+IF(ISNA(AV144),0,AV144*Input!$BS$4)+IF(ISNA(AW144),0,AW144*Input!$BV$4)+IF(ISNA(AX144),0,AX144*Input!$BY$4))-(Y144*Input!$B$4+Z144*Input!$E$4+AA144*Input!$H$4+AB144*Input!$K$4+IF(ISNA(AC144),0,AC144*Input!$N$4)+IF(ISNA(AD144),0,AD144*Input!$Q$4)+IF(ISNA(AE144),0,AE144*Input!$T$4)+IF(ISNA(AF144),0,AF144*Input!$W$4)+IF(ISNA(AG144),0,AG144*Input!$Z$4)+IF(ISNA(AH144),0,AH144*Input!$AC$4)+IF(ISNA(AI144),0,AI144*Input!$AF$4)+IF(ISNA(AJ144),0,AJ144*Input!$AI$4)+IF(ISNA(AK144),0,AK144*Input!$AL$4))</f>
        <v>5873.6046667873743</v>
      </c>
      <c r="AZ144" s="42">
        <f t="shared" si="39"/>
        <v>-1.7762667865657087</v>
      </c>
      <c r="BA144" s="1">
        <f t="shared" si="46"/>
        <v>450</v>
      </c>
      <c r="BB144" s="46">
        <f t="shared" si="47"/>
        <v>50000</v>
      </c>
      <c r="BC144" s="1"/>
      <c r="BD144" s="2">
        <f t="shared" si="48"/>
        <v>50000</v>
      </c>
      <c r="BE144" s="46">
        <f t="shared" si="49"/>
        <v>450</v>
      </c>
      <c r="BF144" s="1">
        <f>Results!AJ146</f>
        <v>0</v>
      </c>
      <c r="BG144" s="1">
        <f>Results!AK146</f>
        <v>0</v>
      </c>
      <c r="BH144" s="1">
        <f>Results!AL146</f>
        <v>0</v>
      </c>
      <c r="BI144" s="1">
        <f>Results!AM146</f>
        <v>0</v>
      </c>
      <c r="BJ144" s="1" t="e">
        <f>IF(OR(ISNA('Reaction Information'!$D$5), $N144 = "", $D$27 = FALSE, 'Reaction Information'!$D$5 = ""), NA(), 24.465)</f>
        <v>#N/A</v>
      </c>
      <c r="BK144" s="1" t="e">
        <f>IF(OR(ISNA('Reaction Information'!$D$9), $N144 = "", $D$27 = FALSE, 'Reaction Information'!$D$9 = ""), NA(), 24.465)</f>
        <v>#N/A</v>
      </c>
      <c r="BL144" s="8">
        <f t="shared" si="40"/>
        <v>12.609604069066977</v>
      </c>
      <c r="BM144" s="8">
        <f>IF(OR(ISBLANK(Input!$X$4),$D$27=FALSE),NA(),('Reaction Information'!$J$13/10+'Reaction Information'!$K$13*100/(Calculations!$C$12+Calculations!$M144)+('Reaction Information'!$L$13+'Reaction Information'!$M$13*10^4/(Calculations!$C$12+Calculations!$M144))/(Calculations!$O144-Calculations!$C$13) -calculateOmega(Calculations!$M144,Calculations!$N144,Calculations!$Q144,'Reaction Information'!$C$13,'Reaction Information'!$P$13*10^5,'Reaction Information'!$Q$13)*Calculations!$U144*10^-6 + (1/$S144 - 1)*calculate_domegadP(Calculations!$M144,Calculations!$N144,Calculations!$Q144,'Reaction Information'!$C$13,'Reaction Information'!$P$13*10^5,'Reaction Information'!$Q$13,$D$20,$D$19=3))*41.84)</f>
        <v>29.854942391549773</v>
      </c>
      <c r="BN144" s="8" t="e">
        <f>IF(OR(ISBLANK(Input!$AA$4),$D$27=FALSE),NA(),('Reaction Information'!$J$17/10+'Reaction Information'!$K$17*100/(Calculations!$C$12+Calculations!$M144)+('Reaction Information'!$L$17+'Reaction Information'!$M$17*10000/(Calculations!$C$12+Calculations!$M144))/(Calculations!$O144-Calculations!$C$13)-calculateOmega(Calculations!M144,Calculations!N144,Calculations!Q144,'Reaction Information'!$C$17,'Reaction Information'!$P$17*10^5,'Reaction Information'!$Q$17)*Calculations!$U144*10^-6 + (1/$S144 - 1)*calculate_domegadP(Calculations!M144,Calculations!N144,Calculations!Q144,'Reaction Information'!$C$17,'Reaction Information'!$P$17*10^5,'Reaction Information'!$Q$17,$D$20,$D$19=3))*41.84)</f>
        <v>#N/A</v>
      </c>
      <c r="BO144" s="8" t="e">
        <f>IF(OR(ISBLANK(Input!$AD$4),$D$27=FALSE),NA(),('Reaction Information'!$J$21/10+'Reaction Information'!$K$21*100/(Calculations!$C$12+Calculations!$M144)+('Reaction Information'!$L$21+'Reaction Information'!$M$21*10000/(Calculations!$C$12+Calculations!$M144))/(Calculations!$O144-Calculations!$C$13)-calculateOmega(Calculations!M144,Calculations!N144,Calculations!Q144,'Reaction Information'!$C$21,'Reaction Information'!$P$21*10^5,'Reaction Information'!$Q$21)*Calculations!$U144*10^-6 + (1/$S144 - 1)*calculate_domegadP(Calculations!M144,Calculations!N144,Calculations!Q144,'Reaction Information'!$C$21,'Reaction Information'!$P$21*10^5,'Reaction Information'!$Q$21,$D$20,$D$19=3))*41.84)</f>
        <v>#N/A</v>
      </c>
      <c r="BP144" s="8" t="e">
        <f>IF(OR(ISBLANK(Input!$AG$4),$D$27=FALSE),NA(),('Reaction Information'!$J$25/10+'Reaction Information'!$K$25*100/(Calculations!$C$12+Calculations!$M144)+('Reaction Information'!$L$25+'Reaction Information'!$M$25*10000/(Calculations!$C$12+Calculations!$M144))/(Calculations!$O144-Calculations!$C$13)-calculateOmega(Calculations!M144,Calculations!N144,Calculations!Q144,'Reaction Information'!$C$25,'Reaction Information'!$P$25*10^5,'Reaction Information'!$Q$25)*Calculations!$U144*10^-6 + (1/$S144 - 1)*calculate_domegadP(Calculations!M144,Calculations!N144,Calculations!Q144,'Reaction Information'!$C$25,'Reaction Information'!$P$25*10^5,'Reaction Information'!$Q$25,$D$20,$D$19=3))*41.84)</f>
        <v>#N/A</v>
      </c>
      <c r="BQ144" s="8" t="e">
        <f>IF(OR(ISBLANK(Input!$AJ$4),$D$27=FALSE),NA(),('Reaction Information'!$J$29/10+'Reaction Information'!$K$29*100/(Calculations!$C$12+Calculations!$M144)+('Reaction Information'!$L$29+'Reaction Information'!$M$29*10000/(Calculations!$C$12+Calculations!$M144))/(Calculations!$O144-Calculations!$C$13)-calculateOmega(Calculations!M144,Calculations!N144,Calculations!Q144,'Reaction Information'!$C$29,'Reaction Information'!$P$29*10^5,'Reaction Information'!$Q$29)*Calculations!$U144*10^-6 + (1/$S144 - 1)*calculate_domegadP(Calculations!M144,Calculations!N144,Calculations!Q144,'Reaction Information'!$C$29,'Reaction Information'!$P$29*10^5,'Reaction Information'!$Q$29,$D$20,$D$19=3))*41.84)</f>
        <v>#N/A</v>
      </c>
      <c r="BR144" s="8" t="e">
        <f>IF(OR(ISBLANK(Input!$AM$4),$D$27=FALSE),NA(),('Reaction Information'!$J$33/10+'Reaction Information'!$K$33*100/(Calculations!$C$12+Calculations!$M144)+('Reaction Information'!$L$33+'Reaction Information'!$M$33*10000/(Calculations!$C$12+Calculations!$M144))/(Calculations!$O144-Calculations!$C$13)-calculateOmega(Calculations!M144,Calculations!N144,Calculations!Q144,'Reaction Information'!$C$33,'Reaction Information'!$P$33*10^5,'Reaction Information'!$Q$33)*Calculations!$U144*10^-6 + (1/$S144 - 1)*calculate_domegadP(Calculations!M144,Calculations!N144,Calculations!Q144,'Reaction Information'!$C$33,'Reaction Information'!$P$33*10^5,'Reaction Information'!$Q$33,$D$20,$D$19=3))*41.84)</f>
        <v>#N/A</v>
      </c>
      <c r="BS144" s="1">
        <f>Results!AW146</f>
        <v>0</v>
      </c>
      <c r="BT144" s="1">
        <f>Results!AX146</f>
        <v>0</v>
      </c>
      <c r="BU144" s="1">
        <f>Results!AY146</f>
        <v>0</v>
      </c>
      <c r="BV144" s="1">
        <f>Results!AZ146</f>
        <v>0</v>
      </c>
      <c r="BW144" s="1" t="e">
        <f>IF(OR(ISNA('Reaction Information'!$D$38), $N144 = "", $D$27 = FALSE, 'Reaction Information'!$D$38 = ""), NA(), 24.465)</f>
        <v>#N/A</v>
      </c>
      <c r="BX144" s="1" t="e">
        <f>IF(OR(ISNA('Reaction Information'!$D$42), $N144 = "", $D$27 = FALSE, 'Reaction Information'!$D$42 = ""), NA(), 24.465)</f>
        <v>#N/A</v>
      </c>
      <c r="BY144" s="8" t="e">
        <f t="shared" si="41"/>
        <v>#N/A</v>
      </c>
      <c r="BZ144" s="8">
        <f>IF(OR(ISBLANK(Input!$BK$4),$D$27=FALSE),NA(),('Reaction Information'!$J$46/10+'Reaction Information'!$K$46*100/(Calculations!$C$12+Calculations!$M144)+('Reaction Information'!$L$46+'Reaction Information'!$M$46*10000/(Calculations!$C$12+Calculations!$M144))/(Calculations!$O144-Calculations!$C$13)-calculateOmega(Calculations!M144,Calculations!N144,Calculations!Q144,'Reaction Information'!$C$46,'Reaction Information'!$P$46*10^5,'Reaction Information'!$Q$46)*Calculations!$U144*10^-6 + (1/$S144 - 1)*calculate_domegadP(Calculations!M144,Calculations!N144,Calculations!Q144,'Reaction Information'!$C$46,'Reaction Information'!$P$46*10^5,'Reaction Information'!$Q$46,$D$20,$D$19=3))*41.84)</f>
        <v>0</v>
      </c>
      <c r="CA144" s="8">
        <f>IF(OR(ISBLANK(Input!$BN$4),$D$27=FALSE),NA(),('Reaction Information'!$J$50/10+'Reaction Information'!$K$50*100/(Calculations!$C$12+Calculations!$M144)+('Reaction Information'!$L$50+'Reaction Information'!$M$50*10000/(Calculations!$C$12+Calculations!$M144))/(Calculations!$O144-Calculations!$C$13)-calculateOmega(Calculations!M144,Calculations!N144,Calculations!Q144,'Reaction Information'!$C$50,'Reaction Information'!$P$50*10^5,'Reaction Information'!$Q$50)*Calculations!$U144*10^-6 + (1/$S144 - 1)*calculate_domegadP(Calculations!M144,Calculations!N144,Calculations!Q144,'Reaction Information'!$C$50,'Reaction Information'!$P$50*10^5,'Reaction Information'!$Q$50,$D$20,$D$19=3))*41.84)</f>
        <v>31.546870391666328</v>
      </c>
      <c r="CB144" s="8" t="e">
        <f>IF(OR(ISBLANK(Input!$BQ$4),$D$27=FALSE),NA(),('Reaction Information'!$J$54/10+'Reaction Information'!$K$54*100/(Calculations!$C$12+Calculations!$M144)+('Reaction Information'!$L$54+'Reaction Information'!$M$54*10000/(Calculations!$C$12+Calculations!$M144))/(Calculations!$O144-Calculations!$C$13)-calculateOmega(Calculations!M144,Calculations!N144,Calculations!Q144,'Reaction Information'!$C$54,'Reaction Information'!$P$54*10^5,'Reaction Information'!$Q$54)*Calculations!$U144*10^-6 + (1/$S144 - 1)*calculate_domegadP(Calculations!M144,Calculations!N144,Calculations!Q144,'Reaction Information'!$C$54,'Reaction Information'!$P$54*10^5,'Reaction Information'!$Q$54,$D$20,$D$19=3))*41.84)</f>
        <v>#N/A</v>
      </c>
      <c r="CC144" s="8" t="e">
        <f>IF(OR(ISBLANK(Input!$BT$4),$D$27=FALSE),NA(),('Reaction Information'!$J$58/10+'Reaction Information'!$K$58*100/(Calculations!$C$12+Calculations!$M144)+('Reaction Information'!$L$58+'Reaction Information'!$M$58*10000/(Calculations!$C$12+Calculations!$M144))/(Calculations!$O144-Calculations!$C$13)-calculateOmega(Calculations!M144,Calculations!N144,Calculations!Q144,'Reaction Information'!$C$58,'Reaction Information'!$P$58*10^5,'Reaction Information'!$Q$58)*Calculations!$U144*10^-6 + (1/$S144 - 1)*calculate_domegadP(Calculations!M144,Calculations!N144,Calculations!Q144,'Reaction Information'!$C$58,'Reaction Information'!$P$58*10^5,'Reaction Information'!$Q$58,$D$20,$D$19=3))*41.84)</f>
        <v>#N/A</v>
      </c>
      <c r="CD144" s="8" t="e">
        <f>IF(OR(ISBLANK(Input!$BW$4),$D$27=FALSE),NA(),('Reaction Information'!$J$62/10+'Reaction Information'!$K$62*100/(Calculations!$C$12+Calculations!$M144)+('Reaction Information'!$L$62+'Reaction Information'!$M$62*10000/(Calculations!$C$12+Calculations!$M144))/(Calculations!$O144-Calculations!$C$13)-calculateOmega(Calculations!M144,Calculations!N144,Calculations!Q144,'Reaction Information'!$C$62,'Reaction Information'!$P$62*10^5,'Reaction Information'!$Q$62)*Calculations!$U144*10^-6 + (1/$S144 - 1)*calculate_domegadP(Calculations!M144,Calculations!N144,Calculations!Q144,'Reaction Information'!$C$62,'Reaction Information'!$P$62*10^5,'Reaction Information'!$Q$62,$D$20,$D$19=3))*41.84)</f>
        <v>#N/A</v>
      </c>
      <c r="CE144" s="8" t="e">
        <f>IF(OR(ISBLANK(Input!$BZ$4),$D$27=FALSE),NA(),('Reaction Information'!$J$66/10+'Reaction Information'!$K$66*100/(Calculations!$C$12+Calculations!$M144)+('Reaction Information'!$L$66+'Reaction Information'!$M$66*10000/(Calculations!$C$12+Calculations!$M144))/(Calculations!$O144-Calculations!$C$13)-calculateOmega(Calculations!M144,Calculations!N144,Calculations!Q144,'Reaction Information'!$C$66,'Reaction Information'!$P$66*10^5,'Reaction Information'!$Q$66)*Calculations!$U144*10^-6 + (1/$S144 - 1)*calculate_domegadP(Calculations!M144,Calculations!N144,Calculations!Q144,'Reaction Information'!$C$66,'Reaction Information'!$P$66*10^5,'Reaction Information'!$Q$66,$D$20,$D$19=3))*41.84)</f>
        <v>#N/A</v>
      </c>
      <c r="CF144" s="31">
        <f>(BS144*Input!$AO$4+BT144*Input!$AR$4+BU144*Input!$AU$4+BV144*Input!$AX$4+IF(ISNA(BW144),0,BW144*Input!$BA$4)+IF(ISNA(BX144),0,BX144*Input!$BD$4)+IF(ISNA(BY144),0,BY144*Input!$BG$4)+IF(ISNA(BZ144),0,BZ144*Input!$BJ$4)+IF(ISNA(CA144),0,CA144*Input!$BM$4)+IF(ISNA(CB144),0,CB144*Input!$BP$4)+IF(ISNA(CC144),0,CC144*Input!$BS$4)+IF(ISNA(CD144),0,CD144*Input!$BV$4)+IF(ISNA(CE144),0,CE144*Input!$BY$4))-(BF144*Input!$B$4+BG144*Input!$E$4+BH144*Input!$H$4+BI144*Input!$K$4+IF(ISNA(BJ144),0,BJ144*Input!$N$4)+IF(ISNA(BK144),0,BK144*Input!$Q$4)+IF(ISNA(BL144),0,BL144*Input!$T$4)+IF(ISNA(BM144),0,BM144*Input!$W$4)+IF(ISNA(BN144),0,BN144*Input!$Z$4)+IF(ISNA(BO144),0,BO144*Input!$AC$4)+IF(ISNA(BP144),0,BP144*Input!$AF$4)+IF(ISNA(BQ144),0,BQ144*Input!$AI$4)+IF(ISNA(BR144),0,BR144*Input!$AL$4))</f>
        <v>-10.917676068950424</v>
      </c>
      <c r="CG144" s="1">
        <f t="shared" si="50"/>
        <v>450</v>
      </c>
      <c r="CH144" s="46">
        <f t="shared" si="51"/>
        <v>50000</v>
      </c>
      <c r="CI144" s="1"/>
    </row>
    <row r="145" spans="1:87" x14ac:dyDescent="0.2">
      <c r="A145" s="1"/>
      <c r="B145" s="1"/>
      <c r="C145" s="1"/>
      <c r="D145" s="1"/>
      <c r="E145" s="1"/>
      <c r="F145" s="2">
        <v>140</v>
      </c>
      <c r="G145" s="1" t="str">
        <f>IF(ISBLANK(Input!CB145), "", Input!CB145*1000)</f>
        <v/>
      </c>
      <c r="H145" s="1" t="str">
        <f>IF(ISBLANK(Input!CC145), "", Input!CC145)</f>
        <v/>
      </c>
      <c r="I145" s="1">
        <f>IF(Input!$CF$5 + Input!$CF$6*(FLOOR((Calculations!$F145-1)/(FLOOR((Input!$CF$12-Input!$CF$10)/Input!$CF$11,1)+1),1)) &gt; Input!$CF$7, "", (Input!$CF$5 + Input!$CF$6*(FLOOR((Calculations!$F145-1)/(FLOOR((Input!$CF$12-Input!$CF$10)/Input!$CF$11,1)+1),1)))*1000)</f>
        <v>50000</v>
      </c>
      <c r="J145" s="1">
        <f>IF(Calculations!I145 = "", "", Input!$CF$10 + Input!$CF$11*(Calculations!$F145-1) - (FLOOR((Input!$CF$12-Input!$CF$10)/Input!$CF$11,1)+1)*Input!$CF$11*FLOOR((Calculations!$F145-1)/(FLOOR((Input!$CF$12-Input!$CF$10)/Input!$CF$11,1)+1),1))</f>
        <v>500</v>
      </c>
      <c r="K145" s="8" t="str">
        <f t="shared" si="52"/>
        <v/>
      </c>
      <c r="L145" s="117" t="str">
        <f>IF(OR(Input!$CJ$5 + Input!$CJ$6*(Calculations!F145-1) &gt; Input!$CJ$7, Input!$CJ$5 + Input!$CJ$6*(Calculations!F145-1) &gt; 350), "", Input!$CJ$5 + Input!$CJ$6*(Calculations!F145-1))</f>
        <v/>
      </c>
      <c r="M145" s="1">
        <f t="shared" si="42"/>
        <v>50000</v>
      </c>
      <c r="N145" s="1">
        <f t="shared" si="43"/>
        <v>500</v>
      </c>
      <c r="O145" s="1">
        <f t="shared" si="38"/>
        <v>773.15</v>
      </c>
      <c r="P145" s="1" t="e">
        <f>IF(OR($D$20=3,AND($D$21=TRUE,M145&lt;1000)),INDEX('Water Density'!$C$6:$CX$120,MATCH(Calculations!N145,'Water Density'!$B$6:$B$120),MATCH(Calculations!M145/1000,'Water Density'!$C$5:$CX$5)),NA())</f>
        <v>#N/A</v>
      </c>
      <c r="Q145" s="182">
        <f>IF(OR($D$20=3,AND($D$21=TRUE,M145&lt;1000)), IF(P145&lt;&gt;0,P145,NA()), calculateDensity(M145,N145,$D$20,0.01,$D$19 = 3))</f>
        <v>1.4147269178470969</v>
      </c>
      <c r="R145" s="1" t="e">
        <f>IF($D$22=5,INDEX('Dielectric Constant'!$C$6:$CX$120,MATCH(Calculations!N145,'Dielectric Constant'!$B$6:$B$120),MATCH(Calculations!M145/1000,'Dielectric Constant'!$C$5:$CX$5)),NA())</f>
        <v>#N/A</v>
      </c>
      <c r="S145" s="58">
        <f>IF($D$22=5, IF(R145&lt;&gt;0,R145,NA()), IF(AND($D$23,M145&lt;=5000,$D$19 &lt;&gt; 3),calculateEpsilon(Q145,N145,1,FALSE),calculateEpsilon(Q145,N145,$D$22,$D$19 = 3)))</f>
        <v>39.969462835393344</v>
      </c>
      <c r="T145" s="1" t="e">
        <f>IF($D$24=3,INDEX('Water Free Energy'!$C$6:$CX$120,MATCH(Calculations!N145,'Water Free Energy'!$B$6:$B$120),MATCH(Calculations!M145/1000,'Water Free Energy'!$C$5:$CX$5)),NA())</f>
        <v>#N/A</v>
      </c>
      <c r="U145" s="179">
        <f>IF($D$27,calculateQ(M145,N145,Q145,$D$20,$D$22,$D$19=3)*10^6,NA())</f>
        <v>0.11006577830596746</v>
      </c>
      <c r="V145"/>
      <c r="W145" s="2">
        <f t="shared" si="44"/>
        <v>50000</v>
      </c>
      <c r="X145" s="1">
        <f t="shared" si="45"/>
        <v>500</v>
      </c>
      <c r="Y145" s="1">
        <f>Results!F147</f>
        <v>0</v>
      </c>
      <c r="Z145" s="1">
        <f>Results!G147</f>
        <v>0</v>
      </c>
      <c r="AA145" s="1">
        <f>Results!H147</f>
        <v>0</v>
      </c>
      <c r="AB145" s="1">
        <f>Results!I147</f>
        <v>0</v>
      </c>
      <c r="AC145" s="1" t="e">
        <f>IF(ISBLANK(Input!$O$4),NA(),'Reaction Information'!$E$5-'Reaction Information'!$G$5*(Calculations!$O145-Calculations!$C$8)+'Reaction Information'!$I$5*(Calculations!$O145-Calculations!$C$8-Calculations!$O145*LN(Calculations!$O145/Calculations!$C$8))+'Reaction Information'!$J$5*0.001/2*(2*Calculations!$O145*Calculations!$C$8-Calculations!$O145^2-Calculations!$C$8^2) + 'Reaction Information'!$K$5*100000*(Calculations!$O145^2 + Calculations!$C$8^2 - 2*Calculations!$O145*Calculations!$C$8)/(2*Calculations!$O145*Calculations!$C$8^2))</f>
        <v>#N/A</v>
      </c>
      <c r="AD145" s="8" t="e">
        <f>IF(ISBLANK(Input!$R$4),NA(),'Reaction Information'!$E$9-'Reaction Information'!$G$9*(Calculations!$O145-Calculations!$C$8)+'Reaction Information'!$I$9*(Calculations!$O145-Calculations!$C$8-Calculations!$O145*LN(Calculations!$O145/Calculations!$C$8))+'Reaction Information'!$J$9*0.001/2*(2*Calculations!$O145*Calculations!$C$8-Calculations!$O145^2-Calculations!$C$8^2) + 'Reaction Information'!$K$9*100000*(Calculations!$O145^2 + Calculations!$C$8^2 - 2*Calculations!$O145*Calculations!$C$8)/(2*Calculations!$O145*Calculations!$C$8^2))</f>
        <v>#N/A</v>
      </c>
      <c r="AE145" s="8">
        <f>IF(AE$5="H2O",IF($D$24=3,IF(T145=0,NA(),T145),calculateGibbsOfWater(M145,N145,$D$24,$D$20,$D$19=3)),NA())</f>
        <v>-50294.027768852815</v>
      </c>
      <c r="AF145" s="8">
        <f>IF(ISBLANK(Input!$X$4),NA(),'Reaction Information'!$E$13-'Reaction Information'!$G$13*(Calculations!O145-Calculations!$C$8)-'Reaction Information'!$N$13*(Calculations!O145*LN(Calculations!O145/Calculations!$C$8)-Calculations!O145+Calculations!$C$8)-'Reaction Information'!$O$13*10^4*(((1/(Calculations!O145-Calculations!$C$13))-(1/(Calculations!$C$8-Calculations!$C$13)))*((Calculations!$C$13-Calculations!O145)/(Calculations!$C$13))-(Calculations!O145/(Calculations!$C$13*Calculations!$C$13))*LN((Calculations!$C$8*(Calculations!O145-Calculations!$C$13))/(Calculations!O145*(Calculations!$C$8-Calculations!$C$13))))+'Reaction Information'!$J$13*10^-1*(Calculations!M145-Calculations!$C$9)+'Reaction Information'!$K$13*10^2*LN((Calculations!$C$12+Calculations!M145)/(Calculations!$C$12+Calculations!$C$9))+(1/(Calculations!O145-Calculations!$C$13))*('Reaction Information'!$L$13*(Calculations!M145-Calculations!$C$9)+'Reaction Information'!$M$13*10^4*LN((Calculations!$C$12+Calculations!M145)/(Calculations!$C$12+Calculations!$C$9)))+calculateOmega(Calculations!M145,Calculations!N145,Calculations!Q145,'Reaction Information'!$C$13,'Reaction Information'!$P$13*10^5,'Reaction Information'!$Q$13)*((1/Calculations!S145)-1)-'Reaction Information'!$P$13*10^5*((1/Calculations!$C$10)-1)+'Reaction Information'!$P$13*10^5*Calculations!$C$14*(Calculations!O145-Calculations!$C$8))</f>
        <v>-74690.895706999014</v>
      </c>
      <c r="AG145" s="8" t="e">
        <f>IF(ISBLANK(Input!$AA$4),NA(),'Reaction Information'!$E$17-'Reaction Information'!$G$17*(Calculations!$O145-Calculations!$C$8)-'Reaction Information'!$N$17*(Calculations!$O145*LN(Calculations!$O145/Calculations!$C$8)-Calculations!$O145+Calculations!$C$8)-'Reaction Information'!$O$17*10^4*(((1/(Calculations!$O145-Calculations!$C$13))-(1/(Calculations!$C$8-Calculations!$C$13)))*((Calculations!$C$13-Calculations!$O145)/(Calculations!$C$13))-(Calculations!$O145/(Calculations!$C$13*Calculations!$C$13))*LN((Calculations!$C$8*(Calculations!$O145-Calculations!$C$13))/(Calculations!$O145*(Calculations!$C$8-Calculations!$C$13))))+'Reaction Information'!$J$17*10^-1*(Calculations!$M145-Calculations!$C$9)+'Reaction Information'!$K$17*10^2*LN((Calculations!$C$12+Calculations!$M145)/(Calculations!$C$12+Calculations!$C$9))+(1/(Calculations!$O145-Calculations!$C$13))*('Reaction Information'!$L$17*(Calculations!$M145-Calculations!$C$9)+'Reaction Information'!$M$17*10^4*LN((Calculations!$C$12+Calculations!$M145)/(Calculations!$C$12+Calculations!$C$9)))+calculateOmega(Calculations!M145,Calculations!N145,Calculations!Q145,'Reaction Information'!$C$17,'Reaction Information'!$P$17*10^5,'Reaction Information'!$Q$17)*((1/Calculations!$S145)-1)-'Reaction Information'!$P$17*10^5*((1/Calculations!$C$10)-1)+'Reaction Information'!$P$17*10^5*Calculations!$C$14*(Calculations!$O145-Calculations!$C$8))</f>
        <v>#N/A</v>
      </c>
      <c r="AH145" s="8" t="e">
        <f>IF(ISBLANK(Input!$AD$4),NA(),'Reaction Information'!$E$21-'Reaction Information'!$G$21*(Calculations!$O145-Calculations!$C$8)-'Reaction Information'!$N$21*(Calculations!$O145*LN(Calculations!$O145/Calculations!$C$8)-Calculations!$O145+Calculations!$C$8)-'Reaction Information'!$O$21*10^4*(((1/(Calculations!$O145-Calculations!$C$13))-(1/(Calculations!$C$8-Calculations!$C$13)))*((Calculations!$C$13-Calculations!$O145)/(Calculations!$C$13))-(Calculations!$O145/(Calculations!$C$13*Calculations!$C$13))*LN((Calculations!$C$8*(Calculations!$O145-Calculations!$C$13))/(Calculations!$O145*(Calculations!$C$8-Calculations!$C$13))))+'Reaction Information'!$J$21*10^-1*(Calculations!$M145-Calculations!$C$9)+'Reaction Information'!$K$21*10^2*LN((Calculations!$C$12+Calculations!$M145)/(Calculations!$C$12+Calculations!$C$9))+(1/(Calculations!$O145-Calculations!$C$13))*('Reaction Information'!$L$21*(Calculations!$M145-Calculations!$C$9)+'Reaction Information'!$M$21*10^4*LN((Calculations!$C$12+Calculations!$M145)/(Calculations!$C$12+Calculations!$C$9)))+calculateOmega(Calculations!M145,Calculations!N145,Calculations!Q145,'Reaction Information'!$C$21,'Reaction Information'!$P$21*10^5,'Reaction Information'!$Q$21)*((1/Calculations!$S145)-1)-'Reaction Information'!$P$21*10^5*((1/Calculations!$C$10)-1)+'Reaction Information'!$P$21*10^5*Calculations!$C$14*(Calculations!$O145-Calculations!$C$8))</f>
        <v>#N/A</v>
      </c>
      <c r="AI145" s="8" t="e">
        <f>IF(ISBLANK(Input!$AG$4),NA(),'Reaction Information'!$E$25-'Reaction Information'!$G$25*(Calculations!$O145-Calculations!$C$8)-'Reaction Information'!$N$25*(Calculations!$O145*LN(Calculations!$O145/Calculations!$C$8)-Calculations!$O145+Calculations!$C$8)-'Reaction Information'!$O$25*10^4*(((1/(Calculations!$O145-Calculations!$C$13))-(1/(Calculations!$C$8-Calculations!$C$13)))*((Calculations!$C$13-Calculations!$O145)/(Calculations!$C$13))-(Calculations!$O145/(Calculations!$C$13*Calculations!$C$13))*LN((Calculations!$C$8*(Calculations!$O145-Calculations!$C$13))/(Calculations!$O145*(Calculations!$C$8-Calculations!$C$13))))+'Reaction Information'!$J$25*10^-1*(Calculations!$M145-Calculations!$C$9)+'Reaction Information'!$K$25*10^2*LN((Calculations!$C$12+Calculations!$M145)/(Calculations!$C$12+Calculations!$C$9))+(1/(Calculations!$O145-Calculations!$C$13))*('Reaction Information'!$L$25*(Calculations!$M145-Calculations!$C$9)+'Reaction Information'!$M$25*10^4*LN((Calculations!$C$12+Calculations!$M145)/(Calculations!$C$12+Calculations!$C$9)))+calculateOmega(Calculations!M145,Calculations!N145,Calculations!Q145,'Reaction Information'!$C$25,'Reaction Information'!$P$25*10^5,'Reaction Information'!$Q$25)*((1/Calculations!$S145)-1)-'Reaction Information'!$P$25*10^5*((1/Calculations!$C$10)-1)+'Reaction Information'!$P$25*10^5*Calculations!$C$14*(Calculations!$O145-Calculations!$C$8))</f>
        <v>#N/A</v>
      </c>
      <c r="AJ145" s="8" t="e">
        <f>IF(ISBLANK(Input!$AJ$4),NA(),'Reaction Information'!$E$29-'Reaction Information'!$G$29*(Calculations!$O145-Calculations!$C$8)-'Reaction Information'!$N$29*(Calculations!$O145*LN(Calculations!$O145/Calculations!$C$8)-Calculations!$O145+Calculations!$C$8)-'Reaction Information'!$O$29*10^4*(((1/(Calculations!$O145-Calculations!$C$13))-(1/(Calculations!$C$8-Calculations!$C$13)))*((Calculations!$C$13-Calculations!$O145)/(Calculations!$C$13))-(Calculations!$O145/(Calculations!$C$13*Calculations!$C$13))*LN((Calculations!$C$8*(Calculations!$O145-Calculations!$C$13))/(Calculations!$O145*(Calculations!$C$8-Calculations!$C$13))))+'Reaction Information'!$J$29*10^-1*(Calculations!$M145-Calculations!$C$9)+'Reaction Information'!$K$29*10^2*LN((Calculations!$C$12+Calculations!$M145)/(Calculations!$C$12+Calculations!$C$9))+(1/(Calculations!$O145-Calculations!$C$13))*('Reaction Information'!$L$29*(Calculations!$M145-Calculations!$C$9)+'Reaction Information'!$M$29*10^4*LN((Calculations!$C$12+Calculations!$M145)/(Calculations!$C$12+Calculations!$C$9)))+calculateOmega(Calculations!M145,Calculations!N145,Calculations!Q145,'Reaction Information'!$C$29,'Reaction Information'!$P$29*10^5,'Reaction Information'!$Q$29)*((1/Calculations!$S145)-1)-'Reaction Information'!$P$29*10^5*((1/Calculations!$C$10)-1)+'Reaction Information'!$P$29*10^5*Calculations!$C$14*(Calculations!$O145-Calculations!$C$8))</f>
        <v>#N/A</v>
      </c>
      <c r="AK145" s="8" t="e">
        <f>IF(ISBLANK(Input!$AM$4),NA(),'Reaction Information'!$E$33-'Reaction Information'!$G$33*(Calculations!$O145-Calculations!$C$8)-'Reaction Information'!$N$33*(Calculations!$O145*LN(Calculations!$O145/Calculations!$C$8)-Calculations!$O145+Calculations!$C$8)-'Reaction Information'!$O$33*10^4*(((1/(Calculations!$O145-Calculations!$C$13))-(1/(Calculations!$C$8-Calculations!$C$13)))*((Calculations!$C$13-Calculations!$O145)/(Calculations!$C$13))-(Calculations!$O145/(Calculations!$C$13*Calculations!$C$13))*LN((Calculations!$C$8*(Calculations!$O145-Calculations!$C$13))/(Calculations!$O145*(Calculations!$C$8-Calculations!$C$13))))+'Reaction Information'!$J$33*10^-1*(Calculations!$M145-Calculations!$C$9)+'Reaction Information'!$K$33*10^2*LN((Calculations!$C$12+Calculations!$M145)/(Calculations!$C$12+Calculations!$C$9))+(1/(Calculations!$O145-Calculations!$C$13))*('Reaction Information'!$L$33*(Calculations!$M145-Calculations!$C$9)+'Reaction Information'!$M$33*10^4*LN((Calculations!$C$12+Calculations!$M145)/(Calculations!$C$12+Calculations!$C$9)))+calculateOmega(Calculations!M145,Calculations!N145,Calculations!Q145,'Reaction Information'!$C$33,'Reaction Information'!$P$33*10^5,'Reaction Information'!$Q$33)*((1/Calculations!$S145)-1)-'Reaction Information'!$P$33*10^5*((1/Calculations!$C$10)-1)+'Reaction Information'!$P$33*10^5*Calculations!$C$14*(Calculations!$O145-Calculations!$C$8))</f>
        <v>#N/A</v>
      </c>
      <c r="AL145" s="1">
        <f>Results!S147</f>
        <v>0</v>
      </c>
      <c r="AM145" s="1">
        <f>Results!T147</f>
        <v>0</v>
      </c>
      <c r="AN145" s="1">
        <f>Results!U147</f>
        <v>0</v>
      </c>
      <c r="AO145" s="1">
        <f>Results!V147</f>
        <v>0</v>
      </c>
      <c r="AP145" s="8" t="e">
        <f>IF(ISBLANK(Input!$BB$4),NA(),'Reaction Information'!$E$38-'Reaction Information'!$G$38*(Calculations!$O145-Calculations!$C$8)+'Reaction Information'!$I$38*(Calculations!$O145-Calculations!$C$8-Calculations!$O145*LN(Calculations!$O145/Calculations!$C$8))+'Reaction Information'!$J$38*0.001/2*(2*Calculations!$O145*Calculations!$C$8-Calculations!$O145^2-Calculations!$C$8^2) + 'Reaction Information'!$K$38*100000*(Calculations!$O145^2 + Calculations!$C$8^2 - 2*Calculations!$O145*Calculations!$C$8)/(2*Calculations!$O145*Calculations!$C$8^2))</f>
        <v>#N/A</v>
      </c>
      <c r="AQ145" s="8" t="e">
        <f>IF(ISBLANK(Input!$BE$4),NA(),'Reaction Information'!$E$42-'Reaction Information'!$G$42*(Calculations!$O145-Calculations!$C$8)+'Reaction Information'!$I$42*(Calculations!$O145-Calculations!$C$8-Calculations!$O145*LN(Calculations!$O145/Calculations!$C$8))+'Reaction Information'!$J$42*0.001/2*(2*Calculations!$O145*Calculations!$C$8-Calculations!$O145^2-Calculations!$C$8^2) + 'Reaction Information'!$K$42*100000*(Calculations!$O145^2 + Calculations!$C$8^2 - 2*Calculations!$O145*Calculations!$C$8)/(2*Calculations!$O145*Calculations!$C$8^2))</f>
        <v>#N/A</v>
      </c>
      <c r="AR145" s="8" t="e">
        <f>IF(AR$5="H2O", IF($D$24=3,IF(T145=0,NA(),T145),calculateGibbsOfWater(M145,N145,$D$24,$D$20,$D$19=3)),NA())</f>
        <v>#N/A</v>
      </c>
      <c r="AS145" s="8">
        <f>IF(ISBLANK(Input!$BK$4),NA(),'Reaction Information'!$E$46-'Reaction Information'!$G$46*(Calculations!O145-Calculations!$C$8)-'Reaction Information'!$N$46*(Calculations!O145*LN(Calculations!O145/Calculations!$C$8)-Calculations!O145+Calculations!$C$8)-'Reaction Information'!$O$46*10^4*(((1/(Calculations!O145-Calculations!$C$13))-(1/(Calculations!$C$8-Calculations!$C$13)))*((Calculations!$C$13-Calculations!O145)/(Calculations!$C$13))-(Calculations!O145/(Calculations!$C$13*Calculations!$C$13))*LN((Calculations!$C$8*(Calculations!O145-Calculations!$C$13))/(Calculations!O145*(Calculations!$C$8-Calculations!$C$13))))+'Reaction Information'!$J$46*10^-1*(Calculations!$M145-Calculations!$C$9)+'Reaction Information'!$K$46*10^2*LN((Calculations!$C$12+Calculations!$M145)/(Calculations!$C$12+Calculations!$C$9))+(1/(Calculations!O145-Calculations!$C$13))*('Reaction Information'!$L$46*(Calculations!$M145-Calculations!$C$9)+'Reaction Information'!$M$46*10^4*LN((Calculations!$C$12+Calculations!$M145)/(Calculations!$C$12+Calculations!$C$9)))+calculateOmega(Calculations!M145,Calculations!N145,Calculations!Q145,'Reaction Information'!$C$46,'Reaction Information'!$P$46*10^5,'Reaction Information'!$Q$46)*((1/Calculations!S145)-1)-'Reaction Information'!$P$46*10^5*((1/Calculations!$C$10)-1)+'Reaction Information'!$P$46*10^5*Calculations!$C$14*(Calculations!O145-Calculations!$C$8))</f>
        <v>0</v>
      </c>
      <c r="AT145" s="8">
        <f>IF(ISBLANK(Input!$BN$4),NA(),'Reaction Information'!$E$50-'Reaction Information'!$G$50*(Calculations!O145-Calculations!$C$8)-'Reaction Information'!$N$50*(Calculations!O145*LN(Calculations!O145/Calculations!$C$8)-Calculations!O145+Calculations!$C$8)-'Reaction Information'!$O$50*10^4*(((1/(Calculations!O145-Calculations!$C$13))-(1/(Calculations!$C$8-Calculations!$C$13)))*((Calculations!$C$13-Calculations!O145)/(Calculations!$C$13))-(Calculations!O145/(Calculations!$C$13*Calculations!$C$13))*LN((Calculations!$C$8*(Calculations!O145-Calculations!$C$13))/(Calculations!O145*(Calculations!$C$8-Calculations!$C$13))))+'Reaction Information'!$J$50*10^-1*(Calculations!$M145-Calculations!$C$9)+'Reaction Information'!$K$50*10^2*LN((Calculations!$C$12+Calculations!$M145)/(Calculations!$C$12+Calculations!$C$9))+(1/(Calculations!O145-Calculations!$C$13))*('Reaction Information'!$L$50*(Calculations!$M145-Calculations!$C$9)+'Reaction Information'!$M$50*10^4*LN((Calculations!$C$12+Calculations!$M145)/(Calculations!$C$12+Calculations!$C$9)))+calculateOmega(Calculations!M145,Calculations!N145,Calculations!Q145,'Reaction Information'!$C$50,'Reaction Information'!$P$50*10^5,'Reaction Information'!$Q$50)*((1/Calculations!S145)-1)-'Reaction Information'!$P$50*10^5*((1/Calculations!$C$10)-1)+'Reaction Information'!$P$50*10^5*Calculations!$C$14*(Calculations!O145-Calculations!$C$8))</f>
        <v>-117348.14414189426</v>
      </c>
      <c r="AU145" s="8" t="e">
        <f>IF(ISBLANK(Input!$BQ$4),NA(),'Reaction Information'!$E$54-'Reaction Information'!$G$54*(Calculations!$O145-Calculations!$C$8)-'Reaction Information'!$N$54*(Calculations!$O145*LN(Calculations!$O145/Calculations!$C$8)-Calculations!$O145+Calculations!$C$8)-'Reaction Information'!$O$54*10^4*(((1/(Calculations!$O145-Calculations!$C$13))-(1/(Calculations!$C$8-Calculations!$C$13)))*((Calculations!$C$13-Calculations!$O145)/(Calculations!$C$13))-(Calculations!$O145/(Calculations!$C$13*Calculations!$C$13))*LN((Calculations!$C$8*(Calculations!$O145-Calculations!$C$13))/(Calculations!$O145*(Calculations!$C$8-Calculations!$C$13))))+'Reaction Information'!$J$54*10^-1*(Calculations!$M145-Calculations!$C$9)+'Reaction Information'!$K$54*10^2*LN((Calculations!$C$12+Calculations!$M145)/(Calculations!$C$12+Calculations!$C$9))+(1/(Calculations!$O145-Calculations!$C$13))*('Reaction Information'!$L$54*(Calculations!$M145-Calculations!$C$9)+'Reaction Information'!$M$54*10^4*LN((Calculations!$C$12+Calculations!$M145)/(Calculations!$C$12+Calculations!$C$9)))+calculateOmega(Calculations!M145,Calculations!N145,Calculations!Q145,'Reaction Information'!$C$54,'Reaction Information'!$P$54*10^5,'Reaction Information'!$Q$54)*((1/Calculations!$S145)-1)-'Reaction Information'!$P$54*10^5*((1/Calculations!$C$10)-1)+'Reaction Information'!$P$54*10^5*Calculations!$C$14*(Calculations!$O145-Calculations!$C$8))</f>
        <v>#N/A</v>
      </c>
      <c r="AV145" s="8" t="e">
        <f>IF(ISBLANK(Input!$BT$4),NA(),'Reaction Information'!$E$58-'Reaction Information'!$G$58*(Calculations!$O145-Calculations!$C$8)-'Reaction Information'!$N$58*(Calculations!$O145*LN(Calculations!$O145/Calculations!$C$8)-Calculations!$O145+Calculations!$C$8)-'Reaction Information'!$O$58*10^4*(((1/(Calculations!$O145-Calculations!$C$13))-(1/(Calculations!$C$8-Calculations!$C$13)))*((Calculations!$C$13-Calculations!$O145)/(Calculations!$C$13))-(Calculations!$O145/(Calculations!$C$13*Calculations!$C$13))*LN((Calculations!$C$8*(Calculations!$O145-Calculations!$C$13))/(Calculations!$O145*(Calculations!$C$8-Calculations!$C$13))))+'Reaction Information'!$J$58*10^-1*(Calculations!$M145-Calculations!$C$9)+'Reaction Information'!$K$58*10^2*LN((Calculations!$C$12+Calculations!$M145)/(Calculations!$C$12+Calculations!$C$9))+(1/(Calculations!$O145-Calculations!$C$13))*('Reaction Information'!$L$58*(Calculations!$M145-Calculations!$C$9)+'Reaction Information'!$M$58*10^4*LN((Calculations!$C$12+Calculations!$M145)/(Calculations!$C$12+Calculations!$C$9)))+calculateOmega(Calculations!M145,Calculations!N145,Calculations!Q145,'Reaction Information'!$C$58,'Reaction Information'!$P$58*10^5,'Reaction Information'!$Q$58)*((1/Calculations!$S145)-1)-'Reaction Information'!$P$58*10^5*((1/Calculations!$C$10)-1)+'Reaction Information'!$P$58*10^5*Calculations!$C$14*(Calculations!$O145-Calculations!$C$8))</f>
        <v>#N/A</v>
      </c>
      <c r="AW145" s="8" t="e">
        <f>IF(ISBLANK(Input!$BW$4),NA(),'Reaction Information'!$E$62-'Reaction Information'!$G$62*(Calculations!$O145-Calculations!$C$8)-'Reaction Information'!$N$62*(Calculations!$O145*LN(Calculations!$O145/Calculations!$C$8)-Calculations!$O145+Calculations!$C$8)-'Reaction Information'!$O$62*10^4*(((1/(Calculations!$O145-Calculations!$C$13))-(1/(Calculations!$C$8-Calculations!$C$13)))*((Calculations!$C$13-Calculations!$O145)/(Calculations!$C$13))-(Calculations!$O145/(Calculations!$C$13*Calculations!$C$13))*LN((Calculations!$C$8*(Calculations!$O145-Calculations!$C$13))/(Calculations!$O145*(Calculations!$C$8-Calculations!$C$13))))+'Reaction Information'!$J$62*10^-1*(Calculations!$M145-Calculations!$C$9)+'Reaction Information'!$K$62*10^2*LN((Calculations!$C$12+Calculations!$M145)/(Calculations!$C$12+Calculations!$C$9))+(1/(Calculations!$O145-Calculations!$C$13))*('Reaction Information'!$L$62*(Calculations!$M145-Calculations!$C$9)+'Reaction Information'!$M$62*10^4*LN((Calculations!$C$12+Calculations!$M145)/(Calculations!$C$12+Calculations!$C$9)))+calculateOmega(Calculations!M145,Calculations!N145,Calculations!Q145,'Reaction Information'!$C$62,'Reaction Information'!$P$62*10^5,'Reaction Information'!$Q$62)*((1/Calculations!$S145)-1)-'Reaction Information'!$P$62*10^5*((1/Calculations!$C$10)-1)+'Reaction Information'!$P$62*10^5*Calculations!$C$14*(Calculations!$O145-Calculations!$C$8))</f>
        <v>#N/A</v>
      </c>
      <c r="AX145" s="8" t="e">
        <f>IF(ISBLANK(Input!$BZ$4),NA(),'Reaction Information'!$E$66-'Reaction Information'!$G$66*(Calculations!$O145-Calculations!$C$8)-'Reaction Information'!$N$66*(Calculations!$O145*LN(Calculations!$O145/Calculations!$C$8)-Calculations!$O145+Calculations!$C$8)-'Reaction Information'!$O$66*10^4*(((1/(Calculations!$O145-Calculations!$C$13))-(1/(Calculations!$C$8-Calculations!$C$13)))*((Calculations!$C$13-Calculations!$O145)/(Calculations!$C$13))-(Calculations!$O145/(Calculations!$C$13*Calculations!$C$13))*LN((Calculations!$C$8*(Calculations!$O145-Calculations!$C$13))/(Calculations!$O145*(Calculations!$C$8-Calculations!$C$13))))+'Reaction Information'!$J$66*10^-1*(Calculations!$M145-Calculations!$C$9)+'Reaction Information'!$K$66*10^2*LN((Calculations!$C$12+Calculations!$M145)/(Calculations!$C$12+Calculations!$C$9))+(1/(Calculations!$O145-Calculations!$C$13))*('Reaction Information'!$L$66*(Calculations!$M145-Calculations!$C$9)+'Reaction Information'!$M$66*10^4*LN((Calculations!$C$12+Calculations!$M145)/(Calculations!$C$12+Calculations!$C$9)))+calculateOmega(Calculations!M145,Calculations!N145,Calculations!Q145,'Reaction Information'!$C$66,'Reaction Information'!$P$66*10^5,'Reaction Information'!$Q$66)*((1/Calculations!$S145)-1)-'Reaction Information'!$P$66*10^5*((1/Calculations!$C$10)-1)+'Reaction Information'!$P$66*10^5*Calculations!$C$14*(Calculations!$O145-Calculations!$C$8))</f>
        <v>#N/A</v>
      </c>
      <c r="AY145" s="31">
        <f>(AL145*Input!$AO$4+AM145*Input!$AR$4+AN145*Input!$AU$4+AO145*Input!$AX$4+IF(ISNA(AP145),0,AP145*Input!$BA$4)+IF(ISNA(AQ145),0,AQ145*Input!$BD$4)+IF(ISNA(AR145),0,AR145*Input!$BG$4)+IF(ISNA(AS145),0,AS145*Input!$BJ$4)+IF(ISNA(AT145),0,AT145*Input!$BM$4)+IF(ISNA(AU145),0,AU145*Input!$BP$4)+IF(ISNA(AV145),0,AV145*Input!$BS$4)+IF(ISNA(AW145),0,AW145*Input!$BV$4)+IF(ISNA(AX145),0,AX145*Input!$BY$4))-(Y145*Input!$B$4+Z145*Input!$E$4+AA145*Input!$H$4+AB145*Input!$K$4+IF(ISNA(AC145),0,AC145*Input!$N$4)+IF(ISNA(AD145),0,AD145*Input!$Q$4)+IF(ISNA(AE145),0,AE145*Input!$T$4)+IF(ISNA(AF145),0,AF145*Input!$W$4)+IF(ISNA(AG145),0,AG145*Input!$Z$4)+IF(ISNA(AH145),0,AH145*Input!$AC$4)+IF(ISNA(AI145),0,AI145*Input!$AF$4)+IF(ISNA(AJ145),0,AJ145*Input!$AI$4)+IF(ISNA(AK145),0,AK145*Input!$AL$4))</f>
        <v>7636.7793339575728</v>
      </c>
      <c r="AZ145" s="42">
        <f t="shared" si="39"/>
        <v>-2.1601223733162902</v>
      </c>
      <c r="BA145" s="1">
        <f t="shared" si="46"/>
        <v>500</v>
      </c>
      <c r="BB145" s="46">
        <f t="shared" si="47"/>
        <v>50000</v>
      </c>
      <c r="BC145" s="1"/>
      <c r="BD145" s="2">
        <f t="shared" si="48"/>
        <v>50000</v>
      </c>
      <c r="BE145" s="46">
        <f t="shared" si="49"/>
        <v>500</v>
      </c>
      <c r="BF145" s="1">
        <f>Results!AJ147</f>
        <v>0</v>
      </c>
      <c r="BG145" s="1">
        <f>Results!AK147</f>
        <v>0</v>
      </c>
      <c r="BH145" s="1">
        <f>Results!AL147</f>
        <v>0</v>
      </c>
      <c r="BI145" s="1">
        <f>Results!AM147</f>
        <v>0</v>
      </c>
      <c r="BJ145" s="1" t="e">
        <f>IF(OR(ISNA('Reaction Information'!$D$5), $N145 = "", $D$27 = FALSE, 'Reaction Information'!$D$5 = ""), NA(), 24.465)</f>
        <v>#N/A</v>
      </c>
      <c r="BK145" s="1" t="e">
        <f>IF(OR(ISNA('Reaction Information'!$D$9), $N145 = "", $D$27 = FALSE, 'Reaction Information'!$D$9 = ""), NA(), 24.465)</f>
        <v>#N/A</v>
      </c>
      <c r="BL145" s="8">
        <f t="shared" si="40"/>
        <v>12.734104209606256</v>
      </c>
      <c r="BM145" s="8">
        <f>IF(OR(ISBLANK(Input!$X$4),$D$27=FALSE),NA(),('Reaction Information'!$J$13/10+'Reaction Information'!$K$13*100/(Calculations!$C$12+Calculations!$M145)+('Reaction Information'!$L$13+'Reaction Information'!$M$13*10^4/(Calculations!$C$12+Calculations!$M145))/(Calculations!$O145-Calculations!$C$13) -calculateOmega(Calculations!$M145,Calculations!$N145,Calculations!$Q145,'Reaction Information'!$C$13,'Reaction Information'!$P$13*10^5,'Reaction Information'!$Q$13)*Calculations!$U145*10^-6 + (1/$S145 - 1)*calculate_domegadP(Calculations!$M145,Calculations!$N145,Calculations!$Q145,'Reaction Information'!$C$13,'Reaction Information'!$P$13*10^5,'Reaction Information'!$Q$13,$D$20,$D$19=3))*41.84)</f>
        <v>29.866502621136725</v>
      </c>
      <c r="BN145" s="8" t="e">
        <f>IF(OR(ISBLANK(Input!$AA$4),$D$27=FALSE),NA(),('Reaction Information'!$J$17/10+'Reaction Information'!$K$17*100/(Calculations!$C$12+Calculations!$M145)+('Reaction Information'!$L$17+'Reaction Information'!$M$17*10000/(Calculations!$C$12+Calculations!$M145))/(Calculations!$O145-Calculations!$C$13)-calculateOmega(Calculations!M145,Calculations!N145,Calculations!Q145,'Reaction Information'!$C$17,'Reaction Information'!$P$17*10^5,'Reaction Information'!$Q$17)*Calculations!$U145*10^-6 + (1/$S145 - 1)*calculate_domegadP(Calculations!M145,Calculations!N145,Calculations!Q145,'Reaction Information'!$C$17,'Reaction Information'!$P$17*10^5,'Reaction Information'!$Q$17,$D$20,$D$19=3))*41.84)</f>
        <v>#N/A</v>
      </c>
      <c r="BO145" s="8" t="e">
        <f>IF(OR(ISBLANK(Input!$AD$4),$D$27=FALSE),NA(),('Reaction Information'!$J$21/10+'Reaction Information'!$K$21*100/(Calculations!$C$12+Calculations!$M145)+('Reaction Information'!$L$21+'Reaction Information'!$M$21*10000/(Calculations!$C$12+Calculations!$M145))/(Calculations!$O145-Calculations!$C$13)-calculateOmega(Calculations!M145,Calculations!N145,Calculations!Q145,'Reaction Information'!$C$21,'Reaction Information'!$P$21*10^5,'Reaction Information'!$Q$21)*Calculations!$U145*10^-6 + (1/$S145 - 1)*calculate_domegadP(Calculations!M145,Calculations!N145,Calculations!Q145,'Reaction Information'!$C$21,'Reaction Information'!$P$21*10^5,'Reaction Information'!$Q$21,$D$20,$D$19=3))*41.84)</f>
        <v>#N/A</v>
      </c>
      <c r="BP145" s="8" t="e">
        <f>IF(OR(ISBLANK(Input!$AG$4),$D$27=FALSE),NA(),('Reaction Information'!$J$25/10+'Reaction Information'!$K$25*100/(Calculations!$C$12+Calculations!$M145)+('Reaction Information'!$L$25+'Reaction Information'!$M$25*10000/(Calculations!$C$12+Calculations!$M145))/(Calculations!$O145-Calculations!$C$13)-calculateOmega(Calculations!M145,Calculations!N145,Calculations!Q145,'Reaction Information'!$C$25,'Reaction Information'!$P$25*10^5,'Reaction Information'!$Q$25)*Calculations!$U145*10^-6 + (1/$S145 - 1)*calculate_domegadP(Calculations!M145,Calculations!N145,Calculations!Q145,'Reaction Information'!$C$25,'Reaction Information'!$P$25*10^5,'Reaction Information'!$Q$25,$D$20,$D$19=3))*41.84)</f>
        <v>#N/A</v>
      </c>
      <c r="BQ145" s="8" t="e">
        <f>IF(OR(ISBLANK(Input!$AJ$4),$D$27=FALSE),NA(),('Reaction Information'!$J$29/10+'Reaction Information'!$K$29*100/(Calculations!$C$12+Calculations!$M145)+('Reaction Information'!$L$29+'Reaction Information'!$M$29*10000/(Calculations!$C$12+Calculations!$M145))/(Calculations!$O145-Calculations!$C$13)-calculateOmega(Calculations!M145,Calculations!N145,Calculations!Q145,'Reaction Information'!$C$29,'Reaction Information'!$P$29*10^5,'Reaction Information'!$Q$29)*Calculations!$U145*10^-6 + (1/$S145 - 1)*calculate_domegadP(Calculations!M145,Calculations!N145,Calculations!Q145,'Reaction Information'!$C$29,'Reaction Information'!$P$29*10^5,'Reaction Information'!$Q$29,$D$20,$D$19=3))*41.84)</f>
        <v>#N/A</v>
      </c>
      <c r="BR145" s="8" t="e">
        <f>IF(OR(ISBLANK(Input!$AM$4),$D$27=FALSE),NA(),('Reaction Information'!$J$33/10+'Reaction Information'!$K$33*100/(Calculations!$C$12+Calculations!$M145)+('Reaction Information'!$L$33+'Reaction Information'!$M$33*10000/(Calculations!$C$12+Calculations!$M145))/(Calculations!$O145-Calculations!$C$13)-calculateOmega(Calculations!M145,Calculations!N145,Calculations!Q145,'Reaction Information'!$C$33,'Reaction Information'!$P$33*10^5,'Reaction Information'!$Q$33)*Calculations!$U145*10^-6 + (1/$S145 - 1)*calculate_domegadP(Calculations!M145,Calculations!N145,Calculations!Q145,'Reaction Information'!$C$33,'Reaction Information'!$P$33*10^5,'Reaction Information'!$Q$33,$D$20,$D$19=3))*41.84)</f>
        <v>#N/A</v>
      </c>
      <c r="BS145" s="1">
        <f>Results!AW147</f>
        <v>0</v>
      </c>
      <c r="BT145" s="1">
        <f>Results!AX147</f>
        <v>0</v>
      </c>
      <c r="BU145" s="1">
        <f>Results!AY147</f>
        <v>0</v>
      </c>
      <c r="BV145" s="1">
        <f>Results!AZ147</f>
        <v>0</v>
      </c>
      <c r="BW145" s="1" t="e">
        <f>IF(OR(ISNA('Reaction Information'!$D$38), $N145 = "", $D$27 = FALSE, 'Reaction Information'!$D$38 = ""), NA(), 24.465)</f>
        <v>#N/A</v>
      </c>
      <c r="BX145" s="1" t="e">
        <f>IF(OR(ISNA('Reaction Information'!$D$42), $N145 = "", $D$27 = FALSE, 'Reaction Information'!$D$42 = ""), NA(), 24.465)</f>
        <v>#N/A</v>
      </c>
      <c r="BY145" s="8" t="e">
        <f t="shared" si="41"/>
        <v>#N/A</v>
      </c>
      <c r="BZ145" s="8">
        <f>IF(OR(ISBLANK(Input!$BK$4),$D$27=FALSE),NA(),('Reaction Information'!$J$46/10+'Reaction Information'!$K$46*100/(Calculations!$C$12+Calculations!$M145)+('Reaction Information'!$L$46+'Reaction Information'!$M$46*10000/(Calculations!$C$12+Calculations!$M145))/(Calculations!$O145-Calculations!$C$13)-calculateOmega(Calculations!M145,Calculations!N145,Calculations!Q145,'Reaction Information'!$C$46,'Reaction Information'!$P$46*10^5,'Reaction Information'!$Q$46)*Calculations!$U145*10^-6 + (1/$S145 - 1)*calculate_domegadP(Calculations!M145,Calculations!N145,Calculations!Q145,'Reaction Information'!$C$46,'Reaction Information'!$P$46*10^5,'Reaction Information'!$Q$46,$D$20,$D$19=3))*41.84)</f>
        <v>0</v>
      </c>
      <c r="CA145" s="8">
        <f>IF(OR(ISBLANK(Input!$BN$4),$D$27=FALSE),NA(),('Reaction Information'!$J$50/10+'Reaction Information'!$K$50*100/(Calculations!$C$12+Calculations!$M145)+('Reaction Information'!$L$50+'Reaction Information'!$M$50*10000/(Calculations!$C$12+Calculations!$M145))/(Calculations!$O145-Calculations!$C$13)-calculateOmega(Calculations!M145,Calculations!N145,Calculations!Q145,'Reaction Information'!$C$50,'Reaction Information'!$P$50*10^5,'Reaction Information'!$Q$50)*Calculations!$U145*10^-6 + (1/$S145 - 1)*calculate_domegadP(Calculations!M145,Calculations!N145,Calculations!Q145,'Reaction Information'!$C$50,'Reaction Information'!$P$50*10^5,'Reaction Information'!$Q$50,$D$20,$D$19=3))*41.84)</f>
        <v>31.499308833892144</v>
      </c>
      <c r="CB145" s="8" t="e">
        <f>IF(OR(ISBLANK(Input!$BQ$4),$D$27=FALSE),NA(),('Reaction Information'!$J$54/10+'Reaction Information'!$K$54*100/(Calculations!$C$12+Calculations!$M145)+('Reaction Information'!$L$54+'Reaction Information'!$M$54*10000/(Calculations!$C$12+Calculations!$M145))/(Calculations!$O145-Calculations!$C$13)-calculateOmega(Calculations!M145,Calculations!N145,Calculations!Q145,'Reaction Information'!$C$54,'Reaction Information'!$P$54*10^5,'Reaction Information'!$Q$54)*Calculations!$U145*10^-6 + (1/$S145 - 1)*calculate_domegadP(Calculations!M145,Calculations!N145,Calculations!Q145,'Reaction Information'!$C$54,'Reaction Information'!$P$54*10^5,'Reaction Information'!$Q$54,$D$20,$D$19=3))*41.84)</f>
        <v>#N/A</v>
      </c>
      <c r="CC145" s="8" t="e">
        <f>IF(OR(ISBLANK(Input!$BT$4),$D$27=FALSE),NA(),('Reaction Information'!$J$58/10+'Reaction Information'!$K$58*100/(Calculations!$C$12+Calculations!$M145)+('Reaction Information'!$L$58+'Reaction Information'!$M$58*10000/(Calculations!$C$12+Calculations!$M145))/(Calculations!$O145-Calculations!$C$13)-calculateOmega(Calculations!M145,Calculations!N145,Calculations!Q145,'Reaction Information'!$C$58,'Reaction Information'!$P$58*10^5,'Reaction Information'!$Q$58)*Calculations!$U145*10^-6 + (1/$S145 - 1)*calculate_domegadP(Calculations!M145,Calculations!N145,Calculations!Q145,'Reaction Information'!$C$58,'Reaction Information'!$P$58*10^5,'Reaction Information'!$Q$58,$D$20,$D$19=3))*41.84)</f>
        <v>#N/A</v>
      </c>
      <c r="CD145" s="8" t="e">
        <f>IF(OR(ISBLANK(Input!$BW$4),$D$27=FALSE),NA(),('Reaction Information'!$J$62/10+'Reaction Information'!$K$62*100/(Calculations!$C$12+Calculations!$M145)+('Reaction Information'!$L$62+'Reaction Information'!$M$62*10000/(Calculations!$C$12+Calculations!$M145))/(Calculations!$O145-Calculations!$C$13)-calculateOmega(Calculations!M145,Calculations!N145,Calculations!Q145,'Reaction Information'!$C$62,'Reaction Information'!$P$62*10^5,'Reaction Information'!$Q$62)*Calculations!$U145*10^-6 + (1/$S145 - 1)*calculate_domegadP(Calculations!M145,Calculations!N145,Calculations!Q145,'Reaction Information'!$C$62,'Reaction Information'!$P$62*10^5,'Reaction Information'!$Q$62,$D$20,$D$19=3))*41.84)</f>
        <v>#N/A</v>
      </c>
      <c r="CE145" s="8" t="e">
        <f>IF(OR(ISBLANK(Input!$BZ$4),$D$27=FALSE),NA(),('Reaction Information'!$J$66/10+'Reaction Information'!$K$66*100/(Calculations!$C$12+Calculations!$M145)+('Reaction Information'!$L$66+'Reaction Information'!$M$66*10000/(Calculations!$C$12+Calculations!$M145))/(Calculations!$O145-Calculations!$C$13)-calculateOmega(Calculations!M145,Calculations!N145,Calculations!Q145,'Reaction Information'!$C$66,'Reaction Information'!$P$66*10^5,'Reaction Information'!$Q$66)*Calculations!$U145*10^-6 + (1/$S145 - 1)*calculate_domegadP(Calculations!M145,Calculations!N145,Calculations!Q145,'Reaction Information'!$C$66,'Reaction Information'!$P$66*10^5,'Reaction Information'!$Q$66,$D$20,$D$19=3))*41.84)</f>
        <v>#N/A</v>
      </c>
      <c r="CF145" s="31">
        <f>(BS145*Input!$AO$4+BT145*Input!$AR$4+BU145*Input!$AU$4+BV145*Input!$AX$4+IF(ISNA(BW145),0,BW145*Input!$BA$4)+IF(ISNA(BX145),0,BX145*Input!$BD$4)+IF(ISNA(BY145),0,BY145*Input!$BG$4)+IF(ISNA(BZ145),0,BZ145*Input!$BJ$4)+IF(ISNA(CA145),0,CA145*Input!$BM$4)+IF(ISNA(CB145),0,CB145*Input!$BP$4)+IF(ISNA(CC145),0,CC145*Input!$BS$4)+IF(ISNA(CD145),0,CD145*Input!$BV$4)+IF(ISNA(CE145),0,CE145*Input!$BY$4))-(BF145*Input!$B$4+BG145*Input!$E$4+BH145*Input!$H$4+BI145*Input!$K$4+IF(ISNA(BJ145),0,BJ145*Input!$N$4)+IF(ISNA(BK145),0,BK145*Input!$Q$4)+IF(ISNA(BL145),0,BL145*Input!$T$4)+IF(ISNA(BM145),0,BM145*Input!$W$4)+IF(ISNA(BN145),0,BN145*Input!$Z$4)+IF(ISNA(BO145),0,BO145*Input!$AC$4)+IF(ISNA(BP145),0,BP145*Input!$AF$4)+IF(ISNA(BQ145),0,BQ145*Input!$AI$4)+IF(ISNA(BR145),0,BR145*Input!$AL$4))</f>
        <v>-11.101297996850839</v>
      </c>
      <c r="CG145" s="1">
        <f t="shared" si="50"/>
        <v>500</v>
      </c>
      <c r="CH145" s="46">
        <f t="shared" si="51"/>
        <v>50000</v>
      </c>
      <c r="CI145" s="1"/>
    </row>
    <row r="146" spans="1:87" x14ac:dyDescent="0.2">
      <c r="A146" s="1"/>
      <c r="B146" s="1"/>
      <c r="C146" s="1"/>
      <c r="D146" s="1"/>
      <c r="E146" s="1"/>
      <c r="F146" s="2">
        <v>141</v>
      </c>
      <c r="G146" s="1" t="str">
        <f>IF(ISBLANK(Input!CB146), "", Input!CB146*1000)</f>
        <v/>
      </c>
      <c r="H146" s="1" t="str">
        <f>IF(ISBLANK(Input!CC146), "", Input!CC146)</f>
        <v/>
      </c>
      <c r="I146" s="1">
        <f>IF(Input!$CF$5 + Input!$CF$6*(FLOOR((Calculations!$F146-1)/(FLOOR((Input!$CF$12-Input!$CF$10)/Input!$CF$11,1)+1),1)) &gt; Input!$CF$7, "", (Input!$CF$5 + Input!$CF$6*(FLOOR((Calculations!$F146-1)/(FLOOR((Input!$CF$12-Input!$CF$10)/Input!$CF$11,1)+1),1)))*1000)</f>
        <v>50000</v>
      </c>
      <c r="J146" s="1">
        <f>IF(Calculations!I146 = "", "", Input!$CF$10 + Input!$CF$11*(Calculations!$F146-1) - (FLOOR((Input!$CF$12-Input!$CF$10)/Input!$CF$11,1)+1)*Input!$CF$11*FLOOR((Calculations!$F146-1)/(FLOOR((Input!$CF$12-Input!$CF$10)/Input!$CF$11,1)+1),1))</f>
        <v>550</v>
      </c>
      <c r="K146" s="8" t="str">
        <f t="shared" si="52"/>
        <v/>
      </c>
      <c r="L146" s="117" t="str">
        <f>IF(OR(Input!$CJ$5 + Input!$CJ$6*(Calculations!F146-1) &gt; Input!$CJ$7, Input!$CJ$5 + Input!$CJ$6*(Calculations!F146-1) &gt; 350), "", Input!$CJ$5 + Input!$CJ$6*(Calculations!F146-1))</f>
        <v/>
      </c>
      <c r="M146" s="1">
        <f t="shared" si="42"/>
        <v>50000</v>
      </c>
      <c r="N146" s="1">
        <f t="shared" si="43"/>
        <v>550</v>
      </c>
      <c r="O146" s="1">
        <f t="shared" si="38"/>
        <v>823.15</v>
      </c>
      <c r="P146" s="1" t="e">
        <f>IF(OR($D$20=3,AND($D$21=TRUE,M146&lt;1000)),INDEX('Water Density'!$C$6:$CX$120,MATCH(Calculations!N146,'Water Density'!$B$6:$B$120),MATCH(Calculations!M146/1000,'Water Density'!$C$5:$CX$5)),NA())</f>
        <v>#N/A</v>
      </c>
      <c r="Q146" s="182">
        <f>IF(OR($D$20=3,AND($D$21=TRUE,M146&lt;1000)), IF(P146&lt;&gt;0,P146,NA()), calculateDensity(M146,N146,$D$20,0.01,$D$19 = 3))</f>
        <v>1.4010151476812363</v>
      </c>
      <c r="R146" s="1" t="e">
        <f>IF($D$22=5,INDEX('Dielectric Constant'!$C$6:$CX$120,MATCH(Calculations!N146,'Dielectric Constant'!$B$6:$B$120),MATCH(Calculations!M146/1000,'Dielectric Constant'!$C$5:$CX$5)),NA())</f>
        <v>#N/A</v>
      </c>
      <c r="S146" s="58">
        <f>IF($D$22=5, IF(R146&lt;&gt;0,R146,NA()), IF(AND($D$23,M146&lt;=5000,$D$19 &lt;&gt; 3),calculateEpsilon(Q146,N146,1,FALSE),calculateEpsilon(Q146,N146,$D$22,$D$19 = 3)))</f>
        <v>36.346180014737044</v>
      </c>
      <c r="T146" s="1" t="e">
        <f>IF($D$24=3,INDEX('Water Free Energy'!$C$6:$CX$120,MATCH(Calculations!N146,'Water Free Energy'!$B$6:$B$120),MATCH(Calculations!M146/1000,'Water Free Energy'!$C$5:$CX$5)),NA())</f>
        <v>#N/A</v>
      </c>
      <c r="U146" s="179">
        <f>IF($D$27,calculateQ(M146,N146,Q146,$D$20,$D$22,$D$19=3)*10^6,NA())</f>
        <v>0.11911340688514163</v>
      </c>
      <c r="V146"/>
      <c r="W146" s="2">
        <f t="shared" si="44"/>
        <v>50000</v>
      </c>
      <c r="X146" s="1">
        <f t="shared" si="45"/>
        <v>550</v>
      </c>
      <c r="Y146" s="1">
        <f>Results!F148</f>
        <v>0</v>
      </c>
      <c r="Z146" s="1">
        <f>Results!G148</f>
        <v>0</v>
      </c>
      <c r="AA146" s="1">
        <f>Results!H148</f>
        <v>0</v>
      </c>
      <c r="AB146" s="1">
        <f>Results!I148</f>
        <v>0</v>
      </c>
      <c r="AC146" s="1" t="e">
        <f>IF(ISBLANK(Input!$O$4),NA(),'Reaction Information'!$E$5-'Reaction Information'!$G$5*(Calculations!$O146-Calculations!$C$8)+'Reaction Information'!$I$5*(Calculations!$O146-Calculations!$C$8-Calculations!$O146*LN(Calculations!$O146/Calculations!$C$8))+'Reaction Information'!$J$5*0.001/2*(2*Calculations!$O146*Calculations!$C$8-Calculations!$O146^2-Calculations!$C$8^2) + 'Reaction Information'!$K$5*100000*(Calculations!$O146^2 + Calculations!$C$8^2 - 2*Calculations!$O146*Calculations!$C$8)/(2*Calculations!$O146*Calculations!$C$8^2))</f>
        <v>#N/A</v>
      </c>
      <c r="AD146" s="8" t="e">
        <f>IF(ISBLANK(Input!$R$4),NA(),'Reaction Information'!$E$9-'Reaction Information'!$G$9*(Calculations!$O146-Calculations!$C$8)+'Reaction Information'!$I$9*(Calculations!$O146-Calculations!$C$8-Calculations!$O146*LN(Calculations!$O146/Calculations!$C$8))+'Reaction Information'!$J$9*0.001/2*(2*Calculations!$O146*Calculations!$C$8-Calculations!$O146^2-Calculations!$C$8^2) + 'Reaction Information'!$K$9*100000*(Calculations!$O146^2 + Calculations!$C$8^2 - 2*Calculations!$O146*Calculations!$C$8)/(2*Calculations!$O146*Calculations!$C$8^2))</f>
        <v>#N/A</v>
      </c>
      <c r="AE146" s="8">
        <f>IF(AE$5="H2O",IF($D$24=3,IF(T146=0,NA(),T146),calculateGibbsOfWater(M146,N146,$D$24,$D$20,$D$19=3)),NA())</f>
        <v>-51620.48516072199</v>
      </c>
      <c r="AF146" s="8">
        <f>IF(ISBLANK(Input!$X$4),NA(),'Reaction Information'!$E$13-'Reaction Information'!$G$13*(Calculations!O146-Calculations!$C$8)-'Reaction Information'!$N$13*(Calculations!O146*LN(Calculations!O146/Calculations!$C$8)-Calculations!O146+Calculations!$C$8)-'Reaction Information'!$O$13*10^4*(((1/(Calculations!O146-Calculations!$C$13))-(1/(Calculations!$C$8-Calculations!$C$13)))*((Calculations!$C$13-Calculations!O146)/(Calculations!$C$13))-(Calculations!O146/(Calculations!$C$13*Calculations!$C$13))*LN((Calculations!$C$8*(Calculations!O146-Calculations!$C$13))/(Calculations!O146*(Calculations!$C$8-Calculations!$C$13))))+'Reaction Information'!$J$13*10^-1*(Calculations!M146-Calculations!$C$9)+'Reaction Information'!$K$13*10^2*LN((Calculations!$C$12+Calculations!M146)/(Calculations!$C$12+Calculations!$C$9))+(1/(Calculations!O146-Calculations!$C$13))*('Reaction Information'!$L$13*(Calculations!M146-Calculations!$C$9)+'Reaction Information'!$M$13*10^4*LN((Calculations!$C$12+Calculations!M146)/(Calculations!$C$12+Calculations!$C$9)))+calculateOmega(Calculations!M146,Calculations!N146,Calculations!Q146,'Reaction Information'!$C$13,'Reaction Information'!$P$13*10^5,'Reaction Information'!$Q$13)*((1/Calculations!S146)-1)-'Reaction Information'!$P$13*10^5*((1/Calculations!$C$10)-1)+'Reaction Information'!$P$13*10^5*Calculations!$C$14*(Calculations!O146-Calculations!$C$8))</f>
        <v>-76892.40866632988</v>
      </c>
      <c r="AG146" s="8" t="e">
        <f>IF(ISBLANK(Input!$AA$4),NA(),'Reaction Information'!$E$17-'Reaction Information'!$G$17*(Calculations!$O146-Calculations!$C$8)-'Reaction Information'!$N$17*(Calculations!$O146*LN(Calculations!$O146/Calculations!$C$8)-Calculations!$O146+Calculations!$C$8)-'Reaction Information'!$O$17*10^4*(((1/(Calculations!$O146-Calculations!$C$13))-(1/(Calculations!$C$8-Calculations!$C$13)))*((Calculations!$C$13-Calculations!$O146)/(Calculations!$C$13))-(Calculations!$O146/(Calculations!$C$13*Calculations!$C$13))*LN((Calculations!$C$8*(Calculations!$O146-Calculations!$C$13))/(Calculations!$O146*(Calculations!$C$8-Calculations!$C$13))))+'Reaction Information'!$J$17*10^-1*(Calculations!$M146-Calculations!$C$9)+'Reaction Information'!$K$17*10^2*LN((Calculations!$C$12+Calculations!$M146)/(Calculations!$C$12+Calculations!$C$9))+(1/(Calculations!$O146-Calculations!$C$13))*('Reaction Information'!$L$17*(Calculations!$M146-Calculations!$C$9)+'Reaction Information'!$M$17*10^4*LN((Calculations!$C$12+Calculations!$M146)/(Calculations!$C$12+Calculations!$C$9)))+calculateOmega(Calculations!M146,Calculations!N146,Calculations!Q146,'Reaction Information'!$C$17,'Reaction Information'!$P$17*10^5,'Reaction Information'!$Q$17)*((1/Calculations!$S146)-1)-'Reaction Information'!$P$17*10^5*((1/Calculations!$C$10)-1)+'Reaction Information'!$P$17*10^5*Calculations!$C$14*(Calculations!$O146-Calculations!$C$8))</f>
        <v>#N/A</v>
      </c>
      <c r="AH146" s="8" t="e">
        <f>IF(ISBLANK(Input!$AD$4),NA(),'Reaction Information'!$E$21-'Reaction Information'!$G$21*(Calculations!$O146-Calculations!$C$8)-'Reaction Information'!$N$21*(Calculations!$O146*LN(Calculations!$O146/Calculations!$C$8)-Calculations!$O146+Calculations!$C$8)-'Reaction Information'!$O$21*10^4*(((1/(Calculations!$O146-Calculations!$C$13))-(1/(Calculations!$C$8-Calculations!$C$13)))*((Calculations!$C$13-Calculations!$O146)/(Calculations!$C$13))-(Calculations!$O146/(Calculations!$C$13*Calculations!$C$13))*LN((Calculations!$C$8*(Calculations!$O146-Calculations!$C$13))/(Calculations!$O146*(Calculations!$C$8-Calculations!$C$13))))+'Reaction Information'!$J$21*10^-1*(Calculations!$M146-Calculations!$C$9)+'Reaction Information'!$K$21*10^2*LN((Calculations!$C$12+Calculations!$M146)/(Calculations!$C$12+Calculations!$C$9))+(1/(Calculations!$O146-Calculations!$C$13))*('Reaction Information'!$L$21*(Calculations!$M146-Calculations!$C$9)+'Reaction Information'!$M$21*10^4*LN((Calculations!$C$12+Calculations!$M146)/(Calculations!$C$12+Calculations!$C$9)))+calculateOmega(Calculations!M146,Calculations!N146,Calculations!Q146,'Reaction Information'!$C$21,'Reaction Information'!$P$21*10^5,'Reaction Information'!$Q$21)*((1/Calculations!$S146)-1)-'Reaction Information'!$P$21*10^5*((1/Calculations!$C$10)-1)+'Reaction Information'!$P$21*10^5*Calculations!$C$14*(Calculations!$O146-Calculations!$C$8))</f>
        <v>#N/A</v>
      </c>
      <c r="AI146" s="8" t="e">
        <f>IF(ISBLANK(Input!$AG$4),NA(),'Reaction Information'!$E$25-'Reaction Information'!$G$25*(Calculations!$O146-Calculations!$C$8)-'Reaction Information'!$N$25*(Calculations!$O146*LN(Calculations!$O146/Calculations!$C$8)-Calculations!$O146+Calculations!$C$8)-'Reaction Information'!$O$25*10^4*(((1/(Calculations!$O146-Calculations!$C$13))-(1/(Calculations!$C$8-Calculations!$C$13)))*((Calculations!$C$13-Calculations!$O146)/(Calculations!$C$13))-(Calculations!$O146/(Calculations!$C$13*Calculations!$C$13))*LN((Calculations!$C$8*(Calculations!$O146-Calculations!$C$13))/(Calculations!$O146*(Calculations!$C$8-Calculations!$C$13))))+'Reaction Information'!$J$25*10^-1*(Calculations!$M146-Calculations!$C$9)+'Reaction Information'!$K$25*10^2*LN((Calculations!$C$12+Calculations!$M146)/(Calculations!$C$12+Calculations!$C$9))+(1/(Calculations!$O146-Calculations!$C$13))*('Reaction Information'!$L$25*(Calculations!$M146-Calculations!$C$9)+'Reaction Information'!$M$25*10^4*LN((Calculations!$C$12+Calculations!$M146)/(Calculations!$C$12+Calculations!$C$9)))+calculateOmega(Calculations!M146,Calculations!N146,Calculations!Q146,'Reaction Information'!$C$25,'Reaction Information'!$P$25*10^5,'Reaction Information'!$Q$25)*((1/Calculations!$S146)-1)-'Reaction Information'!$P$25*10^5*((1/Calculations!$C$10)-1)+'Reaction Information'!$P$25*10^5*Calculations!$C$14*(Calculations!$O146-Calculations!$C$8))</f>
        <v>#N/A</v>
      </c>
      <c r="AJ146" s="8" t="e">
        <f>IF(ISBLANK(Input!$AJ$4),NA(),'Reaction Information'!$E$29-'Reaction Information'!$G$29*(Calculations!$O146-Calculations!$C$8)-'Reaction Information'!$N$29*(Calculations!$O146*LN(Calculations!$O146/Calculations!$C$8)-Calculations!$O146+Calculations!$C$8)-'Reaction Information'!$O$29*10^4*(((1/(Calculations!$O146-Calculations!$C$13))-(1/(Calculations!$C$8-Calculations!$C$13)))*((Calculations!$C$13-Calculations!$O146)/(Calculations!$C$13))-(Calculations!$O146/(Calculations!$C$13*Calculations!$C$13))*LN((Calculations!$C$8*(Calculations!$O146-Calculations!$C$13))/(Calculations!$O146*(Calculations!$C$8-Calculations!$C$13))))+'Reaction Information'!$J$29*10^-1*(Calculations!$M146-Calculations!$C$9)+'Reaction Information'!$K$29*10^2*LN((Calculations!$C$12+Calculations!$M146)/(Calculations!$C$12+Calculations!$C$9))+(1/(Calculations!$O146-Calculations!$C$13))*('Reaction Information'!$L$29*(Calculations!$M146-Calculations!$C$9)+'Reaction Information'!$M$29*10^4*LN((Calculations!$C$12+Calculations!$M146)/(Calculations!$C$12+Calculations!$C$9)))+calculateOmega(Calculations!M146,Calculations!N146,Calculations!Q146,'Reaction Information'!$C$29,'Reaction Information'!$P$29*10^5,'Reaction Information'!$Q$29)*((1/Calculations!$S146)-1)-'Reaction Information'!$P$29*10^5*((1/Calculations!$C$10)-1)+'Reaction Information'!$P$29*10^5*Calculations!$C$14*(Calculations!$O146-Calculations!$C$8))</f>
        <v>#N/A</v>
      </c>
      <c r="AK146" s="8" t="e">
        <f>IF(ISBLANK(Input!$AM$4),NA(),'Reaction Information'!$E$33-'Reaction Information'!$G$33*(Calculations!$O146-Calculations!$C$8)-'Reaction Information'!$N$33*(Calculations!$O146*LN(Calculations!$O146/Calculations!$C$8)-Calculations!$O146+Calculations!$C$8)-'Reaction Information'!$O$33*10^4*(((1/(Calculations!$O146-Calculations!$C$13))-(1/(Calculations!$C$8-Calculations!$C$13)))*((Calculations!$C$13-Calculations!$O146)/(Calculations!$C$13))-(Calculations!$O146/(Calculations!$C$13*Calculations!$C$13))*LN((Calculations!$C$8*(Calculations!$O146-Calculations!$C$13))/(Calculations!$O146*(Calculations!$C$8-Calculations!$C$13))))+'Reaction Information'!$J$33*10^-1*(Calculations!$M146-Calculations!$C$9)+'Reaction Information'!$K$33*10^2*LN((Calculations!$C$12+Calculations!$M146)/(Calculations!$C$12+Calculations!$C$9))+(1/(Calculations!$O146-Calculations!$C$13))*('Reaction Information'!$L$33*(Calculations!$M146-Calculations!$C$9)+'Reaction Information'!$M$33*10^4*LN((Calculations!$C$12+Calculations!$M146)/(Calculations!$C$12+Calculations!$C$9)))+calculateOmega(Calculations!M146,Calculations!N146,Calculations!Q146,'Reaction Information'!$C$33,'Reaction Information'!$P$33*10^5,'Reaction Information'!$Q$33)*((1/Calculations!$S146)-1)-'Reaction Information'!$P$33*10^5*((1/Calculations!$C$10)-1)+'Reaction Information'!$P$33*10^5*Calculations!$C$14*(Calculations!$O146-Calculations!$C$8))</f>
        <v>#N/A</v>
      </c>
      <c r="AL146" s="1">
        <f>Results!S148</f>
        <v>0</v>
      </c>
      <c r="AM146" s="1">
        <f>Results!T148</f>
        <v>0</v>
      </c>
      <c r="AN146" s="1">
        <f>Results!U148</f>
        <v>0</v>
      </c>
      <c r="AO146" s="1">
        <f>Results!V148</f>
        <v>0</v>
      </c>
      <c r="AP146" s="8" t="e">
        <f>IF(ISBLANK(Input!$BB$4),NA(),'Reaction Information'!$E$38-'Reaction Information'!$G$38*(Calculations!$O146-Calculations!$C$8)+'Reaction Information'!$I$38*(Calculations!$O146-Calculations!$C$8-Calculations!$O146*LN(Calculations!$O146/Calculations!$C$8))+'Reaction Information'!$J$38*0.001/2*(2*Calculations!$O146*Calculations!$C$8-Calculations!$O146^2-Calculations!$C$8^2) + 'Reaction Information'!$K$38*100000*(Calculations!$O146^2 + Calculations!$C$8^2 - 2*Calculations!$O146*Calculations!$C$8)/(2*Calculations!$O146*Calculations!$C$8^2))</f>
        <v>#N/A</v>
      </c>
      <c r="AQ146" s="8" t="e">
        <f>IF(ISBLANK(Input!$BE$4),NA(),'Reaction Information'!$E$42-'Reaction Information'!$G$42*(Calculations!$O146-Calculations!$C$8)+'Reaction Information'!$I$42*(Calculations!$O146-Calculations!$C$8-Calculations!$O146*LN(Calculations!$O146/Calculations!$C$8))+'Reaction Information'!$J$42*0.001/2*(2*Calculations!$O146*Calculations!$C$8-Calculations!$O146^2-Calculations!$C$8^2) + 'Reaction Information'!$K$42*100000*(Calculations!$O146^2 + Calculations!$C$8^2 - 2*Calculations!$O146*Calculations!$C$8)/(2*Calculations!$O146*Calculations!$C$8^2))</f>
        <v>#N/A</v>
      </c>
      <c r="AR146" s="8" t="e">
        <f>IF(AR$5="H2O", IF($D$24=3,IF(T146=0,NA(),T146),calculateGibbsOfWater(M146,N146,$D$24,$D$20,$D$19=3)),NA())</f>
        <v>#N/A</v>
      </c>
      <c r="AS146" s="8">
        <f>IF(ISBLANK(Input!$BK$4),NA(),'Reaction Information'!$E$46-'Reaction Information'!$G$46*(Calculations!O146-Calculations!$C$8)-'Reaction Information'!$N$46*(Calculations!O146*LN(Calculations!O146/Calculations!$C$8)-Calculations!O146+Calculations!$C$8)-'Reaction Information'!$O$46*10^4*(((1/(Calculations!O146-Calculations!$C$13))-(1/(Calculations!$C$8-Calculations!$C$13)))*((Calculations!$C$13-Calculations!O146)/(Calculations!$C$13))-(Calculations!O146/(Calculations!$C$13*Calculations!$C$13))*LN((Calculations!$C$8*(Calculations!O146-Calculations!$C$13))/(Calculations!O146*(Calculations!$C$8-Calculations!$C$13))))+'Reaction Information'!$J$46*10^-1*(Calculations!$M146-Calculations!$C$9)+'Reaction Information'!$K$46*10^2*LN((Calculations!$C$12+Calculations!$M146)/(Calculations!$C$12+Calculations!$C$9))+(1/(Calculations!O146-Calculations!$C$13))*('Reaction Information'!$L$46*(Calculations!$M146-Calculations!$C$9)+'Reaction Information'!$M$46*10^4*LN((Calculations!$C$12+Calculations!$M146)/(Calculations!$C$12+Calculations!$C$9)))+calculateOmega(Calculations!M146,Calculations!N146,Calculations!Q146,'Reaction Information'!$C$46,'Reaction Information'!$P$46*10^5,'Reaction Information'!$Q$46)*((1/Calculations!S146)-1)-'Reaction Information'!$P$46*10^5*((1/Calculations!$C$10)-1)+'Reaction Information'!$P$46*10^5*Calculations!$C$14*(Calculations!O146-Calculations!$C$8))</f>
        <v>0</v>
      </c>
      <c r="AT146" s="8">
        <f>IF(ISBLANK(Input!$BN$4),NA(),'Reaction Information'!$E$50-'Reaction Information'!$G$50*(Calculations!O146-Calculations!$C$8)-'Reaction Information'!$N$50*(Calculations!O146*LN(Calculations!O146/Calculations!$C$8)-Calculations!O146+Calculations!$C$8)-'Reaction Information'!$O$50*10^4*(((1/(Calculations!O146-Calculations!$C$13))-(1/(Calculations!$C$8-Calculations!$C$13)))*((Calculations!$C$13-Calculations!O146)/(Calculations!$C$13))-(Calculations!O146/(Calculations!$C$13*Calculations!$C$13))*LN((Calculations!$C$8*(Calculations!O146-Calculations!$C$13))/(Calculations!O146*(Calculations!$C$8-Calculations!$C$13))))+'Reaction Information'!$J$50*10^-1*(Calculations!$M146-Calculations!$C$9)+'Reaction Information'!$K$50*10^2*LN((Calculations!$C$12+Calculations!$M146)/(Calculations!$C$12+Calculations!$C$9))+(1/(Calculations!O146-Calculations!$C$13))*('Reaction Information'!$L$50*(Calculations!$M146-Calculations!$C$9)+'Reaction Information'!$M$50*10^4*LN((Calculations!$C$12+Calculations!$M146)/(Calculations!$C$12+Calculations!$C$9)))+calculateOmega(Calculations!M146,Calculations!N146,Calculations!Q146,'Reaction Information'!$C$50,'Reaction Information'!$P$50*10^5,'Reaction Information'!$Q$50)*((1/Calculations!S146)-1)-'Reaction Information'!$P$50*10^5*((1/Calculations!$C$10)-1)+'Reaction Information'!$P$50*10^5*Calculations!$C$14*(Calculations!O146-Calculations!$C$8))</f>
        <v>-119045.70876905716</v>
      </c>
      <c r="AU146" s="8" t="e">
        <f>IF(ISBLANK(Input!$BQ$4),NA(),'Reaction Information'!$E$54-'Reaction Information'!$G$54*(Calculations!$O146-Calculations!$C$8)-'Reaction Information'!$N$54*(Calculations!$O146*LN(Calculations!$O146/Calculations!$C$8)-Calculations!$O146+Calculations!$C$8)-'Reaction Information'!$O$54*10^4*(((1/(Calculations!$O146-Calculations!$C$13))-(1/(Calculations!$C$8-Calculations!$C$13)))*((Calculations!$C$13-Calculations!$O146)/(Calculations!$C$13))-(Calculations!$O146/(Calculations!$C$13*Calculations!$C$13))*LN((Calculations!$C$8*(Calculations!$O146-Calculations!$C$13))/(Calculations!$O146*(Calculations!$C$8-Calculations!$C$13))))+'Reaction Information'!$J$54*10^-1*(Calculations!$M146-Calculations!$C$9)+'Reaction Information'!$K$54*10^2*LN((Calculations!$C$12+Calculations!$M146)/(Calculations!$C$12+Calculations!$C$9))+(1/(Calculations!$O146-Calculations!$C$13))*('Reaction Information'!$L$54*(Calculations!$M146-Calculations!$C$9)+'Reaction Information'!$M$54*10^4*LN((Calculations!$C$12+Calculations!$M146)/(Calculations!$C$12+Calculations!$C$9)))+calculateOmega(Calculations!M146,Calculations!N146,Calculations!Q146,'Reaction Information'!$C$54,'Reaction Information'!$P$54*10^5,'Reaction Information'!$Q$54)*((1/Calculations!$S146)-1)-'Reaction Information'!$P$54*10^5*((1/Calculations!$C$10)-1)+'Reaction Information'!$P$54*10^5*Calculations!$C$14*(Calculations!$O146-Calculations!$C$8))</f>
        <v>#N/A</v>
      </c>
      <c r="AV146" s="8" t="e">
        <f>IF(ISBLANK(Input!$BT$4),NA(),'Reaction Information'!$E$58-'Reaction Information'!$G$58*(Calculations!$O146-Calculations!$C$8)-'Reaction Information'!$N$58*(Calculations!$O146*LN(Calculations!$O146/Calculations!$C$8)-Calculations!$O146+Calculations!$C$8)-'Reaction Information'!$O$58*10^4*(((1/(Calculations!$O146-Calculations!$C$13))-(1/(Calculations!$C$8-Calculations!$C$13)))*((Calculations!$C$13-Calculations!$O146)/(Calculations!$C$13))-(Calculations!$O146/(Calculations!$C$13*Calculations!$C$13))*LN((Calculations!$C$8*(Calculations!$O146-Calculations!$C$13))/(Calculations!$O146*(Calculations!$C$8-Calculations!$C$13))))+'Reaction Information'!$J$58*10^-1*(Calculations!$M146-Calculations!$C$9)+'Reaction Information'!$K$58*10^2*LN((Calculations!$C$12+Calculations!$M146)/(Calculations!$C$12+Calculations!$C$9))+(1/(Calculations!$O146-Calculations!$C$13))*('Reaction Information'!$L$58*(Calculations!$M146-Calculations!$C$9)+'Reaction Information'!$M$58*10^4*LN((Calculations!$C$12+Calculations!$M146)/(Calculations!$C$12+Calculations!$C$9)))+calculateOmega(Calculations!M146,Calculations!N146,Calculations!Q146,'Reaction Information'!$C$58,'Reaction Information'!$P$58*10^5,'Reaction Information'!$Q$58)*((1/Calculations!$S146)-1)-'Reaction Information'!$P$58*10^5*((1/Calculations!$C$10)-1)+'Reaction Information'!$P$58*10^5*Calculations!$C$14*(Calculations!$O146-Calculations!$C$8))</f>
        <v>#N/A</v>
      </c>
      <c r="AW146" s="8" t="e">
        <f>IF(ISBLANK(Input!$BW$4),NA(),'Reaction Information'!$E$62-'Reaction Information'!$G$62*(Calculations!$O146-Calculations!$C$8)-'Reaction Information'!$N$62*(Calculations!$O146*LN(Calculations!$O146/Calculations!$C$8)-Calculations!$O146+Calculations!$C$8)-'Reaction Information'!$O$62*10^4*(((1/(Calculations!$O146-Calculations!$C$13))-(1/(Calculations!$C$8-Calculations!$C$13)))*((Calculations!$C$13-Calculations!$O146)/(Calculations!$C$13))-(Calculations!$O146/(Calculations!$C$13*Calculations!$C$13))*LN((Calculations!$C$8*(Calculations!$O146-Calculations!$C$13))/(Calculations!$O146*(Calculations!$C$8-Calculations!$C$13))))+'Reaction Information'!$J$62*10^-1*(Calculations!$M146-Calculations!$C$9)+'Reaction Information'!$K$62*10^2*LN((Calculations!$C$12+Calculations!$M146)/(Calculations!$C$12+Calculations!$C$9))+(1/(Calculations!$O146-Calculations!$C$13))*('Reaction Information'!$L$62*(Calculations!$M146-Calculations!$C$9)+'Reaction Information'!$M$62*10^4*LN((Calculations!$C$12+Calculations!$M146)/(Calculations!$C$12+Calculations!$C$9)))+calculateOmega(Calculations!M146,Calculations!N146,Calculations!Q146,'Reaction Information'!$C$62,'Reaction Information'!$P$62*10^5,'Reaction Information'!$Q$62)*((1/Calculations!$S146)-1)-'Reaction Information'!$P$62*10^5*((1/Calculations!$C$10)-1)+'Reaction Information'!$P$62*10^5*Calculations!$C$14*(Calculations!$O146-Calculations!$C$8))</f>
        <v>#N/A</v>
      </c>
      <c r="AX146" s="8" t="e">
        <f>IF(ISBLANK(Input!$BZ$4),NA(),'Reaction Information'!$E$66-'Reaction Information'!$G$66*(Calculations!$O146-Calculations!$C$8)-'Reaction Information'!$N$66*(Calculations!$O146*LN(Calculations!$O146/Calculations!$C$8)-Calculations!$O146+Calculations!$C$8)-'Reaction Information'!$O$66*10^4*(((1/(Calculations!$O146-Calculations!$C$13))-(1/(Calculations!$C$8-Calculations!$C$13)))*((Calculations!$C$13-Calculations!$O146)/(Calculations!$C$13))-(Calculations!$O146/(Calculations!$C$13*Calculations!$C$13))*LN((Calculations!$C$8*(Calculations!$O146-Calculations!$C$13))/(Calculations!$O146*(Calculations!$C$8-Calculations!$C$13))))+'Reaction Information'!$J$66*10^-1*(Calculations!$M146-Calculations!$C$9)+'Reaction Information'!$K$66*10^2*LN((Calculations!$C$12+Calculations!$M146)/(Calculations!$C$12+Calculations!$C$9))+(1/(Calculations!$O146-Calculations!$C$13))*('Reaction Information'!$L$66*(Calculations!$M146-Calculations!$C$9)+'Reaction Information'!$M$66*10^4*LN((Calculations!$C$12+Calculations!$M146)/(Calculations!$C$12+Calculations!$C$9)))+calculateOmega(Calculations!M146,Calculations!N146,Calculations!Q146,'Reaction Information'!$C$66,'Reaction Information'!$P$66*10^5,'Reaction Information'!$Q$66)*((1/Calculations!$S146)-1)-'Reaction Information'!$P$66*10^5*((1/Calculations!$C$10)-1)+'Reaction Information'!$P$66*10^5*Calculations!$C$14*(Calculations!$O146-Calculations!$C$8))</f>
        <v>#N/A</v>
      </c>
      <c r="AY146" s="31">
        <f>(AL146*Input!$AO$4+AM146*Input!$AR$4+AN146*Input!$AU$4+AO146*Input!$AX$4+IF(ISNA(AP146),0,AP146*Input!$BA$4)+IF(ISNA(AQ146),0,AQ146*Input!$BD$4)+IF(ISNA(AR146),0,AR146*Input!$BG$4)+IF(ISNA(AS146),0,AS146*Input!$BJ$4)+IF(ISNA(AT146),0,AT146*Input!$BM$4)+IF(ISNA(AU146),0,AU146*Input!$BP$4)+IF(ISNA(AV146),0,AV146*Input!$BS$4)+IF(ISNA(AW146),0,AW146*Input!$BV$4)+IF(ISNA(AX146),0,AX146*Input!$BY$4))-(Y146*Input!$B$4+Z146*Input!$E$4+AA146*Input!$H$4+AB146*Input!$K$4+IF(ISNA(AC146),0,AC146*Input!$N$4)+IF(ISNA(AD146),0,AD146*Input!$Q$4)+IF(ISNA(AE146),0,AE146*Input!$T$4)+IF(ISNA(AF146),0,AF146*Input!$W$4)+IF(ISNA(AG146),0,AG146*Input!$Z$4)+IF(ISNA(AH146),0,AH146*Input!$AC$4)+IF(ISNA(AI146),0,AI146*Input!$AF$4)+IF(ISNA(AJ146),0,AJ146*Input!$AI$4)+IF(ISNA(AK146),0,AK146*Input!$AL$4))</f>
        <v>9467.1850579947059</v>
      </c>
      <c r="AZ146" s="42">
        <f t="shared" si="39"/>
        <v>-2.5152071418530078</v>
      </c>
      <c r="BA146" s="1">
        <f t="shared" si="46"/>
        <v>550</v>
      </c>
      <c r="BB146" s="46">
        <f t="shared" si="47"/>
        <v>50000</v>
      </c>
      <c r="BC146" s="1"/>
      <c r="BD146" s="2">
        <f t="shared" si="48"/>
        <v>50000</v>
      </c>
      <c r="BE146" s="46">
        <f t="shared" si="49"/>
        <v>550</v>
      </c>
      <c r="BF146" s="1">
        <f>Results!AJ148</f>
        <v>0</v>
      </c>
      <c r="BG146" s="1">
        <f>Results!AK148</f>
        <v>0</v>
      </c>
      <c r="BH146" s="1">
        <f>Results!AL148</f>
        <v>0</v>
      </c>
      <c r="BI146" s="1">
        <f>Results!AM148</f>
        <v>0</v>
      </c>
      <c r="BJ146" s="1" t="e">
        <f>IF(OR(ISNA('Reaction Information'!$D$5), $N146 = "", $D$27 = FALSE, 'Reaction Information'!$D$5 = ""), NA(), 24.465)</f>
        <v>#N/A</v>
      </c>
      <c r="BK146" s="1" t="e">
        <f>IF(OR(ISNA('Reaction Information'!$D$9), $N146 = "", $D$27 = FALSE, 'Reaction Information'!$D$9 = ""), NA(), 24.465)</f>
        <v>#N/A</v>
      </c>
      <c r="BL146" s="8">
        <f t="shared" si="40"/>
        <v>12.858733204859609</v>
      </c>
      <c r="BM146" s="8">
        <f>IF(OR(ISBLANK(Input!$X$4),$D$27=FALSE),NA(),('Reaction Information'!$J$13/10+'Reaction Information'!$K$13*100/(Calculations!$C$12+Calculations!$M146)+('Reaction Information'!$L$13+'Reaction Information'!$M$13*10^4/(Calculations!$C$12+Calculations!$M146))/(Calculations!$O146-Calculations!$C$13) -calculateOmega(Calculations!$M146,Calculations!$N146,Calculations!$Q146,'Reaction Information'!$C$13,'Reaction Information'!$P$13*10^5,'Reaction Information'!$Q$13)*Calculations!$U146*10^-6 + (1/$S146 - 1)*calculate_domegadP(Calculations!$M146,Calculations!$N146,Calculations!$Q146,'Reaction Information'!$C$13,'Reaction Information'!$P$13*10^5,'Reaction Information'!$Q$13,$D$20,$D$19=3))*41.84)</f>
        <v>29.881802043088882</v>
      </c>
      <c r="BN146" s="8" t="e">
        <f>IF(OR(ISBLANK(Input!$AA$4),$D$27=FALSE),NA(),('Reaction Information'!$J$17/10+'Reaction Information'!$K$17*100/(Calculations!$C$12+Calculations!$M146)+('Reaction Information'!$L$17+'Reaction Information'!$M$17*10000/(Calculations!$C$12+Calculations!$M146))/(Calculations!$O146-Calculations!$C$13)-calculateOmega(Calculations!M146,Calculations!N146,Calculations!Q146,'Reaction Information'!$C$17,'Reaction Information'!$P$17*10^5,'Reaction Information'!$Q$17)*Calculations!$U146*10^-6 + (1/$S146 - 1)*calculate_domegadP(Calculations!M146,Calculations!N146,Calculations!Q146,'Reaction Information'!$C$17,'Reaction Information'!$P$17*10^5,'Reaction Information'!$Q$17,$D$20,$D$19=3))*41.84)</f>
        <v>#N/A</v>
      </c>
      <c r="BO146" s="8" t="e">
        <f>IF(OR(ISBLANK(Input!$AD$4),$D$27=FALSE),NA(),('Reaction Information'!$J$21/10+'Reaction Information'!$K$21*100/(Calculations!$C$12+Calculations!$M146)+('Reaction Information'!$L$21+'Reaction Information'!$M$21*10000/(Calculations!$C$12+Calculations!$M146))/(Calculations!$O146-Calculations!$C$13)-calculateOmega(Calculations!M146,Calculations!N146,Calculations!Q146,'Reaction Information'!$C$21,'Reaction Information'!$P$21*10^5,'Reaction Information'!$Q$21)*Calculations!$U146*10^-6 + (1/$S146 - 1)*calculate_domegadP(Calculations!M146,Calculations!N146,Calculations!Q146,'Reaction Information'!$C$21,'Reaction Information'!$P$21*10^5,'Reaction Information'!$Q$21,$D$20,$D$19=3))*41.84)</f>
        <v>#N/A</v>
      </c>
      <c r="BP146" s="8" t="e">
        <f>IF(OR(ISBLANK(Input!$AG$4),$D$27=FALSE),NA(),('Reaction Information'!$J$25/10+'Reaction Information'!$K$25*100/(Calculations!$C$12+Calculations!$M146)+('Reaction Information'!$L$25+'Reaction Information'!$M$25*10000/(Calculations!$C$12+Calculations!$M146))/(Calculations!$O146-Calculations!$C$13)-calculateOmega(Calculations!M146,Calculations!N146,Calculations!Q146,'Reaction Information'!$C$25,'Reaction Information'!$P$25*10^5,'Reaction Information'!$Q$25)*Calculations!$U146*10^-6 + (1/$S146 - 1)*calculate_domegadP(Calculations!M146,Calculations!N146,Calculations!Q146,'Reaction Information'!$C$25,'Reaction Information'!$P$25*10^5,'Reaction Information'!$Q$25,$D$20,$D$19=3))*41.84)</f>
        <v>#N/A</v>
      </c>
      <c r="BQ146" s="8" t="e">
        <f>IF(OR(ISBLANK(Input!$AJ$4),$D$27=FALSE),NA(),('Reaction Information'!$J$29/10+'Reaction Information'!$K$29*100/(Calculations!$C$12+Calculations!$M146)+('Reaction Information'!$L$29+'Reaction Information'!$M$29*10000/(Calculations!$C$12+Calculations!$M146))/(Calculations!$O146-Calculations!$C$13)-calculateOmega(Calculations!M146,Calculations!N146,Calculations!Q146,'Reaction Information'!$C$29,'Reaction Information'!$P$29*10^5,'Reaction Information'!$Q$29)*Calculations!$U146*10^-6 + (1/$S146 - 1)*calculate_domegadP(Calculations!M146,Calculations!N146,Calculations!Q146,'Reaction Information'!$C$29,'Reaction Information'!$P$29*10^5,'Reaction Information'!$Q$29,$D$20,$D$19=3))*41.84)</f>
        <v>#N/A</v>
      </c>
      <c r="BR146" s="8" t="e">
        <f>IF(OR(ISBLANK(Input!$AM$4),$D$27=FALSE),NA(),('Reaction Information'!$J$33/10+'Reaction Information'!$K$33*100/(Calculations!$C$12+Calculations!$M146)+('Reaction Information'!$L$33+'Reaction Information'!$M$33*10000/(Calculations!$C$12+Calculations!$M146))/(Calculations!$O146-Calculations!$C$13)-calculateOmega(Calculations!M146,Calculations!N146,Calculations!Q146,'Reaction Information'!$C$33,'Reaction Information'!$P$33*10^5,'Reaction Information'!$Q$33)*Calculations!$U146*10^-6 + (1/$S146 - 1)*calculate_domegadP(Calculations!M146,Calculations!N146,Calculations!Q146,'Reaction Information'!$C$33,'Reaction Information'!$P$33*10^5,'Reaction Information'!$Q$33,$D$20,$D$19=3))*41.84)</f>
        <v>#N/A</v>
      </c>
      <c r="BS146" s="1">
        <f>Results!AW148</f>
        <v>0</v>
      </c>
      <c r="BT146" s="1">
        <f>Results!AX148</f>
        <v>0</v>
      </c>
      <c r="BU146" s="1">
        <f>Results!AY148</f>
        <v>0</v>
      </c>
      <c r="BV146" s="1">
        <f>Results!AZ148</f>
        <v>0</v>
      </c>
      <c r="BW146" s="1" t="e">
        <f>IF(OR(ISNA('Reaction Information'!$D$38), $N146 = "", $D$27 = FALSE, 'Reaction Information'!$D$38 = ""), NA(), 24.465)</f>
        <v>#N/A</v>
      </c>
      <c r="BX146" s="1" t="e">
        <f>IF(OR(ISNA('Reaction Information'!$D$42), $N146 = "", $D$27 = FALSE, 'Reaction Information'!$D$42 = ""), NA(), 24.465)</f>
        <v>#N/A</v>
      </c>
      <c r="BY146" s="8" t="e">
        <f t="shared" si="41"/>
        <v>#N/A</v>
      </c>
      <c r="BZ146" s="8">
        <f>IF(OR(ISBLANK(Input!$BK$4),$D$27=FALSE),NA(),('Reaction Information'!$J$46/10+'Reaction Information'!$K$46*100/(Calculations!$C$12+Calculations!$M146)+('Reaction Information'!$L$46+'Reaction Information'!$M$46*10000/(Calculations!$C$12+Calculations!$M146))/(Calculations!$O146-Calculations!$C$13)-calculateOmega(Calculations!M146,Calculations!N146,Calculations!Q146,'Reaction Information'!$C$46,'Reaction Information'!$P$46*10^5,'Reaction Information'!$Q$46)*Calculations!$U146*10^-6 + (1/$S146 - 1)*calculate_domegadP(Calculations!M146,Calculations!N146,Calculations!Q146,'Reaction Information'!$C$46,'Reaction Information'!$P$46*10^5,'Reaction Information'!$Q$46,$D$20,$D$19=3))*41.84)</f>
        <v>0</v>
      </c>
      <c r="CA146" s="8">
        <f>IF(OR(ISBLANK(Input!$BN$4),$D$27=FALSE),NA(),('Reaction Information'!$J$50/10+'Reaction Information'!$K$50*100/(Calculations!$C$12+Calculations!$M146)+('Reaction Information'!$L$50+'Reaction Information'!$M$50*10000/(Calculations!$C$12+Calculations!$M146))/(Calculations!$O146-Calculations!$C$13)-calculateOmega(Calculations!M146,Calculations!N146,Calculations!Q146,'Reaction Information'!$C$50,'Reaction Information'!$P$50*10^5,'Reaction Information'!$Q$50)*Calculations!$U146*10^-6 + (1/$S146 - 1)*calculate_domegadP(Calculations!M146,Calculations!N146,Calculations!Q146,'Reaction Information'!$C$50,'Reaction Information'!$P$50*10^5,'Reaction Information'!$Q$50,$D$20,$D$19=3))*41.84)</f>
        <v>31.450695826497292</v>
      </c>
      <c r="CB146" s="8" t="e">
        <f>IF(OR(ISBLANK(Input!$BQ$4),$D$27=FALSE),NA(),('Reaction Information'!$J$54/10+'Reaction Information'!$K$54*100/(Calculations!$C$12+Calculations!$M146)+('Reaction Information'!$L$54+'Reaction Information'!$M$54*10000/(Calculations!$C$12+Calculations!$M146))/(Calculations!$O146-Calculations!$C$13)-calculateOmega(Calculations!M146,Calculations!N146,Calculations!Q146,'Reaction Information'!$C$54,'Reaction Information'!$P$54*10^5,'Reaction Information'!$Q$54)*Calculations!$U146*10^-6 + (1/$S146 - 1)*calculate_domegadP(Calculations!M146,Calculations!N146,Calculations!Q146,'Reaction Information'!$C$54,'Reaction Information'!$P$54*10^5,'Reaction Information'!$Q$54,$D$20,$D$19=3))*41.84)</f>
        <v>#N/A</v>
      </c>
      <c r="CC146" s="8" t="e">
        <f>IF(OR(ISBLANK(Input!$BT$4),$D$27=FALSE),NA(),('Reaction Information'!$J$58/10+'Reaction Information'!$K$58*100/(Calculations!$C$12+Calculations!$M146)+('Reaction Information'!$L$58+'Reaction Information'!$M$58*10000/(Calculations!$C$12+Calculations!$M146))/(Calculations!$O146-Calculations!$C$13)-calculateOmega(Calculations!M146,Calculations!N146,Calculations!Q146,'Reaction Information'!$C$58,'Reaction Information'!$P$58*10^5,'Reaction Information'!$Q$58)*Calculations!$U146*10^-6 + (1/$S146 - 1)*calculate_domegadP(Calculations!M146,Calculations!N146,Calculations!Q146,'Reaction Information'!$C$58,'Reaction Information'!$P$58*10^5,'Reaction Information'!$Q$58,$D$20,$D$19=3))*41.84)</f>
        <v>#N/A</v>
      </c>
      <c r="CD146" s="8" t="e">
        <f>IF(OR(ISBLANK(Input!$BW$4),$D$27=FALSE),NA(),('Reaction Information'!$J$62/10+'Reaction Information'!$K$62*100/(Calculations!$C$12+Calculations!$M146)+('Reaction Information'!$L$62+'Reaction Information'!$M$62*10000/(Calculations!$C$12+Calculations!$M146))/(Calculations!$O146-Calculations!$C$13)-calculateOmega(Calculations!M146,Calculations!N146,Calculations!Q146,'Reaction Information'!$C$62,'Reaction Information'!$P$62*10^5,'Reaction Information'!$Q$62)*Calculations!$U146*10^-6 + (1/$S146 - 1)*calculate_domegadP(Calculations!M146,Calculations!N146,Calculations!Q146,'Reaction Information'!$C$62,'Reaction Information'!$P$62*10^5,'Reaction Information'!$Q$62,$D$20,$D$19=3))*41.84)</f>
        <v>#N/A</v>
      </c>
      <c r="CE146" s="8" t="e">
        <f>IF(OR(ISBLANK(Input!$BZ$4),$D$27=FALSE),NA(),('Reaction Information'!$J$66/10+'Reaction Information'!$K$66*100/(Calculations!$C$12+Calculations!$M146)+('Reaction Information'!$L$66+'Reaction Information'!$M$66*10000/(Calculations!$C$12+Calculations!$M146))/(Calculations!$O146-Calculations!$C$13)-calculateOmega(Calculations!M146,Calculations!N146,Calculations!Q146,'Reaction Information'!$C$66,'Reaction Information'!$P$66*10^5,'Reaction Information'!$Q$66)*Calculations!$U146*10^-6 + (1/$S146 - 1)*calculate_domegadP(Calculations!M146,Calculations!N146,Calculations!Q146,'Reaction Information'!$C$66,'Reaction Information'!$P$66*10^5,'Reaction Information'!$Q$66,$D$20,$D$19=3))*41.84)</f>
        <v>#N/A</v>
      </c>
      <c r="CF146" s="31">
        <f>(BS146*Input!$AO$4+BT146*Input!$AR$4+BU146*Input!$AU$4+BV146*Input!$AX$4+IF(ISNA(BW146),0,BW146*Input!$BA$4)+IF(ISNA(BX146),0,BX146*Input!$BD$4)+IF(ISNA(BY146),0,BY146*Input!$BG$4)+IF(ISNA(BZ146),0,BZ146*Input!$BJ$4)+IF(ISNA(CA146),0,CA146*Input!$BM$4)+IF(ISNA(CB146),0,CB146*Input!$BP$4)+IF(ISNA(CC146),0,CC146*Input!$BS$4)+IF(ISNA(CD146),0,CD146*Input!$BV$4)+IF(ISNA(CE146),0,CE146*Input!$BY$4))-(BF146*Input!$B$4+BG146*Input!$E$4+BH146*Input!$H$4+BI146*Input!$K$4+IF(ISNA(BJ146),0,BJ146*Input!$N$4)+IF(ISNA(BK146),0,BK146*Input!$Q$4)+IF(ISNA(BL146),0,BL146*Input!$T$4)+IF(ISNA(BM146),0,BM146*Input!$W$4)+IF(ISNA(BN146),0,BN146*Input!$Z$4)+IF(ISNA(BO146),0,BO146*Input!$AC$4)+IF(ISNA(BP146),0,BP146*Input!$AF$4)+IF(ISNA(BQ146),0,BQ146*Input!$AI$4)+IF(ISNA(BR146),0,BR146*Input!$AL$4))</f>
        <v>-11.289839421451202</v>
      </c>
      <c r="CG146" s="1">
        <f t="shared" si="50"/>
        <v>550</v>
      </c>
      <c r="CH146" s="46">
        <f t="shared" si="51"/>
        <v>50000</v>
      </c>
      <c r="CI146" s="1"/>
    </row>
    <row r="147" spans="1:87" x14ac:dyDescent="0.2">
      <c r="A147" s="1"/>
      <c r="B147" s="1"/>
      <c r="C147" s="1"/>
      <c r="D147" s="1"/>
      <c r="E147" s="1"/>
      <c r="F147" s="2">
        <v>142</v>
      </c>
      <c r="G147" s="1" t="str">
        <f>IF(ISBLANK(Input!CB147), "", Input!CB147*1000)</f>
        <v/>
      </c>
      <c r="H147" s="1" t="str">
        <f>IF(ISBLANK(Input!CC147), "", Input!CC147)</f>
        <v/>
      </c>
      <c r="I147" s="1">
        <f>IF(Input!$CF$5 + Input!$CF$6*(FLOOR((Calculations!$F147-1)/(FLOOR((Input!$CF$12-Input!$CF$10)/Input!$CF$11,1)+1),1)) &gt; Input!$CF$7, "", (Input!$CF$5 + Input!$CF$6*(FLOOR((Calculations!$F147-1)/(FLOOR((Input!$CF$12-Input!$CF$10)/Input!$CF$11,1)+1),1)))*1000)</f>
        <v>50000</v>
      </c>
      <c r="J147" s="1">
        <f>IF(Calculations!I147 = "", "", Input!$CF$10 + Input!$CF$11*(Calculations!$F147-1) - (FLOOR((Input!$CF$12-Input!$CF$10)/Input!$CF$11,1)+1)*Input!$CF$11*FLOOR((Calculations!$F147-1)/(FLOOR((Input!$CF$12-Input!$CF$10)/Input!$CF$11,1)+1),1))</f>
        <v>600</v>
      </c>
      <c r="K147" s="8" t="str">
        <f t="shared" si="52"/>
        <v/>
      </c>
      <c r="L147" s="117" t="str">
        <f>IF(OR(Input!$CJ$5 + Input!$CJ$6*(Calculations!F147-1) &gt; Input!$CJ$7, Input!$CJ$5 + Input!$CJ$6*(Calculations!F147-1) &gt; 350), "", Input!$CJ$5 + Input!$CJ$6*(Calculations!F147-1))</f>
        <v/>
      </c>
      <c r="M147" s="1">
        <f t="shared" si="42"/>
        <v>50000</v>
      </c>
      <c r="N147" s="1">
        <f t="shared" si="43"/>
        <v>600</v>
      </c>
      <c r="O147" s="1">
        <f t="shared" si="38"/>
        <v>873.15</v>
      </c>
      <c r="P147" s="1" t="e">
        <f>IF(OR($D$20=3,AND($D$21=TRUE,M147&lt;1000)),INDEX('Water Density'!$C$6:$CX$120,MATCH(Calculations!N147,'Water Density'!$B$6:$B$120),MATCH(Calculations!M147/1000,'Water Density'!$C$5:$CX$5)),NA())</f>
        <v>#N/A</v>
      </c>
      <c r="Q147" s="182">
        <f>IF(OR($D$20=3,AND($D$21=TRUE,M147&lt;1000)), IF(P147&lt;&gt;0,P147,NA()), calculateDensity(M147,N147,$D$20,0.01,$D$19 = 3))</f>
        <v>1.3875272665667533</v>
      </c>
      <c r="R147" s="1" t="e">
        <f>IF($D$22=5,INDEX('Dielectric Constant'!$C$6:$CX$120,MATCH(Calculations!N147,'Dielectric Constant'!$B$6:$B$120),MATCH(Calculations!M147/1000,'Dielectric Constant'!$C$5:$CX$5)),NA())</f>
        <v>#N/A</v>
      </c>
      <c r="S147" s="58">
        <f>IF($D$22=5, IF(R147&lt;&gt;0,R147,NA()), IF(AND($D$23,M147&lt;=5000,$D$19 &lt;&gt; 3),calculateEpsilon(Q147,N147,1,FALSE),calculateEpsilon(Q147,N147,$D$22,$D$19 = 3)))</f>
        <v>33.132071080958873</v>
      </c>
      <c r="T147" s="1" t="e">
        <f>IF($D$24=3,INDEX('Water Free Energy'!$C$6:$CX$120,MATCH(Calculations!N147,'Water Free Energy'!$B$6:$B$120),MATCH(Calculations!M147/1000,'Water Free Energy'!$C$5:$CX$5)),NA())</f>
        <v>#N/A</v>
      </c>
      <c r="U147" s="179">
        <f>IF($D$27,calculateQ(M147,N147,Q147,$D$20,$D$22,$D$19=3)*10^6,NA())</f>
        <v>0.12835511134026067</v>
      </c>
      <c r="V147"/>
      <c r="W147" s="2">
        <f t="shared" si="44"/>
        <v>50000</v>
      </c>
      <c r="X147" s="1">
        <f t="shared" si="45"/>
        <v>600</v>
      </c>
      <c r="Y147" s="1">
        <f>Results!F149</f>
        <v>0</v>
      </c>
      <c r="Z147" s="1">
        <f>Results!G149</f>
        <v>0</v>
      </c>
      <c r="AA147" s="1">
        <f>Results!H149</f>
        <v>0</v>
      </c>
      <c r="AB147" s="1">
        <f>Results!I149</f>
        <v>0</v>
      </c>
      <c r="AC147" s="1" t="e">
        <f>IF(ISBLANK(Input!$O$4),NA(),'Reaction Information'!$E$5-'Reaction Information'!$G$5*(Calculations!$O147-Calculations!$C$8)+'Reaction Information'!$I$5*(Calculations!$O147-Calculations!$C$8-Calculations!$O147*LN(Calculations!$O147/Calculations!$C$8))+'Reaction Information'!$J$5*0.001/2*(2*Calculations!$O147*Calculations!$C$8-Calculations!$O147^2-Calculations!$C$8^2) + 'Reaction Information'!$K$5*100000*(Calculations!$O147^2 + Calculations!$C$8^2 - 2*Calculations!$O147*Calculations!$C$8)/(2*Calculations!$O147*Calculations!$C$8^2))</f>
        <v>#N/A</v>
      </c>
      <c r="AD147" s="8" t="e">
        <f>IF(ISBLANK(Input!$R$4),NA(),'Reaction Information'!$E$9-'Reaction Information'!$G$9*(Calculations!$O147-Calculations!$C$8)+'Reaction Information'!$I$9*(Calculations!$O147-Calculations!$C$8-Calculations!$O147*LN(Calculations!$O147/Calculations!$C$8))+'Reaction Information'!$J$9*0.001/2*(2*Calculations!$O147*Calculations!$C$8-Calculations!$O147^2-Calculations!$C$8^2) + 'Reaction Information'!$K$9*100000*(Calculations!$O147^2 + Calculations!$C$8^2 - 2*Calculations!$O147*Calculations!$C$8)/(2*Calculations!$O147*Calculations!$C$8^2))</f>
        <v>#N/A</v>
      </c>
      <c r="AE147" s="8">
        <f>IF(AE$5="H2O",IF($D$24=3,IF(T147=0,NA(),T147),calculateGibbsOfWater(M147,N147,$D$24,$D$20,$D$19=3)),NA())</f>
        <v>-52962.007406028133</v>
      </c>
      <c r="AF147" s="8">
        <f>IF(ISBLANK(Input!$X$4),NA(),'Reaction Information'!$E$13-'Reaction Information'!$G$13*(Calculations!O147-Calculations!$C$8)-'Reaction Information'!$N$13*(Calculations!O147*LN(Calculations!O147/Calculations!$C$8)-Calculations!O147+Calculations!$C$8)-'Reaction Information'!$O$13*10^4*(((1/(Calculations!O147-Calculations!$C$13))-(1/(Calculations!$C$8-Calculations!$C$13)))*((Calculations!$C$13-Calculations!O147)/(Calculations!$C$13))-(Calculations!O147/(Calculations!$C$13*Calculations!$C$13))*LN((Calculations!$C$8*(Calculations!O147-Calculations!$C$13))/(Calculations!O147*(Calculations!$C$8-Calculations!$C$13))))+'Reaction Information'!$J$13*10^-1*(Calculations!M147-Calculations!$C$9)+'Reaction Information'!$K$13*10^2*LN((Calculations!$C$12+Calculations!M147)/(Calculations!$C$12+Calculations!$C$9))+(1/(Calculations!O147-Calculations!$C$13))*('Reaction Information'!$L$13*(Calculations!M147-Calculations!$C$9)+'Reaction Information'!$M$13*10^4*LN((Calculations!$C$12+Calculations!M147)/(Calculations!$C$12+Calculations!$C$9)))+calculateOmega(Calculations!M147,Calculations!N147,Calculations!Q147,'Reaction Information'!$C$13,'Reaction Information'!$P$13*10^5,'Reaction Information'!$Q$13)*((1/Calculations!S147)-1)-'Reaction Information'!$P$13*10^5*((1/Calculations!$C$10)-1)+'Reaction Information'!$P$13*10^5*Calculations!$C$14*(Calculations!O147-Calculations!$C$8))</f>
        <v>-79133.029066545889</v>
      </c>
      <c r="AG147" s="8" t="e">
        <f>IF(ISBLANK(Input!$AA$4),NA(),'Reaction Information'!$E$17-'Reaction Information'!$G$17*(Calculations!$O147-Calculations!$C$8)-'Reaction Information'!$N$17*(Calculations!$O147*LN(Calculations!$O147/Calculations!$C$8)-Calculations!$O147+Calculations!$C$8)-'Reaction Information'!$O$17*10^4*(((1/(Calculations!$O147-Calculations!$C$13))-(1/(Calculations!$C$8-Calculations!$C$13)))*((Calculations!$C$13-Calculations!$O147)/(Calculations!$C$13))-(Calculations!$O147/(Calculations!$C$13*Calculations!$C$13))*LN((Calculations!$C$8*(Calculations!$O147-Calculations!$C$13))/(Calculations!$O147*(Calculations!$C$8-Calculations!$C$13))))+'Reaction Information'!$J$17*10^-1*(Calculations!$M147-Calculations!$C$9)+'Reaction Information'!$K$17*10^2*LN((Calculations!$C$12+Calculations!$M147)/(Calculations!$C$12+Calculations!$C$9))+(1/(Calculations!$O147-Calculations!$C$13))*('Reaction Information'!$L$17*(Calculations!$M147-Calculations!$C$9)+'Reaction Information'!$M$17*10^4*LN((Calculations!$C$12+Calculations!$M147)/(Calculations!$C$12+Calculations!$C$9)))+calculateOmega(Calculations!M147,Calculations!N147,Calculations!Q147,'Reaction Information'!$C$17,'Reaction Information'!$P$17*10^5,'Reaction Information'!$Q$17)*((1/Calculations!$S147)-1)-'Reaction Information'!$P$17*10^5*((1/Calculations!$C$10)-1)+'Reaction Information'!$P$17*10^5*Calculations!$C$14*(Calculations!$O147-Calculations!$C$8))</f>
        <v>#N/A</v>
      </c>
      <c r="AH147" s="8" t="e">
        <f>IF(ISBLANK(Input!$AD$4),NA(),'Reaction Information'!$E$21-'Reaction Information'!$G$21*(Calculations!$O147-Calculations!$C$8)-'Reaction Information'!$N$21*(Calculations!$O147*LN(Calculations!$O147/Calculations!$C$8)-Calculations!$O147+Calculations!$C$8)-'Reaction Information'!$O$21*10^4*(((1/(Calculations!$O147-Calculations!$C$13))-(1/(Calculations!$C$8-Calculations!$C$13)))*((Calculations!$C$13-Calculations!$O147)/(Calculations!$C$13))-(Calculations!$O147/(Calculations!$C$13*Calculations!$C$13))*LN((Calculations!$C$8*(Calculations!$O147-Calculations!$C$13))/(Calculations!$O147*(Calculations!$C$8-Calculations!$C$13))))+'Reaction Information'!$J$21*10^-1*(Calculations!$M147-Calculations!$C$9)+'Reaction Information'!$K$21*10^2*LN((Calculations!$C$12+Calculations!$M147)/(Calculations!$C$12+Calculations!$C$9))+(1/(Calculations!$O147-Calculations!$C$13))*('Reaction Information'!$L$21*(Calculations!$M147-Calculations!$C$9)+'Reaction Information'!$M$21*10^4*LN((Calculations!$C$12+Calculations!$M147)/(Calculations!$C$12+Calculations!$C$9)))+calculateOmega(Calculations!M147,Calculations!N147,Calculations!Q147,'Reaction Information'!$C$21,'Reaction Information'!$P$21*10^5,'Reaction Information'!$Q$21)*((1/Calculations!$S147)-1)-'Reaction Information'!$P$21*10^5*((1/Calculations!$C$10)-1)+'Reaction Information'!$P$21*10^5*Calculations!$C$14*(Calculations!$O147-Calculations!$C$8))</f>
        <v>#N/A</v>
      </c>
      <c r="AI147" s="8" t="e">
        <f>IF(ISBLANK(Input!$AG$4),NA(),'Reaction Information'!$E$25-'Reaction Information'!$G$25*(Calculations!$O147-Calculations!$C$8)-'Reaction Information'!$N$25*(Calculations!$O147*LN(Calculations!$O147/Calculations!$C$8)-Calculations!$O147+Calculations!$C$8)-'Reaction Information'!$O$25*10^4*(((1/(Calculations!$O147-Calculations!$C$13))-(1/(Calculations!$C$8-Calculations!$C$13)))*((Calculations!$C$13-Calculations!$O147)/(Calculations!$C$13))-(Calculations!$O147/(Calculations!$C$13*Calculations!$C$13))*LN((Calculations!$C$8*(Calculations!$O147-Calculations!$C$13))/(Calculations!$O147*(Calculations!$C$8-Calculations!$C$13))))+'Reaction Information'!$J$25*10^-1*(Calculations!$M147-Calculations!$C$9)+'Reaction Information'!$K$25*10^2*LN((Calculations!$C$12+Calculations!$M147)/(Calculations!$C$12+Calculations!$C$9))+(1/(Calculations!$O147-Calculations!$C$13))*('Reaction Information'!$L$25*(Calculations!$M147-Calculations!$C$9)+'Reaction Information'!$M$25*10^4*LN((Calculations!$C$12+Calculations!$M147)/(Calculations!$C$12+Calculations!$C$9)))+calculateOmega(Calculations!M147,Calculations!N147,Calculations!Q147,'Reaction Information'!$C$25,'Reaction Information'!$P$25*10^5,'Reaction Information'!$Q$25)*((1/Calculations!$S147)-1)-'Reaction Information'!$P$25*10^5*((1/Calculations!$C$10)-1)+'Reaction Information'!$P$25*10^5*Calculations!$C$14*(Calculations!$O147-Calculations!$C$8))</f>
        <v>#N/A</v>
      </c>
      <c r="AJ147" s="8" t="e">
        <f>IF(ISBLANK(Input!$AJ$4),NA(),'Reaction Information'!$E$29-'Reaction Information'!$G$29*(Calculations!$O147-Calculations!$C$8)-'Reaction Information'!$N$29*(Calculations!$O147*LN(Calculations!$O147/Calculations!$C$8)-Calculations!$O147+Calculations!$C$8)-'Reaction Information'!$O$29*10^4*(((1/(Calculations!$O147-Calculations!$C$13))-(1/(Calculations!$C$8-Calculations!$C$13)))*((Calculations!$C$13-Calculations!$O147)/(Calculations!$C$13))-(Calculations!$O147/(Calculations!$C$13*Calculations!$C$13))*LN((Calculations!$C$8*(Calculations!$O147-Calculations!$C$13))/(Calculations!$O147*(Calculations!$C$8-Calculations!$C$13))))+'Reaction Information'!$J$29*10^-1*(Calculations!$M147-Calculations!$C$9)+'Reaction Information'!$K$29*10^2*LN((Calculations!$C$12+Calculations!$M147)/(Calculations!$C$12+Calculations!$C$9))+(1/(Calculations!$O147-Calculations!$C$13))*('Reaction Information'!$L$29*(Calculations!$M147-Calculations!$C$9)+'Reaction Information'!$M$29*10^4*LN((Calculations!$C$12+Calculations!$M147)/(Calculations!$C$12+Calculations!$C$9)))+calculateOmega(Calculations!M147,Calculations!N147,Calculations!Q147,'Reaction Information'!$C$29,'Reaction Information'!$P$29*10^5,'Reaction Information'!$Q$29)*((1/Calculations!$S147)-1)-'Reaction Information'!$P$29*10^5*((1/Calculations!$C$10)-1)+'Reaction Information'!$P$29*10^5*Calculations!$C$14*(Calculations!$O147-Calculations!$C$8))</f>
        <v>#N/A</v>
      </c>
      <c r="AK147" s="8" t="e">
        <f>IF(ISBLANK(Input!$AM$4),NA(),'Reaction Information'!$E$33-'Reaction Information'!$G$33*(Calculations!$O147-Calculations!$C$8)-'Reaction Information'!$N$33*(Calculations!$O147*LN(Calculations!$O147/Calculations!$C$8)-Calculations!$O147+Calculations!$C$8)-'Reaction Information'!$O$33*10^4*(((1/(Calculations!$O147-Calculations!$C$13))-(1/(Calculations!$C$8-Calculations!$C$13)))*((Calculations!$C$13-Calculations!$O147)/(Calculations!$C$13))-(Calculations!$O147/(Calculations!$C$13*Calculations!$C$13))*LN((Calculations!$C$8*(Calculations!$O147-Calculations!$C$13))/(Calculations!$O147*(Calculations!$C$8-Calculations!$C$13))))+'Reaction Information'!$J$33*10^-1*(Calculations!$M147-Calculations!$C$9)+'Reaction Information'!$K$33*10^2*LN((Calculations!$C$12+Calculations!$M147)/(Calculations!$C$12+Calculations!$C$9))+(1/(Calculations!$O147-Calculations!$C$13))*('Reaction Information'!$L$33*(Calculations!$M147-Calculations!$C$9)+'Reaction Information'!$M$33*10^4*LN((Calculations!$C$12+Calculations!$M147)/(Calculations!$C$12+Calculations!$C$9)))+calculateOmega(Calculations!M147,Calculations!N147,Calculations!Q147,'Reaction Information'!$C$33,'Reaction Information'!$P$33*10^5,'Reaction Information'!$Q$33)*((1/Calculations!$S147)-1)-'Reaction Information'!$P$33*10^5*((1/Calculations!$C$10)-1)+'Reaction Information'!$P$33*10^5*Calculations!$C$14*(Calculations!$O147-Calculations!$C$8))</f>
        <v>#N/A</v>
      </c>
      <c r="AL147" s="1">
        <f>Results!S149</f>
        <v>0</v>
      </c>
      <c r="AM147" s="1">
        <f>Results!T149</f>
        <v>0</v>
      </c>
      <c r="AN147" s="1">
        <f>Results!U149</f>
        <v>0</v>
      </c>
      <c r="AO147" s="1">
        <f>Results!V149</f>
        <v>0</v>
      </c>
      <c r="AP147" s="8" t="e">
        <f>IF(ISBLANK(Input!$BB$4),NA(),'Reaction Information'!$E$38-'Reaction Information'!$G$38*(Calculations!$O147-Calculations!$C$8)+'Reaction Information'!$I$38*(Calculations!$O147-Calculations!$C$8-Calculations!$O147*LN(Calculations!$O147/Calculations!$C$8))+'Reaction Information'!$J$38*0.001/2*(2*Calculations!$O147*Calculations!$C$8-Calculations!$O147^2-Calculations!$C$8^2) + 'Reaction Information'!$K$38*100000*(Calculations!$O147^2 + Calculations!$C$8^2 - 2*Calculations!$O147*Calculations!$C$8)/(2*Calculations!$O147*Calculations!$C$8^2))</f>
        <v>#N/A</v>
      </c>
      <c r="AQ147" s="8" t="e">
        <f>IF(ISBLANK(Input!$BE$4),NA(),'Reaction Information'!$E$42-'Reaction Information'!$G$42*(Calculations!$O147-Calculations!$C$8)+'Reaction Information'!$I$42*(Calculations!$O147-Calculations!$C$8-Calculations!$O147*LN(Calculations!$O147/Calculations!$C$8))+'Reaction Information'!$J$42*0.001/2*(2*Calculations!$O147*Calculations!$C$8-Calculations!$O147^2-Calculations!$C$8^2) + 'Reaction Information'!$K$42*100000*(Calculations!$O147^2 + Calculations!$C$8^2 - 2*Calculations!$O147*Calculations!$C$8)/(2*Calculations!$O147*Calculations!$C$8^2))</f>
        <v>#N/A</v>
      </c>
      <c r="AR147" s="8" t="e">
        <f>IF(AR$5="H2O", IF($D$24=3,IF(T147=0,NA(),T147),calculateGibbsOfWater(M147,N147,$D$24,$D$20,$D$19=3)),NA())</f>
        <v>#N/A</v>
      </c>
      <c r="AS147" s="8">
        <f>IF(ISBLANK(Input!$BK$4),NA(),'Reaction Information'!$E$46-'Reaction Information'!$G$46*(Calculations!O147-Calculations!$C$8)-'Reaction Information'!$N$46*(Calculations!O147*LN(Calculations!O147/Calculations!$C$8)-Calculations!O147+Calculations!$C$8)-'Reaction Information'!$O$46*10^4*(((1/(Calculations!O147-Calculations!$C$13))-(1/(Calculations!$C$8-Calculations!$C$13)))*((Calculations!$C$13-Calculations!O147)/(Calculations!$C$13))-(Calculations!O147/(Calculations!$C$13*Calculations!$C$13))*LN((Calculations!$C$8*(Calculations!O147-Calculations!$C$13))/(Calculations!O147*(Calculations!$C$8-Calculations!$C$13))))+'Reaction Information'!$J$46*10^-1*(Calculations!$M147-Calculations!$C$9)+'Reaction Information'!$K$46*10^2*LN((Calculations!$C$12+Calculations!$M147)/(Calculations!$C$12+Calculations!$C$9))+(1/(Calculations!O147-Calculations!$C$13))*('Reaction Information'!$L$46*(Calculations!$M147-Calculations!$C$9)+'Reaction Information'!$M$46*10^4*LN((Calculations!$C$12+Calculations!$M147)/(Calculations!$C$12+Calculations!$C$9)))+calculateOmega(Calculations!M147,Calculations!N147,Calculations!Q147,'Reaction Information'!$C$46,'Reaction Information'!$P$46*10^5,'Reaction Information'!$Q$46)*((1/Calculations!S147)-1)-'Reaction Information'!$P$46*10^5*((1/Calculations!$C$10)-1)+'Reaction Information'!$P$46*10^5*Calculations!$C$14*(Calculations!O147-Calculations!$C$8))</f>
        <v>0</v>
      </c>
      <c r="AT147" s="8">
        <f>IF(ISBLANK(Input!$BN$4),NA(),'Reaction Information'!$E$50-'Reaction Information'!$G$50*(Calculations!O147-Calculations!$C$8)-'Reaction Information'!$N$50*(Calculations!O147*LN(Calculations!O147/Calculations!$C$8)-Calculations!O147+Calculations!$C$8)-'Reaction Information'!$O$50*10^4*(((1/(Calculations!O147-Calculations!$C$13))-(1/(Calculations!$C$8-Calculations!$C$13)))*((Calculations!$C$13-Calculations!O147)/(Calculations!$C$13))-(Calculations!O147/(Calculations!$C$13*Calculations!$C$13))*LN((Calculations!$C$8*(Calculations!O147-Calculations!$C$13))/(Calculations!O147*(Calculations!$C$8-Calculations!$C$13))))+'Reaction Information'!$J$50*10^-1*(Calculations!$M147-Calculations!$C$9)+'Reaction Information'!$K$50*10^2*LN((Calculations!$C$12+Calculations!$M147)/(Calculations!$C$12+Calculations!$C$9))+(1/(Calculations!O147-Calculations!$C$13))*('Reaction Information'!$L$50*(Calculations!$M147-Calculations!$C$9)+'Reaction Information'!$M$50*10^4*LN((Calculations!$C$12+Calculations!$M147)/(Calculations!$C$12+Calculations!$C$9)))+calculateOmega(Calculations!M147,Calculations!N147,Calculations!Q147,'Reaction Information'!$C$50,'Reaction Information'!$P$50*10^5,'Reaction Information'!$Q$50)*((1/Calculations!S147)-1)-'Reaction Information'!$P$50*10^5*((1/Calculations!$C$10)-1)+'Reaction Information'!$P$50*10^5*Calculations!$C$14*(Calculations!O147-Calculations!$C$8))</f>
        <v>-120755.41060500313</v>
      </c>
      <c r="AU147" s="8" t="e">
        <f>IF(ISBLANK(Input!$BQ$4),NA(),'Reaction Information'!$E$54-'Reaction Information'!$G$54*(Calculations!$O147-Calculations!$C$8)-'Reaction Information'!$N$54*(Calculations!$O147*LN(Calculations!$O147/Calculations!$C$8)-Calculations!$O147+Calculations!$C$8)-'Reaction Information'!$O$54*10^4*(((1/(Calculations!$O147-Calculations!$C$13))-(1/(Calculations!$C$8-Calculations!$C$13)))*((Calculations!$C$13-Calculations!$O147)/(Calculations!$C$13))-(Calculations!$O147/(Calculations!$C$13*Calculations!$C$13))*LN((Calculations!$C$8*(Calculations!$O147-Calculations!$C$13))/(Calculations!$O147*(Calculations!$C$8-Calculations!$C$13))))+'Reaction Information'!$J$54*10^-1*(Calculations!$M147-Calculations!$C$9)+'Reaction Information'!$K$54*10^2*LN((Calculations!$C$12+Calculations!$M147)/(Calculations!$C$12+Calculations!$C$9))+(1/(Calculations!$O147-Calculations!$C$13))*('Reaction Information'!$L$54*(Calculations!$M147-Calculations!$C$9)+'Reaction Information'!$M$54*10^4*LN((Calculations!$C$12+Calculations!$M147)/(Calculations!$C$12+Calculations!$C$9)))+calculateOmega(Calculations!M147,Calculations!N147,Calculations!Q147,'Reaction Information'!$C$54,'Reaction Information'!$P$54*10^5,'Reaction Information'!$Q$54)*((1/Calculations!$S147)-1)-'Reaction Information'!$P$54*10^5*((1/Calculations!$C$10)-1)+'Reaction Information'!$P$54*10^5*Calculations!$C$14*(Calculations!$O147-Calculations!$C$8))</f>
        <v>#N/A</v>
      </c>
      <c r="AV147" s="8" t="e">
        <f>IF(ISBLANK(Input!$BT$4),NA(),'Reaction Information'!$E$58-'Reaction Information'!$G$58*(Calculations!$O147-Calculations!$C$8)-'Reaction Information'!$N$58*(Calculations!$O147*LN(Calculations!$O147/Calculations!$C$8)-Calculations!$O147+Calculations!$C$8)-'Reaction Information'!$O$58*10^4*(((1/(Calculations!$O147-Calculations!$C$13))-(1/(Calculations!$C$8-Calculations!$C$13)))*((Calculations!$C$13-Calculations!$O147)/(Calculations!$C$13))-(Calculations!$O147/(Calculations!$C$13*Calculations!$C$13))*LN((Calculations!$C$8*(Calculations!$O147-Calculations!$C$13))/(Calculations!$O147*(Calculations!$C$8-Calculations!$C$13))))+'Reaction Information'!$J$58*10^-1*(Calculations!$M147-Calculations!$C$9)+'Reaction Information'!$K$58*10^2*LN((Calculations!$C$12+Calculations!$M147)/(Calculations!$C$12+Calculations!$C$9))+(1/(Calculations!$O147-Calculations!$C$13))*('Reaction Information'!$L$58*(Calculations!$M147-Calculations!$C$9)+'Reaction Information'!$M$58*10^4*LN((Calculations!$C$12+Calculations!$M147)/(Calculations!$C$12+Calculations!$C$9)))+calculateOmega(Calculations!M147,Calculations!N147,Calculations!Q147,'Reaction Information'!$C$58,'Reaction Information'!$P$58*10^5,'Reaction Information'!$Q$58)*((1/Calculations!$S147)-1)-'Reaction Information'!$P$58*10^5*((1/Calculations!$C$10)-1)+'Reaction Information'!$P$58*10^5*Calculations!$C$14*(Calculations!$O147-Calculations!$C$8))</f>
        <v>#N/A</v>
      </c>
      <c r="AW147" s="8" t="e">
        <f>IF(ISBLANK(Input!$BW$4),NA(),'Reaction Information'!$E$62-'Reaction Information'!$G$62*(Calculations!$O147-Calculations!$C$8)-'Reaction Information'!$N$62*(Calculations!$O147*LN(Calculations!$O147/Calculations!$C$8)-Calculations!$O147+Calculations!$C$8)-'Reaction Information'!$O$62*10^4*(((1/(Calculations!$O147-Calculations!$C$13))-(1/(Calculations!$C$8-Calculations!$C$13)))*((Calculations!$C$13-Calculations!$O147)/(Calculations!$C$13))-(Calculations!$O147/(Calculations!$C$13*Calculations!$C$13))*LN((Calculations!$C$8*(Calculations!$O147-Calculations!$C$13))/(Calculations!$O147*(Calculations!$C$8-Calculations!$C$13))))+'Reaction Information'!$J$62*10^-1*(Calculations!$M147-Calculations!$C$9)+'Reaction Information'!$K$62*10^2*LN((Calculations!$C$12+Calculations!$M147)/(Calculations!$C$12+Calculations!$C$9))+(1/(Calculations!$O147-Calculations!$C$13))*('Reaction Information'!$L$62*(Calculations!$M147-Calculations!$C$9)+'Reaction Information'!$M$62*10^4*LN((Calculations!$C$12+Calculations!$M147)/(Calculations!$C$12+Calculations!$C$9)))+calculateOmega(Calculations!M147,Calculations!N147,Calculations!Q147,'Reaction Information'!$C$62,'Reaction Information'!$P$62*10^5,'Reaction Information'!$Q$62)*((1/Calculations!$S147)-1)-'Reaction Information'!$P$62*10^5*((1/Calculations!$C$10)-1)+'Reaction Information'!$P$62*10^5*Calculations!$C$14*(Calculations!$O147-Calculations!$C$8))</f>
        <v>#N/A</v>
      </c>
      <c r="AX147" s="8" t="e">
        <f>IF(ISBLANK(Input!$BZ$4),NA(),'Reaction Information'!$E$66-'Reaction Information'!$G$66*(Calculations!$O147-Calculations!$C$8)-'Reaction Information'!$N$66*(Calculations!$O147*LN(Calculations!$O147/Calculations!$C$8)-Calculations!$O147+Calculations!$C$8)-'Reaction Information'!$O$66*10^4*(((1/(Calculations!$O147-Calculations!$C$13))-(1/(Calculations!$C$8-Calculations!$C$13)))*((Calculations!$C$13-Calculations!$O147)/(Calculations!$C$13))-(Calculations!$O147/(Calculations!$C$13*Calculations!$C$13))*LN((Calculations!$C$8*(Calculations!$O147-Calculations!$C$13))/(Calculations!$O147*(Calculations!$C$8-Calculations!$C$13))))+'Reaction Information'!$J$66*10^-1*(Calculations!$M147-Calculations!$C$9)+'Reaction Information'!$K$66*10^2*LN((Calculations!$C$12+Calculations!$M147)/(Calculations!$C$12+Calculations!$C$9))+(1/(Calculations!$O147-Calculations!$C$13))*('Reaction Information'!$L$66*(Calculations!$M147-Calculations!$C$9)+'Reaction Information'!$M$66*10^4*LN((Calculations!$C$12+Calculations!$M147)/(Calculations!$C$12+Calculations!$C$9)))+calculateOmega(Calculations!M147,Calculations!N147,Calculations!Q147,'Reaction Information'!$C$66,'Reaction Information'!$P$66*10^5,'Reaction Information'!$Q$66)*((1/Calculations!$S147)-1)-'Reaction Information'!$P$66*10^5*((1/Calculations!$C$10)-1)+'Reaction Information'!$P$66*10^5*Calculations!$C$14*(Calculations!$O147-Calculations!$C$8))</f>
        <v>#N/A</v>
      </c>
      <c r="AY147" s="31">
        <f>(AL147*Input!$AO$4+AM147*Input!$AR$4+AN147*Input!$AU$4+AO147*Input!$AX$4+IF(ISNA(AP147),0,AP147*Input!$BA$4)+IF(ISNA(AQ147),0,AQ147*Input!$BD$4)+IF(ISNA(AR147),0,AR147*Input!$BG$4)+IF(ISNA(AS147),0,AS147*Input!$BJ$4)+IF(ISNA(AT147),0,AT147*Input!$BM$4)+IF(ISNA(AU147),0,AU147*Input!$BP$4)+IF(ISNA(AV147),0,AV147*Input!$BS$4)+IF(ISNA(AW147),0,AW147*Input!$BV$4)+IF(ISNA(AX147),0,AX147*Input!$BY$4))-(Y147*Input!$B$4+Z147*Input!$E$4+AA147*Input!$H$4+AB147*Input!$K$4+IF(ISNA(AC147),0,AC147*Input!$N$4)+IF(ISNA(AD147),0,AD147*Input!$Q$4)+IF(ISNA(AE147),0,AE147*Input!$T$4)+IF(ISNA(AF147),0,AF147*Input!$W$4)+IF(ISNA(AG147),0,AG147*Input!$Z$4)+IF(ISNA(AH147),0,AH147*Input!$AC$4)+IF(ISNA(AI147),0,AI147*Input!$AF$4)+IF(ISNA(AJ147),0,AJ147*Input!$AI$4)+IF(ISNA(AK147),0,AK147*Input!$AL$4))</f>
        <v>11339.625867570896</v>
      </c>
      <c r="AZ147" s="42">
        <f t="shared" si="39"/>
        <v>-2.8401530321027133</v>
      </c>
      <c r="BA147" s="1">
        <f t="shared" si="46"/>
        <v>600</v>
      </c>
      <c r="BB147" s="46">
        <f t="shared" si="47"/>
        <v>50000</v>
      </c>
      <c r="BC147" s="1"/>
      <c r="BD147" s="2">
        <f t="shared" si="48"/>
        <v>50000</v>
      </c>
      <c r="BE147" s="46">
        <f t="shared" si="49"/>
        <v>600</v>
      </c>
      <c r="BF147" s="1">
        <f>Results!AJ149</f>
        <v>0</v>
      </c>
      <c r="BG147" s="1">
        <f>Results!AK149</f>
        <v>0</v>
      </c>
      <c r="BH147" s="1">
        <f>Results!AL149</f>
        <v>0</v>
      </c>
      <c r="BI147" s="1">
        <f>Results!AM149</f>
        <v>0</v>
      </c>
      <c r="BJ147" s="1" t="e">
        <f>IF(OR(ISNA('Reaction Information'!$D$5), $N147 = "", $D$27 = FALSE, 'Reaction Information'!$D$5 = ""), NA(), 24.465)</f>
        <v>#N/A</v>
      </c>
      <c r="BK147" s="1" t="e">
        <f>IF(OR(ISNA('Reaction Information'!$D$9), $N147 = "", $D$27 = FALSE, 'Reaction Information'!$D$9 = ""), NA(), 24.465)</f>
        <v>#N/A</v>
      </c>
      <c r="BL147" s="8">
        <f t="shared" si="40"/>
        <v>12.983730434772896</v>
      </c>
      <c r="BM147" s="8">
        <f>IF(OR(ISBLANK(Input!$X$4),$D$27=FALSE),NA(),('Reaction Information'!$J$13/10+'Reaction Information'!$K$13*100/(Calculations!$C$12+Calculations!$M147)+('Reaction Information'!$L$13+'Reaction Information'!$M$13*10^4/(Calculations!$C$12+Calculations!$M147))/(Calculations!$O147-Calculations!$C$13) -calculateOmega(Calculations!$M147,Calculations!$N147,Calculations!$Q147,'Reaction Information'!$C$13,'Reaction Information'!$P$13*10^5,'Reaction Information'!$Q$13)*Calculations!$U147*10^-6 + (1/$S147 - 1)*calculate_domegadP(Calculations!$M147,Calculations!$N147,Calculations!$Q147,'Reaction Information'!$C$13,'Reaction Information'!$P$13*10^5,'Reaction Information'!$Q$13,$D$20,$D$19=3))*41.84)</f>
        <v>29.900073760526329</v>
      </c>
      <c r="BN147" s="8" t="e">
        <f>IF(OR(ISBLANK(Input!$AA$4),$D$27=FALSE),NA(),('Reaction Information'!$J$17/10+'Reaction Information'!$K$17*100/(Calculations!$C$12+Calculations!$M147)+('Reaction Information'!$L$17+'Reaction Information'!$M$17*10000/(Calculations!$C$12+Calculations!$M147))/(Calculations!$O147-Calculations!$C$13)-calculateOmega(Calculations!M147,Calculations!N147,Calculations!Q147,'Reaction Information'!$C$17,'Reaction Information'!$P$17*10^5,'Reaction Information'!$Q$17)*Calculations!$U147*10^-6 + (1/$S147 - 1)*calculate_domegadP(Calculations!M147,Calculations!N147,Calculations!Q147,'Reaction Information'!$C$17,'Reaction Information'!$P$17*10^5,'Reaction Information'!$Q$17,$D$20,$D$19=3))*41.84)</f>
        <v>#N/A</v>
      </c>
      <c r="BO147" s="8" t="e">
        <f>IF(OR(ISBLANK(Input!$AD$4),$D$27=FALSE),NA(),('Reaction Information'!$J$21/10+'Reaction Information'!$K$21*100/(Calculations!$C$12+Calculations!$M147)+('Reaction Information'!$L$21+'Reaction Information'!$M$21*10000/(Calculations!$C$12+Calculations!$M147))/(Calculations!$O147-Calculations!$C$13)-calculateOmega(Calculations!M147,Calculations!N147,Calculations!Q147,'Reaction Information'!$C$21,'Reaction Information'!$P$21*10^5,'Reaction Information'!$Q$21)*Calculations!$U147*10^-6 + (1/$S147 - 1)*calculate_domegadP(Calculations!M147,Calculations!N147,Calculations!Q147,'Reaction Information'!$C$21,'Reaction Information'!$P$21*10^5,'Reaction Information'!$Q$21,$D$20,$D$19=3))*41.84)</f>
        <v>#N/A</v>
      </c>
      <c r="BP147" s="8" t="e">
        <f>IF(OR(ISBLANK(Input!$AG$4),$D$27=FALSE),NA(),('Reaction Information'!$J$25/10+'Reaction Information'!$K$25*100/(Calculations!$C$12+Calculations!$M147)+('Reaction Information'!$L$25+'Reaction Information'!$M$25*10000/(Calculations!$C$12+Calculations!$M147))/(Calculations!$O147-Calculations!$C$13)-calculateOmega(Calculations!M147,Calculations!N147,Calculations!Q147,'Reaction Information'!$C$25,'Reaction Information'!$P$25*10^5,'Reaction Information'!$Q$25)*Calculations!$U147*10^-6 + (1/$S147 - 1)*calculate_domegadP(Calculations!M147,Calculations!N147,Calculations!Q147,'Reaction Information'!$C$25,'Reaction Information'!$P$25*10^5,'Reaction Information'!$Q$25,$D$20,$D$19=3))*41.84)</f>
        <v>#N/A</v>
      </c>
      <c r="BQ147" s="8" t="e">
        <f>IF(OR(ISBLANK(Input!$AJ$4),$D$27=FALSE),NA(),('Reaction Information'!$J$29/10+'Reaction Information'!$K$29*100/(Calculations!$C$12+Calculations!$M147)+('Reaction Information'!$L$29+'Reaction Information'!$M$29*10000/(Calculations!$C$12+Calculations!$M147))/(Calculations!$O147-Calculations!$C$13)-calculateOmega(Calculations!M147,Calculations!N147,Calculations!Q147,'Reaction Information'!$C$29,'Reaction Information'!$P$29*10^5,'Reaction Information'!$Q$29)*Calculations!$U147*10^-6 + (1/$S147 - 1)*calculate_domegadP(Calculations!M147,Calculations!N147,Calculations!Q147,'Reaction Information'!$C$29,'Reaction Information'!$P$29*10^5,'Reaction Information'!$Q$29,$D$20,$D$19=3))*41.84)</f>
        <v>#N/A</v>
      </c>
      <c r="BR147" s="8" t="e">
        <f>IF(OR(ISBLANK(Input!$AM$4),$D$27=FALSE),NA(),('Reaction Information'!$J$33/10+'Reaction Information'!$K$33*100/(Calculations!$C$12+Calculations!$M147)+('Reaction Information'!$L$33+'Reaction Information'!$M$33*10000/(Calculations!$C$12+Calculations!$M147))/(Calculations!$O147-Calculations!$C$13)-calculateOmega(Calculations!M147,Calculations!N147,Calculations!Q147,'Reaction Information'!$C$33,'Reaction Information'!$P$33*10^5,'Reaction Information'!$Q$33)*Calculations!$U147*10^-6 + (1/$S147 - 1)*calculate_domegadP(Calculations!M147,Calculations!N147,Calculations!Q147,'Reaction Information'!$C$33,'Reaction Information'!$P$33*10^5,'Reaction Information'!$Q$33,$D$20,$D$19=3))*41.84)</f>
        <v>#N/A</v>
      </c>
      <c r="BS147" s="1">
        <f>Results!AW149</f>
        <v>0</v>
      </c>
      <c r="BT147" s="1">
        <f>Results!AX149</f>
        <v>0</v>
      </c>
      <c r="BU147" s="1">
        <f>Results!AY149</f>
        <v>0</v>
      </c>
      <c r="BV147" s="1">
        <f>Results!AZ149</f>
        <v>0</v>
      </c>
      <c r="BW147" s="1" t="e">
        <f>IF(OR(ISNA('Reaction Information'!$D$38), $N147 = "", $D$27 = FALSE, 'Reaction Information'!$D$38 = ""), NA(), 24.465)</f>
        <v>#N/A</v>
      </c>
      <c r="BX147" s="1" t="e">
        <f>IF(OR(ISNA('Reaction Information'!$D$42), $N147 = "", $D$27 = FALSE, 'Reaction Information'!$D$42 = ""), NA(), 24.465)</f>
        <v>#N/A</v>
      </c>
      <c r="BY147" s="8" t="e">
        <f t="shared" si="41"/>
        <v>#N/A</v>
      </c>
      <c r="BZ147" s="8">
        <f>IF(OR(ISBLANK(Input!$BK$4),$D$27=FALSE),NA(),('Reaction Information'!$J$46/10+'Reaction Information'!$K$46*100/(Calculations!$C$12+Calculations!$M147)+('Reaction Information'!$L$46+'Reaction Information'!$M$46*10000/(Calculations!$C$12+Calculations!$M147))/(Calculations!$O147-Calculations!$C$13)-calculateOmega(Calculations!M147,Calculations!N147,Calculations!Q147,'Reaction Information'!$C$46,'Reaction Information'!$P$46*10^5,'Reaction Information'!$Q$46)*Calculations!$U147*10^-6 + (1/$S147 - 1)*calculate_domegadP(Calculations!M147,Calculations!N147,Calculations!Q147,'Reaction Information'!$C$46,'Reaction Information'!$P$46*10^5,'Reaction Information'!$Q$46,$D$20,$D$19=3))*41.84)</f>
        <v>0</v>
      </c>
      <c r="CA147" s="8">
        <f>IF(OR(ISBLANK(Input!$BN$4),$D$27=FALSE),NA(),('Reaction Information'!$J$50/10+'Reaction Information'!$K$50*100/(Calculations!$C$12+Calculations!$M147)+('Reaction Information'!$L$50+'Reaction Information'!$M$50*10000/(Calculations!$C$12+Calculations!$M147))/(Calculations!$O147-Calculations!$C$13)-calculateOmega(Calculations!M147,Calculations!N147,Calculations!Q147,'Reaction Information'!$C$50,'Reaction Information'!$P$50*10^5,'Reaction Information'!$Q$50)*Calculations!$U147*10^-6 + (1/$S147 - 1)*calculate_domegadP(Calculations!M147,Calculations!N147,Calculations!Q147,'Reaction Information'!$C$50,'Reaction Information'!$P$50*10^5,'Reaction Information'!$Q$50,$D$20,$D$19=3))*41.84)</f>
        <v>31.401112725176848</v>
      </c>
      <c r="CB147" s="8" t="e">
        <f>IF(OR(ISBLANK(Input!$BQ$4),$D$27=FALSE),NA(),('Reaction Information'!$J$54/10+'Reaction Information'!$K$54*100/(Calculations!$C$12+Calculations!$M147)+('Reaction Information'!$L$54+'Reaction Information'!$M$54*10000/(Calculations!$C$12+Calculations!$M147))/(Calculations!$O147-Calculations!$C$13)-calculateOmega(Calculations!M147,Calculations!N147,Calculations!Q147,'Reaction Information'!$C$54,'Reaction Information'!$P$54*10^5,'Reaction Information'!$Q$54)*Calculations!$U147*10^-6 + (1/$S147 - 1)*calculate_domegadP(Calculations!M147,Calculations!N147,Calculations!Q147,'Reaction Information'!$C$54,'Reaction Information'!$P$54*10^5,'Reaction Information'!$Q$54,$D$20,$D$19=3))*41.84)</f>
        <v>#N/A</v>
      </c>
      <c r="CC147" s="8" t="e">
        <f>IF(OR(ISBLANK(Input!$BT$4),$D$27=FALSE),NA(),('Reaction Information'!$J$58/10+'Reaction Information'!$K$58*100/(Calculations!$C$12+Calculations!$M147)+('Reaction Information'!$L$58+'Reaction Information'!$M$58*10000/(Calculations!$C$12+Calculations!$M147))/(Calculations!$O147-Calculations!$C$13)-calculateOmega(Calculations!M147,Calculations!N147,Calculations!Q147,'Reaction Information'!$C$58,'Reaction Information'!$P$58*10^5,'Reaction Information'!$Q$58)*Calculations!$U147*10^-6 + (1/$S147 - 1)*calculate_domegadP(Calculations!M147,Calculations!N147,Calculations!Q147,'Reaction Information'!$C$58,'Reaction Information'!$P$58*10^5,'Reaction Information'!$Q$58,$D$20,$D$19=3))*41.84)</f>
        <v>#N/A</v>
      </c>
      <c r="CD147" s="8" t="e">
        <f>IF(OR(ISBLANK(Input!$BW$4),$D$27=FALSE),NA(),('Reaction Information'!$J$62/10+'Reaction Information'!$K$62*100/(Calculations!$C$12+Calculations!$M147)+('Reaction Information'!$L$62+'Reaction Information'!$M$62*10000/(Calculations!$C$12+Calculations!$M147))/(Calculations!$O147-Calculations!$C$13)-calculateOmega(Calculations!M147,Calculations!N147,Calculations!Q147,'Reaction Information'!$C$62,'Reaction Information'!$P$62*10^5,'Reaction Information'!$Q$62)*Calculations!$U147*10^-6 + (1/$S147 - 1)*calculate_domegadP(Calculations!M147,Calculations!N147,Calculations!Q147,'Reaction Information'!$C$62,'Reaction Information'!$P$62*10^5,'Reaction Information'!$Q$62,$D$20,$D$19=3))*41.84)</f>
        <v>#N/A</v>
      </c>
      <c r="CE147" s="8" t="e">
        <f>IF(OR(ISBLANK(Input!$BZ$4),$D$27=FALSE),NA(),('Reaction Information'!$J$66/10+'Reaction Information'!$K$66*100/(Calculations!$C$12+Calculations!$M147)+('Reaction Information'!$L$66+'Reaction Information'!$M$66*10000/(Calculations!$C$12+Calculations!$M147))/(Calculations!$O147-Calculations!$C$13)-calculateOmega(Calculations!M147,Calculations!N147,Calculations!Q147,'Reaction Information'!$C$66,'Reaction Information'!$P$66*10^5,'Reaction Information'!$Q$66)*Calculations!$U147*10^-6 + (1/$S147 - 1)*calculate_domegadP(Calculations!M147,Calculations!N147,Calculations!Q147,'Reaction Information'!$C$66,'Reaction Information'!$P$66*10^5,'Reaction Information'!$Q$66,$D$20,$D$19=3))*41.84)</f>
        <v>#N/A</v>
      </c>
      <c r="CF147" s="31">
        <f>(BS147*Input!$AO$4+BT147*Input!$AR$4+BU147*Input!$AU$4+BV147*Input!$AX$4+IF(ISNA(BW147),0,BW147*Input!$BA$4)+IF(ISNA(BX147),0,BX147*Input!$BD$4)+IF(ISNA(BY147),0,BY147*Input!$BG$4)+IF(ISNA(BZ147),0,BZ147*Input!$BJ$4)+IF(ISNA(CA147),0,CA147*Input!$BM$4)+IF(ISNA(CB147),0,CB147*Input!$BP$4)+IF(ISNA(CC147),0,CC147*Input!$BS$4)+IF(ISNA(CD147),0,CD147*Input!$BV$4)+IF(ISNA(CE147),0,CE147*Input!$BY$4))-(BF147*Input!$B$4+BG147*Input!$E$4+BH147*Input!$H$4+BI147*Input!$K$4+IF(ISNA(BJ147),0,BJ147*Input!$N$4)+IF(ISNA(BK147),0,BK147*Input!$Q$4)+IF(ISNA(BL147),0,BL147*Input!$T$4)+IF(ISNA(BM147),0,BM147*Input!$W$4)+IF(ISNA(BN147),0,BN147*Input!$Z$4)+IF(ISNA(BO147),0,BO147*Input!$AC$4)+IF(ISNA(BP147),0,BP147*Input!$AF$4)+IF(ISNA(BQ147),0,BQ147*Input!$AI$4)+IF(ISNA(BR147),0,BR147*Input!$AL$4))</f>
        <v>-11.482691470122379</v>
      </c>
      <c r="CG147" s="1">
        <f t="shared" si="50"/>
        <v>600</v>
      </c>
      <c r="CH147" s="46">
        <f t="shared" si="51"/>
        <v>50000</v>
      </c>
      <c r="CI147" s="1"/>
    </row>
    <row r="148" spans="1:87" x14ac:dyDescent="0.2">
      <c r="A148" s="1"/>
      <c r="B148" s="1"/>
      <c r="C148" s="1"/>
      <c r="D148" s="1"/>
      <c r="E148" s="1"/>
      <c r="F148" s="2">
        <v>143</v>
      </c>
      <c r="G148" s="1" t="str">
        <f>IF(ISBLANK(Input!CB148), "", Input!CB148*1000)</f>
        <v/>
      </c>
      <c r="H148" s="1" t="str">
        <f>IF(ISBLANK(Input!CC148), "", Input!CC148)</f>
        <v/>
      </c>
      <c r="I148" s="1">
        <f>IF(Input!$CF$5 + Input!$CF$6*(FLOOR((Calculations!$F148-1)/(FLOOR((Input!$CF$12-Input!$CF$10)/Input!$CF$11,1)+1),1)) &gt; Input!$CF$7, "", (Input!$CF$5 + Input!$CF$6*(FLOOR((Calculations!$F148-1)/(FLOOR((Input!$CF$12-Input!$CF$10)/Input!$CF$11,1)+1),1)))*1000)</f>
        <v>50000</v>
      </c>
      <c r="J148" s="1">
        <f>IF(Calculations!I148 = "", "", Input!$CF$10 + Input!$CF$11*(Calculations!$F148-1) - (FLOOR((Input!$CF$12-Input!$CF$10)/Input!$CF$11,1)+1)*Input!$CF$11*FLOOR((Calculations!$F148-1)/(FLOOR((Input!$CF$12-Input!$CF$10)/Input!$CF$11,1)+1),1))</f>
        <v>650</v>
      </c>
      <c r="K148" s="8" t="str">
        <f t="shared" si="52"/>
        <v/>
      </c>
      <c r="L148" s="117" t="str">
        <f>IF(OR(Input!$CJ$5 + Input!$CJ$6*(Calculations!F148-1) &gt; Input!$CJ$7, Input!$CJ$5 + Input!$CJ$6*(Calculations!F148-1) &gt; 350), "", Input!$CJ$5 + Input!$CJ$6*(Calculations!F148-1))</f>
        <v/>
      </c>
      <c r="M148" s="1">
        <f t="shared" si="42"/>
        <v>50000</v>
      </c>
      <c r="N148" s="1">
        <f t="shared" si="43"/>
        <v>650</v>
      </c>
      <c r="O148" s="1">
        <f t="shared" si="38"/>
        <v>923.15</v>
      </c>
      <c r="P148" s="1" t="e">
        <f>IF(OR($D$20=3,AND($D$21=TRUE,M148&lt;1000)),INDEX('Water Density'!$C$6:$CX$120,MATCH(Calculations!N148,'Water Density'!$B$6:$B$120),MATCH(Calculations!M148/1000,'Water Density'!$C$5:$CX$5)),NA())</f>
        <v>#N/A</v>
      </c>
      <c r="Q148" s="182">
        <f>IF(OR($D$20=3,AND($D$21=TRUE,M148&lt;1000)), IF(P148&lt;&gt;0,P148,NA()), calculateDensity(M148,N148,$D$20,0.01,$D$19 = 3))</f>
        <v>1.3742526202160126</v>
      </c>
      <c r="R148" s="1" t="e">
        <f>IF($D$22=5,INDEX('Dielectric Constant'!$C$6:$CX$120,MATCH(Calculations!N148,'Dielectric Constant'!$B$6:$B$120),MATCH(Calculations!M148/1000,'Dielectric Constant'!$C$5:$CX$5)),NA())</f>
        <v>#N/A</v>
      </c>
      <c r="S148" s="58">
        <f>IF($D$22=5, IF(R148&lt;&gt;0,R148,NA()), IF(AND($D$23,M148&lt;=5000,$D$19 &lt;&gt; 3),calculateEpsilon(Q148,N148,1,FALSE),calculateEpsilon(Q148,N148,$D$22,$D$19 = 3)))</f>
        <v>30.270095636758267</v>
      </c>
      <c r="T148" s="1" t="e">
        <f>IF($D$24=3,INDEX('Water Free Energy'!$C$6:$CX$120,MATCH(Calculations!N148,'Water Free Energy'!$B$6:$B$120),MATCH(Calculations!M148/1000,'Water Free Energy'!$C$5:$CX$5)),NA())</f>
        <v>#N/A</v>
      </c>
      <c r="U148" s="179">
        <f>IF($D$27,calculateQ(M148,N148,Q148,$D$20,$D$22,$D$19=3)*10^6,NA())</f>
        <v>0.13777118832439084</v>
      </c>
      <c r="V148"/>
      <c r="W148" s="2">
        <f t="shared" si="44"/>
        <v>50000</v>
      </c>
      <c r="X148" s="1">
        <f t="shared" si="45"/>
        <v>650</v>
      </c>
      <c r="Y148" s="1">
        <f>Results!F150</f>
        <v>0</v>
      </c>
      <c r="Z148" s="1">
        <f>Results!G150</f>
        <v>0</v>
      </c>
      <c r="AA148" s="1">
        <f>Results!H150</f>
        <v>0</v>
      </c>
      <c r="AB148" s="1">
        <f>Results!I150</f>
        <v>0</v>
      </c>
      <c r="AC148" s="1" t="e">
        <f>IF(ISBLANK(Input!$O$4),NA(),'Reaction Information'!$E$5-'Reaction Information'!$G$5*(Calculations!$O148-Calculations!$C$8)+'Reaction Information'!$I$5*(Calculations!$O148-Calculations!$C$8-Calculations!$O148*LN(Calculations!$O148/Calculations!$C$8))+'Reaction Information'!$J$5*0.001/2*(2*Calculations!$O148*Calculations!$C$8-Calculations!$O148^2-Calculations!$C$8^2) + 'Reaction Information'!$K$5*100000*(Calculations!$O148^2 + Calculations!$C$8^2 - 2*Calculations!$O148*Calculations!$C$8)/(2*Calculations!$O148*Calculations!$C$8^2))</f>
        <v>#N/A</v>
      </c>
      <c r="AD148" s="8" t="e">
        <f>IF(ISBLANK(Input!$R$4),NA(),'Reaction Information'!$E$9-'Reaction Information'!$G$9*(Calculations!$O148-Calculations!$C$8)+'Reaction Information'!$I$9*(Calculations!$O148-Calculations!$C$8-Calculations!$O148*LN(Calculations!$O148/Calculations!$C$8))+'Reaction Information'!$J$9*0.001/2*(2*Calculations!$O148*Calculations!$C$8-Calculations!$O148^2-Calculations!$C$8^2) + 'Reaction Information'!$K$9*100000*(Calculations!$O148^2 + Calculations!$C$8^2 - 2*Calculations!$O148*Calculations!$C$8)/(2*Calculations!$O148*Calculations!$C$8^2))</f>
        <v>#N/A</v>
      </c>
      <c r="AE148" s="8">
        <f>IF(AE$5="H2O",IF($D$24=3,IF(T148=0,NA(),T148),calculateGibbsOfWater(M148,N148,$D$24,$D$20,$D$19=3)),NA())</f>
        <v>-54352.024911168657</v>
      </c>
      <c r="AF148" s="8">
        <f>IF(ISBLANK(Input!$X$4),NA(),'Reaction Information'!$E$13-'Reaction Information'!$G$13*(Calculations!O148-Calculations!$C$8)-'Reaction Information'!$N$13*(Calculations!O148*LN(Calculations!O148/Calculations!$C$8)-Calculations!O148+Calculations!$C$8)-'Reaction Information'!$O$13*10^4*(((1/(Calculations!O148-Calculations!$C$13))-(1/(Calculations!$C$8-Calculations!$C$13)))*((Calculations!$C$13-Calculations!O148)/(Calculations!$C$13))-(Calculations!O148/(Calculations!$C$13*Calculations!$C$13))*LN((Calculations!$C$8*(Calculations!O148-Calculations!$C$13))/(Calculations!O148*(Calculations!$C$8-Calculations!$C$13))))+'Reaction Information'!$J$13*10^-1*(Calculations!M148-Calculations!$C$9)+'Reaction Information'!$K$13*10^2*LN((Calculations!$C$12+Calculations!M148)/(Calculations!$C$12+Calculations!$C$9))+(1/(Calculations!O148-Calculations!$C$13))*('Reaction Information'!$L$13*(Calculations!M148-Calculations!$C$9)+'Reaction Information'!$M$13*10^4*LN((Calculations!$C$12+Calculations!M148)/(Calculations!$C$12+Calculations!$C$9)))+calculateOmega(Calculations!M148,Calculations!N148,Calculations!Q148,'Reaction Information'!$C$13,'Reaction Information'!$P$13*10^5,'Reaction Information'!$Q$13)*((1/Calculations!S148)-1)-'Reaction Information'!$P$13*10^5*((1/Calculations!$C$10)-1)+'Reaction Information'!$P$13*10^5*Calculations!$C$14*(Calculations!O148-Calculations!$C$8))</f>
        <v>-81412.305666428249</v>
      </c>
      <c r="AG148" s="8" t="e">
        <f>IF(ISBLANK(Input!$AA$4),NA(),'Reaction Information'!$E$17-'Reaction Information'!$G$17*(Calculations!$O148-Calculations!$C$8)-'Reaction Information'!$N$17*(Calculations!$O148*LN(Calculations!$O148/Calculations!$C$8)-Calculations!$O148+Calculations!$C$8)-'Reaction Information'!$O$17*10^4*(((1/(Calculations!$O148-Calculations!$C$13))-(1/(Calculations!$C$8-Calculations!$C$13)))*((Calculations!$C$13-Calculations!$O148)/(Calculations!$C$13))-(Calculations!$O148/(Calculations!$C$13*Calculations!$C$13))*LN((Calculations!$C$8*(Calculations!$O148-Calculations!$C$13))/(Calculations!$O148*(Calculations!$C$8-Calculations!$C$13))))+'Reaction Information'!$J$17*10^-1*(Calculations!$M148-Calculations!$C$9)+'Reaction Information'!$K$17*10^2*LN((Calculations!$C$12+Calculations!$M148)/(Calculations!$C$12+Calculations!$C$9))+(1/(Calculations!$O148-Calculations!$C$13))*('Reaction Information'!$L$17*(Calculations!$M148-Calculations!$C$9)+'Reaction Information'!$M$17*10^4*LN((Calculations!$C$12+Calculations!$M148)/(Calculations!$C$12+Calculations!$C$9)))+calculateOmega(Calculations!M148,Calculations!N148,Calculations!Q148,'Reaction Information'!$C$17,'Reaction Information'!$P$17*10^5,'Reaction Information'!$Q$17)*((1/Calculations!$S148)-1)-'Reaction Information'!$P$17*10^5*((1/Calculations!$C$10)-1)+'Reaction Information'!$P$17*10^5*Calculations!$C$14*(Calculations!$O148-Calculations!$C$8))</f>
        <v>#N/A</v>
      </c>
      <c r="AH148" s="8" t="e">
        <f>IF(ISBLANK(Input!$AD$4),NA(),'Reaction Information'!$E$21-'Reaction Information'!$G$21*(Calculations!$O148-Calculations!$C$8)-'Reaction Information'!$N$21*(Calculations!$O148*LN(Calculations!$O148/Calculations!$C$8)-Calculations!$O148+Calculations!$C$8)-'Reaction Information'!$O$21*10^4*(((1/(Calculations!$O148-Calculations!$C$13))-(1/(Calculations!$C$8-Calculations!$C$13)))*((Calculations!$C$13-Calculations!$O148)/(Calculations!$C$13))-(Calculations!$O148/(Calculations!$C$13*Calculations!$C$13))*LN((Calculations!$C$8*(Calculations!$O148-Calculations!$C$13))/(Calculations!$O148*(Calculations!$C$8-Calculations!$C$13))))+'Reaction Information'!$J$21*10^-1*(Calculations!$M148-Calculations!$C$9)+'Reaction Information'!$K$21*10^2*LN((Calculations!$C$12+Calculations!$M148)/(Calculations!$C$12+Calculations!$C$9))+(1/(Calculations!$O148-Calculations!$C$13))*('Reaction Information'!$L$21*(Calculations!$M148-Calculations!$C$9)+'Reaction Information'!$M$21*10^4*LN((Calculations!$C$12+Calculations!$M148)/(Calculations!$C$12+Calculations!$C$9)))+calculateOmega(Calculations!M148,Calculations!N148,Calculations!Q148,'Reaction Information'!$C$21,'Reaction Information'!$P$21*10^5,'Reaction Information'!$Q$21)*((1/Calculations!$S148)-1)-'Reaction Information'!$P$21*10^5*((1/Calculations!$C$10)-1)+'Reaction Information'!$P$21*10^5*Calculations!$C$14*(Calculations!$O148-Calculations!$C$8))</f>
        <v>#N/A</v>
      </c>
      <c r="AI148" s="8" t="e">
        <f>IF(ISBLANK(Input!$AG$4),NA(),'Reaction Information'!$E$25-'Reaction Information'!$G$25*(Calculations!$O148-Calculations!$C$8)-'Reaction Information'!$N$25*(Calculations!$O148*LN(Calculations!$O148/Calculations!$C$8)-Calculations!$O148+Calculations!$C$8)-'Reaction Information'!$O$25*10^4*(((1/(Calculations!$O148-Calculations!$C$13))-(1/(Calculations!$C$8-Calculations!$C$13)))*((Calculations!$C$13-Calculations!$O148)/(Calculations!$C$13))-(Calculations!$O148/(Calculations!$C$13*Calculations!$C$13))*LN((Calculations!$C$8*(Calculations!$O148-Calculations!$C$13))/(Calculations!$O148*(Calculations!$C$8-Calculations!$C$13))))+'Reaction Information'!$J$25*10^-1*(Calculations!$M148-Calculations!$C$9)+'Reaction Information'!$K$25*10^2*LN((Calculations!$C$12+Calculations!$M148)/(Calculations!$C$12+Calculations!$C$9))+(1/(Calculations!$O148-Calculations!$C$13))*('Reaction Information'!$L$25*(Calculations!$M148-Calculations!$C$9)+'Reaction Information'!$M$25*10^4*LN((Calculations!$C$12+Calculations!$M148)/(Calculations!$C$12+Calculations!$C$9)))+calculateOmega(Calculations!M148,Calculations!N148,Calculations!Q148,'Reaction Information'!$C$25,'Reaction Information'!$P$25*10^5,'Reaction Information'!$Q$25)*((1/Calculations!$S148)-1)-'Reaction Information'!$P$25*10^5*((1/Calculations!$C$10)-1)+'Reaction Information'!$P$25*10^5*Calculations!$C$14*(Calculations!$O148-Calculations!$C$8))</f>
        <v>#N/A</v>
      </c>
      <c r="AJ148" s="8" t="e">
        <f>IF(ISBLANK(Input!$AJ$4),NA(),'Reaction Information'!$E$29-'Reaction Information'!$G$29*(Calculations!$O148-Calculations!$C$8)-'Reaction Information'!$N$29*(Calculations!$O148*LN(Calculations!$O148/Calculations!$C$8)-Calculations!$O148+Calculations!$C$8)-'Reaction Information'!$O$29*10^4*(((1/(Calculations!$O148-Calculations!$C$13))-(1/(Calculations!$C$8-Calculations!$C$13)))*((Calculations!$C$13-Calculations!$O148)/(Calculations!$C$13))-(Calculations!$O148/(Calculations!$C$13*Calculations!$C$13))*LN((Calculations!$C$8*(Calculations!$O148-Calculations!$C$13))/(Calculations!$O148*(Calculations!$C$8-Calculations!$C$13))))+'Reaction Information'!$J$29*10^-1*(Calculations!$M148-Calculations!$C$9)+'Reaction Information'!$K$29*10^2*LN((Calculations!$C$12+Calculations!$M148)/(Calculations!$C$12+Calculations!$C$9))+(1/(Calculations!$O148-Calculations!$C$13))*('Reaction Information'!$L$29*(Calculations!$M148-Calculations!$C$9)+'Reaction Information'!$M$29*10^4*LN((Calculations!$C$12+Calculations!$M148)/(Calculations!$C$12+Calculations!$C$9)))+calculateOmega(Calculations!M148,Calculations!N148,Calculations!Q148,'Reaction Information'!$C$29,'Reaction Information'!$P$29*10^5,'Reaction Information'!$Q$29)*((1/Calculations!$S148)-1)-'Reaction Information'!$P$29*10^5*((1/Calculations!$C$10)-1)+'Reaction Information'!$P$29*10^5*Calculations!$C$14*(Calculations!$O148-Calculations!$C$8))</f>
        <v>#N/A</v>
      </c>
      <c r="AK148" s="8" t="e">
        <f>IF(ISBLANK(Input!$AM$4),NA(),'Reaction Information'!$E$33-'Reaction Information'!$G$33*(Calculations!$O148-Calculations!$C$8)-'Reaction Information'!$N$33*(Calculations!$O148*LN(Calculations!$O148/Calculations!$C$8)-Calculations!$O148+Calculations!$C$8)-'Reaction Information'!$O$33*10^4*(((1/(Calculations!$O148-Calculations!$C$13))-(1/(Calculations!$C$8-Calculations!$C$13)))*((Calculations!$C$13-Calculations!$O148)/(Calculations!$C$13))-(Calculations!$O148/(Calculations!$C$13*Calculations!$C$13))*LN((Calculations!$C$8*(Calculations!$O148-Calculations!$C$13))/(Calculations!$O148*(Calculations!$C$8-Calculations!$C$13))))+'Reaction Information'!$J$33*10^-1*(Calculations!$M148-Calculations!$C$9)+'Reaction Information'!$K$33*10^2*LN((Calculations!$C$12+Calculations!$M148)/(Calculations!$C$12+Calculations!$C$9))+(1/(Calculations!$O148-Calculations!$C$13))*('Reaction Information'!$L$33*(Calculations!$M148-Calculations!$C$9)+'Reaction Information'!$M$33*10^4*LN((Calculations!$C$12+Calculations!$M148)/(Calculations!$C$12+Calculations!$C$9)))+calculateOmega(Calculations!M148,Calculations!N148,Calculations!Q148,'Reaction Information'!$C$33,'Reaction Information'!$P$33*10^5,'Reaction Information'!$Q$33)*((1/Calculations!$S148)-1)-'Reaction Information'!$P$33*10^5*((1/Calculations!$C$10)-1)+'Reaction Information'!$P$33*10^5*Calculations!$C$14*(Calculations!$O148-Calculations!$C$8))</f>
        <v>#N/A</v>
      </c>
      <c r="AL148" s="1">
        <f>Results!S150</f>
        <v>0</v>
      </c>
      <c r="AM148" s="1">
        <f>Results!T150</f>
        <v>0</v>
      </c>
      <c r="AN148" s="1">
        <f>Results!U150</f>
        <v>0</v>
      </c>
      <c r="AO148" s="1">
        <f>Results!V150</f>
        <v>0</v>
      </c>
      <c r="AP148" s="8" t="e">
        <f>IF(ISBLANK(Input!$BB$4),NA(),'Reaction Information'!$E$38-'Reaction Information'!$G$38*(Calculations!$O148-Calculations!$C$8)+'Reaction Information'!$I$38*(Calculations!$O148-Calculations!$C$8-Calculations!$O148*LN(Calculations!$O148/Calculations!$C$8))+'Reaction Information'!$J$38*0.001/2*(2*Calculations!$O148*Calculations!$C$8-Calculations!$O148^2-Calculations!$C$8^2) + 'Reaction Information'!$K$38*100000*(Calculations!$O148^2 + Calculations!$C$8^2 - 2*Calculations!$O148*Calculations!$C$8)/(2*Calculations!$O148*Calculations!$C$8^2))</f>
        <v>#N/A</v>
      </c>
      <c r="AQ148" s="8" t="e">
        <f>IF(ISBLANK(Input!$BE$4),NA(),'Reaction Information'!$E$42-'Reaction Information'!$G$42*(Calculations!$O148-Calculations!$C$8)+'Reaction Information'!$I$42*(Calculations!$O148-Calculations!$C$8-Calculations!$O148*LN(Calculations!$O148/Calculations!$C$8))+'Reaction Information'!$J$42*0.001/2*(2*Calculations!$O148*Calculations!$C$8-Calculations!$O148^2-Calculations!$C$8^2) + 'Reaction Information'!$K$42*100000*(Calculations!$O148^2 + Calculations!$C$8^2 - 2*Calculations!$O148*Calculations!$C$8)/(2*Calculations!$O148*Calculations!$C$8^2))</f>
        <v>#N/A</v>
      </c>
      <c r="AR148" s="8" t="e">
        <f>IF(AR$5="H2O", IF($D$24=3,IF(T148=0,NA(),T148),calculateGibbsOfWater(M148,N148,$D$24,$D$20,$D$19=3)),NA())</f>
        <v>#N/A</v>
      </c>
      <c r="AS148" s="8">
        <f>IF(ISBLANK(Input!$BK$4),NA(),'Reaction Information'!$E$46-'Reaction Information'!$G$46*(Calculations!O148-Calculations!$C$8)-'Reaction Information'!$N$46*(Calculations!O148*LN(Calculations!O148/Calculations!$C$8)-Calculations!O148+Calculations!$C$8)-'Reaction Information'!$O$46*10^4*(((1/(Calculations!O148-Calculations!$C$13))-(1/(Calculations!$C$8-Calculations!$C$13)))*((Calculations!$C$13-Calculations!O148)/(Calculations!$C$13))-(Calculations!O148/(Calculations!$C$13*Calculations!$C$13))*LN((Calculations!$C$8*(Calculations!O148-Calculations!$C$13))/(Calculations!O148*(Calculations!$C$8-Calculations!$C$13))))+'Reaction Information'!$J$46*10^-1*(Calculations!$M148-Calculations!$C$9)+'Reaction Information'!$K$46*10^2*LN((Calculations!$C$12+Calculations!$M148)/(Calculations!$C$12+Calculations!$C$9))+(1/(Calculations!O148-Calculations!$C$13))*('Reaction Information'!$L$46*(Calculations!$M148-Calculations!$C$9)+'Reaction Information'!$M$46*10^4*LN((Calculations!$C$12+Calculations!$M148)/(Calculations!$C$12+Calculations!$C$9)))+calculateOmega(Calculations!M148,Calculations!N148,Calculations!Q148,'Reaction Information'!$C$46,'Reaction Information'!$P$46*10^5,'Reaction Information'!$Q$46)*((1/Calculations!S148)-1)-'Reaction Information'!$P$46*10^5*((1/Calculations!$C$10)-1)+'Reaction Information'!$P$46*10^5*Calculations!$C$14*(Calculations!O148-Calculations!$C$8))</f>
        <v>0</v>
      </c>
      <c r="AT148" s="8">
        <f>IF(ISBLANK(Input!$BN$4),NA(),'Reaction Information'!$E$50-'Reaction Information'!$G$50*(Calculations!O148-Calculations!$C$8)-'Reaction Information'!$N$50*(Calculations!O148*LN(Calculations!O148/Calculations!$C$8)-Calculations!O148+Calculations!$C$8)-'Reaction Information'!$O$50*10^4*(((1/(Calculations!O148-Calculations!$C$13))-(1/(Calculations!$C$8-Calculations!$C$13)))*((Calculations!$C$13-Calculations!O148)/(Calculations!$C$13))-(Calculations!O148/(Calculations!$C$13*Calculations!$C$13))*LN((Calculations!$C$8*(Calculations!O148-Calculations!$C$13))/(Calculations!O148*(Calculations!$C$8-Calculations!$C$13))))+'Reaction Information'!$J$50*10^-1*(Calculations!$M148-Calculations!$C$9)+'Reaction Information'!$K$50*10^2*LN((Calculations!$C$12+Calculations!$M148)/(Calculations!$C$12+Calculations!$C$9))+(1/(Calculations!O148-Calculations!$C$13))*('Reaction Information'!$L$50*(Calculations!$M148-Calculations!$C$9)+'Reaction Information'!$M$50*10^4*LN((Calculations!$C$12+Calculations!$M148)/(Calculations!$C$12+Calculations!$C$9)))+calculateOmega(Calculations!M148,Calculations!N148,Calculations!Q148,'Reaction Information'!$C$50,'Reaction Information'!$P$50*10^5,'Reaction Information'!$Q$50)*((1/Calculations!S148)-1)-'Reaction Information'!$P$50*10^5*((1/Calculations!$C$10)-1)+'Reaction Information'!$P$50*10^5*Calculations!$C$14*(Calculations!O148-Calculations!$C$8))</f>
        <v>-122473.87834370323</v>
      </c>
      <c r="AU148" s="8" t="e">
        <f>IF(ISBLANK(Input!$BQ$4),NA(),'Reaction Information'!$E$54-'Reaction Information'!$G$54*(Calculations!$O148-Calculations!$C$8)-'Reaction Information'!$N$54*(Calculations!$O148*LN(Calculations!$O148/Calculations!$C$8)-Calculations!$O148+Calculations!$C$8)-'Reaction Information'!$O$54*10^4*(((1/(Calculations!$O148-Calculations!$C$13))-(1/(Calculations!$C$8-Calculations!$C$13)))*((Calculations!$C$13-Calculations!$O148)/(Calculations!$C$13))-(Calculations!$O148/(Calculations!$C$13*Calculations!$C$13))*LN((Calculations!$C$8*(Calculations!$O148-Calculations!$C$13))/(Calculations!$O148*(Calculations!$C$8-Calculations!$C$13))))+'Reaction Information'!$J$54*10^-1*(Calculations!$M148-Calculations!$C$9)+'Reaction Information'!$K$54*10^2*LN((Calculations!$C$12+Calculations!$M148)/(Calculations!$C$12+Calculations!$C$9))+(1/(Calculations!$O148-Calculations!$C$13))*('Reaction Information'!$L$54*(Calculations!$M148-Calculations!$C$9)+'Reaction Information'!$M$54*10^4*LN((Calculations!$C$12+Calculations!$M148)/(Calculations!$C$12+Calculations!$C$9)))+calculateOmega(Calculations!M148,Calculations!N148,Calculations!Q148,'Reaction Information'!$C$54,'Reaction Information'!$P$54*10^5,'Reaction Information'!$Q$54)*((1/Calculations!$S148)-1)-'Reaction Information'!$P$54*10^5*((1/Calculations!$C$10)-1)+'Reaction Information'!$P$54*10^5*Calculations!$C$14*(Calculations!$O148-Calculations!$C$8))</f>
        <v>#N/A</v>
      </c>
      <c r="AV148" s="8" t="e">
        <f>IF(ISBLANK(Input!$BT$4),NA(),'Reaction Information'!$E$58-'Reaction Information'!$G$58*(Calculations!$O148-Calculations!$C$8)-'Reaction Information'!$N$58*(Calculations!$O148*LN(Calculations!$O148/Calculations!$C$8)-Calculations!$O148+Calculations!$C$8)-'Reaction Information'!$O$58*10^4*(((1/(Calculations!$O148-Calculations!$C$13))-(1/(Calculations!$C$8-Calculations!$C$13)))*((Calculations!$C$13-Calculations!$O148)/(Calculations!$C$13))-(Calculations!$O148/(Calculations!$C$13*Calculations!$C$13))*LN((Calculations!$C$8*(Calculations!$O148-Calculations!$C$13))/(Calculations!$O148*(Calculations!$C$8-Calculations!$C$13))))+'Reaction Information'!$J$58*10^-1*(Calculations!$M148-Calculations!$C$9)+'Reaction Information'!$K$58*10^2*LN((Calculations!$C$12+Calculations!$M148)/(Calculations!$C$12+Calculations!$C$9))+(1/(Calculations!$O148-Calculations!$C$13))*('Reaction Information'!$L$58*(Calculations!$M148-Calculations!$C$9)+'Reaction Information'!$M$58*10^4*LN((Calculations!$C$12+Calculations!$M148)/(Calculations!$C$12+Calculations!$C$9)))+calculateOmega(Calculations!M148,Calculations!N148,Calculations!Q148,'Reaction Information'!$C$58,'Reaction Information'!$P$58*10^5,'Reaction Information'!$Q$58)*((1/Calculations!$S148)-1)-'Reaction Information'!$P$58*10^5*((1/Calculations!$C$10)-1)+'Reaction Information'!$P$58*10^5*Calculations!$C$14*(Calculations!$O148-Calculations!$C$8))</f>
        <v>#N/A</v>
      </c>
      <c r="AW148" s="8" t="e">
        <f>IF(ISBLANK(Input!$BW$4),NA(),'Reaction Information'!$E$62-'Reaction Information'!$G$62*(Calculations!$O148-Calculations!$C$8)-'Reaction Information'!$N$62*(Calculations!$O148*LN(Calculations!$O148/Calculations!$C$8)-Calculations!$O148+Calculations!$C$8)-'Reaction Information'!$O$62*10^4*(((1/(Calculations!$O148-Calculations!$C$13))-(1/(Calculations!$C$8-Calculations!$C$13)))*((Calculations!$C$13-Calculations!$O148)/(Calculations!$C$13))-(Calculations!$O148/(Calculations!$C$13*Calculations!$C$13))*LN((Calculations!$C$8*(Calculations!$O148-Calculations!$C$13))/(Calculations!$O148*(Calculations!$C$8-Calculations!$C$13))))+'Reaction Information'!$J$62*10^-1*(Calculations!$M148-Calculations!$C$9)+'Reaction Information'!$K$62*10^2*LN((Calculations!$C$12+Calculations!$M148)/(Calculations!$C$12+Calculations!$C$9))+(1/(Calculations!$O148-Calculations!$C$13))*('Reaction Information'!$L$62*(Calculations!$M148-Calculations!$C$9)+'Reaction Information'!$M$62*10^4*LN((Calculations!$C$12+Calculations!$M148)/(Calculations!$C$12+Calculations!$C$9)))+calculateOmega(Calculations!M148,Calculations!N148,Calculations!Q148,'Reaction Information'!$C$62,'Reaction Information'!$P$62*10^5,'Reaction Information'!$Q$62)*((1/Calculations!$S148)-1)-'Reaction Information'!$P$62*10^5*((1/Calculations!$C$10)-1)+'Reaction Information'!$P$62*10^5*Calculations!$C$14*(Calculations!$O148-Calculations!$C$8))</f>
        <v>#N/A</v>
      </c>
      <c r="AX148" s="8" t="e">
        <f>IF(ISBLANK(Input!$BZ$4),NA(),'Reaction Information'!$E$66-'Reaction Information'!$G$66*(Calculations!$O148-Calculations!$C$8)-'Reaction Information'!$N$66*(Calculations!$O148*LN(Calculations!$O148/Calculations!$C$8)-Calculations!$O148+Calculations!$C$8)-'Reaction Information'!$O$66*10^4*(((1/(Calculations!$O148-Calculations!$C$13))-(1/(Calculations!$C$8-Calculations!$C$13)))*((Calculations!$C$13-Calculations!$O148)/(Calculations!$C$13))-(Calculations!$O148/(Calculations!$C$13*Calculations!$C$13))*LN((Calculations!$C$8*(Calculations!$O148-Calculations!$C$13))/(Calculations!$O148*(Calculations!$C$8-Calculations!$C$13))))+'Reaction Information'!$J$66*10^-1*(Calculations!$M148-Calculations!$C$9)+'Reaction Information'!$K$66*10^2*LN((Calculations!$C$12+Calculations!$M148)/(Calculations!$C$12+Calculations!$C$9))+(1/(Calculations!$O148-Calculations!$C$13))*('Reaction Information'!$L$66*(Calculations!$M148-Calculations!$C$9)+'Reaction Information'!$M$66*10^4*LN((Calculations!$C$12+Calculations!$M148)/(Calculations!$C$12+Calculations!$C$9)))+calculateOmega(Calculations!M148,Calculations!N148,Calculations!Q148,'Reaction Information'!$C$66,'Reaction Information'!$P$66*10^5,'Reaction Information'!$Q$66)*((1/Calculations!$S148)-1)-'Reaction Information'!$P$66*10^5*((1/Calculations!$C$10)-1)+'Reaction Information'!$P$66*10^5*Calculations!$C$14*(Calculations!$O148-Calculations!$C$8))</f>
        <v>#N/A</v>
      </c>
      <c r="AY148" s="31">
        <f>(AL148*Input!$AO$4+AM148*Input!$AR$4+AN148*Input!$AU$4+AO148*Input!$AX$4+IF(ISNA(AP148),0,AP148*Input!$BA$4)+IF(ISNA(AQ148),0,AQ148*Input!$BD$4)+IF(ISNA(AR148),0,AR148*Input!$BG$4)+IF(ISNA(AS148),0,AS148*Input!$BJ$4)+IF(ISNA(AT148),0,AT148*Input!$BM$4)+IF(ISNA(AU148),0,AU148*Input!$BP$4)+IF(ISNA(AV148),0,AV148*Input!$BS$4)+IF(ISNA(AW148),0,AW148*Input!$BV$4)+IF(ISNA(AX148),0,AX148*Input!$BY$4))-(Y148*Input!$B$4+Z148*Input!$E$4+AA148*Input!$H$4+AB148*Input!$K$4+IF(ISNA(AC148),0,AC148*Input!$N$4)+IF(ISNA(AD148),0,AD148*Input!$Q$4)+IF(ISNA(AE148),0,AE148*Input!$T$4)+IF(ISNA(AF148),0,AF148*Input!$W$4)+IF(ISNA(AG148),0,AG148*Input!$Z$4)+IF(ISNA(AH148),0,AH148*Input!$AC$4)+IF(ISNA(AI148),0,AI148*Input!$AF$4)+IF(ISNA(AJ148),0,AJ148*Input!$AI$4)+IF(ISNA(AK148),0,AK148*Input!$AL$4))</f>
        <v>13290.45223389368</v>
      </c>
      <c r="AZ148" s="42">
        <f t="shared" si="39"/>
        <v>-3.1484685424359613</v>
      </c>
      <c r="BA148" s="1">
        <f t="shared" si="46"/>
        <v>650</v>
      </c>
      <c r="BB148" s="46">
        <f t="shared" si="47"/>
        <v>50000</v>
      </c>
      <c r="BC148" s="1"/>
      <c r="BD148" s="2">
        <f t="shared" si="48"/>
        <v>50000</v>
      </c>
      <c r="BE148" s="46">
        <f t="shared" si="49"/>
        <v>650</v>
      </c>
      <c r="BF148" s="1">
        <f>Results!AJ150</f>
        <v>0</v>
      </c>
      <c r="BG148" s="1">
        <f>Results!AK150</f>
        <v>0</v>
      </c>
      <c r="BH148" s="1">
        <f>Results!AL150</f>
        <v>0</v>
      </c>
      <c r="BI148" s="1">
        <f>Results!AM150</f>
        <v>0</v>
      </c>
      <c r="BJ148" s="1" t="e">
        <f>IF(OR(ISNA('Reaction Information'!$D$5), $N148 = "", $D$27 = FALSE, 'Reaction Information'!$D$5 = ""), NA(), 24.465)</f>
        <v>#N/A</v>
      </c>
      <c r="BK148" s="1" t="e">
        <f>IF(OR(ISNA('Reaction Information'!$D$9), $N148 = "", $D$27 = FALSE, 'Reaction Information'!$D$9 = ""), NA(), 24.465)</f>
        <v>#N/A</v>
      </c>
      <c r="BL148" s="8">
        <f t="shared" si="40"/>
        <v>13.109147281209665</v>
      </c>
      <c r="BM148" s="8">
        <f>IF(OR(ISBLANK(Input!$X$4),$D$27=FALSE),NA(),('Reaction Information'!$J$13/10+'Reaction Information'!$K$13*100/(Calculations!$C$12+Calculations!$M148)+('Reaction Information'!$L$13+'Reaction Information'!$M$13*10^4/(Calculations!$C$12+Calculations!$M148))/(Calculations!$O148-Calculations!$C$13) -calculateOmega(Calculations!$M148,Calculations!$N148,Calculations!$Q148,'Reaction Information'!$C$13,'Reaction Information'!$P$13*10^5,'Reaction Information'!$Q$13)*Calculations!$U148*10^-6 + (1/$S148 - 1)*calculate_domegadP(Calculations!$M148,Calculations!$N148,Calculations!$Q148,'Reaction Information'!$C$13,'Reaction Information'!$P$13*10^5,'Reaction Information'!$Q$13,$D$20,$D$19=3))*41.84)</f>
        <v>29.920750631717876</v>
      </c>
      <c r="BN148" s="8" t="e">
        <f>IF(OR(ISBLANK(Input!$AA$4),$D$27=FALSE),NA(),('Reaction Information'!$J$17/10+'Reaction Information'!$K$17*100/(Calculations!$C$12+Calculations!$M148)+('Reaction Information'!$L$17+'Reaction Information'!$M$17*10000/(Calculations!$C$12+Calculations!$M148))/(Calculations!$O148-Calculations!$C$13)-calculateOmega(Calculations!M148,Calculations!N148,Calculations!Q148,'Reaction Information'!$C$17,'Reaction Information'!$P$17*10^5,'Reaction Information'!$Q$17)*Calculations!$U148*10^-6 + (1/$S148 - 1)*calculate_domegadP(Calculations!M148,Calculations!N148,Calculations!Q148,'Reaction Information'!$C$17,'Reaction Information'!$P$17*10^5,'Reaction Information'!$Q$17,$D$20,$D$19=3))*41.84)</f>
        <v>#N/A</v>
      </c>
      <c r="BO148" s="8" t="e">
        <f>IF(OR(ISBLANK(Input!$AD$4),$D$27=FALSE),NA(),('Reaction Information'!$J$21/10+'Reaction Information'!$K$21*100/(Calculations!$C$12+Calculations!$M148)+('Reaction Information'!$L$21+'Reaction Information'!$M$21*10000/(Calculations!$C$12+Calculations!$M148))/(Calculations!$O148-Calculations!$C$13)-calculateOmega(Calculations!M148,Calculations!N148,Calculations!Q148,'Reaction Information'!$C$21,'Reaction Information'!$P$21*10^5,'Reaction Information'!$Q$21)*Calculations!$U148*10^-6 + (1/$S148 - 1)*calculate_domegadP(Calculations!M148,Calculations!N148,Calculations!Q148,'Reaction Information'!$C$21,'Reaction Information'!$P$21*10^5,'Reaction Information'!$Q$21,$D$20,$D$19=3))*41.84)</f>
        <v>#N/A</v>
      </c>
      <c r="BP148" s="8" t="e">
        <f>IF(OR(ISBLANK(Input!$AG$4),$D$27=FALSE),NA(),('Reaction Information'!$J$25/10+'Reaction Information'!$K$25*100/(Calculations!$C$12+Calculations!$M148)+('Reaction Information'!$L$25+'Reaction Information'!$M$25*10000/(Calculations!$C$12+Calculations!$M148))/(Calculations!$O148-Calculations!$C$13)-calculateOmega(Calculations!M148,Calculations!N148,Calculations!Q148,'Reaction Information'!$C$25,'Reaction Information'!$P$25*10^5,'Reaction Information'!$Q$25)*Calculations!$U148*10^-6 + (1/$S148 - 1)*calculate_domegadP(Calculations!M148,Calculations!N148,Calculations!Q148,'Reaction Information'!$C$25,'Reaction Information'!$P$25*10^5,'Reaction Information'!$Q$25,$D$20,$D$19=3))*41.84)</f>
        <v>#N/A</v>
      </c>
      <c r="BQ148" s="8" t="e">
        <f>IF(OR(ISBLANK(Input!$AJ$4),$D$27=FALSE),NA(),('Reaction Information'!$J$29/10+'Reaction Information'!$K$29*100/(Calculations!$C$12+Calculations!$M148)+('Reaction Information'!$L$29+'Reaction Information'!$M$29*10000/(Calculations!$C$12+Calculations!$M148))/(Calculations!$O148-Calculations!$C$13)-calculateOmega(Calculations!M148,Calculations!N148,Calculations!Q148,'Reaction Information'!$C$29,'Reaction Information'!$P$29*10^5,'Reaction Information'!$Q$29)*Calculations!$U148*10^-6 + (1/$S148 - 1)*calculate_domegadP(Calculations!M148,Calculations!N148,Calculations!Q148,'Reaction Information'!$C$29,'Reaction Information'!$P$29*10^5,'Reaction Information'!$Q$29,$D$20,$D$19=3))*41.84)</f>
        <v>#N/A</v>
      </c>
      <c r="BR148" s="8" t="e">
        <f>IF(OR(ISBLANK(Input!$AM$4),$D$27=FALSE),NA(),('Reaction Information'!$J$33/10+'Reaction Information'!$K$33*100/(Calculations!$C$12+Calculations!$M148)+('Reaction Information'!$L$33+'Reaction Information'!$M$33*10000/(Calculations!$C$12+Calculations!$M148))/(Calculations!$O148-Calculations!$C$13)-calculateOmega(Calculations!M148,Calculations!N148,Calculations!Q148,'Reaction Information'!$C$33,'Reaction Information'!$P$33*10^5,'Reaction Information'!$Q$33)*Calculations!$U148*10^-6 + (1/$S148 - 1)*calculate_domegadP(Calculations!M148,Calculations!N148,Calculations!Q148,'Reaction Information'!$C$33,'Reaction Information'!$P$33*10^5,'Reaction Information'!$Q$33,$D$20,$D$19=3))*41.84)</f>
        <v>#N/A</v>
      </c>
      <c r="BS148" s="1">
        <f>Results!AW150</f>
        <v>0</v>
      </c>
      <c r="BT148" s="1">
        <f>Results!AX150</f>
        <v>0</v>
      </c>
      <c r="BU148" s="1">
        <f>Results!AY150</f>
        <v>0</v>
      </c>
      <c r="BV148" s="1">
        <f>Results!AZ150</f>
        <v>0</v>
      </c>
      <c r="BW148" s="1" t="e">
        <f>IF(OR(ISNA('Reaction Information'!$D$38), $N148 = "", $D$27 = FALSE, 'Reaction Information'!$D$38 = ""), NA(), 24.465)</f>
        <v>#N/A</v>
      </c>
      <c r="BX148" s="1" t="e">
        <f>IF(OR(ISNA('Reaction Information'!$D$42), $N148 = "", $D$27 = FALSE, 'Reaction Information'!$D$42 = ""), NA(), 24.465)</f>
        <v>#N/A</v>
      </c>
      <c r="BY148" s="8" t="e">
        <f t="shared" si="41"/>
        <v>#N/A</v>
      </c>
      <c r="BZ148" s="8">
        <f>IF(OR(ISBLANK(Input!$BK$4),$D$27=FALSE),NA(),('Reaction Information'!$J$46/10+'Reaction Information'!$K$46*100/(Calculations!$C$12+Calculations!$M148)+('Reaction Information'!$L$46+'Reaction Information'!$M$46*10000/(Calculations!$C$12+Calculations!$M148))/(Calculations!$O148-Calculations!$C$13)-calculateOmega(Calculations!M148,Calculations!N148,Calculations!Q148,'Reaction Information'!$C$46,'Reaction Information'!$P$46*10^5,'Reaction Information'!$Q$46)*Calculations!$U148*10^-6 + (1/$S148 - 1)*calculate_domegadP(Calculations!M148,Calculations!N148,Calculations!Q148,'Reaction Information'!$C$46,'Reaction Information'!$P$46*10^5,'Reaction Information'!$Q$46,$D$20,$D$19=3))*41.84)</f>
        <v>0</v>
      </c>
      <c r="CA148" s="8">
        <f>IF(OR(ISBLANK(Input!$BN$4),$D$27=FALSE),NA(),('Reaction Information'!$J$50/10+'Reaction Information'!$K$50*100/(Calculations!$C$12+Calculations!$M148)+('Reaction Information'!$L$50+'Reaction Information'!$M$50*10000/(Calculations!$C$12+Calculations!$M148))/(Calculations!$O148-Calculations!$C$13)-calculateOmega(Calculations!M148,Calculations!N148,Calculations!Q148,'Reaction Information'!$C$50,'Reaction Information'!$P$50*10^5,'Reaction Information'!$Q$50)*Calculations!$U148*10^-6 + (1/$S148 - 1)*calculate_domegadP(Calculations!M148,Calculations!N148,Calculations!Q148,'Reaction Information'!$C$50,'Reaction Information'!$P$50*10^5,'Reaction Information'!$Q$50,$D$20,$D$19=3))*41.84)</f>
        <v>31.350650723206897</v>
      </c>
      <c r="CB148" s="8" t="e">
        <f>IF(OR(ISBLANK(Input!$BQ$4),$D$27=FALSE),NA(),('Reaction Information'!$J$54/10+'Reaction Information'!$K$54*100/(Calculations!$C$12+Calculations!$M148)+('Reaction Information'!$L$54+'Reaction Information'!$M$54*10000/(Calculations!$C$12+Calculations!$M148))/(Calculations!$O148-Calculations!$C$13)-calculateOmega(Calculations!M148,Calculations!N148,Calculations!Q148,'Reaction Information'!$C$54,'Reaction Information'!$P$54*10^5,'Reaction Information'!$Q$54)*Calculations!$U148*10^-6 + (1/$S148 - 1)*calculate_domegadP(Calculations!M148,Calculations!N148,Calculations!Q148,'Reaction Information'!$C$54,'Reaction Information'!$P$54*10^5,'Reaction Information'!$Q$54,$D$20,$D$19=3))*41.84)</f>
        <v>#N/A</v>
      </c>
      <c r="CC148" s="8" t="e">
        <f>IF(OR(ISBLANK(Input!$BT$4),$D$27=FALSE),NA(),('Reaction Information'!$J$58/10+'Reaction Information'!$K$58*100/(Calculations!$C$12+Calculations!$M148)+('Reaction Information'!$L$58+'Reaction Information'!$M$58*10000/(Calculations!$C$12+Calculations!$M148))/(Calculations!$O148-Calculations!$C$13)-calculateOmega(Calculations!M148,Calculations!N148,Calculations!Q148,'Reaction Information'!$C$58,'Reaction Information'!$P$58*10^5,'Reaction Information'!$Q$58)*Calculations!$U148*10^-6 + (1/$S148 - 1)*calculate_domegadP(Calculations!M148,Calculations!N148,Calculations!Q148,'Reaction Information'!$C$58,'Reaction Information'!$P$58*10^5,'Reaction Information'!$Q$58,$D$20,$D$19=3))*41.84)</f>
        <v>#N/A</v>
      </c>
      <c r="CD148" s="8" t="e">
        <f>IF(OR(ISBLANK(Input!$BW$4),$D$27=FALSE),NA(),('Reaction Information'!$J$62/10+'Reaction Information'!$K$62*100/(Calculations!$C$12+Calculations!$M148)+('Reaction Information'!$L$62+'Reaction Information'!$M$62*10000/(Calculations!$C$12+Calculations!$M148))/(Calculations!$O148-Calculations!$C$13)-calculateOmega(Calculations!M148,Calculations!N148,Calculations!Q148,'Reaction Information'!$C$62,'Reaction Information'!$P$62*10^5,'Reaction Information'!$Q$62)*Calculations!$U148*10^-6 + (1/$S148 - 1)*calculate_domegadP(Calculations!M148,Calculations!N148,Calculations!Q148,'Reaction Information'!$C$62,'Reaction Information'!$P$62*10^5,'Reaction Information'!$Q$62,$D$20,$D$19=3))*41.84)</f>
        <v>#N/A</v>
      </c>
      <c r="CE148" s="8" t="e">
        <f>IF(OR(ISBLANK(Input!$BZ$4),$D$27=FALSE),NA(),('Reaction Information'!$J$66/10+'Reaction Information'!$K$66*100/(Calculations!$C$12+Calculations!$M148)+('Reaction Information'!$L$66+'Reaction Information'!$M$66*10000/(Calculations!$C$12+Calculations!$M148))/(Calculations!$O148-Calculations!$C$13)-calculateOmega(Calculations!M148,Calculations!N148,Calculations!Q148,'Reaction Information'!$C$66,'Reaction Information'!$P$66*10^5,'Reaction Information'!$Q$66)*Calculations!$U148*10^-6 + (1/$S148 - 1)*calculate_domegadP(Calculations!M148,Calculations!N148,Calculations!Q148,'Reaction Information'!$C$66,'Reaction Information'!$P$66*10^5,'Reaction Information'!$Q$66,$D$20,$D$19=3))*41.84)</f>
        <v>#N/A</v>
      </c>
      <c r="CF148" s="31">
        <f>(BS148*Input!$AO$4+BT148*Input!$AR$4+BU148*Input!$AU$4+BV148*Input!$AX$4+IF(ISNA(BW148),0,BW148*Input!$BA$4)+IF(ISNA(BX148),0,BX148*Input!$BD$4)+IF(ISNA(BY148),0,BY148*Input!$BG$4)+IF(ISNA(BZ148),0,BZ148*Input!$BJ$4)+IF(ISNA(CA148),0,CA148*Input!$BM$4)+IF(ISNA(CB148),0,CB148*Input!$BP$4)+IF(ISNA(CC148),0,CC148*Input!$BS$4)+IF(ISNA(CD148),0,CD148*Input!$BV$4)+IF(ISNA(CE148),0,CE148*Input!$BY$4))-(BF148*Input!$B$4+BG148*Input!$E$4+BH148*Input!$H$4+BI148*Input!$K$4+IF(ISNA(BJ148),0,BJ148*Input!$N$4)+IF(ISNA(BK148),0,BK148*Input!$Q$4)+IF(ISNA(BL148),0,BL148*Input!$T$4)+IF(ISNA(BM148),0,BM148*Input!$W$4)+IF(ISNA(BN148),0,BN148*Input!$Z$4)+IF(ISNA(BO148),0,BO148*Input!$AC$4)+IF(ISNA(BP148),0,BP148*Input!$AF$4)+IF(ISNA(BQ148),0,BQ148*Input!$AI$4)+IF(ISNA(BR148),0,BR148*Input!$AL$4))</f>
        <v>-11.679247189720641</v>
      </c>
      <c r="CG148" s="1">
        <f t="shared" si="50"/>
        <v>650</v>
      </c>
      <c r="CH148" s="46">
        <f t="shared" si="51"/>
        <v>50000</v>
      </c>
      <c r="CI148" s="1"/>
    </row>
    <row r="149" spans="1:87" x14ac:dyDescent="0.2">
      <c r="A149" s="1"/>
      <c r="B149" s="1"/>
      <c r="C149" s="1"/>
      <c r="D149" s="1"/>
      <c r="E149" s="1"/>
      <c r="F149" s="2">
        <v>144</v>
      </c>
      <c r="G149" s="1" t="str">
        <f>IF(ISBLANK(Input!CB149), "", Input!CB149*1000)</f>
        <v/>
      </c>
      <c r="H149" s="1" t="str">
        <f>IF(ISBLANK(Input!CC149), "", Input!CC149)</f>
        <v/>
      </c>
      <c r="I149" s="1">
        <f>IF(Input!$CF$5 + Input!$CF$6*(FLOOR((Calculations!$F149-1)/(FLOOR((Input!$CF$12-Input!$CF$10)/Input!$CF$11,1)+1),1)) &gt; Input!$CF$7, "", (Input!$CF$5 + Input!$CF$6*(FLOOR((Calculations!$F149-1)/(FLOOR((Input!$CF$12-Input!$CF$10)/Input!$CF$11,1)+1),1)))*1000)</f>
        <v>50000</v>
      </c>
      <c r="J149" s="1">
        <f>IF(Calculations!I149 = "", "", Input!$CF$10 + Input!$CF$11*(Calculations!$F149-1) - (FLOOR((Input!$CF$12-Input!$CF$10)/Input!$CF$11,1)+1)*Input!$CF$11*FLOOR((Calculations!$F149-1)/(FLOOR((Input!$CF$12-Input!$CF$10)/Input!$CF$11,1)+1),1))</f>
        <v>700</v>
      </c>
      <c r="K149" s="8" t="str">
        <f t="shared" si="52"/>
        <v/>
      </c>
      <c r="L149" s="117" t="str">
        <f>IF(OR(Input!$CJ$5 + Input!$CJ$6*(Calculations!F149-1) &gt; Input!$CJ$7, Input!$CJ$5 + Input!$CJ$6*(Calculations!F149-1) &gt; 350), "", Input!$CJ$5 + Input!$CJ$6*(Calculations!F149-1))</f>
        <v/>
      </c>
      <c r="M149" s="1">
        <f t="shared" si="42"/>
        <v>50000</v>
      </c>
      <c r="N149" s="1">
        <f t="shared" si="43"/>
        <v>700</v>
      </c>
      <c r="O149" s="1">
        <f t="shared" si="38"/>
        <v>973.15</v>
      </c>
      <c r="P149" s="1" t="e">
        <f>IF(OR($D$20=3,AND($D$21=TRUE,M149&lt;1000)),INDEX('Water Density'!$C$6:$CX$120,MATCH(Calculations!N149,'Water Density'!$B$6:$B$120),MATCH(Calculations!M149/1000,'Water Density'!$C$5:$CX$5)),NA())</f>
        <v>#N/A</v>
      </c>
      <c r="Q149" s="182">
        <f>IF(OR($D$20=3,AND($D$21=TRUE,M149&lt;1000)), IF(P149&lt;&gt;0,P149,NA()), calculateDensity(M149,N149,$D$20,0.01,$D$19 = 3))</f>
        <v>1.3611916556620596</v>
      </c>
      <c r="R149" s="1" t="e">
        <f>IF($D$22=5,INDEX('Dielectric Constant'!$C$6:$CX$120,MATCH(Calculations!N149,'Dielectric Constant'!$B$6:$B$120),MATCH(Calculations!M149/1000,'Dielectric Constant'!$C$5:$CX$5)),NA())</f>
        <v>#N/A</v>
      </c>
      <c r="S149" s="58">
        <f>IF($D$22=5, IF(R149&lt;&gt;0,R149,NA()), IF(AND($D$23,M149&lt;=5000,$D$19 &lt;&gt; 3),calculateEpsilon(Q149,N149,1,FALSE),calculateEpsilon(Q149,N149,$D$22,$D$19 = 3)))</f>
        <v>27.713516150231097</v>
      </c>
      <c r="T149" s="1" t="e">
        <f>IF($D$24=3,INDEX('Water Free Energy'!$C$6:$CX$120,MATCH(Calculations!N149,'Water Free Energy'!$B$6:$B$120),MATCH(Calculations!M149/1000,'Water Free Energy'!$C$5:$CX$5)),NA())</f>
        <v>#N/A</v>
      </c>
      <c r="U149" s="179">
        <f>IF($D$27,calculateQ(M149,N149,Q149,$D$20,$D$22,$D$19=3)*10^6,NA())</f>
        <v>0.14734014104029319</v>
      </c>
      <c r="V149"/>
      <c r="W149" s="2">
        <f t="shared" si="44"/>
        <v>50000</v>
      </c>
      <c r="X149" s="1">
        <f t="shared" si="45"/>
        <v>700</v>
      </c>
      <c r="Y149" s="1">
        <f>Results!F151</f>
        <v>0</v>
      </c>
      <c r="Z149" s="1">
        <f>Results!G151</f>
        <v>0</v>
      </c>
      <c r="AA149" s="1">
        <f>Results!H151</f>
        <v>0</v>
      </c>
      <c r="AB149" s="1">
        <f>Results!I151</f>
        <v>0</v>
      </c>
      <c r="AC149" s="1" t="e">
        <f>IF(ISBLANK(Input!$O$4),NA(),'Reaction Information'!$E$5-'Reaction Information'!$G$5*(Calculations!$O149-Calculations!$C$8)+'Reaction Information'!$I$5*(Calculations!$O149-Calculations!$C$8-Calculations!$O149*LN(Calculations!$O149/Calculations!$C$8))+'Reaction Information'!$J$5*0.001/2*(2*Calculations!$O149*Calculations!$C$8-Calculations!$O149^2-Calculations!$C$8^2) + 'Reaction Information'!$K$5*100000*(Calculations!$O149^2 + Calculations!$C$8^2 - 2*Calculations!$O149*Calculations!$C$8)/(2*Calculations!$O149*Calculations!$C$8^2))</f>
        <v>#N/A</v>
      </c>
      <c r="AD149" s="8" t="e">
        <f>IF(ISBLANK(Input!$R$4),NA(),'Reaction Information'!$E$9-'Reaction Information'!$G$9*(Calculations!$O149-Calculations!$C$8)+'Reaction Information'!$I$9*(Calculations!$O149-Calculations!$C$8-Calculations!$O149*LN(Calculations!$O149/Calculations!$C$8))+'Reaction Information'!$J$9*0.001/2*(2*Calculations!$O149*Calculations!$C$8-Calculations!$O149^2-Calculations!$C$8^2) + 'Reaction Information'!$K$9*100000*(Calculations!$O149^2 + Calculations!$C$8^2 - 2*Calculations!$O149*Calculations!$C$8)/(2*Calculations!$O149*Calculations!$C$8^2))</f>
        <v>#N/A</v>
      </c>
      <c r="AE149" s="8">
        <f>IF(AE$5="H2O",IF($D$24=3,IF(T149=0,NA(),T149),calculateGibbsOfWater(M149,N149,$D$24,$D$20,$D$19=3)),NA())</f>
        <v>-55785.939839273058</v>
      </c>
      <c r="AF149" s="8">
        <f>IF(ISBLANK(Input!$X$4),NA(),'Reaction Information'!$E$13-'Reaction Information'!$G$13*(Calculations!O149-Calculations!$C$8)-'Reaction Information'!$N$13*(Calculations!O149*LN(Calculations!O149/Calculations!$C$8)-Calculations!O149+Calculations!$C$8)-'Reaction Information'!$O$13*10^4*(((1/(Calculations!O149-Calculations!$C$13))-(1/(Calculations!$C$8-Calculations!$C$13)))*((Calculations!$C$13-Calculations!O149)/(Calculations!$C$13))-(Calculations!O149/(Calculations!$C$13*Calculations!$C$13))*LN((Calculations!$C$8*(Calculations!O149-Calculations!$C$13))/(Calculations!O149*(Calculations!$C$8-Calculations!$C$13))))+'Reaction Information'!$J$13*10^-1*(Calculations!M149-Calculations!$C$9)+'Reaction Information'!$K$13*10^2*LN((Calculations!$C$12+Calculations!M149)/(Calculations!$C$12+Calculations!$C$9))+(1/(Calculations!O149-Calculations!$C$13))*('Reaction Information'!$L$13*(Calculations!M149-Calculations!$C$9)+'Reaction Information'!$M$13*10^4*LN((Calculations!$C$12+Calculations!M149)/(Calculations!$C$12+Calculations!$C$9)))+calculateOmega(Calculations!M149,Calculations!N149,Calculations!Q149,'Reaction Information'!$C$13,'Reaction Information'!$P$13*10^5,'Reaction Information'!$Q$13)*((1/Calculations!S149)-1)-'Reaction Information'!$P$13*10^5*((1/Calculations!$C$10)-1)+'Reaction Information'!$P$13*10^5*Calculations!$C$14*(Calculations!O149-Calculations!$C$8))</f>
        <v>-83729.838025745237</v>
      </c>
      <c r="AG149" s="8" t="e">
        <f>IF(ISBLANK(Input!$AA$4),NA(),'Reaction Information'!$E$17-'Reaction Information'!$G$17*(Calculations!$O149-Calculations!$C$8)-'Reaction Information'!$N$17*(Calculations!$O149*LN(Calculations!$O149/Calculations!$C$8)-Calculations!$O149+Calculations!$C$8)-'Reaction Information'!$O$17*10^4*(((1/(Calculations!$O149-Calculations!$C$13))-(1/(Calculations!$C$8-Calculations!$C$13)))*((Calculations!$C$13-Calculations!$O149)/(Calculations!$C$13))-(Calculations!$O149/(Calculations!$C$13*Calculations!$C$13))*LN((Calculations!$C$8*(Calculations!$O149-Calculations!$C$13))/(Calculations!$O149*(Calculations!$C$8-Calculations!$C$13))))+'Reaction Information'!$J$17*10^-1*(Calculations!$M149-Calculations!$C$9)+'Reaction Information'!$K$17*10^2*LN((Calculations!$C$12+Calculations!$M149)/(Calculations!$C$12+Calculations!$C$9))+(1/(Calculations!$O149-Calculations!$C$13))*('Reaction Information'!$L$17*(Calculations!$M149-Calculations!$C$9)+'Reaction Information'!$M$17*10^4*LN((Calculations!$C$12+Calculations!$M149)/(Calculations!$C$12+Calculations!$C$9)))+calculateOmega(Calculations!M149,Calculations!N149,Calculations!Q149,'Reaction Information'!$C$17,'Reaction Information'!$P$17*10^5,'Reaction Information'!$Q$17)*((1/Calculations!$S149)-1)-'Reaction Information'!$P$17*10^5*((1/Calculations!$C$10)-1)+'Reaction Information'!$P$17*10^5*Calculations!$C$14*(Calculations!$O149-Calculations!$C$8))</f>
        <v>#N/A</v>
      </c>
      <c r="AH149" s="8" t="e">
        <f>IF(ISBLANK(Input!$AD$4),NA(),'Reaction Information'!$E$21-'Reaction Information'!$G$21*(Calculations!$O149-Calculations!$C$8)-'Reaction Information'!$N$21*(Calculations!$O149*LN(Calculations!$O149/Calculations!$C$8)-Calculations!$O149+Calculations!$C$8)-'Reaction Information'!$O$21*10^4*(((1/(Calculations!$O149-Calculations!$C$13))-(1/(Calculations!$C$8-Calculations!$C$13)))*((Calculations!$C$13-Calculations!$O149)/(Calculations!$C$13))-(Calculations!$O149/(Calculations!$C$13*Calculations!$C$13))*LN((Calculations!$C$8*(Calculations!$O149-Calculations!$C$13))/(Calculations!$O149*(Calculations!$C$8-Calculations!$C$13))))+'Reaction Information'!$J$21*10^-1*(Calculations!$M149-Calculations!$C$9)+'Reaction Information'!$K$21*10^2*LN((Calculations!$C$12+Calculations!$M149)/(Calculations!$C$12+Calculations!$C$9))+(1/(Calculations!$O149-Calculations!$C$13))*('Reaction Information'!$L$21*(Calculations!$M149-Calculations!$C$9)+'Reaction Information'!$M$21*10^4*LN((Calculations!$C$12+Calculations!$M149)/(Calculations!$C$12+Calculations!$C$9)))+calculateOmega(Calculations!M149,Calculations!N149,Calculations!Q149,'Reaction Information'!$C$21,'Reaction Information'!$P$21*10^5,'Reaction Information'!$Q$21)*((1/Calculations!$S149)-1)-'Reaction Information'!$P$21*10^5*((1/Calculations!$C$10)-1)+'Reaction Information'!$P$21*10^5*Calculations!$C$14*(Calculations!$O149-Calculations!$C$8))</f>
        <v>#N/A</v>
      </c>
      <c r="AI149" s="8" t="e">
        <f>IF(ISBLANK(Input!$AG$4),NA(),'Reaction Information'!$E$25-'Reaction Information'!$G$25*(Calculations!$O149-Calculations!$C$8)-'Reaction Information'!$N$25*(Calculations!$O149*LN(Calculations!$O149/Calculations!$C$8)-Calculations!$O149+Calculations!$C$8)-'Reaction Information'!$O$25*10^4*(((1/(Calculations!$O149-Calculations!$C$13))-(1/(Calculations!$C$8-Calculations!$C$13)))*((Calculations!$C$13-Calculations!$O149)/(Calculations!$C$13))-(Calculations!$O149/(Calculations!$C$13*Calculations!$C$13))*LN((Calculations!$C$8*(Calculations!$O149-Calculations!$C$13))/(Calculations!$O149*(Calculations!$C$8-Calculations!$C$13))))+'Reaction Information'!$J$25*10^-1*(Calculations!$M149-Calculations!$C$9)+'Reaction Information'!$K$25*10^2*LN((Calculations!$C$12+Calculations!$M149)/(Calculations!$C$12+Calculations!$C$9))+(1/(Calculations!$O149-Calculations!$C$13))*('Reaction Information'!$L$25*(Calculations!$M149-Calculations!$C$9)+'Reaction Information'!$M$25*10^4*LN((Calculations!$C$12+Calculations!$M149)/(Calculations!$C$12+Calculations!$C$9)))+calculateOmega(Calculations!M149,Calculations!N149,Calculations!Q149,'Reaction Information'!$C$25,'Reaction Information'!$P$25*10^5,'Reaction Information'!$Q$25)*((1/Calculations!$S149)-1)-'Reaction Information'!$P$25*10^5*((1/Calculations!$C$10)-1)+'Reaction Information'!$P$25*10^5*Calculations!$C$14*(Calculations!$O149-Calculations!$C$8))</f>
        <v>#N/A</v>
      </c>
      <c r="AJ149" s="8" t="e">
        <f>IF(ISBLANK(Input!$AJ$4),NA(),'Reaction Information'!$E$29-'Reaction Information'!$G$29*(Calculations!$O149-Calculations!$C$8)-'Reaction Information'!$N$29*(Calculations!$O149*LN(Calculations!$O149/Calculations!$C$8)-Calculations!$O149+Calculations!$C$8)-'Reaction Information'!$O$29*10^4*(((1/(Calculations!$O149-Calculations!$C$13))-(1/(Calculations!$C$8-Calculations!$C$13)))*((Calculations!$C$13-Calculations!$O149)/(Calculations!$C$13))-(Calculations!$O149/(Calculations!$C$13*Calculations!$C$13))*LN((Calculations!$C$8*(Calculations!$O149-Calculations!$C$13))/(Calculations!$O149*(Calculations!$C$8-Calculations!$C$13))))+'Reaction Information'!$J$29*10^-1*(Calculations!$M149-Calculations!$C$9)+'Reaction Information'!$K$29*10^2*LN((Calculations!$C$12+Calculations!$M149)/(Calculations!$C$12+Calculations!$C$9))+(1/(Calculations!$O149-Calculations!$C$13))*('Reaction Information'!$L$29*(Calculations!$M149-Calculations!$C$9)+'Reaction Information'!$M$29*10^4*LN((Calculations!$C$12+Calculations!$M149)/(Calculations!$C$12+Calculations!$C$9)))+calculateOmega(Calculations!M149,Calculations!N149,Calculations!Q149,'Reaction Information'!$C$29,'Reaction Information'!$P$29*10^5,'Reaction Information'!$Q$29)*((1/Calculations!$S149)-1)-'Reaction Information'!$P$29*10^5*((1/Calculations!$C$10)-1)+'Reaction Information'!$P$29*10^5*Calculations!$C$14*(Calculations!$O149-Calculations!$C$8))</f>
        <v>#N/A</v>
      </c>
      <c r="AK149" s="8" t="e">
        <f>IF(ISBLANK(Input!$AM$4),NA(),'Reaction Information'!$E$33-'Reaction Information'!$G$33*(Calculations!$O149-Calculations!$C$8)-'Reaction Information'!$N$33*(Calculations!$O149*LN(Calculations!$O149/Calculations!$C$8)-Calculations!$O149+Calculations!$C$8)-'Reaction Information'!$O$33*10^4*(((1/(Calculations!$O149-Calculations!$C$13))-(1/(Calculations!$C$8-Calculations!$C$13)))*((Calculations!$C$13-Calculations!$O149)/(Calculations!$C$13))-(Calculations!$O149/(Calculations!$C$13*Calculations!$C$13))*LN((Calculations!$C$8*(Calculations!$O149-Calculations!$C$13))/(Calculations!$O149*(Calculations!$C$8-Calculations!$C$13))))+'Reaction Information'!$J$33*10^-1*(Calculations!$M149-Calculations!$C$9)+'Reaction Information'!$K$33*10^2*LN((Calculations!$C$12+Calculations!$M149)/(Calculations!$C$12+Calculations!$C$9))+(1/(Calculations!$O149-Calculations!$C$13))*('Reaction Information'!$L$33*(Calculations!$M149-Calculations!$C$9)+'Reaction Information'!$M$33*10^4*LN((Calculations!$C$12+Calculations!$M149)/(Calculations!$C$12+Calculations!$C$9)))+calculateOmega(Calculations!M149,Calculations!N149,Calculations!Q149,'Reaction Information'!$C$33,'Reaction Information'!$P$33*10^5,'Reaction Information'!$Q$33)*((1/Calculations!$S149)-1)-'Reaction Information'!$P$33*10^5*((1/Calculations!$C$10)-1)+'Reaction Information'!$P$33*10^5*Calculations!$C$14*(Calculations!$O149-Calculations!$C$8))</f>
        <v>#N/A</v>
      </c>
      <c r="AL149" s="1">
        <f>Results!S151</f>
        <v>0</v>
      </c>
      <c r="AM149" s="1">
        <f>Results!T151</f>
        <v>0</v>
      </c>
      <c r="AN149" s="1">
        <f>Results!U151</f>
        <v>0</v>
      </c>
      <c r="AO149" s="1">
        <f>Results!V151</f>
        <v>0</v>
      </c>
      <c r="AP149" s="8" t="e">
        <f>IF(ISBLANK(Input!$BB$4),NA(),'Reaction Information'!$E$38-'Reaction Information'!$G$38*(Calculations!$O149-Calculations!$C$8)+'Reaction Information'!$I$38*(Calculations!$O149-Calculations!$C$8-Calculations!$O149*LN(Calculations!$O149/Calculations!$C$8))+'Reaction Information'!$J$38*0.001/2*(2*Calculations!$O149*Calculations!$C$8-Calculations!$O149^2-Calculations!$C$8^2) + 'Reaction Information'!$K$38*100000*(Calculations!$O149^2 + Calculations!$C$8^2 - 2*Calculations!$O149*Calculations!$C$8)/(2*Calculations!$O149*Calculations!$C$8^2))</f>
        <v>#N/A</v>
      </c>
      <c r="AQ149" s="8" t="e">
        <f>IF(ISBLANK(Input!$BE$4),NA(),'Reaction Information'!$E$42-'Reaction Information'!$G$42*(Calculations!$O149-Calculations!$C$8)+'Reaction Information'!$I$42*(Calculations!$O149-Calculations!$C$8-Calculations!$O149*LN(Calculations!$O149/Calculations!$C$8))+'Reaction Information'!$J$42*0.001/2*(2*Calculations!$O149*Calculations!$C$8-Calculations!$O149^2-Calculations!$C$8^2) + 'Reaction Information'!$K$42*100000*(Calculations!$O149^2 + Calculations!$C$8^2 - 2*Calculations!$O149*Calculations!$C$8)/(2*Calculations!$O149*Calculations!$C$8^2))</f>
        <v>#N/A</v>
      </c>
      <c r="AR149" s="8" t="e">
        <f>IF(AR$5="H2O", IF($D$24=3,IF(T149=0,NA(),T149),calculateGibbsOfWater(M149,N149,$D$24,$D$20,$D$19=3)),NA())</f>
        <v>#N/A</v>
      </c>
      <c r="AS149" s="8">
        <f>IF(ISBLANK(Input!$BK$4),NA(),'Reaction Information'!$E$46-'Reaction Information'!$G$46*(Calculations!O149-Calculations!$C$8)-'Reaction Information'!$N$46*(Calculations!O149*LN(Calculations!O149/Calculations!$C$8)-Calculations!O149+Calculations!$C$8)-'Reaction Information'!$O$46*10^4*(((1/(Calculations!O149-Calculations!$C$13))-(1/(Calculations!$C$8-Calculations!$C$13)))*((Calculations!$C$13-Calculations!O149)/(Calculations!$C$13))-(Calculations!O149/(Calculations!$C$13*Calculations!$C$13))*LN((Calculations!$C$8*(Calculations!O149-Calculations!$C$13))/(Calculations!O149*(Calculations!$C$8-Calculations!$C$13))))+'Reaction Information'!$J$46*10^-1*(Calculations!$M149-Calculations!$C$9)+'Reaction Information'!$K$46*10^2*LN((Calculations!$C$12+Calculations!$M149)/(Calculations!$C$12+Calculations!$C$9))+(1/(Calculations!O149-Calculations!$C$13))*('Reaction Information'!$L$46*(Calculations!$M149-Calculations!$C$9)+'Reaction Information'!$M$46*10^4*LN((Calculations!$C$12+Calculations!$M149)/(Calculations!$C$12+Calculations!$C$9)))+calculateOmega(Calculations!M149,Calculations!N149,Calculations!Q149,'Reaction Information'!$C$46,'Reaction Information'!$P$46*10^5,'Reaction Information'!$Q$46)*((1/Calculations!S149)-1)-'Reaction Information'!$P$46*10^5*((1/Calculations!$C$10)-1)+'Reaction Information'!$P$46*10^5*Calculations!$C$14*(Calculations!O149-Calculations!$C$8))</f>
        <v>0</v>
      </c>
      <c r="AT149" s="8">
        <f>IF(ISBLANK(Input!$BN$4),NA(),'Reaction Information'!$E$50-'Reaction Information'!$G$50*(Calculations!O149-Calculations!$C$8)-'Reaction Information'!$N$50*(Calculations!O149*LN(Calculations!O149/Calculations!$C$8)-Calculations!O149+Calculations!$C$8)-'Reaction Information'!$O$50*10^4*(((1/(Calculations!O149-Calculations!$C$13))-(1/(Calculations!$C$8-Calculations!$C$13)))*((Calculations!$C$13-Calculations!O149)/(Calculations!$C$13))-(Calculations!O149/(Calculations!$C$13*Calculations!$C$13))*LN((Calculations!$C$8*(Calculations!O149-Calculations!$C$13))/(Calculations!O149*(Calculations!$C$8-Calculations!$C$13))))+'Reaction Information'!$J$50*10^-1*(Calculations!$M149-Calculations!$C$9)+'Reaction Information'!$K$50*10^2*LN((Calculations!$C$12+Calculations!$M149)/(Calculations!$C$12+Calculations!$C$9))+(1/(Calculations!O149-Calculations!$C$13))*('Reaction Information'!$L$50*(Calculations!$M149-Calculations!$C$9)+'Reaction Information'!$M$50*10^4*LN((Calculations!$C$12+Calculations!$M149)/(Calculations!$C$12+Calculations!$C$9)))+calculateOmega(Calculations!M149,Calculations!N149,Calculations!Q149,'Reaction Information'!$C$50,'Reaction Information'!$P$50*10^5,'Reaction Information'!$Q$50)*((1/Calculations!S149)-1)-'Reaction Information'!$P$50*10^5*((1/Calculations!$C$10)-1)+'Reaction Information'!$P$50*10^5*Calculations!$C$14*(Calculations!O149-Calculations!$C$8))</f>
        <v>-124198.06624456214</v>
      </c>
      <c r="AU149" s="8" t="e">
        <f>IF(ISBLANK(Input!$BQ$4),NA(),'Reaction Information'!$E$54-'Reaction Information'!$G$54*(Calculations!$O149-Calculations!$C$8)-'Reaction Information'!$N$54*(Calculations!$O149*LN(Calculations!$O149/Calculations!$C$8)-Calculations!$O149+Calculations!$C$8)-'Reaction Information'!$O$54*10^4*(((1/(Calculations!$O149-Calculations!$C$13))-(1/(Calculations!$C$8-Calculations!$C$13)))*((Calculations!$C$13-Calculations!$O149)/(Calculations!$C$13))-(Calculations!$O149/(Calculations!$C$13*Calculations!$C$13))*LN((Calculations!$C$8*(Calculations!$O149-Calculations!$C$13))/(Calculations!$O149*(Calculations!$C$8-Calculations!$C$13))))+'Reaction Information'!$J$54*10^-1*(Calculations!$M149-Calculations!$C$9)+'Reaction Information'!$K$54*10^2*LN((Calculations!$C$12+Calculations!$M149)/(Calculations!$C$12+Calculations!$C$9))+(1/(Calculations!$O149-Calculations!$C$13))*('Reaction Information'!$L$54*(Calculations!$M149-Calculations!$C$9)+'Reaction Information'!$M$54*10^4*LN((Calculations!$C$12+Calculations!$M149)/(Calculations!$C$12+Calculations!$C$9)))+calculateOmega(Calculations!M149,Calculations!N149,Calculations!Q149,'Reaction Information'!$C$54,'Reaction Information'!$P$54*10^5,'Reaction Information'!$Q$54)*((1/Calculations!$S149)-1)-'Reaction Information'!$P$54*10^5*((1/Calculations!$C$10)-1)+'Reaction Information'!$P$54*10^5*Calculations!$C$14*(Calculations!$O149-Calculations!$C$8))</f>
        <v>#N/A</v>
      </c>
      <c r="AV149" s="8" t="e">
        <f>IF(ISBLANK(Input!$BT$4),NA(),'Reaction Information'!$E$58-'Reaction Information'!$G$58*(Calculations!$O149-Calculations!$C$8)-'Reaction Information'!$N$58*(Calculations!$O149*LN(Calculations!$O149/Calculations!$C$8)-Calculations!$O149+Calculations!$C$8)-'Reaction Information'!$O$58*10^4*(((1/(Calculations!$O149-Calculations!$C$13))-(1/(Calculations!$C$8-Calculations!$C$13)))*((Calculations!$C$13-Calculations!$O149)/(Calculations!$C$13))-(Calculations!$O149/(Calculations!$C$13*Calculations!$C$13))*LN((Calculations!$C$8*(Calculations!$O149-Calculations!$C$13))/(Calculations!$O149*(Calculations!$C$8-Calculations!$C$13))))+'Reaction Information'!$J$58*10^-1*(Calculations!$M149-Calculations!$C$9)+'Reaction Information'!$K$58*10^2*LN((Calculations!$C$12+Calculations!$M149)/(Calculations!$C$12+Calculations!$C$9))+(1/(Calculations!$O149-Calculations!$C$13))*('Reaction Information'!$L$58*(Calculations!$M149-Calculations!$C$9)+'Reaction Information'!$M$58*10^4*LN((Calculations!$C$12+Calculations!$M149)/(Calculations!$C$12+Calculations!$C$9)))+calculateOmega(Calculations!M149,Calculations!N149,Calculations!Q149,'Reaction Information'!$C$58,'Reaction Information'!$P$58*10^5,'Reaction Information'!$Q$58)*((1/Calculations!$S149)-1)-'Reaction Information'!$P$58*10^5*((1/Calculations!$C$10)-1)+'Reaction Information'!$P$58*10^5*Calculations!$C$14*(Calculations!$O149-Calculations!$C$8))</f>
        <v>#N/A</v>
      </c>
      <c r="AW149" s="8" t="e">
        <f>IF(ISBLANK(Input!$BW$4),NA(),'Reaction Information'!$E$62-'Reaction Information'!$G$62*(Calculations!$O149-Calculations!$C$8)-'Reaction Information'!$N$62*(Calculations!$O149*LN(Calculations!$O149/Calculations!$C$8)-Calculations!$O149+Calculations!$C$8)-'Reaction Information'!$O$62*10^4*(((1/(Calculations!$O149-Calculations!$C$13))-(1/(Calculations!$C$8-Calculations!$C$13)))*((Calculations!$C$13-Calculations!$O149)/(Calculations!$C$13))-(Calculations!$O149/(Calculations!$C$13*Calculations!$C$13))*LN((Calculations!$C$8*(Calculations!$O149-Calculations!$C$13))/(Calculations!$O149*(Calculations!$C$8-Calculations!$C$13))))+'Reaction Information'!$J$62*10^-1*(Calculations!$M149-Calculations!$C$9)+'Reaction Information'!$K$62*10^2*LN((Calculations!$C$12+Calculations!$M149)/(Calculations!$C$12+Calculations!$C$9))+(1/(Calculations!$O149-Calculations!$C$13))*('Reaction Information'!$L$62*(Calculations!$M149-Calculations!$C$9)+'Reaction Information'!$M$62*10^4*LN((Calculations!$C$12+Calculations!$M149)/(Calculations!$C$12+Calculations!$C$9)))+calculateOmega(Calculations!M149,Calculations!N149,Calculations!Q149,'Reaction Information'!$C$62,'Reaction Information'!$P$62*10^5,'Reaction Information'!$Q$62)*((1/Calculations!$S149)-1)-'Reaction Information'!$P$62*10^5*((1/Calculations!$C$10)-1)+'Reaction Information'!$P$62*10^5*Calculations!$C$14*(Calculations!$O149-Calculations!$C$8))</f>
        <v>#N/A</v>
      </c>
      <c r="AX149" s="8" t="e">
        <f>IF(ISBLANK(Input!$BZ$4),NA(),'Reaction Information'!$E$66-'Reaction Information'!$G$66*(Calculations!$O149-Calculations!$C$8)-'Reaction Information'!$N$66*(Calculations!$O149*LN(Calculations!$O149/Calculations!$C$8)-Calculations!$O149+Calculations!$C$8)-'Reaction Information'!$O$66*10^4*(((1/(Calculations!$O149-Calculations!$C$13))-(1/(Calculations!$C$8-Calculations!$C$13)))*((Calculations!$C$13-Calculations!$O149)/(Calculations!$C$13))-(Calculations!$O149/(Calculations!$C$13*Calculations!$C$13))*LN((Calculations!$C$8*(Calculations!$O149-Calculations!$C$13))/(Calculations!$O149*(Calculations!$C$8-Calculations!$C$13))))+'Reaction Information'!$J$66*10^-1*(Calculations!$M149-Calculations!$C$9)+'Reaction Information'!$K$66*10^2*LN((Calculations!$C$12+Calculations!$M149)/(Calculations!$C$12+Calculations!$C$9))+(1/(Calculations!$O149-Calculations!$C$13))*('Reaction Information'!$L$66*(Calculations!$M149-Calculations!$C$9)+'Reaction Information'!$M$66*10^4*LN((Calculations!$C$12+Calculations!$M149)/(Calculations!$C$12+Calculations!$C$9)))+calculateOmega(Calculations!M149,Calculations!N149,Calculations!Q149,'Reaction Information'!$C$66,'Reaction Information'!$P$66*10^5,'Reaction Information'!$Q$66)*((1/Calculations!$S149)-1)-'Reaction Information'!$P$66*10^5*((1/Calculations!$C$10)-1)+'Reaction Information'!$P$66*10^5*Calculations!$C$14*(Calculations!$O149-Calculations!$C$8))</f>
        <v>#N/A</v>
      </c>
      <c r="AY149" s="31">
        <f>(AL149*Input!$AO$4+AM149*Input!$AR$4+AN149*Input!$AU$4+AO149*Input!$AX$4+IF(ISNA(AP149),0,AP149*Input!$BA$4)+IF(ISNA(AQ149),0,AQ149*Input!$BD$4)+IF(ISNA(AR149),0,AR149*Input!$BG$4)+IF(ISNA(AS149),0,AS149*Input!$BJ$4)+IF(ISNA(AT149),0,AT149*Input!$BM$4)+IF(ISNA(AU149),0,AU149*Input!$BP$4)+IF(ISNA(AV149),0,AV149*Input!$BS$4)+IF(ISNA(AW149),0,AW149*Input!$BV$4)+IF(ISNA(AX149),0,AX149*Input!$BY$4))-(Y149*Input!$B$4+Z149*Input!$E$4+AA149*Input!$H$4+AB149*Input!$K$4+IF(ISNA(AC149),0,AC149*Input!$N$4)+IF(ISNA(AD149),0,AD149*Input!$Q$4)+IF(ISNA(AE149),0,AE149*Input!$T$4)+IF(ISNA(AF149),0,AF149*Input!$W$4)+IF(ISNA(AG149),0,AG149*Input!$Z$4)+IF(ISNA(AH149),0,AH149*Input!$AC$4)+IF(ISNA(AI149),0,AI149*Input!$AF$4)+IF(ISNA(AJ149),0,AJ149*Input!$AI$4)+IF(ISNA(AK149),0,AK149*Input!$AL$4))</f>
        <v>15317.711620456146</v>
      </c>
      <c r="AZ149" s="42">
        <f t="shared" si="39"/>
        <v>-3.4422782722252174</v>
      </c>
      <c r="BA149" s="1">
        <f t="shared" si="46"/>
        <v>700</v>
      </c>
      <c r="BB149" s="46">
        <f t="shared" si="47"/>
        <v>50000</v>
      </c>
      <c r="BC149" s="1"/>
      <c r="BD149" s="2">
        <f t="shared" si="48"/>
        <v>50000</v>
      </c>
      <c r="BE149" s="46">
        <f t="shared" si="49"/>
        <v>700</v>
      </c>
      <c r="BF149" s="1">
        <f>Results!AJ151</f>
        <v>0</v>
      </c>
      <c r="BG149" s="1">
        <f>Results!AK151</f>
        <v>0</v>
      </c>
      <c r="BH149" s="1">
        <f>Results!AL151</f>
        <v>0</v>
      </c>
      <c r="BI149" s="1">
        <f>Results!AM151</f>
        <v>0</v>
      </c>
      <c r="BJ149" s="1" t="e">
        <f>IF(OR(ISNA('Reaction Information'!$D$5), $N149 = "", $D$27 = FALSE, 'Reaction Information'!$D$5 = ""), NA(), 24.465)</f>
        <v>#N/A</v>
      </c>
      <c r="BK149" s="1" t="e">
        <f>IF(OR(ISNA('Reaction Information'!$D$9), $N149 = "", $D$27 = FALSE, 'Reaction Information'!$D$9 = ""), NA(), 24.465)</f>
        <v>#N/A</v>
      </c>
      <c r="BL149" s="8">
        <f t="shared" si="40"/>
        <v>13.234932733434725</v>
      </c>
      <c r="BM149" s="8">
        <f>IF(OR(ISBLANK(Input!$X$4),$D$27=FALSE),NA(),('Reaction Information'!$J$13/10+'Reaction Information'!$K$13*100/(Calculations!$C$12+Calculations!$M149)+('Reaction Information'!$L$13+'Reaction Information'!$M$13*10^4/(Calculations!$C$12+Calculations!$M149))/(Calculations!$O149-Calculations!$C$13) -calculateOmega(Calculations!$M149,Calculations!$N149,Calculations!$Q149,'Reaction Information'!$C$13,'Reaction Information'!$P$13*10^5,'Reaction Information'!$Q$13)*Calculations!$U149*10^-6 + (1/$S149 - 1)*calculate_domegadP(Calculations!$M149,Calculations!$N149,Calculations!$Q149,'Reaction Information'!$C$13,'Reaction Information'!$P$13*10^5,'Reaction Information'!$Q$13,$D$20,$D$19=3))*41.84)</f>
        <v>29.943394032646541</v>
      </c>
      <c r="BN149" s="8" t="e">
        <f>IF(OR(ISBLANK(Input!$AA$4),$D$27=FALSE),NA(),('Reaction Information'!$J$17/10+'Reaction Information'!$K$17*100/(Calculations!$C$12+Calculations!$M149)+('Reaction Information'!$L$17+'Reaction Information'!$M$17*10000/(Calculations!$C$12+Calculations!$M149))/(Calculations!$O149-Calculations!$C$13)-calculateOmega(Calculations!M149,Calculations!N149,Calculations!Q149,'Reaction Information'!$C$17,'Reaction Information'!$P$17*10^5,'Reaction Information'!$Q$17)*Calculations!$U149*10^-6 + (1/$S149 - 1)*calculate_domegadP(Calculations!M149,Calculations!N149,Calculations!Q149,'Reaction Information'!$C$17,'Reaction Information'!$P$17*10^5,'Reaction Information'!$Q$17,$D$20,$D$19=3))*41.84)</f>
        <v>#N/A</v>
      </c>
      <c r="BO149" s="8" t="e">
        <f>IF(OR(ISBLANK(Input!$AD$4),$D$27=FALSE),NA(),('Reaction Information'!$J$21/10+'Reaction Information'!$K$21*100/(Calculations!$C$12+Calculations!$M149)+('Reaction Information'!$L$21+'Reaction Information'!$M$21*10000/(Calculations!$C$12+Calculations!$M149))/(Calculations!$O149-Calculations!$C$13)-calculateOmega(Calculations!M149,Calculations!N149,Calculations!Q149,'Reaction Information'!$C$21,'Reaction Information'!$P$21*10^5,'Reaction Information'!$Q$21)*Calculations!$U149*10^-6 + (1/$S149 - 1)*calculate_domegadP(Calculations!M149,Calculations!N149,Calculations!Q149,'Reaction Information'!$C$21,'Reaction Information'!$P$21*10^5,'Reaction Information'!$Q$21,$D$20,$D$19=3))*41.84)</f>
        <v>#N/A</v>
      </c>
      <c r="BP149" s="8" t="e">
        <f>IF(OR(ISBLANK(Input!$AG$4),$D$27=FALSE),NA(),('Reaction Information'!$J$25/10+'Reaction Information'!$K$25*100/(Calculations!$C$12+Calculations!$M149)+('Reaction Information'!$L$25+'Reaction Information'!$M$25*10000/(Calculations!$C$12+Calculations!$M149))/(Calculations!$O149-Calculations!$C$13)-calculateOmega(Calculations!M149,Calculations!N149,Calculations!Q149,'Reaction Information'!$C$25,'Reaction Information'!$P$25*10^5,'Reaction Information'!$Q$25)*Calculations!$U149*10^-6 + (1/$S149 - 1)*calculate_domegadP(Calculations!M149,Calculations!N149,Calculations!Q149,'Reaction Information'!$C$25,'Reaction Information'!$P$25*10^5,'Reaction Information'!$Q$25,$D$20,$D$19=3))*41.84)</f>
        <v>#N/A</v>
      </c>
      <c r="BQ149" s="8" t="e">
        <f>IF(OR(ISBLANK(Input!$AJ$4),$D$27=FALSE),NA(),('Reaction Information'!$J$29/10+'Reaction Information'!$K$29*100/(Calculations!$C$12+Calculations!$M149)+('Reaction Information'!$L$29+'Reaction Information'!$M$29*10000/(Calculations!$C$12+Calculations!$M149))/(Calculations!$O149-Calculations!$C$13)-calculateOmega(Calculations!M149,Calculations!N149,Calculations!Q149,'Reaction Information'!$C$29,'Reaction Information'!$P$29*10^5,'Reaction Information'!$Q$29)*Calculations!$U149*10^-6 + (1/$S149 - 1)*calculate_domegadP(Calculations!M149,Calculations!N149,Calculations!Q149,'Reaction Information'!$C$29,'Reaction Information'!$P$29*10^5,'Reaction Information'!$Q$29,$D$20,$D$19=3))*41.84)</f>
        <v>#N/A</v>
      </c>
      <c r="BR149" s="8" t="e">
        <f>IF(OR(ISBLANK(Input!$AM$4),$D$27=FALSE),NA(),('Reaction Information'!$J$33/10+'Reaction Information'!$K$33*100/(Calculations!$C$12+Calculations!$M149)+('Reaction Information'!$L$33+'Reaction Information'!$M$33*10000/(Calculations!$C$12+Calculations!$M149))/(Calculations!$O149-Calculations!$C$13)-calculateOmega(Calculations!M149,Calculations!N149,Calculations!Q149,'Reaction Information'!$C$33,'Reaction Information'!$P$33*10^5,'Reaction Information'!$Q$33)*Calculations!$U149*10^-6 + (1/$S149 - 1)*calculate_domegadP(Calculations!M149,Calculations!N149,Calculations!Q149,'Reaction Information'!$C$33,'Reaction Information'!$P$33*10^5,'Reaction Information'!$Q$33,$D$20,$D$19=3))*41.84)</f>
        <v>#N/A</v>
      </c>
      <c r="BS149" s="1">
        <f>Results!AW151</f>
        <v>0</v>
      </c>
      <c r="BT149" s="1">
        <f>Results!AX151</f>
        <v>0</v>
      </c>
      <c r="BU149" s="1">
        <f>Results!AY151</f>
        <v>0</v>
      </c>
      <c r="BV149" s="1">
        <f>Results!AZ151</f>
        <v>0</v>
      </c>
      <c r="BW149" s="1" t="e">
        <f>IF(OR(ISNA('Reaction Information'!$D$38), $N149 = "", $D$27 = FALSE, 'Reaction Information'!$D$38 = ""), NA(), 24.465)</f>
        <v>#N/A</v>
      </c>
      <c r="BX149" s="1" t="e">
        <f>IF(OR(ISNA('Reaction Information'!$D$42), $N149 = "", $D$27 = FALSE, 'Reaction Information'!$D$42 = ""), NA(), 24.465)</f>
        <v>#N/A</v>
      </c>
      <c r="BY149" s="8" t="e">
        <f t="shared" si="41"/>
        <v>#N/A</v>
      </c>
      <c r="BZ149" s="8">
        <f>IF(OR(ISBLANK(Input!$BK$4),$D$27=FALSE),NA(),('Reaction Information'!$J$46/10+'Reaction Information'!$K$46*100/(Calculations!$C$12+Calculations!$M149)+('Reaction Information'!$L$46+'Reaction Information'!$M$46*10000/(Calculations!$C$12+Calculations!$M149))/(Calculations!$O149-Calculations!$C$13)-calculateOmega(Calculations!M149,Calculations!N149,Calculations!Q149,'Reaction Information'!$C$46,'Reaction Information'!$P$46*10^5,'Reaction Information'!$Q$46)*Calculations!$U149*10^-6 + (1/$S149 - 1)*calculate_domegadP(Calculations!M149,Calculations!N149,Calculations!Q149,'Reaction Information'!$C$46,'Reaction Information'!$P$46*10^5,'Reaction Information'!$Q$46,$D$20,$D$19=3))*41.84)</f>
        <v>0</v>
      </c>
      <c r="CA149" s="8">
        <f>IF(OR(ISBLANK(Input!$BN$4),$D$27=FALSE),NA(),('Reaction Information'!$J$50/10+'Reaction Information'!$K$50*100/(Calculations!$C$12+Calculations!$M149)+('Reaction Information'!$L$50+'Reaction Information'!$M$50*10000/(Calculations!$C$12+Calculations!$M149))/(Calculations!$O149-Calculations!$C$13)-calculateOmega(Calculations!M149,Calculations!N149,Calculations!Q149,'Reaction Information'!$C$50,'Reaction Information'!$P$50*10^5,'Reaction Information'!$Q$50)*Calculations!$U149*10^-6 + (1/$S149 - 1)*calculate_domegadP(Calculations!M149,Calculations!N149,Calculations!Q149,'Reaction Information'!$C$50,'Reaction Information'!$P$50*10^5,'Reaction Information'!$Q$50,$D$20,$D$19=3))*41.84)</f>
        <v>31.299414265971727</v>
      </c>
      <c r="CB149" s="8" t="e">
        <f>IF(OR(ISBLANK(Input!$BQ$4),$D$27=FALSE),NA(),('Reaction Information'!$J$54/10+'Reaction Information'!$K$54*100/(Calculations!$C$12+Calculations!$M149)+('Reaction Information'!$L$54+'Reaction Information'!$M$54*10000/(Calculations!$C$12+Calculations!$M149))/(Calculations!$O149-Calculations!$C$13)-calculateOmega(Calculations!M149,Calculations!N149,Calculations!Q149,'Reaction Information'!$C$54,'Reaction Information'!$P$54*10^5,'Reaction Information'!$Q$54)*Calculations!$U149*10^-6 + (1/$S149 - 1)*calculate_domegadP(Calculations!M149,Calculations!N149,Calculations!Q149,'Reaction Information'!$C$54,'Reaction Information'!$P$54*10^5,'Reaction Information'!$Q$54,$D$20,$D$19=3))*41.84)</f>
        <v>#N/A</v>
      </c>
      <c r="CC149" s="8" t="e">
        <f>IF(OR(ISBLANK(Input!$BT$4),$D$27=FALSE),NA(),('Reaction Information'!$J$58/10+'Reaction Information'!$K$58*100/(Calculations!$C$12+Calculations!$M149)+('Reaction Information'!$L$58+'Reaction Information'!$M$58*10000/(Calculations!$C$12+Calculations!$M149))/(Calculations!$O149-Calculations!$C$13)-calculateOmega(Calculations!M149,Calculations!N149,Calculations!Q149,'Reaction Information'!$C$58,'Reaction Information'!$P$58*10^5,'Reaction Information'!$Q$58)*Calculations!$U149*10^-6 + (1/$S149 - 1)*calculate_domegadP(Calculations!M149,Calculations!N149,Calculations!Q149,'Reaction Information'!$C$58,'Reaction Information'!$P$58*10^5,'Reaction Information'!$Q$58,$D$20,$D$19=3))*41.84)</f>
        <v>#N/A</v>
      </c>
      <c r="CD149" s="8" t="e">
        <f>IF(OR(ISBLANK(Input!$BW$4),$D$27=FALSE),NA(),('Reaction Information'!$J$62/10+'Reaction Information'!$K$62*100/(Calculations!$C$12+Calculations!$M149)+('Reaction Information'!$L$62+'Reaction Information'!$M$62*10000/(Calculations!$C$12+Calculations!$M149))/(Calculations!$O149-Calculations!$C$13)-calculateOmega(Calculations!M149,Calculations!N149,Calculations!Q149,'Reaction Information'!$C$62,'Reaction Information'!$P$62*10^5,'Reaction Information'!$Q$62)*Calculations!$U149*10^-6 + (1/$S149 - 1)*calculate_domegadP(Calculations!M149,Calculations!N149,Calculations!Q149,'Reaction Information'!$C$62,'Reaction Information'!$P$62*10^5,'Reaction Information'!$Q$62,$D$20,$D$19=3))*41.84)</f>
        <v>#N/A</v>
      </c>
      <c r="CE149" s="8" t="e">
        <f>IF(OR(ISBLANK(Input!$BZ$4),$D$27=FALSE),NA(),('Reaction Information'!$J$66/10+'Reaction Information'!$K$66*100/(Calculations!$C$12+Calculations!$M149)+('Reaction Information'!$L$66+'Reaction Information'!$M$66*10000/(Calculations!$C$12+Calculations!$M149))/(Calculations!$O149-Calculations!$C$13)-calculateOmega(Calculations!M149,Calculations!N149,Calculations!Q149,'Reaction Information'!$C$66,'Reaction Information'!$P$66*10^5,'Reaction Information'!$Q$66)*Calculations!$U149*10^-6 + (1/$S149 - 1)*calculate_domegadP(Calculations!M149,Calculations!N149,Calculations!Q149,'Reaction Information'!$C$66,'Reaction Information'!$P$66*10^5,'Reaction Information'!$Q$66,$D$20,$D$19=3))*41.84)</f>
        <v>#N/A</v>
      </c>
      <c r="CF149" s="31">
        <f>(BS149*Input!$AO$4+BT149*Input!$AR$4+BU149*Input!$AU$4+BV149*Input!$AX$4+IF(ISNA(BW149),0,BW149*Input!$BA$4)+IF(ISNA(BX149),0,BX149*Input!$BD$4)+IF(ISNA(BY149),0,BY149*Input!$BG$4)+IF(ISNA(BZ149),0,BZ149*Input!$BJ$4)+IF(ISNA(CA149),0,CA149*Input!$BM$4)+IF(ISNA(CB149),0,CB149*Input!$BP$4)+IF(ISNA(CC149),0,CC149*Input!$BS$4)+IF(ISNA(CD149),0,CD149*Input!$BV$4)+IF(ISNA(CE149),0,CE149*Input!$BY$4))-(BF149*Input!$B$4+BG149*Input!$E$4+BH149*Input!$H$4+BI149*Input!$K$4+IF(ISNA(BJ149),0,BJ149*Input!$N$4)+IF(ISNA(BK149),0,BK149*Input!$Q$4)+IF(ISNA(BL149),0,BL149*Input!$T$4)+IF(ISNA(BM149),0,BM149*Input!$W$4)+IF(ISNA(BN149),0,BN149*Input!$Z$4)+IF(ISNA(BO149),0,BO149*Input!$AC$4)+IF(ISNA(BP149),0,BP149*Input!$AF$4)+IF(ISNA(BQ149),0,BQ149*Input!$AI$4)+IF(ISNA(BR149),0,BR149*Input!$AL$4))</f>
        <v>-11.878912500109543</v>
      </c>
      <c r="CG149" s="1">
        <f t="shared" si="50"/>
        <v>700</v>
      </c>
      <c r="CH149" s="46">
        <f t="shared" si="51"/>
        <v>50000</v>
      </c>
      <c r="CI149" s="1"/>
    </row>
    <row r="150" spans="1:87" x14ac:dyDescent="0.2">
      <c r="A150" s="1"/>
      <c r="B150" s="1"/>
      <c r="C150" s="1"/>
      <c r="D150" s="1"/>
      <c r="E150" s="1"/>
      <c r="F150" s="2">
        <v>145</v>
      </c>
      <c r="G150" s="1" t="str">
        <f>IF(ISBLANK(Input!CB150), "", Input!CB150*1000)</f>
        <v/>
      </c>
      <c r="H150" s="1" t="str">
        <f>IF(ISBLANK(Input!CC150), "", Input!CC150)</f>
        <v/>
      </c>
      <c r="I150" s="1">
        <f>IF(Input!$CF$5 + Input!$CF$6*(FLOOR((Calculations!$F150-1)/(FLOOR((Input!$CF$12-Input!$CF$10)/Input!$CF$11,1)+1),1)) &gt; Input!$CF$7, "", (Input!$CF$5 + Input!$CF$6*(FLOOR((Calculations!$F150-1)/(FLOOR((Input!$CF$12-Input!$CF$10)/Input!$CF$11,1)+1),1)))*1000)</f>
        <v>50000</v>
      </c>
      <c r="J150" s="1">
        <f>IF(Calculations!I150 = "", "", Input!$CF$10 + Input!$CF$11*(Calculations!$F150-1) - (FLOOR((Input!$CF$12-Input!$CF$10)/Input!$CF$11,1)+1)*Input!$CF$11*FLOOR((Calculations!$F150-1)/(FLOOR((Input!$CF$12-Input!$CF$10)/Input!$CF$11,1)+1),1))</f>
        <v>750</v>
      </c>
      <c r="K150" s="8" t="str">
        <f t="shared" si="52"/>
        <v/>
      </c>
      <c r="L150" s="117" t="str">
        <f>IF(OR(Input!$CJ$5 + Input!$CJ$6*(Calculations!F150-1) &gt; Input!$CJ$7, Input!$CJ$5 + Input!$CJ$6*(Calculations!F150-1) &gt; 350), "", Input!$CJ$5 + Input!$CJ$6*(Calculations!F150-1))</f>
        <v/>
      </c>
      <c r="M150" s="1">
        <f t="shared" si="42"/>
        <v>50000</v>
      </c>
      <c r="N150" s="1">
        <f t="shared" si="43"/>
        <v>750</v>
      </c>
      <c r="O150" s="1">
        <f t="shared" si="38"/>
        <v>1023.15</v>
      </c>
      <c r="P150" s="1" t="e">
        <f>IF(OR($D$20=3,AND($D$21=TRUE,M150&lt;1000)),INDEX('Water Density'!$C$6:$CX$120,MATCH(Calculations!N150,'Water Density'!$B$6:$B$120),MATCH(Calculations!M150/1000,'Water Density'!$C$5:$CX$5)),NA())</f>
        <v>#N/A</v>
      </c>
      <c r="Q150" s="182">
        <f>IF(OR($D$20=3,AND($D$21=TRUE,M150&lt;1000)), IF(P150&lt;&gt;0,P150,NA()), calculateDensity(M150,N150,$D$20,0.01,$D$19 = 3))</f>
        <v>1.3483500353235005</v>
      </c>
      <c r="R150" s="1" t="e">
        <f>IF($D$22=5,INDEX('Dielectric Constant'!$C$6:$CX$120,MATCH(Calculations!N150,'Dielectric Constant'!$B$6:$B$120),MATCH(Calculations!M150/1000,'Dielectric Constant'!$C$5:$CX$5)),NA())</f>
        <v>#N/A</v>
      </c>
      <c r="S150" s="58">
        <f>IF($D$22=5, IF(R150&lt;&gt;0,R150,NA()), IF(AND($D$23,M150&lt;=5000,$D$19 &lt;&gt; 3),calculateEpsilon(Q150,N150,1,FALSE),calculateEpsilon(Q150,N150,$D$22,$D$19 = 3)))</f>
        <v>25.423402100306809</v>
      </c>
      <c r="T150" s="1" t="e">
        <f>IF($D$24=3,INDEX('Water Free Energy'!$C$6:$CX$120,MATCH(Calculations!N150,'Water Free Energy'!$B$6:$B$120),MATCH(Calculations!M150/1000,'Water Free Energy'!$C$5:$CX$5)),NA())</f>
        <v>#N/A</v>
      </c>
      <c r="U150" s="179">
        <f>IF($D$27,calculateQ(M150,N150,Q150,$D$20,$D$22,$D$19=3)*10^6,NA())</f>
        <v>0.15703793293694823</v>
      </c>
      <c r="V150"/>
      <c r="W150" s="2">
        <f t="shared" si="44"/>
        <v>50000</v>
      </c>
      <c r="X150" s="1">
        <f t="shared" si="45"/>
        <v>750</v>
      </c>
      <c r="Y150" s="1">
        <f>Results!F152</f>
        <v>0</v>
      </c>
      <c r="Z150" s="1">
        <f>Results!G152</f>
        <v>0</v>
      </c>
      <c r="AA150" s="1">
        <f>Results!H152</f>
        <v>0</v>
      </c>
      <c r="AB150" s="1">
        <f>Results!I152</f>
        <v>0</v>
      </c>
      <c r="AC150" s="1" t="e">
        <f>IF(ISBLANK(Input!$O$4),NA(),'Reaction Information'!$E$5-'Reaction Information'!$G$5*(Calculations!$O150-Calculations!$C$8)+'Reaction Information'!$I$5*(Calculations!$O150-Calculations!$C$8-Calculations!$O150*LN(Calculations!$O150/Calculations!$C$8))+'Reaction Information'!$J$5*0.001/2*(2*Calculations!$O150*Calculations!$C$8-Calculations!$O150^2-Calculations!$C$8^2) + 'Reaction Information'!$K$5*100000*(Calculations!$O150^2 + Calculations!$C$8^2 - 2*Calculations!$O150*Calculations!$C$8)/(2*Calculations!$O150*Calculations!$C$8^2))</f>
        <v>#N/A</v>
      </c>
      <c r="AD150" s="8" t="e">
        <f>IF(ISBLANK(Input!$R$4),NA(),'Reaction Information'!$E$9-'Reaction Information'!$G$9*(Calculations!$O150-Calculations!$C$8)+'Reaction Information'!$I$9*(Calculations!$O150-Calculations!$C$8-Calculations!$O150*LN(Calculations!$O150/Calculations!$C$8))+'Reaction Information'!$J$9*0.001/2*(2*Calculations!$O150*Calculations!$C$8-Calculations!$O150^2-Calculations!$C$8^2) + 'Reaction Information'!$K$9*100000*(Calculations!$O150^2 + Calculations!$C$8^2 - 2*Calculations!$O150*Calculations!$C$8)/(2*Calculations!$O150*Calculations!$C$8^2))</f>
        <v>#N/A</v>
      </c>
      <c r="AE150" s="8">
        <f>IF(AE$5="H2O",IF($D$24=3,IF(T150=0,NA(),T150),calculateGibbsOfWater(M150,N150,$D$24,$D$20,$D$19=3)),NA())</f>
        <v>-57264.504345557521</v>
      </c>
      <c r="AF150" s="8">
        <f>IF(ISBLANK(Input!$X$4),NA(),'Reaction Information'!$E$13-'Reaction Information'!$G$13*(Calculations!O150-Calculations!$C$8)-'Reaction Information'!$N$13*(Calculations!O150*LN(Calculations!O150/Calculations!$C$8)-Calculations!O150+Calculations!$C$8)-'Reaction Information'!$O$13*10^4*(((1/(Calculations!O150-Calculations!$C$13))-(1/(Calculations!$C$8-Calculations!$C$13)))*((Calculations!$C$13-Calculations!O150)/(Calculations!$C$13))-(Calculations!O150/(Calculations!$C$13*Calculations!$C$13))*LN((Calculations!$C$8*(Calculations!O150-Calculations!$C$13))/(Calculations!O150*(Calculations!$C$8-Calculations!$C$13))))+'Reaction Information'!$J$13*10^-1*(Calculations!M150-Calculations!$C$9)+'Reaction Information'!$K$13*10^2*LN((Calculations!$C$12+Calculations!M150)/(Calculations!$C$12+Calculations!$C$9))+(1/(Calculations!O150-Calculations!$C$13))*('Reaction Information'!$L$13*(Calculations!M150-Calculations!$C$9)+'Reaction Information'!$M$13*10^4*LN((Calculations!$C$12+Calculations!M150)/(Calculations!$C$12+Calculations!$C$9)))+calculateOmega(Calculations!M150,Calculations!N150,Calculations!Q150,'Reaction Information'!$C$13,'Reaction Information'!$P$13*10^5,'Reaction Information'!$Q$13)*((1/Calculations!S150)-1)-'Reaction Information'!$P$13*10^5*((1/Calculations!$C$10)-1)+'Reaction Information'!$P$13*10^5*Calculations!$C$14*(Calculations!O150-Calculations!$C$8))</f>
        <v>-86085.281924716212</v>
      </c>
      <c r="AG150" s="8" t="e">
        <f>IF(ISBLANK(Input!$AA$4),NA(),'Reaction Information'!$E$17-'Reaction Information'!$G$17*(Calculations!$O150-Calculations!$C$8)-'Reaction Information'!$N$17*(Calculations!$O150*LN(Calculations!$O150/Calculations!$C$8)-Calculations!$O150+Calculations!$C$8)-'Reaction Information'!$O$17*10^4*(((1/(Calculations!$O150-Calculations!$C$13))-(1/(Calculations!$C$8-Calculations!$C$13)))*((Calculations!$C$13-Calculations!$O150)/(Calculations!$C$13))-(Calculations!$O150/(Calculations!$C$13*Calculations!$C$13))*LN((Calculations!$C$8*(Calculations!$O150-Calculations!$C$13))/(Calculations!$O150*(Calculations!$C$8-Calculations!$C$13))))+'Reaction Information'!$J$17*10^-1*(Calculations!$M150-Calculations!$C$9)+'Reaction Information'!$K$17*10^2*LN((Calculations!$C$12+Calculations!$M150)/(Calculations!$C$12+Calculations!$C$9))+(1/(Calculations!$O150-Calculations!$C$13))*('Reaction Information'!$L$17*(Calculations!$M150-Calculations!$C$9)+'Reaction Information'!$M$17*10^4*LN((Calculations!$C$12+Calculations!$M150)/(Calculations!$C$12+Calculations!$C$9)))+calculateOmega(Calculations!M150,Calculations!N150,Calculations!Q150,'Reaction Information'!$C$17,'Reaction Information'!$P$17*10^5,'Reaction Information'!$Q$17)*((1/Calculations!$S150)-1)-'Reaction Information'!$P$17*10^5*((1/Calculations!$C$10)-1)+'Reaction Information'!$P$17*10^5*Calculations!$C$14*(Calculations!$O150-Calculations!$C$8))</f>
        <v>#N/A</v>
      </c>
      <c r="AH150" s="8" t="e">
        <f>IF(ISBLANK(Input!$AD$4),NA(),'Reaction Information'!$E$21-'Reaction Information'!$G$21*(Calculations!$O150-Calculations!$C$8)-'Reaction Information'!$N$21*(Calculations!$O150*LN(Calculations!$O150/Calculations!$C$8)-Calculations!$O150+Calculations!$C$8)-'Reaction Information'!$O$21*10^4*(((1/(Calculations!$O150-Calculations!$C$13))-(1/(Calculations!$C$8-Calculations!$C$13)))*((Calculations!$C$13-Calculations!$O150)/(Calculations!$C$13))-(Calculations!$O150/(Calculations!$C$13*Calculations!$C$13))*LN((Calculations!$C$8*(Calculations!$O150-Calculations!$C$13))/(Calculations!$O150*(Calculations!$C$8-Calculations!$C$13))))+'Reaction Information'!$J$21*10^-1*(Calculations!$M150-Calculations!$C$9)+'Reaction Information'!$K$21*10^2*LN((Calculations!$C$12+Calculations!$M150)/(Calculations!$C$12+Calculations!$C$9))+(1/(Calculations!$O150-Calculations!$C$13))*('Reaction Information'!$L$21*(Calculations!$M150-Calculations!$C$9)+'Reaction Information'!$M$21*10^4*LN((Calculations!$C$12+Calculations!$M150)/(Calculations!$C$12+Calculations!$C$9)))+calculateOmega(Calculations!M150,Calculations!N150,Calculations!Q150,'Reaction Information'!$C$21,'Reaction Information'!$P$21*10^5,'Reaction Information'!$Q$21)*((1/Calculations!$S150)-1)-'Reaction Information'!$P$21*10^5*((1/Calculations!$C$10)-1)+'Reaction Information'!$P$21*10^5*Calculations!$C$14*(Calculations!$O150-Calculations!$C$8))</f>
        <v>#N/A</v>
      </c>
      <c r="AI150" s="8" t="e">
        <f>IF(ISBLANK(Input!$AG$4),NA(),'Reaction Information'!$E$25-'Reaction Information'!$G$25*(Calculations!$O150-Calculations!$C$8)-'Reaction Information'!$N$25*(Calculations!$O150*LN(Calculations!$O150/Calculations!$C$8)-Calculations!$O150+Calculations!$C$8)-'Reaction Information'!$O$25*10^4*(((1/(Calculations!$O150-Calculations!$C$13))-(1/(Calculations!$C$8-Calculations!$C$13)))*((Calculations!$C$13-Calculations!$O150)/(Calculations!$C$13))-(Calculations!$O150/(Calculations!$C$13*Calculations!$C$13))*LN((Calculations!$C$8*(Calculations!$O150-Calculations!$C$13))/(Calculations!$O150*(Calculations!$C$8-Calculations!$C$13))))+'Reaction Information'!$J$25*10^-1*(Calculations!$M150-Calculations!$C$9)+'Reaction Information'!$K$25*10^2*LN((Calculations!$C$12+Calculations!$M150)/(Calculations!$C$12+Calculations!$C$9))+(1/(Calculations!$O150-Calculations!$C$13))*('Reaction Information'!$L$25*(Calculations!$M150-Calculations!$C$9)+'Reaction Information'!$M$25*10^4*LN((Calculations!$C$12+Calculations!$M150)/(Calculations!$C$12+Calculations!$C$9)))+calculateOmega(Calculations!M150,Calculations!N150,Calculations!Q150,'Reaction Information'!$C$25,'Reaction Information'!$P$25*10^5,'Reaction Information'!$Q$25)*((1/Calculations!$S150)-1)-'Reaction Information'!$P$25*10^5*((1/Calculations!$C$10)-1)+'Reaction Information'!$P$25*10^5*Calculations!$C$14*(Calculations!$O150-Calculations!$C$8))</f>
        <v>#N/A</v>
      </c>
      <c r="AJ150" s="8" t="e">
        <f>IF(ISBLANK(Input!$AJ$4),NA(),'Reaction Information'!$E$29-'Reaction Information'!$G$29*(Calculations!$O150-Calculations!$C$8)-'Reaction Information'!$N$29*(Calculations!$O150*LN(Calculations!$O150/Calculations!$C$8)-Calculations!$O150+Calculations!$C$8)-'Reaction Information'!$O$29*10^4*(((1/(Calculations!$O150-Calculations!$C$13))-(1/(Calculations!$C$8-Calculations!$C$13)))*((Calculations!$C$13-Calculations!$O150)/(Calculations!$C$13))-(Calculations!$O150/(Calculations!$C$13*Calculations!$C$13))*LN((Calculations!$C$8*(Calculations!$O150-Calculations!$C$13))/(Calculations!$O150*(Calculations!$C$8-Calculations!$C$13))))+'Reaction Information'!$J$29*10^-1*(Calculations!$M150-Calculations!$C$9)+'Reaction Information'!$K$29*10^2*LN((Calculations!$C$12+Calculations!$M150)/(Calculations!$C$12+Calculations!$C$9))+(1/(Calculations!$O150-Calculations!$C$13))*('Reaction Information'!$L$29*(Calculations!$M150-Calculations!$C$9)+'Reaction Information'!$M$29*10^4*LN((Calculations!$C$12+Calculations!$M150)/(Calculations!$C$12+Calculations!$C$9)))+calculateOmega(Calculations!M150,Calculations!N150,Calculations!Q150,'Reaction Information'!$C$29,'Reaction Information'!$P$29*10^5,'Reaction Information'!$Q$29)*((1/Calculations!$S150)-1)-'Reaction Information'!$P$29*10^5*((1/Calculations!$C$10)-1)+'Reaction Information'!$P$29*10^5*Calculations!$C$14*(Calculations!$O150-Calculations!$C$8))</f>
        <v>#N/A</v>
      </c>
      <c r="AK150" s="8" t="e">
        <f>IF(ISBLANK(Input!$AM$4),NA(),'Reaction Information'!$E$33-'Reaction Information'!$G$33*(Calculations!$O150-Calculations!$C$8)-'Reaction Information'!$N$33*(Calculations!$O150*LN(Calculations!$O150/Calculations!$C$8)-Calculations!$O150+Calculations!$C$8)-'Reaction Information'!$O$33*10^4*(((1/(Calculations!$O150-Calculations!$C$13))-(1/(Calculations!$C$8-Calculations!$C$13)))*((Calculations!$C$13-Calculations!$O150)/(Calculations!$C$13))-(Calculations!$O150/(Calculations!$C$13*Calculations!$C$13))*LN((Calculations!$C$8*(Calculations!$O150-Calculations!$C$13))/(Calculations!$O150*(Calculations!$C$8-Calculations!$C$13))))+'Reaction Information'!$J$33*10^-1*(Calculations!$M150-Calculations!$C$9)+'Reaction Information'!$K$33*10^2*LN((Calculations!$C$12+Calculations!$M150)/(Calculations!$C$12+Calculations!$C$9))+(1/(Calculations!$O150-Calculations!$C$13))*('Reaction Information'!$L$33*(Calculations!$M150-Calculations!$C$9)+'Reaction Information'!$M$33*10^4*LN((Calculations!$C$12+Calculations!$M150)/(Calculations!$C$12+Calculations!$C$9)))+calculateOmega(Calculations!M150,Calculations!N150,Calculations!Q150,'Reaction Information'!$C$33,'Reaction Information'!$P$33*10^5,'Reaction Information'!$Q$33)*((1/Calculations!$S150)-1)-'Reaction Information'!$P$33*10^5*((1/Calculations!$C$10)-1)+'Reaction Information'!$P$33*10^5*Calculations!$C$14*(Calculations!$O150-Calculations!$C$8))</f>
        <v>#N/A</v>
      </c>
      <c r="AL150" s="1">
        <f>Results!S152</f>
        <v>0</v>
      </c>
      <c r="AM150" s="1">
        <f>Results!T152</f>
        <v>0</v>
      </c>
      <c r="AN150" s="1">
        <f>Results!U152</f>
        <v>0</v>
      </c>
      <c r="AO150" s="1">
        <f>Results!V152</f>
        <v>0</v>
      </c>
      <c r="AP150" s="8" t="e">
        <f>IF(ISBLANK(Input!$BB$4),NA(),'Reaction Information'!$E$38-'Reaction Information'!$G$38*(Calculations!$O150-Calculations!$C$8)+'Reaction Information'!$I$38*(Calculations!$O150-Calculations!$C$8-Calculations!$O150*LN(Calculations!$O150/Calculations!$C$8))+'Reaction Information'!$J$38*0.001/2*(2*Calculations!$O150*Calculations!$C$8-Calculations!$O150^2-Calculations!$C$8^2) + 'Reaction Information'!$K$38*100000*(Calculations!$O150^2 + Calculations!$C$8^2 - 2*Calculations!$O150*Calculations!$C$8)/(2*Calculations!$O150*Calculations!$C$8^2))</f>
        <v>#N/A</v>
      </c>
      <c r="AQ150" s="8" t="e">
        <f>IF(ISBLANK(Input!$BE$4),NA(),'Reaction Information'!$E$42-'Reaction Information'!$G$42*(Calculations!$O150-Calculations!$C$8)+'Reaction Information'!$I$42*(Calculations!$O150-Calculations!$C$8-Calculations!$O150*LN(Calculations!$O150/Calculations!$C$8))+'Reaction Information'!$J$42*0.001/2*(2*Calculations!$O150*Calculations!$C$8-Calculations!$O150^2-Calculations!$C$8^2) + 'Reaction Information'!$K$42*100000*(Calculations!$O150^2 + Calculations!$C$8^2 - 2*Calculations!$O150*Calculations!$C$8)/(2*Calculations!$O150*Calculations!$C$8^2))</f>
        <v>#N/A</v>
      </c>
      <c r="AR150" s="8" t="e">
        <f>IF(AR$5="H2O", IF($D$24=3,IF(T150=0,NA(),T150),calculateGibbsOfWater(M150,N150,$D$24,$D$20,$D$19=3)),NA())</f>
        <v>#N/A</v>
      </c>
      <c r="AS150" s="8">
        <f>IF(ISBLANK(Input!$BK$4),NA(),'Reaction Information'!$E$46-'Reaction Information'!$G$46*(Calculations!O150-Calculations!$C$8)-'Reaction Information'!$N$46*(Calculations!O150*LN(Calculations!O150/Calculations!$C$8)-Calculations!O150+Calculations!$C$8)-'Reaction Information'!$O$46*10^4*(((1/(Calculations!O150-Calculations!$C$13))-(1/(Calculations!$C$8-Calculations!$C$13)))*((Calculations!$C$13-Calculations!O150)/(Calculations!$C$13))-(Calculations!O150/(Calculations!$C$13*Calculations!$C$13))*LN((Calculations!$C$8*(Calculations!O150-Calculations!$C$13))/(Calculations!O150*(Calculations!$C$8-Calculations!$C$13))))+'Reaction Information'!$J$46*10^-1*(Calculations!$M150-Calculations!$C$9)+'Reaction Information'!$K$46*10^2*LN((Calculations!$C$12+Calculations!$M150)/(Calculations!$C$12+Calculations!$C$9))+(1/(Calculations!O150-Calculations!$C$13))*('Reaction Information'!$L$46*(Calculations!$M150-Calculations!$C$9)+'Reaction Information'!$M$46*10^4*LN((Calculations!$C$12+Calculations!$M150)/(Calculations!$C$12+Calculations!$C$9)))+calculateOmega(Calculations!M150,Calculations!N150,Calculations!Q150,'Reaction Information'!$C$46,'Reaction Information'!$P$46*10^5,'Reaction Information'!$Q$46)*((1/Calculations!S150)-1)-'Reaction Information'!$P$46*10^5*((1/Calculations!$C$10)-1)+'Reaction Information'!$P$46*10^5*Calculations!$C$14*(Calculations!O150-Calculations!$C$8))</f>
        <v>0</v>
      </c>
      <c r="AT150" s="8">
        <f>IF(ISBLANK(Input!$BN$4),NA(),'Reaction Information'!$E$50-'Reaction Information'!$G$50*(Calculations!O150-Calculations!$C$8)-'Reaction Information'!$N$50*(Calculations!O150*LN(Calculations!O150/Calculations!$C$8)-Calculations!O150+Calculations!$C$8)-'Reaction Information'!$O$50*10^4*(((1/(Calculations!O150-Calculations!$C$13))-(1/(Calculations!$C$8-Calculations!$C$13)))*((Calculations!$C$13-Calculations!O150)/(Calculations!$C$13))-(Calculations!O150/(Calculations!$C$13*Calculations!$C$13))*LN((Calculations!$C$8*(Calculations!O150-Calculations!$C$13))/(Calculations!O150*(Calculations!$C$8-Calculations!$C$13))))+'Reaction Information'!$J$50*10^-1*(Calculations!$M150-Calculations!$C$9)+'Reaction Information'!$K$50*10^2*LN((Calculations!$C$12+Calculations!$M150)/(Calculations!$C$12+Calculations!$C$9))+(1/(Calculations!O150-Calculations!$C$13))*('Reaction Information'!$L$50*(Calculations!$M150-Calculations!$C$9)+'Reaction Information'!$M$50*10^4*LN((Calculations!$C$12+Calculations!$M150)/(Calculations!$C$12+Calculations!$C$9)))+calculateOmega(Calculations!M150,Calculations!N150,Calculations!Q150,'Reaction Information'!$C$50,'Reaction Information'!$P$50*10^5,'Reaction Information'!$Q$50)*((1/Calculations!S150)-1)-'Reaction Information'!$P$50*10^5*((1/Calculations!$C$10)-1)+'Reaction Information'!$P$50*10^5*Calculations!$C$14*(Calculations!O150-Calculations!$C$8))</f>
        <v>-125925.19258452399</v>
      </c>
      <c r="AU150" s="8" t="e">
        <f>IF(ISBLANK(Input!$BQ$4),NA(),'Reaction Information'!$E$54-'Reaction Information'!$G$54*(Calculations!$O150-Calculations!$C$8)-'Reaction Information'!$N$54*(Calculations!$O150*LN(Calculations!$O150/Calculations!$C$8)-Calculations!$O150+Calculations!$C$8)-'Reaction Information'!$O$54*10^4*(((1/(Calculations!$O150-Calculations!$C$13))-(1/(Calculations!$C$8-Calculations!$C$13)))*((Calculations!$C$13-Calculations!$O150)/(Calculations!$C$13))-(Calculations!$O150/(Calculations!$C$13*Calculations!$C$13))*LN((Calculations!$C$8*(Calculations!$O150-Calculations!$C$13))/(Calculations!$O150*(Calculations!$C$8-Calculations!$C$13))))+'Reaction Information'!$J$54*10^-1*(Calculations!$M150-Calculations!$C$9)+'Reaction Information'!$K$54*10^2*LN((Calculations!$C$12+Calculations!$M150)/(Calculations!$C$12+Calculations!$C$9))+(1/(Calculations!$O150-Calculations!$C$13))*('Reaction Information'!$L$54*(Calculations!$M150-Calculations!$C$9)+'Reaction Information'!$M$54*10^4*LN((Calculations!$C$12+Calculations!$M150)/(Calculations!$C$12+Calculations!$C$9)))+calculateOmega(Calculations!M150,Calculations!N150,Calculations!Q150,'Reaction Information'!$C$54,'Reaction Information'!$P$54*10^5,'Reaction Information'!$Q$54)*((1/Calculations!$S150)-1)-'Reaction Information'!$P$54*10^5*((1/Calculations!$C$10)-1)+'Reaction Information'!$P$54*10^5*Calculations!$C$14*(Calculations!$O150-Calculations!$C$8))</f>
        <v>#N/A</v>
      </c>
      <c r="AV150" s="8" t="e">
        <f>IF(ISBLANK(Input!$BT$4),NA(),'Reaction Information'!$E$58-'Reaction Information'!$G$58*(Calculations!$O150-Calculations!$C$8)-'Reaction Information'!$N$58*(Calculations!$O150*LN(Calculations!$O150/Calculations!$C$8)-Calculations!$O150+Calculations!$C$8)-'Reaction Information'!$O$58*10^4*(((1/(Calculations!$O150-Calculations!$C$13))-(1/(Calculations!$C$8-Calculations!$C$13)))*((Calculations!$C$13-Calculations!$O150)/(Calculations!$C$13))-(Calculations!$O150/(Calculations!$C$13*Calculations!$C$13))*LN((Calculations!$C$8*(Calculations!$O150-Calculations!$C$13))/(Calculations!$O150*(Calculations!$C$8-Calculations!$C$13))))+'Reaction Information'!$J$58*10^-1*(Calculations!$M150-Calculations!$C$9)+'Reaction Information'!$K$58*10^2*LN((Calculations!$C$12+Calculations!$M150)/(Calculations!$C$12+Calculations!$C$9))+(1/(Calculations!$O150-Calculations!$C$13))*('Reaction Information'!$L$58*(Calculations!$M150-Calculations!$C$9)+'Reaction Information'!$M$58*10^4*LN((Calculations!$C$12+Calculations!$M150)/(Calculations!$C$12+Calculations!$C$9)))+calculateOmega(Calculations!M150,Calculations!N150,Calculations!Q150,'Reaction Information'!$C$58,'Reaction Information'!$P$58*10^5,'Reaction Information'!$Q$58)*((1/Calculations!$S150)-1)-'Reaction Information'!$P$58*10^5*((1/Calculations!$C$10)-1)+'Reaction Information'!$P$58*10^5*Calculations!$C$14*(Calculations!$O150-Calculations!$C$8))</f>
        <v>#N/A</v>
      </c>
      <c r="AW150" s="8" t="e">
        <f>IF(ISBLANK(Input!$BW$4),NA(),'Reaction Information'!$E$62-'Reaction Information'!$G$62*(Calculations!$O150-Calculations!$C$8)-'Reaction Information'!$N$62*(Calculations!$O150*LN(Calculations!$O150/Calculations!$C$8)-Calculations!$O150+Calculations!$C$8)-'Reaction Information'!$O$62*10^4*(((1/(Calculations!$O150-Calculations!$C$13))-(1/(Calculations!$C$8-Calculations!$C$13)))*((Calculations!$C$13-Calculations!$O150)/(Calculations!$C$13))-(Calculations!$O150/(Calculations!$C$13*Calculations!$C$13))*LN((Calculations!$C$8*(Calculations!$O150-Calculations!$C$13))/(Calculations!$O150*(Calculations!$C$8-Calculations!$C$13))))+'Reaction Information'!$J$62*10^-1*(Calculations!$M150-Calculations!$C$9)+'Reaction Information'!$K$62*10^2*LN((Calculations!$C$12+Calculations!$M150)/(Calculations!$C$12+Calculations!$C$9))+(1/(Calculations!$O150-Calculations!$C$13))*('Reaction Information'!$L$62*(Calculations!$M150-Calculations!$C$9)+'Reaction Information'!$M$62*10^4*LN((Calculations!$C$12+Calculations!$M150)/(Calculations!$C$12+Calculations!$C$9)))+calculateOmega(Calculations!M150,Calculations!N150,Calculations!Q150,'Reaction Information'!$C$62,'Reaction Information'!$P$62*10^5,'Reaction Information'!$Q$62)*((1/Calculations!$S150)-1)-'Reaction Information'!$P$62*10^5*((1/Calculations!$C$10)-1)+'Reaction Information'!$P$62*10^5*Calculations!$C$14*(Calculations!$O150-Calculations!$C$8))</f>
        <v>#N/A</v>
      </c>
      <c r="AX150" s="8" t="e">
        <f>IF(ISBLANK(Input!$BZ$4),NA(),'Reaction Information'!$E$66-'Reaction Information'!$G$66*(Calculations!$O150-Calculations!$C$8)-'Reaction Information'!$N$66*(Calculations!$O150*LN(Calculations!$O150/Calculations!$C$8)-Calculations!$O150+Calculations!$C$8)-'Reaction Information'!$O$66*10^4*(((1/(Calculations!$O150-Calculations!$C$13))-(1/(Calculations!$C$8-Calculations!$C$13)))*((Calculations!$C$13-Calculations!$O150)/(Calculations!$C$13))-(Calculations!$O150/(Calculations!$C$13*Calculations!$C$13))*LN((Calculations!$C$8*(Calculations!$O150-Calculations!$C$13))/(Calculations!$O150*(Calculations!$C$8-Calculations!$C$13))))+'Reaction Information'!$J$66*10^-1*(Calculations!$M150-Calculations!$C$9)+'Reaction Information'!$K$66*10^2*LN((Calculations!$C$12+Calculations!$M150)/(Calculations!$C$12+Calculations!$C$9))+(1/(Calculations!$O150-Calculations!$C$13))*('Reaction Information'!$L$66*(Calculations!$M150-Calculations!$C$9)+'Reaction Information'!$M$66*10^4*LN((Calculations!$C$12+Calculations!$M150)/(Calculations!$C$12+Calculations!$C$9)))+calculateOmega(Calculations!M150,Calculations!N150,Calculations!Q150,'Reaction Information'!$C$66,'Reaction Information'!$P$66*10^5,'Reaction Information'!$Q$66)*((1/Calculations!$S150)-1)-'Reaction Information'!$P$66*10^5*((1/Calculations!$C$10)-1)+'Reaction Information'!$P$66*10^5*Calculations!$C$14*(Calculations!$O150-Calculations!$C$8))</f>
        <v>#N/A</v>
      </c>
      <c r="AY150" s="31">
        <f>(AL150*Input!$AO$4+AM150*Input!$AR$4+AN150*Input!$AU$4+AO150*Input!$AX$4+IF(ISNA(AP150),0,AP150*Input!$BA$4)+IF(ISNA(AQ150),0,AQ150*Input!$BD$4)+IF(ISNA(AR150),0,AR150*Input!$BG$4)+IF(ISNA(AS150),0,AS150*Input!$BJ$4)+IF(ISNA(AT150),0,AT150*Input!$BM$4)+IF(ISNA(AU150),0,AU150*Input!$BP$4)+IF(ISNA(AV150),0,AV150*Input!$BS$4)+IF(ISNA(AW150),0,AW150*Input!$BV$4)+IF(ISNA(AX150),0,AX150*Input!$BY$4))-(Y150*Input!$B$4+Z150*Input!$E$4+AA150*Input!$H$4+AB150*Input!$K$4+IF(ISNA(AC150),0,AC150*Input!$N$4)+IF(ISNA(AD150),0,AD150*Input!$Q$4)+IF(ISNA(AE150),0,AE150*Input!$T$4)+IF(ISNA(AF150),0,AF150*Input!$W$4)+IF(ISNA(AG150),0,AG150*Input!$Z$4)+IF(ISNA(AH150),0,AH150*Input!$AC$4)+IF(ISNA(AI150),0,AI150*Input!$AF$4)+IF(ISNA(AJ150),0,AJ150*Input!$AI$4)+IF(ISNA(AK150),0,AK150*Input!$AL$4))</f>
        <v>17424.593685749744</v>
      </c>
      <c r="AZ150" s="42">
        <f t="shared" si="39"/>
        <v>-3.7243906251587391</v>
      </c>
      <c r="BA150" s="1">
        <f t="shared" si="46"/>
        <v>750</v>
      </c>
      <c r="BB150" s="46">
        <f t="shared" si="47"/>
        <v>50000</v>
      </c>
      <c r="BC150" s="1"/>
      <c r="BD150" s="2">
        <f t="shared" si="48"/>
        <v>50000</v>
      </c>
      <c r="BE150" s="46">
        <f t="shared" si="49"/>
        <v>750</v>
      </c>
      <c r="BF150" s="1">
        <f>Results!AJ152</f>
        <v>0</v>
      </c>
      <c r="BG150" s="1">
        <f>Results!AK152</f>
        <v>0</v>
      </c>
      <c r="BH150" s="1">
        <f>Results!AL152</f>
        <v>0</v>
      </c>
      <c r="BI150" s="1">
        <f>Results!AM152</f>
        <v>0</v>
      </c>
      <c r="BJ150" s="1" t="e">
        <f>IF(OR(ISNA('Reaction Information'!$D$5), $N150 = "", $D$27 = FALSE, 'Reaction Information'!$D$5 = ""), NA(), 24.465)</f>
        <v>#N/A</v>
      </c>
      <c r="BK150" s="1" t="e">
        <f>IF(OR(ISNA('Reaction Information'!$D$9), $N150 = "", $D$27 = FALSE, 'Reaction Information'!$D$9 = ""), NA(), 24.465)</f>
        <v>#N/A</v>
      </c>
      <c r="BL150" s="8">
        <f t="shared" si="40"/>
        <v>13.360981590865398</v>
      </c>
      <c r="BM150" s="8">
        <f>IF(OR(ISBLANK(Input!$X$4),$D$27=FALSE),NA(),('Reaction Information'!$J$13/10+'Reaction Information'!$K$13*100/(Calculations!$C$12+Calculations!$M150)+('Reaction Information'!$L$13+'Reaction Information'!$M$13*10^4/(Calculations!$C$12+Calculations!$M150))/(Calculations!$O150-Calculations!$C$13) -calculateOmega(Calculations!$M150,Calculations!$N150,Calculations!$Q150,'Reaction Information'!$C$13,'Reaction Information'!$P$13*10^5,'Reaction Information'!$Q$13)*Calculations!$U150*10^-6 + (1/$S150 - 1)*calculate_domegadP(Calculations!$M150,Calculations!$N150,Calculations!$Q150,'Reaction Information'!$C$13,'Reaction Information'!$P$13*10^5,'Reaction Information'!$Q$13,$D$20,$D$19=3))*41.84)</f>
        <v>29.967649064839623</v>
      </c>
      <c r="BN150" s="8" t="e">
        <f>IF(OR(ISBLANK(Input!$AA$4),$D$27=FALSE),NA(),('Reaction Information'!$J$17/10+'Reaction Information'!$K$17*100/(Calculations!$C$12+Calculations!$M150)+('Reaction Information'!$L$17+'Reaction Information'!$M$17*10000/(Calculations!$C$12+Calculations!$M150))/(Calculations!$O150-Calculations!$C$13)-calculateOmega(Calculations!M150,Calculations!N150,Calculations!Q150,'Reaction Information'!$C$17,'Reaction Information'!$P$17*10^5,'Reaction Information'!$Q$17)*Calculations!$U150*10^-6 + (1/$S150 - 1)*calculate_domegadP(Calculations!M150,Calculations!N150,Calculations!Q150,'Reaction Information'!$C$17,'Reaction Information'!$P$17*10^5,'Reaction Information'!$Q$17,$D$20,$D$19=3))*41.84)</f>
        <v>#N/A</v>
      </c>
      <c r="BO150" s="8" t="e">
        <f>IF(OR(ISBLANK(Input!$AD$4),$D$27=FALSE),NA(),('Reaction Information'!$J$21/10+'Reaction Information'!$K$21*100/(Calculations!$C$12+Calculations!$M150)+('Reaction Information'!$L$21+'Reaction Information'!$M$21*10000/(Calculations!$C$12+Calculations!$M150))/(Calculations!$O150-Calculations!$C$13)-calculateOmega(Calculations!M150,Calculations!N150,Calculations!Q150,'Reaction Information'!$C$21,'Reaction Information'!$P$21*10^5,'Reaction Information'!$Q$21)*Calculations!$U150*10^-6 + (1/$S150 - 1)*calculate_domegadP(Calculations!M150,Calculations!N150,Calculations!Q150,'Reaction Information'!$C$21,'Reaction Information'!$P$21*10^5,'Reaction Information'!$Q$21,$D$20,$D$19=3))*41.84)</f>
        <v>#N/A</v>
      </c>
      <c r="BP150" s="8" t="e">
        <f>IF(OR(ISBLANK(Input!$AG$4),$D$27=FALSE),NA(),('Reaction Information'!$J$25/10+'Reaction Information'!$K$25*100/(Calculations!$C$12+Calculations!$M150)+('Reaction Information'!$L$25+'Reaction Information'!$M$25*10000/(Calculations!$C$12+Calculations!$M150))/(Calculations!$O150-Calculations!$C$13)-calculateOmega(Calculations!M150,Calculations!N150,Calculations!Q150,'Reaction Information'!$C$25,'Reaction Information'!$P$25*10^5,'Reaction Information'!$Q$25)*Calculations!$U150*10^-6 + (1/$S150 - 1)*calculate_domegadP(Calculations!M150,Calculations!N150,Calculations!Q150,'Reaction Information'!$C$25,'Reaction Information'!$P$25*10^5,'Reaction Information'!$Q$25,$D$20,$D$19=3))*41.84)</f>
        <v>#N/A</v>
      </c>
      <c r="BQ150" s="8" t="e">
        <f>IF(OR(ISBLANK(Input!$AJ$4),$D$27=FALSE),NA(),('Reaction Information'!$J$29/10+'Reaction Information'!$K$29*100/(Calculations!$C$12+Calculations!$M150)+('Reaction Information'!$L$29+'Reaction Information'!$M$29*10000/(Calculations!$C$12+Calculations!$M150))/(Calculations!$O150-Calculations!$C$13)-calculateOmega(Calculations!M150,Calculations!N150,Calculations!Q150,'Reaction Information'!$C$29,'Reaction Information'!$P$29*10^5,'Reaction Information'!$Q$29)*Calculations!$U150*10^-6 + (1/$S150 - 1)*calculate_domegadP(Calculations!M150,Calculations!N150,Calculations!Q150,'Reaction Information'!$C$29,'Reaction Information'!$P$29*10^5,'Reaction Information'!$Q$29,$D$20,$D$19=3))*41.84)</f>
        <v>#N/A</v>
      </c>
      <c r="BR150" s="8" t="e">
        <f>IF(OR(ISBLANK(Input!$AM$4),$D$27=FALSE),NA(),('Reaction Information'!$J$33/10+'Reaction Information'!$K$33*100/(Calculations!$C$12+Calculations!$M150)+('Reaction Information'!$L$33+'Reaction Information'!$M$33*10000/(Calculations!$C$12+Calculations!$M150))/(Calculations!$O150-Calculations!$C$13)-calculateOmega(Calculations!M150,Calculations!N150,Calculations!Q150,'Reaction Information'!$C$33,'Reaction Information'!$P$33*10^5,'Reaction Information'!$Q$33)*Calculations!$U150*10^-6 + (1/$S150 - 1)*calculate_domegadP(Calculations!M150,Calculations!N150,Calculations!Q150,'Reaction Information'!$C$33,'Reaction Information'!$P$33*10^5,'Reaction Information'!$Q$33,$D$20,$D$19=3))*41.84)</f>
        <v>#N/A</v>
      </c>
      <c r="BS150" s="1">
        <f>Results!AW152</f>
        <v>0</v>
      </c>
      <c r="BT150" s="1">
        <f>Results!AX152</f>
        <v>0</v>
      </c>
      <c r="BU150" s="1">
        <f>Results!AY152</f>
        <v>0</v>
      </c>
      <c r="BV150" s="1">
        <f>Results!AZ152</f>
        <v>0</v>
      </c>
      <c r="BW150" s="1" t="e">
        <f>IF(OR(ISNA('Reaction Information'!$D$38), $N150 = "", $D$27 = FALSE, 'Reaction Information'!$D$38 = ""), NA(), 24.465)</f>
        <v>#N/A</v>
      </c>
      <c r="BX150" s="1" t="e">
        <f>IF(OR(ISNA('Reaction Information'!$D$42), $N150 = "", $D$27 = FALSE, 'Reaction Information'!$D$42 = ""), NA(), 24.465)</f>
        <v>#N/A</v>
      </c>
      <c r="BY150" s="8" t="e">
        <f t="shared" si="41"/>
        <v>#N/A</v>
      </c>
      <c r="BZ150" s="8">
        <f>IF(OR(ISBLANK(Input!$BK$4),$D$27=FALSE),NA(),('Reaction Information'!$J$46/10+'Reaction Information'!$K$46*100/(Calculations!$C$12+Calculations!$M150)+('Reaction Information'!$L$46+'Reaction Information'!$M$46*10000/(Calculations!$C$12+Calculations!$M150))/(Calculations!$O150-Calculations!$C$13)-calculateOmega(Calculations!M150,Calculations!N150,Calculations!Q150,'Reaction Information'!$C$46,'Reaction Information'!$P$46*10^5,'Reaction Information'!$Q$46)*Calculations!$U150*10^-6 + (1/$S150 - 1)*calculate_domegadP(Calculations!M150,Calculations!N150,Calculations!Q150,'Reaction Information'!$C$46,'Reaction Information'!$P$46*10^5,'Reaction Information'!$Q$46,$D$20,$D$19=3))*41.84)</f>
        <v>0</v>
      </c>
      <c r="CA150" s="8">
        <f>IF(OR(ISBLANK(Input!$BN$4),$D$27=FALSE),NA(),('Reaction Information'!$J$50/10+'Reaction Information'!$K$50*100/(Calculations!$C$12+Calculations!$M150)+('Reaction Information'!$L$50+'Reaction Information'!$M$50*10000/(Calculations!$C$12+Calculations!$M150))/(Calculations!$O150-Calculations!$C$13)-calculateOmega(Calculations!M150,Calculations!N150,Calculations!Q150,'Reaction Information'!$C$50,'Reaction Information'!$P$50*10^5,'Reaction Information'!$Q$50)*Calculations!$U150*10^-6 + (1/$S150 - 1)*calculate_domegadP(Calculations!M150,Calculations!N150,Calculations!Q150,'Reaction Information'!$C$50,'Reaction Information'!$P$50*10^5,'Reaction Information'!$Q$50,$D$20,$D$19=3))*41.84)</f>
        <v>31.247523864361767</v>
      </c>
      <c r="CB150" s="8" t="e">
        <f>IF(OR(ISBLANK(Input!$BQ$4),$D$27=FALSE),NA(),('Reaction Information'!$J$54/10+'Reaction Information'!$K$54*100/(Calculations!$C$12+Calculations!$M150)+('Reaction Information'!$L$54+'Reaction Information'!$M$54*10000/(Calculations!$C$12+Calculations!$M150))/(Calculations!$O150-Calculations!$C$13)-calculateOmega(Calculations!M150,Calculations!N150,Calculations!Q150,'Reaction Information'!$C$54,'Reaction Information'!$P$54*10^5,'Reaction Information'!$Q$54)*Calculations!$U150*10^-6 + (1/$S150 - 1)*calculate_domegadP(Calculations!M150,Calculations!N150,Calculations!Q150,'Reaction Information'!$C$54,'Reaction Information'!$P$54*10^5,'Reaction Information'!$Q$54,$D$20,$D$19=3))*41.84)</f>
        <v>#N/A</v>
      </c>
      <c r="CC150" s="8" t="e">
        <f>IF(OR(ISBLANK(Input!$BT$4),$D$27=FALSE),NA(),('Reaction Information'!$J$58/10+'Reaction Information'!$K$58*100/(Calculations!$C$12+Calculations!$M150)+('Reaction Information'!$L$58+'Reaction Information'!$M$58*10000/(Calculations!$C$12+Calculations!$M150))/(Calculations!$O150-Calculations!$C$13)-calculateOmega(Calculations!M150,Calculations!N150,Calculations!Q150,'Reaction Information'!$C$58,'Reaction Information'!$P$58*10^5,'Reaction Information'!$Q$58)*Calculations!$U150*10^-6 + (1/$S150 - 1)*calculate_domegadP(Calculations!M150,Calculations!N150,Calculations!Q150,'Reaction Information'!$C$58,'Reaction Information'!$P$58*10^5,'Reaction Information'!$Q$58,$D$20,$D$19=3))*41.84)</f>
        <v>#N/A</v>
      </c>
      <c r="CD150" s="8" t="e">
        <f>IF(OR(ISBLANK(Input!$BW$4),$D$27=FALSE),NA(),('Reaction Information'!$J$62/10+'Reaction Information'!$K$62*100/(Calculations!$C$12+Calculations!$M150)+('Reaction Information'!$L$62+'Reaction Information'!$M$62*10000/(Calculations!$C$12+Calculations!$M150))/(Calculations!$O150-Calculations!$C$13)-calculateOmega(Calculations!M150,Calculations!N150,Calculations!Q150,'Reaction Information'!$C$62,'Reaction Information'!$P$62*10^5,'Reaction Information'!$Q$62)*Calculations!$U150*10^-6 + (1/$S150 - 1)*calculate_domegadP(Calculations!M150,Calculations!N150,Calculations!Q150,'Reaction Information'!$C$62,'Reaction Information'!$P$62*10^5,'Reaction Information'!$Q$62,$D$20,$D$19=3))*41.84)</f>
        <v>#N/A</v>
      </c>
      <c r="CE150" s="8" t="e">
        <f>IF(OR(ISBLANK(Input!$BZ$4),$D$27=FALSE),NA(),('Reaction Information'!$J$66/10+'Reaction Information'!$K$66*100/(Calculations!$C$12+Calculations!$M150)+('Reaction Information'!$L$66+'Reaction Information'!$M$66*10000/(Calculations!$C$12+Calculations!$M150))/(Calculations!$O150-Calculations!$C$13)-calculateOmega(Calculations!M150,Calculations!N150,Calculations!Q150,'Reaction Information'!$C$66,'Reaction Information'!$P$66*10^5,'Reaction Information'!$Q$66)*Calculations!$U150*10^-6 + (1/$S150 - 1)*calculate_domegadP(Calculations!M150,Calculations!N150,Calculations!Q150,'Reaction Information'!$C$66,'Reaction Information'!$P$66*10^5,'Reaction Information'!$Q$66,$D$20,$D$19=3))*41.84)</f>
        <v>#N/A</v>
      </c>
      <c r="CF150" s="31">
        <f>(BS150*Input!$AO$4+BT150*Input!$AR$4+BU150*Input!$AU$4+BV150*Input!$AX$4+IF(ISNA(BW150),0,BW150*Input!$BA$4)+IF(ISNA(BX150),0,BX150*Input!$BD$4)+IF(ISNA(BY150),0,BY150*Input!$BG$4)+IF(ISNA(BZ150),0,BZ150*Input!$BJ$4)+IF(ISNA(CA150),0,CA150*Input!$BM$4)+IF(ISNA(CB150),0,CB150*Input!$BP$4)+IF(ISNA(CC150),0,CC150*Input!$BS$4)+IF(ISNA(CD150),0,CD150*Input!$BV$4)+IF(ISNA(CE150),0,CE150*Input!$BY$4))-(BF150*Input!$B$4+BG150*Input!$E$4+BH150*Input!$H$4+BI150*Input!$K$4+IF(ISNA(BJ150),0,BJ150*Input!$N$4)+IF(ISNA(BK150),0,BK150*Input!$Q$4)+IF(ISNA(BL150),0,BL150*Input!$T$4)+IF(ISNA(BM150),0,BM150*Input!$W$4)+IF(ISNA(BN150),0,BN150*Input!$Z$4)+IF(ISNA(BO150),0,BO150*Input!$AC$4)+IF(ISNA(BP150),0,BP150*Input!$AF$4)+IF(ISNA(BQ150),0,BQ150*Input!$AI$4)+IF(ISNA(BR150),0,BR150*Input!$AL$4))</f>
        <v>-12.081106791343252</v>
      </c>
      <c r="CG150" s="1">
        <f t="shared" si="50"/>
        <v>750</v>
      </c>
      <c r="CH150" s="46">
        <f t="shared" si="51"/>
        <v>50000</v>
      </c>
      <c r="CI150" s="1"/>
    </row>
    <row r="151" spans="1:87" x14ac:dyDescent="0.2">
      <c r="A151" s="1"/>
      <c r="B151" s="1"/>
      <c r="C151" s="1"/>
      <c r="D151" s="1"/>
      <c r="E151" s="1"/>
      <c r="F151" s="2">
        <v>146</v>
      </c>
      <c r="G151" s="1" t="str">
        <f>IF(ISBLANK(Input!CB151), "", Input!CB151*1000)</f>
        <v/>
      </c>
      <c r="H151" s="1" t="str">
        <f>IF(ISBLANK(Input!CC151), "", Input!CC151)</f>
        <v/>
      </c>
      <c r="I151" s="1">
        <f>IF(Input!$CF$5 + Input!$CF$6*(FLOOR((Calculations!$F151-1)/(FLOOR((Input!$CF$12-Input!$CF$10)/Input!$CF$11,1)+1),1)) &gt; Input!$CF$7, "", (Input!$CF$5 + Input!$CF$6*(FLOOR((Calculations!$F151-1)/(FLOOR((Input!$CF$12-Input!$CF$10)/Input!$CF$11,1)+1),1)))*1000)</f>
        <v>50000</v>
      </c>
      <c r="J151" s="1">
        <f>IF(Calculations!I151 = "", "", Input!$CF$10 + Input!$CF$11*(Calculations!$F151-1) - (FLOOR((Input!$CF$12-Input!$CF$10)/Input!$CF$11,1)+1)*Input!$CF$11*FLOOR((Calculations!$F151-1)/(FLOOR((Input!$CF$12-Input!$CF$10)/Input!$CF$11,1)+1),1))</f>
        <v>800</v>
      </c>
      <c r="K151" s="8" t="str">
        <f t="shared" si="52"/>
        <v/>
      </c>
      <c r="L151" s="117" t="str">
        <f>IF(OR(Input!$CJ$5 + Input!$CJ$6*(Calculations!F151-1) &gt; Input!$CJ$7, Input!$CJ$5 + Input!$CJ$6*(Calculations!F151-1) &gt; 350), "", Input!$CJ$5 + Input!$CJ$6*(Calculations!F151-1))</f>
        <v/>
      </c>
      <c r="M151" s="1">
        <f t="shared" si="42"/>
        <v>50000</v>
      </c>
      <c r="N151" s="1">
        <f t="shared" si="43"/>
        <v>800</v>
      </c>
      <c r="O151" s="1">
        <f t="shared" si="38"/>
        <v>1073.1500000000001</v>
      </c>
      <c r="P151" s="1" t="e">
        <f>IF(OR($D$20=3,AND($D$21=TRUE,M151&lt;1000)),INDEX('Water Density'!$C$6:$CX$120,MATCH(Calculations!N151,'Water Density'!$B$6:$B$120),MATCH(Calculations!M151/1000,'Water Density'!$C$5:$CX$5)),NA())</f>
        <v>#N/A</v>
      </c>
      <c r="Q151" s="182">
        <f>IF(OR($D$20=3,AND($D$21=TRUE,M151&lt;1000)), IF(P151&lt;&gt;0,P151,NA()), calculateDensity(M151,N151,$D$20,0.01,$D$19 = 3))</f>
        <v>1.3357350607401135</v>
      </c>
      <c r="R151" s="1" t="e">
        <f>IF($D$22=5,INDEX('Dielectric Constant'!$C$6:$CX$120,MATCH(Calculations!N151,'Dielectric Constant'!$B$6:$B$120),MATCH(Calculations!M151/1000,'Dielectric Constant'!$C$5:$CX$5)),NA())</f>
        <v>#N/A</v>
      </c>
      <c r="S151" s="58">
        <f>IF($D$22=5, IF(R151&lt;&gt;0,R151,NA()), IF(AND($D$23,M151&lt;=5000,$D$19 &lt;&gt; 3),calculateEpsilon(Q151,N151,1,FALSE),calculateEpsilon(Q151,N151,$D$22,$D$19 = 3)))</f>
        <v>23.366905517623145</v>
      </c>
      <c r="T151" s="1" t="e">
        <f>IF($D$24=3,INDEX('Water Free Energy'!$C$6:$CX$120,MATCH(Calculations!N151,'Water Free Energy'!$B$6:$B$120),MATCH(Calculations!M151/1000,'Water Free Energy'!$C$5:$CX$5)),NA())</f>
        <v>#N/A</v>
      </c>
      <c r="U151" s="179">
        <f>IF($D$27,calculateQ(M151,N151,Q151,$D$20,$D$22,$D$19=3)*10^6,NA())</f>
        <v>0.16683767536768812</v>
      </c>
      <c r="V151"/>
      <c r="W151" s="2">
        <f t="shared" si="44"/>
        <v>50000</v>
      </c>
      <c r="X151" s="1">
        <f t="shared" si="45"/>
        <v>800</v>
      </c>
      <c r="Y151" s="1">
        <f>Results!F153</f>
        <v>0</v>
      </c>
      <c r="Z151" s="1">
        <f>Results!G153</f>
        <v>0</v>
      </c>
      <c r="AA151" s="1">
        <f>Results!H153</f>
        <v>0</v>
      </c>
      <c r="AB151" s="1">
        <f>Results!I153</f>
        <v>0</v>
      </c>
      <c r="AC151" s="1" t="e">
        <f>IF(ISBLANK(Input!$O$4),NA(),'Reaction Information'!$E$5-'Reaction Information'!$G$5*(Calculations!$O151-Calculations!$C$8)+'Reaction Information'!$I$5*(Calculations!$O151-Calculations!$C$8-Calculations!$O151*LN(Calculations!$O151/Calculations!$C$8))+'Reaction Information'!$J$5*0.001/2*(2*Calculations!$O151*Calculations!$C$8-Calculations!$O151^2-Calculations!$C$8^2) + 'Reaction Information'!$K$5*100000*(Calculations!$O151^2 + Calculations!$C$8^2 - 2*Calculations!$O151*Calculations!$C$8)/(2*Calculations!$O151*Calculations!$C$8^2))</f>
        <v>#N/A</v>
      </c>
      <c r="AD151" s="8" t="e">
        <f>IF(ISBLANK(Input!$R$4),NA(),'Reaction Information'!$E$9-'Reaction Information'!$G$9*(Calculations!$O151-Calculations!$C$8)+'Reaction Information'!$I$9*(Calculations!$O151-Calculations!$C$8-Calculations!$O151*LN(Calculations!$O151/Calculations!$C$8))+'Reaction Information'!$J$9*0.001/2*(2*Calculations!$O151*Calculations!$C$8-Calculations!$O151^2-Calculations!$C$8^2) + 'Reaction Information'!$K$9*100000*(Calculations!$O151^2 + Calculations!$C$8^2 - 2*Calculations!$O151*Calculations!$C$8)/(2*Calculations!$O151*Calculations!$C$8^2))</f>
        <v>#N/A</v>
      </c>
      <c r="AE151" s="8">
        <f>IF(AE$5="H2O",IF($D$24=3,IF(T151=0,NA(),T151),calculateGibbsOfWater(M151,N151,$D$24,$D$20,$D$19=3)),NA())</f>
        <v>-58802.406864352881</v>
      </c>
      <c r="AF151" s="8">
        <f>IF(ISBLANK(Input!$X$4),NA(),'Reaction Information'!$E$13-'Reaction Information'!$G$13*(Calculations!O151-Calculations!$C$8)-'Reaction Information'!$N$13*(Calculations!O151*LN(Calculations!O151/Calculations!$C$8)-Calculations!O151+Calculations!$C$8)-'Reaction Information'!$O$13*10^4*(((1/(Calculations!O151-Calculations!$C$13))-(1/(Calculations!$C$8-Calculations!$C$13)))*((Calculations!$C$13-Calculations!O151)/(Calculations!$C$13))-(Calculations!O151/(Calculations!$C$13*Calculations!$C$13))*LN((Calculations!$C$8*(Calculations!O151-Calculations!$C$13))/(Calculations!O151*(Calculations!$C$8-Calculations!$C$13))))+'Reaction Information'!$J$13*10^-1*(Calculations!M151-Calculations!$C$9)+'Reaction Information'!$K$13*10^2*LN((Calculations!$C$12+Calculations!M151)/(Calculations!$C$12+Calculations!$C$9))+(1/(Calculations!O151-Calculations!$C$13))*('Reaction Information'!$L$13*(Calculations!M151-Calculations!$C$9)+'Reaction Information'!$M$13*10^4*LN((Calculations!$C$12+Calculations!M151)/(Calculations!$C$12+Calculations!$C$9)))+calculateOmega(Calculations!M151,Calculations!N151,Calculations!Q151,'Reaction Information'!$C$13,'Reaction Information'!$P$13*10^5,'Reaction Information'!$Q$13)*((1/Calculations!S151)-1)-'Reaction Information'!$P$13*10^5*((1/Calculations!$C$10)-1)+'Reaction Information'!$P$13*10^5*Calculations!$C$14*(Calculations!O151-Calculations!$C$8))</f>
        <v>-88478.349520027725</v>
      </c>
      <c r="AG151" s="8" t="e">
        <f>IF(ISBLANK(Input!$AA$4),NA(),'Reaction Information'!$E$17-'Reaction Information'!$G$17*(Calculations!$O151-Calculations!$C$8)-'Reaction Information'!$N$17*(Calculations!$O151*LN(Calculations!$O151/Calculations!$C$8)-Calculations!$O151+Calculations!$C$8)-'Reaction Information'!$O$17*10^4*(((1/(Calculations!$O151-Calculations!$C$13))-(1/(Calculations!$C$8-Calculations!$C$13)))*((Calculations!$C$13-Calculations!$O151)/(Calculations!$C$13))-(Calculations!$O151/(Calculations!$C$13*Calculations!$C$13))*LN((Calculations!$C$8*(Calculations!$O151-Calculations!$C$13))/(Calculations!$O151*(Calculations!$C$8-Calculations!$C$13))))+'Reaction Information'!$J$17*10^-1*(Calculations!$M151-Calculations!$C$9)+'Reaction Information'!$K$17*10^2*LN((Calculations!$C$12+Calculations!$M151)/(Calculations!$C$12+Calculations!$C$9))+(1/(Calculations!$O151-Calculations!$C$13))*('Reaction Information'!$L$17*(Calculations!$M151-Calculations!$C$9)+'Reaction Information'!$M$17*10^4*LN((Calculations!$C$12+Calculations!$M151)/(Calculations!$C$12+Calculations!$C$9)))+calculateOmega(Calculations!M151,Calculations!N151,Calculations!Q151,'Reaction Information'!$C$17,'Reaction Information'!$P$17*10^5,'Reaction Information'!$Q$17)*((1/Calculations!$S151)-1)-'Reaction Information'!$P$17*10^5*((1/Calculations!$C$10)-1)+'Reaction Information'!$P$17*10^5*Calculations!$C$14*(Calculations!$O151-Calculations!$C$8))</f>
        <v>#N/A</v>
      </c>
      <c r="AH151" s="8" t="e">
        <f>IF(ISBLANK(Input!$AD$4),NA(),'Reaction Information'!$E$21-'Reaction Information'!$G$21*(Calculations!$O151-Calculations!$C$8)-'Reaction Information'!$N$21*(Calculations!$O151*LN(Calculations!$O151/Calculations!$C$8)-Calculations!$O151+Calculations!$C$8)-'Reaction Information'!$O$21*10^4*(((1/(Calculations!$O151-Calculations!$C$13))-(1/(Calculations!$C$8-Calculations!$C$13)))*((Calculations!$C$13-Calculations!$O151)/(Calculations!$C$13))-(Calculations!$O151/(Calculations!$C$13*Calculations!$C$13))*LN((Calculations!$C$8*(Calculations!$O151-Calculations!$C$13))/(Calculations!$O151*(Calculations!$C$8-Calculations!$C$13))))+'Reaction Information'!$J$21*10^-1*(Calculations!$M151-Calculations!$C$9)+'Reaction Information'!$K$21*10^2*LN((Calculations!$C$12+Calculations!$M151)/(Calculations!$C$12+Calculations!$C$9))+(1/(Calculations!$O151-Calculations!$C$13))*('Reaction Information'!$L$21*(Calculations!$M151-Calculations!$C$9)+'Reaction Information'!$M$21*10^4*LN((Calculations!$C$12+Calculations!$M151)/(Calculations!$C$12+Calculations!$C$9)))+calculateOmega(Calculations!M151,Calculations!N151,Calculations!Q151,'Reaction Information'!$C$21,'Reaction Information'!$P$21*10^5,'Reaction Information'!$Q$21)*((1/Calculations!$S151)-1)-'Reaction Information'!$P$21*10^5*((1/Calculations!$C$10)-1)+'Reaction Information'!$P$21*10^5*Calculations!$C$14*(Calculations!$O151-Calculations!$C$8))</f>
        <v>#N/A</v>
      </c>
      <c r="AI151" s="8" t="e">
        <f>IF(ISBLANK(Input!$AG$4),NA(),'Reaction Information'!$E$25-'Reaction Information'!$G$25*(Calculations!$O151-Calculations!$C$8)-'Reaction Information'!$N$25*(Calculations!$O151*LN(Calculations!$O151/Calculations!$C$8)-Calculations!$O151+Calculations!$C$8)-'Reaction Information'!$O$25*10^4*(((1/(Calculations!$O151-Calculations!$C$13))-(1/(Calculations!$C$8-Calculations!$C$13)))*((Calculations!$C$13-Calculations!$O151)/(Calculations!$C$13))-(Calculations!$O151/(Calculations!$C$13*Calculations!$C$13))*LN((Calculations!$C$8*(Calculations!$O151-Calculations!$C$13))/(Calculations!$O151*(Calculations!$C$8-Calculations!$C$13))))+'Reaction Information'!$J$25*10^-1*(Calculations!$M151-Calculations!$C$9)+'Reaction Information'!$K$25*10^2*LN((Calculations!$C$12+Calculations!$M151)/(Calculations!$C$12+Calculations!$C$9))+(1/(Calculations!$O151-Calculations!$C$13))*('Reaction Information'!$L$25*(Calculations!$M151-Calculations!$C$9)+'Reaction Information'!$M$25*10^4*LN((Calculations!$C$12+Calculations!$M151)/(Calculations!$C$12+Calculations!$C$9)))+calculateOmega(Calculations!M151,Calculations!N151,Calculations!Q151,'Reaction Information'!$C$25,'Reaction Information'!$P$25*10^5,'Reaction Information'!$Q$25)*((1/Calculations!$S151)-1)-'Reaction Information'!$P$25*10^5*((1/Calculations!$C$10)-1)+'Reaction Information'!$P$25*10^5*Calculations!$C$14*(Calculations!$O151-Calculations!$C$8))</f>
        <v>#N/A</v>
      </c>
      <c r="AJ151" s="8" t="e">
        <f>IF(ISBLANK(Input!$AJ$4),NA(),'Reaction Information'!$E$29-'Reaction Information'!$G$29*(Calculations!$O151-Calculations!$C$8)-'Reaction Information'!$N$29*(Calculations!$O151*LN(Calculations!$O151/Calculations!$C$8)-Calculations!$O151+Calculations!$C$8)-'Reaction Information'!$O$29*10^4*(((1/(Calculations!$O151-Calculations!$C$13))-(1/(Calculations!$C$8-Calculations!$C$13)))*((Calculations!$C$13-Calculations!$O151)/(Calculations!$C$13))-(Calculations!$O151/(Calculations!$C$13*Calculations!$C$13))*LN((Calculations!$C$8*(Calculations!$O151-Calculations!$C$13))/(Calculations!$O151*(Calculations!$C$8-Calculations!$C$13))))+'Reaction Information'!$J$29*10^-1*(Calculations!$M151-Calculations!$C$9)+'Reaction Information'!$K$29*10^2*LN((Calculations!$C$12+Calculations!$M151)/(Calculations!$C$12+Calculations!$C$9))+(1/(Calculations!$O151-Calculations!$C$13))*('Reaction Information'!$L$29*(Calculations!$M151-Calculations!$C$9)+'Reaction Information'!$M$29*10^4*LN((Calculations!$C$12+Calculations!$M151)/(Calculations!$C$12+Calculations!$C$9)))+calculateOmega(Calculations!M151,Calculations!N151,Calculations!Q151,'Reaction Information'!$C$29,'Reaction Information'!$P$29*10^5,'Reaction Information'!$Q$29)*((1/Calculations!$S151)-1)-'Reaction Information'!$P$29*10^5*((1/Calculations!$C$10)-1)+'Reaction Information'!$P$29*10^5*Calculations!$C$14*(Calculations!$O151-Calculations!$C$8))</f>
        <v>#N/A</v>
      </c>
      <c r="AK151" s="8" t="e">
        <f>IF(ISBLANK(Input!$AM$4),NA(),'Reaction Information'!$E$33-'Reaction Information'!$G$33*(Calculations!$O151-Calculations!$C$8)-'Reaction Information'!$N$33*(Calculations!$O151*LN(Calculations!$O151/Calculations!$C$8)-Calculations!$O151+Calculations!$C$8)-'Reaction Information'!$O$33*10^4*(((1/(Calculations!$O151-Calculations!$C$13))-(1/(Calculations!$C$8-Calculations!$C$13)))*((Calculations!$C$13-Calculations!$O151)/(Calculations!$C$13))-(Calculations!$O151/(Calculations!$C$13*Calculations!$C$13))*LN((Calculations!$C$8*(Calculations!$O151-Calculations!$C$13))/(Calculations!$O151*(Calculations!$C$8-Calculations!$C$13))))+'Reaction Information'!$J$33*10^-1*(Calculations!$M151-Calculations!$C$9)+'Reaction Information'!$K$33*10^2*LN((Calculations!$C$12+Calculations!$M151)/(Calculations!$C$12+Calculations!$C$9))+(1/(Calculations!$O151-Calculations!$C$13))*('Reaction Information'!$L$33*(Calculations!$M151-Calculations!$C$9)+'Reaction Information'!$M$33*10^4*LN((Calculations!$C$12+Calculations!$M151)/(Calculations!$C$12+Calculations!$C$9)))+calculateOmega(Calculations!M151,Calculations!N151,Calculations!Q151,'Reaction Information'!$C$33,'Reaction Information'!$P$33*10^5,'Reaction Information'!$Q$33)*((1/Calculations!$S151)-1)-'Reaction Information'!$P$33*10^5*((1/Calculations!$C$10)-1)+'Reaction Information'!$P$33*10^5*Calculations!$C$14*(Calculations!$O151-Calculations!$C$8))</f>
        <v>#N/A</v>
      </c>
      <c r="AL151" s="1">
        <f>Results!S153</f>
        <v>0</v>
      </c>
      <c r="AM151" s="1">
        <f>Results!T153</f>
        <v>0</v>
      </c>
      <c r="AN151" s="1">
        <f>Results!U153</f>
        <v>0</v>
      </c>
      <c r="AO151" s="1">
        <f>Results!V153</f>
        <v>0</v>
      </c>
      <c r="AP151" s="8" t="e">
        <f>IF(ISBLANK(Input!$BB$4),NA(),'Reaction Information'!$E$38-'Reaction Information'!$G$38*(Calculations!$O151-Calculations!$C$8)+'Reaction Information'!$I$38*(Calculations!$O151-Calculations!$C$8-Calculations!$O151*LN(Calculations!$O151/Calculations!$C$8))+'Reaction Information'!$J$38*0.001/2*(2*Calculations!$O151*Calculations!$C$8-Calculations!$O151^2-Calculations!$C$8^2) + 'Reaction Information'!$K$38*100000*(Calculations!$O151^2 + Calculations!$C$8^2 - 2*Calculations!$O151*Calculations!$C$8)/(2*Calculations!$O151*Calculations!$C$8^2))</f>
        <v>#N/A</v>
      </c>
      <c r="AQ151" s="8" t="e">
        <f>IF(ISBLANK(Input!$BE$4),NA(),'Reaction Information'!$E$42-'Reaction Information'!$G$42*(Calculations!$O151-Calculations!$C$8)+'Reaction Information'!$I$42*(Calculations!$O151-Calculations!$C$8-Calculations!$O151*LN(Calculations!$O151/Calculations!$C$8))+'Reaction Information'!$J$42*0.001/2*(2*Calculations!$O151*Calculations!$C$8-Calculations!$O151^2-Calculations!$C$8^2) + 'Reaction Information'!$K$42*100000*(Calculations!$O151^2 + Calculations!$C$8^2 - 2*Calculations!$O151*Calculations!$C$8)/(2*Calculations!$O151*Calculations!$C$8^2))</f>
        <v>#N/A</v>
      </c>
      <c r="AR151" s="8" t="e">
        <f>IF(AR$5="H2O", IF($D$24=3,IF(T151=0,NA(),T151),calculateGibbsOfWater(M151,N151,$D$24,$D$20,$D$19=3)),NA())</f>
        <v>#N/A</v>
      </c>
      <c r="AS151" s="8">
        <f>IF(ISBLANK(Input!$BK$4),NA(),'Reaction Information'!$E$46-'Reaction Information'!$G$46*(Calculations!O151-Calculations!$C$8)-'Reaction Information'!$N$46*(Calculations!O151*LN(Calculations!O151/Calculations!$C$8)-Calculations!O151+Calculations!$C$8)-'Reaction Information'!$O$46*10^4*(((1/(Calculations!O151-Calculations!$C$13))-(1/(Calculations!$C$8-Calculations!$C$13)))*((Calculations!$C$13-Calculations!O151)/(Calculations!$C$13))-(Calculations!O151/(Calculations!$C$13*Calculations!$C$13))*LN((Calculations!$C$8*(Calculations!O151-Calculations!$C$13))/(Calculations!O151*(Calculations!$C$8-Calculations!$C$13))))+'Reaction Information'!$J$46*10^-1*(Calculations!$M151-Calculations!$C$9)+'Reaction Information'!$K$46*10^2*LN((Calculations!$C$12+Calculations!$M151)/(Calculations!$C$12+Calculations!$C$9))+(1/(Calculations!O151-Calculations!$C$13))*('Reaction Information'!$L$46*(Calculations!$M151-Calculations!$C$9)+'Reaction Information'!$M$46*10^4*LN((Calculations!$C$12+Calculations!$M151)/(Calculations!$C$12+Calculations!$C$9)))+calculateOmega(Calculations!M151,Calculations!N151,Calculations!Q151,'Reaction Information'!$C$46,'Reaction Information'!$P$46*10^5,'Reaction Information'!$Q$46)*((1/Calculations!S151)-1)-'Reaction Information'!$P$46*10^5*((1/Calculations!$C$10)-1)+'Reaction Information'!$P$46*10^5*Calculations!$C$14*(Calculations!O151-Calculations!$C$8))</f>
        <v>0</v>
      </c>
      <c r="AT151" s="8">
        <f>IF(ISBLANK(Input!$BN$4),NA(),'Reaction Information'!$E$50-'Reaction Information'!$G$50*(Calculations!O151-Calculations!$C$8)-'Reaction Information'!$N$50*(Calculations!O151*LN(Calculations!O151/Calculations!$C$8)-Calculations!O151+Calculations!$C$8)-'Reaction Information'!$O$50*10^4*(((1/(Calculations!O151-Calculations!$C$13))-(1/(Calculations!$C$8-Calculations!$C$13)))*((Calculations!$C$13-Calculations!O151)/(Calculations!$C$13))-(Calculations!O151/(Calculations!$C$13*Calculations!$C$13))*LN((Calculations!$C$8*(Calculations!O151-Calculations!$C$13))/(Calculations!O151*(Calculations!$C$8-Calculations!$C$13))))+'Reaction Information'!$J$50*10^-1*(Calculations!$M151-Calculations!$C$9)+'Reaction Information'!$K$50*10^2*LN((Calculations!$C$12+Calculations!$M151)/(Calculations!$C$12+Calculations!$C$9))+(1/(Calculations!O151-Calculations!$C$13))*('Reaction Information'!$L$50*(Calculations!$M151-Calculations!$C$9)+'Reaction Information'!$M$50*10^4*LN((Calculations!$C$12+Calculations!$M151)/(Calculations!$C$12+Calculations!$C$9)))+calculateOmega(Calculations!M151,Calculations!N151,Calculations!Q151,'Reaction Information'!$C$50,'Reaction Information'!$P$50*10^5,'Reaction Information'!$Q$50)*((1/Calculations!S151)-1)-'Reaction Information'!$P$50*10^5*((1/Calculations!$C$10)-1)+'Reaction Information'!$P$50*10^5*Calculations!$C$14*(Calculations!O151-Calculations!$C$8))</f>
        <v>-127652.69381926279</v>
      </c>
      <c r="AU151" s="8" t="e">
        <f>IF(ISBLANK(Input!$BQ$4),NA(),'Reaction Information'!$E$54-'Reaction Information'!$G$54*(Calculations!$O151-Calculations!$C$8)-'Reaction Information'!$N$54*(Calculations!$O151*LN(Calculations!$O151/Calculations!$C$8)-Calculations!$O151+Calculations!$C$8)-'Reaction Information'!$O$54*10^4*(((1/(Calculations!$O151-Calculations!$C$13))-(1/(Calculations!$C$8-Calculations!$C$13)))*((Calculations!$C$13-Calculations!$O151)/(Calculations!$C$13))-(Calculations!$O151/(Calculations!$C$13*Calculations!$C$13))*LN((Calculations!$C$8*(Calculations!$O151-Calculations!$C$13))/(Calculations!$O151*(Calculations!$C$8-Calculations!$C$13))))+'Reaction Information'!$J$54*10^-1*(Calculations!$M151-Calculations!$C$9)+'Reaction Information'!$K$54*10^2*LN((Calculations!$C$12+Calculations!$M151)/(Calculations!$C$12+Calculations!$C$9))+(1/(Calculations!$O151-Calculations!$C$13))*('Reaction Information'!$L$54*(Calculations!$M151-Calculations!$C$9)+'Reaction Information'!$M$54*10^4*LN((Calculations!$C$12+Calculations!$M151)/(Calculations!$C$12+Calculations!$C$9)))+calculateOmega(Calculations!M151,Calculations!N151,Calculations!Q151,'Reaction Information'!$C$54,'Reaction Information'!$P$54*10^5,'Reaction Information'!$Q$54)*((1/Calculations!$S151)-1)-'Reaction Information'!$P$54*10^5*((1/Calculations!$C$10)-1)+'Reaction Information'!$P$54*10^5*Calculations!$C$14*(Calculations!$O151-Calculations!$C$8))</f>
        <v>#N/A</v>
      </c>
      <c r="AV151" s="8" t="e">
        <f>IF(ISBLANK(Input!$BT$4),NA(),'Reaction Information'!$E$58-'Reaction Information'!$G$58*(Calculations!$O151-Calculations!$C$8)-'Reaction Information'!$N$58*(Calculations!$O151*LN(Calculations!$O151/Calculations!$C$8)-Calculations!$O151+Calculations!$C$8)-'Reaction Information'!$O$58*10^4*(((1/(Calculations!$O151-Calculations!$C$13))-(1/(Calculations!$C$8-Calculations!$C$13)))*((Calculations!$C$13-Calculations!$O151)/(Calculations!$C$13))-(Calculations!$O151/(Calculations!$C$13*Calculations!$C$13))*LN((Calculations!$C$8*(Calculations!$O151-Calculations!$C$13))/(Calculations!$O151*(Calculations!$C$8-Calculations!$C$13))))+'Reaction Information'!$J$58*10^-1*(Calculations!$M151-Calculations!$C$9)+'Reaction Information'!$K$58*10^2*LN((Calculations!$C$12+Calculations!$M151)/(Calculations!$C$12+Calculations!$C$9))+(1/(Calculations!$O151-Calculations!$C$13))*('Reaction Information'!$L$58*(Calculations!$M151-Calculations!$C$9)+'Reaction Information'!$M$58*10^4*LN((Calculations!$C$12+Calculations!$M151)/(Calculations!$C$12+Calculations!$C$9)))+calculateOmega(Calculations!M151,Calculations!N151,Calculations!Q151,'Reaction Information'!$C$58,'Reaction Information'!$P$58*10^5,'Reaction Information'!$Q$58)*((1/Calculations!$S151)-1)-'Reaction Information'!$P$58*10^5*((1/Calculations!$C$10)-1)+'Reaction Information'!$P$58*10^5*Calculations!$C$14*(Calculations!$O151-Calculations!$C$8))</f>
        <v>#N/A</v>
      </c>
      <c r="AW151" s="8" t="e">
        <f>IF(ISBLANK(Input!$BW$4),NA(),'Reaction Information'!$E$62-'Reaction Information'!$G$62*(Calculations!$O151-Calculations!$C$8)-'Reaction Information'!$N$62*(Calculations!$O151*LN(Calculations!$O151/Calculations!$C$8)-Calculations!$O151+Calculations!$C$8)-'Reaction Information'!$O$62*10^4*(((1/(Calculations!$O151-Calculations!$C$13))-(1/(Calculations!$C$8-Calculations!$C$13)))*((Calculations!$C$13-Calculations!$O151)/(Calculations!$C$13))-(Calculations!$O151/(Calculations!$C$13*Calculations!$C$13))*LN((Calculations!$C$8*(Calculations!$O151-Calculations!$C$13))/(Calculations!$O151*(Calculations!$C$8-Calculations!$C$13))))+'Reaction Information'!$J$62*10^-1*(Calculations!$M151-Calculations!$C$9)+'Reaction Information'!$K$62*10^2*LN((Calculations!$C$12+Calculations!$M151)/(Calculations!$C$12+Calculations!$C$9))+(1/(Calculations!$O151-Calculations!$C$13))*('Reaction Information'!$L$62*(Calculations!$M151-Calculations!$C$9)+'Reaction Information'!$M$62*10^4*LN((Calculations!$C$12+Calculations!$M151)/(Calculations!$C$12+Calculations!$C$9)))+calculateOmega(Calculations!M151,Calculations!N151,Calculations!Q151,'Reaction Information'!$C$62,'Reaction Information'!$P$62*10^5,'Reaction Information'!$Q$62)*((1/Calculations!$S151)-1)-'Reaction Information'!$P$62*10^5*((1/Calculations!$C$10)-1)+'Reaction Information'!$P$62*10^5*Calculations!$C$14*(Calculations!$O151-Calculations!$C$8))</f>
        <v>#N/A</v>
      </c>
      <c r="AX151" s="8" t="e">
        <f>IF(ISBLANK(Input!$BZ$4),NA(),'Reaction Information'!$E$66-'Reaction Information'!$G$66*(Calculations!$O151-Calculations!$C$8)-'Reaction Information'!$N$66*(Calculations!$O151*LN(Calculations!$O151/Calculations!$C$8)-Calculations!$O151+Calculations!$C$8)-'Reaction Information'!$O$66*10^4*(((1/(Calculations!$O151-Calculations!$C$13))-(1/(Calculations!$C$8-Calculations!$C$13)))*((Calculations!$C$13-Calculations!$O151)/(Calculations!$C$13))-(Calculations!$O151/(Calculations!$C$13*Calculations!$C$13))*LN((Calculations!$C$8*(Calculations!$O151-Calculations!$C$13))/(Calculations!$O151*(Calculations!$C$8-Calculations!$C$13))))+'Reaction Information'!$J$66*10^-1*(Calculations!$M151-Calculations!$C$9)+'Reaction Information'!$K$66*10^2*LN((Calculations!$C$12+Calculations!$M151)/(Calculations!$C$12+Calculations!$C$9))+(1/(Calculations!$O151-Calculations!$C$13))*('Reaction Information'!$L$66*(Calculations!$M151-Calculations!$C$9)+'Reaction Information'!$M$66*10^4*LN((Calculations!$C$12+Calculations!$M151)/(Calculations!$C$12+Calculations!$C$9)))+calculateOmega(Calculations!M151,Calculations!N151,Calculations!Q151,'Reaction Information'!$C$66,'Reaction Information'!$P$66*10^5,'Reaction Information'!$Q$66)*((1/Calculations!$S151)-1)-'Reaction Information'!$P$66*10^5*((1/Calculations!$C$10)-1)+'Reaction Information'!$P$66*10^5*Calculations!$C$14*(Calculations!$O151-Calculations!$C$8))</f>
        <v>#N/A</v>
      </c>
      <c r="AY151" s="31">
        <f>(AL151*Input!$AO$4+AM151*Input!$AR$4+AN151*Input!$AU$4+AO151*Input!$AX$4+IF(ISNA(AP151),0,AP151*Input!$BA$4)+IF(ISNA(AQ151),0,AQ151*Input!$BD$4)+IF(ISNA(AR151),0,AR151*Input!$BG$4)+IF(ISNA(AS151),0,AS151*Input!$BJ$4)+IF(ISNA(AT151),0,AT151*Input!$BM$4)+IF(ISNA(AU151),0,AU151*Input!$BP$4)+IF(ISNA(AV151),0,AV151*Input!$BS$4)+IF(ISNA(AW151),0,AW151*Input!$BV$4)+IF(ISNA(AX151),0,AX151*Input!$BY$4))-(Y151*Input!$B$4+Z151*Input!$E$4+AA151*Input!$H$4+AB151*Input!$K$4+IF(ISNA(AC151),0,AC151*Input!$N$4)+IF(ISNA(AD151),0,AD151*Input!$Q$4)+IF(ISNA(AE151),0,AE151*Input!$T$4)+IF(ISNA(AF151),0,AF151*Input!$W$4)+IF(ISNA(AG151),0,AG151*Input!$Z$4)+IF(ISNA(AH151),0,AH151*Input!$AC$4)+IF(ISNA(AI151),0,AI151*Input!$AF$4)+IF(ISNA(AJ151),0,AJ151*Input!$AI$4)+IF(ISNA(AK151),0,AK151*Input!$AL$4))</f>
        <v>19628.062565117812</v>
      </c>
      <c r="AZ151" s="42">
        <f t="shared" si="39"/>
        <v>-3.99989763727792</v>
      </c>
      <c r="BA151" s="1">
        <f t="shared" si="46"/>
        <v>800</v>
      </c>
      <c r="BB151" s="46">
        <f t="shared" si="47"/>
        <v>50000</v>
      </c>
      <c r="BC151" s="1"/>
      <c r="BD151" s="2">
        <f t="shared" si="48"/>
        <v>50000</v>
      </c>
      <c r="BE151" s="46">
        <f t="shared" si="49"/>
        <v>800</v>
      </c>
      <c r="BF151" s="1">
        <f>Results!AJ153</f>
        <v>0</v>
      </c>
      <c r="BG151" s="1">
        <f>Results!AK153</f>
        <v>0</v>
      </c>
      <c r="BH151" s="1">
        <f>Results!AL153</f>
        <v>0</v>
      </c>
      <c r="BI151" s="1">
        <f>Results!AM153</f>
        <v>0</v>
      </c>
      <c r="BJ151" s="1" t="e">
        <f>IF(OR(ISNA('Reaction Information'!$D$5), $N151 = "", $D$27 = FALSE, 'Reaction Information'!$D$5 = ""), NA(), 24.465)</f>
        <v>#N/A</v>
      </c>
      <c r="BK151" s="1" t="e">
        <f>IF(OR(ISNA('Reaction Information'!$D$9), $N151 = "", $D$27 = FALSE, 'Reaction Information'!$D$9 = ""), NA(), 24.465)</f>
        <v>#N/A</v>
      </c>
      <c r="BL151" s="8">
        <f t="shared" si="40"/>
        <v>13.487165628502682</v>
      </c>
      <c r="BM151" s="8">
        <f>IF(OR(ISBLANK(Input!$X$4),$D$27=FALSE),NA(),('Reaction Information'!$J$13/10+'Reaction Information'!$K$13*100/(Calculations!$C$12+Calculations!$M151)+('Reaction Information'!$L$13+'Reaction Information'!$M$13*10^4/(Calculations!$C$12+Calculations!$M151))/(Calculations!$O151-Calculations!$C$13) -calculateOmega(Calculations!$M151,Calculations!$N151,Calculations!$Q151,'Reaction Information'!$C$13,'Reaction Information'!$P$13*10^5,'Reaction Information'!$Q$13)*Calculations!$U151*10^-6 + (1/$S151 - 1)*calculate_domegadP(Calculations!$M151,Calculations!$N151,Calculations!$Q151,'Reaction Information'!$C$13,'Reaction Information'!$P$13*10^5,'Reaction Information'!$Q$13,$D$20,$D$19=3))*41.84)</f>
        <v>29.993216228762059</v>
      </c>
      <c r="BN151" s="8" t="e">
        <f>IF(OR(ISBLANK(Input!$AA$4),$D$27=FALSE),NA(),('Reaction Information'!$J$17/10+'Reaction Information'!$K$17*100/(Calculations!$C$12+Calculations!$M151)+('Reaction Information'!$L$17+'Reaction Information'!$M$17*10000/(Calculations!$C$12+Calculations!$M151))/(Calculations!$O151-Calculations!$C$13)-calculateOmega(Calculations!M151,Calculations!N151,Calculations!Q151,'Reaction Information'!$C$17,'Reaction Information'!$P$17*10^5,'Reaction Information'!$Q$17)*Calculations!$U151*10^-6 + (1/$S151 - 1)*calculate_domegadP(Calculations!M151,Calculations!N151,Calculations!Q151,'Reaction Information'!$C$17,'Reaction Information'!$P$17*10^5,'Reaction Information'!$Q$17,$D$20,$D$19=3))*41.84)</f>
        <v>#N/A</v>
      </c>
      <c r="BO151" s="8" t="e">
        <f>IF(OR(ISBLANK(Input!$AD$4),$D$27=FALSE),NA(),('Reaction Information'!$J$21/10+'Reaction Information'!$K$21*100/(Calculations!$C$12+Calculations!$M151)+('Reaction Information'!$L$21+'Reaction Information'!$M$21*10000/(Calculations!$C$12+Calculations!$M151))/(Calculations!$O151-Calculations!$C$13)-calculateOmega(Calculations!M151,Calculations!N151,Calculations!Q151,'Reaction Information'!$C$21,'Reaction Information'!$P$21*10^5,'Reaction Information'!$Q$21)*Calculations!$U151*10^-6 + (1/$S151 - 1)*calculate_domegadP(Calculations!M151,Calculations!N151,Calculations!Q151,'Reaction Information'!$C$21,'Reaction Information'!$P$21*10^5,'Reaction Information'!$Q$21,$D$20,$D$19=3))*41.84)</f>
        <v>#N/A</v>
      </c>
      <c r="BP151" s="8" t="e">
        <f>IF(OR(ISBLANK(Input!$AG$4),$D$27=FALSE),NA(),('Reaction Information'!$J$25/10+'Reaction Information'!$K$25*100/(Calculations!$C$12+Calculations!$M151)+('Reaction Information'!$L$25+'Reaction Information'!$M$25*10000/(Calculations!$C$12+Calculations!$M151))/(Calculations!$O151-Calculations!$C$13)-calculateOmega(Calculations!M151,Calculations!N151,Calculations!Q151,'Reaction Information'!$C$25,'Reaction Information'!$P$25*10^5,'Reaction Information'!$Q$25)*Calculations!$U151*10^-6 + (1/$S151 - 1)*calculate_domegadP(Calculations!M151,Calculations!N151,Calculations!Q151,'Reaction Information'!$C$25,'Reaction Information'!$P$25*10^5,'Reaction Information'!$Q$25,$D$20,$D$19=3))*41.84)</f>
        <v>#N/A</v>
      </c>
      <c r="BQ151" s="8" t="e">
        <f>IF(OR(ISBLANK(Input!$AJ$4),$D$27=FALSE),NA(),('Reaction Information'!$J$29/10+'Reaction Information'!$K$29*100/(Calculations!$C$12+Calculations!$M151)+('Reaction Information'!$L$29+'Reaction Information'!$M$29*10000/(Calculations!$C$12+Calculations!$M151))/(Calculations!$O151-Calculations!$C$13)-calculateOmega(Calculations!M151,Calculations!N151,Calculations!Q151,'Reaction Information'!$C$29,'Reaction Information'!$P$29*10^5,'Reaction Information'!$Q$29)*Calculations!$U151*10^-6 + (1/$S151 - 1)*calculate_domegadP(Calculations!M151,Calculations!N151,Calculations!Q151,'Reaction Information'!$C$29,'Reaction Information'!$P$29*10^5,'Reaction Information'!$Q$29,$D$20,$D$19=3))*41.84)</f>
        <v>#N/A</v>
      </c>
      <c r="BR151" s="8" t="e">
        <f>IF(OR(ISBLANK(Input!$AM$4),$D$27=FALSE),NA(),('Reaction Information'!$J$33/10+'Reaction Information'!$K$33*100/(Calculations!$C$12+Calculations!$M151)+('Reaction Information'!$L$33+'Reaction Information'!$M$33*10000/(Calculations!$C$12+Calculations!$M151))/(Calculations!$O151-Calculations!$C$13)-calculateOmega(Calculations!M151,Calculations!N151,Calculations!Q151,'Reaction Information'!$C$33,'Reaction Information'!$P$33*10^5,'Reaction Information'!$Q$33)*Calculations!$U151*10^-6 + (1/$S151 - 1)*calculate_domegadP(Calculations!M151,Calculations!N151,Calculations!Q151,'Reaction Information'!$C$33,'Reaction Information'!$P$33*10^5,'Reaction Information'!$Q$33,$D$20,$D$19=3))*41.84)</f>
        <v>#N/A</v>
      </c>
      <c r="BS151" s="1">
        <f>Results!AW153</f>
        <v>0</v>
      </c>
      <c r="BT151" s="1">
        <f>Results!AX153</f>
        <v>0</v>
      </c>
      <c r="BU151" s="1">
        <f>Results!AY153</f>
        <v>0</v>
      </c>
      <c r="BV151" s="1">
        <f>Results!AZ153</f>
        <v>0</v>
      </c>
      <c r="BW151" s="1" t="e">
        <f>IF(OR(ISNA('Reaction Information'!$D$38), $N151 = "", $D$27 = FALSE, 'Reaction Information'!$D$38 = ""), NA(), 24.465)</f>
        <v>#N/A</v>
      </c>
      <c r="BX151" s="1" t="e">
        <f>IF(OR(ISNA('Reaction Information'!$D$42), $N151 = "", $D$27 = FALSE, 'Reaction Information'!$D$42 = ""), NA(), 24.465)</f>
        <v>#N/A</v>
      </c>
      <c r="BY151" s="8" t="e">
        <f t="shared" si="41"/>
        <v>#N/A</v>
      </c>
      <c r="BZ151" s="8">
        <f>IF(OR(ISBLANK(Input!$BK$4),$D$27=FALSE),NA(),('Reaction Information'!$J$46/10+'Reaction Information'!$K$46*100/(Calculations!$C$12+Calculations!$M151)+('Reaction Information'!$L$46+'Reaction Information'!$M$46*10000/(Calculations!$C$12+Calculations!$M151))/(Calculations!$O151-Calculations!$C$13)-calculateOmega(Calculations!M151,Calculations!N151,Calculations!Q151,'Reaction Information'!$C$46,'Reaction Information'!$P$46*10^5,'Reaction Information'!$Q$46)*Calculations!$U151*10^-6 + (1/$S151 - 1)*calculate_domegadP(Calculations!M151,Calculations!N151,Calculations!Q151,'Reaction Information'!$C$46,'Reaction Information'!$P$46*10^5,'Reaction Information'!$Q$46,$D$20,$D$19=3))*41.84)</f>
        <v>0</v>
      </c>
      <c r="CA151" s="8">
        <f>IF(OR(ISBLANK(Input!$BN$4),$D$27=FALSE),NA(),('Reaction Information'!$J$50/10+'Reaction Information'!$K$50*100/(Calculations!$C$12+Calculations!$M151)+('Reaction Information'!$L$50+'Reaction Information'!$M$50*10000/(Calculations!$C$12+Calculations!$M151))/(Calculations!$O151-Calculations!$C$13)-calculateOmega(Calculations!M151,Calculations!N151,Calculations!Q151,'Reaction Information'!$C$50,'Reaction Information'!$P$50*10^5,'Reaction Information'!$Q$50)*Calculations!$U151*10^-6 + (1/$S151 - 1)*calculate_domegadP(Calculations!M151,Calculations!N151,Calculations!Q151,'Reaction Information'!$C$50,'Reaction Information'!$P$50*10^5,'Reaction Information'!$Q$50,$D$20,$D$19=3))*41.84)</f>
        <v>31.195117008903932</v>
      </c>
      <c r="CB151" s="8" t="e">
        <f>IF(OR(ISBLANK(Input!$BQ$4),$D$27=FALSE),NA(),('Reaction Information'!$J$54/10+'Reaction Information'!$K$54*100/(Calculations!$C$12+Calculations!$M151)+('Reaction Information'!$L$54+'Reaction Information'!$M$54*10000/(Calculations!$C$12+Calculations!$M151))/(Calculations!$O151-Calculations!$C$13)-calculateOmega(Calculations!M151,Calculations!N151,Calculations!Q151,'Reaction Information'!$C$54,'Reaction Information'!$P$54*10^5,'Reaction Information'!$Q$54)*Calculations!$U151*10^-6 + (1/$S151 - 1)*calculate_domegadP(Calculations!M151,Calculations!N151,Calculations!Q151,'Reaction Information'!$C$54,'Reaction Information'!$P$54*10^5,'Reaction Information'!$Q$54,$D$20,$D$19=3))*41.84)</f>
        <v>#N/A</v>
      </c>
      <c r="CC151" s="8" t="e">
        <f>IF(OR(ISBLANK(Input!$BT$4),$D$27=FALSE),NA(),('Reaction Information'!$J$58/10+'Reaction Information'!$K$58*100/(Calculations!$C$12+Calculations!$M151)+('Reaction Information'!$L$58+'Reaction Information'!$M$58*10000/(Calculations!$C$12+Calculations!$M151))/(Calculations!$O151-Calculations!$C$13)-calculateOmega(Calculations!M151,Calculations!N151,Calculations!Q151,'Reaction Information'!$C$58,'Reaction Information'!$P$58*10^5,'Reaction Information'!$Q$58)*Calculations!$U151*10^-6 + (1/$S151 - 1)*calculate_domegadP(Calculations!M151,Calculations!N151,Calculations!Q151,'Reaction Information'!$C$58,'Reaction Information'!$P$58*10^5,'Reaction Information'!$Q$58,$D$20,$D$19=3))*41.84)</f>
        <v>#N/A</v>
      </c>
      <c r="CD151" s="8" t="e">
        <f>IF(OR(ISBLANK(Input!$BW$4),$D$27=FALSE),NA(),('Reaction Information'!$J$62/10+'Reaction Information'!$K$62*100/(Calculations!$C$12+Calculations!$M151)+('Reaction Information'!$L$62+'Reaction Information'!$M$62*10000/(Calculations!$C$12+Calculations!$M151))/(Calculations!$O151-Calculations!$C$13)-calculateOmega(Calculations!M151,Calculations!N151,Calculations!Q151,'Reaction Information'!$C$62,'Reaction Information'!$P$62*10^5,'Reaction Information'!$Q$62)*Calculations!$U151*10^-6 + (1/$S151 - 1)*calculate_domegadP(Calculations!M151,Calculations!N151,Calculations!Q151,'Reaction Information'!$C$62,'Reaction Information'!$P$62*10^5,'Reaction Information'!$Q$62,$D$20,$D$19=3))*41.84)</f>
        <v>#N/A</v>
      </c>
      <c r="CE151" s="8" t="e">
        <f>IF(OR(ISBLANK(Input!$BZ$4),$D$27=FALSE),NA(),('Reaction Information'!$J$66/10+'Reaction Information'!$K$66*100/(Calculations!$C$12+Calculations!$M151)+('Reaction Information'!$L$66+'Reaction Information'!$M$66*10000/(Calculations!$C$12+Calculations!$M151))/(Calculations!$O151-Calculations!$C$13)-calculateOmega(Calculations!M151,Calculations!N151,Calculations!Q151,'Reaction Information'!$C$66,'Reaction Information'!$P$66*10^5,'Reaction Information'!$Q$66)*Calculations!$U151*10^-6 + (1/$S151 - 1)*calculate_domegadP(Calculations!M151,Calculations!N151,Calculations!Q151,'Reaction Information'!$C$66,'Reaction Information'!$P$66*10^5,'Reaction Information'!$Q$66,$D$20,$D$19=3))*41.84)</f>
        <v>#N/A</v>
      </c>
      <c r="CF151" s="31">
        <f>(BS151*Input!$AO$4+BT151*Input!$AR$4+BU151*Input!$AU$4+BV151*Input!$AX$4+IF(ISNA(BW151),0,BW151*Input!$BA$4)+IF(ISNA(BX151),0,BX151*Input!$BD$4)+IF(ISNA(BY151),0,BY151*Input!$BG$4)+IF(ISNA(BZ151),0,BZ151*Input!$BJ$4)+IF(ISNA(CA151),0,CA151*Input!$BM$4)+IF(ISNA(CB151),0,CB151*Input!$BP$4)+IF(ISNA(CC151),0,CC151*Input!$BS$4)+IF(ISNA(CD151),0,CD151*Input!$BV$4)+IF(ISNA(CE151),0,CE151*Input!$BY$4))-(BF151*Input!$B$4+BG151*Input!$E$4+BH151*Input!$H$4+BI151*Input!$K$4+IF(ISNA(BJ151),0,BJ151*Input!$N$4)+IF(ISNA(BK151),0,BK151*Input!$Q$4)+IF(ISNA(BL151),0,BL151*Input!$T$4)+IF(ISNA(BM151),0,BM151*Input!$W$4)+IF(ISNA(BN151),0,BN151*Input!$Z$4)+IF(ISNA(BO151),0,BO151*Input!$AC$4)+IF(ISNA(BP151),0,BP151*Input!$AF$4)+IF(ISNA(BQ151),0,BQ151*Input!$AI$4)+IF(ISNA(BR151),0,BR151*Input!$AL$4))</f>
        <v>-12.285264848360807</v>
      </c>
      <c r="CG151" s="1">
        <f t="shared" si="50"/>
        <v>800</v>
      </c>
      <c r="CH151" s="46">
        <f t="shared" si="51"/>
        <v>50000</v>
      </c>
      <c r="CI151" s="1"/>
    </row>
    <row r="152" spans="1:87" x14ac:dyDescent="0.2">
      <c r="A152" s="1"/>
      <c r="B152" s="1"/>
      <c r="C152" s="1"/>
      <c r="D152" s="1"/>
      <c r="E152" s="1"/>
      <c r="F152" s="2">
        <v>147</v>
      </c>
      <c r="G152" s="1" t="str">
        <f>IF(ISBLANK(Input!CB152), "", Input!CB152*1000)</f>
        <v/>
      </c>
      <c r="H152" s="1" t="str">
        <f>IF(ISBLANK(Input!CC152), "", Input!CC152)</f>
        <v/>
      </c>
      <c r="I152" s="1">
        <f>IF(Input!$CF$5 + Input!$CF$6*(FLOOR((Calculations!$F152-1)/(FLOOR((Input!$CF$12-Input!$CF$10)/Input!$CF$11,1)+1),1)) &gt; Input!$CF$7, "", (Input!$CF$5 + Input!$CF$6*(FLOOR((Calculations!$F152-1)/(FLOOR((Input!$CF$12-Input!$CF$10)/Input!$CF$11,1)+1),1)))*1000)</f>
        <v>50000</v>
      </c>
      <c r="J152" s="1">
        <f>IF(Calculations!I152 = "", "", Input!$CF$10 + Input!$CF$11*(Calculations!$F152-1) - (FLOOR((Input!$CF$12-Input!$CF$10)/Input!$CF$11,1)+1)*Input!$CF$11*FLOOR((Calculations!$F152-1)/(FLOOR((Input!$CF$12-Input!$CF$10)/Input!$CF$11,1)+1),1))</f>
        <v>850</v>
      </c>
      <c r="K152" s="8" t="str">
        <f t="shared" si="52"/>
        <v/>
      </c>
      <c r="L152" s="117" t="str">
        <f>IF(OR(Input!$CJ$5 + Input!$CJ$6*(Calculations!F152-1) &gt; Input!$CJ$7, Input!$CJ$5 + Input!$CJ$6*(Calculations!F152-1) &gt; 350), "", Input!$CJ$5 + Input!$CJ$6*(Calculations!F152-1))</f>
        <v/>
      </c>
      <c r="M152" s="1">
        <f t="shared" si="42"/>
        <v>50000</v>
      </c>
      <c r="N152" s="1">
        <f t="shared" si="43"/>
        <v>850</v>
      </c>
      <c r="O152" s="1">
        <f t="shared" si="38"/>
        <v>1123.1500000000001</v>
      </c>
      <c r="P152" s="1" t="e">
        <f>IF(OR($D$20=3,AND($D$21=TRUE,M152&lt;1000)),INDEX('Water Density'!$C$6:$CX$120,MATCH(Calculations!N152,'Water Density'!$B$6:$B$120),MATCH(Calculations!M152/1000,'Water Density'!$C$5:$CX$5)),NA())</f>
        <v>#N/A</v>
      </c>
      <c r="Q152" s="182">
        <f>IF(OR($D$20=3,AND($D$21=TRUE,M152&lt;1000)), IF(P152&lt;&gt;0,P152,NA()), calculateDensity(M152,N152,$D$20,0.01,$D$19 = 3))</f>
        <v>1.3233536609241368</v>
      </c>
      <c r="R152" s="1" t="e">
        <f>IF($D$22=5,INDEX('Dielectric Constant'!$C$6:$CX$120,MATCH(Calculations!N152,'Dielectric Constant'!$B$6:$B$120),MATCH(Calculations!M152/1000,'Dielectric Constant'!$C$5:$CX$5)),NA())</f>
        <v>#N/A</v>
      </c>
      <c r="S152" s="58">
        <f>IF($D$22=5, IF(R152&lt;&gt;0,R152,NA()), IF(AND($D$23,M152&lt;=5000,$D$19 &lt;&gt; 3),calculateEpsilon(Q152,N152,1,FALSE),calculateEpsilon(Q152,N152,$D$22,$D$19 = 3)))</f>
        <v>21.516032841925565</v>
      </c>
      <c r="T152" s="1" t="e">
        <f>IF($D$24=3,INDEX('Water Free Energy'!$C$6:$CX$120,MATCH(Calculations!N152,'Water Free Energy'!$B$6:$B$120),MATCH(Calculations!M152/1000,'Water Free Energy'!$C$5:$CX$5)),NA())</f>
        <v>#N/A</v>
      </c>
      <c r="U152" s="179">
        <f>IF($D$27,calculateQ(M152,N152,Q152,$D$20,$D$22,$D$19=3)*10^6,NA())</f>
        <v>0.17670948697616015</v>
      </c>
      <c r="V152"/>
      <c r="W152" s="2">
        <f t="shared" si="44"/>
        <v>50000</v>
      </c>
      <c r="X152" s="1">
        <f t="shared" si="45"/>
        <v>850</v>
      </c>
      <c r="Y152" s="1">
        <f>Results!F154</f>
        <v>0</v>
      </c>
      <c r="Z152" s="1">
        <f>Results!G154</f>
        <v>0</v>
      </c>
      <c r="AA152" s="1">
        <f>Results!H154</f>
        <v>0</v>
      </c>
      <c r="AB152" s="1">
        <f>Results!I154</f>
        <v>0</v>
      </c>
      <c r="AC152" s="1" t="e">
        <f>IF(ISBLANK(Input!$O$4),NA(),'Reaction Information'!$E$5-'Reaction Information'!$G$5*(Calculations!$O152-Calculations!$C$8)+'Reaction Information'!$I$5*(Calculations!$O152-Calculations!$C$8-Calculations!$O152*LN(Calculations!$O152/Calculations!$C$8))+'Reaction Information'!$J$5*0.001/2*(2*Calculations!$O152*Calculations!$C$8-Calculations!$O152^2-Calculations!$C$8^2) + 'Reaction Information'!$K$5*100000*(Calculations!$O152^2 + Calculations!$C$8^2 - 2*Calculations!$O152*Calculations!$C$8)/(2*Calculations!$O152*Calculations!$C$8^2))</f>
        <v>#N/A</v>
      </c>
      <c r="AD152" s="8" t="e">
        <f>IF(ISBLANK(Input!$R$4),NA(),'Reaction Information'!$E$9-'Reaction Information'!$G$9*(Calculations!$O152-Calculations!$C$8)+'Reaction Information'!$I$9*(Calculations!$O152-Calculations!$C$8-Calculations!$O152*LN(Calculations!$O152/Calculations!$C$8))+'Reaction Information'!$J$9*0.001/2*(2*Calculations!$O152*Calculations!$C$8-Calculations!$O152^2-Calculations!$C$8^2) + 'Reaction Information'!$K$9*100000*(Calculations!$O152^2 + Calculations!$C$8^2 - 2*Calculations!$O152*Calculations!$C$8)/(2*Calculations!$O152*Calculations!$C$8^2))</f>
        <v>#N/A</v>
      </c>
      <c r="AE152" s="8">
        <f>IF(AE$5="H2O",IF($D$24=3,IF(T152=0,NA(),T152),calculateGibbsOfWater(M152,N152,$D$24,$D$20,$D$19=3)),NA())</f>
        <v>-60331.285647734883</v>
      </c>
      <c r="AF152" s="8">
        <f>IF(ISBLANK(Input!$X$4),NA(),'Reaction Information'!$E$13-'Reaction Information'!$G$13*(Calculations!O152-Calculations!$C$8)-'Reaction Information'!$N$13*(Calculations!O152*LN(Calculations!O152/Calculations!$C$8)-Calculations!O152+Calculations!$C$8)-'Reaction Information'!$O$13*10^4*(((1/(Calculations!O152-Calculations!$C$13))-(1/(Calculations!$C$8-Calculations!$C$13)))*((Calculations!$C$13-Calculations!O152)/(Calculations!$C$13))-(Calculations!O152/(Calculations!$C$13*Calculations!$C$13))*LN((Calculations!$C$8*(Calculations!O152-Calculations!$C$13))/(Calculations!O152*(Calculations!$C$8-Calculations!$C$13))))+'Reaction Information'!$J$13*10^-1*(Calculations!M152-Calculations!$C$9)+'Reaction Information'!$K$13*10^2*LN((Calculations!$C$12+Calculations!M152)/(Calculations!$C$12+Calculations!$C$9))+(1/(Calculations!O152-Calculations!$C$13))*('Reaction Information'!$L$13*(Calculations!M152-Calculations!$C$9)+'Reaction Information'!$M$13*10^4*LN((Calculations!$C$12+Calculations!M152)/(Calculations!$C$12+Calculations!$C$9)))+calculateOmega(Calculations!M152,Calculations!N152,Calculations!Q152,'Reaction Information'!$C$13,'Reaction Information'!$P$13*10^5,'Reaction Information'!$Q$13)*((1/Calculations!S152)-1)-'Reaction Information'!$P$13*10^5*((1/Calculations!$C$10)-1)+'Reaction Information'!$P$13*10^5*Calculations!$C$14*(Calculations!O152-Calculations!$C$8))</f>
        <v>-90908.806532308736</v>
      </c>
      <c r="AG152" s="8" t="e">
        <f>IF(ISBLANK(Input!$AA$4),NA(),'Reaction Information'!$E$17-'Reaction Information'!$G$17*(Calculations!$O152-Calculations!$C$8)-'Reaction Information'!$N$17*(Calculations!$O152*LN(Calculations!$O152/Calculations!$C$8)-Calculations!$O152+Calculations!$C$8)-'Reaction Information'!$O$17*10^4*(((1/(Calculations!$O152-Calculations!$C$13))-(1/(Calculations!$C$8-Calculations!$C$13)))*((Calculations!$C$13-Calculations!$O152)/(Calculations!$C$13))-(Calculations!$O152/(Calculations!$C$13*Calculations!$C$13))*LN((Calculations!$C$8*(Calculations!$O152-Calculations!$C$13))/(Calculations!$O152*(Calculations!$C$8-Calculations!$C$13))))+'Reaction Information'!$J$17*10^-1*(Calculations!$M152-Calculations!$C$9)+'Reaction Information'!$K$17*10^2*LN((Calculations!$C$12+Calculations!$M152)/(Calculations!$C$12+Calculations!$C$9))+(1/(Calculations!$O152-Calculations!$C$13))*('Reaction Information'!$L$17*(Calculations!$M152-Calculations!$C$9)+'Reaction Information'!$M$17*10^4*LN((Calculations!$C$12+Calculations!$M152)/(Calculations!$C$12+Calculations!$C$9)))+calculateOmega(Calculations!M152,Calculations!N152,Calculations!Q152,'Reaction Information'!$C$17,'Reaction Information'!$P$17*10^5,'Reaction Information'!$Q$17)*((1/Calculations!$S152)-1)-'Reaction Information'!$P$17*10^5*((1/Calculations!$C$10)-1)+'Reaction Information'!$P$17*10^5*Calculations!$C$14*(Calculations!$O152-Calculations!$C$8))</f>
        <v>#N/A</v>
      </c>
      <c r="AH152" s="8" t="e">
        <f>IF(ISBLANK(Input!$AD$4),NA(),'Reaction Information'!$E$21-'Reaction Information'!$G$21*(Calculations!$O152-Calculations!$C$8)-'Reaction Information'!$N$21*(Calculations!$O152*LN(Calculations!$O152/Calculations!$C$8)-Calculations!$O152+Calculations!$C$8)-'Reaction Information'!$O$21*10^4*(((1/(Calculations!$O152-Calculations!$C$13))-(1/(Calculations!$C$8-Calculations!$C$13)))*((Calculations!$C$13-Calculations!$O152)/(Calculations!$C$13))-(Calculations!$O152/(Calculations!$C$13*Calculations!$C$13))*LN((Calculations!$C$8*(Calculations!$O152-Calculations!$C$13))/(Calculations!$O152*(Calculations!$C$8-Calculations!$C$13))))+'Reaction Information'!$J$21*10^-1*(Calculations!$M152-Calculations!$C$9)+'Reaction Information'!$K$21*10^2*LN((Calculations!$C$12+Calculations!$M152)/(Calculations!$C$12+Calculations!$C$9))+(1/(Calculations!$O152-Calculations!$C$13))*('Reaction Information'!$L$21*(Calculations!$M152-Calculations!$C$9)+'Reaction Information'!$M$21*10^4*LN((Calculations!$C$12+Calculations!$M152)/(Calculations!$C$12+Calculations!$C$9)))+calculateOmega(Calculations!M152,Calculations!N152,Calculations!Q152,'Reaction Information'!$C$21,'Reaction Information'!$P$21*10^5,'Reaction Information'!$Q$21)*((1/Calculations!$S152)-1)-'Reaction Information'!$P$21*10^5*((1/Calculations!$C$10)-1)+'Reaction Information'!$P$21*10^5*Calculations!$C$14*(Calculations!$O152-Calculations!$C$8))</f>
        <v>#N/A</v>
      </c>
      <c r="AI152" s="8" t="e">
        <f>IF(ISBLANK(Input!$AG$4),NA(),'Reaction Information'!$E$25-'Reaction Information'!$G$25*(Calculations!$O152-Calculations!$C$8)-'Reaction Information'!$N$25*(Calculations!$O152*LN(Calculations!$O152/Calculations!$C$8)-Calculations!$O152+Calculations!$C$8)-'Reaction Information'!$O$25*10^4*(((1/(Calculations!$O152-Calculations!$C$13))-(1/(Calculations!$C$8-Calculations!$C$13)))*((Calculations!$C$13-Calculations!$O152)/(Calculations!$C$13))-(Calculations!$O152/(Calculations!$C$13*Calculations!$C$13))*LN((Calculations!$C$8*(Calculations!$O152-Calculations!$C$13))/(Calculations!$O152*(Calculations!$C$8-Calculations!$C$13))))+'Reaction Information'!$J$25*10^-1*(Calculations!$M152-Calculations!$C$9)+'Reaction Information'!$K$25*10^2*LN((Calculations!$C$12+Calculations!$M152)/(Calculations!$C$12+Calculations!$C$9))+(1/(Calculations!$O152-Calculations!$C$13))*('Reaction Information'!$L$25*(Calculations!$M152-Calculations!$C$9)+'Reaction Information'!$M$25*10^4*LN((Calculations!$C$12+Calculations!$M152)/(Calculations!$C$12+Calculations!$C$9)))+calculateOmega(Calculations!M152,Calculations!N152,Calculations!Q152,'Reaction Information'!$C$25,'Reaction Information'!$P$25*10^5,'Reaction Information'!$Q$25)*((1/Calculations!$S152)-1)-'Reaction Information'!$P$25*10^5*((1/Calculations!$C$10)-1)+'Reaction Information'!$P$25*10^5*Calculations!$C$14*(Calculations!$O152-Calculations!$C$8))</f>
        <v>#N/A</v>
      </c>
      <c r="AJ152" s="8" t="e">
        <f>IF(ISBLANK(Input!$AJ$4),NA(),'Reaction Information'!$E$29-'Reaction Information'!$G$29*(Calculations!$O152-Calculations!$C$8)-'Reaction Information'!$N$29*(Calculations!$O152*LN(Calculations!$O152/Calculations!$C$8)-Calculations!$O152+Calculations!$C$8)-'Reaction Information'!$O$29*10^4*(((1/(Calculations!$O152-Calculations!$C$13))-(1/(Calculations!$C$8-Calculations!$C$13)))*((Calculations!$C$13-Calculations!$O152)/(Calculations!$C$13))-(Calculations!$O152/(Calculations!$C$13*Calculations!$C$13))*LN((Calculations!$C$8*(Calculations!$O152-Calculations!$C$13))/(Calculations!$O152*(Calculations!$C$8-Calculations!$C$13))))+'Reaction Information'!$J$29*10^-1*(Calculations!$M152-Calculations!$C$9)+'Reaction Information'!$K$29*10^2*LN((Calculations!$C$12+Calculations!$M152)/(Calculations!$C$12+Calculations!$C$9))+(1/(Calculations!$O152-Calculations!$C$13))*('Reaction Information'!$L$29*(Calculations!$M152-Calculations!$C$9)+'Reaction Information'!$M$29*10^4*LN((Calculations!$C$12+Calculations!$M152)/(Calculations!$C$12+Calculations!$C$9)))+calculateOmega(Calculations!M152,Calculations!N152,Calculations!Q152,'Reaction Information'!$C$29,'Reaction Information'!$P$29*10^5,'Reaction Information'!$Q$29)*((1/Calculations!$S152)-1)-'Reaction Information'!$P$29*10^5*((1/Calculations!$C$10)-1)+'Reaction Information'!$P$29*10^5*Calculations!$C$14*(Calculations!$O152-Calculations!$C$8))</f>
        <v>#N/A</v>
      </c>
      <c r="AK152" s="8" t="e">
        <f>IF(ISBLANK(Input!$AM$4),NA(),'Reaction Information'!$E$33-'Reaction Information'!$G$33*(Calculations!$O152-Calculations!$C$8)-'Reaction Information'!$N$33*(Calculations!$O152*LN(Calculations!$O152/Calculations!$C$8)-Calculations!$O152+Calculations!$C$8)-'Reaction Information'!$O$33*10^4*(((1/(Calculations!$O152-Calculations!$C$13))-(1/(Calculations!$C$8-Calculations!$C$13)))*((Calculations!$C$13-Calculations!$O152)/(Calculations!$C$13))-(Calculations!$O152/(Calculations!$C$13*Calculations!$C$13))*LN((Calculations!$C$8*(Calculations!$O152-Calculations!$C$13))/(Calculations!$O152*(Calculations!$C$8-Calculations!$C$13))))+'Reaction Information'!$J$33*10^-1*(Calculations!$M152-Calculations!$C$9)+'Reaction Information'!$K$33*10^2*LN((Calculations!$C$12+Calculations!$M152)/(Calculations!$C$12+Calculations!$C$9))+(1/(Calculations!$O152-Calculations!$C$13))*('Reaction Information'!$L$33*(Calculations!$M152-Calculations!$C$9)+'Reaction Information'!$M$33*10^4*LN((Calculations!$C$12+Calculations!$M152)/(Calculations!$C$12+Calculations!$C$9)))+calculateOmega(Calculations!M152,Calculations!N152,Calculations!Q152,'Reaction Information'!$C$33,'Reaction Information'!$P$33*10^5,'Reaction Information'!$Q$33)*((1/Calculations!$S152)-1)-'Reaction Information'!$P$33*10^5*((1/Calculations!$C$10)-1)+'Reaction Information'!$P$33*10^5*Calculations!$C$14*(Calculations!$O152-Calculations!$C$8))</f>
        <v>#N/A</v>
      </c>
      <c r="AL152" s="1">
        <f>Results!S154</f>
        <v>0</v>
      </c>
      <c r="AM152" s="1">
        <f>Results!T154</f>
        <v>0</v>
      </c>
      <c r="AN152" s="1">
        <f>Results!U154</f>
        <v>0</v>
      </c>
      <c r="AO152" s="1">
        <f>Results!V154</f>
        <v>0</v>
      </c>
      <c r="AP152" s="8" t="e">
        <f>IF(ISBLANK(Input!$BB$4),NA(),'Reaction Information'!$E$38-'Reaction Information'!$G$38*(Calculations!$O152-Calculations!$C$8)+'Reaction Information'!$I$38*(Calculations!$O152-Calculations!$C$8-Calculations!$O152*LN(Calculations!$O152/Calculations!$C$8))+'Reaction Information'!$J$38*0.001/2*(2*Calculations!$O152*Calculations!$C$8-Calculations!$O152^2-Calculations!$C$8^2) + 'Reaction Information'!$K$38*100000*(Calculations!$O152^2 + Calculations!$C$8^2 - 2*Calculations!$O152*Calculations!$C$8)/(2*Calculations!$O152*Calculations!$C$8^2))</f>
        <v>#N/A</v>
      </c>
      <c r="AQ152" s="8" t="e">
        <f>IF(ISBLANK(Input!$BE$4),NA(),'Reaction Information'!$E$42-'Reaction Information'!$G$42*(Calculations!$O152-Calculations!$C$8)+'Reaction Information'!$I$42*(Calculations!$O152-Calculations!$C$8-Calculations!$O152*LN(Calculations!$O152/Calculations!$C$8))+'Reaction Information'!$J$42*0.001/2*(2*Calculations!$O152*Calculations!$C$8-Calculations!$O152^2-Calculations!$C$8^2) + 'Reaction Information'!$K$42*100000*(Calculations!$O152^2 + Calculations!$C$8^2 - 2*Calculations!$O152*Calculations!$C$8)/(2*Calculations!$O152*Calculations!$C$8^2))</f>
        <v>#N/A</v>
      </c>
      <c r="AR152" s="8" t="e">
        <f>IF(AR$5="H2O", IF($D$24=3,IF(T152=0,NA(),T152),calculateGibbsOfWater(M152,N152,$D$24,$D$20,$D$19=3)),NA())</f>
        <v>#N/A</v>
      </c>
      <c r="AS152" s="8">
        <f>IF(ISBLANK(Input!$BK$4),NA(),'Reaction Information'!$E$46-'Reaction Information'!$G$46*(Calculations!O152-Calculations!$C$8)-'Reaction Information'!$N$46*(Calculations!O152*LN(Calculations!O152/Calculations!$C$8)-Calculations!O152+Calculations!$C$8)-'Reaction Information'!$O$46*10^4*(((1/(Calculations!O152-Calculations!$C$13))-(1/(Calculations!$C$8-Calculations!$C$13)))*((Calculations!$C$13-Calculations!O152)/(Calculations!$C$13))-(Calculations!O152/(Calculations!$C$13*Calculations!$C$13))*LN((Calculations!$C$8*(Calculations!O152-Calculations!$C$13))/(Calculations!O152*(Calculations!$C$8-Calculations!$C$13))))+'Reaction Information'!$J$46*10^-1*(Calculations!$M152-Calculations!$C$9)+'Reaction Information'!$K$46*10^2*LN((Calculations!$C$12+Calculations!$M152)/(Calculations!$C$12+Calculations!$C$9))+(1/(Calculations!O152-Calculations!$C$13))*('Reaction Information'!$L$46*(Calculations!$M152-Calculations!$C$9)+'Reaction Information'!$M$46*10^4*LN((Calculations!$C$12+Calculations!$M152)/(Calculations!$C$12+Calculations!$C$9)))+calculateOmega(Calculations!M152,Calculations!N152,Calculations!Q152,'Reaction Information'!$C$46,'Reaction Information'!$P$46*10^5,'Reaction Information'!$Q$46)*((1/Calculations!S152)-1)-'Reaction Information'!$P$46*10^5*((1/Calculations!$C$10)-1)+'Reaction Information'!$P$46*10^5*Calculations!$C$14*(Calculations!O152-Calculations!$C$8))</f>
        <v>0</v>
      </c>
      <c r="AT152" s="8">
        <f>IF(ISBLANK(Input!$BN$4),NA(),'Reaction Information'!$E$50-'Reaction Information'!$G$50*(Calculations!O152-Calculations!$C$8)-'Reaction Information'!$N$50*(Calculations!O152*LN(Calculations!O152/Calculations!$C$8)-Calculations!O152+Calculations!$C$8)-'Reaction Information'!$O$50*10^4*(((1/(Calculations!O152-Calculations!$C$13))-(1/(Calculations!$C$8-Calculations!$C$13)))*((Calculations!$C$13-Calculations!O152)/(Calculations!$C$13))-(Calculations!O152/(Calculations!$C$13*Calculations!$C$13))*LN((Calculations!$C$8*(Calculations!O152-Calculations!$C$13))/(Calculations!O152*(Calculations!$C$8-Calculations!$C$13))))+'Reaction Information'!$J$50*10^-1*(Calculations!$M152-Calculations!$C$9)+'Reaction Information'!$K$50*10^2*LN((Calculations!$C$12+Calculations!$M152)/(Calculations!$C$12+Calculations!$C$9))+(1/(Calculations!O152-Calculations!$C$13))*('Reaction Information'!$L$50*(Calculations!$M152-Calculations!$C$9)+'Reaction Information'!$M$50*10^4*LN((Calculations!$C$12+Calculations!$M152)/(Calculations!$C$12+Calculations!$C$9)))+calculateOmega(Calculations!M152,Calculations!N152,Calculations!Q152,'Reaction Information'!$C$50,'Reaction Information'!$P$50*10^5,'Reaction Information'!$Q$50)*((1/Calculations!S152)-1)-'Reaction Information'!$P$50*10^5*((1/Calculations!$C$10)-1)+'Reaction Information'!$P$50*10^5*Calculations!$C$14*(Calculations!O152-Calculations!$C$8))</f>
        <v>-129378.19014376523</v>
      </c>
      <c r="AU152" s="8" t="e">
        <f>IF(ISBLANK(Input!$BQ$4),NA(),'Reaction Information'!$E$54-'Reaction Information'!$G$54*(Calculations!$O152-Calculations!$C$8)-'Reaction Information'!$N$54*(Calculations!$O152*LN(Calculations!$O152/Calculations!$C$8)-Calculations!$O152+Calculations!$C$8)-'Reaction Information'!$O$54*10^4*(((1/(Calculations!$O152-Calculations!$C$13))-(1/(Calculations!$C$8-Calculations!$C$13)))*((Calculations!$C$13-Calculations!$O152)/(Calculations!$C$13))-(Calculations!$O152/(Calculations!$C$13*Calculations!$C$13))*LN((Calculations!$C$8*(Calculations!$O152-Calculations!$C$13))/(Calculations!$O152*(Calculations!$C$8-Calculations!$C$13))))+'Reaction Information'!$J$54*10^-1*(Calculations!$M152-Calculations!$C$9)+'Reaction Information'!$K$54*10^2*LN((Calculations!$C$12+Calculations!$M152)/(Calculations!$C$12+Calculations!$C$9))+(1/(Calculations!$O152-Calculations!$C$13))*('Reaction Information'!$L$54*(Calculations!$M152-Calculations!$C$9)+'Reaction Information'!$M$54*10^4*LN((Calculations!$C$12+Calculations!$M152)/(Calculations!$C$12+Calculations!$C$9)))+calculateOmega(Calculations!M152,Calculations!N152,Calculations!Q152,'Reaction Information'!$C$54,'Reaction Information'!$P$54*10^5,'Reaction Information'!$Q$54)*((1/Calculations!$S152)-1)-'Reaction Information'!$P$54*10^5*((1/Calculations!$C$10)-1)+'Reaction Information'!$P$54*10^5*Calculations!$C$14*(Calculations!$O152-Calculations!$C$8))</f>
        <v>#N/A</v>
      </c>
      <c r="AV152" s="8" t="e">
        <f>IF(ISBLANK(Input!$BT$4),NA(),'Reaction Information'!$E$58-'Reaction Information'!$G$58*(Calculations!$O152-Calculations!$C$8)-'Reaction Information'!$N$58*(Calculations!$O152*LN(Calculations!$O152/Calculations!$C$8)-Calculations!$O152+Calculations!$C$8)-'Reaction Information'!$O$58*10^4*(((1/(Calculations!$O152-Calculations!$C$13))-(1/(Calculations!$C$8-Calculations!$C$13)))*((Calculations!$C$13-Calculations!$O152)/(Calculations!$C$13))-(Calculations!$O152/(Calculations!$C$13*Calculations!$C$13))*LN((Calculations!$C$8*(Calculations!$O152-Calculations!$C$13))/(Calculations!$O152*(Calculations!$C$8-Calculations!$C$13))))+'Reaction Information'!$J$58*10^-1*(Calculations!$M152-Calculations!$C$9)+'Reaction Information'!$K$58*10^2*LN((Calculations!$C$12+Calculations!$M152)/(Calculations!$C$12+Calculations!$C$9))+(1/(Calculations!$O152-Calculations!$C$13))*('Reaction Information'!$L$58*(Calculations!$M152-Calculations!$C$9)+'Reaction Information'!$M$58*10^4*LN((Calculations!$C$12+Calculations!$M152)/(Calculations!$C$12+Calculations!$C$9)))+calculateOmega(Calculations!M152,Calculations!N152,Calculations!Q152,'Reaction Information'!$C$58,'Reaction Information'!$P$58*10^5,'Reaction Information'!$Q$58)*((1/Calculations!$S152)-1)-'Reaction Information'!$P$58*10^5*((1/Calculations!$C$10)-1)+'Reaction Information'!$P$58*10^5*Calculations!$C$14*(Calculations!$O152-Calculations!$C$8))</f>
        <v>#N/A</v>
      </c>
      <c r="AW152" s="8" t="e">
        <f>IF(ISBLANK(Input!$BW$4),NA(),'Reaction Information'!$E$62-'Reaction Information'!$G$62*(Calculations!$O152-Calculations!$C$8)-'Reaction Information'!$N$62*(Calculations!$O152*LN(Calculations!$O152/Calculations!$C$8)-Calculations!$O152+Calculations!$C$8)-'Reaction Information'!$O$62*10^4*(((1/(Calculations!$O152-Calculations!$C$13))-(1/(Calculations!$C$8-Calculations!$C$13)))*((Calculations!$C$13-Calculations!$O152)/(Calculations!$C$13))-(Calculations!$O152/(Calculations!$C$13*Calculations!$C$13))*LN((Calculations!$C$8*(Calculations!$O152-Calculations!$C$13))/(Calculations!$O152*(Calculations!$C$8-Calculations!$C$13))))+'Reaction Information'!$J$62*10^-1*(Calculations!$M152-Calculations!$C$9)+'Reaction Information'!$K$62*10^2*LN((Calculations!$C$12+Calculations!$M152)/(Calculations!$C$12+Calculations!$C$9))+(1/(Calculations!$O152-Calculations!$C$13))*('Reaction Information'!$L$62*(Calculations!$M152-Calculations!$C$9)+'Reaction Information'!$M$62*10^4*LN((Calculations!$C$12+Calculations!$M152)/(Calculations!$C$12+Calculations!$C$9)))+calculateOmega(Calculations!M152,Calculations!N152,Calculations!Q152,'Reaction Information'!$C$62,'Reaction Information'!$P$62*10^5,'Reaction Information'!$Q$62)*((1/Calculations!$S152)-1)-'Reaction Information'!$P$62*10^5*((1/Calculations!$C$10)-1)+'Reaction Information'!$P$62*10^5*Calculations!$C$14*(Calculations!$O152-Calculations!$C$8))</f>
        <v>#N/A</v>
      </c>
      <c r="AX152" s="8" t="e">
        <f>IF(ISBLANK(Input!$BZ$4),NA(),'Reaction Information'!$E$66-'Reaction Information'!$G$66*(Calculations!$O152-Calculations!$C$8)-'Reaction Information'!$N$66*(Calculations!$O152*LN(Calculations!$O152/Calculations!$C$8)-Calculations!$O152+Calculations!$C$8)-'Reaction Information'!$O$66*10^4*(((1/(Calculations!$O152-Calculations!$C$13))-(1/(Calculations!$C$8-Calculations!$C$13)))*((Calculations!$C$13-Calculations!$O152)/(Calculations!$C$13))-(Calculations!$O152/(Calculations!$C$13*Calculations!$C$13))*LN((Calculations!$C$8*(Calculations!$O152-Calculations!$C$13))/(Calculations!$O152*(Calculations!$C$8-Calculations!$C$13))))+'Reaction Information'!$J$66*10^-1*(Calculations!$M152-Calculations!$C$9)+'Reaction Information'!$K$66*10^2*LN((Calculations!$C$12+Calculations!$M152)/(Calculations!$C$12+Calculations!$C$9))+(1/(Calculations!$O152-Calculations!$C$13))*('Reaction Information'!$L$66*(Calculations!$M152-Calculations!$C$9)+'Reaction Information'!$M$66*10^4*LN((Calculations!$C$12+Calculations!$M152)/(Calculations!$C$12+Calculations!$C$9)))+calculateOmega(Calculations!M152,Calculations!N152,Calculations!Q152,'Reaction Information'!$C$66,'Reaction Information'!$P$66*10^5,'Reaction Information'!$Q$66)*((1/Calculations!$S152)-1)-'Reaction Information'!$P$66*10^5*((1/Calculations!$C$10)-1)+'Reaction Information'!$P$66*10^5*Calculations!$C$14*(Calculations!$O152-Calculations!$C$8))</f>
        <v>#N/A</v>
      </c>
      <c r="AY152" s="31">
        <f>(AL152*Input!$AO$4+AM152*Input!$AR$4+AN152*Input!$AU$4+AO152*Input!$AX$4+IF(ISNA(AP152),0,AP152*Input!$BA$4)+IF(ISNA(AQ152),0,AQ152*Input!$BD$4)+IF(ISNA(AR152),0,AR152*Input!$BG$4)+IF(ISNA(AS152),0,AS152*Input!$BJ$4)+IF(ISNA(AT152),0,AT152*Input!$BM$4)+IF(ISNA(AU152),0,AU152*Input!$BP$4)+IF(ISNA(AV152),0,AV152*Input!$BS$4)+IF(ISNA(AW152),0,AW152*Input!$BV$4)+IF(ISNA(AX152),0,AX152*Input!$BY$4))-(Y152*Input!$B$4+Z152*Input!$E$4+AA152*Input!$H$4+AB152*Input!$K$4+IF(ISNA(AC152),0,AC152*Input!$N$4)+IF(ISNA(AD152),0,AD152*Input!$Q$4)+IF(ISNA(AE152),0,AE152*Input!$T$4)+IF(ISNA(AF152),0,AF152*Input!$W$4)+IF(ISNA(AG152),0,AG152*Input!$Z$4)+IF(ISNA(AH152),0,AH152*Input!$AC$4)+IF(ISNA(AI152),0,AI152*Input!$AF$4)+IF(ISNA(AJ152),0,AJ152*Input!$AI$4)+IF(ISNA(AK152),0,AK152*Input!$AL$4))</f>
        <v>21861.902036278407</v>
      </c>
      <c r="AZ152" s="42">
        <f t="shared" si="39"/>
        <v>-4.2567883368890662</v>
      </c>
      <c r="BA152" s="1">
        <f t="shared" si="46"/>
        <v>850</v>
      </c>
      <c r="BB152" s="46">
        <f t="shared" si="47"/>
        <v>50000</v>
      </c>
      <c r="BC152" s="1"/>
      <c r="BD152" s="2">
        <f t="shared" si="48"/>
        <v>50000</v>
      </c>
      <c r="BE152" s="46">
        <f t="shared" si="49"/>
        <v>850</v>
      </c>
      <c r="BF152" s="1">
        <f>Results!AJ154</f>
        <v>0</v>
      </c>
      <c r="BG152" s="1">
        <f>Results!AK154</f>
        <v>0</v>
      </c>
      <c r="BH152" s="1">
        <f>Results!AL154</f>
        <v>0</v>
      </c>
      <c r="BI152" s="1">
        <f>Results!AM154</f>
        <v>0</v>
      </c>
      <c r="BJ152" s="1" t="e">
        <f>IF(OR(ISNA('Reaction Information'!$D$5), $N152 = "", $D$27 = FALSE, 'Reaction Information'!$D$5 = ""), NA(), 24.465)</f>
        <v>#N/A</v>
      </c>
      <c r="BK152" s="1" t="e">
        <f>IF(OR(ISNA('Reaction Information'!$D$9), $N152 = "", $D$27 = FALSE, 'Reaction Information'!$D$9 = ""), NA(), 24.465)</f>
        <v>#N/A</v>
      </c>
      <c r="BL152" s="8">
        <f t="shared" si="40"/>
        <v>13.613352599500425</v>
      </c>
      <c r="BM152" s="8">
        <f>IF(OR(ISBLANK(Input!$X$4),$D$27=FALSE),NA(),('Reaction Information'!$J$13/10+'Reaction Information'!$K$13*100/(Calculations!$C$12+Calculations!$M152)+('Reaction Information'!$L$13+'Reaction Information'!$M$13*10^4/(Calculations!$C$12+Calculations!$M152))/(Calculations!$O152-Calculations!$C$13) -calculateOmega(Calculations!$M152,Calculations!$N152,Calculations!$Q152,'Reaction Information'!$C$13,'Reaction Information'!$P$13*10^5,'Reaction Information'!$Q$13)*Calculations!$U152*10^-6 + (1/$S152 - 1)*calculate_domegadP(Calculations!$M152,Calculations!$N152,Calculations!$Q152,'Reaction Information'!$C$13,'Reaction Information'!$P$13*10^5,'Reaction Information'!$Q$13,$D$20,$D$19=3))*41.84)</f>
        <v>30.019832814999681</v>
      </c>
      <c r="BN152" s="8" t="e">
        <f>IF(OR(ISBLANK(Input!$AA$4),$D$27=FALSE),NA(),('Reaction Information'!$J$17/10+'Reaction Information'!$K$17*100/(Calculations!$C$12+Calculations!$M152)+('Reaction Information'!$L$17+'Reaction Information'!$M$17*10000/(Calculations!$C$12+Calculations!$M152))/(Calculations!$O152-Calculations!$C$13)-calculateOmega(Calculations!M152,Calculations!N152,Calculations!Q152,'Reaction Information'!$C$17,'Reaction Information'!$P$17*10^5,'Reaction Information'!$Q$17)*Calculations!$U152*10^-6 + (1/$S152 - 1)*calculate_domegadP(Calculations!M152,Calculations!N152,Calculations!Q152,'Reaction Information'!$C$17,'Reaction Information'!$P$17*10^5,'Reaction Information'!$Q$17,$D$20,$D$19=3))*41.84)</f>
        <v>#N/A</v>
      </c>
      <c r="BO152" s="8" t="e">
        <f>IF(OR(ISBLANK(Input!$AD$4),$D$27=FALSE),NA(),('Reaction Information'!$J$21/10+'Reaction Information'!$K$21*100/(Calculations!$C$12+Calculations!$M152)+('Reaction Information'!$L$21+'Reaction Information'!$M$21*10000/(Calculations!$C$12+Calculations!$M152))/(Calculations!$O152-Calculations!$C$13)-calculateOmega(Calculations!M152,Calculations!N152,Calculations!Q152,'Reaction Information'!$C$21,'Reaction Information'!$P$21*10^5,'Reaction Information'!$Q$21)*Calculations!$U152*10^-6 + (1/$S152 - 1)*calculate_domegadP(Calculations!M152,Calculations!N152,Calculations!Q152,'Reaction Information'!$C$21,'Reaction Information'!$P$21*10^5,'Reaction Information'!$Q$21,$D$20,$D$19=3))*41.84)</f>
        <v>#N/A</v>
      </c>
      <c r="BP152" s="8" t="e">
        <f>IF(OR(ISBLANK(Input!$AG$4),$D$27=FALSE),NA(),('Reaction Information'!$J$25/10+'Reaction Information'!$K$25*100/(Calculations!$C$12+Calculations!$M152)+('Reaction Information'!$L$25+'Reaction Information'!$M$25*10000/(Calculations!$C$12+Calculations!$M152))/(Calculations!$O152-Calculations!$C$13)-calculateOmega(Calculations!M152,Calculations!N152,Calculations!Q152,'Reaction Information'!$C$25,'Reaction Information'!$P$25*10^5,'Reaction Information'!$Q$25)*Calculations!$U152*10^-6 + (1/$S152 - 1)*calculate_domegadP(Calculations!M152,Calculations!N152,Calculations!Q152,'Reaction Information'!$C$25,'Reaction Information'!$P$25*10^5,'Reaction Information'!$Q$25,$D$20,$D$19=3))*41.84)</f>
        <v>#N/A</v>
      </c>
      <c r="BQ152" s="8" t="e">
        <f>IF(OR(ISBLANK(Input!$AJ$4),$D$27=FALSE),NA(),('Reaction Information'!$J$29/10+'Reaction Information'!$K$29*100/(Calculations!$C$12+Calculations!$M152)+('Reaction Information'!$L$29+'Reaction Information'!$M$29*10000/(Calculations!$C$12+Calculations!$M152))/(Calculations!$O152-Calculations!$C$13)-calculateOmega(Calculations!M152,Calculations!N152,Calculations!Q152,'Reaction Information'!$C$29,'Reaction Information'!$P$29*10^5,'Reaction Information'!$Q$29)*Calculations!$U152*10^-6 + (1/$S152 - 1)*calculate_domegadP(Calculations!M152,Calculations!N152,Calculations!Q152,'Reaction Information'!$C$29,'Reaction Information'!$P$29*10^5,'Reaction Information'!$Q$29,$D$20,$D$19=3))*41.84)</f>
        <v>#N/A</v>
      </c>
      <c r="BR152" s="8" t="e">
        <f>IF(OR(ISBLANK(Input!$AM$4),$D$27=FALSE),NA(),('Reaction Information'!$J$33/10+'Reaction Information'!$K$33*100/(Calculations!$C$12+Calculations!$M152)+('Reaction Information'!$L$33+'Reaction Information'!$M$33*10000/(Calculations!$C$12+Calculations!$M152))/(Calculations!$O152-Calculations!$C$13)-calculateOmega(Calculations!M152,Calculations!N152,Calculations!Q152,'Reaction Information'!$C$33,'Reaction Information'!$P$33*10^5,'Reaction Information'!$Q$33)*Calculations!$U152*10^-6 + (1/$S152 - 1)*calculate_domegadP(Calculations!M152,Calculations!N152,Calculations!Q152,'Reaction Information'!$C$33,'Reaction Information'!$P$33*10^5,'Reaction Information'!$Q$33,$D$20,$D$19=3))*41.84)</f>
        <v>#N/A</v>
      </c>
      <c r="BS152" s="1">
        <f>Results!AW154</f>
        <v>0</v>
      </c>
      <c r="BT152" s="1">
        <f>Results!AX154</f>
        <v>0</v>
      </c>
      <c r="BU152" s="1">
        <f>Results!AY154</f>
        <v>0</v>
      </c>
      <c r="BV152" s="1">
        <f>Results!AZ154</f>
        <v>0</v>
      </c>
      <c r="BW152" s="1" t="e">
        <f>IF(OR(ISNA('Reaction Information'!$D$38), $N152 = "", $D$27 = FALSE, 'Reaction Information'!$D$38 = ""), NA(), 24.465)</f>
        <v>#N/A</v>
      </c>
      <c r="BX152" s="1" t="e">
        <f>IF(OR(ISNA('Reaction Information'!$D$42), $N152 = "", $D$27 = FALSE, 'Reaction Information'!$D$42 = ""), NA(), 24.465)</f>
        <v>#N/A</v>
      </c>
      <c r="BY152" s="8" t="e">
        <f t="shared" si="41"/>
        <v>#N/A</v>
      </c>
      <c r="BZ152" s="8">
        <f>IF(OR(ISBLANK(Input!$BK$4),$D$27=FALSE),NA(),('Reaction Information'!$J$46/10+'Reaction Information'!$K$46*100/(Calculations!$C$12+Calculations!$M152)+('Reaction Information'!$L$46+'Reaction Information'!$M$46*10000/(Calculations!$C$12+Calculations!$M152))/(Calculations!$O152-Calculations!$C$13)-calculateOmega(Calculations!M152,Calculations!N152,Calculations!Q152,'Reaction Information'!$C$46,'Reaction Information'!$P$46*10^5,'Reaction Information'!$Q$46)*Calculations!$U152*10^-6 + (1/$S152 - 1)*calculate_domegadP(Calculations!M152,Calculations!N152,Calculations!Q152,'Reaction Information'!$C$46,'Reaction Information'!$P$46*10^5,'Reaction Information'!$Q$46,$D$20,$D$19=3))*41.84)</f>
        <v>0</v>
      </c>
      <c r="CA152" s="8">
        <f>IF(OR(ISBLANK(Input!$BN$4),$D$27=FALSE),NA(),('Reaction Information'!$J$50/10+'Reaction Information'!$K$50*100/(Calculations!$C$12+Calculations!$M152)+('Reaction Information'!$L$50+'Reaction Information'!$M$50*10000/(Calculations!$C$12+Calculations!$M152))/(Calculations!$O152-Calculations!$C$13)-calculateOmega(Calculations!M152,Calculations!N152,Calculations!Q152,'Reaction Information'!$C$50,'Reaction Information'!$P$50*10^5,'Reaction Information'!$Q$50)*Calculations!$U152*10^-6 + (1/$S152 - 1)*calculate_domegadP(Calculations!M152,Calculations!N152,Calculations!Q152,'Reaction Information'!$C$50,'Reaction Information'!$P$50*10^5,'Reaction Information'!$Q$50,$D$20,$D$19=3))*41.84)</f>
        <v>31.142348420323998</v>
      </c>
      <c r="CB152" s="8" t="e">
        <f>IF(OR(ISBLANK(Input!$BQ$4),$D$27=FALSE),NA(),('Reaction Information'!$J$54/10+'Reaction Information'!$K$54*100/(Calculations!$C$12+Calculations!$M152)+('Reaction Information'!$L$54+'Reaction Information'!$M$54*10000/(Calculations!$C$12+Calculations!$M152))/(Calculations!$O152-Calculations!$C$13)-calculateOmega(Calculations!M152,Calculations!N152,Calculations!Q152,'Reaction Information'!$C$54,'Reaction Information'!$P$54*10^5,'Reaction Information'!$Q$54)*Calculations!$U152*10^-6 + (1/$S152 - 1)*calculate_domegadP(Calculations!M152,Calculations!N152,Calculations!Q152,'Reaction Information'!$C$54,'Reaction Information'!$P$54*10^5,'Reaction Information'!$Q$54,$D$20,$D$19=3))*41.84)</f>
        <v>#N/A</v>
      </c>
      <c r="CC152" s="8" t="e">
        <f>IF(OR(ISBLANK(Input!$BT$4),$D$27=FALSE),NA(),('Reaction Information'!$J$58/10+'Reaction Information'!$K$58*100/(Calculations!$C$12+Calculations!$M152)+('Reaction Information'!$L$58+'Reaction Information'!$M$58*10000/(Calculations!$C$12+Calculations!$M152))/(Calculations!$O152-Calculations!$C$13)-calculateOmega(Calculations!M152,Calculations!N152,Calculations!Q152,'Reaction Information'!$C$58,'Reaction Information'!$P$58*10^5,'Reaction Information'!$Q$58)*Calculations!$U152*10^-6 + (1/$S152 - 1)*calculate_domegadP(Calculations!M152,Calculations!N152,Calculations!Q152,'Reaction Information'!$C$58,'Reaction Information'!$P$58*10^5,'Reaction Information'!$Q$58,$D$20,$D$19=3))*41.84)</f>
        <v>#N/A</v>
      </c>
      <c r="CD152" s="8" t="e">
        <f>IF(OR(ISBLANK(Input!$BW$4),$D$27=FALSE),NA(),('Reaction Information'!$J$62/10+'Reaction Information'!$K$62*100/(Calculations!$C$12+Calculations!$M152)+('Reaction Information'!$L$62+'Reaction Information'!$M$62*10000/(Calculations!$C$12+Calculations!$M152))/(Calculations!$O152-Calculations!$C$13)-calculateOmega(Calculations!M152,Calculations!N152,Calculations!Q152,'Reaction Information'!$C$62,'Reaction Information'!$P$62*10^5,'Reaction Information'!$Q$62)*Calculations!$U152*10^-6 + (1/$S152 - 1)*calculate_domegadP(Calculations!M152,Calculations!N152,Calculations!Q152,'Reaction Information'!$C$62,'Reaction Information'!$P$62*10^5,'Reaction Information'!$Q$62,$D$20,$D$19=3))*41.84)</f>
        <v>#N/A</v>
      </c>
      <c r="CE152" s="8" t="e">
        <f>IF(OR(ISBLANK(Input!$BZ$4),$D$27=FALSE),NA(),('Reaction Information'!$J$66/10+'Reaction Information'!$K$66*100/(Calculations!$C$12+Calculations!$M152)+('Reaction Information'!$L$66+'Reaction Information'!$M$66*10000/(Calculations!$C$12+Calculations!$M152))/(Calculations!$O152-Calculations!$C$13)-calculateOmega(Calculations!M152,Calculations!N152,Calculations!Q152,'Reaction Information'!$C$66,'Reaction Information'!$P$66*10^5,'Reaction Information'!$Q$66)*Calculations!$U152*10^-6 + (1/$S152 - 1)*calculate_domegadP(Calculations!M152,Calculations!N152,Calculations!Q152,'Reaction Information'!$C$66,'Reaction Information'!$P$66*10^5,'Reaction Information'!$Q$66,$D$20,$D$19=3))*41.84)</f>
        <v>#N/A</v>
      </c>
      <c r="CF152" s="31">
        <f>(BS152*Input!$AO$4+BT152*Input!$AR$4+BU152*Input!$AU$4+BV152*Input!$AX$4+IF(ISNA(BW152),0,BW152*Input!$BA$4)+IF(ISNA(BX152),0,BX152*Input!$BD$4)+IF(ISNA(BY152),0,BY152*Input!$BG$4)+IF(ISNA(BZ152),0,BZ152*Input!$BJ$4)+IF(ISNA(CA152),0,CA152*Input!$BM$4)+IF(ISNA(CB152),0,CB152*Input!$BP$4)+IF(ISNA(CC152),0,CC152*Input!$BS$4)+IF(ISNA(CD152),0,CD152*Input!$BV$4)+IF(ISNA(CE152),0,CE152*Input!$BY$4))-(BF152*Input!$B$4+BG152*Input!$E$4+BH152*Input!$H$4+BI152*Input!$K$4+IF(ISNA(BJ152),0,BJ152*Input!$N$4)+IF(ISNA(BK152),0,BK152*Input!$Q$4)+IF(ISNA(BL152),0,BL152*Input!$T$4)+IF(ISNA(BM152),0,BM152*Input!$W$4)+IF(ISNA(BN152),0,BN152*Input!$Z$4)+IF(ISNA(BO152),0,BO152*Input!$AC$4)+IF(ISNA(BP152),0,BP152*Input!$AF$4)+IF(ISNA(BQ152),0,BQ152*Input!$AI$4)+IF(ISNA(BR152),0,BR152*Input!$AL$4))</f>
        <v>-12.490836994176107</v>
      </c>
      <c r="CG152" s="1">
        <f t="shared" si="50"/>
        <v>850</v>
      </c>
      <c r="CH152" s="46">
        <f t="shared" si="51"/>
        <v>50000</v>
      </c>
      <c r="CI152" s="1"/>
    </row>
    <row r="153" spans="1:87" x14ac:dyDescent="0.2">
      <c r="A153" s="1"/>
      <c r="B153" s="1"/>
      <c r="C153" s="1"/>
      <c r="D153" s="1"/>
      <c r="E153" s="1"/>
      <c r="F153" s="2">
        <v>148</v>
      </c>
      <c r="G153" s="1" t="str">
        <f>IF(ISBLANK(Input!CB153), "", Input!CB153*1000)</f>
        <v/>
      </c>
      <c r="H153" s="1" t="str">
        <f>IF(ISBLANK(Input!CC153), "", Input!CC153)</f>
        <v/>
      </c>
      <c r="I153" s="1">
        <f>IF(Input!$CF$5 + Input!$CF$6*(FLOOR((Calculations!$F153-1)/(FLOOR((Input!$CF$12-Input!$CF$10)/Input!$CF$11,1)+1),1)) &gt; Input!$CF$7, "", (Input!$CF$5 + Input!$CF$6*(FLOOR((Calculations!$F153-1)/(FLOOR((Input!$CF$12-Input!$CF$10)/Input!$CF$11,1)+1),1)))*1000)</f>
        <v>50000</v>
      </c>
      <c r="J153" s="1">
        <f>IF(Calculations!I153 = "", "", Input!$CF$10 + Input!$CF$11*(Calculations!$F153-1) - (FLOOR((Input!$CF$12-Input!$CF$10)/Input!$CF$11,1)+1)*Input!$CF$11*FLOOR((Calculations!$F153-1)/(FLOOR((Input!$CF$12-Input!$CF$10)/Input!$CF$11,1)+1),1))</f>
        <v>900</v>
      </c>
      <c r="K153" s="8" t="str">
        <f t="shared" si="52"/>
        <v/>
      </c>
      <c r="L153" s="117" t="str">
        <f>IF(OR(Input!$CJ$5 + Input!$CJ$6*(Calculations!F153-1) &gt; Input!$CJ$7, Input!$CJ$5 + Input!$CJ$6*(Calculations!F153-1) &gt; 350), "", Input!$CJ$5 + Input!$CJ$6*(Calculations!F153-1))</f>
        <v/>
      </c>
      <c r="M153" s="1">
        <f t="shared" si="42"/>
        <v>50000</v>
      </c>
      <c r="N153" s="1">
        <f t="shared" si="43"/>
        <v>900</v>
      </c>
      <c r="O153" s="1">
        <f t="shared" si="38"/>
        <v>1173.1500000000001</v>
      </c>
      <c r="P153" s="1" t="e">
        <f>IF(OR($D$20=3,AND($D$21=TRUE,M153&lt;1000)),INDEX('Water Density'!$C$6:$CX$120,MATCH(Calculations!N153,'Water Density'!$B$6:$B$120),MATCH(Calculations!M153/1000,'Water Density'!$C$5:$CX$5)),NA())</f>
        <v>#N/A</v>
      </c>
      <c r="Q153" s="182">
        <f>IF(OR($D$20=3,AND($D$21=TRUE,M153&lt;1000)), IF(P153&lt;&gt;0,P153,NA()), calculateDensity(M153,N153,$D$20,0.01,$D$19 = 3))</f>
        <v>1.3112118708217146</v>
      </c>
      <c r="R153" s="1" t="e">
        <f>IF($D$22=5,INDEX('Dielectric Constant'!$C$6:$CX$120,MATCH(Calculations!N153,'Dielectric Constant'!$B$6:$B$120),MATCH(Calculations!M153/1000,'Dielectric Constant'!$C$5:$CX$5)),NA())</f>
        <v>#N/A</v>
      </c>
      <c r="S153" s="58">
        <f>IF($D$22=5, IF(R153&lt;&gt;0,R153,NA()), IF(AND($D$23,M153&lt;=5000,$D$19 &lt;&gt; 3),calculateEpsilon(Q153,N153,1,FALSE),calculateEpsilon(Q153,N153,$D$22,$D$19 = 3)))</f>
        <v>19.846752756954068</v>
      </c>
      <c r="T153" s="1" t="e">
        <f>IF($D$24=3,INDEX('Water Free Energy'!$C$6:$CX$120,MATCH(Calculations!N153,'Water Free Energy'!$B$6:$B$120),MATCH(Calculations!M153/1000,'Water Free Energy'!$C$5:$CX$5)),NA())</f>
        <v>#N/A</v>
      </c>
      <c r="U153" s="179">
        <f>IF($D$27,calculateQ(M153,N153,Q153,$D$20,$D$22,$D$19=3)*10^6,NA())</f>
        <v>0.18662000520510469</v>
      </c>
      <c r="V153"/>
      <c r="W153" s="2">
        <f t="shared" si="44"/>
        <v>50000</v>
      </c>
      <c r="X153" s="1">
        <f t="shared" si="45"/>
        <v>900</v>
      </c>
      <c r="Y153" s="1">
        <f>Results!F155</f>
        <v>0</v>
      </c>
      <c r="Z153" s="1">
        <f>Results!G155</f>
        <v>0</v>
      </c>
      <c r="AA153" s="1">
        <f>Results!H155</f>
        <v>0</v>
      </c>
      <c r="AB153" s="1">
        <f>Results!I155</f>
        <v>0</v>
      </c>
      <c r="AC153" s="1" t="e">
        <f>IF(ISBLANK(Input!$O$4),NA(),'Reaction Information'!$E$5-'Reaction Information'!$G$5*(Calculations!$O153-Calculations!$C$8)+'Reaction Information'!$I$5*(Calculations!$O153-Calculations!$C$8-Calculations!$O153*LN(Calculations!$O153/Calculations!$C$8))+'Reaction Information'!$J$5*0.001/2*(2*Calculations!$O153*Calculations!$C$8-Calculations!$O153^2-Calculations!$C$8^2) + 'Reaction Information'!$K$5*100000*(Calculations!$O153^2 + Calculations!$C$8^2 - 2*Calculations!$O153*Calculations!$C$8)/(2*Calculations!$O153*Calculations!$C$8^2))</f>
        <v>#N/A</v>
      </c>
      <c r="AD153" s="8" t="e">
        <f>IF(ISBLANK(Input!$R$4),NA(),'Reaction Information'!$E$9-'Reaction Information'!$G$9*(Calculations!$O153-Calculations!$C$8)+'Reaction Information'!$I$9*(Calculations!$O153-Calculations!$C$8-Calculations!$O153*LN(Calculations!$O153/Calculations!$C$8))+'Reaction Information'!$J$9*0.001/2*(2*Calculations!$O153*Calculations!$C$8-Calculations!$O153^2-Calculations!$C$8^2) + 'Reaction Information'!$K$9*100000*(Calculations!$O153^2 + Calculations!$C$8^2 - 2*Calculations!$O153*Calculations!$C$8)/(2*Calculations!$O153*Calculations!$C$8^2))</f>
        <v>#N/A</v>
      </c>
      <c r="AE153" s="8">
        <f>IF(AE$5="H2O",IF($D$24=3,IF(T153=0,NA(),T153),calculateGibbsOfWater(M153,N153,$D$24,$D$20,$D$19=3)),NA())</f>
        <v>-61966.808818080994</v>
      </c>
      <c r="AF153" s="8">
        <f>IF(ISBLANK(Input!$X$4),NA(),'Reaction Information'!$E$13-'Reaction Information'!$G$13*(Calculations!O153-Calculations!$C$8)-'Reaction Information'!$N$13*(Calculations!O153*LN(Calculations!O153/Calculations!$C$8)-Calculations!O153+Calculations!$C$8)-'Reaction Information'!$O$13*10^4*(((1/(Calculations!O153-Calculations!$C$13))-(1/(Calculations!$C$8-Calculations!$C$13)))*((Calculations!$C$13-Calculations!O153)/(Calculations!$C$13))-(Calculations!O153/(Calculations!$C$13*Calculations!$C$13))*LN((Calculations!$C$8*(Calculations!O153-Calculations!$C$13))/(Calculations!O153*(Calculations!$C$8-Calculations!$C$13))))+'Reaction Information'!$J$13*10^-1*(Calculations!M153-Calculations!$C$9)+'Reaction Information'!$K$13*10^2*LN((Calculations!$C$12+Calculations!M153)/(Calculations!$C$12+Calculations!$C$9))+(1/(Calculations!O153-Calculations!$C$13))*('Reaction Information'!$L$13*(Calculations!M153-Calculations!$C$9)+'Reaction Information'!$M$13*10^4*LN((Calculations!$C$12+Calculations!M153)/(Calculations!$C$12+Calculations!$C$9)))+calculateOmega(Calculations!M153,Calculations!N153,Calculations!Q153,'Reaction Information'!$C$13,'Reaction Information'!$P$13*10^5,'Reaction Information'!$Q$13)*((1/Calculations!S153)-1)-'Reaction Information'!$P$13*10^5*((1/Calculations!$C$10)-1)+'Reaction Information'!$P$13*10^5*Calculations!$C$14*(Calculations!O153-Calculations!$C$8))</f>
        <v>-93376.46569883448</v>
      </c>
      <c r="AG153" s="8" t="e">
        <f>IF(ISBLANK(Input!$AA$4),NA(),'Reaction Information'!$E$17-'Reaction Information'!$G$17*(Calculations!$O153-Calculations!$C$8)-'Reaction Information'!$N$17*(Calculations!$O153*LN(Calculations!$O153/Calculations!$C$8)-Calculations!$O153+Calculations!$C$8)-'Reaction Information'!$O$17*10^4*(((1/(Calculations!$O153-Calculations!$C$13))-(1/(Calculations!$C$8-Calculations!$C$13)))*((Calculations!$C$13-Calculations!$O153)/(Calculations!$C$13))-(Calculations!$O153/(Calculations!$C$13*Calculations!$C$13))*LN((Calculations!$C$8*(Calculations!$O153-Calculations!$C$13))/(Calculations!$O153*(Calculations!$C$8-Calculations!$C$13))))+'Reaction Information'!$J$17*10^-1*(Calculations!$M153-Calculations!$C$9)+'Reaction Information'!$K$17*10^2*LN((Calculations!$C$12+Calculations!$M153)/(Calculations!$C$12+Calculations!$C$9))+(1/(Calculations!$O153-Calculations!$C$13))*('Reaction Information'!$L$17*(Calculations!$M153-Calculations!$C$9)+'Reaction Information'!$M$17*10^4*LN((Calculations!$C$12+Calculations!$M153)/(Calculations!$C$12+Calculations!$C$9)))+calculateOmega(Calculations!M153,Calculations!N153,Calculations!Q153,'Reaction Information'!$C$17,'Reaction Information'!$P$17*10^5,'Reaction Information'!$Q$17)*((1/Calculations!$S153)-1)-'Reaction Information'!$P$17*10^5*((1/Calculations!$C$10)-1)+'Reaction Information'!$P$17*10^5*Calculations!$C$14*(Calculations!$O153-Calculations!$C$8))</f>
        <v>#N/A</v>
      </c>
      <c r="AH153" s="8" t="e">
        <f>IF(ISBLANK(Input!$AD$4),NA(),'Reaction Information'!$E$21-'Reaction Information'!$G$21*(Calculations!$O153-Calculations!$C$8)-'Reaction Information'!$N$21*(Calculations!$O153*LN(Calculations!$O153/Calculations!$C$8)-Calculations!$O153+Calculations!$C$8)-'Reaction Information'!$O$21*10^4*(((1/(Calculations!$O153-Calculations!$C$13))-(1/(Calculations!$C$8-Calculations!$C$13)))*((Calculations!$C$13-Calculations!$O153)/(Calculations!$C$13))-(Calculations!$O153/(Calculations!$C$13*Calculations!$C$13))*LN((Calculations!$C$8*(Calculations!$O153-Calculations!$C$13))/(Calculations!$O153*(Calculations!$C$8-Calculations!$C$13))))+'Reaction Information'!$J$21*10^-1*(Calculations!$M153-Calculations!$C$9)+'Reaction Information'!$K$21*10^2*LN((Calculations!$C$12+Calculations!$M153)/(Calculations!$C$12+Calculations!$C$9))+(1/(Calculations!$O153-Calculations!$C$13))*('Reaction Information'!$L$21*(Calculations!$M153-Calculations!$C$9)+'Reaction Information'!$M$21*10^4*LN((Calculations!$C$12+Calculations!$M153)/(Calculations!$C$12+Calculations!$C$9)))+calculateOmega(Calculations!M153,Calculations!N153,Calculations!Q153,'Reaction Information'!$C$21,'Reaction Information'!$P$21*10^5,'Reaction Information'!$Q$21)*((1/Calculations!$S153)-1)-'Reaction Information'!$P$21*10^5*((1/Calculations!$C$10)-1)+'Reaction Information'!$P$21*10^5*Calculations!$C$14*(Calculations!$O153-Calculations!$C$8))</f>
        <v>#N/A</v>
      </c>
      <c r="AI153" s="8" t="e">
        <f>IF(ISBLANK(Input!$AG$4),NA(),'Reaction Information'!$E$25-'Reaction Information'!$G$25*(Calculations!$O153-Calculations!$C$8)-'Reaction Information'!$N$25*(Calculations!$O153*LN(Calculations!$O153/Calculations!$C$8)-Calculations!$O153+Calculations!$C$8)-'Reaction Information'!$O$25*10^4*(((1/(Calculations!$O153-Calculations!$C$13))-(1/(Calculations!$C$8-Calculations!$C$13)))*((Calculations!$C$13-Calculations!$O153)/(Calculations!$C$13))-(Calculations!$O153/(Calculations!$C$13*Calculations!$C$13))*LN((Calculations!$C$8*(Calculations!$O153-Calculations!$C$13))/(Calculations!$O153*(Calculations!$C$8-Calculations!$C$13))))+'Reaction Information'!$J$25*10^-1*(Calculations!$M153-Calculations!$C$9)+'Reaction Information'!$K$25*10^2*LN((Calculations!$C$12+Calculations!$M153)/(Calculations!$C$12+Calculations!$C$9))+(1/(Calculations!$O153-Calculations!$C$13))*('Reaction Information'!$L$25*(Calculations!$M153-Calculations!$C$9)+'Reaction Information'!$M$25*10^4*LN((Calculations!$C$12+Calculations!$M153)/(Calculations!$C$12+Calculations!$C$9)))+calculateOmega(Calculations!M153,Calculations!N153,Calculations!Q153,'Reaction Information'!$C$25,'Reaction Information'!$P$25*10^5,'Reaction Information'!$Q$25)*((1/Calculations!$S153)-1)-'Reaction Information'!$P$25*10^5*((1/Calculations!$C$10)-1)+'Reaction Information'!$P$25*10^5*Calculations!$C$14*(Calculations!$O153-Calculations!$C$8))</f>
        <v>#N/A</v>
      </c>
      <c r="AJ153" s="8" t="e">
        <f>IF(ISBLANK(Input!$AJ$4),NA(),'Reaction Information'!$E$29-'Reaction Information'!$G$29*(Calculations!$O153-Calculations!$C$8)-'Reaction Information'!$N$29*(Calculations!$O153*LN(Calculations!$O153/Calculations!$C$8)-Calculations!$O153+Calculations!$C$8)-'Reaction Information'!$O$29*10^4*(((1/(Calculations!$O153-Calculations!$C$13))-(1/(Calculations!$C$8-Calculations!$C$13)))*((Calculations!$C$13-Calculations!$O153)/(Calculations!$C$13))-(Calculations!$O153/(Calculations!$C$13*Calculations!$C$13))*LN((Calculations!$C$8*(Calculations!$O153-Calculations!$C$13))/(Calculations!$O153*(Calculations!$C$8-Calculations!$C$13))))+'Reaction Information'!$J$29*10^-1*(Calculations!$M153-Calculations!$C$9)+'Reaction Information'!$K$29*10^2*LN((Calculations!$C$12+Calculations!$M153)/(Calculations!$C$12+Calculations!$C$9))+(1/(Calculations!$O153-Calculations!$C$13))*('Reaction Information'!$L$29*(Calculations!$M153-Calculations!$C$9)+'Reaction Information'!$M$29*10^4*LN((Calculations!$C$12+Calculations!$M153)/(Calculations!$C$12+Calculations!$C$9)))+calculateOmega(Calculations!M153,Calculations!N153,Calculations!Q153,'Reaction Information'!$C$29,'Reaction Information'!$P$29*10^5,'Reaction Information'!$Q$29)*((1/Calculations!$S153)-1)-'Reaction Information'!$P$29*10^5*((1/Calculations!$C$10)-1)+'Reaction Information'!$P$29*10^5*Calculations!$C$14*(Calculations!$O153-Calculations!$C$8))</f>
        <v>#N/A</v>
      </c>
      <c r="AK153" s="8" t="e">
        <f>IF(ISBLANK(Input!$AM$4),NA(),'Reaction Information'!$E$33-'Reaction Information'!$G$33*(Calculations!$O153-Calculations!$C$8)-'Reaction Information'!$N$33*(Calculations!$O153*LN(Calculations!$O153/Calculations!$C$8)-Calculations!$O153+Calculations!$C$8)-'Reaction Information'!$O$33*10^4*(((1/(Calculations!$O153-Calculations!$C$13))-(1/(Calculations!$C$8-Calculations!$C$13)))*((Calculations!$C$13-Calculations!$O153)/(Calculations!$C$13))-(Calculations!$O153/(Calculations!$C$13*Calculations!$C$13))*LN((Calculations!$C$8*(Calculations!$O153-Calculations!$C$13))/(Calculations!$O153*(Calculations!$C$8-Calculations!$C$13))))+'Reaction Information'!$J$33*10^-1*(Calculations!$M153-Calculations!$C$9)+'Reaction Information'!$K$33*10^2*LN((Calculations!$C$12+Calculations!$M153)/(Calculations!$C$12+Calculations!$C$9))+(1/(Calculations!$O153-Calculations!$C$13))*('Reaction Information'!$L$33*(Calculations!$M153-Calculations!$C$9)+'Reaction Information'!$M$33*10^4*LN((Calculations!$C$12+Calculations!$M153)/(Calculations!$C$12+Calculations!$C$9)))+calculateOmega(Calculations!M153,Calculations!N153,Calculations!Q153,'Reaction Information'!$C$33,'Reaction Information'!$P$33*10^5,'Reaction Information'!$Q$33)*((1/Calculations!$S153)-1)-'Reaction Information'!$P$33*10^5*((1/Calculations!$C$10)-1)+'Reaction Information'!$P$33*10^5*Calculations!$C$14*(Calculations!$O153-Calculations!$C$8))</f>
        <v>#N/A</v>
      </c>
      <c r="AL153" s="1">
        <f>Results!S155</f>
        <v>0</v>
      </c>
      <c r="AM153" s="1">
        <f>Results!T155</f>
        <v>0</v>
      </c>
      <c r="AN153" s="1">
        <f>Results!U155</f>
        <v>0</v>
      </c>
      <c r="AO153" s="1">
        <f>Results!V155</f>
        <v>0</v>
      </c>
      <c r="AP153" s="8" t="e">
        <f>IF(ISBLANK(Input!$BB$4),NA(),'Reaction Information'!$E$38-'Reaction Information'!$G$38*(Calculations!$O153-Calculations!$C$8)+'Reaction Information'!$I$38*(Calculations!$O153-Calculations!$C$8-Calculations!$O153*LN(Calculations!$O153/Calculations!$C$8))+'Reaction Information'!$J$38*0.001/2*(2*Calculations!$O153*Calculations!$C$8-Calculations!$O153^2-Calculations!$C$8^2) + 'Reaction Information'!$K$38*100000*(Calculations!$O153^2 + Calculations!$C$8^2 - 2*Calculations!$O153*Calculations!$C$8)/(2*Calculations!$O153*Calculations!$C$8^2))</f>
        <v>#N/A</v>
      </c>
      <c r="AQ153" s="8" t="e">
        <f>IF(ISBLANK(Input!$BE$4),NA(),'Reaction Information'!$E$42-'Reaction Information'!$G$42*(Calculations!$O153-Calculations!$C$8)+'Reaction Information'!$I$42*(Calculations!$O153-Calculations!$C$8-Calculations!$O153*LN(Calculations!$O153/Calculations!$C$8))+'Reaction Information'!$J$42*0.001/2*(2*Calculations!$O153*Calculations!$C$8-Calculations!$O153^2-Calculations!$C$8^2) + 'Reaction Information'!$K$42*100000*(Calculations!$O153^2 + Calculations!$C$8^2 - 2*Calculations!$O153*Calculations!$C$8)/(2*Calculations!$O153*Calculations!$C$8^2))</f>
        <v>#N/A</v>
      </c>
      <c r="AR153" s="8" t="e">
        <f>IF(AR$5="H2O", IF($D$24=3,IF(T153=0,NA(),T153),calculateGibbsOfWater(M153,N153,$D$24,$D$20,$D$19=3)),NA())</f>
        <v>#N/A</v>
      </c>
      <c r="AS153" s="8">
        <f>IF(ISBLANK(Input!$BK$4),NA(),'Reaction Information'!$E$46-'Reaction Information'!$G$46*(Calculations!O153-Calculations!$C$8)-'Reaction Information'!$N$46*(Calculations!O153*LN(Calculations!O153/Calculations!$C$8)-Calculations!O153+Calculations!$C$8)-'Reaction Information'!$O$46*10^4*(((1/(Calculations!O153-Calculations!$C$13))-(1/(Calculations!$C$8-Calculations!$C$13)))*((Calculations!$C$13-Calculations!O153)/(Calculations!$C$13))-(Calculations!O153/(Calculations!$C$13*Calculations!$C$13))*LN((Calculations!$C$8*(Calculations!O153-Calculations!$C$13))/(Calculations!O153*(Calculations!$C$8-Calculations!$C$13))))+'Reaction Information'!$J$46*10^-1*(Calculations!$M153-Calculations!$C$9)+'Reaction Information'!$K$46*10^2*LN((Calculations!$C$12+Calculations!$M153)/(Calculations!$C$12+Calculations!$C$9))+(1/(Calculations!O153-Calculations!$C$13))*('Reaction Information'!$L$46*(Calculations!$M153-Calculations!$C$9)+'Reaction Information'!$M$46*10^4*LN((Calculations!$C$12+Calculations!$M153)/(Calculations!$C$12+Calculations!$C$9)))+calculateOmega(Calculations!M153,Calculations!N153,Calculations!Q153,'Reaction Information'!$C$46,'Reaction Information'!$P$46*10^5,'Reaction Information'!$Q$46)*((1/Calculations!S153)-1)-'Reaction Information'!$P$46*10^5*((1/Calculations!$C$10)-1)+'Reaction Information'!$P$46*10^5*Calculations!$C$14*(Calculations!O153-Calculations!$C$8))</f>
        <v>0</v>
      </c>
      <c r="AT153" s="8">
        <f>IF(ISBLANK(Input!$BN$4),NA(),'Reaction Information'!$E$50-'Reaction Information'!$G$50*(Calculations!O153-Calculations!$C$8)-'Reaction Information'!$N$50*(Calculations!O153*LN(Calculations!O153/Calculations!$C$8)-Calculations!O153+Calculations!$C$8)-'Reaction Information'!$O$50*10^4*(((1/(Calculations!O153-Calculations!$C$13))-(1/(Calculations!$C$8-Calculations!$C$13)))*((Calculations!$C$13-Calculations!O153)/(Calculations!$C$13))-(Calculations!O153/(Calculations!$C$13*Calculations!$C$13))*LN((Calculations!$C$8*(Calculations!O153-Calculations!$C$13))/(Calculations!O153*(Calculations!$C$8-Calculations!$C$13))))+'Reaction Information'!$J$50*10^-1*(Calculations!$M153-Calculations!$C$9)+'Reaction Information'!$K$50*10^2*LN((Calculations!$C$12+Calculations!$M153)/(Calculations!$C$12+Calculations!$C$9))+(1/(Calculations!O153-Calculations!$C$13))*('Reaction Information'!$L$50*(Calculations!$M153-Calculations!$C$9)+'Reaction Information'!$M$50*10^4*LN((Calculations!$C$12+Calculations!$M153)/(Calculations!$C$12+Calculations!$C$9)))+calculateOmega(Calculations!M153,Calculations!N153,Calculations!Q153,'Reaction Information'!$C$50,'Reaction Information'!$P$50*10^5,'Reaction Information'!$Q$50)*((1/Calculations!S153)-1)-'Reaction Information'!$P$50*10^5*((1/Calculations!$C$10)-1)+'Reaction Information'!$P$50*10^5*Calculations!$C$14*(Calculations!O153-Calculations!$C$8))</f>
        <v>-131099.46278746318</v>
      </c>
      <c r="AU153" s="8" t="e">
        <f>IF(ISBLANK(Input!$BQ$4),NA(),'Reaction Information'!$E$54-'Reaction Information'!$G$54*(Calculations!$O153-Calculations!$C$8)-'Reaction Information'!$N$54*(Calculations!$O153*LN(Calculations!$O153/Calculations!$C$8)-Calculations!$O153+Calculations!$C$8)-'Reaction Information'!$O$54*10^4*(((1/(Calculations!$O153-Calculations!$C$13))-(1/(Calculations!$C$8-Calculations!$C$13)))*((Calculations!$C$13-Calculations!$O153)/(Calculations!$C$13))-(Calculations!$O153/(Calculations!$C$13*Calculations!$C$13))*LN((Calculations!$C$8*(Calculations!$O153-Calculations!$C$13))/(Calculations!$O153*(Calculations!$C$8-Calculations!$C$13))))+'Reaction Information'!$J$54*10^-1*(Calculations!$M153-Calculations!$C$9)+'Reaction Information'!$K$54*10^2*LN((Calculations!$C$12+Calculations!$M153)/(Calculations!$C$12+Calculations!$C$9))+(1/(Calculations!$O153-Calculations!$C$13))*('Reaction Information'!$L$54*(Calculations!$M153-Calculations!$C$9)+'Reaction Information'!$M$54*10^4*LN((Calculations!$C$12+Calculations!$M153)/(Calculations!$C$12+Calculations!$C$9)))+calculateOmega(Calculations!M153,Calculations!N153,Calculations!Q153,'Reaction Information'!$C$54,'Reaction Information'!$P$54*10^5,'Reaction Information'!$Q$54)*((1/Calculations!$S153)-1)-'Reaction Information'!$P$54*10^5*((1/Calculations!$C$10)-1)+'Reaction Information'!$P$54*10^5*Calculations!$C$14*(Calculations!$O153-Calculations!$C$8))</f>
        <v>#N/A</v>
      </c>
      <c r="AV153" s="8" t="e">
        <f>IF(ISBLANK(Input!$BT$4),NA(),'Reaction Information'!$E$58-'Reaction Information'!$G$58*(Calculations!$O153-Calculations!$C$8)-'Reaction Information'!$N$58*(Calculations!$O153*LN(Calculations!$O153/Calculations!$C$8)-Calculations!$O153+Calculations!$C$8)-'Reaction Information'!$O$58*10^4*(((1/(Calculations!$O153-Calculations!$C$13))-(1/(Calculations!$C$8-Calculations!$C$13)))*((Calculations!$C$13-Calculations!$O153)/(Calculations!$C$13))-(Calculations!$O153/(Calculations!$C$13*Calculations!$C$13))*LN((Calculations!$C$8*(Calculations!$O153-Calculations!$C$13))/(Calculations!$O153*(Calculations!$C$8-Calculations!$C$13))))+'Reaction Information'!$J$58*10^-1*(Calculations!$M153-Calculations!$C$9)+'Reaction Information'!$K$58*10^2*LN((Calculations!$C$12+Calculations!$M153)/(Calculations!$C$12+Calculations!$C$9))+(1/(Calculations!$O153-Calculations!$C$13))*('Reaction Information'!$L$58*(Calculations!$M153-Calculations!$C$9)+'Reaction Information'!$M$58*10^4*LN((Calculations!$C$12+Calculations!$M153)/(Calculations!$C$12+Calculations!$C$9)))+calculateOmega(Calculations!M153,Calculations!N153,Calculations!Q153,'Reaction Information'!$C$58,'Reaction Information'!$P$58*10^5,'Reaction Information'!$Q$58)*((1/Calculations!$S153)-1)-'Reaction Information'!$P$58*10^5*((1/Calculations!$C$10)-1)+'Reaction Information'!$P$58*10^5*Calculations!$C$14*(Calculations!$O153-Calculations!$C$8))</f>
        <v>#N/A</v>
      </c>
      <c r="AW153" s="8" t="e">
        <f>IF(ISBLANK(Input!$BW$4),NA(),'Reaction Information'!$E$62-'Reaction Information'!$G$62*(Calculations!$O153-Calculations!$C$8)-'Reaction Information'!$N$62*(Calculations!$O153*LN(Calculations!$O153/Calculations!$C$8)-Calculations!$O153+Calculations!$C$8)-'Reaction Information'!$O$62*10^4*(((1/(Calculations!$O153-Calculations!$C$13))-(1/(Calculations!$C$8-Calculations!$C$13)))*((Calculations!$C$13-Calculations!$O153)/(Calculations!$C$13))-(Calculations!$O153/(Calculations!$C$13*Calculations!$C$13))*LN((Calculations!$C$8*(Calculations!$O153-Calculations!$C$13))/(Calculations!$O153*(Calculations!$C$8-Calculations!$C$13))))+'Reaction Information'!$J$62*10^-1*(Calculations!$M153-Calculations!$C$9)+'Reaction Information'!$K$62*10^2*LN((Calculations!$C$12+Calculations!$M153)/(Calculations!$C$12+Calculations!$C$9))+(1/(Calculations!$O153-Calculations!$C$13))*('Reaction Information'!$L$62*(Calculations!$M153-Calculations!$C$9)+'Reaction Information'!$M$62*10^4*LN((Calculations!$C$12+Calculations!$M153)/(Calculations!$C$12+Calculations!$C$9)))+calculateOmega(Calculations!M153,Calculations!N153,Calculations!Q153,'Reaction Information'!$C$62,'Reaction Information'!$P$62*10^5,'Reaction Information'!$Q$62)*((1/Calculations!$S153)-1)-'Reaction Information'!$P$62*10^5*((1/Calculations!$C$10)-1)+'Reaction Information'!$P$62*10^5*Calculations!$C$14*(Calculations!$O153-Calculations!$C$8))</f>
        <v>#N/A</v>
      </c>
      <c r="AX153" s="8" t="e">
        <f>IF(ISBLANK(Input!$BZ$4),NA(),'Reaction Information'!$E$66-'Reaction Information'!$G$66*(Calculations!$O153-Calculations!$C$8)-'Reaction Information'!$N$66*(Calculations!$O153*LN(Calculations!$O153/Calculations!$C$8)-Calculations!$O153+Calculations!$C$8)-'Reaction Information'!$O$66*10^4*(((1/(Calculations!$O153-Calculations!$C$13))-(1/(Calculations!$C$8-Calculations!$C$13)))*((Calculations!$C$13-Calculations!$O153)/(Calculations!$C$13))-(Calculations!$O153/(Calculations!$C$13*Calculations!$C$13))*LN((Calculations!$C$8*(Calculations!$O153-Calculations!$C$13))/(Calculations!$O153*(Calculations!$C$8-Calculations!$C$13))))+'Reaction Information'!$J$66*10^-1*(Calculations!$M153-Calculations!$C$9)+'Reaction Information'!$K$66*10^2*LN((Calculations!$C$12+Calculations!$M153)/(Calculations!$C$12+Calculations!$C$9))+(1/(Calculations!$O153-Calculations!$C$13))*('Reaction Information'!$L$66*(Calculations!$M153-Calculations!$C$9)+'Reaction Information'!$M$66*10^4*LN((Calculations!$C$12+Calculations!$M153)/(Calculations!$C$12+Calculations!$C$9)))+calculateOmega(Calculations!M153,Calculations!N153,Calculations!Q153,'Reaction Information'!$C$66,'Reaction Information'!$P$66*10^5,'Reaction Information'!$Q$66)*((1/Calculations!$S153)-1)-'Reaction Information'!$P$66*10^5*((1/Calculations!$C$10)-1)+'Reaction Information'!$P$66*10^5*Calculations!$C$14*(Calculations!$O153-Calculations!$C$8))</f>
        <v>#N/A</v>
      </c>
      <c r="AY153" s="31">
        <f>(AL153*Input!$AO$4+AM153*Input!$AR$4+AN153*Input!$AU$4+AO153*Input!$AX$4+IF(ISNA(AP153),0,AP153*Input!$BA$4)+IF(ISNA(AQ153),0,AQ153*Input!$BD$4)+IF(ISNA(AR153),0,AR153*Input!$BG$4)+IF(ISNA(AS153),0,AS153*Input!$BJ$4)+IF(ISNA(AT153),0,AT153*Input!$BM$4)+IF(ISNA(AU153),0,AU153*Input!$BP$4)+IF(ISNA(AV153),0,AV153*Input!$BS$4)+IF(ISNA(AW153),0,AW153*Input!$BV$4)+IF(ISNA(AX153),0,AX153*Input!$BY$4))-(Y153*Input!$B$4+Z153*Input!$E$4+AA153*Input!$H$4+AB153*Input!$K$4+IF(ISNA(AC153),0,AC153*Input!$N$4)+IF(ISNA(AD153),0,AD153*Input!$Q$4)+IF(ISNA(AE153),0,AE153*Input!$T$4)+IF(ISNA(AF153),0,AF153*Input!$W$4)+IF(ISNA(AG153),0,AG153*Input!$Z$4)+IF(ISNA(AH153),0,AH153*Input!$AC$4)+IF(ISNA(AI153),0,AI153*Input!$AF$4)+IF(ISNA(AJ153),0,AJ153*Input!$AI$4)+IF(ISNA(AK153),0,AK153*Input!$AL$4))</f>
        <v>24243.811729452282</v>
      </c>
      <c r="AZ153" s="42">
        <f t="shared" si="39"/>
        <v>-4.5193838711511694</v>
      </c>
      <c r="BA153" s="1">
        <f t="shared" si="46"/>
        <v>900</v>
      </c>
      <c r="BB153" s="46">
        <f t="shared" si="47"/>
        <v>50000</v>
      </c>
      <c r="BC153" s="1"/>
      <c r="BD153" s="2">
        <f t="shared" si="48"/>
        <v>50000</v>
      </c>
      <c r="BE153" s="46">
        <f t="shared" si="49"/>
        <v>900</v>
      </c>
      <c r="BF153" s="1">
        <f>Results!AJ155</f>
        <v>0</v>
      </c>
      <c r="BG153" s="1">
        <f>Results!AK155</f>
        <v>0</v>
      </c>
      <c r="BH153" s="1">
        <f>Results!AL155</f>
        <v>0</v>
      </c>
      <c r="BI153" s="1">
        <f>Results!AM155</f>
        <v>0</v>
      </c>
      <c r="BJ153" s="1" t="e">
        <f>IF(OR(ISNA('Reaction Information'!$D$5), $N153 = "", $D$27 = FALSE, 'Reaction Information'!$D$5 = ""), NA(), 24.465)</f>
        <v>#N/A</v>
      </c>
      <c r="BK153" s="1" t="e">
        <f>IF(OR(ISNA('Reaction Information'!$D$9), $N153 = "", $D$27 = FALSE, 'Reaction Information'!$D$9 = ""), NA(), 24.465)</f>
        <v>#N/A</v>
      </c>
      <c r="BL153" s="8">
        <f t="shared" si="40"/>
        <v>13.739411914193642</v>
      </c>
      <c r="BM153" s="8">
        <f>IF(OR(ISBLANK(Input!$X$4),$D$27=FALSE),NA(),('Reaction Information'!$J$13/10+'Reaction Information'!$K$13*100/(Calculations!$C$12+Calculations!$M153)+('Reaction Information'!$L$13+'Reaction Information'!$M$13*10^4/(Calculations!$C$12+Calculations!$M153))/(Calculations!$O153-Calculations!$C$13) -calculateOmega(Calculations!$M153,Calculations!$N153,Calculations!$Q153,'Reaction Information'!$C$13,'Reaction Information'!$P$13*10^5,'Reaction Information'!$Q$13)*Calculations!$U153*10^-6 + (1/$S153 - 1)*calculate_domegadP(Calculations!$M153,Calculations!$N153,Calculations!$Q153,'Reaction Information'!$C$13,'Reaction Information'!$P$13*10^5,'Reaction Information'!$Q$13,$D$20,$D$19=3))*41.84)</f>
        <v>30.047258888258078</v>
      </c>
      <c r="BN153" s="8" t="e">
        <f>IF(OR(ISBLANK(Input!$AA$4),$D$27=FALSE),NA(),('Reaction Information'!$J$17/10+'Reaction Information'!$K$17*100/(Calculations!$C$12+Calculations!$M153)+('Reaction Information'!$L$17+'Reaction Information'!$M$17*10000/(Calculations!$C$12+Calculations!$M153))/(Calculations!$O153-Calculations!$C$13)-calculateOmega(Calculations!M153,Calculations!N153,Calculations!Q153,'Reaction Information'!$C$17,'Reaction Information'!$P$17*10^5,'Reaction Information'!$Q$17)*Calculations!$U153*10^-6 + (1/$S153 - 1)*calculate_domegadP(Calculations!M153,Calculations!N153,Calculations!Q153,'Reaction Information'!$C$17,'Reaction Information'!$P$17*10^5,'Reaction Information'!$Q$17,$D$20,$D$19=3))*41.84)</f>
        <v>#N/A</v>
      </c>
      <c r="BO153" s="8" t="e">
        <f>IF(OR(ISBLANK(Input!$AD$4),$D$27=FALSE),NA(),('Reaction Information'!$J$21/10+'Reaction Information'!$K$21*100/(Calculations!$C$12+Calculations!$M153)+('Reaction Information'!$L$21+'Reaction Information'!$M$21*10000/(Calculations!$C$12+Calculations!$M153))/(Calculations!$O153-Calculations!$C$13)-calculateOmega(Calculations!M153,Calculations!N153,Calculations!Q153,'Reaction Information'!$C$21,'Reaction Information'!$P$21*10^5,'Reaction Information'!$Q$21)*Calculations!$U153*10^-6 + (1/$S153 - 1)*calculate_domegadP(Calculations!M153,Calculations!N153,Calculations!Q153,'Reaction Information'!$C$21,'Reaction Information'!$P$21*10^5,'Reaction Information'!$Q$21,$D$20,$D$19=3))*41.84)</f>
        <v>#N/A</v>
      </c>
      <c r="BP153" s="8" t="e">
        <f>IF(OR(ISBLANK(Input!$AG$4),$D$27=FALSE),NA(),('Reaction Information'!$J$25/10+'Reaction Information'!$K$25*100/(Calculations!$C$12+Calculations!$M153)+('Reaction Information'!$L$25+'Reaction Information'!$M$25*10000/(Calculations!$C$12+Calculations!$M153))/(Calculations!$O153-Calculations!$C$13)-calculateOmega(Calculations!M153,Calculations!N153,Calculations!Q153,'Reaction Information'!$C$25,'Reaction Information'!$P$25*10^5,'Reaction Information'!$Q$25)*Calculations!$U153*10^-6 + (1/$S153 - 1)*calculate_domegadP(Calculations!M153,Calculations!N153,Calculations!Q153,'Reaction Information'!$C$25,'Reaction Information'!$P$25*10^5,'Reaction Information'!$Q$25,$D$20,$D$19=3))*41.84)</f>
        <v>#N/A</v>
      </c>
      <c r="BQ153" s="8" t="e">
        <f>IF(OR(ISBLANK(Input!$AJ$4),$D$27=FALSE),NA(),('Reaction Information'!$J$29/10+'Reaction Information'!$K$29*100/(Calculations!$C$12+Calculations!$M153)+('Reaction Information'!$L$29+'Reaction Information'!$M$29*10000/(Calculations!$C$12+Calculations!$M153))/(Calculations!$O153-Calculations!$C$13)-calculateOmega(Calculations!M153,Calculations!N153,Calculations!Q153,'Reaction Information'!$C$29,'Reaction Information'!$P$29*10^5,'Reaction Information'!$Q$29)*Calculations!$U153*10^-6 + (1/$S153 - 1)*calculate_domegadP(Calculations!M153,Calculations!N153,Calculations!Q153,'Reaction Information'!$C$29,'Reaction Information'!$P$29*10^5,'Reaction Information'!$Q$29,$D$20,$D$19=3))*41.84)</f>
        <v>#N/A</v>
      </c>
      <c r="BR153" s="8" t="e">
        <f>IF(OR(ISBLANK(Input!$AM$4),$D$27=FALSE),NA(),('Reaction Information'!$J$33/10+'Reaction Information'!$K$33*100/(Calculations!$C$12+Calculations!$M153)+('Reaction Information'!$L$33+'Reaction Information'!$M$33*10000/(Calculations!$C$12+Calculations!$M153))/(Calculations!$O153-Calculations!$C$13)-calculateOmega(Calculations!M153,Calculations!N153,Calculations!Q153,'Reaction Information'!$C$33,'Reaction Information'!$P$33*10^5,'Reaction Information'!$Q$33)*Calculations!$U153*10^-6 + (1/$S153 - 1)*calculate_domegadP(Calculations!M153,Calculations!N153,Calculations!Q153,'Reaction Information'!$C$33,'Reaction Information'!$P$33*10^5,'Reaction Information'!$Q$33,$D$20,$D$19=3))*41.84)</f>
        <v>#N/A</v>
      </c>
      <c r="BS153" s="1">
        <f>Results!AW155</f>
        <v>0</v>
      </c>
      <c r="BT153" s="1">
        <f>Results!AX155</f>
        <v>0</v>
      </c>
      <c r="BU153" s="1">
        <f>Results!AY155</f>
        <v>0</v>
      </c>
      <c r="BV153" s="1">
        <f>Results!AZ155</f>
        <v>0</v>
      </c>
      <c r="BW153" s="1" t="e">
        <f>IF(OR(ISNA('Reaction Information'!$D$38), $N153 = "", $D$27 = FALSE, 'Reaction Information'!$D$38 = ""), NA(), 24.465)</f>
        <v>#N/A</v>
      </c>
      <c r="BX153" s="1" t="e">
        <f>IF(OR(ISNA('Reaction Information'!$D$42), $N153 = "", $D$27 = FALSE, 'Reaction Information'!$D$42 = ""), NA(), 24.465)</f>
        <v>#N/A</v>
      </c>
      <c r="BY153" s="8" t="e">
        <f t="shared" si="41"/>
        <v>#N/A</v>
      </c>
      <c r="BZ153" s="8">
        <f>IF(OR(ISBLANK(Input!$BK$4),$D$27=FALSE),NA(),('Reaction Information'!$J$46/10+'Reaction Information'!$K$46*100/(Calculations!$C$12+Calculations!$M153)+('Reaction Information'!$L$46+'Reaction Information'!$M$46*10000/(Calculations!$C$12+Calculations!$M153))/(Calculations!$O153-Calculations!$C$13)-calculateOmega(Calculations!M153,Calculations!N153,Calculations!Q153,'Reaction Information'!$C$46,'Reaction Information'!$P$46*10^5,'Reaction Information'!$Q$46)*Calculations!$U153*10^-6 + (1/$S153 - 1)*calculate_domegadP(Calculations!M153,Calculations!N153,Calculations!Q153,'Reaction Information'!$C$46,'Reaction Information'!$P$46*10^5,'Reaction Information'!$Q$46,$D$20,$D$19=3))*41.84)</f>
        <v>0</v>
      </c>
      <c r="CA153" s="8">
        <f>IF(OR(ISBLANK(Input!$BN$4),$D$27=FALSE),NA(),('Reaction Information'!$J$50/10+'Reaction Information'!$K$50*100/(Calculations!$C$12+Calculations!$M153)+('Reaction Information'!$L$50+'Reaction Information'!$M$50*10000/(Calculations!$C$12+Calculations!$M153))/(Calculations!$O153-Calculations!$C$13)-calculateOmega(Calculations!M153,Calculations!N153,Calculations!Q153,'Reaction Information'!$C$50,'Reaction Information'!$P$50*10^5,'Reaction Information'!$Q$50)*Calculations!$U153*10^-6 + (1/$S153 - 1)*calculate_domegadP(Calculations!M153,Calculations!N153,Calculations!Q153,'Reaction Information'!$C$50,'Reaction Information'!$P$50*10^5,'Reaction Information'!$Q$50,$D$20,$D$19=3))*41.84)</f>
        <v>31.089392311667247</v>
      </c>
      <c r="CB153" s="8" t="e">
        <f>IF(OR(ISBLANK(Input!$BQ$4),$D$27=FALSE),NA(),('Reaction Information'!$J$54/10+'Reaction Information'!$K$54*100/(Calculations!$C$12+Calculations!$M153)+('Reaction Information'!$L$54+'Reaction Information'!$M$54*10000/(Calculations!$C$12+Calculations!$M153))/(Calculations!$O153-Calculations!$C$13)-calculateOmega(Calculations!M153,Calculations!N153,Calculations!Q153,'Reaction Information'!$C$54,'Reaction Information'!$P$54*10^5,'Reaction Information'!$Q$54)*Calculations!$U153*10^-6 + (1/$S153 - 1)*calculate_domegadP(Calculations!M153,Calculations!N153,Calculations!Q153,'Reaction Information'!$C$54,'Reaction Information'!$P$54*10^5,'Reaction Information'!$Q$54,$D$20,$D$19=3))*41.84)</f>
        <v>#N/A</v>
      </c>
      <c r="CC153" s="8" t="e">
        <f>IF(OR(ISBLANK(Input!$BT$4),$D$27=FALSE),NA(),('Reaction Information'!$J$58/10+'Reaction Information'!$K$58*100/(Calculations!$C$12+Calculations!$M153)+('Reaction Information'!$L$58+'Reaction Information'!$M$58*10000/(Calculations!$C$12+Calculations!$M153))/(Calculations!$O153-Calculations!$C$13)-calculateOmega(Calculations!M153,Calculations!N153,Calculations!Q153,'Reaction Information'!$C$58,'Reaction Information'!$P$58*10^5,'Reaction Information'!$Q$58)*Calculations!$U153*10^-6 + (1/$S153 - 1)*calculate_domegadP(Calculations!M153,Calculations!N153,Calculations!Q153,'Reaction Information'!$C$58,'Reaction Information'!$P$58*10^5,'Reaction Information'!$Q$58,$D$20,$D$19=3))*41.84)</f>
        <v>#N/A</v>
      </c>
      <c r="CD153" s="8" t="e">
        <f>IF(OR(ISBLANK(Input!$BW$4),$D$27=FALSE),NA(),('Reaction Information'!$J$62/10+'Reaction Information'!$K$62*100/(Calculations!$C$12+Calculations!$M153)+('Reaction Information'!$L$62+'Reaction Information'!$M$62*10000/(Calculations!$C$12+Calculations!$M153))/(Calculations!$O153-Calculations!$C$13)-calculateOmega(Calculations!M153,Calculations!N153,Calculations!Q153,'Reaction Information'!$C$62,'Reaction Information'!$P$62*10^5,'Reaction Information'!$Q$62)*Calculations!$U153*10^-6 + (1/$S153 - 1)*calculate_domegadP(Calculations!M153,Calculations!N153,Calculations!Q153,'Reaction Information'!$C$62,'Reaction Information'!$P$62*10^5,'Reaction Information'!$Q$62,$D$20,$D$19=3))*41.84)</f>
        <v>#N/A</v>
      </c>
      <c r="CE153" s="8" t="e">
        <f>IF(OR(ISBLANK(Input!$BZ$4),$D$27=FALSE),NA(),('Reaction Information'!$J$66/10+'Reaction Information'!$K$66*100/(Calculations!$C$12+Calculations!$M153)+('Reaction Information'!$L$66+'Reaction Information'!$M$66*10000/(Calculations!$C$12+Calculations!$M153))/(Calculations!$O153-Calculations!$C$13)-calculateOmega(Calculations!M153,Calculations!N153,Calculations!Q153,'Reaction Information'!$C$66,'Reaction Information'!$P$66*10^5,'Reaction Information'!$Q$66)*Calculations!$U153*10^-6 + (1/$S153 - 1)*calculate_domegadP(Calculations!M153,Calculations!N153,Calculations!Q153,'Reaction Information'!$C$66,'Reaction Information'!$P$66*10^5,'Reaction Information'!$Q$66,$D$20,$D$19=3))*41.84)</f>
        <v>#N/A</v>
      </c>
      <c r="CF153" s="31">
        <f>(BS153*Input!$AO$4+BT153*Input!$AR$4+BU153*Input!$AU$4+BV153*Input!$AX$4+IF(ISNA(BW153),0,BW153*Input!$BA$4)+IF(ISNA(BX153),0,BX153*Input!$BD$4)+IF(ISNA(BY153),0,BY153*Input!$BG$4)+IF(ISNA(BZ153),0,BZ153*Input!$BJ$4)+IF(ISNA(CA153),0,CA153*Input!$BM$4)+IF(ISNA(CB153),0,CB153*Input!$BP$4)+IF(ISNA(CC153),0,CC153*Input!$BS$4)+IF(ISNA(CD153),0,CD153*Input!$BV$4)+IF(ISNA(CE153),0,CE153*Input!$BY$4))-(BF153*Input!$B$4+BG153*Input!$E$4+BH153*Input!$H$4+BI153*Input!$K$4+IF(ISNA(BJ153),0,BJ153*Input!$N$4)+IF(ISNA(BK153),0,BK153*Input!$Q$4)+IF(ISNA(BL153),0,BL153*Input!$T$4)+IF(ISNA(BM153),0,BM153*Input!$W$4)+IF(ISNA(BN153),0,BN153*Input!$Z$4)+IF(ISNA(BO153),0,BO153*Input!$AC$4)+IF(ISNA(BP153),0,BP153*Input!$AF$4)+IF(ISNA(BQ153),0,BQ153*Input!$AI$4)+IF(ISNA(BR153),0,BR153*Input!$AL$4))</f>
        <v>-12.697278490784477</v>
      </c>
      <c r="CG153" s="1">
        <f t="shared" si="50"/>
        <v>900</v>
      </c>
      <c r="CH153" s="46">
        <f t="shared" si="51"/>
        <v>50000</v>
      </c>
      <c r="CI153" s="1"/>
    </row>
    <row r="154" spans="1:87" x14ac:dyDescent="0.2">
      <c r="A154" s="1"/>
      <c r="B154" s="1"/>
      <c r="C154" s="1"/>
      <c r="D154" s="1"/>
      <c r="E154" s="1"/>
      <c r="F154" s="2">
        <v>149</v>
      </c>
      <c r="G154" s="1" t="str">
        <f>IF(ISBLANK(Input!CB154), "", Input!CB154*1000)</f>
        <v/>
      </c>
      <c r="H154" s="1" t="str">
        <f>IF(ISBLANK(Input!CC154), "", Input!CC154)</f>
        <v/>
      </c>
      <c r="I154" s="1">
        <f>IF(Input!$CF$5 + Input!$CF$6*(FLOOR((Calculations!$F154-1)/(FLOOR((Input!$CF$12-Input!$CF$10)/Input!$CF$11,1)+1),1)) &gt; Input!$CF$7, "", (Input!$CF$5 + Input!$CF$6*(FLOOR((Calculations!$F154-1)/(FLOOR((Input!$CF$12-Input!$CF$10)/Input!$CF$11,1)+1),1)))*1000)</f>
        <v>50000</v>
      </c>
      <c r="J154" s="1">
        <f>IF(Calculations!I154 = "", "", Input!$CF$10 + Input!$CF$11*(Calculations!$F154-1) - (FLOOR((Input!$CF$12-Input!$CF$10)/Input!$CF$11,1)+1)*Input!$CF$11*FLOOR((Calculations!$F154-1)/(FLOOR((Input!$CF$12-Input!$CF$10)/Input!$CF$11,1)+1),1))</f>
        <v>950</v>
      </c>
      <c r="K154" s="8" t="str">
        <f t="shared" si="52"/>
        <v/>
      </c>
      <c r="L154" s="117" t="str">
        <f>IF(OR(Input!$CJ$5 + Input!$CJ$6*(Calculations!F154-1) &gt; Input!$CJ$7, Input!$CJ$5 + Input!$CJ$6*(Calculations!F154-1) &gt; 350), "", Input!$CJ$5 + Input!$CJ$6*(Calculations!F154-1))</f>
        <v/>
      </c>
      <c r="M154" s="1">
        <f t="shared" si="42"/>
        <v>50000</v>
      </c>
      <c r="N154" s="1">
        <f t="shared" si="43"/>
        <v>950</v>
      </c>
      <c r="O154" s="1">
        <f t="shared" si="38"/>
        <v>1223.1500000000001</v>
      </c>
      <c r="P154" s="1" t="e">
        <f>IF(OR($D$20=3,AND($D$21=TRUE,M154&lt;1000)),INDEX('Water Density'!$C$6:$CX$120,MATCH(Calculations!N154,'Water Density'!$B$6:$B$120),MATCH(Calculations!M154/1000,'Water Density'!$C$5:$CX$5)),NA())</f>
        <v>#N/A</v>
      </c>
      <c r="Q154" s="182">
        <f>IF(OR($D$20=3,AND($D$21=TRUE,M154&lt;1000)), IF(P154&lt;&gt;0,P154,NA()), calculateDensity(M154,N154,$D$20,0.01,$D$19 = 3))</f>
        <v>1.2993142352688316</v>
      </c>
      <c r="R154" s="1" t="e">
        <f>IF($D$22=5,INDEX('Dielectric Constant'!$C$6:$CX$120,MATCH(Calculations!N154,'Dielectric Constant'!$B$6:$B$120),MATCH(Calculations!M154/1000,'Dielectric Constant'!$C$5:$CX$5)),NA())</f>
        <v>#N/A</v>
      </c>
      <c r="S154" s="58">
        <f>IF($D$22=5, IF(R154&lt;&gt;0,R154,NA()), IF(AND($D$23,M154&lt;=5000,$D$19 &lt;&gt; 3),calculateEpsilon(Q154,N154,1,FALSE),calculateEpsilon(Q154,N154,$D$22,$D$19 = 3)))</f>
        <v>18.338305120937733</v>
      </c>
      <c r="T154" s="1" t="e">
        <f>IF($D$24=3,INDEX('Water Free Energy'!$C$6:$CX$120,MATCH(Calculations!N154,'Water Free Energy'!$B$6:$B$120),MATCH(Calculations!M154/1000,'Water Free Energy'!$C$5:$CX$5)),NA())</f>
        <v>#N/A</v>
      </c>
      <c r="U154" s="179">
        <f>IF($D$27,calculateQ(M154,N154,Q154,$D$20,$D$22,$D$19=3)*10^6,NA())</f>
        <v>0.19653237102196849</v>
      </c>
      <c r="V154"/>
      <c r="W154" s="2">
        <f t="shared" si="44"/>
        <v>50000</v>
      </c>
      <c r="X154" s="1">
        <f t="shared" si="45"/>
        <v>950</v>
      </c>
      <c r="Y154" s="1">
        <f>Results!F156</f>
        <v>0</v>
      </c>
      <c r="Z154" s="1">
        <f>Results!G156</f>
        <v>0</v>
      </c>
      <c r="AA154" s="1">
        <f>Results!H156</f>
        <v>0</v>
      </c>
      <c r="AB154" s="1">
        <f>Results!I156</f>
        <v>0</v>
      </c>
      <c r="AC154" s="1" t="e">
        <f>IF(ISBLANK(Input!$O$4),NA(),'Reaction Information'!$E$5-'Reaction Information'!$G$5*(Calculations!$O154-Calculations!$C$8)+'Reaction Information'!$I$5*(Calculations!$O154-Calculations!$C$8-Calculations!$O154*LN(Calculations!$O154/Calculations!$C$8))+'Reaction Information'!$J$5*0.001/2*(2*Calculations!$O154*Calculations!$C$8-Calculations!$O154^2-Calculations!$C$8^2) + 'Reaction Information'!$K$5*100000*(Calculations!$O154^2 + Calculations!$C$8^2 - 2*Calculations!$O154*Calculations!$C$8)/(2*Calculations!$O154*Calculations!$C$8^2))</f>
        <v>#N/A</v>
      </c>
      <c r="AD154" s="8" t="e">
        <f>IF(ISBLANK(Input!$R$4),NA(),'Reaction Information'!$E$9-'Reaction Information'!$G$9*(Calculations!$O154-Calculations!$C$8)+'Reaction Information'!$I$9*(Calculations!$O154-Calculations!$C$8-Calculations!$O154*LN(Calculations!$O154/Calculations!$C$8))+'Reaction Information'!$J$9*0.001/2*(2*Calculations!$O154*Calculations!$C$8-Calculations!$O154^2-Calculations!$C$8^2) + 'Reaction Information'!$K$9*100000*(Calculations!$O154^2 + Calculations!$C$8^2 - 2*Calculations!$O154*Calculations!$C$8)/(2*Calculations!$O154*Calculations!$C$8^2))</f>
        <v>#N/A</v>
      </c>
      <c r="AE154" s="8">
        <f>IF(AE$5="H2O",IF($D$24=3,IF(T154=0,NA(),T154),calculateGibbsOfWater(M154,N154,$D$24,$D$20,$D$19=3)),NA())</f>
        <v>-63556.756698350044</v>
      </c>
      <c r="AF154" s="8">
        <f>IF(ISBLANK(Input!$X$4),NA(),'Reaction Information'!$E$13-'Reaction Information'!$G$13*(Calculations!O154-Calculations!$C$8)-'Reaction Information'!$N$13*(Calculations!O154*LN(Calculations!O154/Calculations!$C$8)-Calculations!O154+Calculations!$C$8)-'Reaction Information'!$O$13*10^4*(((1/(Calculations!O154-Calculations!$C$13))-(1/(Calculations!$C$8-Calculations!$C$13)))*((Calculations!$C$13-Calculations!O154)/(Calculations!$C$13))-(Calculations!O154/(Calculations!$C$13*Calculations!$C$13))*LN((Calculations!$C$8*(Calculations!O154-Calculations!$C$13))/(Calculations!O154*(Calculations!$C$8-Calculations!$C$13))))+'Reaction Information'!$J$13*10^-1*(Calculations!M154-Calculations!$C$9)+'Reaction Information'!$K$13*10^2*LN((Calculations!$C$12+Calculations!M154)/(Calculations!$C$12+Calculations!$C$9))+(1/(Calculations!O154-Calculations!$C$13))*('Reaction Information'!$L$13*(Calculations!M154-Calculations!$C$9)+'Reaction Information'!$M$13*10^4*LN((Calculations!$C$12+Calculations!M154)/(Calculations!$C$12+Calculations!$C$9)))+calculateOmega(Calculations!M154,Calculations!N154,Calculations!Q154,'Reaction Information'!$C$13,'Reaction Information'!$P$13*10^5,'Reaction Information'!$Q$13)*((1/Calculations!S154)-1)-'Reaction Information'!$P$13*10^5*((1/Calculations!$C$10)-1)+'Reaction Information'!$P$13*10^5*Calculations!$C$14*(Calculations!O154-Calculations!$C$8))</f>
        <v>-95881.181528740737</v>
      </c>
      <c r="AG154" s="8" t="e">
        <f>IF(ISBLANK(Input!$AA$4),NA(),'Reaction Information'!$E$17-'Reaction Information'!$G$17*(Calculations!$O154-Calculations!$C$8)-'Reaction Information'!$N$17*(Calculations!$O154*LN(Calculations!$O154/Calculations!$C$8)-Calculations!$O154+Calculations!$C$8)-'Reaction Information'!$O$17*10^4*(((1/(Calculations!$O154-Calculations!$C$13))-(1/(Calculations!$C$8-Calculations!$C$13)))*((Calculations!$C$13-Calculations!$O154)/(Calculations!$C$13))-(Calculations!$O154/(Calculations!$C$13*Calculations!$C$13))*LN((Calculations!$C$8*(Calculations!$O154-Calculations!$C$13))/(Calculations!$O154*(Calculations!$C$8-Calculations!$C$13))))+'Reaction Information'!$J$17*10^-1*(Calculations!$M154-Calculations!$C$9)+'Reaction Information'!$K$17*10^2*LN((Calculations!$C$12+Calculations!$M154)/(Calculations!$C$12+Calculations!$C$9))+(1/(Calculations!$O154-Calculations!$C$13))*('Reaction Information'!$L$17*(Calculations!$M154-Calculations!$C$9)+'Reaction Information'!$M$17*10^4*LN((Calculations!$C$12+Calculations!$M154)/(Calculations!$C$12+Calculations!$C$9)))+calculateOmega(Calculations!M154,Calculations!N154,Calculations!Q154,'Reaction Information'!$C$17,'Reaction Information'!$P$17*10^5,'Reaction Information'!$Q$17)*((1/Calculations!$S154)-1)-'Reaction Information'!$P$17*10^5*((1/Calculations!$C$10)-1)+'Reaction Information'!$P$17*10^5*Calculations!$C$14*(Calculations!$O154-Calculations!$C$8))</f>
        <v>#N/A</v>
      </c>
      <c r="AH154" s="8" t="e">
        <f>IF(ISBLANK(Input!$AD$4),NA(),'Reaction Information'!$E$21-'Reaction Information'!$G$21*(Calculations!$O154-Calculations!$C$8)-'Reaction Information'!$N$21*(Calculations!$O154*LN(Calculations!$O154/Calculations!$C$8)-Calculations!$O154+Calculations!$C$8)-'Reaction Information'!$O$21*10^4*(((1/(Calculations!$O154-Calculations!$C$13))-(1/(Calculations!$C$8-Calculations!$C$13)))*((Calculations!$C$13-Calculations!$O154)/(Calculations!$C$13))-(Calculations!$O154/(Calculations!$C$13*Calculations!$C$13))*LN((Calculations!$C$8*(Calculations!$O154-Calculations!$C$13))/(Calculations!$O154*(Calculations!$C$8-Calculations!$C$13))))+'Reaction Information'!$J$21*10^-1*(Calculations!$M154-Calculations!$C$9)+'Reaction Information'!$K$21*10^2*LN((Calculations!$C$12+Calculations!$M154)/(Calculations!$C$12+Calculations!$C$9))+(1/(Calculations!$O154-Calculations!$C$13))*('Reaction Information'!$L$21*(Calculations!$M154-Calculations!$C$9)+'Reaction Information'!$M$21*10^4*LN((Calculations!$C$12+Calculations!$M154)/(Calculations!$C$12+Calculations!$C$9)))+calculateOmega(Calculations!M154,Calculations!N154,Calculations!Q154,'Reaction Information'!$C$21,'Reaction Information'!$P$21*10^5,'Reaction Information'!$Q$21)*((1/Calculations!$S154)-1)-'Reaction Information'!$P$21*10^5*((1/Calculations!$C$10)-1)+'Reaction Information'!$P$21*10^5*Calculations!$C$14*(Calculations!$O154-Calculations!$C$8))</f>
        <v>#N/A</v>
      </c>
      <c r="AI154" s="8" t="e">
        <f>IF(ISBLANK(Input!$AG$4),NA(),'Reaction Information'!$E$25-'Reaction Information'!$G$25*(Calculations!$O154-Calculations!$C$8)-'Reaction Information'!$N$25*(Calculations!$O154*LN(Calculations!$O154/Calculations!$C$8)-Calculations!$O154+Calculations!$C$8)-'Reaction Information'!$O$25*10^4*(((1/(Calculations!$O154-Calculations!$C$13))-(1/(Calculations!$C$8-Calculations!$C$13)))*((Calculations!$C$13-Calculations!$O154)/(Calculations!$C$13))-(Calculations!$O154/(Calculations!$C$13*Calculations!$C$13))*LN((Calculations!$C$8*(Calculations!$O154-Calculations!$C$13))/(Calculations!$O154*(Calculations!$C$8-Calculations!$C$13))))+'Reaction Information'!$J$25*10^-1*(Calculations!$M154-Calculations!$C$9)+'Reaction Information'!$K$25*10^2*LN((Calculations!$C$12+Calculations!$M154)/(Calculations!$C$12+Calculations!$C$9))+(1/(Calculations!$O154-Calculations!$C$13))*('Reaction Information'!$L$25*(Calculations!$M154-Calculations!$C$9)+'Reaction Information'!$M$25*10^4*LN((Calculations!$C$12+Calculations!$M154)/(Calculations!$C$12+Calculations!$C$9)))+calculateOmega(Calculations!M154,Calculations!N154,Calculations!Q154,'Reaction Information'!$C$25,'Reaction Information'!$P$25*10^5,'Reaction Information'!$Q$25)*((1/Calculations!$S154)-1)-'Reaction Information'!$P$25*10^5*((1/Calculations!$C$10)-1)+'Reaction Information'!$P$25*10^5*Calculations!$C$14*(Calculations!$O154-Calculations!$C$8))</f>
        <v>#N/A</v>
      </c>
      <c r="AJ154" s="8" t="e">
        <f>IF(ISBLANK(Input!$AJ$4),NA(),'Reaction Information'!$E$29-'Reaction Information'!$G$29*(Calculations!$O154-Calculations!$C$8)-'Reaction Information'!$N$29*(Calculations!$O154*LN(Calculations!$O154/Calculations!$C$8)-Calculations!$O154+Calculations!$C$8)-'Reaction Information'!$O$29*10^4*(((1/(Calculations!$O154-Calculations!$C$13))-(1/(Calculations!$C$8-Calculations!$C$13)))*((Calculations!$C$13-Calculations!$O154)/(Calculations!$C$13))-(Calculations!$O154/(Calculations!$C$13*Calculations!$C$13))*LN((Calculations!$C$8*(Calculations!$O154-Calculations!$C$13))/(Calculations!$O154*(Calculations!$C$8-Calculations!$C$13))))+'Reaction Information'!$J$29*10^-1*(Calculations!$M154-Calculations!$C$9)+'Reaction Information'!$K$29*10^2*LN((Calculations!$C$12+Calculations!$M154)/(Calculations!$C$12+Calculations!$C$9))+(1/(Calculations!$O154-Calculations!$C$13))*('Reaction Information'!$L$29*(Calculations!$M154-Calculations!$C$9)+'Reaction Information'!$M$29*10^4*LN((Calculations!$C$12+Calculations!$M154)/(Calculations!$C$12+Calculations!$C$9)))+calculateOmega(Calculations!M154,Calculations!N154,Calculations!Q154,'Reaction Information'!$C$29,'Reaction Information'!$P$29*10^5,'Reaction Information'!$Q$29)*((1/Calculations!$S154)-1)-'Reaction Information'!$P$29*10^5*((1/Calculations!$C$10)-1)+'Reaction Information'!$P$29*10^5*Calculations!$C$14*(Calculations!$O154-Calculations!$C$8))</f>
        <v>#N/A</v>
      </c>
      <c r="AK154" s="8" t="e">
        <f>IF(ISBLANK(Input!$AM$4),NA(),'Reaction Information'!$E$33-'Reaction Information'!$G$33*(Calculations!$O154-Calculations!$C$8)-'Reaction Information'!$N$33*(Calculations!$O154*LN(Calculations!$O154/Calculations!$C$8)-Calculations!$O154+Calculations!$C$8)-'Reaction Information'!$O$33*10^4*(((1/(Calculations!$O154-Calculations!$C$13))-(1/(Calculations!$C$8-Calculations!$C$13)))*((Calculations!$C$13-Calculations!$O154)/(Calculations!$C$13))-(Calculations!$O154/(Calculations!$C$13*Calculations!$C$13))*LN((Calculations!$C$8*(Calculations!$O154-Calculations!$C$13))/(Calculations!$O154*(Calculations!$C$8-Calculations!$C$13))))+'Reaction Information'!$J$33*10^-1*(Calculations!$M154-Calculations!$C$9)+'Reaction Information'!$K$33*10^2*LN((Calculations!$C$12+Calculations!$M154)/(Calculations!$C$12+Calculations!$C$9))+(1/(Calculations!$O154-Calculations!$C$13))*('Reaction Information'!$L$33*(Calculations!$M154-Calculations!$C$9)+'Reaction Information'!$M$33*10^4*LN((Calculations!$C$12+Calculations!$M154)/(Calculations!$C$12+Calculations!$C$9)))+calculateOmega(Calculations!M154,Calculations!N154,Calculations!Q154,'Reaction Information'!$C$33,'Reaction Information'!$P$33*10^5,'Reaction Information'!$Q$33)*((1/Calculations!$S154)-1)-'Reaction Information'!$P$33*10^5*((1/Calculations!$C$10)-1)+'Reaction Information'!$P$33*10^5*Calculations!$C$14*(Calculations!$O154-Calculations!$C$8))</f>
        <v>#N/A</v>
      </c>
      <c r="AL154" s="1">
        <f>Results!S156</f>
        <v>0</v>
      </c>
      <c r="AM154" s="1">
        <f>Results!T156</f>
        <v>0</v>
      </c>
      <c r="AN154" s="1">
        <f>Results!U156</f>
        <v>0</v>
      </c>
      <c r="AO154" s="1">
        <f>Results!V156</f>
        <v>0</v>
      </c>
      <c r="AP154" s="8" t="e">
        <f>IF(ISBLANK(Input!$BB$4),NA(),'Reaction Information'!$E$38-'Reaction Information'!$G$38*(Calculations!$O154-Calculations!$C$8)+'Reaction Information'!$I$38*(Calculations!$O154-Calculations!$C$8-Calculations!$O154*LN(Calculations!$O154/Calculations!$C$8))+'Reaction Information'!$J$38*0.001/2*(2*Calculations!$O154*Calculations!$C$8-Calculations!$O154^2-Calculations!$C$8^2) + 'Reaction Information'!$K$38*100000*(Calculations!$O154^2 + Calculations!$C$8^2 - 2*Calculations!$O154*Calculations!$C$8)/(2*Calculations!$O154*Calculations!$C$8^2))</f>
        <v>#N/A</v>
      </c>
      <c r="AQ154" s="8" t="e">
        <f>IF(ISBLANK(Input!$BE$4),NA(),'Reaction Information'!$E$42-'Reaction Information'!$G$42*(Calculations!$O154-Calculations!$C$8)+'Reaction Information'!$I$42*(Calculations!$O154-Calculations!$C$8-Calculations!$O154*LN(Calculations!$O154/Calculations!$C$8))+'Reaction Information'!$J$42*0.001/2*(2*Calculations!$O154*Calculations!$C$8-Calculations!$O154^2-Calculations!$C$8^2) + 'Reaction Information'!$K$42*100000*(Calculations!$O154^2 + Calculations!$C$8^2 - 2*Calculations!$O154*Calculations!$C$8)/(2*Calculations!$O154*Calculations!$C$8^2))</f>
        <v>#N/A</v>
      </c>
      <c r="AR154" s="8" t="e">
        <f>IF(AR$5="H2O", IF($D$24=3,IF(T154=0,NA(),T154),calculateGibbsOfWater(M154,N154,$D$24,$D$20,$D$19=3)),NA())</f>
        <v>#N/A</v>
      </c>
      <c r="AS154" s="8">
        <f>IF(ISBLANK(Input!$BK$4),NA(),'Reaction Information'!$E$46-'Reaction Information'!$G$46*(Calculations!O154-Calculations!$C$8)-'Reaction Information'!$N$46*(Calculations!O154*LN(Calculations!O154/Calculations!$C$8)-Calculations!O154+Calculations!$C$8)-'Reaction Information'!$O$46*10^4*(((1/(Calculations!O154-Calculations!$C$13))-(1/(Calculations!$C$8-Calculations!$C$13)))*((Calculations!$C$13-Calculations!O154)/(Calculations!$C$13))-(Calculations!O154/(Calculations!$C$13*Calculations!$C$13))*LN((Calculations!$C$8*(Calculations!O154-Calculations!$C$13))/(Calculations!O154*(Calculations!$C$8-Calculations!$C$13))))+'Reaction Information'!$J$46*10^-1*(Calculations!$M154-Calculations!$C$9)+'Reaction Information'!$K$46*10^2*LN((Calculations!$C$12+Calculations!$M154)/(Calculations!$C$12+Calculations!$C$9))+(1/(Calculations!O154-Calculations!$C$13))*('Reaction Information'!$L$46*(Calculations!$M154-Calculations!$C$9)+'Reaction Information'!$M$46*10^4*LN((Calculations!$C$12+Calculations!$M154)/(Calculations!$C$12+Calculations!$C$9)))+calculateOmega(Calculations!M154,Calculations!N154,Calculations!Q154,'Reaction Information'!$C$46,'Reaction Information'!$P$46*10^5,'Reaction Information'!$Q$46)*((1/Calculations!S154)-1)-'Reaction Information'!$P$46*10^5*((1/Calculations!$C$10)-1)+'Reaction Information'!$P$46*10^5*Calculations!$C$14*(Calculations!O154-Calculations!$C$8))</f>
        <v>0</v>
      </c>
      <c r="AT154" s="8">
        <f>IF(ISBLANK(Input!$BN$4),NA(),'Reaction Information'!$E$50-'Reaction Information'!$G$50*(Calculations!O154-Calculations!$C$8)-'Reaction Information'!$N$50*(Calculations!O154*LN(Calculations!O154/Calculations!$C$8)-Calculations!O154+Calculations!$C$8)-'Reaction Information'!$O$50*10^4*(((1/(Calculations!O154-Calculations!$C$13))-(1/(Calculations!$C$8-Calculations!$C$13)))*((Calculations!$C$13-Calculations!O154)/(Calculations!$C$13))-(Calculations!O154/(Calculations!$C$13*Calculations!$C$13))*LN((Calculations!$C$8*(Calculations!O154-Calculations!$C$13))/(Calculations!O154*(Calculations!$C$8-Calculations!$C$13))))+'Reaction Information'!$J$50*10^-1*(Calculations!$M154-Calculations!$C$9)+'Reaction Information'!$K$50*10^2*LN((Calculations!$C$12+Calculations!$M154)/(Calculations!$C$12+Calculations!$C$9))+(1/(Calculations!O154-Calculations!$C$13))*('Reaction Information'!$L$50*(Calculations!$M154-Calculations!$C$9)+'Reaction Information'!$M$50*10^4*LN((Calculations!$C$12+Calculations!$M154)/(Calculations!$C$12+Calculations!$C$9)))+calculateOmega(Calculations!M154,Calculations!N154,Calculations!Q154,'Reaction Information'!$C$50,'Reaction Information'!$P$50*10^5,'Reaction Information'!$Q$50)*((1/Calculations!S154)-1)-'Reaction Information'!$P$50*10^5*((1/Calculations!$C$10)-1)+'Reaction Information'!$P$50*10^5*Calculations!$C$14*(Calculations!O154-Calculations!$C$8))</f>
        <v>-132814.43414944597</v>
      </c>
      <c r="AU154" s="8" t="e">
        <f>IF(ISBLANK(Input!$BQ$4),NA(),'Reaction Information'!$E$54-'Reaction Information'!$G$54*(Calculations!$O154-Calculations!$C$8)-'Reaction Information'!$N$54*(Calculations!$O154*LN(Calculations!$O154/Calculations!$C$8)-Calculations!$O154+Calculations!$C$8)-'Reaction Information'!$O$54*10^4*(((1/(Calculations!$O154-Calculations!$C$13))-(1/(Calculations!$C$8-Calculations!$C$13)))*((Calculations!$C$13-Calculations!$O154)/(Calculations!$C$13))-(Calculations!$O154/(Calculations!$C$13*Calculations!$C$13))*LN((Calculations!$C$8*(Calculations!$O154-Calculations!$C$13))/(Calculations!$O154*(Calculations!$C$8-Calculations!$C$13))))+'Reaction Information'!$J$54*10^-1*(Calculations!$M154-Calculations!$C$9)+'Reaction Information'!$K$54*10^2*LN((Calculations!$C$12+Calculations!$M154)/(Calculations!$C$12+Calculations!$C$9))+(1/(Calculations!$O154-Calculations!$C$13))*('Reaction Information'!$L$54*(Calculations!$M154-Calculations!$C$9)+'Reaction Information'!$M$54*10^4*LN((Calculations!$C$12+Calculations!$M154)/(Calculations!$C$12+Calculations!$C$9)))+calculateOmega(Calculations!M154,Calculations!N154,Calculations!Q154,'Reaction Information'!$C$54,'Reaction Information'!$P$54*10^5,'Reaction Information'!$Q$54)*((1/Calculations!$S154)-1)-'Reaction Information'!$P$54*10^5*((1/Calculations!$C$10)-1)+'Reaction Information'!$P$54*10^5*Calculations!$C$14*(Calculations!$O154-Calculations!$C$8))</f>
        <v>#N/A</v>
      </c>
      <c r="AV154" s="8" t="e">
        <f>IF(ISBLANK(Input!$BT$4),NA(),'Reaction Information'!$E$58-'Reaction Information'!$G$58*(Calculations!$O154-Calculations!$C$8)-'Reaction Information'!$N$58*(Calculations!$O154*LN(Calculations!$O154/Calculations!$C$8)-Calculations!$O154+Calculations!$C$8)-'Reaction Information'!$O$58*10^4*(((1/(Calculations!$O154-Calculations!$C$13))-(1/(Calculations!$C$8-Calculations!$C$13)))*((Calculations!$C$13-Calculations!$O154)/(Calculations!$C$13))-(Calculations!$O154/(Calculations!$C$13*Calculations!$C$13))*LN((Calculations!$C$8*(Calculations!$O154-Calculations!$C$13))/(Calculations!$O154*(Calculations!$C$8-Calculations!$C$13))))+'Reaction Information'!$J$58*10^-1*(Calculations!$M154-Calculations!$C$9)+'Reaction Information'!$K$58*10^2*LN((Calculations!$C$12+Calculations!$M154)/(Calculations!$C$12+Calculations!$C$9))+(1/(Calculations!$O154-Calculations!$C$13))*('Reaction Information'!$L$58*(Calculations!$M154-Calculations!$C$9)+'Reaction Information'!$M$58*10^4*LN((Calculations!$C$12+Calculations!$M154)/(Calculations!$C$12+Calculations!$C$9)))+calculateOmega(Calculations!M154,Calculations!N154,Calculations!Q154,'Reaction Information'!$C$58,'Reaction Information'!$P$58*10^5,'Reaction Information'!$Q$58)*((1/Calculations!$S154)-1)-'Reaction Information'!$P$58*10^5*((1/Calculations!$C$10)-1)+'Reaction Information'!$P$58*10^5*Calculations!$C$14*(Calculations!$O154-Calculations!$C$8))</f>
        <v>#N/A</v>
      </c>
      <c r="AW154" s="8" t="e">
        <f>IF(ISBLANK(Input!$BW$4),NA(),'Reaction Information'!$E$62-'Reaction Information'!$G$62*(Calculations!$O154-Calculations!$C$8)-'Reaction Information'!$N$62*(Calculations!$O154*LN(Calculations!$O154/Calculations!$C$8)-Calculations!$O154+Calculations!$C$8)-'Reaction Information'!$O$62*10^4*(((1/(Calculations!$O154-Calculations!$C$13))-(1/(Calculations!$C$8-Calculations!$C$13)))*((Calculations!$C$13-Calculations!$O154)/(Calculations!$C$13))-(Calculations!$O154/(Calculations!$C$13*Calculations!$C$13))*LN((Calculations!$C$8*(Calculations!$O154-Calculations!$C$13))/(Calculations!$O154*(Calculations!$C$8-Calculations!$C$13))))+'Reaction Information'!$J$62*10^-1*(Calculations!$M154-Calculations!$C$9)+'Reaction Information'!$K$62*10^2*LN((Calculations!$C$12+Calculations!$M154)/(Calculations!$C$12+Calculations!$C$9))+(1/(Calculations!$O154-Calculations!$C$13))*('Reaction Information'!$L$62*(Calculations!$M154-Calculations!$C$9)+'Reaction Information'!$M$62*10^4*LN((Calculations!$C$12+Calculations!$M154)/(Calculations!$C$12+Calculations!$C$9)))+calculateOmega(Calculations!M154,Calculations!N154,Calculations!Q154,'Reaction Information'!$C$62,'Reaction Information'!$P$62*10^5,'Reaction Information'!$Q$62)*((1/Calculations!$S154)-1)-'Reaction Information'!$P$62*10^5*((1/Calculations!$C$10)-1)+'Reaction Information'!$P$62*10^5*Calculations!$C$14*(Calculations!$O154-Calculations!$C$8))</f>
        <v>#N/A</v>
      </c>
      <c r="AX154" s="8" t="e">
        <f>IF(ISBLANK(Input!$BZ$4),NA(),'Reaction Information'!$E$66-'Reaction Information'!$G$66*(Calculations!$O154-Calculations!$C$8)-'Reaction Information'!$N$66*(Calculations!$O154*LN(Calculations!$O154/Calculations!$C$8)-Calculations!$O154+Calculations!$C$8)-'Reaction Information'!$O$66*10^4*(((1/(Calculations!$O154-Calculations!$C$13))-(1/(Calculations!$C$8-Calculations!$C$13)))*((Calculations!$C$13-Calculations!$O154)/(Calculations!$C$13))-(Calculations!$O154/(Calculations!$C$13*Calculations!$C$13))*LN((Calculations!$C$8*(Calculations!$O154-Calculations!$C$13))/(Calculations!$O154*(Calculations!$C$8-Calculations!$C$13))))+'Reaction Information'!$J$66*10^-1*(Calculations!$M154-Calculations!$C$9)+'Reaction Information'!$K$66*10^2*LN((Calculations!$C$12+Calculations!$M154)/(Calculations!$C$12+Calculations!$C$9))+(1/(Calculations!$O154-Calculations!$C$13))*('Reaction Information'!$L$66*(Calculations!$M154-Calculations!$C$9)+'Reaction Information'!$M$66*10^4*LN((Calculations!$C$12+Calculations!$M154)/(Calculations!$C$12+Calculations!$C$9)))+calculateOmega(Calculations!M154,Calculations!N154,Calculations!Q154,'Reaction Information'!$C$66,'Reaction Information'!$P$66*10^5,'Reaction Information'!$Q$66)*((1/Calculations!$S154)-1)-'Reaction Information'!$P$66*10^5*((1/Calculations!$C$10)-1)+'Reaction Information'!$P$66*10^5*Calculations!$C$14*(Calculations!$O154-Calculations!$C$8))</f>
        <v>#N/A</v>
      </c>
      <c r="AY154" s="31">
        <f>(AL154*Input!$AO$4+AM154*Input!$AR$4+AN154*Input!$AU$4+AO154*Input!$AX$4+IF(ISNA(AP154),0,AP154*Input!$BA$4)+IF(ISNA(AQ154),0,AQ154*Input!$BD$4)+IF(ISNA(AR154),0,AR154*Input!$BG$4)+IF(ISNA(AS154),0,AS154*Input!$BJ$4)+IF(ISNA(AT154),0,AT154*Input!$BM$4)+IF(ISNA(AU154),0,AU154*Input!$BP$4)+IF(ISNA(AV154),0,AV154*Input!$BS$4)+IF(ISNA(AW154),0,AW154*Input!$BV$4)+IF(ISNA(AX154),0,AX154*Input!$BY$4))-(Y154*Input!$B$4+Z154*Input!$E$4+AA154*Input!$H$4+AB154*Input!$K$4+IF(ISNA(AC154),0,AC154*Input!$N$4)+IF(ISNA(AD154),0,AD154*Input!$Q$4)+IF(ISNA(AE154),0,AE154*Input!$T$4)+IF(ISNA(AF154),0,AF154*Input!$W$4)+IF(ISNA(AG154),0,AG154*Input!$Z$4)+IF(ISNA(AH154),0,AH154*Input!$AC$4)+IF(ISNA(AI154),0,AI154*Input!$AF$4)+IF(ISNA(AJ154),0,AJ154*Input!$AI$4)+IF(ISNA(AK154),0,AK154*Input!$AL$4))</f>
        <v>26623.504077644815</v>
      </c>
      <c r="AZ154" s="42">
        <f t="shared" si="39"/>
        <v>-4.7601141657510313</v>
      </c>
      <c r="BA154" s="1">
        <f t="shared" si="46"/>
        <v>950</v>
      </c>
      <c r="BB154" s="46">
        <f t="shared" si="47"/>
        <v>50000</v>
      </c>
      <c r="BC154" s="1"/>
      <c r="BD154" s="2">
        <f t="shared" si="48"/>
        <v>50000</v>
      </c>
      <c r="BE154" s="46">
        <f t="shared" si="49"/>
        <v>950</v>
      </c>
      <c r="BF154" s="1">
        <f>Results!AJ156</f>
        <v>0</v>
      </c>
      <c r="BG154" s="1">
        <f>Results!AK156</f>
        <v>0</v>
      </c>
      <c r="BH154" s="1">
        <f>Results!AL156</f>
        <v>0</v>
      </c>
      <c r="BI154" s="1">
        <f>Results!AM156</f>
        <v>0</v>
      </c>
      <c r="BJ154" s="1" t="e">
        <f>IF(OR(ISNA('Reaction Information'!$D$5), $N154 = "", $D$27 = FALSE, 'Reaction Information'!$D$5 = ""), NA(), 24.465)</f>
        <v>#N/A</v>
      </c>
      <c r="BK154" s="1" t="e">
        <f>IF(OR(ISNA('Reaction Information'!$D$9), $N154 = "", $D$27 = FALSE, 'Reaction Information'!$D$9 = ""), NA(), 24.465)</f>
        <v>#N/A</v>
      </c>
      <c r="BL154" s="8">
        <f t="shared" si="40"/>
        <v>13.865221753898965</v>
      </c>
      <c r="BM154" s="8">
        <f>IF(OR(ISBLANK(Input!$X$4),$D$27=FALSE),NA(),('Reaction Information'!$J$13/10+'Reaction Information'!$K$13*100/(Calculations!$C$12+Calculations!$M154)+('Reaction Information'!$L$13+'Reaction Information'!$M$13*10^4/(Calculations!$C$12+Calculations!$M154))/(Calculations!$O154-Calculations!$C$13) -calculateOmega(Calculations!$M154,Calculations!$N154,Calculations!$Q154,'Reaction Information'!$C$13,'Reaction Information'!$P$13*10^5,'Reaction Information'!$Q$13)*Calculations!$U154*10^-6 + (1/$S154 - 1)*calculate_domegadP(Calculations!$M154,Calculations!$N154,Calculations!$Q154,'Reaction Information'!$C$13,'Reaction Information'!$P$13*10^5,'Reaction Information'!$Q$13,$D$20,$D$19=3))*41.84)</f>
        <v>30.07526858769187</v>
      </c>
      <c r="BN154" s="8" t="e">
        <f>IF(OR(ISBLANK(Input!$AA$4),$D$27=FALSE),NA(),('Reaction Information'!$J$17/10+'Reaction Information'!$K$17*100/(Calculations!$C$12+Calculations!$M154)+('Reaction Information'!$L$17+'Reaction Information'!$M$17*10000/(Calculations!$C$12+Calculations!$M154))/(Calculations!$O154-Calculations!$C$13)-calculateOmega(Calculations!M154,Calculations!N154,Calculations!Q154,'Reaction Information'!$C$17,'Reaction Information'!$P$17*10^5,'Reaction Information'!$Q$17)*Calculations!$U154*10^-6 + (1/$S154 - 1)*calculate_domegadP(Calculations!M154,Calculations!N154,Calculations!Q154,'Reaction Information'!$C$17,'Reaction Information'!$P$17*10^5,'Reaction Information'!$Q$17,$D$20,$D$19=3))*41.84)</f>
        <v>#N/A</v>
      </c>
      <c r="BO154" s="8" t="e">
        <f>IF(OR(ISBLANK(Input!$AD$4),$D$27=FALSE),NA(),('Reaction Information'!$J$21/10+'Reaction Information'!$K$21*100/(Calculations!$C$12+Calculations!$M154)+('Reaction Information'!$L$21+'Reaction Information'!$M$21*10000/(Calculations!$C$12+Calculations!$M154))/(Calculations!$O154-Calculations!$C$13)-calculateOmega(Calculations!M154,Calculations!N154,Calculations!Q154,'Reaction Information'!$C$21,'Reaction Information'!$P$21*10^5,'Reaction Information'!$Q$21)*Calculations!$U154*10^-6 + (1/$S154 - 1)*calculate_domegadP(Calculations!M154,Calculations!N154,Calculations!Q154,'Reaction Information'!$C$21,'Reaction Information'!$P$21*10^5,'Reaction Information'!$Q$21,$D$20,$D$19=3))*41.84)</f>
        <v>#N/A</v>
      </c>
      <c r="BP154" s="8" t="e">
        <f>IF(OR(ISBLANK(Input!$AG$4),$D$27=FALSE),NA(),('Reaction Information'!$J$25/10+'Reaction Information'!$K$25*100/(Calculations!$C$12+Calculations!$M154)+('Reaction Information'!$L$25+'Reaction Information'!$M$25*10000/(Calculations!$C$12+Calculations!$M154))/(Calculations!$O154-Calculations!$C$13)-calculateOmega(Calculations!M154,Calculations!N154,Calculations!Q154,'Reaction Information'!$C$25,'Reaction Information'!$P$25*10^5,'Reaction Information'!$Q$25)*Calculations!$U154*10^-6 + (1/$S154 - 1)*calculate_domegadP(Calculations!M154,Calculations!N154,Calculations!Q154,'Reaction Information'!$C$25,'Reaction Information'!$P$25*10^5,'Reaction Information'!$Q$25,$D$20,$D$19=3))*41.84)</f>
        <v>#N/A</v>
      </c>
      <c r="BQ154" s="8" t="e">
        <f>IF(OR(ISBLANK(Input!$AJ$4),$D$27=FALSE),NA(),('Reaction Information'!$J$29/10+'Reaction Information'!$K$29*100/(Calculations!$C$12+Calculations!$M154)+('Reaction Information'!$L$29+'Reaction Information'!$M$29*10000/(Calculations!$C$12+Calculations!$M154))/(Calculations!$O154-Calculations!$C$13)-calculateOmega(Calculations!M154,Calculations!N154,Calculations!Q154,'Reaction Information'!$C$29,'Reaction Information'!$P$29*10^5,'Reaction Information'!$Q$29)*Calculations!$U154*10^-6 + (1/$S154 - 1)*calculate_domegadP(Calculations!M154,Calculations!N154,Calculations!Q154,'Reaction Information'!$C$29,'Reaction Information'!$P$29*10^5,'Reaction Information'!$Q$29,$D$20,$D$19=3))*41.84)</f>
        <v>#N/A</v>
      </c>
      <c r="BR154" s="8" t="e">
        <f>IF(OR(ISBLANK(Input!$AM$4),$D$27=FALSE),NA(),('Reaction Information'!$J$33/10+'Reaction Information'!$K$33*100/(Calculations!$C$12+Calculations!$M154)+('Reaction Information'!$L$33+'Reaction Information'!$M$33*10000/(Calculations!$C$12+Calculations!$M154))/(Calculations!$O154-Calculations!$C$13)-calculateOmega(Calculations!M154,Calculations!N154,Calculations!Q154,'Reaction Information'!$C$33,'Reaction Information'!$P$33*10^5,'Reaction Information'!$Q$33)*Calculations!$U154*10^-6 + (1/$S154 - 1)*calculate_domegadP(Calculations!M154,Calculations!N154,Calculations!Q154,'Reaction Information'!$C$33,'Reaction Information'!$P$33*10^5,'Reaction Information'!$Q$33,$D$20,$D$19=3))*41.84)</f>
        <v>#N/A</v>
      </c>
      <c r="BS154" s="1">
        <f>Results!AW156</f>
        <v>0</v>
      </c>
      <c r="BT154" s="1">
        <f>Results!AX156</f>
        <v>0</v>
      </c>
      <c r="BU154" s="1">
        <f>Results!AY156</f>
        <v>0</v>
      </c>
      <c r="BV154" s="1">
        <f>Results!AZ156</f>
        <v>0</v>
      </c>
      <c r="BW154" s="1" t="e">
        <f>IF(OR(ISNA('Reaction Information'!$D$38), $N154 = "", $D$27 = FALSE, 'Reaction Information'!$D$38 = ""), NA(), 24.465)</f>
        <v>#N/A</v>
      </c>
      <c r="BX154" s="1" t="e">
        <f>IF(OR(ISNA('Reaction Information'!$D$42), $N154 = "", $D$27 = FALSE, 'Reaction Information'!$D$42 = ""), NA(), 24.465)</f>
        <v>#N/A</v>
      </c>
      <c r="BY154" s="8" t="e">
        <f t="shared" si="41"/>
        <v>#N/A</v>
      </c>
      <c r="BZ154" s="8">
        <f>IF(OR(ISBLANK(Input!$BK$4),$D$27=FALSE),NA(),('Reaction Information'!$J$46/10+'Reaction Information'!$K$46*100/(Calculations!$C$12+Calculations!$M154)+('Reaction Information'!$L$46+'Reaction Information'!$M$46*10000/(Calculations!$C$12+Calculations!$M154))/(Calculations!$O154-Calculations!$C$13)-calculateOmega(Calculations!M154,Calculations!N154,Calculations!Q154,'Reaction Information'!$C$46,'Reaction Information'!$P$46*10^5,'Reaction Information'!$Q$46)*Calculations!$U154*10^-6 + (1/$S154 - 1)*calculate_domegadP(Calculations!M154,Calculations!N154,Calculations!Q154,'Reaction Information'!$C$46,'Reaction Information'!$P$46*10^5,'Reaction Information'!$Q$46,$D$20,$D$19=3))*41.84)</f>
        <v>0</v>
      </c>
      <c r="CA154" s="8">
        <f>IF(OR(ISBLANK(Input!$BN$4),$D$27=FALSE),NA(),('Reaction Information'!$J$50/10+'Reaction Information'!$K$50*100/(Calculations!$C$12+Calculations!$M154)+('Reaction Information'!$L$50+'Reaction Information'!$M$50*10000/(Calculations!$C$12+Calculations!$M154))/(Calculations!$O154-Calculations!$C$13)-calculateOmega(Calculations!M154,Calculations!N154,Calculations!Q154,'Reaction Information'!$C$50,'Reaction Information'!$P$50*10^5,'Reaction Information'!$Q$50)*Calculations!$U154*10^-6 + (1/$S154 - 1)*calculate_domegadP(Calculations!M154,Calculations!N154,Calculations!Q154,'Reaction Information'!$C$50,'Reaction Information'!$P$50*10^5,'Reaction Information'!$Q$50,$D$20,$D$19=3))*41.84)</f>
        <v>31.036442231953103</v>
      </c>
      <c r="CB154" s="8" t="e">
        <f>IF(OR(ISBLANK(Input!$BQ$4),$D$27=FALSE),NA(),('Reaction Information'!$J$54/10+'Reaction Information'!$K$54*100/(Calculations!$C$12+Calculations!$M154)+('Reaction Information'!$L$54+'Reaction Information'!$M$54*10000/(Calculations!$C$12+Calculations!$M154))/(Calculations!$O154-Calculations!$C$13)-calculateOmega(Calculations!M154,Calculations!N154,Calculations!Q154,'Reaction Information'!$C$54,'Reaction Information'!$P$54*10^5,'Reaction Information'!$Q$54)*Calculations!$U154*10^-6 + (1/$S154 - 1)*calculate_domegadP(Calculations!M154,Calculations!N154,Calculations!Q154,'Reaction Information'!$C$54,'Reaction Information'!$P$54*10^5,'Reaction Information'!$Q$54,$D$20,$D$19=3))*41.84)</f>
        <v>#N/A</v>
      </c>
      <c r="CC154" s="8" t="e">
        <f>IF(OR(ISBLANK(Input!$BT$4),$D$27=FALSE),NA(),('Reaction Information'!$J$58/10+'Reaction Information'!$K$58*100/(Calculations!$C$12+Calculations!$M154)+('Reaction Information'!$L$58+'Reaction Information'!$M$58*10000/(Calculations!$C$12+Calculations!$M154))/(Calculations!$O154-Calculations!$C$13)-calculateOmega(Calculations!M154,Calculations!N154,Calculations!Q154,'Reaction Information'!$C$58,'Reaction Information'!$P$58*10^5,'Reaction Information'!$Q$58)*Calculations!$U154*10^-6 + (1/$S154 - 1)*calculate_domegadP(Calculations!M154,Calculations!N154,Calculations!Q154,'Reaction Information'!$C$58,'Reaction Information'!$P$58*10^5,'Reaction Information'!$Q$58,$D$20,$D$19=3))*41.84)</f>
        <v>#N/A</v>
      </c>
      <c r="CD154" s="8" t="e">
        <f>IF(OR(ISBLANK(Input!$BW$4),$D$27=FALSE),NA(),('Reaction Information'!$J$62/10+'Reaction Information'!$K$62*100/(Calculations!$C$12+Calculations!$M154)+('Reaction Information'!$L$62+'Reaction Information'!$M$62*10000/(Calculations!$C$12+Calculations!$M154))/(Calculations!$O154-Calculations!$C$13)-calculateOmega(Calculations!M154,Calculations!N154,Calculations!Q154,'Reaction Information'!$C$62,'Reaction Information'!$P$62*10^5,'Reaction Information'!$Q$62)*Calculations!$U154*10^-6 + (1/$S154 - 1)*calculate_domegadP(Calculations!M154,Calculations!N154,Calculations!Q154,'Reaction Information'!$C$62,'Reaction Information'!$P$62*10^5,'Reaction Information'!$Q$62,$D$20,$D$19=3))*41.84)</f>
        <v>#N/A</v>
      </c>
      <c r="CE154" s="8" t="e">
        <f>IF(OR(ISBLANK(Input!$BZ$4),$D$27=FALSE),NA(),('Reaction Information'!$J$66/10+'Reaction Information'!$K$66*100/(Calculations!$C$12+Calculations!$M154)+('Reaction Information'!$L$66+'Reaction Information'!$M$66*10000/(Calculations!$C$12+Calculations!$M154))/(Calculations!$O154-Calculations!$C$13)-calculateOmega(Calculations!M154,Calculations!N154,Calculations!Q154,'Reaction Information'!$C$66,'Reaction Information'!$P$66*10^5,'Reaction Information'!$Q$66)*Calculations!$U154*10^-6 + (1/$S154 - 1)*calculate_domegadP(Calculations!M154,Calculations!N154,Calculations!Q154,'Reaction Information'!$C$66,'Reaction Information'!$P$66*10^5,'Reaction Information'!$Q$66,$D$20,$D$19=3))*41.84)</f>
        <v>#N/A</v>
      </c>
      <c r="CF154" s="31">
        <f>(BS154*Input!$AO$4+BT154*Input!$AR$4+BU154*Input!$AU$4+BV154*Input!$AX$4+IF(ISNA(BW154),0,BW154*Input!$BA$4)+IF(ISNA(BX154),0,BX154*Input!$BD$4)+IF(ISNA(BY154),0,BY154*Input!$BG$4)+IF(ISNA(BZ154),0,BZ154*Input!$BJ$4)+IF(ISNA(CA154),0,CA154*Input!$BM$4)+IF(ISNA(CB154),0,CB154*Input!$BP$4)+IF(ISNA(CC154),0,CC154*Input!$BS$4)+IF(ISNA(CD154),0,CD154*Input!$BV$4)+IF(ISNA(CE154),0,CE154*Input!$BY$4))-(BF154*Input!$B$4+BG154*Input!$E$4+BH154*Input!$H$4+BI154*Input!$K$4+IF(ISNA(BJ154),0,BJ154*Input!$N$4)+IF(ISNA(BK154),0,BK154*Input!$Q$4)+IF(ISNA(BL154),0,BL154*Input!$T$4)+IF(ISNA(BM154),0,BM154*Input!$W$4)+IF(ISNA(BN154),0,BN154*Input!$Z$4)+IF(ISNA(BO154),0,BO154*Input!$AC$4)+IF(ISNA(BP154),0,BP154*Input!$AF$4)+IF(ISNA(BQ154),0,BQ154*Input!$AI$4)+IF(ISNA(BR154),0,BR154*Input!$AL$4))</f>
        <v>-12.904048109637728</v>
      </c>
      <c r="CG154" s="1">
        <f t="shared" si="50"/>
        <v>950</v>
      </c>
      <c r="CH154" s="46">
        <f t="shared" si="51"/>
        <v>50000</v>
      </c>
      <c r="CI154" s="1"/>
    </row>
    <row r="155" spans="1:87" x14ac:dyDescent="0.2">
      <c r="A155" s="1"/>
      <c r="B155" s="1"/>
      <c r="C155" s="1"/>
      <c r="D155" s="1"/>
      <c r="E155" s="1"/>
      <c r="F155" s="2">
        <v>150</v>
      </c>
      <c r="G155" s="1" t="str">
        <f>IF(ISBLANK(Input!CB155), "", Input!CB155*1000)</f>
        <v/>
      </c>
      <c r="H155" s="1" t="str">
        <f>IF(ISBLANK(Input!CC155), "", Input!CC155)</f>
        <v/>
      </c>
      <c r="I155" s="1">
        <f>IF(Input!$CF$5 + Input!$CF$6*(FLOOR((Calculations!$F155-1)/(FLOOR((Input!$CF$12-Input!$CF$10)/Input!$CF$11,1)+1),1)) &gt; Input!$CF$7, "", (Input!$CF$5 + Input!$CF$6*(FLOOR((Calculations!$F155-1)/(FLOOR((Input!$CF$12-Input!$CF$10)/Input!$CF$11,1)+1),1)))*1000)</f>
        <v>50000</v>
      </c>
      <c r="J155" s="1">
        <f>IF(Calculations!I155 = "", "", Input!$CF$10 + Input!$CF$11*(Calculations!$F155-1) - (FLOOR((Input!$CF$12-Input!$CF$10)/Input!$CF$11,1)+1)*Input!$CF$11*FLOOR((Calculations!$F155-1)/(FLOOR((Input!$CF$12-Input!$CF$10)/Input!$CF$11,1)+1),1))</f>
        <v>1000</v>
      </c>
      <c r="K155" s="8" t="str">
        <f t="shared" si="52"/>
        <v/>
      </c>
      <c r="L155" s="117" t="str">
        <f>IF(OR(Input!$CJ$5 + Input!$CJ$6*(Calculations!F155-1) &gt; Input!$CJ$7, Input!$CJ$5 + Input!$CJ$6*(Calculations!F155-1) &gt; 350), "", Input!$CJ$5 + Input!$CJ$6*(Calculations!F155-1))</f>
        <v/>
      </c>
      <c r="M155" s="1">
        <f t="shared" si="42"/>
        <v>50000</v>
      </c>
      <c r="N155" s="1">
        <f t="shared" si="43"/>
        <v>1000</v>
      </c>
      <c r="O155" s="1">
        <f t="shared" si="38"/>
        <v>1273.1500000000001</v>
      </c>
      <c r="P155" s="1" t="e">
        <f>IF(OR($D$20=3,AND($D$21=TRUE,M155&lt;1000)),INDEX('Water Density'!$C$6:$CX$120,MATCH(Calculations!N155,'Water Density'!$B$6:$B$120),MATCH(Calculations!M155/1000,'Water Density'!$C$5:$CX$5)),NA())</f>
        <v>#N/A</v>
      </c>
      <c r="Q155" s="182">
        <f>IF(OR($D$20=3,AND($D$21=TRUE,M155&lt;1000)), IF(P155&lt;&gt;0,P155,NA()), calculateDensity(M155,N155,$D$20,0.01,$D$19 = 3))</f>
        <v>1.2876633619582654</v>
      </c>
      <c r="R155" s="1" t="e">
        <f>IF($D$22=5,INDEX('Dielectric Constant'!$C$6:$CX$120,MATCH(Calculations!N155,'Dielectric Constant'!$B$6:$B$120),MATCH(Calculations!M155/1000,'Dielectric Constant'!$C$5:$CX$5)),NA())</f>
        <v>#N/A</v>
      </c>
      <c r="S155" s="58">
        <f>IF($D$22=5, IF(R155&lt;&gt;0,R155,NA()), IF(AND($D$23,M155&lt;=5000,$D$19 &lt;&gt; 3),calculateEpsilon(Q155,N155,1,FALSE),calculateEpsilon(Q155,N155,$D$22,$D$19 = 3)))</f>
        <v>16.972661202190313</v>
      </c>
      <c r="T155" s="1" t="e">
        <f>IF($D$24=3,INDEX('Water Free Energy'!$C$6:$CX$120,MATCH(Calculations!N155,'Water Free Energy'!$B$6:$B$120),MATCH(Calculations!M155/1000,'Water Free Energy'!$C$5:$CX$5)),NA())</f>
        <v>#N/A</v>
      </c>
      <c r="U155" s="179">
        <f>IF($D$27,calculateQ(M155,N155,Q155,$D$20,$D$22,$D$19=3)*10^6,NA())</f>
        <v>0.20640645402717414</v>
      </c>
      <c r="V155"/>
      <c r="W155" s="2">
        <f t="shared" si="44"/>
        <v>50000</v>
      </c>
      <c r="X155" s="1">
        <f t="shared" si="45"/>
        <v>1000</v>
      </c>
      <c r="Y155" s="1">
        <f>Results!F157</f>
        <v>0</v>
      </c>
      <c r="Z155" s="1">
        <f>Results!G157</f>
        <v>0</v>
      </c>
      <c r="AA155" s="1">
        <f>Results!H157</f>
        <v>0</v>
      </c>
      <c r="AB155" s="1">
        <f>Results!I157</f>
        <v>0</v>
      </c>
      <c r="AC155" s="1" t="e">
        <f>IF(ISBLANK(Input!$O$4),NA(),'Reaction Information'!$E$5-'Reaction Information'!$G$5*(Calculations!$O155-Calculations!$C$8)+'Reaction Information'!$I$5*(Calculations!$O155-Calculations!$C$8-Calculations!$O155*LN(Calculations!$O155/Calculations!$C$8))+'Reaction Information'!$J$5*0.001/2*(2*Calculations!$O155*Calculations!$C$8-Calculations!$O155^2-Calculations!$C$8^2) + 'Reaction Information'!$K$5*100000*(Calculations!$O155^2 + Calculations!$C$8^2 - 2*Calculations!$O155*Calculations!$C$8)/(2*Calculations!$O155*Calculations!$C$8^2))</f>
        <v>#N/A</v>
      </c>
      <c r="AD155" s="8" t="e">
        <f>IF(ISBLANK(Input!$R$4),NA(),'Reaction Information'!$E$9-'Reaction Information'!$G$9*(Calculations!$O155-Calculations!$C$8)+'Reaction Information'!$I$9*(Calculations!$O155-Calculations!$C$8-Calculations!$O155*LN(Calculations!$O155/Calculations!$C$8))+'Reaction Information'!$J$9*0.001/2*(2*Calculations!$O155*Calculations!$C$8-Calculations!$O155^2-Calculations!$C$8^2) + 'Reaction Information'!$K$9*100000*(Calculations!$O155^2 + Calculations!$C$8^2 - 2*Calculations!$O155*Calculations!$C$8)/(2*Calculations!$O155*Calculations!$C$8^2))</f>
        <v>#N/A</v>
      </c>
      <c r="AE155" s="8">
        <f>IF(AE$5="H2O",IF($D$24=3,IF(T155=0,NA(),T155),calculateGibbsOfWater(M155,N155,$D$24,$D$20,$D$19=3)),NA())</f>
        <v>-65187.481135325273</v>
      </c>
      <c r="AF155" s="8">
        <f>IF(ISBLANK(Input!$X$4),NA(),'Reaction Information'!$E$13-'Reaction Information'!$G$13*(Calculations!O155-Calculations!$C$8)-'Reaction Information'!$N$13*(Calculations!O155*LN(Calculations!O155/Calculations!$C$8)-Calculations!O155+Calculations!$C$8)-'Reaction Information'!$O$13*10^4*(((1/(Calculations!O155-Calculations!$C$13))-(1/(Calculations!$C$8-Calculations!$C$13)))*((Calculations!$C$13-Calculations!O155)/(Calculations!$C$13))-(Calculations!O155/(Calculations!$C$13*Calculations!$C$13))*LN((Calculations!$C$8*(Calculations!O155-Calculations!$C$13))/(Calculations!O155*(Calculations!$C$8-Calculations!$C$13))))+'Reaction Information'!$J$13*10^-1*(Calculations!M155-Calculations!$C$9)+'Reaction Information'!$K$13*10^2*LN((Calculations!$C$12+Calculations!M155)/(Calculations!$C$12+Calculations!$C$9))+(1/(Calculations!O155-Calculations!$C$13))*('Reaction Information'!$L$13*(Calculations!M155-Calculations!$C$9)+'Reaction Information'!$M$13*10^4*LN((Calculations!$C$12+Calculations!M155)/(Calculations!$C$12+Calculations!$C$9)))+calculateOmega(Calculations!M155,Calculations!N155,Calculations!Q155,'Reaction Information'!$C$13,'Reaction Information'!$P$13*10^5,'Reaction Information'!$Q$13)*((1/Calculations!S155)-1)-'Reaction Information'!$P$13*10^5*((1/Calculations!$C$10)-1)+'Reaction Information'!$P$13*10^5*Calculations!$C$14*(Calculations!O155-Calculations!$C$8))</f>
        <v>-98422.845935794729</v>
      </c>
      <c r="AG155" s="8" t="e">
        <f>IF(ISBLANK(Input!$AA$4),NA(),'Reaction Information'!$E$17-'Reaction Information'!$G$17*(Calculations!$O155-Calculations!$C$8)-'Reaction Information'!$N$17*(Calculations!$O155*LN(Calculations!$O155/Calculations!$C$8)-Calculations!$O155+Calculations!$C$8)-'Reaction Information'!$O$17*10^4*(((1/(Calculations!$O155-Calculations!$C$13))-(1/(Calculations!$C$8-Calculations!$C$13)))*((Calculations!$C$13-Calculations!$O155)/(Calculations!$C$13))-(Calculations!$O155/(Calculations!$C$13*Calculations!$C$13))*LN((Calculations!$C$8*(Calculations!$O155-Calculations!$C$13))/(Calculations!$O155*(Calculations!$C$8-Calculations!$C$13))))+'Reaction Information'!$J$17*10^-1*(Calculations!$M155-Calculations!$C$9)+'Reaction Information'!$K$17*10^2*LN((Calculations!$C$12+Calculations!$M155)/(Calculations!$C$12+Calculations!$C$9))+(1/(Calculations!$O155-Calculations!$C$13))*('Reaction Information'!$L$17*(Calculations!$M155-Calculations!$C$9)+'Reaction Information'!$M$17*10^4*LN((Calculations!$C$12+Calculations!$M155)/(Calculations!$C$12+Calculations!$C$9)))+calculateOmega(Calculations!M155,Calculations!N155,Calculations!Q155,'Reaction Information'!$C$17,'Reaction Information'!$P$17*10^5,'Reaction Information'!$Q$17)*((1/Calculations!$S155)-1)-'Reaction Information'!$P$17*10^5*((1/Calculations!$C$10)-1)+'Reaction Information'!$P$17*10^5*Calculations!$C$14*(Calculations!$O155-Calculations!$C$8))</f>
        <v>#N/A</v>
      </c>
      <c r="AH155" s="8" t="e">
        <f>IF(ISBLANK(Input!$AD$4),NA(),'Reaction Information'!$E$21-'Reaction Information'!$G$21*(Calculations!$O155-Calculations!$C$8)-'Reaction Information'!$N$21*(Calculations!$O155*LN(Calculations!$O155/Calculations!$C$8)-Calculations!$O155+Calculations!$C$8)-'Reaction Information'!$O$21*10^4*(((1/(Calculations!$O155-Calculations!$C$13))-(1/(Calculations!$C$8-Calculations!$C$13)))*((Calculations!$C$13-Calculations!$O155)/(Calculations!$C$13))-(Calculations!$O155/(Calculations!$C$13*Calculations!$C$13))*LN((Calculations!$C$8*(Calculations!$O155-Calculations!$C$13))/(Calculations!$O155*(Calculations!$C$8-Calculations!$C$13))))+'Reaction Information'!$J$21*10^-1*(Calculations!$M155-Calculations!$C$9)+'Reaction Information'!$K$21*10^2*LN((Calculations!$C$12+Calculations!$M155)/(Calculations!$C$12+Calculations!$C$9))+(1/(Calculations!$O155-Calculations!$C$13))*('Reaction Information'!$L$21*(Calculations!$M155-Calculations!$C$9)+'Reaction Information'!$M$21*10^4*LN((Calculations!$C$12+Calculations!$M155)/(Calculations!$C$12+Calculations!$C$9)))+calculateOmega(Calculations!M155,Calculations!N155,Calculations!Q155,'Reaction Information'!$C$21,'Reaction Information'!$P$21*10^5,'Reaction Information'!$Q$21)*((1/Calculations!$S155)-1)-'Reaction Information'!$P$21*10^5*((1/Calculations!$C$10)-1)+'Reaction Information'!$P$21*10^5*Calculations!$C$14*(Calculations!$O155-Calculations!$C$8))</f>
        <v>#N/A</v>
      </c>
      <c r="AI155" s="8" t="e">
        <f>IF(ISBLANK(Input!$AG$4),NA(),'Reaction Information'!$E$25-'Reaction Information'!$G$25*(Calculations!$O155-Calculations!$C$8)-'Reaction Information'!$N$25*(Calculations!$O155*LN(Calculations!$O155/Calculations!$C$8)-Calculations!$O155+Calculations!$C$8)-'Reaction Information'!$O$25*10^4*(((1/(Calculations!$O155-Calculations!$C$13))-(1/(Calculations!$C$8-Calculations!$C$13)))*((Calculations!$C$13-Calculations!$O155)/(Calculations!$C$13))-(Calculations!$O155/(Calculations!$C$13*Calculations!$C$13))*LN((Calculations!$C$8*(Calculations!$O155-Calculations!$C$13))/(Calculations!$O155*(Calculations!$C$8-Calculations!$C$13))))+'Reaction Information'!$J$25*10^-1*(Calculations!$M155-Calculations!$C$9)+'Reaction Information'!$K$25*10^2*LN((Calculations!$C$12+Calculations!$M155)/(Calculations!$C$12+Calculations!$C$9))+(1/(Calculations!$O155-Calculations!$C$13))*('Reaction Information'!$L$25*(Calculations!$M155-Calculations!$C$9)+'Reaction Information'!$M$25*10^4*LN((Calculations!$C$12+Calculations!$M155)/(Calculations!$C$12+Calculations!$C$9)))+calculateOmega(Calculations!M155,Calculations!N155,Calculations!Q155,'Reaction Information'!$C$25,'Reaction Information'!$P$25*10^5,'Reaction Information'!$Q$25)*((1/Calculations!$S155)-1)-'Reaction Information'!$P$25*10^5*((1/Calculations!$C$10)-1)+'Reaction Information'!$P$25*10^5*Calculations!$C$14*(Calculations!$O155-Calculations!$C$8))</f>
        <v>#N/A</v>
      </c>
      <c r="AJ155" s="8" t="e">
        <f>IF(ISBLANK(Input!$AJ$4),NA(),'Reaction Information'!$E$29-'Reaction Information'!$G$29*(Calculations!$O155-Calculations!$C$8)-'Reaction Information'!$N$29*(Calculations!$O155*LN(Calculations!$O155/Calculations!$C$8)-Calculations!$O155+Calculations!$C$8)-'Reaction Information'!$O$29*10^4*(((1/(Calculations!$O155-Calculations!$C$13))-(1/(Calculations!$C$8-Calculations!$C$13)))*((Calculations!$C$13-Calculations!$O155)/(Calculations!$C$13))-(Calculations!$O155/(Calculations!$C$13*Calculations!$C$13))*LN((Calculations!$C$8*(Calculations!$O155-Calculations!$C$13))/(Calculations!$O155*(Calculations!$C$8-Calculations!$C$13))))+'Reaction Information'!$J$29*10^-1*(Calculations!$M155-Calculations!$C$9)+'Reaction Information'!$K$29*10^2*LN((Calculations!$C$12+Calculations!$M155)/(Calculations!$C$12+Calculations!$C$9))+(1/(Calculations!$O155-Calculations!$C$13))*('Reaction Information'!$L$29*(Calculations!$M155-Calculations!$C$9)+'Reaction Information'!$M$29*10^4*LN((Calculations!$C$12+Calculations!$M155)/(Calculations!$C$12+Calculations!$C$9)))+calculateOmega(Calculations!M155,Calculations!N155,Calculations!Q155,'Reaction Information'!$C$29,'Reaction Information'!$P$29*10^5,'Reaction Information'!$Q$29)*((1/Calculations!$S155)-1)-'Reaction Information'!$P$29*10^5*((1/Calculations!$C$10)-1)+'Reaction Information'!$P$29*10^5*Calculations!$C$14*(Calculations!$O155-Calculations!$C$8))</f>
        <v>#N/A</v>
      </c>
      <c r="AK155" s="8" t="e">
        <f>IF(ISBLANK(Input!$AM$4),NA(),'Reaction Information'!$E$33-'Reaction Information'!$G$33*(Calculations!$O155-Calculations!$C$8)-'Reaction Information'!$N$33*(Calculations!$O155*LN(Calculations!$O155/Calculations!$C$8)-Calculations!$O155+Calculations!$C$8)-'Reaction Information'!$O$33*10^4*(((1/(Calculations!$O155-Calculations!$C$13))-(1/(Calculations!$C$8-Calculations!$C$13)))*((Calculations!$C$13-Calculations!$O155)/(Calculations!$C$13))-(Calculations!$O155/(Calculations!$C$13*Calculations!$C$13))*LN((Calculations!$C$8*(Calculations!$O155-Calculations!$C$13))/(Calculations!$O155*(Calculations!$C$8-Calculations!$C$13))))+'Reaction Information'!$J$33*10^-1*(Calculations!$M155-Calculations!$C$9)+'Reaction Information'!$K$33*10^2*LN((Calculations!$C$12+Calculations!$M155)/(Calculations!$C$12+Calculations!$C$9))+(1/(Calculations!$O155-Calculations!$C$13))*('Reaction Information'!$L$33*(Calculations!$M155-Calculations!$C$9)+'Reaction Information'!$M$33*10^4*LN((Calculations!$C$12+Calculations!$M155)/(Calculations!$C$12+Calculations!$C$9)))+calculateOmega(Calculations!M155,Calculations!N155,Calculations!Q155,'Reaction Information'!$C$33,'Reaction Information'!$P$33*10^5,'Reaction Information'!$Q$33)*((1/Calculations!$S155)-1)-'Reaction Information'!$P$33*10^5*((1/Calculations!$C$10)-1)+'Reaction Information'!$P$33*10^5*Calculations!$C$14*(Calculations!$O155-Calculations!$C$8))</f>
        <v>#N/A</v>
      </c>
      <c r="AL155" s="1">
        <f>Results!S157</f>
        <v>0</v>
      </c>
      <c r="AM155" s="1">
        <f>Results!T157</f>
        <v>0</v>
      </c>
      <c r="AN155" s="1">
        <f>Results!U157</f>
        <v>0</v>
      </c>
      <c r="AO155" s="1">
        <f>Results!V157</f>
        <v>0</v>
      </c>
      <c r="AP155" s="8" t="e">
        <f>IF(ISBLANK(Input!$BB$4),NA(),'Reaction Information'!$E$38-'Reaction Information'!$G$38*(Calculations!$O155-Calculations!$C$8)+'Reaction Information'!$I$38*(Calculations!$O155-Calculations!$C$8-Calculations!$O155*LN(Calculations!$O155/Calculations!$C$8))+'Reaction Information'!$J$38*0.001/2*(2*Calculations!$O155*Calculations!$C$8-Calculations!$O155^2-Calculations!$C$8^2) + 'Reaction Information'!$K$38*100000*(Calculations!$O155^2 + Calculations!$C$8^2 - 2*Calculations!$O155*Calculations!$C$8)/(2*Calculations!$O155*Calculations!$C$8^2))</f>
        <v>#N/A</v>
      </c>
      <c r="AQ155" s="8" t="e">
        <f>IF(ISBLANK(Input!$BE$4),NA(),'Reaction Information'!$E$42-'Reaction Information'!$G$42*(Calculations!$O155-Calculations!$C$8)+'Reaction Information'!$I$42*(Calculations!$O155-Calculations!$C$8-Calculations!$O155*LN(Calculations!$O155/Calculations!$C$8))+'Reaction Information'!$J$42*0.001/2*(2*Calculations!$O155*Calculations!$C$8-Calculations!$O155^2-Calculations!$C$8^2) + 'Reaction Information'!$K$42*100000*(Calculations!$O155^2 + Calculations!$C$8^2 - 2*Calculations!$O155*Calculations!$C$8)/(2*Calculations!$O155*Calculations!$C$8^2))</f>
        <v>#N/A</v>
      </c>
      <c r="AR155" s="8" t="e">
        <f>IF(AR$5="H2O", IF($D$24=3,IF(T155=0,NA(),T155),calculateGibbsOfWater(M155,N155,$D$24,$D$20,$D$19=3)),NA())</f>
        <v>#N/A</v>
      </c>
      <c r="AS155" s="8">
        <f>IF(ISBLANK(Input!$BK$4),NA(),'Reaction Information'!$E$46-'Reaction Information'!$G$46*(Calculations!O155-Calculations!$C$8)-'Reaction Information'!$N$46*(Calculations!O155*LN(Calculations!O155/Calculations!$C$8)-Calculations!O155+Calculations!$C$8)-'Reaction Information'!$O$46*10^4*(((1/(Calculations!O155-Calculations!$C$13))-(1/(Calculations!$C$8-Calculations!$C$13)))*((Calculations!$C$13-Calculations!O155)/(Calculations!$C$13))-(Calculations!O155/(Calculations!$C$13*Calculations!$C$13))*LN((Calculations!$C$8*(Calculations!O155-Calculations!$C$13))/(Calculations!O155*(Calculations!$C$8-Calculations!$C$13))))+'Reaction Information'!$J$46*10^-1*(Calculations!$M155-Calculations!$C$9)+'Reaction Information'!$K$46*10^2*LN((Calculations!$C$12+Calculations!$M155)/(Calculations!$C$12+Calculations!$C$9))+(1/(Calculations!O155-Calculations!$C$13))*('Reaction Information'!$L$46*(Calculations!$M155-Calculations!$C$9)+'Reaction Information'!$M$46*10^4*LN((Calculations!$C$12+Calculations!$M155)/(Calculations!$C$12+Calculations!$C$9)))+calculateOmega(Calculations!M155,Calculations!N155,Calculations!Q155,'Reaction Information'!$C$46,'Reaction Information'!$P$46*10^5,'Reaction Information'!$Q$46)*((1/Calculations!S155)-1)-'Reaction Information'!$P$46*10^5*((1/Calculations!$C$10)-1)+'Reaction Information'!$P$46*10^5*Calculations!$C$14*(Calculations!O155-Calculations!$C$8))</f>
        <v>0</v>
      </c>
      <c r="AT155" s="8">
        <f>IF(ISBLANK(Input!$BN$4),NA(),'Reaction Information'!$E$50-'Reaction Information'!$G$50*(Calculations!O155-Calculations!$C$8)-'Reaction Information'!$N$50*(Calculations!O155*LN(Calculations!O155/Calculations!$C$8)-Calculations!O155+Calculations!$C$8)-'Reaction Information'!$O$50*10^4*(((1/(Calculations!O155-Calculations!$C$13))-(1/(Calculations!$C$8-Calculations!$C$13)))*((Calculations!$C$13-Calculations!O155)/(Calculations!$C$13))-(Calculations!O155/(Calculations!$C$13*Calculations!$C$13))*LN((Calculations!$C$8*(Calculations!O155-Calculations!$C$13))/(Calculations!O155*(Calculations!$C$8-Calculations!$C$13))))+'Reaction Information'!$J$50*10^-1*(Calculations!$M155-Calculations!$C$9)+'Reaction Information'!$K$50*10^2*LN((Calculations!$C$12+Calculations!$M155)/(Calculations!$C$12+Calculations!$C$9))+(1/(Calculations!O155-Calculations!$C$13))*('Reaction Information'!$L$50*(Calculations!$M155-Calculations!$C$9)+'Reaction Information'!$M$50*10^4*LN((Calculations!$C$12+Calculations!$M155)/(Calculations!$C$12+Calculations!$C$9)))+calculateOmega(Calculations!M155,Calculations!N155,Calculations!Q155,'Reaction Information'!$C$50,'Reaction Information'!$P$50*10^5,'Reaction Information'!$Q$50)*((1/Calculations!S155)-1)-'Reaction Information'!$P$50*10^5*((1/Calculations!$C$10)-1)+'Reaction Information'!$P$50*10^5*Calculations!$C$14*(Calculations!O155-Calculations!$C$8))</f>
        <v>-134521.15066464865</v>
      </c>
      <c r="AU155" s="8" t="e">
        <f>IF(ISBLANK(Input!$BQ$4),NA(),'Reaction Information'!$E$54-'Reaction Information'!$G$54*(Calculations!$O155-Calculations!$C$8)-'Reaction Information'!$N$54*(Calculations!$O155*LN(Calculations!$O155/Calculations!$C$8)-Calculations!$O155+Calculations!$C$8)-'Reaction Information'!$O$54*10^4*(((1/(Calculations!$O155-Calculations!$C$13))-(1/(Calculations!$C$8-Calculations!$C$13)))*((Calculations!$C$13-Calculations!$O155)/(Calculations!$C$13))-(Calculations!$O155/(Calculations!$C$13*Calculations!$C$13))*LN((Calculations!$C$8*(Calculations!$O155-Calculations!$C$13))/(Calculations!$O155*(Calculations!$C$8-Calculations!$C$13))))+'Reaction Information'!$J$54*10^-1*(Calculations!$M155-Calculations!$C$9)+'Reaction Information'!$K$54*10^2*LN((Calculations!$C$12+Calculations!$M155)/(Calculations!$C$12+Calculations!$C$9))+(1/(Calculations!$O155-Calculations!$C$13))*('Reaction Information'!$L$54*(Calculations!$M155-Calculations!$C$9)+'Reaction Information'!$M$54*10^4*LN((Calculations!$C$12+Calculations!$M155)/(Calculations!$C$12+Calculations!$C$9)))+calculateOmega(Calculations!M155,Calculations!N155,Calculations!Q155,'Reaction Information'!$C$54,'Reaction Information'!$P$54*10^5,'Reaction Information'!$Q$54)*((1/Calculations!$S155)-1)-'Reaction Information'!$P$54*10^5*((1/Calculations!$C$10)-1)+'Reaction Information'!$P$54*10^5*Calculations!$C$14*(Calculations!$O155-Calculations!$C$8))</f>
        <v>#N/A</v>
      </c>
      <c r="AV155" s="8" t="e">
        <f>IF(ISBLANK(Input!$BT$4),NA(),'Reaction Information'!$E$58-'Reaction Information'!$G$58*(Calculations!$O155-Calculations!$C$8)-'Reaction Information'!$N$58*(Calculations!$O155*LN(Calculations!$O155/Calculations!$C$8)-Calculations!$O155+Calculations!$C$8)-'Reaction Information'!$O$58*10^4*(((1/(Calculations!$O155-Calculations!$C$13))-(1/(Calculations!$C$8-Calculations!$C$13)))*((Calculations!$C$13-Calculations!$O155)/(Calculations!$C$13))-(Calculations!$O155/(Calculations!$C$13*Calculations!$C$13))*LN((Calculations!$C$8*(Calculations!$O155-Calculations!$C$13))/(Calculations!$O155*(Calculations!$C$8-Calculations!$C$13))))+'Reaction Information'!$J$58*10^-1*(Calculations!$M155-Calculations!$C$9)+'Reaction Information'!$K$58*10^2*LN((Calculations!$C$12+Calculations!$M155)/(Calculations!$C$12+Calculations!$C$9))+(1/(Calculations!$O155-Calculations!$C$13))*('Reaction Information'!$L$58*(Calculations!$M155-Calculations!$C$9)+'Reaction Information'!$M$58*10^4*LN((Calculations!$C$12+Calculations!$M155)/(Calculations!$C$12+Calculations!$C$9)))+calculateOmega(Calculations!M155,Calculations!N155,Calculations!Q155,'Reaction Information'!$C$58,'Reaction Information'!$P$58*10^5,'Reaction Information'!$Q$58)*((1/Calculations!$S155)-1)-'Reaction Information'!$P$58*10^5*((1/Calculations!$C$10)-1)+'Reaction Information'!$P$58*10^5*Calculations!$C$14*(Calculations!$O155-Calculations!$C$8))</f>
        <v>#N/A</v>
      </c>
      <c r="AW155" s="8" t="e">
        <f>IF(ISBLANK(Input!$BW$4),NA(),'Reaction Information'!$E$62-'Reaction Information'!$G$62*(Calculations!$O155-Calculations!$C$8)-'Reaction Information'!$N$62*(Calculations!$O155*LN(Calculations!$O155/Calculations!$C$8)-Calculations!$O155+Calculations!$C$8)-'Reaction Information'!$O$62*10^4*(((1/(Calculations!$O155-Calculations!$C$13))-(1/(Calculations!$C$8-Calculations!$C$13)))*((Calculations!$C$13-Calculations!$O155)/(Calculations!$C$13))-(Calculations!$O155/(Calculations!$C$13*Calculations!$C$13))*LN((Calculations!$C$8*(Calculations!$O155-Calculations!$C$13))/(Calculations!$O155*(Calculations!$C$8-Calculations!$C$13))))+'Reaction Information'!$J$62*10^-1*(Calculations!$M155-Calculations!$C$9)+'Reaction Information'!$K$62*10^2*LN((Calculations!$C$12+Calculations!$M155)/(Calculations!$C$12+Calculations!$C$9))+(1/(Calculations!$O155-Calculations!$C$13))*('Reaction Information'!$L$62*(Calculations!$M155-Calculations!$C$9)+'Reaction Information'!$M$62*10^4*LN((Calculations!$C$12+Calculations!$M155)/(Calculations!$C$12+Calculations!$C$9)))+calculateOmega(Calculations!M155,Calculations!N155,Calculations!Q155,'Reaction Information'!$C$62,'Reaction Information'!$P$62*10^5,'Reaction Information'!$Q$62)*((1/Calculations!$S155)-1)-'Reaction Information'!$P$62*10^5*((1/Calculations!$C$10)-1)+'Reaction Information'!$P$62*10^5*Calculations!$C$14*(Calculations!$O155-Calculations!$C$8))</f>
        <v>#N/A</v>
      </c>
      <c r="AX155" s="8" t="e">
        <f>IF(ISBLANK(Input!$BZ$4),NA(),'Reaction Information'!$E$66-'Reaction Information'!$G$66*(Calculations!$O155-Calculations!$C$8)-'Reaction Information'!$N$66*(Calculations!$O155*LN(Calculations!$O155/Calculations!$C$8)-Calculations!$O155+Calculations!$C$8)-'Reaction Information'!$O$66*10^4*(((1/(Calculations!$O155-Calculations!$C$13))-(1/(Calculations!$C$8-Calculations!$C$13)))*((Calculations!$C$13-Calculations!$O155)/(Calculations!$C$13))-(Calculations!$O155/(Calculations!$C$13*Calculations!$C$13))*LN((Calculations!$C$8*(Calculations!$O155-Calculations!$C$13))/(Calculations!$O155*(Calculations!$C$8-Calculations!$C$13))))+'Reaction Information'!$J$66*10^-1*(Calculations!$M155-Calculations!$C$9)+'Reaction Information'!$K$66*10^2*LN((Calculations!$C$12+Calculations!$M155)/(Calculations!$C$12+Calculations!$C$9))+(1/(Calculations!$O155-Calculations!$C$13))*('Reaction Information'!$L$66*(Calculations!$M155-Calculations!$C$9)+'Reaction Information'!$M$66*10^4*LN((Calculations!$C$12+Calculations!$M155)/(Calculations!$C$12+Calculations!$C$9)))+calculateOmega(Calculations!M155,Calculations!N155,Calculations!Q155,'Reaction Information'!$C$66,'Reaction Information'!$P$66*10^5,'Reaction Information'!$Q$66)*((1/Calculations!$S155)-1)-'Reaction Information'!$P$66*10^5*((1/Calculations!$C$10)-1)+'Reaction Information'!$P$66*10^5*Calculations!$C$14*(Calculations!$O155-Calculations!$C$8))</f>
        <v>#N/A</v>
      </c>
      <c r="AY155" s="31">
        <f>(AL155*Input!$AO$4+AM155*Input!$AR$4+AN155*Input!$AU$4+AO155*Input!$AX$4+IF(ISNA(AP155),0,AP155*Input!$BA$4)+IF(ISNA(AQ155),0,AQ155*Input!$BD$4)+IF(ISNA(AR155),0,AR155*Input!$BG$4)+IF(ISNA(AS155),0,AS155*Input!$BJ$4)+IF(ISNA(AT155),0,AT155*Input!$BM$4)+IF(ISNA(AU155),0,AU155*Input!$BP$4)+IF(ISNA(AV155),0,AV155*Input!$BS$4)+IF(ISNA(AW155),0,AW155*Input!$BV$4)+IF(ISNA(AX155),0,AX155*Input!$BY$4))-(Y155*Input!$B$4+Z155*Input!$E$4+AA155*Input!$H$4+AB155*Input!$K$4+IF(ISNA(AC155),0,AC155*Input!$N$4)+IF(ISNA(AD155),0,AD155*Input!$Q$4)+IF(ISNA(AE155),0,AE155*Input!$T$4)+IF(ISNA(AF155),0,AF155*Input!$W$4)+IF(ISNA(AG155),0,AG155*Input!$Z$4)+IF(ISNA(AH155),0,AH155*Input!$AC$4)+IF(ISNA(AI155),0,AI155*Input!$AF$4)+IF(ISNA(AJ155),0,AJ155*Input!$AI$4)+IF(ISNA(AK155),0,AK155*Input!$AL$4))</f>
        <v>29089.17640647135</v>
      </c>
      <c r="AZ155" s="42">
        <f t="shared" si="39"/>
        <v>-4.9967051681877805</v>
      </c>
      <c r="BA155" s="1">
        <f t="shared" si="46"/>
        <v>1000</v>
      </c>
      <c r="BB155" s="46">
        <f t="shared" si="47"/>
        <v>50000</v>
      </c>
      <c r="BC155" s="1"/>
      <c r="BD155" s="2">
        <f t="shared" si="48"/>
        <v>50000</v>
      </c>
      <c r="BE155" s="46">
        <f t="shared" si="49"/>
        <v>1000</v>
      </c>
      <c r="BF155" s="1">
        <f>Results!AJ157</f>
        <v>0</v>
      </c>
      <c r="BG155" s="1">
        <f>Results!AK157</f>
        <v>0</v>
      </c>
      <c r="BH155" s="1">
        <f>Results!AL157</f>
        <v>0</v>
      </c>
      <c r="BI155" s="1">
        <f>Results!AM157</f>
        <v>0</v>
      </c>
      <c r="BJ155" s="1" t="e">
        <f>IF(OR(ISNA('Reaction Information'!$D$5), $N155 = "", $D$27 = FALSE, 'Reaction Information'!$D$5 = ""), NA(), 24.465)</f>
        <v>#N/A</v>
      </c>
      <c r="BK155" s="1" t="e">
        <f>IF(OR(ISNA('Reaction Information'!$D$9), $N155 = "", $D$27 = FALSE, 'Reaction Information'!$D$9 = ""), NA(), 24.465)</f>
        <v>#N/A</v>
      </c>
      <c r="BL155" s="8">
        <f t="shared" si="40"/>
        <v>13.990675305541462</v>
      </c>
      <c r="BM155" s="8">
        <f>IF(OR(ISBLANK(Input!$X$4),$D$27=FALSE),NA(),('Reaction Information'!$J$13/10+'Reaction Information'!$K$13*100/(Calculations!$C$12+Calculations!$M155)+('Reaction Information'!$L$13+'Reaction Information'!$M$13*10^4/(Calculations!$C$12+Calculations!$M155))/(Calculations!$O155-Calculations!$C$13) -calculateOmega(Calculations!$M155,Calculations!$N155,Calculations!$Q155,'Reaction Information'!$C$13,'Reaction Information'!$P$13*10^5,'Reaction Information'!$Q$13)*Calculations!$U155*10^-6 + (1/$S155 - 1)*calculate_domegadP(Calculations!$M155,Calculations!$N155,Calculations!$Q155,'Reaction Information'!$C$13,'Reaction Information'!$P$13*10^5,'Reaction Information'!$Q$13,$D$20,$D$19=3))*41.84)</f>
        <v>30.103644714322144</v>
      </c>
      <c r="BN155" s="8" t="e">
        <f>IF(OR(ISBLANK(Input!$AA$4),$D$27=FALSE),NA(),('Reaction Information'!$J$17/10+'Reaction Information'!$K$17*100/(Calculations!$C$12+Calculations!$M155)+('Reaction Information'!$L$17+'Reaction Information'!$M$17*10000/(Calculations!$C$12+Calculations!$M155))/(Calculations!$O155-Calculations!$C$13)-calculateOmega(Calculations!M155,Calculations!N155,Calculations!Q155,'Reaction Information'!$C$17,'Reaction Information'!$P$17*10^5,'Reaction Information'!$Q$17)*Calculations!$U155*10^-6 + (1/$S155 - 1)*calculate_domegadP(Calculations!M155,Calculations!N155,Calculations!Q155,'Reaction Information'!$C$17,'Reaction Information'!$P$17*10^5,'Reaction Information'!$Q$17,$D$20,$D$19=3))*41.84)</f>
        <v>#N/A</v>
      </c>
      <c r="BO155" s="8" t="e">
        <f>IF(OR(ISBLANK(Input!$AD$4),$D$27=FALSE),NA(),('Reaction Information'!$J$21/10+'Reaction Information'!$K$21*100/(Calculations!$C$12+Calculations!$M155)+('Reaction Information'!$L$21+'Reaction Information'!$M$21*10000/(Calculations!$C$12+Calculations!$M155))/(Calculations!$O155-Calculations!$C$13)-calculateOmega(Calculations!M155,Calculations!N155,Calculations!Q155,'Reaction Information'!$C$21,'Reaction Information'!$P$21*10^5,'Reaction Information'!$Q$21)*Calculations!$U155*10^-6 + (1/$S155 - 1)*calculate_domegadP(Calculations!M155,Calculations!N155,Calculations!Q155,'Reaction Information'!$C$21,'Reaction Information'!$P$21*10^5,'Reaction Information'!$Q$21,$D$20,$D$19=3))*41.84)</f>
        <v>#N/A</v>
      </c>
      <c r="BP155" s="8" t="e">
        <f>IF(OR(ISBLANK(Input!$AG$4),$D$27=FALSE),NA(),('Reaction Information'!$J$25/10+'Reaction Information'!$K$25*100/(Calculations!$C$12+Calculations!$M155)+('Reaction Information'!$L$25+'Reaction Information'!$M$25*10000/(Calculations!$C$12+Calculations!$M155))/(Calculations!$O155-Calculations!$C$13)-calculateOmega(Calculations!M155,Calculations!N155,Calculations!Q155,'Reaction Information'!$C$25,'Reaction Information'!$P$25*10^5,'Reaction Information'!$Q$25)*Calculations!$U155*10^-6 + (1/$S155 - 1)*calculate_domegadP(Calculations!M155,Calculations!N155,Calculations!Q155,'Reaction Information'!$C$25,'Reaction Information'!$P$25*10^5,'Reaction Information'!$Q$25,$D$20,$D$19=3))*41.84)</f>
        <v>#N/A</v>
      </c>
      <c r="BQ155" s="8" t="e">
        <f>IF(OR(ISBLANK(Input!$AJ$4),$D$27=FALSE),NA(),('Reaction Information'!$J$29/10+'Reaction Information'!$K$29*100/(Calculations!$C$12+Calculations!$M155)+('Reaction Information'!$L$29+'Reaction Information'!$M$29*10000/(Calculations!$C$12+Calculations!$M155))/(Calculations!$O155-Calculations!$C$13)-calculateOmega(Calculations!M155,Calculations!N155,Calculations!Q155,'Reaction Information'!$C$29,'Reaction Information'!$P$29*10^5,'Reaction Information'!$Q$29)*Calculations!$U155*10^-6 + (1/$S155 - 1)*calculate_domegadP(Calculations!M155,Calculations!N155,Calculations!Q155,'Reaction Information'!$C$29,'Reaction Information'!$P$29*10^5,'Reaction Information'!$Q$29,$D$20,$D$19=3))*41.84)</f>
        <v>#N/A</v>
      </c>
      <c r="BR155" s="8" t="e">
        <f>IF(OR(ISBLANK(Input!$AM$4),$D$27=FALSE),NA(),('Reaction Information'!$J$33/10+'Reaction Information'!$K$33*100/(Calculations!$C$12+Calculations!$M155)+('Reaction Information'!$L$33+'Reaction Information'!$M$33*10000/(Calculations!$C$12+Calculations!$M155))/(Calculations!$O155-Calculations!$C$13)-calculateOmega(Calculations!M155,Calculations!N155,Calculations!Q155,'Reaction Information'!$C$33,'Reaction Information'!$P$33*10^5,'Reaction Information'!$Q$33)*Calculations!$U155*10^-6 + (1/$S155 - 1)*calculate_domegadP(Calculations!M155,Calculations!N155,Calculations!Q155,'Reaction Information'!$C$33,'Reaction Information'!$P$33*10^5,'Reaction Information'!$Q$33,$D$20,$D$19=3))*41.84)</f>
        <v>#N/A</v>
      </c>
      <c r="BS155" s="1">
        <f>Results!AW157</f>
        <v>0</v>
      </c>
      <c r="BT155" s="1">
        <f>Results!AX157</f>
        <v>0</v>
      </c>
      <c r="BU155" s="1">
        <f>Results!AY157</f>
        <v>0</v>
      </c>
      <c r="BV155" s="1">
        <f>Results!AZ157</f>
        <v>0</v>
      </c>
      <c r="BW155" s="1" t="e">
        <f>IF(OR(ISNA('Reaction Information'!$D$38), $N155 = "", $D$27 = FALSE, 'Reaction Information'!$D$38 = ""), NA(), 24.465)</f>
        <v>#N/A</v>
      </c>
      <c r="BX155" s="1" t="e">
        <f>IF(OR(ISNA('Reaction Information'!$D$42), $N155 = "", $D$27 = FALSE, 'Reaction Information'!$D$42 = ""), NA(), 24.465)</f>
        <v>#N/A</v>
      </c>
      <c r="BY155" s="8" t="e">
        <f t="shared" si="41"/>
        <v>#N/A</v>
      </c>
      <c r="BZ155" s="8">
        <f>IF(OR(ISBLANK(Input!$BK$4),$D$27=FALSE),NA(),('Reaction Information'!$J$46/10+'Reaction Information'!$K$46*100/(Calculations!$C$12+Calculations!$M155)+('Reaction Information'!$L$46+'Reaction Information'!$M$46*10000/(Calculations!$C$12+Calculations!$M155))/(Calculations!$O155-Calculations!$C$13)-calculateOmega(Calculations!M155,Calculations!N155,Calculations!Q155,'Reaction Information'!$C$46,'Reaction Information'!$P$46*10^5,'Reaction Information'!$Q$46)*Calculations!$U155*10^-6 + (1/$S155 - 1)*calculate_domegadP(Calculations!M155,Calculations!N155,Calculations!Q155,'Reaction Information'!$C$46,'Reaction Information'!$P$46*10^5,'Reaction Information'!$Q$46,$D$20,$D$19=3))*41.84)</f>
        <v>0</v>
      </c>
      <c r="CA155" s="8">
        <f>IF(OR(ISBLANK(Input!$BN$4),$D$27=FALSE),NA(),('Reaction Information'!$J$50/10+'Reaction Information'!$K$50*100/(Calculations!$C$12+Calculations!$M155)+('Reaction Information'!$L$50+'Reaction Information'!$M$50*10000/(Calculations!$C$12+Calculations!$M155))/(Calculations!$O155-Calculations!$C$13)-calculateOmega(Calculations!M155,Calculations!N155,Calculations!Q155,'Reaction Information'!$C$50,'Reaction Information'!$P$50*10^5,'Reaction Information'!$Q$50)*Calculations!$U155*10^-6 + (1/$S155 - 1)*calculate_domegadP(Calculations!M155,Calculations!N155,Calculations!Q155,'Reaction Information'!$C$50,'Reaction Information'!$P$50*10^5,'Reaction Information'!$Q$50,$D$20,$D$19=3))*41.84)</f>
        <v>30.983709697429202</v>
      </c>
      <c r="CB155" s="8" t="e">
        <f>IF(OR(ISBLANK(Input!$BQ$4),$D$27=FALSE),NA(),('Reaction Information'!$J$54/10+'Reaction Information'!$K$54*100/(Calculations!$C$12+Calculations!$M155)+('Reaction Information'!$L$54+'Reaction Information'!$M$54*10000/(Calculations!$C$12+Calculations!$M155))/(Calculations!$O155-Calculations!$C$13)-calculateOmega(Calculations!M155,Calculations!N155,Calculations!Q155,'Reaction Information'!$C$54,'Reaction Information'!$P$54*10^5,'Reaction Information'!$Q$54)*Calculations!$U155*10^-6 + (1/$S155 - 1)*calculate_domegadP(Calculations!M155,Calculations!N155,Calculations!Q155,'Reaction Information'!$C$54,'Reaction Information'!$P$54*10^5,'Reaction Information'!$Q$54,$D$20,$D$19=3))*41.84)</f>
        <v>#N/A</v>
      </c>
      <c r="CC155" s="8" t="e">
        <f>IF(OR(ISBLANK(Input!$BT$4),$D$27=FALSE),NA(),('Reaction Information'!$J$58/10+'Reaction Information'!$K$58*100/(Calculations!$C$12+Calculations!$M155)+('Reaction Information'!$L$58+'Reaction Information'!$M$58*10000/(Calculations!$C$12+Calculations!$M155))/(Calculations!$O155-Calculations!$C$13)-calculateOmega(Calculations!M155,Calculations!N155,Calculations!Q155,'Reaction Information'!$C$58,'Reaction Information'!$P$58*10^5,'Reaction Information'!$Q$58)*Calculations!$U155*10^-6 + (1/$S155 - 1)*calculate_domegadP(Calculations!M155,Calculations!N155,Calculations!Q155,'Reaction Information'!$C$58,'Reaction Information'!$P$58*10^5,'Reaction Information'!$Q$58,$D$20,$D$19=3))*41.84)</f>
        <v>#N/A</v>
      </c>
      <c r="CD155" s="8" t="e">
        <f>IF(OR(ISBLANK(Input!$BW$4),$D$27=FALSE),NA(),('Reaction Information'!$J$62/10+'Reaction Information'!$K$62*100/(Calculations!$C$12+Calculations!$M155)+('Reaction Information'!$L$62+'Reaction Information'!$M$62*10000/(Calculations!$C$12+Calculations!$M155))/(Calculations!$O155-Calculations!$C$13)-calculateOmega(Calculations!M155,Calculations!N155,Calculations!Q155,'Reaction Information'!$C$62,'Reaction Information'!$P$62*10^5,'Reaction Information'!$Q$62)*Calculations!$U155*10^-6 + (1/$S155 - 1)*calculate_domegadP(Calculations!M155,Calculations!N155,Calculations!Q155,'Reaction Information'!$C$62,'Reaction Information'!$P$62*10^5,'Reaction Information'!$Q$62,$D$20,$D$19=3))*41.84)</f>
        <v>#N/A</v>
      </c>
      <c r="CE155" s="8" t="e">
        <f>IF(OR(ISBLANK(Input!$BZ$4),$D$27=FALSE),NA(),('Reaction Information'!$J$66/10+'Reaction Information'!$K$66*100/(Calculations!$C$12+Calculations!$M155)+('Reaction Information'!$L$66+'Reaction Information'!$M$66*10000/(Calculations!$C$12+Calculations!$M155))/(Calculations!$O155-Calculations!$C$13)-calculateOmega(Calculations!M155,Calculations!N155,Calculations!Q155,'Reaction Information'!$C$66,'Reaction Information'!$P$66*10^5,'Reaction Information'!$Q$66)*Calculations!$U155*10^-6 + (1/$S155 - 1)*calculate_domegadP(Calculations!M155,Calculations!N155,Calculations!Q155,'Reaction Information'!$C$66,'Reaction Information'!$P$66*10^5,'Reaction Information'!$Q$66,$D$20,$D$19=3))*41.84)</f>
        <v>#N/A</v>
      </c>
      <c r="CF155" s="31">
        <f>(BS155*Input!$AO$4+BT155*Input!$AR$4+BU155*Input!$AU$4+BV155*Input!$AX$4+IF(ISNA(BW155),0,BW155*Input!$BA$4)+IF(ISNA(BX155),0,BX155*Input!$BD$4)+IF(ISNA(BY155),0,BY155*Input!$BG$4)+IF(ISNA(BZ155),0,BZ155*Input!$BJ$4)+IF(ISNA(CA155),0,CA155*Input!$BM$4)+IF(ISNA(CB155),0,CB155*Input!$BP$4)+IF(ISNA(CC155),0,CC155*Input!$BS$4)+IF(ISNA(CD155),0,CD155*Input!$BV$4)+IF(ISNA(CE155),0,CE155*Input!$BY$4))-(BF155*Input!$B$4+BG155*Input!$E$4+BH155*Input!$H$4+BI155*Input!$K$4+IF(ISNA(BJ155),0,BJ155*Input!$N$4)+IF(ISNA(BK155),0,BK155*Input!$Q$4)+IF(ISNA(BL155),0,BL155*Input!$T$4)+IF(ISNA(BM155),0,BM155*Input!$W$4)+IF(ISNA(BN155),0,BN155*Input!$Z$4)+IF(ISNA(BO155),0,BO155*Input!$AC$4)+IF(ISNA(BP155),0,BP155*Input!$AF$4)+IF(ISNA(BQ155),0,BQ155*Input!$AI$4)+IF(ISNA(BR155),0,BR155*Input!$AL$4))</f>
        <v>-13.1106103224344</v>
      </c>
      <c r="CG155" s="1">
        <f t="shared" si="50"/>
        <v>1000</v>
      </c>
      <c r="CH155" s="46">
        <f t="shared" si="51"/>
        <v>50000</v>
      </c>
      <c r="CI155" s="1"/>
    </row>
    <row r="156" spans="1:87" x14ac:dyDescent="0.2">
      <c r="A156" s="1"/>
      <c r="B156" s="1"/>
      <c r="C156" s="1"/>
      <c r="D156" s="1"/>
      <c r="E156" s="1"/>
      <c r="F156" s="2">
        <v>151</v>
      </c>
      <c r="G156" s="1" t="str">
        <f>IF(ISBLANK(Input!CB156), "", Input!CB156*1000)</f>
        <v/>
      </c>
      <c r="H156" s="1" t="str">
        <f>IF(ISBLANK(Input!CC156), "", Input!CC156)</f>
        <v/>
      </c>
      <c r="I156" s="1">
        <f>IF(Input!$CF$5 + Input!$CF$6*(FLOOR((Calculations!$F156-1)/(FLOOR((Input!$CF$12-Input!$CF$10)/Input!$CF$11,1)+1),1)) &gt; Input!$CF$7, "", (Input!$CF$5 + Input!$CF$6*(FLOOR((Calculations!$F156-1)/(FLOOR((Input!$CF$12-Input!$CF$10)/Input!$CF$11,1)+1),1)))*1000)</f>
        <v>55000</v>
      </c>
      <c r="J156" s="1">
        <f>IF(Calculations!I156 = "", "", Input!$CF$10 + Input!$CF$11*(Calculations!$F156-1) - (FLOOR((Input!$CF$12-Input!$CF$10)/Input!$CF$11,1)+1)*Input!$CF$11*FLOOR((Calculations!$F156-1)/(FLOOR((Input!$CF$12-Input!$CF$10)/Input!$CF$11,1)+1),1))</f>
        <v>300</v>
      </c>
      <c r="K156" s="8" t="str">
        <f t="shared" si="52"/>
        <v/>
      </c>
      <c r="L156" s="117" t="str">
        <f>IF(OR(Input!$CJ$5 + Input!$CJ$6*(Calculations!F156-1) &gt; Input!$CJ$7, Input!$CJ$5 + Input!$CJ$6*(Calculations!F156-1) &gt; 350), "", Input!$CJ$5 + Input!$CJ$6*(Calculations!F156-1))</f>
        <v/>
      </c>
      <c r="M156" s="1">
        <f t="shared" si="42"/>
        <v>55000</v>
      </c>
      <c r="N156" s="1">
        <f t="shared" si="43"/>
        <v>300</v>
      </c>
      <c r="O156" s="1">
        <f t="shared" si="38"/>
        <v>573.15</v>
      </c>
      <c r="P156" s="1" t="e">
        <f>IF(OR($D$20=3,AND($D$21=TRUE,M156&lt;1000)),INDEX('Water Density'!$C$6:$CX$120,MATCH(Calculations!N156,'Water Density'!$B$6:$B$120),MATCH(Calculations!M156/1000,'Water Density'!$C$5:$CX$5)),NA())</f>
        <v>#N/A</v>
      </c>
      <c r="Q156" s="182">
        <f>IF(OR($D$20=3,AND($D$21=TRUE,M156&lt;1000)), IF(P156&lt;&gt;0,P156,NA()), calculateDensity(M156,N156,$D$20,0.01,$D$19 = 3))</f>
        <v>1.5020046815037729</v>
      </c>
      <c r="R156" s="1" t="e">
        <f>IF($D$22=5,INDEX('Dielectric Constant'!$C$6:$CX$120,MATCH(Calculations!N156,'Dielectric Constant'!$B$6:$B$120),MATCH(Calculations!M156/1000,'Dielectric Constant'!$C$5:$CX$5)),NA())</f>
        <v>#N/A</v>
      </c>
      <c r="S156" s="58">
        <f>IF($D$22=5, IF(R156&lt;&gt;0,R156,NA()), IF(AND($D$23,M156&lt;=5000,$D$19 &lt;&gt; 3),calculateEpsilon(Q156,N156,1,FALSE),calculateEpsilon(Q156,N156,$D$22,$D$19 = 3)))</f>
        <v>62.070985693378425</v>
      </c>
      <c r="T156" s="1" t="e">
        <f>IF($D$24=3,INDEX('Water Free Energy'!$C$6:$CX$120,MATCH(Calculations!N156,'Water Free Energy'!$B$6:$B$120),MATCH(Calculations!M156/1000,'Water Free Energy'!$C$5:$CX$5)),NA())</f>
        <v>#N/A</v>
      </c>
      <c r="U156" s="179">
        <f>IF($D$27,calculateQ(M156,N156,Q156,$D$20,$D$22,$D$19=3)*10^6,NA())</f>
        <v>6.8244684959929858E-2</v>
      </c>
      <c r="V156"/>
      <c r="W156" s="2">
        <f t="shared" si="44"/>
        <v>55000</v>
      </c>
      <c r="X156" s="1">
        <f t="shared" si="45"/>
        <v>300</v>
      </c>
      <c r="Y156" s="1">
        <f>Results!F158</f>
        <v>0</v>
      </c>
      <c r="Z156" s="1">
        <f>Results!G158</f>
        <v>0</v>
      </c>
      <c r="AA156" s="1">
        <f>Results!H158</f>
        <v>0</v>
      </c>
      <c r="AB156" s="1">
        <f>Results!I158</f>
        <v>0</v>
      </c>
      <c r="AC156" s="1" t="e">
        <f>IF(ISBLANK(Input!$O$4),NA(),'Reaction Information'!$E$5-'Reaction Information'!$G$5*(Calculations!$O156-Calculations!$C$8)+'Reaction Information'!$I$5*(Calculations!$O156-Calculations!$C$8-Calculations!$O156*LN(Calculations!$O156/Calculations!$C$8))+'Reaction Information'!$J$5*0.001/2*(2*Calculations!$O156*Calculations!$C$8-Calculations!$O156^2-Calculations!$C$8^2) + 'Reaction Information'!$K$5*100000*(Calculations!$O156^2 + Calculations!$C$8^2 - 2*Calculations!$O156*Calculations!$C$8)/(2*Calculations!$O156*Calculations!$C$8^2))</f>
        <v>#N/A</v>
      </c>
      <c r="AD156" s="8" t="e">
        <f>IF(ISBLANK(Input!$R$4),NA(),'Reaction Information'!$E$9-'Reaction Information'!$G$9*(Calculations!$O156-Calculations!$C$8)+'Reaction Information'!$I$9*(Calculations!$O156-Calculations!$C$8-Calculations!$O156*LN(Calculations!$O156/Calculations!$C$8))+'Reaction Information'!$J$9*0.001/2*(2*Calculations!$O156*Calculations!$C$8-Calculations!$O156^2-Calculations!$C$8^2) + 'Reaction Information'!$K$9*100000*(Calculations!$O156^2 + Calculations!$C$8^2 - 2*Calculations!$O156*Calculations!$C$8)/(2*Calculations!$O156*Calculations!$C$8^2))</f>
        <v>#N/A</v>
      </c>
      <c r="AE156" s="8">
        <f>IF(AE$5="H2O",IF($D$24=3,IF(T156=0,NA(),T156),calculateGibbsOfWater(M156,N156,$D$24,$D$20,$D$19=3)),NA())</f>
        <v>-44015.620424084365</v>
      </c>
      <c r="AF156" s="8">
        <f>IF(ISBLANK(Input!$X$4),NA(),'Reaction Information'!$E$13-'Reaction Information'!$G$13*(Calculations!O156-Calculations!$C$8)-'Reaction Information'!$N$13*(Calculations!O156*LN(Calculations!O156/Calculations!$C$8)-Calculations!O156+Calculations!$C$8)-'Reaction Information'!$O$13*10^4*(((1/(Calculations!O156-Calculations!$C$13))-(1/(Calculations!$C$8-Calculations!$C$13)))*((Calculations!$C$13-Calculations!O156)/(Calculations!$C$13))-(Calculations!O156/(Calculations!$C$13*Calculations!$C$13))*LN((Calculations!$C$8*(Calculations!O156-Calculations!$C$13))/(Calculations!O156*(Calculations!$C$8-Calculations!$C$13))))+'Reaction Information'!$J$13*10^-1*(Calculations!M156-Calculations!$C$9)+'Reaction Information'!$K$13*10^2*LN((Calculations!$C$12+Calculations!M156)/(Calculations!$C$12+Calculations!$C$9))+(1/(Calculations!O156-Calculations!$C$13))*('Reaction Information'!$L$13*(Calculations!M156-Calculations!$C$9)+'Reaction Information'!$M$13*10^4*LN((Calculations!$C$12+Calculations!M156)/(Calculations!$C$12+Calculations!$C$9)))+calculateOmega(Calculations!M156,Calculations!N156,Calculations!Q156,'Reaction Information'!$C$13,'Reaction Information'!$P$13*10^5,'Reaction Information'!$Q$13)*((1/Calculations!S156)-1)-'Reaction Information'!$P$13*10^5*((1/Calculations!$C$10)-1)+'Reaction Information'!$P$13*10^5*Calculations!$C$14*(Calculations!O156-Calculations!$C$8))</f>
        <v>-62711.156192713337</v>
      </c>
      <c r="AG156" s="8" t="e">
        <f>IF(ISBLANK(Input!$AA$4),NA(),'Reaction Information'!$E$17-'Reaction Information'!$G$17*(Calculations!$O156-Calculations!$C$8)-'Reaction Information'!$N$17*(Calculations!$O156*LN(Calculations!$O156/Calculations!$C$8)-Calculations!$O156+Calculations!$C$8)-'Reaction Information'!$O$17*10^4*(((1/(Calculations!$O156-Calculations!$C$13))-(1/(Calculations!$C$8-Calculations!$C$13)))*((Calculations!$C$13-Calculations!$O156)/(Calculations!$C$13))-(Calculations!$O156/(Calculations!$C$13*Calculations!$C$13))*LN((Calculations!$C$8*(Calculations!$O156-Calculations!$C$13))/(Calculations!$O156*(Calculations!$C$8-Calculations!$C$13))))+'Reaction Information'!$J$17*10^-1*(Calculations!$M156-Calculations!$C$9)+'Reaction Information'!$K$17*10^2*LN((Calculations!$C$12+Calculations!$M156)/(Calculations!$C$12+Calculations!$C$9))+(1/(Calculations!$O156-Calculations!$C$13))*('Reaction Information'!$L$17*(Calculations!$M156-Calculations!$C$9)+'Reaction Information'!$M$17*10^4*LN((Calculations!$C$12+Calculations!$M156)/(Calculations!$C$12+Calculations!$C$9)))+calculateOmega(Calculations!M156,Calculations!N156,Calculations!Q156,'Reaction Information'!$C$17,'Reaction Information'!$P$17*10^5,'Reaction Information'!$Q$17)*((1/Calculations!$S156)-1)-'Reaction Information'!$P$17*10^5*((1/Calculations!$C$10)-1)+'Reaction Information'!$P$17*10^5*Calculations!$C$14*(Calculations!$O156-Calculations!$C$8))</f>
        <v>#N/A</v>
      </c>
      <c r="AH156" s="8" t="e">
        <f>IF(ISBLANK(Input!$AD$4),NA(),'Reaction Information'!$E$21-'Reaction Information'!$G$21*(Calculations!$O156-Calculations!$C$8)-'Reaction Information'!$N$21*(Calculations!$O156*LN(Calculations!$O156/Calculations!$C$8)-Calculations!$O156+Calculations!$C$8)-'Reaction Information'!$O$21*10^4*(((1/(Calculations!$O156-Calculations!$C$13))-(1/(Calculations!$C$8-Calculations!$C$13)))*((Calculations!$C$13-Calculations!$O156)/(Calculations!$C$13))-(Calculations!$O156/(Calculations!$C$13*Calculations!$C$13))*LN((Calculations!$C$8*(Calculations!$O156-Calculations!$C$13))/(Calculations!$O156*(Calculations!$C$8-Calculations!$C$13))))+'Reaction Information'!$J$21*10^-1*(Calculations!$M156-Calculations!$C$9)+'Reaction Information'!$K$21*10^2*LN((Calculations!$C$12+Calculations!$M156)/(Calculations!$C$12+Calculations!$C$9))+(1/(Calculations!$O156-Calculations!$C$13))*('Reaction Information'!$L$21*(Calculations!$M156-Calculations!$C$9)+'Reaction Information'!$M$21*10^4*LN((Calculations!$C$12+Calculations!$M156)/(Calculations!$C$12+Calculations!$C$9)))+calculateOmega(Calculations!M156,Calculations!N156,Calculations!Q156,'Reaction Information'!$C$21,'Reaction Information'!$P$21*10^5,'Reaction Information'!$Q$21)*((1/Calculations!$S156)-1)-'Reaction Information'!$P$21*10^5*((1/Calculations!$C$10)-1)+'Reaction Information'!$P$21*10^5*Calculations!$C$14*(Calculations!$O156-Calculations!$C$8))</f>
        <v>#N/A</v>
      </c>
      <c r="AI156" s="8" t="e">
        <f>IF(ISBLANK(Input!$AG$4),NA(),'Reaction Information'!$E$25-'Reaction Information'!$G$25*(Calculations!$O156-Calculations!$C$8)-'Reaction Information'!$N$25*(Calculations!$O156*LN(Calculations!$O156/Calculations!$C$8)-Calculations!$O156+Calculations!$C$8)-'Reaction Information'!$O$25*10^4*(((1/(Calculations!$O156-Calculations!$C$13))-(1/(Calculations!$C$8-Calculations!$C$13)))*((Calculations!$C$13-Calculations!$O156)/(Calculations!$C$13))-(Calculations!$O156/(Calculations!$C$13*Calculations!$C$13))*LN((Calculations!$C$8*(Calculations!$O156-Calculations!$C$13))/(Calculations!$O156*(Calculations!$C$8-Calculations!$C$13))))+'Reaction Information'!$J$25*10^-1*(Calculations!$M156-Calculations!$C$9)+'Reaction Information'!$K$25*10^2*LN((Calculations!$C$12+Calculations!$M156)/(Calculations!$C$12+Calculations!$C$9))+(1/(Calculations!$O156-Calculations!$C$13))*('Reaction Information'!$L$25*(Calculations!$M156-Calculations!$C$9)+'Reaction Information'!$M$25*10^4*LN((Calculations!$C$12+Calculations!$M156)/(Calculations!$C$12+Calculations!$C$9)))+calculateOmega(Calculations!M156,Calculations!N156,Calculations!Q156,'Reaction Information'!$C$25,'Reaction Information'!$P$25*10^5,'Reaction Information'!$Q$25)*((1/Calculations!$S156)-1)-'Reaction Information'!$P$25*10^5*((1/Calculations!$C$10)-1)+'Reaction Information'!$P$25*10^5*Calculations!$C$14*(Calculations!$O156-Calculations!$C$8))</f>
        <v>#N/A</v>
      </c>
      <c r="AJ156" s="8" t="e">
        <f>IF(ISBLANK(Input!$AJ$4),NA(),'Reaction Information'!$E$29-'Reaction Information'!$G$29*(Calculations!$O156-Calculations!$C$8)-'Reaction Information'!$N$29*(Calculations!$O156*LN(Calculations!$O156/Calculations!$C$8)-Calculations!$O156+Calculations!$C$8)-'Reaction Information'!$O$29*10^4*(((1/(Calculations!$O156-Calculations!$C$13))-(1/(Calculations!$C$8-Calculations!$C$13)))*((Calculations!$C$13-Calculations!$O156)/(Calculations!$C$13))-(Calculations!$O156/(Calculations!$C$13*Calculations!$C$13))*LN((Calculations!$C$8*(Calculations!$O156-Calculations!$C$13))/(Calculations!$O156*(Calculations!$C$8-Calculations!$C$13))))+'Reaction Information'!$J$29*10^-1*(Calculations!$M156-Calculations!$C$9)+'Reaction Information'!$K$29*10^2*LN((Calculations!$C$12+Calculations!$M156)/(Calculations!$C$12+Calculations!$C$9))+(1/(Calculations!$O156-Calculations!$C$13))*('Reaction Information'!$L$29*(Calculations!$M156-Calculations!$C$9)+'Reaction Information'!$M$29*10^4*LN((Calculations!$C$12+Calculations!$M156)/(Calculations!$C$12+Calculations!$C$9)))+calculateOmega(Calculations!M156,Calculations!N156,Calculations!Q156,'Reaction Information'!$C$29,'Reaction Information'!$P$29*10^5,'Reaction Information'!$Q$29)*((1/Calculations!$S156)-1)-'Reaction Information'!$P$29*10^5*((1/Calculations!$C$10)-1)+'Reaction Information'!$P$29*10^5*Calculations!$C$14*(Calculations!$O156-Calculations!$C$8))</f>
        <v>#N/A</v>
      </c>
      <c r="AK156" s="8" t="e">
        <f>IF(ISBLANK(Input!$AM$4),NA(),'Reaction Information'!$E$33-'Reaction Information'!$G$33*(Calculations!$O156-Calculations!$C$8)-'Reaction Information'!$N$33*(Calculations!$O156*LN(Calculations!$O156/Calculations!$C$8)-Calculations!$O156+Calculations!$C$8)-'Reaction Information'!$O$33*10^4*(((1/(Calculations!$O156-Calculations!$C$13))-(1/(Calculations!$C$8-Calculations!$C$13)))*((Calculations!$C$13-Calculations!$O156)/(Calculations!$C$13))-(Calculations!$O156/(Calculations!$C$13*Calculations!$C$13))*LN((Calculations!$C$8*(Calculations!$O156-Calculations!$C$13))/(Calculations!$O156*(Calculations!$C$8-Calculations!$C$13))))+'Reaction Information'!$J$33*10^-1*(Calculations!$M156-Calculations!$C$9)+'Reaction Information'!$K$33*10^2*LN((Calculations!$C$12+Calculations!$M156)/(Calculations!$C$12+Calculations!$C$9))+(1/(Calculations!$O156-Calculations!$C$13))*('Reaction Information'!$L$33*(Calculations!$M156-Calculations!$C$9)+'Reaction Information'!$M$33*10^4*LN((Calculations!$C$12+Calculations!$M156)/(Calculations!$C$12+Calculations!$C$9)))+calculateOmega(Calculations!M156,Calculations!N156,Calculations!Q156,'Reaction Information'!$C$33,'Reaction Information'!$P$33*10^5,'Reaction Information'!$Q$33)*((1/Calculations!$S156)-1)-'Reaction Information'!$P$33*10^5*((1/Calculations!$C$10)-1)+'Reaction Information'!$P$33*10^5*Calculations!$C$14*(Calculations!$O156-Calculations!$C$8))</f>
        <v>#N/A</v>
      </c>
      <c r="AL156" s="1">
        <f>Results!S158</f>
        <v>0</v>
      </c>
      <c r="AM156" s="1">
        <f>Results!T158</f>
        <v>0</v>
      </c>
      <c r="AN156" s="1">
        <f>Results!U158</f>
        <v>0</v>
      </c>
      <c r="AO156" s="1">
        <f>Results!V158</f>
        <v>0</v>
      </c>
      <c r="AP156" s="8" t="e">
        <f>IF(ISBLANK(Input!$BB$4),NA(),'Reaction Information'!$E$38-'Reaction Information'!$G$38*(Calculations!$O156-Calculations!$C$8)+'Reaction Information'!$I$38*(Calculations!$O156-Calculations!$C$8-Calculations!$O156*LN(Calculations!$O156/Calculations!$C$8))+'Reaction Information'!$J$38*0.001/2*(2*Calculations!$O156*Calculations!$C$8-Calculations!$O156^2-Calculations!$C$8^2) + 'Reaction Information'!$K$38*100000*(Calculations!$O156^2 + Calculations!$C$8^2 - 2*Calculations!$O156*Calculations!$C$8)/(2*Calculations!$O156*Calculations!$C$8^2))</f>
        <v>#N/A</v>
      </c>
      <c r="AQ156" s="8" t="e">
        <f>IF(ISBLANK(Input!$BE$4),NA(),'Reaction Information'!$E$42-'Reaction Information'!$G$42*(Calculations!$O156-Calculations!$C$8)+'Reaction Information'!$I$42*(Calculations!$O156-Calculations!$C$8-Calculations!$O156*LN(Calculations!$O156/Calculations!$C$8))+'Reaction Information'!$J$42*0.001/2*(2*Calculations!$O156*Calculations!$C$8-Calculations!$O156^2-Calculations!$C$8^2) + 'Reaction Information'!$K$42*100000*(Calculations!$O156^2 + Calculations!$C$8^2 - 2*Calculations!$O156*Calculations!$C$8)/(2*Calculations!$O156*Calculations!$C$8^2))</f>
        <v>#N/A</v>
      </c>
      <c r="AR156" s="8" t="e">
        <f>IF(AR$5="H2O", IF($D$24=3,IF(T156=0,NA(),T156),calculateGibbsOfWater(M156,N156,$D$24,$D$20,$D$19=3)),NA())</f>
        <v>#N/A</v>
      </c>
      <c r="AS156" s="8">
        <f>IF(ISBLANK(Input!$BK$4),NA(),'Reaction Information'!$E$46-'Reaction Information'!$G$46*(Calculations!O156-Calculations!$C$8)-'Reaction Information'!$N$46*(Calculations!O156*LN(Calculations!O156/Calculations!$C$8)-Calculations!O156+Calculations!$C$8)-'Reaction Information'!$O$46*10^4*(((1/(Calculations!O156-Calculations!$C$13))-(1/(Calculations!$C$8-Calculations!$C$13)))*((Calculations!$C$13-Calculations!O156)/(Calculations!$C$13))-(Calculations!O156/(Calculations!$C$13*Calculations!$C$13))*LN((Calculations!$C$8*(Calculations!O156-Calculations!$C$13))/(Calculations!O156*(Calculations!$C$8-Calculations!$C$13))))+'Reaction Information'!$J$46*10^-1*(Calculations!$M156-Calculations!$C$9)+'Reaction Information'!$K$46*10^2*LN((Calculations!$C$12+Calculations!$M156)/(Calculations!$C$12+Calculations!$C$9))+(1/(Calculations!O156-Calculations!$C$13))*('Reaction Information'!$L$46*(Calculations!$M156-Calculations!$C$9)+'Reaction Information'!$M$46*10^4*LN((Calculations!$C$12+Calculations!$M156)/(Calculations!$C$12+Calculations!$C$9)))+calculateOmega(Calculations!M156,Calculations!N156,Calculations!Q156,'Reaction Information'!$C$46,'Reaction Information'!$P$46*10^5,'Reaction Information'!$Q$46)*((1/Calculations!S156)-1)-'Reaction Information'!$P$46*10^5*((1/Calculations!$C$10)-1)+'Reaction Information'!$P$46*10^5*Calculations!$C$14*(Calculations!O156-Calculations!$C$8))</f>
        <v>0</v>
      </c>
      <c r="AT156" s="8">
        <f>IF(ISBLANK(Input!$BN$4),NA(),'Reaction Information'!$E$50-'Reaction Information'!$G$50*(Calculations!O156-Calculations!$C$8)-'Reaction Information'!$N$50*(Calculations!O156*LN(Calculations!O156/Calculations!$C$8)-Calculations!O156+Calculations!$C$8)-'Reaction Information'!$O$50*10^4*(((1/(Calculations!O156-Calculations!$C$13))-(1/(Calculations!$C$8-Calculations!$C$13)))*((Calculations!$C$13-Calculations!O156)/(Calculations!$C$13))-(Calculations!O156/(Calculations!$C$13*Calculations!$C$13))*LN((Calculations!$C$8*(Calculations!O156-Calculations!$C$13))/(Calculations!O156*(Calculations!$C$8-Calculations!$C$13))))+'Reaction Information'!$J$50*10^-1*(Calculations!$M156-Calculations!$C$9)+'Reaction Information'!$K$50*10^2*LN((Calculations!$C$12+Calculations!$M156)/(Calculations!$C$12+Calculations!$C$9))+(1/(Calculations!O156-Calculations!$C$13))*('Reaction Information'!$L$50*(Calculations!$M156-Calculations!$C$9)+'Reaction Information'!$M$50*10^4*LN((Calculations!$C$12+Calculations!$M156)/(Calculations!$C$12+Calculations!$C$9)))+calculateOmega(Calculations!M156,Calculations!N156,Calculations!Q156,'Reaction Information'!$C$50,'Reaction Information'!$P$50*10^5,'Reaction Information'!$Q$50)*((1/Calculations!S156)-1)-'Reaction Information'!$P$50*10^5*((1/Calculations!$C$10)-1)+'Reaction Information'!$P$50*10^5*Calculations!$C$14*(Calculations!O156-Calculations!$C$8))</f>
        <v>-106988.54096982469</v>
      </c>
      <c r="AU156" s="8" t="e">
        <f>IF(ISBLANK(Input!$BQ$4),NA(),'Reaction Information'!$E$54-'Reaction Information'!$G$54*(Calculations!$O156-Calculations!$C$8)-'Reaction Information'!$N$54*(Calculations!$O156*LN(Calculations!$O156/Calculations!$C$8)-Calculations!$O156+Calculations!$C$8)-'Reaction Information'!$O$54*10^4*(((1/(Calculations!$O156-Calculations!$C$13))-(1/(Calculations!$C$8-Calculations!$C$13)))*((Calculations!$C$13-Calculations!$O156)/(Calculations!$C$13))-(Calculations!$O156/(Calculations!$C$13*Calculations!$C$13))*LN((Calculations!$C$8*(Calculations!$O156-Calculations!$C$13))/(Calculations!$O156*(Calculations!$C$8-Calculations!$C$13))))+'Reaction Information'!$J$54*10^-1*(Calculations!$M156-Calculations!$C$9)+'Reaction Information'!$K$54*10^2*LN((Calculations!$C$12+Calculations!$M156)/(Calculations!$C$12+Calculations!$C$9))+(1/(Calculations!$O156-Calculations!$C$13))*('Reaction Information'!$L$54*(Calculations!$M156-Calculations!$C$9)+'Reaction Information'!$M$54*10^4*LN((Calculations!$C$12+Calculations!$M156)/(Calculations!$C$12+Calculations!$C$9)))+calculateOmega(Calculations!M156,Calculations!N156,Calculations!Q156,'Reaction Information'!$C$54,'Reaction Information'!$P$54*10^5,'Reaction Information'!$Q$54)*((1/Calculations!$S156)-1)-'Reaction Information'!$P$54*10^5*((1/Calculations!$C$10)-1)+'Reaction Information'!$P$54*10^5*Calculations!$C$14*(Calculations!$O156-Calculations!$C$8))</f>
        <v>#N/A</v>
      </c>
      <c r="AV156" s="8" t="e">
        <f>IF(ISBLANK(Input!$BT$4),NA(),'Reaction Information'!$E$58-'Reaction Information'!$G$58*(Calculations!$O156-Calculations!$C$8)-'Reaction Information'!$N$58*(Calculations!$O156*LN(Calculations!$O156/Calculations!$C$8)-Calculations!$O156+Calculations!$C$8)-'Reaction Information'!$O$58*10^4*(((1/(Calculations!$O156-Calculations!$C$13))-(1/(Calculations!$C$8-Calculations!$C$13)))*((Calculations!$C$13-Calculations!$O156)/(Calculations!$C$13))-(Calculations!$O156/(Calculations!$C$13*Calculations!$C$13))*LN((Calculations!$C$8*(Calculations!$O156-Calculations!$C$13))/(Calculations!$O156*(Calculations!$C$8-Calculations!$C$13))))+'Reaction Information'!$J$58*10^-1*(Calculations!$M156-Calculations!$C$9)+'Reaction Information'!$K$58*10^2*LN((Calculations!$C$12+Calculations!$M156)/(Calculations!$C$12+Calculations!$C$9))+(1/(Calculations!$O156-Calculations!$C$13))*('Reaction Information'!$L$58*(Calculations!$M156-Calculations!$C$9)+'Reaction Information'!$M$58*10^4*LN((Calculations!$C$12+Calculations!$M156)/(Calculations!$C$12+Calculations!$C$9)))+calculateOmega(Calculations!M156,Calculations!N156,Calculations!Q156,'Reaction Information'!$C$58,'Reaction Information'!$P$58*10^5,'Reaction Information'!$Q$58)*((1/Calculations!$S156)-1)-'Reaction Information'!$P$58*10^5*((1/Calculations!$C$10)-1)+'Reaction Information'!$P$58*10^5*Calculations!$C$14*(Calculations!$O156-Calculations!$C$8))</f>
        <v>#N/A</v>
      </c>
      <c r="AW156" s="8" t="e">
        <f>IF(ISBLANK(Input!$BW$4),NA(),'Reaction Information'!$E$62-'Reaction Information'!$G$62*(Calculations!$O156-Calculations!$C$8)-'Reaction Information'!$N$62*(Calculations!$O156*LN(Calculations!$O156/Calculations!$C$8)-Calculations!$O156+Calculations!$C$8)-'Reaction Information'!$O$62*10^4*(((1/(Calculations!$O156-Calculations!$C$13))-(1/(Calculations!$C$8-Calculations!$C$13)))*((Calculations!$C$13-Calculations!$O156)/(Calculations!$C$13))-(Calculations!$O156/(Calculations!$C$13*Calculations!$C$13))*LN((Calculations!$C$8*(Calculations!$O156-Calculations!$C$13))/(Calculations!$O156*(Calculations!$C$8-Calculations!$C$13))))+'Reaction Information'!$J$62*10^-1*(Calculations!$M156-Calculations!$C$9)+'Reaction Information'!$K$62*10^2*LN((Calculations!$C$12+Calculations!$M156)/(Calculations!$C$12+Calculations!$C$9))+(1/(Calculations!$O156-Calculations!$C$13))*('Reaction Information'!$L$62*(Calculations!$M156-Calculations!$C$9)+'Reaction Information'!$M$62*10^4*LN((Calculations!$C$12+Calculations!$M156)/(Calculations!$C$12+Calculations!$C$9)))+calculateOmega(Calculations!M156,Calculations!N156,Calculations!Q156,'Reaction Information'!$C$62,'Reaction Information'!$P$62*10^5,'Reaction Information'!$Q$62)*((1/Calculations!$S156)-1)-'Reaction Information'!$P$62*10^5*((1/Calculations!$C$10)-1)+'Reaction Information'!$P$62*10^5*Calculations!$C$14*(Calculations!$O156-Calculations!$C$8))</f>
        <v>#N/A</v>
      </c>
      <c r="AX156" s="8" t="e">
        <f>IF(ISBLANK(Input!$BZ$4),NA(),'Reaction Information'!$E$66-'Reaction Information'!$G$66*(Calculations!$O156-Calculations!$C$8)-'Reaction Information'!$N$66*(Calculations!$O156*LN(Calculations!$O156/Calculations!$C$8)-Calculations!$O156+Calculations!$C$8)-'Reaction Information'!$O$66*10^4*(((1/(Calculations!$O156-Calculations!$C$13))-(1/(Calculations!$C$8-Calculations!$C$13)))*((Calculations!$C$13-Calculations!$O156)/(Calculations!$C$13))-(Calculations!$O156/(Calculations!$C$13*Calculations!$C$13))*LN((Calculations!$C$8*(Calculations!$O156-Calculations!$C$13))/(Calculations!$O156*(Calculations!$C$8-Calculations!$C$13))))+'Reaction Information'!$J$66*10^-1*(Calculations!$M156-Calculations!$C$9)+'Reaction Information'!$K$66*10^2*LN((Calculations!$C$12+Calculations!$M156)/(Calculations!$C$12+Calculations!$C$9))+(1/(Calculations!$O156-Calculations!$C$13))*('Reaction Information'!$L$66*(Calculations!$M156-Calculations!$C$9)+'Reaction Information'!$M$66*10^4*LN((Calculations!$C$12+Calculations!$M156)/(Calculations!$C$12+Calculations!$C$9)))+calculateOmega(Calculations!M156,Calculations!N156,Calculations!Q156,'Reaction Information'!$C$66,'Reaction Information'!$P$66*10^5,'Reaction Information'!$Q$66)*((1/Calculations!$S156)-1)-'Reaction Information'!$P$66*10^5*((1/Calculations!$C$10)-1)+'Reaction Information'!$P$66*10^5*Calculations!$C$14*(Calculations!$O156-Calculations!$C$8))</f>
        <v>#N/A</v>
      </c>
      <c r="AY156" s="31">
        <f>(AL156*Input!$AO$4+AM156*Input!$AR$4+AN156*Input!$AU$4+AO156*Input!$AX$4+IF(ISNA(AP156),0,AP156*Input!$BA$4)+IF(ISNA(AQ156),0,AQ156*Input!$BD$4)+IF(ISNA(AR156),0,AR156*Input!$BG$4)+IF(ISNA(AS156),0,AS156*Input!$BJ$4)+IF(ISNA(AT156),0,AT156*Input!$BM$4)+IF(ISNA(AU156),0,AU156*Input!$BP$4)+IF(ISNA(AV156),0,AV156*Input!$BS$4)+IF(ISNA(AW156),0,AW156*Input!$BV$4)+IF(ISNA(AX156),0,AX156*Input!$BY$4))-(Y156*Input!$B$4+Z156*Input!$E$4+AA156*Input!$H$4+AB156*Input!$K$4+IF(ISNA(AC156),0,AC156*Input!$N$4)+IF(ISNA(AD156),0,AD156*Input!$Q$4)+IF(ISNA(AE156),0,AE156*Input!$T$4)+IF(ISNA(AF156),0,AF156*Input!$W$4)+IF(ISNA(AG156),0,AG156*Input!$Z$4)+IF(ISNA(AH156),0,AH156*Input!$AC$4)+IF(ISNA(AI156),0,AI156*Input!$AF$4)+IF(ISNA(AJ156),0,AJ156*Input!$AI$4)+IF(ISNA(AK156),0,AK156*Input!$AL$4))</f>
        <v>-261.76435302699974</v>
      </c>
      <c r="AZ156" s="42">
        <f t="shared" si="39"/>
        <v>9.9878975967235092E-2</v>
      </c>
      <c r="BA156" s="1">
        <f t="shared" si="46"/>
        <v>300</v>
      </c>
      <c r="BB156" s="46">
        <f t="shared" si="47"/>
        <v>55000</v>
      </c>
      <c r="BC156" s="1"/>
      <c r="BD156" s="2">
        <f t="shared" si="48"/>
        <v>55000</v>
      </c>
      <c r="BE156" s="46">
        <f t="shared" si="49"/>
        <v>300</v>
      </c>
      <c r="BF156" s="1">
        <f>Results!AJ158</f>
        <v>0</v>
      </c>
      <c r="BG156" s="1">
        <f>Results!AK158</f>
        <v>0</v>
      </c>
      <c r="BH156" s="1">
        <f>Results!AL158</f>
        <v>0</v>
      </c>
      <c r="BI156" s="1">
        <f>Results!AM158</f>
        <v>0</v>
      </c>
      <c r="BJ156" s="1" t="e">
        <f>IF(OR(ISNA('Reaction Information'!$D$5), $N156 = "", $D$27 = FALSE, 'Reaction Information'!$D$5 = ""), NA(), 24.465)</f>
        <v>#N/A</v>
      </c>
      <c r="BK156" s="1" t="e">
        <f>IF(OR(ISNA('Reaction Information'!$D$9), $N156 = "", $D$27 = FALSE, 'Reaction Information'!$D$9 = ""), NA(), 24.465)</f>
        <v>#N/A</v>
      </c>
      <c r="BL156" s="8">
        <f t="shared" si="40"/>
        <v>11.994157023507752</v>
      </c>
      <c r="BM156" s="8">
        <f>IF(OR(ISBLANK(Input!$X$4),$D$27=FALSE),NA(),('Reaction Information'!$J$13/10+'Reaction Information'!$K$13*100/(Calculations!$C$12+Calculations!$M156)+('Reaction Information'!$L$13+'Reaction Information'!$M$13*10^4/(Calculations!$C$12+Calculations!$M156))/(Calculations!$O156-Calculations!$C$13) -calculateOmega(Calculations!$M156,Calculations!$N156,Calculations!$Q156,'Reaction Information'!$C$13,'Reaction Information'!$P$13*10^5,'Reaction Information'!$Q$13)*Calculations!$U156*10^-6 + (1/$S156 - 1)*calculate_domegadP(Calculations!$M156,Calculations!$N156,Calculations!$Q156,'Reaction Information'!$C$13,'Reaction Information'!$P$13*10^5,'Reaction Information'!$Q$13,$D$20,$D$19=3))*41.84)</f>
        <v>29.819426237130287</v>
      </c>
      <c r="BN156" s="8" t="e">
        <f>IF(OR(ISBLANK(Input!$AA$4),$D$27=FALSE),NA(),('Reaction Information'!$J$17/10+'Reaction Information'!$K$17*100/(Calculations!$C$12+Calculations!$M156)+('Reaction Information'!$L$17+'Reaction Information'!$M$17*10000/(Calculations!$C$12+Calculations!$M156))/(Calculations!$O156-Calculations!$C$13)-calculateOmega(Calculations!M156,Calculations!N156,Calculations!Q156,'Reaction Information'!$C$17,'Reaction Information'!$P$17*10^5,'Reaction Information'!$Q$17)*Calculations!$U156*10^-6 + (1/$S156 - 1)*calculate_domegadP(Calculations!M156,Calculations!N156,Calculations!Q156,'Reaction Information'!$C$17,'Reaction Information'!$P$17*10^5,'Reaction Information'!$Q$17,$D$20,$D$19=3))*41.84)</f>
        <v>#N/A</v>
      </c>
      <c r="BO156" s="8" t="e">
        <f>IF(OR(ISBLANK(Input!$AD$4),$D$27=FALSE),NA(),('Reaction Information'!$J$21/10+'Reaction Information'!$K$21*100/(Calculations!$C$12+Calculations!$M156)+('Reaction Information'!$L$21+'Reaction Information'!$M$21*10000/(Calculations!$C$12+Calculations!$M156))/(Calculations!$O156-Calculations!$C$13)-calculateOmega(Calculations!M156,Calculations!N156,Calculations!Q156,'Reaction Information'!$C$21,'Reaction Information'!$P$21*10^5,'Reaction Information'!$Q$21)*Calculations!$U156*10^-6 + (1/$S156 - 1)*calculate_domegadP(Calculations!M156,Calculations!N156,Calculations!Q156,'Reaction Information'!$C$21,'Reaction Information'!$P$21*10^5,'Reaction Information'!$Q$21,$D$20,$D$19=3))*41.84)</f>
        <v>#N/A</v>
      </c>
      <c r="BP156" s="8" t="e">
        <f>IF(OR(ISBLANK(Input!$AG$4),$D$27=FALSE),NA(),('Reaction Information'!$J$25/10+'Reaction Information'!$K$25*100/(Calculations!$C$12+Calculations!$M156)+('Reaction Information'!$L$25+'Reaction Information'!$M$25*10000/(Calculations!$C$12+Calculations!$M156))/(Calculations!$O156-Calculations!$C$13)-calculateOmega(Calculations!M156,Calculations!N156,Calculations!Q156,'Reaction Information'!$C$25,'Reaction Information'!$P$25*10^5,'Reaction Information'!$Q$25)*Calculations!$U156*10^-6 + (1/$S156 - 1)*calculate_domegadP(Calculations!M156,Calculations!N156,Calculations!Q156,'Reaction Information'!$C$25,'Reaction Information'!$P$25*10^5,'Reaction Information'!$Q$25,$D$20,$D$19=3))*41.84)</f>
        <v>#N/A</v>
      </c>
      <c r="BQ156" s="8" t="e">
        <f>IF(OR(ISBLANK(Input!$AJ$4),$D$27=FALSE),NA(),('Reaction Information'!$J$29/10+'Reaction Information'!$K$29*100/(Calculations!$C$12+Calculations!$M156)+('Reaction Information'!$L$29+'Reaction Information'!$M$29*10000/(Calculations!$C$12+Calculations!$M156))/(Calculations!$O156-Calculations!$C$13)-calculateOmega(Calculations!M156,Calculations!N156,Calculations!Q156,'Reaction Information'!$C$29,'Reaction Information'!$P$29*10^5,'Reaction Information'!$Q$29)*Calculations!$U156*10^-6 + (1/$S156 - 1)*calculate_domegadP(Calculations!M156,Calculations!N156,Calculations!Q156,'Reaction Information'!$C$29,'Reaction Information'!$P$29*10^5,'Reaction Information'!$Q$29,$D$20,$D$19=3))*41.84)</f>
        <v>#N/A</v>
      </c>
      <c r="BR156" s="8" t="e">
        <f>IF(OR(ISBLANK(Input!$AM$4),$D$27=FALSE),NA(),('Reaction Information'!$J$33/10+'Reaction Information'!$K$33*100/(Calculations!$C$12+Calculations!$M156)+('Reaction Information'!$L$33+'Reaction Information'!$M$33*10000/(Calculations!$C$12+Calculations!$M156))/(Calculations!$O156-Calculations!$C$13)-calculateOmega(Calculations!M156,Calculations!N156,Calculations!Q156,'Reaction Information'!$C$33,'Reaction Information'!$P$33*10^5,'Reaction Information'!$Q$33)*Calculations!$U156*10^-6 + (1/$S156 - 1)*calculate_domegadP(Calculations!M156,Calculations!N156,Calculations!Q156,'Reaction Information'!$C$33,'Reaction Information'!$P$33*10^5,'Reaction Information'!$Q$33,$D$20,$D$19=3))*41.84)</f>
        <v>#N/A</v>
      </c>
      <c r="BS156" s="1">
        <f>Results!AW158</f>
        <v>0</v>
      </c>
      <c r="BT156" s="1">
        <f>Results!AX158</f>
        <v>0</v>
      </c>
      <c r="BU156" s="1">
        <f>Results!AY158</f>
        <v>0</v>
      </c>
      <c r="BV156" s="1">
        <f>Results!AZ158</f>
        <v>0</v>
      </c>
      <c r="BW156" s="1" t="e">
        <f>IF(OR(ISNA('Reaction Information'!$D$38), $N156 = "", $D$27 = FALSE, 'Reaction Information'!$D$38 = ""), NA(), 24.465)</f>
        <v>#N/A</v>
      </c>
      <c r="BX156" s="1" t="e">
        <f>IF(OR(ISNA('Reaction Information'!$D$42), $N156 = "", $D$27 = FALSE, 'Reaction Information'!$D$42 = ""), NA(), 24.465)</f>
        <v>#N/A</v>
      </c>
      <c r="BY156" s="8" t="e">
        <f t="shared" si="41"/>
        <v>#N/A</v>
      </c>
      <c r="BZ156" s="8">
        <f>IF(OR(ISBLANK(Input!$BK$4),$D$27=FALSE),NA(),('Reaction Information'!$J$46/10+'Reaction Information'!$K$46*100/(Calculations!$C$12+Calculations!$M156)+('Reaction Information'!$L$46+'Reaction Information'!$M$46*10000/(Calculations!$C$12+Calculations!$M156))/(Calculations!$O156-Calculations!$C$13)-calculateOmega(Calculations!M156,Calculations!N156,Calculations!Q156,'Reaction Information'!$C$46,'Reaction Information'!$P$46*10^5,'Reaction Information'!$Q$46)*Calculations!$U156*10^-6 + (1/$S156 - 1)*calculate_domegadP(Calculations!M156,Calculations!N156,Calculations!Q156,'Reaction Information'!$C$46,'Reaction Information'!$P$46*10^5,'Reaction Information'!$Q$46,$D$20,$D$19=3))*41.84)</f>
        <v>0</v>
      </c>
      <c r="CA156" s="8">
        <f>IF(OR(ISBLANK(Input!$BN$4),$D$27=FALSE),NA(),('Reaction Information'!$J$50/10+'Reaction Information'!$K$50*100/(Calculations!$C$12+Calculations!$M156)+('Reaction Information'!$L$50+'Reaction Information'!$M$50*10000/(Calculations!$C$12+Calculations!$M156))/(Calculations!$O156-Calculations!$C$13)-calculateOmega(Calculations!M156,Calculations!N156,Calculations!Q156,'Reaction Information'!$C$50,'Reaction Information'!$P$50*10^5,'Reaction Information'!$Q$50)*Calculations!$U156*10^-6 + (1/$S156 - 1)*calculate_domegadP(Calculations!M156,Calculations!N156,Calculations!Q156,'Reaction Information'!$C$50,'Reaction Information'!$P$50*10^5,'Reaction Information'!$Q$50,$D$20,$D$19=3))*41.84)</f>
        <v>31.724240093875814</v>
      </c>
      <c r="CB156" s="8" t="e">
        <f>IF(OR(ISBLANK(Input!$BQ$4),$D$27=FALSE),NA(),('Reaction Information'!$J$54/10+'Reaction Information'!$K$54*100/(Calculations!$C$12+Calculations!$M156)+('Reaction Information'!$L$54+'Reaction Information'!$M$54*10000/(Calculations!$C$12+Calculations!$M156))/(Calculations!$O156-Calculations!$C$13)-calculateOmega(Calculations!M156,Calculations!N156,Calculations!Q156,'Reaction Information'!$C$54,'Reaction Information'!$P$54*10^5,'Reaction Information'!$Q$54)*Calculations!$U156*10^-6 + (1/$S156 - 1)*calculate_domegadP(Calculations!M156,Calculations!N156,Calculations!Q156,'Reaction Information'!$C$54,'Reaction Information'!$P$54*10^5,'Reaction Information'!$Q$54,$D$20,$D$19=3))*41.84)</f>
        <v>#N/A</v>
      </c>
      <c r="CC156" s="8" t="e">
        <f>IF(OR(ISBLANK(Input!$BT$4),$D$27=FALSE),NA(),('Reaction Information'!$J$58/10+'Reaction Information'!$K$58*100/(Calculations!$C$12+Calculations!$M156)+('Reaction Information'!$L$58+'Reaction Information'!$M$58*10000/(Calculations!$C$12+Calculations!$M156))/(Calculations!$O156-Calculations!$C$13)-calculateOmega(Calculations!M156,Calculations!N156,Calculations!Q156,'Reaction Information'!$C$58,'Reaction Information'!$P$58*10^5,'Reaction Information'!$Q$58)*Calculations!$U156*10^-6 + (1/$S156 - 1)*calculate_domegadP(Calculations!M156,Calculations!N156,Calculations!Q156,'Reaction Information'!$C$58,'Reaction Information'!$P$58*10^5,'Reaction Information'!$Q$58,$D$20,$D$19=3))*41.84)</f>
        <v>#N/A</v>
      </c>
      <c r="CD156" s="8" t="e">
        <f>IF(OR(ISBLANK(Input!$BW$4),$D$27=FALSE),NA(),('Reaction Information'!$J$62/10+'Reaction Information'!$K$62*100/(Calculations!$C$12+Calculations!$M156)+('Reaction Information'!$L$62+'Reaction Information'!$M$62*10000/(Calculations!$C$12+Calculations!$M156))/(Calculations!$O156-Calculations!$C$13)-calculateOmega(Calculations!M156,Calculations!N156,Calculations!Q156,'Reaction Information'!$C$62,'Reaction Information'!$P$62*10^5,'Reaction Information'!$Q$62)*Calculations!$U156*10^-6 + (1/$S156 - 1)*calculate_domegadP(Calculations!M156,Calculations!N156,Calculations!Q156,'Reaction Information'!$C$62,'Reaction Information'!$P$62*10^5,'Reaction Information'!$Q$62,$D$20,$D$19=3))*41.84)</f>
        <v>#N/A</v>
      </c>
      <c r="CE156" s="8" t="e">
        <f>IF(OR(ISBLANK(Input!$BZ$4),$D$27=FALSE),NA(),('Reaction Information'!$J$66/10+'Reaction Information'!$K$66*100/(Calculations!$C$12+Calculations!$M156)+('Reaction Information'!$L$66+'Reaction Information'!$M$66*10000/(Calculations!$C$12+Calculations!$M156))/(Calculations!$O156-Calculations!$C$13)-calculateOmega(Calculations!M156,Calculations!N156,Calculations!Q156,'Reaction Information'!$C$66,'Reaction Information'!$P$66*10^5,'Reaction Information'!$Q$66)*Calculations!$U156*10^-6 + (1/$S156 - 1)*calculate_domegadP(Calculations!M156,Calculations!N156,Calculations!Q156,'Reaction Information'!$C$66,'Reaction Information'!$P$66*10^5,'Reaction Information'!$Q$66,$D$20,$D$19=3))*41.84)</f>
        <v>#N/A</v>
      </c>
      <c r="CF156" s="31">
        <f>(BS156*Input!$AO$4+BT156*Input!$AR$4+BU156*Input!$AU$4+BV156*Input!$AX$4+IF(ISNA(BW156),0,BW156*Input!$BA$4)+IF(ISNA(BX156),0,BX156*Input!$BD$4)+IF(ISNA(BY156),0,BY156*Input!$BG$4)+IF(ISNA(BZ156),0,BZ156*Input!$BJ$4)+IF(ISNA(CA156),0,CA156*Input!$BM$4)+IF(ISNA(CB156),0,CB156*Input!$BP$4)+IF(ISNA(CC156),0,CC156*Input!$BS$4)+IF(ISNA(CD156),0,CD156*Input!$BV$4)+IF(ISNA(CE156),0,CE156*Input!$BY$4))-(BF156*Input!$B$4+BG156*Input!$E$4+BH156*Input!$H$4+BI156*Input!$K$4+IF(ISNA(BJ156),0,BJ156*Input!$N$4)+IF(ISNA(BK156),0,BK156*Input!$Q$4)+IF(ISNA(BL156),0,BL156*Input!$T$4)+IF(ISNA(BM156),0,BM156*Input!$W$4)+IF(ISNA(BN156),0,BN156*Input!$Z$4)+IF(ISNA(BO156),0,BO156*Input!$AC$4)+IF(ISNA(BP156),0,BP156*Input!$AF$4)+IF(ISNA(BQ156),0,BQ156*Input!$AI$4)+IF(ISNA(BR156),0,BR156*Input!$AL$4))</f>
        <v>-10.089343166762227</v>
      </c>
      <c r="CG156" s="1">
        <f t="shared" si="50"/>
        <v>300</v>
      </c>
      <c r="CH156" s="46">
        <f t="shared" si="51"/>
        <v>55000</v>
      </c>
      <c r="CI156" s="1"/>
    </row>
    <row r="157" spans="1:87" x14ac:dyDescent="0.2">
      <c r="A157" s="1"/>
      <c r="B157" s="1"/>
      <c r="C157" s="1"/>
      <c r="D157" s="1"/>
      <c r="E157" s="1"/>
      <c r="F157" s="2">
        <v>152</v>
      </c>
      <c r="G157" s="1" t="str">
        <f>IF(ISBLANK(Input!CB157), "", Input!CB157*1000)</f>
        <v/>
      </c>
      <c r="H157" s="1" t="str">
        <f>IF(ISBLANK(Input!CC157), "", Input!CC157)</f>
        <v/>
      </c>
      <c r="I157" s="1">
        <f>IF(Input!$CF$5 + Input!$CF$6*(FLOOR((Calculations!$F157-1)/(FLOOR((Input!$CF$12-Input!$CF$10)/Input!$CF$11,1)+1),1)) &gt; Input!$CF$7, "", (Input!$CF$5 + Input!$CF$6*(FLOOR((Calculations!$F157-1)/(FLOOR((Input!$CF$12-Input!$CF$10)/Input!$CF$11,1)+1),1)))*1000)</f>
        <v>55000</v>
      </c>
      <c r="J157" s="1">
        <f>IF(Calculations!I157 = "", "", Input!$CF$10 + Input!$CF$11*(Calculations!$F157-1) - (FLOOR((Input!$CF$12-Input!$CF$10)/Input!$CF$11,1)+1)*Input!$CF$11*FLOOR((Calculations!$F157-1)/(FLOOR((Input!$CF$12-Input!$CF$10)/Input!$CF$11,1)+1),1))</f>
        <v>350</v>
      </c>
      <c r="K157" s="8" t="str">
        <f t="shared" si="52"/>
        <v/>
      </c>
      <c r="L157" s="117" t="str">
        <f>IF(OR(Input!$CJ$5 + Input!$CJ$6*(Calculations!F157-1) &gt; Input!$CJ$7, Input!$CJ$5 + Input!$CJ$6*(Calculations!F157-1) &gt; 350), "", Input!$CJ$5 + Input!$CJ$6*(Calculations!F157-1))</f>
        <v/>
      </c>
      <c r="M157" s="1">
        <f t="shared" si="42"/>
        <v>55000</v>
      </c>
      <c r="N157" s="1">
        <f t="shared" si="43"/>
        <v>350</v>
      </c>
      <c r="O157" s="1">
        <f t="shared" si="38"/>
        <v>623.15</v>
      </c>
      <c r="P157" s="1" t="e">
        <f>IF(OR($D$20=3,AND($D$21=TRUE,M157&lt;1000)),INDEX('Water Density'!$C$6:$CX$120,MATCH(Calculations!N157,'Water Density'!$B$6:$B$120),MATCH(Calculations!M157/1000,'Water Density'!$C$5:$CX$5)),NA())</f>
        <v>#N/A</v>
      </c>
      <c r="Q157" s="182">
        <f>IF(OR($D$20=3,AND($D$21=TRUE,M157&lt;1000)), IF(P157&lt;&gt;0,P157,NA()), calculateDensity(M157,N157,$D$20,0.01,$D$19 = 3))</f>
        <v>1.4863835586857799</v>
      </c>
      <c r="R157" s="1" t="e">
        <f>IF($D$22=5,INDEX('Dielectric Constant'!$C$6:$CX$120,MATCH(Calculations!N157,'Dielectric Constant'!$B$6:$B$120),MATCH(Calculations!M157/1000,'Dielectric Constant'!$C$5:$CX$5)),NA())</f>
        <v>#N/A</v>
      </c>
      <c r="S157" s="58">
        <f>IF($D$22=5, IF(R157&lt;&gt;0,R157,NA()), IF(AND($D$23,M157&lt;=5000,$D$19 &lt;&gt; 3),calculateEpsilon(Q157,N157,1,FALSE),calculateEpsilon(Q157,N157,$D$22,$D$19 = 3)))</f>
        <v>55.692607891890006</v>
      </c>
      <c r="T157" s="1" t="e">
        <f>IF($D$24=3,INDEX('Water Free Energy'!$C$6:$CX$120,MATCH(Calculations!N157,'Water Free Energy'!$B$6:$B$120),MATCH(Calculations!M157/1000,'Water Free Energy'!$C$5:$CX$5)),NA())</f>
        <v>#N/A</v>
      </c>
      <c r="U157" s="179">
        <f>IF($D$27,calculateQ(M157,N157,Q157,$D$20,$D$22,$D$19=3)*10^6,NA())</f>
        <v>7.5206122870462092E-2</v>
      </c>
      <c r="V157"/>
      <c r="W157" s="2">
        <f t="shared" si="44"/>
        <v>55000</v>
      </c>
      <c r="X157" s="1">
        <f t="shared" si="45"/>
        <v>350</v>
      </c>
      <c r="Y157" s="1">
        <f>Results!F159</f>
        <v>0</v>
      </c>
      <c r="Z157" s="1">
        <f>Results!G159</f>
        <v>0</v>
      </c>
      <c r="AA157" s="1">
        <f>Results!H159</f>
        <v>0</v>
      </c>
      <c r="AB157" s="1">
        <f>Results!I159</f>
        <v>0</v>
      </c>
      <c r="AC157" s="1" t="e">
        <f>IF(ISBLANK(Input!$O$4),NA(),'Reaction Information'!$E$5-'Reaction Information'!$G$5*(Calculations!$O157-Calculations!$C$8)+'Reaction Information'!$I$5*(Calculations!$O157-Calculations!$C$8-Calculations!$O157*LN(Calculations!$O157/Calculations!$C$8))+'Reaction Information'!$J$5*0.001/2*(2*Calculations!$O157*Calculations!$C$8-Calculations!$O157^2-Calculations!$C$8^2) + 'Reaction Information'!$K$5*100000*(Calculations!$O157^2 + Calculations!$C$8^2 - 2*Calculations!$O157*Calculations!$C$8)/(2*Calculations!$O157*Calculations!$C$8^2))</f>
        <v>#N/A</v>
      </c>
      <c r="AD157" s="8" t="e">
        <f>IF(ISBLANK(Input!$R$4),NA(),'Reaction Information'!$E$9-'Reaction Information'!$G$9*(Calculations!$O157-Calculations!$C$8)+'Reaction Information'!$I$9*(Calculations!$O157-Calculations!$C$8-Calculations!$O157*LN(Calculations!$O157/Calculations!$C$8))+'Reaction Information'!$J$9*0.001/2*(2*Calculations!$O157*Calculations!$C$8-Calculations!$O157^2-Calculations!$C$8^2) + 'Reaction Information'!$K$9*100000*(Calculations!$O157^2 + Calculations!$C$8^2 - 2*Calculations!$O157*Calculations!$C$8)/(2*Calculations!$O157*Calculations!$C$8^2))</f>
        <v>#N/A</v>
      </c>
      <c r="AE157" s="8">
        <f>IF(AE$5="H2O",IF($D$24=3,IF(T157=0,NA(),T157),calculateGibbsOfWater(M157,N157,$D$24,$D$20,$D$19=3)),NA())</f>
        <v>-45122.845867508797</v>
      </c>
      <c r="AF157" s="8">
        <f>IF(ISBLANK(Input!$X$4),NA(),'Reaction Information'!$E$13-'Reaction Information'!$G$13*(Calculations!O157-Calculations!$C$8)-'Reaction Information'!$N$13*(Calculations!O157*LN(Calculations!O157/Calculations!$C$8)-Calculations!O157+Calculations!$C$8)-'Reaction Information'!$O$13*10^4*(((1/(Calculations!O157-Calculations!$C$13))-(1/(Calculations!$C$8-Calculations!$C$13)))*((Calculations!$C$13-Calculations!O157)/(Calculations!$C$13))-(Calculations!O157/(Calculations!$C$13*Calculations!$C$13))*LN((Calculations!$C$8*(Calculations!O157-Calculations!$C$13))/(Calculations!O157*(Calculations!$C$8-Calculations!$C$13))))+'Reaction Information'!$J$13*10^-1*(Calculations!M157-Calculations!$C$9)+'Reaction Information'!$K$13*10^2*LN((Calculations!$C$12+Calculations!M157)/(Calculations!$C$12+Calculations!$C$9))+(1/(Calculations!O157-Calculations!$C$13))*('Reaction Information'!$L$13*(Calculations!M157-Calculations!$C$9)+'Reaction Information'!$M$13*10^4*LN((Calculations!$C$12+Calculations!M157)/(Calculations!$C$12+Calculations!$C$9)))+calculateOmega(Calculations!M157,Calculations!N157,Calculations!Q157,'Reaction Information'!$C$13,'Reaction Information'!$P$13*10^5,'Reaction Information'!$Q$13)*((1/Calculations!S157)-1)-'Reaction Information'!$P$13*10^5*((1/Calculations!$C$10)-1)+'Reaction Information'!$P$13*10^5*Calculations!$C$14*(Calculations!O157-Calculations!$C$8))</f>
        <v>-64751.348691199666</v>
      </c>
      <c r="AG157" s="8" t="e">
        <f>IF(ISBLANK(Input!$AA$4),NA(),'Reaction Information'!$E$17-'Reaction Information'!$G$17*(Calculations!$O157-Calculations!$C$8)-'Reaction Information'!$N$17*(Calculations!$O157*LN(Calculations!$O157/Calculations!$C$8)-Calculations!$O157+Calculations!$C$8)-'Reaction Information'!$O$17*10^4*(((1/(Calculations!$O157-Calculations!$C$13))-(1/(Calculations!$C$8-Calculations!$C$13)))*((Calculations!$C$13-Calculations!$O157)/(Calculations!$C$13))-(Calculations!$O157/(Calculations!$C$13*Calculations!$C$13))*LN((Calculations!$C$8*(Calculations!$O157-Calculations!$C$13))/(Calculations!$O157*(Calculations!$C$8-Calculations!$C$13))))+'Reaction Information'!$J$17*10^-1*(Calculations!$M157-Calculations!$C$9)+'Reaction Information'!$K$17*10^2*LN((Calculations!$C$12+Calculations!$M157)/(Calculations!$C$12+Calculations!$C$9))+(1/(Calculations!$O157-Calculations!$C$13))*('Reaction Information'!$L$17*(Calculations!$M157-Calculations!$C$9)+'Reaction Information'!$M$17*10^4*LN((Calculations!$C$12+Calculations!$M157)/(Calculations!$C$12+Calculations!$C$9)))+calculateOmega(Calculations!M157,Calculations!N157,Calculations!Q157,'Reaction Information'!$C$17,'Reaction Information'!$P$17*10^5,'Reaction Information'!$Q$17)*((1/Calculations!$S157)-1)-'Reaction Information'!$P$17*10^5*((1/Calculations!$C$10)-1)+'Reaction Information'!$P$17*10^5*Calculations!$C$14*(Calculations!$O157-Calculations!$C$8))</f>
        <v>#N/A</v>
      </c>
      <c r="AH157" s="8" t="e">
        <f>IF(ISBLANK(Input!$AD$4),NA(),'Reaction Information'!$E$21-'Reaction Information'!$G$21*(Calculations!$O157-Calculations!$C$8)-'Reaction Information'!$N$21*(Calculations!$O157*LN(Calculations!$O157/Calculations!$C$8)-Calculations!$O157+Calculations!$C$8)-'Reaction Information'!$O$21*10^4*(((1/(Calculations!$O157-Calculations!$C$13))-(1/(Calculations!$C$8-Calculations!$C$13)))*((Calculations!$C$13-Calculations!$O157)/(Calculations!$C$13))-(Calculations!$O157/(Calculations!$C$13*Calculations!$C$13))*LN((Calculations!$C$8*(Calculations!$O157-Calculations!$C$13))/(Calculations!$O157*(Calculations!$C$8-Calculations!$C$13))))+'Reaction Information'!$J$21*10^-1*(Calculations!$M157-Calculations!$C$9)+'Reaction Information'!$K$21*10^2*LN((Calculations!$C$12+Calculations!$M157)/(Calculations!$C$12+Calculations!$C$9))+(1/(Calculations!$O157-Calculations!$C$13))*('Reaction Information'!$L$21*(Calculations!$M157-Calculations!$C$9)+'Reaction Information'!$M$21*10^4*LN((Calculations!$C$12+Calculations!$M157)/(Calculations!$C$12+Calculations!$C$9)))+calculateOmega(Calculations!M157,Calculations!N157,Calculations!Q157,'Reaction Information'!$C$21,'Reaction Information'!$P$21*10^5,'Reaction Information'!$Q$21)*((1/Calculations!$S157)-1)-'Reaction Information'!$P$21*10^5*((1/Calculations!$C$10)-1)+'Reaction Information'!$P$21*10^5*Calculations!$C$14*(Calculations!$O157-Calculations!$C$8))</f>
        <v>#N/A</v>
      </c>
      <c r="AI157" s="8" t="e">
        <f>IF(ISBLANK(Input!$AG$4),NA(),'Reaction Information'!$E$25-'Reaction Information'!$G$25*(Calculations!$O157-Calculations!$C$8)-'Reaction Information'!$N$25*(Calculations!$O157*LN(Calculations!$O157/Calculations!$C$8)-Calculations!$O157+Calculations!$C$8)-'Reaction Information'!$O$25*10^4*(((1/(Calculations!$O157-Calculations!$C$13))-(1/(Calculations!$C$8-Calculations!$C$13)))*((Calculations!$C$13-Calculations!$O157)/(Calculations!$C$13))-(Calculations!$O157/(Calculations!$C$13*Calculations!$C$13))*LN((Calculations!$C$8*(Calculations!$O157-Calculations!$C$13))/(Calculations!$O157*(Calculations!$C$8-Calculations!$C$13))))+'Reaction Information'!$J$25*10^-1*(Calculations!$M157-Calculations!$C$9)+'Reaction Information'!$K$25*10^2*LN((Calculations!$C$12+Calculations!$M157)/(Calculations!$C$12+Calculations!$C$9))+(1/(Calculations!$O157-Calculations!$C$13))*('Reaction Information'!$L$25*(Calculations!$M157-Calculations!$C$9)+'Reaction Information'!$M$25*10^4*LN((Calculations!$C$12+Calculations!$M157)/(Calculations!$C$12+Calculations!$C$9)))+calculateOmega(Calculations!M157,Calculations!N157,Calculations!Q157,'Reaction Information'!$C$25,'Reaction Information'!$P$25*10^5,'Reaction Information'!$Q$25)*((1/Calculations!$S157)-1)-'Reaction Information'!$P$25*10^5*((1/Calculations!$C$10)-1)+'Reaction Information'!$P$25*10^5*Calculations!$C$14*(Calculations!$O157-Calculations!$C$8))</f>
        <v>#N/A</v>
      </c>
      <c r="AJ157" s="8" t="e">
        <f>IF(ISBLANK(Input!$AJ$4),NA(),'Reaction Information'!$E$29-'Reaction Information'!$G$29*(Calculations!$O157-Calculations!$C$8)-'Reaction Information'!$N$29*(Calculations!$O157*LN(Calculations!$O157/Calculations!$C$8)-Calculations!$O157+Calculations!$C$8)-'Reaction Information'!$O$29*10^4*(((1/(Calculations!$O157-Calculations!$C$13))-(1/(Calculations!$C$8-Calculations!$C$13)))*((Calculations!$C$13-Calculations!$O157)/(Calculations!$C$13))-(Calculations!$O157/(Calculations!$C$13*Calculations!$C$13))*LN((Calculations!$C$8*(Calculations!$O157-Calculations!$C$13))/(Calculations!$O157*(Calculations!$C$8-Calculations!$C$13))))+'Reaction Information'!$J$29*10^-1*(Calculations!$M157-Calculations!$C$9)+'Reaction Information'!$K$29*10^2*LN((Calculations!$C$12+Calculations!$M157)/(Calculations!$C$12+Calculations!$C$9))+(1/(Calculations!$O157-Calculations!$C$13))*('Reaction Information'!$L$29*(Calculations!$M157-Calculations!$C$9)+'Reaction Information'!$M$29*10^4*LN((Calculations!$C$12+Calculations!$M157)/(Calculations!$C$12+Calculations!$C$9)))+calculateOmega(Calculations!M157,Calculations!N157,Calculations!Q157,'Reaction Information'!$C$29,'Reaction Information'!$P$29*10^5,'Reaction Information'!$Q$29)*((1/Calculations!$S157)-1)-'Reaction Information'!$P$29*10^5*((1/Calculations!$C$10)-1)+'Reaction Information'!$P$29*10^5*Calculations!$C$14*(Calculations!$O157-Calculations!$C$8))</f>
        <v>#N/A</v>
      </c>
      <c r="AK157" s="8" t="e">
        <f>IF(ISBLANK(Input!$AM$4),NA(),'Reaction Information'!$E$33-'Reaction Information'!$G$33*(Calculations!$O157-Calculations!$C$8)-'Reaction Information'!$N$33*(Calculations!$O157*LN(Calculations!$O157/Calculations!$C$8)-Calculations!$O157+Calculations!$C$8)-'Reaction Information'!$O$33*10^4*(((1/(Calculations!$O157-Calculations!$C$13))-(1/(Calculations!$C$8-Calculations!$C$13)))*((Calculations!$C$13-Calculations!$O157)/(Calculations!$C$13))-(Calculations!$O157/(Calculations!$C$13*Calculations!$C$13))*LN((Calculations!$C$8*(Calculations!$O157-Calculations!$C$13))/(Calculations!$O157*(Calculations!$C$8-Calculations!$C$13))))+'Reaction Information'!$J$33*10^-1*(Calculations!$M157-Calculations!$C$9)+'Reaction Information'!$K$33*10^2*LN((Calculations!$C$12+Calculations!$M157)/(Calculations!$C$12+Calculations!$C$9))+(1/(Calculations!$O157-Calculations!$C$13))*('Reaction Information'!$L$33*(Calculations!$M157-Calculations!$C$9)+'Reaction Information'!$M$33*10^4*LN((Calculations!$C$12+Calculations!$M157)/(Calculations!$C$12+Calculations!$C$9)))+calculateOmega(Calculations!M157,Calculations!N157,Calculations!Q157,'Reaction Information'!$C$33,'Reaction Information'!$P$33*10^5,'Reaction Information'!$Q$33)*((1/Calculations!$S157)-1)-'Reaction Information'!$P$33*10^5*((1/Calculations!$C$10)-1)+'Reaction Information'!$P$33*10^5*Calculations!$C$14*(Calculations!$O157-Calculations!$C$8))</f>
        <v>#N/A</v>
      </c>
      <c r="AL157" s="1">
        <f>Results!S159</f>
        <v>0</v>
      </c>
      <c r="AM157" s="1">
        <f>Results!T159</f>
        <v>0</v>
      </c>
      <c r="AN157" s="1">
        <f>Results!U159</f>
        <v>0</v>
      </c>
      <c r="AO157" s="1">
        <f>Results!V159</f>
        <v>0</v>
      </c>
      <c r="AP157" s="8" t="e">
        <f>IF(ISBLANK(Input!$BB$4),NA(),'Reaction Information'!$E$38-'Reaction Information'!$G$38*(Calculations!$O157-Calculations!$C$8)+'Reaction Information'!$I$38*(Calculations!$O157-Calculations!$C$8-Calculations!$O157*LN(Calculations!$O157/Calculations!$C$8))+'Reaction Information'!$J$38*0.001/2*(2*Calculations!$O157*Calculations!$C$8-Calculations!$O157^2-Calculations!$C$8^2) + 'Reaction Information'!$K$38*100000*(Calculations!$O157^2 + Calculations!$C$8^2 - 2*Calculations!$O157*Calculations!$C$8)/(2*Calculations!$O157*Calculations!$C$8^2))</f>
        <v>#N/A</v>
      </c>
      <c r="AQ157" s="8" t="e">
        <f>IF(ISBLANK(Input!$BE$4),NA(),'Reaction Information'!$E$42-'Reaction Information'!$G$42*(Calculations!$O157-Calculations!$C$8)+'Reaction Information'!$I$42*(Calculations!$O157-Calculations!$C$8-Calculations!$O157*LN(Calculations!$O157/Calculations!$C$8))+'Reaction Information'!$J$42*0.001/2*(2*Calculations!$O157*Calculations!$C$8-Calculations!$O157^2-Calculations!$C$8^2) + 'Reaction Information'!$K$42*100000*(Calculations!$O157^2 + Calculations!$C$8^2 - 2*Calculations!$O157*Calculations!$C$8)/(2*Calculations!$O157*Calculations!$C$8^2))</f>
        <v>#N/A</v>
      </c>
      <c r="AR157" s="8" t="e">
        <f>IF(AR$5="H2O", IF($D$24=3,IF(T157=0,NA(),T157),calculateGibbsOfWater(M157,N157,$D$24,$D$20,$D$19=3)),NA())</f>
        <v>#N/A</v>
      </c>
      <c r="AS157" s="8">
        <f>IF(ISBLANK(Input!$BK$4),NA(),'Reaction Information'!$E$46-'Reaction Information'!$G$46*(Calculations!O157-Calculations!$C$8)-'Reaction Information'!$N$46*(Calculations!O157*LN(Calculations!O157/Calculations!$C$8)-Calculations!O157+Calculations!$C$8)-'Reaction Information'!$O$46*10^4*(((1/(Calculations!O157-Calculations!$C$13))-(1/(Calculations!$C$8-Calculations!$C$13)))*((Calculations!$C$13-Calculations!O157)/(Calculations!$C$13))-(Calculations!O157/(Calculations!$C$13*Calculations!$C$13))*LN((Calculations!$C$8*(Calculations!O157-Calculations!$C$13))/(Calculations!O157*(Calculations!$C$8-Calculations!$C$13))))+'Reaction Information'!$J$46*10^-1*(Calculations!$M157-Calculations!$C$9)+'Reaction Information'!$K$46*10^2*LN((Calculations!$C$12+Calculations!$M157)/(Calculations!$C$12+Calculations!$C$9))+(1/(Calculations!O157-Calculations!$C$13))*('Reaction Information'!$L$46*(Calculations!$M157-Calculations!$C$9)+'Reaction Information'!$M$46*10^4*LN((Calculations!$C$12+Calculations!$M157)/(Calculations!$C$12+Calculations!$C$9)))+calculateOmega(Calculations!M157,Calculations!N157,Calculations!Q157,'Reaction Information'!$C$46,'Reaction Information'!$P$46*10^5,'Reaction Information'!$Q$46)*((1/Calculations!S157)-1)-'Reaction Information'!$P$46*10^5*((1/Calculations!$C$10)-1)+'Reaction Information'!$P$46*10^5*Calculations!$C$14*(Calculations!O157-Calculations!$C$8))</f>
        <v>0</v>
      </c>
      <c r="AT157" s="8">
        <f>IF(ISBLANK(Input!$BN$4),NA(),'Reaction Information'!$E$50-'Reaction Information'!$G$50*(Calculations!O157-Calculations!$C$8)-'Reaction Information'!$N$50*(Calculations!O157*LN(Calculations!O157/Calculations!$C$8)-Calculations!O157+Calculations!$C$8)-'Reaction Information'!$O$50*10^4*(((1/(Calculations!O157-Calculations!$C$13))-(1/(Calculations!$C$8-Calculations!$C$13)))*((Calculations!$C$13-Calculations!O157)/(Calculations!$C$13))-(Calculations!O157/(Calculations!$C$13*Calculations!$C$13))*LN((Calculations!$C$8*(Calculations!O157-Calculations!$C$13))/(Calculations!O157*(Calculations!$C$8-Calculations!$C$13))))+'Reaction Information'!$J$50*10^-1*(Calculations!$M157-Calculations!$C$9)+'Reaction Information'!$K$50*10^2*LN((Calculations!$C$12+Calculations!$M157)/(Calculations!$C$12+Calculations!$C$9))+(1/(Calculations!O157-Calculations!$C$13))*('Reaction Information'!$L$50*(Calculations!$M157-Calculations!$C$9)+'Reaction Information'!$M$50*10^4*LN((Calculations!$C$12+Calculations!$M157)/(Calculations!$C$12+Calculations!$C$9)))+calculateOmega(Calculations!M157,Calculations!N157,Calculations!Q157,'Reaction Information'!$C$50,'Reaction Information'!$P$50*10^5,'Reaction Information'!$Q$50)*((1/Calculations!S157)-1)-'Reaction Information'!$P$50*10^5*((1/Calculations!$C$10)-1)+'Reaction Information'!$P$50*10^5*Calculations!$C$14*(Calculations!O157-Calculations!$C$8))</f>
        <v>-108601.20330500104</v>
      </c>
      <c r="AU157" s="8" t="e">
        <f>IF(ISBLANK(Input!$BQ$4),NA(),'Reaction Information'!$E$54-'Reaction Information'!$G$54*(Calculations!$O157-Calculations!$C$8)-'Reaction Information'!$N$54*(Calculations!$O157*LN(Calculations!$O157/Calculations!$C$8)-Calculations!$O157+Calculations!$C$8)-'Reaction Information'!$O$54*10^4*(((1/(Calculations!$O157-Calculations!$C$13))-(1/(Calculations!$C$8-Calculations!$C$13)))*((Calculations!$C$13-Calculations!$O157)/(Calculations!$C$13))-(Calculations!$O157/(Calculations!$C$13*Calculations!$C$13))*LN((Calculations!$C$8*(Calculations!$O157-Calculations!$C$13))/(Calculations!$O157*(Calculations!$C$8-Calculations!$C$13))))+'Reaction Information'!$J$54*10^-1*(Calculations!$M157-Calculations!$C$9)+'Reaction Information'!$K$54*10^2*LN((Calculations!$C$12+Calculations!$M157)/(Calculations!$C$12+Calculations!$C$9))+(1/(Calculations!$O157-Calculations!$C$13))*('Reaction Information'!$L$54*(Calculations!$M157-Calculations!$C$9)+'Reaction Information'!$M$54*10^4*LN((Calculations!$C$12+Calculations!$M157)/(Calculations!$C$12+Calculations!$C$9)))+calculateOmega(Calculations!M157,Calculations!N157,Calculations!Q157,'Reaction Information'!$C$54,'Reaction Information'!$P$54*10^5,'Reaction Information'!$Q$54)*((1/Calculations!$S157)-1)-'Reaction Information'!$P$54*10^5*((1/Calculations!$C$10)-1)+'Reaction Information'!$P$54*10^5*Calculations!$C$14*(Calculations!$O157-Calculations!$C$8))</f>
        <v>#N/A</v>
      </c>
      <c r="AV157" s="8" t="e">
        <f>IF(ISBLANK(Input!$BT$4),NA(),'Reaction Information'!$E$58-'Reaction Information'!$G$58*(Calculations!$O157-Calculations!$C$8)-'Reaction Information'!$N$58*(Calculations!$O157*LN(Calculations!$O157/Calculations!$C$8)-Calculations!$O157+Calculations!$C$8)-'Reaction Information'!$O$58*10^4*(((1/(Calculations!$O157-Calculations!$C$13))-(1/(Calculations!$C$8-Calculations!$C$13)))*((Calculations!$C$13-Calculations!$O157)/(Calculations!$C$13))-(Calculations!$O157/(Calculations!$C$13*Calculations!$C$13))*LN((Calculations!$C$8*(Calculations!$O157-Calculations!$C$13))/(Calculations!$O157*(Calculations!$C$8-Calculations!$C$13))))+'Reaction Information'!$J$58*10^-1*(Calculations!$M157-Calculations!$C$9)+'Reaction Information'!$K$58*10^2*LN((Calculations!$C$12+Calculations!$M157)/(Calculations!$C$12+Calculations!$C$9))+(1/(Calculations!$O157-Calculations!$C$13))*('Reaction Information'!$L$58*(Calculations!$M157-Calculations!$C$9)+'Reaction Information'!$M$58*10^4*LN((Calculations!$C$12+Calculations!$M157)/(Calculations!$C$12+Calculations!$C$9)))+calculateOmega(Calculations!M157,Calculations!N157,Calculations!Q157,'Reaction Information'!$C$58,'Reaction Information'!$P$58*10^5,'Reaction Information'!$Q$58)*((1/Calculations!$S157)-1)-'Reaction Information'!$P$58*10^5*((1/Calculations!$C$10)-1)+'Reaction Information'!$P$58*10^5*Calculations!$C$14*(Calculations!$O157-Calculations!$C$8))</f>
        <v>#N/A</v>
      </c>
      <c r="AW157" s="8" t="e">
        <f>IF(ISBLANK(Input!$BW$4),NA(),'Reaction Information'!$E$62-'Reaction Information'!$G$62*(Calculations!$O157-Calculations!$C$8)-'Reaction Information'!$N$62*(Calculations!$O157*LN(Calculations!$O157/Calculations!$C$8)-Calculations!$O157+Calculations!$C$8)-'Reaction Information'!$O$62*10^4*(((1/(Calculations!$O157-Calculations!$C$13))-(1/(Calculations!$C$8-Calculations!$C$13)))*((Calculations!$C$13-Calculations!$O157)/(Calculations!$C$13))-(Calculations!$O157/(Calculations!$C$13*Calculations!$C$13))*LN((Calculations!$C$8*(Calculations!$O157-Calculations!$C$13))/(Calculations!$O157*(Calculations!$C$8-Calculations!$C$13))))+'Reaction Information'!$J$62*10^-1*(Calculations!$M157-Calculations!$C$9)+'Reaction Information'!$K$62*10^2*LN((Calculations!$C$12+Calculations!$M157)/(Calculations!$C$12+Calculations!$C$9))+(1/(Calculations!$O157-Calculations!$C$13))*('Reaction Information'!$L$62*(Calculations!$M157-Calculations!$C$9)+'Reaction Information'!$M$62*10^4*LN((Calculations!$C$12+Calculations!$M157)/(Calculations!$C$12+Calculations!$C$9)))+calculateOmega(Calculations!M157,Calculations!N157,Calculations!Q157,'Reaction Information'!$C$62,'Reaction Information'!$P$62*10^5,'Reaction Information'!$Q$62)*((1/Calculations!$S157)-1)-'Reaction Information'!$P$62*10^5*((1/Calculations!$C$10)-1)+'Reaction Information'!$P$62*10^5*Calculations!$C$14*(Calculations!$O157-Calculations!$C$8))</f>
        <v>#N/A</v>
      </c>
      <c r="AX157" s="8" t="e">
        <f>IF(ISBLANK(Input!$BZ$4),NA(),'Reaction Information'!$E$66-'Reaction Information'!$G$66*(Calculations!$O157-Calculations!$C$8)-'Reaction Information'!$N$66*(Calculations!$O157*LN(Calculations!$O157/Calculations!$C$8)-Calculations!$O157+Calculations!$C$8)-'Reaction Information'!$O$66*10^4*(((1/(Calculations!$O157-Calculations!$C$13))-(1/(Calculations!$C$8-Calculations!$C$13)))*((Calculations!$C$13-Calculations!$O157)/(Calculations!$C$13))-(Calculations!$O157/(Calculations!$C$13*Calculations!$C$13))*LN((Calculations!$C$8*(Calculations!$O157-Calculations!$C$13))/(Calculations!$O157*(Calculations!$C$8-Calculations!$C$13))))+'Reaction Information'!$J$66*10^-1*(Calculations!$M157-Calculations!$C$9)+'Reaction Information'!$K$66*10^2*LN((Calculations!$C$12+Calculations!$M157)/(Calculations!$C$12+Calculations!$C$9))+(1/(Calculations!$O157-Calculations!$C$13))*('Reaction Information'!$L$66*(Calculations!$M157-Calculations!$C$9)+'Reaction Information'!$M$66*10^4*LN((Calculations!$C$12+Calculations!$M157)/(Calculations!$C$12+Calculations!$C$9)))+calculateOmega(Calculations!M157,Calculations!N157,Calculations!Q157,'Reaction Information'!$C$66,'Reaction Information'!$P$66*10^5,'Reaction Information'!$Q$66)*((1/Calculations!$S157)-1)-'Reaction Information'!$P$66*10^5*((1/Calculations!$C$10)-1)+'Reaction Information'!$P$66*10^5*Calculations!$C$14*(Calculations!$O157-Calculations!$C$8))</f>
        <v>#N/A</v>
      </c>
      <c r="AY157" s="31">
        <f>(AL157*Input!$AO$4+AM157*Input!$AR$4+AN157*Input!$AU$4+AO157*Input!$AX$4+IF(ISNA(AP157),0,AP157*Input!$BA$4)+IF(ISNA(AQ157),0,AQ157*Input!$BD$4)+IF(ISNA(AR157),0,AR157*Input!$BG$4)+IF(ISNA(AS157),0,AS157*Input!$BJ$4)+IF(ISNA(AT157),0,AT157*Input!$BM$4)+IF(ISNA(AU157),0,AU157*Input!$BP$4)+IF(ISNA(AV157),0,AV157*Input!$BS$4)+IF(ISNA(AW157),0,AW157*Input!$BV$4)+IF(ISNA(AX157),0,AX157*Input!$BY$4))-(Y157*Input!$B$4+Z157*Input!$E$4+AA157*Input!$H$4+AB157*Input!$K$4+IF(ISNA(AC157),0,AC157*Input!$N$4)+IF(ISNA(AD157),0,AD157*Input!$Q$4)+IF(ISNA(AE157),0,AE157*Input!$T$4)+IF(ISNA(AF157),0,AF157*Input!$W$4)+IF(ISNA(AG157),0,AG157*Input!$Z$4)+IF(ISNA(AH157),0,AH157*Input!$AC$4)+IF(ISNA(AI157),0,AI157*Input!$AF$4)+IF(ISNA(AJ157),0,AJ157*Input!$AI$4)+IF(ISNA(AK157),0,AK157*Input!$AL$4))</f>
        <v>1272.9912537074269</v>
      </c>
      <c r="AZ157" s="42">
        <f t="shared" si="39"/>
        <v>-0.44675013660720958</v>
      </c>
      <c r="BA157" s="1">
        <f t="shared" si="46"/>
        <v>350</v>
      </c>
      <c r="BB157" s="46">
        <f t="shared" si="47"/>
        <v>55000</v>
      </c>
      <c r="BC157" s="1"/>
      <c r="BD157" s="2">
        <f t="shared" si="48"/>
        <v>55000</v>
      </c>
      <c r="BE157" s="46">
        <f t="shared" si="49"/>
        <v>350</v>
      </c>
      <c r="BF157" s="1">
        <f>Results!AJ159</f>
        <v>0</v>
      </c>
      <c r="BG157" s="1">
        <f>Results!AK159</f>
        <v>0</v>
      </c>
      <c r="BH157" s="1">
        <f>Results!AL159</f>
        <v>0</v>
      </c>
      <c r="BI157" s="1">
        <f>Results!AM159</f>
        <v>0</v>
      </c>
      <c r="BJ157" s="1" t="e">
        <f>IF(OR(ISNA('Reaction Information'!$D$5), $N157 = "", $D$27 = FALSE, 'Reaction Information'!$D$5 = ""), NA(), 24.465)</f>
        <v>#N/A</v>
      </c>
      <c r="BK157" s="1" t="e">
        <f>IF(OR(ISNA('Reaction Information'!$D$9), $N157 = "", $D$27 = FALSE, 'Reaction Information'!$D$9 = ""), NA(), 24.465)</f>
        <v>#N/A</v>
      </c>
      <c r="BL157" s="8">
        <f t="shared" si="40"/>
        <v>12.120209413462986</v>
      </c>
      <c r="BM157" s="8">
        <f>IF(OR(ISBLANK(Input!$X$4),$D$27=FALSE),NA(),('Reaction Information'!$J$13/10+'Reaction Information'!$K$13*100/(Calculations!$C$12+Calculations!$M157)+('Reaction Information'!$L$13+'Reaction Information'!$M$13*10^4/(Calculations!$C$12+Calculations!$M157))/(Calculations!$O157-Calculations!$C$13) -calculateOmega(Calculations!$M157,Calculations!$N157,Calculations!$Q157,'Reaction Information'!$C$13,'Reaction Information'!$P$13*10^5,'Reaction Information'!$Q$13)*Calculations!$U157*10^-6 + (1/$S157 - 1)*calculate_domegadP(Calculations!$M157,Calculations!$N157,Calculations!$Q157,'Reaction Information'!$C$13,'Reaction Information'!$P$13*10^5,'Reaction Information'!$Q$13,$D$20,$D$19=3))*41.84)</f>
        <v>29.806352497846152</v>
      </c>
      <c r="BN157" s="8" t="e">
        <f>IF(OR(ISBLANK(Input!$AA$4),$D$27=FALSE),NA(),('Reaction Information'!$J$17/10+'Reaction Information'!$K$17*100/(Calculations!$C$12+Calculations!$M157)+('Reaction Information'!$L$17+'Reaction Information'!$M$17*10000/(Calculations!$C$12+Calculations!$M157))/(Calculations!$O157-Calculations!$C$13)-calculateOmega(Calculations!M157,Calculations!N157,Calculations!Q157,'Reaction Information'!$C$17,'Reaction Information'!$P$17*10^5,'Reaction Information'!$Q$17)*Calculations!$U157*10^-6 + (1/$S157 - 1)*calculate_domegadP(Calculations!M157,Calculations!N157,Calculations!Q157,'Reaction Information'!$C$17,'Reaction Information'!$P$17*10^5,'Reaction Information'!$Q$17,$D$20,$D$19=3))*41.84)</f>
        <v>#N/A</v>
      </c>
      <c r="BO157" s="8" t="e">
        <f>IF(OR(ISBLANK(Input!$AD$4),$D$27=FALSE),NA(),('Reaction Information'!$J$21/10+'Reaction Information'!$K$21*100/(Calculations!$C$12+Calculations!$M157)+('Reaction Information'!$L$21+'Reaction Information'!$M$21*10000/(Calculations!$C$12+Calculations!$M157))/(Calculations!$O157-Calculations!$C$13)-calculateOmega(Calculations!M157,Calculations!N157,Calculations!Q157,'Reaction Information'!$C$21,'Reaction Information'!$P$21*10^5,'Reaction Information'!$Q$21)*Calculations!$U157*10^-6 + (1/$S157 - 1)*calculate_domegadP(Calculations!M157,Calculations!N157,Calculations!Q157,'Reaction Information'!$C$21,'Reaction Information'!$P$21*10^5,'Reaction Information'!$Q$21,$D$20,$D$19=3))*41.84)</f>
        <v>#N/A</v>
      </c>
      <c r="BP157" s="8" t="e">
        <f>IF(OR(ISBLANK(Input!$AG$4),$D$27=FALSE),NA(),('Reaction Information'!$J$25/10+'Reaction Information'!$K$25*100/(Calculations!$C$12+Calculations!$M157)+('Reaction Information'!$L$25+'Reaction Information'!$M$25*10000/(Calculations!$C$12+Calculations!$M157))/(Calculations!$O157-Calculations!$C$13)-calculateOmega(Calculations!M157,Calculations!N157,Calculations!Q157,'Reaction Information'!$C$25,'Reaction Information'!$P$25*10^5,'Reaction Information'!$Q$25)*Calculations!$U157*10^-6 + (1/$S157 - 1)*calculate_domegadP(Calculations!M157,Calculations!N157,Calculations!Q157,'Reaction Information'!$C$25,'Reaction Information'!$P$25*10^5,'Reaction Information'!$Q$25,$D$20,$D$19=3))*41.84)</f>
        <v>#N/A</v>
      </c>
      <c r="BQ157" s="8" t="e">
        <f>IF(OR(ISBLANK(Input!$AJ$4),$D$27=FALSE),NA(),('Reaction Information'!$J$29/10+'Reaction Information'!$K$29*100/(Calculations!$C$12+Calculations!$M157)+('Reaction Information'!$L$29+'Reaction Information'!$M$29*10000/(Calculations!$C$12+Calculations!$M157))/(Calculations!$O157-Calculations!$C$13)-calculateOmega(Calculations!M157,Calculations!N157,Calculations!Q157,'Reaction Information'!$C$29,'Reaction Information'!$P$29*10^5,'Reaction Information'!$Q$29)*Calculations!$U157*10^-6 + (1/$S157 - 1)*calculate_domegadP(Calculations!M157,Calculations!N157,Calculations!Q157,'Reaction Information'!$C$29,'Reaction Information'!$P$29*10^5,'Reaction Information'!$Q$29,$D$20,$D$19=3))*41.84)</f>
        <v>#N/A</v>
      </c>
      <c r="BR157" s="8" t="e">
        <f>IF(OR(ISBLANK(Input!$AM$4),$D$27=FALSE),NA(),('Reaction Information'!$J$33/10+'Reaction Information'!$K$33*100/(Calculations!$C$12+Calculations!$M157)+('Reaction Information'!$L$33+'Reaction Information'!$M$33*10000/(Calculations!$C$12+Calculations!$M157))/(Calculations!$O157-Calculations!$C$13)-calculateOmega(Calculations!M157,Calculations!N157,Calculations!Q157,'Reaction Information'!$C$33,'Reaction Information'!$P$33*10^5,'Reaction Information'!$Q$33)*Calculations!$U157*10^-6 + (1/$S157 - 1)*calculate_domegadP(Calculations!M157,Calculations!N157,Calculations!Q157,'Reaction Information'!$C$33,'Reaction Information'!$P$33*10^5,'Reaction Information'!$Q$33,$D$20,$D$19=3))*41.84)</f>
        <v>#N/A</v>
      </c>
      <c r="BS157" s="1">
        <f>Results!AW159</f>
        <v>0</v>
      </c>
      <c r="BT157" s="1">
        <f>Results!AX159</f>
        <v>0</v>
      </c>
      <c r="BU157" s="1">
        <f>Results!AY159</f>
        <v>0</v>
      </c>
      <c r="BV157" s="1">
        <f>Results!AZ159</f>
        <v>0</v>
      </c>
      <c r="BW157" s="1" t="e">
        <f>IF(OR(ISNA('Reaction Information'!$D$38), $N157 = "", $D$27 = FALSE, 'Reaction Information'!$D$38 = ""), NA(), 24.465)</f>
        <v>#N/A</v>
      </c>
      <c r="BX157" s="1" t="e">
        <f>IF(OR(ISNA('Reaction Information'!$D$42), $N157 = "", $D$27 = FALSE, 'Reaction Information'!$D$42 = ""), NA(), 24.465)</f>
        <v>#N/A</v>
      </c>
      <c r="BY157" s="8" t="e">
        <f t="shared" si="41"/>
        <v>#N/A</v>
      </c>
      <c r="BZ157" s="8">
        <f>IF(OR(ISBLANK(Input!$BK$4),$D$27=FALSE),NA(),('Reaction Information'!$J$46/10+'Reaction Information'!$K$46*100/(Calculations!$C$12+Calculations!$M157)+('Reaction Information'!$L$46+'Reaction Information'!$M$46*10000/(Calculations!$C$12+Calculations!$M157))/(Calculations!$O157-Calculations!$C$13)-calculateOmega(Calculations!M157,Calculations!N157,Calculations!Q157,'Reaction Information'!$C$46,'Reaction Information'!$P$46*10^5,'Reaction Information'!$Q$46)*Calculations!$U157*10^-6 + (1/$S157 - 1)*calculate_domegadP(Calculations!M157,Calculations!N157,Calculations!Q157,'Reaction Information'!$C$46,'Reaction Information'!$P$46*10^5,'Reaction Information'!$Q$46,$D$20,$D$19=3))*41.84)</f>
        <v>0</v>
      </c>
      <c r="CA157" s="8">
        <f>IF(OR(ISBLANK(Input!$BN$4),$D$27=FALSE),NA(),('Reaction Information'!$J$50/10+'Reaction Information'!$K$50*100/(Calculations!$C$12+Calculations!$M157)+('Reaction Information'!$L$50+'Reaction Information'!$M$50*10000/(Calculations!$C$12+Calculations!$M157))/(Calculations!$O157-Calculations!$C$13)-calculateOmega(Calculations!M157,Calculations!N157,Calculations!Q157,'Reaction Information'!$C$50,'Reaction Information'!$P$50*10^5,'Reaction Information'!$Q$50)*Calculations!$U157*10^-6 + (1/$S157 - 1)*calculate_domegadP(Calculations!M157,Calculations!N157,Calculations!Q157,'Reaction Information'!$C$50,'Reaction Information'!$P$50*10^5,'Reaction Information'!$Q$50,$D$20,$D$19=3))*41.84)</f>
        <v>31.685459461664799</v>
      </c>
      <c r="CB157" s="8" t="e">
        <f>IF(OR(ISBLANK(Input!$BQ$4),$D$27=FALSE),NA(),('Reaction Information'!$J$54/10+'Reaction Information'!$K$54*100/(Calculations!$C$12+Calculations!$M157)+('Reaction Information'!$L$54+'Reaction Information'!$M$54*10000/(Calculations!$C$12+Calculations!$M157))/(Calculations!$O157-Calculations!$C$13)-calculateOmega(Calculations!M157,Calculations!N157,Calculations!Q157,'Reaction Information'!$C$54,'Reaction Information'!$P$54*10^5,'Reaction Information'!$Q$54)*Calculations!$U157*10^-6 + (1/$S157 - 1)*calculate_domegadP(Calculations!M157,Calculations!N157,Calculations!Q157,'Reaction Information'!$C$54,'Reaction Information'!$P$54*10^5,'Reaction Information'!$Q$54,$D$20,$D$19=3))*41.84)</f>
        <v>#N/A</v>
      </c>
      <c r="CC157" s="8" t="e">
        <f>IF(OR(ISBLANK(Input!$BT$4),$D$27=FALSE),NA(),('Reaction Information'!$J$58/10+'Reaction Information'!$K$58*100/(Calculations!$C$12+Calculations!$M157)+('Reaction Information'!$L$58+'Reaction Information'!$M$58*10000/(Calculations!$C$12+Calculations!$M157))/(Calculations!$O157-Calculations!$C$13)-calculateOmega(Calculations!M157,Calculations!N157,Calculations!Q157,'Reaction Information'!$C$58,'Reaction Information'!$P$58*10^5,'Reaction Information'!$Q$58)*Calculations!$U157*10^-6 + (1/$S157 - 1)*calculate_domegadP(Calculations!M157,Calculations!N157,Calculations!Q157,'Reaction Information'!$C$58,'Reaction Information'!$P$58*10^5,'Reaction Information'!$Q$58,$D$20,$D$19=3))*41.84)</f>
        <v>#N/A</v>
      </c>
      <c r="CD157" s="8" t="e">
        <f>IF(OR(ISBLANK(Input!$BW$4),$D$27=FALSE),NA(),('Reaction Information'!$J$62/10+'Reaction Information'!$K$62*100/(Calculations!$C$12+Calculations!$M157)+('Reaction Information'!$L$62+'Reaction Information'!$M$62*10000/(Calculations!$C$12+Calculations!$M157))/(Calculations!$O157-Calculations!$C$13)-calculateOmega(Calculations!M157,Calculations!N157,Calculations!Q157,'Reaction Information'!$C$62,'Reaction Information'!$P$62*10^5,'Reaction Information'!$Q$62)*Calculations!$U157*10^-6 + (1/$S157 - 1)*calculate_domegadP(Calculations!M157,Calculations!N157,Calculations!Q157,'Reaction Information'!$C$62,'Reaction Information'!$P$62*10^5,'Reaction Information'!$Q$62,$D$20,$D$19=3))*41.84)</f>
        <v>#N/A</v>
      </c>
      <c r="CE157" s="8" t="e">
        <f>IF(OR(ISBLANK(Input!$BZ$4),$D$27=FALSE),NA(),('Reaction Information'!$J$66/10+'Reaction Information'!$K$66*100/(Calculations!$C$12+Calculations!$M157)+('Reaction Information'!$L$66+'Reaction Information'!$M$66*10000/(Calculations!$C$12+Calculations!$M157))/(Calculations!$O157-Calculations!$C$13)-calculateOmega(Calculations!M157,Calculations!N157,Calculations!Q157,'Reaction Information'!$C$66,'Reaction Information'!$P$66*10^5,'Reaction Information'!$Q$66)*Calculations!$U157*10^-6 + (1/$S157 - 1)*calculate_domegadP(Calculations!M157,Calculations!N157,Calculations!Q157,'Reaction Information'!$C$66,'Reaction Information'!$P$66*10^5,'Reaction Information'!$Q$66,$D$20,$D$19=3))*41.84)</f>
        <v>#N/A</v>
      </c>
      <c r="CF157" s="31">
        <f>(BS157*Input!$AO$4+BT157*Input!$AR$4+BU157*Input!$AU$4+BV157*Input!$AX$4+IF(ISNA(BW157),0,BW157*Input!$BA$4)+IF(ISNA(BX157),0,BX157*Input!$BD$4)+IF(ISNA(BY157),0,BY157*Input!$BG$4)+IF(ISNA(BZ157),0,BZ157*Input!$BJ$4)+IF(ISNA(CA157),0,CA157*Input!$BM$4)+IF(ISNA(CB157),0,CB157*Input!$BP$4)+IF(ISNA(CC157),0,CC157*Input!$BS$4)+IF(ISNA(CD157),0,CD157*Input!$BV$4)+IF(ISNA(CE157),0,CE157*Input!$BY$4))-(BF157*Input!$B$4+BG157*Input!$E$4+BH157*Input!$H$4+BI157*Input!$K$4+IF(ISNA(BJ157),0,BJ157*Input!$N$4)+IF(ISNA(BK157),0,BK157*Input!$Q$4)+IF(ISNA(BL157),0,BL157*Input!$T$4)+IF(ISNA(BM157),0,BM157*Input!$W$4)+IF(ISNA(BN157),0,BN157*Input!$Z$4)+IF(ISNA(BO157),0,BO157*Input!$AC$4)+IF(ISNA(BP157),0,BP157*Input!$AF$4)+IF(ISNA(BQ157),0,BQ157*Input!$AI$4)+IF(ISNA(BR157),0,BR157*Input!$AL$4))</f>
        <v>-10.241102449644337</v>
      </c>
      <c r="CG157" s="1">
        <f t="shared" si="50"/>
        <v>350</v>
      </c>
      <c r="CH157" s="46">
        <f t="shared" si="51"/>
        <v>55000</v>
      </c>
      <c r="CI157" s="1"/>
    </row>
    <row r="158" spans="1:87" x14ac:dyDescent="0.2">
      <c r="A158" s="1"/>
      <c r="B158" s="1"/>
      <c r="C158" s="1"/>
      <c r="D158" s="1"/>
      <c r="E158" s="1"/>
      <c r="F158" s="2">
        <v>153</v>
      </c>
      <c r="G158" s="1" t="str">
        <f>IF(ISBLANK(Input!CB158), "", Input!CB158*1000)</f>
        <v/>
      </c>
      <c r="H158" s="1" t="str">
        <f>IF(ISBLANK(Input!CC158), "", Input!CC158)</f>
        <v/>
      </c>
      <c r="I158" s="1">
        <f>IF(Input!$CF$5 + Input!$CF$6*(FLOOR((Calculations!$F158-1)/(FLOOR((Input!$CF$12-Input!$CF$10)/Input!$CF$11,1)+1),1)) &gt; Input!$CF$7, "", (Input!$CF$5 + Input!$CF$6*(FLOOR((Calculations!$F158-1)/(FLOOR((Input!$CF$12-Input!$CF$10)/Input!$CF$11,1)+1),1)))*1000)</f>
        <v>55000</v>
      </c>
      <c r="J158" s="1">
        <f>IF(Calculations!I158 = "", "", Input!$CF$10 + Input!$CF$11*(Calculations!$F158-1) - (FLOOR((Input!$CF$12-Input!$CF$10)/Input!$CF$11,1)+1)*Input!$CF$11*FLOOR((Calculations!$F158-1)/(FLOOR((Input!$CF$12-Input!$CF$10)/Input!$CF$11,1)+1),1))</f>
        <v>400</v>
      </c>
      <c r="K158" s="8" t="str">
        <f t="shared" si="52"/>
        <v/>
      </c>
      <c r="L158" s="117" t="str">
        <f>IF(OR(Input!$CJ$5 + Input!$CJ$6*(Calculations!F158-1) &gt; Input!$CJ$7, Input!$CJ$5 + Input!$CJ$6*(Calculations!F158-1) &gt; 350), "", Input!$CJ$5 + Input!$CJ$6*(Calculations!F158-1))</f>
        <v/>
      </c>
      <c r="M158" s="1">
        <f t="shared" si="42"/>
        <v>55000</v>
      </c>
      <c r="N158" s="1">
        <f t="shared" si="43"/>
        <v>400</v>
      </c>
      <c r="O158" s="1">
        <f t="shared" si="38"/>
        <v>673.15</v>
      </c>
      <c r="P158" s="1" t="e">
        <f>IF(OR($D$20=3,AND($D$21=TRUE,M158&lt;1000)),INDEX('Water Density'!$C$6:$CX$120,MATCH(Calculations!N158,'Water Density'!$B$6:$B$120),MATCH(Calculations!M158/1000,'Water Density'!$C$5:$CX$5)),NA())</f>
        <v>#N/A</v>
      </c>
      <c r="Q158" s="182">
        <f>IF(OR($D$20=3,AND($D$21=TRUE,M158&lt;1000)), IF(P158&lt;&gt;0,P158,NA()), calculateDensity(M158,N158,$D$20,0.01,$D$19 = 3))</f>
        <v>1.4717024718615415</v>
      </c>
      <c r="R158" s="1" t="e">
        <f>IF($D$22=5,INDEX('Dielectric Constant'!$C$6:$CX$120,MATCH(Calculations!N158,'Dielectric Constant'!$B$6:$B$120),MATCH(Calculations!M158/1000,'Dielectric Constant'!$C$5:$CX$5)),NA())</f>
        <v>#N/A</v>
      </c>
      <c r="S158" s="58">
        <f>IF($D$22=5, IF(R158&lt;&gt;0,R158,NA()), IF(AND($D$23,M158&lt;=5000,$D$19 &lt;&gt; 3),calculateEpsilon(Q158,N158,1,FALSE),calculateEpsilon(Q158,N158,$D$22,$D$19 = 3)))</f>
        <v>50.196747541556284</v>
      </c>
      <c r="T158" s="1" t="e">
        <f>IF($D$24=3,INDEX('Water Free Energy'!$C$6:$CX$120,MATCH(Calculations!N158,'Water Free Energy'!$B$6:$B$120),MATCH(Calculations!M158/1000,'Water Free Energy'!$C$5:$CX$5)),NA())</f>
        <v>#N/A</v>
      </c>
      <c r="U158" s="179">
        <f>IF($D$27,calculateQ(M158,N158,Q158,$D$20,$D$22,$D$19=3)*10^6,NA())</f>
        <v>8.2410965014431431E-2</v>
      </c>
      <c r="V158"/>
      <c r="W158" s="2">
        <f t="shared" si="44"/>
        <v>55000</v>
      </c>
      <c r="X158" s="1">
        <f t="shared" si="45"/>
        <v>400</v>
      </c>
      <c r="Y158" s="1">
        <f>Results!F160</f>
        <v>0</v>
      </c>
      <c r="Z158" s="1">
        <f>Results!G160</f>
        <v>0</v>
      </c>
      <c r="AA158" s="1">
        <f>Results!H160</f>
        <v>0</v>
      </c>
      <c r="AB158" s="1">
        <f>Results!I160</f>
        <v>0</v>
      </c>
      <c r="AC158" s="1" t="e">
        <f>IF(ISBLANK(Input!$O$4),NA(),'Reaction Information'!$E$5-'Reaction Information'!$G$5*(Calculations!$O158-Calculations!$C$8)+'Reaction Information'!$I$5*(Calculations!$O158-Calculations!$C$8-Calculations!$O158*LN(Calculations!$O158/Calculations!$C$8))+'Reaction Information'!$J$5*0.001/2*(2*Calculations!$O158*Calculations!$C$8-Calculations!$O158^2-Calculations!$C$8^2) + 'Reaction Information'!$K$5*100000*(Calculations!$O158^2 + Calculations!$C$8^2 - 2*Calculations!$O158*Calculations!$C$8)/(2*Calculations!$O158*Calculations!$C$8^2))</f>
        <v>#N/A</v>
      </c>
      <c r="AD158" s="8" t="e">
        <f>IF(ISBLANK(Input!$R$4),NA(),'Reaction Information'!$E$9-'Reaction Information'!$G$9*(Calculations!$O158-Calculations!$C$8)+'Reaction Information'!$I$9*(Calculations!$O158-Calculations!$C$8-Calculations!$O158*LN(Calculations!$O158/Calculations!$C$8))+'Reaction Information'!$J$9*0.001/2*(2*Calculations!$O158*Calculations!$C$8-Calculations!$O158^2-Calculations!$C$8^2) + 'Reaction Information'!$K$9*100000*(Calculations!$O158^2 + Calculations!$C$8^2 - 2*Calculations!$O158*Calculations!$C$8)/(2*Calculations!$O158*Calculations!$C$8^2))</f>
        <v>#N/A</v>
      </c>
      <c r="AE158" s="8">
        <f>IF(AE$5="H2O",IF($D$24=3,IF(T158=0,NA(),T158),calculateGibbsOfWater(M158,N158,$D$24,$D$20,$D$19=3)),NA())</f>
        <v>-46290.462329826594</v>
      </c>
      <c r="AF158" s="8">
        <f>IF(ISBLANK(Input!$X$4),NA(),'Reaction Information'!$E$13-'Reaction Information'!$G$13*(Calculations!O158-Calculations!$C$8)-'Reaction Information'!$N$13*(Calculations!O158*LN(Calculations!O158/Calculations!$C$8)-Calculations!O158+Calculations!$C$8)-'Reaction Information'!$O$13*10^4*(((1/(Calculations!O158-Calculations!$C$13))-(1/(Calculations!$C$8-Calculations!$C$13)))*((Calculations!$C$13-Calculations!O158)/(Calculations!$C$13))-(Calculations!O158/(Calculations!$C$13*Calculations!$C$13))*LN((Calculations!$C$8*(Calculations!O158-Calculations!$C$13))/(Calculations!O158*(Calculations!$C$8-Calculations!$C$13))))+'Reaction Information'!$J$13*10^-1*(Calculations!M158-Calculations!$C$9)+'Reaction Information'!$K$13*10^2*LN((Calculations!$C$12+Calculations!M158)/(Calculations!$C$12+Calculations!$C$9))+(1/(Calculations!O158-Calculations!$C$13))*('Reaction Information'!$L$13*(Calculations!M158-Calculations!$C$9)+'Reaction Information'!$M$13*10^4*LN((Calculations!$C$12+Calculations!M158)/(Calculations!$C$12+Calculations!$C$9)))+calculateOmega(Calculations!M158,Calculations!N158,Calculations!Q158,'Reaction Information'!$C$13,'Reaction Information'!$P$13*10^5,'Reaction Information'!$Q$13)*((1/Calculations!S158)-1)-'Reaction Information'!$P$13*10^5*((1/Calculations!$C$10)-1)+'Reaction Information'!$P$13*10^5*Calculations!$C$14*(Calculations!O158-Calculations!$C$8))</f>
        <v>-66830.588209935071</v>
      </c>
      <c r="AG158" s="8" t="e">
        <f>IF(ISBLANK(Input!$AA$4),NA(),'Reaction Information'!$E$17-'Reaction Information'!$G$17*(Calculations!$O158-Calculations!$C$8)-'Reaction Information'!$N$17*(Calculations!$O158*LN(Calculations!$O158/Calculations!$C$8)-Calculations!$O158+Calculations!$C$8)-'Reaction Information'!$O$17*10^4*(((1/(Calculations!$O158-Calculations!$C$13))-(1/(Calculations!$C$8-Calculations!$C$13)))*((Calculations!$C$13-Calculations!$O158)/(Calculations!$C$13))-(Calculations!$O158/(Calculations!$C$13*Calculations!$C$13))*LN((Calculations!$C$8*(Calculations!$O158-Calculations!$C$13))/(Calculations!$O158*(Calculations!$C$8-Calculations!$C$13))))+'Reaction Information'!$J$17*10^-1*(Calculations!$M158-Calculations!$C$9)+'Reaction Information'!$K$17*10^2*LN((Calculations!$C$12+Calculations!$M158)/(Calculations!$C$12+Calculations!$C$9))+(1/(Calculations!$O158-Calculations!$C$13))*('Reaction Information'!$L$17*(Calculations!$M158-Calculations!$C$9)+'Reaction Information'!$M$17*10^4*LN((Calculations!$C$12+Calculations!$M158)/(Calculations!$C$12+Calculations!$C$9)))+calculateOmega(Calculations!M158,Calculations!N158,Calculations!Q158,'Reaction Information'!$C$17,'Reaction Information'!$P$17*10^5,'Reaction Information'!$Q$17)*((1/Calculations!$S158)-1)-'Reaction Information'!$P$17*10^5*((1/Calculations!$C$10)-1)+'Reaction Information'!$P$17*10^5*Calculations!$C$14*(Calculations!$O158-Calculations!$C$8))</f>
        <v>#N/A</v>
      </c>
      <c r="AH158" s="8" t="e">
        <f>IF(ISBLANK(Input!$AD$4),NA(),'Reaction Information'!$E$21-'Reaction Information'!$G$21*(Calculations!$O158-Calculations!$C$8)-'Reaction Information'!$N$21*(Calculations!$O158*LN(Calculations!$O158/Calculations!$C$8)-Calculations!$O158+Calculations!$C$8)-'Reaction Information'!$O$21*10^4*(((1/(Calculations!$O158-Calculations!$C$13))-(1/(Calculations!$C$8-Calculations!$C$13)))*((Calculations!$C$13-Calculations!$O158)/(Calculations!$C$13))-(Calculations!$O158/(Calculations!$C$13*Calculations!$C$13))*LN((Calculations!$C$8*(Calculations!$O158-Calculations!$C$13))/(Calculations!$O158*(Calculations!$C$8-Calculations!$C$13))))+'Reaction Information'!$J$21*10^-1*(Calculations!$M158-Calculations!$C$9)+'Reaction Information'!$K$21*10^2*LN((Calculations!$C$12+Calculations!$M158)/(Calculations!$C$12+Calculations!$C$9))+(1/(Calculations!$O158-Calculations!$C$13))*('Reaction Information'!$L$21*(Calculations!$M158-Calculations!$C$9)+'Reaction Information'!$M$21*10^4*LN((Calculations!$C$12+Calculations!$M158)/(Calculations!$C$12+Calculations!$C$9)))+calculateOmega(Calculations!M158,Calculations!N158,Calculations!Q158,'Reaction Information'!$C$21,'Reaction Information'!$P$21*10^5,'Reaction Information'!$Q$21)*((1/Calculations!$S158)-1)-'Reaction Information'!$P$21*10^5*((1/Calculations!$C$10)-1)+'Reaction Information'!$P$21*10^5*Calculations!$C$14*(Calculations!$O158-Calculations!$C$8))</f>
        <v>#N/A</v>
      </c>
      <c r="AI158" s="8" t="e">
        <f>IF(ISBLANK(Input!$AG$4),NA(),'Reaction Information'!$E$25-'Reaction Information'!$G$25*(Calculations!$O158-Calculations!$C$8)-'Reaction Information'!$N$25*(Calculations!$O158*LN(Calculations!$O158/Calculations!$C$8)-Calculations!$O158+Calculations!$C$8)-'Reaction Information'!$O$25*10^4*(((1/(Calculations!$O158-Calculations!$C$13))-(1/(Calculations!$C$8-Calculations!$C$13)))*((Calculations!$C$13-Calculations!$O158)/(Calculations!$C$13))-(Calculations!$O158/(Calculations!$C$13*Calculations!$C$13))*LN((Calculations!$C$8*(Calculations!$O158-Calculations!$C$13))/(Calculations!$O158*(Calculations!$C$8-Calculations!$C$13))))+'Reaction Information'!$J$25*10^-1*(Calculations!$M158-Calculations!$C$9)+'Reaction Information'!$K$25*10^2*LN((Calculations!$C$12+Calculations!$M158)/(Calculations!$C$12+Calculations!$C$9))+(1/(Calculations!$O158-Calculations!$C$13))*('Reaction Information'!$L$25*(Calculations!$M158-Calculations!$C$9)+'Reaction Information'!$M$25*10^4*LN((Calculations!$C$12+Calculations!$M158)/(Calculations!$C$12+Calculations!$C$9)))+calculateOmega(Calculations!M158,Calculations!N158,Calculations!Q158,'Reaction Information'!$C$25,'Reaction Information'!$P$25*10^5,'Reaction Information'!$Q$25)*((1/Calculations!$S158)-1)-'Reaction Information'!$P$25*10^5*((1/Calculations!$C$10)-1)+'Reaction Information'!$P$25*10^5*Calculations!$C$14*(Calculations!$O158-Calculations!$C$8))</f>
        <v>#N/A</v>
      </c>
      <c r="AJ158" s="8" t="e">
        <f>IF(ISBLANK(Input!$AJ$4),NA(),'Reaction Information'!$E$29-'Reaction Information'!$G$29*(Calculations!$O158-Calculations!$C$8)-'Reaction Information'!$N$29*(Calculations!$O158*LN(Calculations!$O158/Calculations!$C$8)-Calculations!$O158+Calculations!$C$8)-'Reaction Information'!$O$29*10^4*(((1/(Calculations!$O158-Calculations!$C$13))-(1/(Calculations!$C$8-Calculations!$C$13)))*((Calculations!$C$13-Calculations!$O158)/(Calculations!$C$13))-(Calculations!$O158/(Calculations!$C$13*Calculations!$C$13))*LN((Calculations!$C$8*(Calculations!$O158-Calculations!$C$13))/(Calculations!$O158*(Calculations!$C$8-Calculations!$C$13))))+'Reaction Information'!$J$29*10^-1*(Calculations!$M158-Calculations!$C$9)+'Reaction Information'!$K$29*10^2*LN((Calculations!$C$12+Calculations!$M158)/(Calculations!$C$12+Calculations!$C$9))+(1/(Calculations!$O158-Calculations!$C$13))*('Reaction Information'!$L$29*(Calculations!$M158-Calculations!$C$9)+'Reaction Information'!$M$29*10^4*LN((Calculations!$C$12+Calculations!$M158)/(Calculations!$C$12+Calculations!$C$9)))+calculateOmega(Calculations!M158,Calculations!N158,Calculations!Q158,'Reaction Information'!$C$29,'Reaction Information'!$P$29*10^5,'Reaction Information'!$Q$29)*((1/Calculations!$S158)-1)-'Reaction Information'!$P$29*10^5*((1/Calculations!$C$10)-1)+'Reaction Information'!$P$29*10^5*Calculations!$C$14*(Calculations!$O158-Calculations!$C$8))</f>
        <v>#N/A</v>
      </c>
      <c r="AK158" s="8" t="e">
        <f>IF(ISBLANK(Input!$AM$4),NA(),'Reaction Information'!$E$33-'Reaction Information'!$G$33*(Calculations!$O158-Calculations!$C$8)-'Reaction Information'!$N$33*(Calculations!$O158*LN(Calculations!$O158/Calculations!$C$8)-Calculations!$O158+Calculations!$C$8)-'Reaction Information'!$O$33*10^4*(((1/(Calculations!$O158-Calculations!$C$13))-(1/(Calculations!$C$8-Calculations!$C$13)))*((Calculations!$C$13-Calculations!$O158)/(Calculations!$C$13))-(Calculations!$O158/(Calculations!$C$13*Calculations!$C$13))*LN((Calculations!$C$8*(Calculations!$O158-Calculations!$C$13))/(Calculations!$O158*(Calculations!$C$8-Calculations!$C$13))))+'Reaction Information'!$J$33*10^-1*(Calculations!$M158-Calculations!$C$9)+'Reaction Information'!$K$33*10^2*LN((Calculations!$C$12+Calculations!$M158)/(Calculations!$C$12+Calculations!$C$9))+(1/(Calculations!$O158-Calculations!$C$13))*('Reaction Information'!$L$33*(Calculations!$M158-Calculations!$C$9)+'Reaction Information'!$M$33*10^4*LN((Calculations!$C$12+Calculations!$M158)/(Calculations!$C$12+Calculations!$C$9)))+calculateOmega(Calculations!M158,Calculations!N158,Calculations!Q158,'Reaction Information'!$C$33,'Reaction Information'!$P$33*10^5,'Reaction Information'!$Q$33)*((1/Calculations!$S158)-1)-'Reaction Information'!$P$33*10^5*((1/Calculations!$C$10)-1)+'Reaction Information'!$P$33*10^5*Calculations!$C$14*(Calculations!$O158-Calculations!$C$8))</f>
        <v>#N/A</v>
      </c>
      <c r="AL158" s="1">
        <f>Results!S160</f>
        <v>0</v>
      </c>
      <c r="AM158" s="1">
        <f>Results!T160</f>
        <v>0</v>
      </c>
      <c r="AN158" s="1">
        <f>Results!U160</f>
        <v>0</v>
      </c>
      <c r="AO158" s="1">
        <f>Results!V160</f>
        <v>0</v>
      </c>
      <c r="AP158" s="8" t="e">
        <f>IF(ISBLANK(Input!$BB$4),NA(),'Reaction Information'!$E$38-'Reaction Information'!$G$38*(Calculations!$O158-Calculations!$C$8)+'Reaction Information'!$I$38*(Calculations!$O158-Calculations!$C$8-Calculations!$O158*LN(Calculations!$O158/Calculations!$C$8))+'Reaction Information'!$J$38*0.001/2*(2*Calculations!$O158*Calculations!$C$8-Calculations!$O158^2-Calculations!$C$8^2) + 'Reaction Information'!$K$38*100000*(Calculations!$O158^2 + Calculations!$C$8^2 - 2*Calculations!$O158*Calculations!$C$8)/(2*Calculations!$O158*Calculations!$C$8^2))</f>
        <v>#N/A</v>
      </c>
      <c r="AQ158" s="8" t="e">
        <f>IF(ISBLANK(Input!$BE$4),NA(),'Reaction Information'!$E$42-'Reaction Information'!$G$42*(Calculations!$O158-Calculations!$C$8)+'Reaction Information'!$I$42*(Calculations!$O158-Calculations!$C$8-Calculations!$O158*LN(Calculations!$O158/Calculations!$C$8))+'Reaction Information'!$J$42*0.001/2*(2*Calculations!$O158*Calculations!$C$8-Calculations!$O158^2-Calculations!$C$8^2) + 'Reaction Information'!$K$42*100000*(Calculations!$O158^2 + Calculations!$C$8^2 - 2*Calculations!$O158*Calculations!$C$8)/(2*Calculations!$O158*Calculations!$C$8^2))</f>
        <v>#N/A</v>
      </c>
      <c r="AR158" s="8" t="e">
        <f>IF(AR$5="H2O", IF($D$24=3,IF(T158=0,NA(),T158),calculateGibbsOfWater(M158,N158,$D$24,$D$20,$D$19=3)),NA())</f>
        <v>#N/A</v>
      </c>
      <c r="AS158" s="8">
        <f>IF(ISBLANK(Input!$BK$4),NA(),'Reaction Information'!$E$46-'Reaction Information'!$G$46*(Calculations!O158-Calculations!$C$8)-'Reaction Information'!$N$46*(Calculations!O158*LN(Calculations!O158/Calculations!$C$8)-Calculations!O158+Calculations!$C$8)-'Reaction Information'!$O$46*10^4*(((1/(Calculations!O158-Calculations!$C$13))-(1/(Calculations!$C$8-Calculations!$C$13)))*((Calculations!$C$13-Calculations!O158)/(Calculations!$C$13))-(Calculations!O158/(Calculations!$C$13*Calculations!$C$13))*LN((Calculations!$C$8*(Calculations!O158-Calculations!$C$13))/(Calculations!O158*(Calculations!$C$8-Calculations!$C$13))))+'Reaction Information'!$J$46*10^-1*(Calculations!$M158-Calculations!$C$9)+'Reaction Information'!$K$46*10^2*LN((Calculations!$C$12+Calculations!$M158)/(Calculations!$C$12+Calculations!$C$9))+(1/(Calculations!O158-Calculations!$C$13))*('Reaction Information'!$L$46*(Calculations!$M158-Calculations!$C$9)+'Reaction Information'!$M$46*10^4*LN((Calculations!$C$12+Calculations!$M158)/(Calculations!$C$12+Calculations!$C$9)))+calculateOmega(Calculations!M158,Calculations!N158,Calculations!Q158,'Reaction Information'!$C$46,'Reaction Information'!$P$46*10^5,'Reaction Information'!$Q$46)*((1/Calculations!S158)-1)-'Reaction Information'!$P$46*10^5*((1/Calculations!$C$10)-1)+'Reaction Information'!$P$46*10^5*Calculations!$C$14*(Calculations!O158-Calculations!$C$8))</f>
        <v>0</v>
      </c>
      <c r="AT158" s="8">
        <f>IF(ISBLANK(Input!$BN$4),NA(),'Reaction Information'!$E$50-'Reaction Information'!$G$50*(Calculations!O158-Calculations!$C$8)-'Reaction Information'!$N$50*(Calculations!O158*LN(Calculations!O158/Calculations!$C$8)-Calculations!O158+Calculations!$C$8)-'Reaction Information'!$O$50*10^4*(((1/(Calculations!O158-Calculations!$C$13))-(1/(Calculations!$C$8-Calculations!$C$13)))*((Calculations!$C$13-Calculations!O158)/(Calculations!$C$13))-(Calculations!O158/(Calculations!$C$13*Calculations!$C$13))*LN((Calculations!$C$8*(Calculations!O158-Calculations!$C$13))/(Calculations!O158*(Calculations!$C$8-Calculations!$C$13))))+'Reaction Information'!$J$50*10^-1*(Calculations!$M158-Calculations!$C$9)+'Reaction Information'!$K$50*10^2*LN((Calculations!$C$12+Calculations!$M158)/(Calculations!$C$12+Calculations!$C$9))+(1/(Calculations!O158-Calculations!$C$13))*('Reaction Information'!$L$50*(Calculations!$M158-Calculations!$C$9)+'Reaction Information'!$M$50*10^4*LN((Calculations!$C$12+Calculations!$M158)/(Calculations!$C$12+Calculations!$C$9)))+calculateOmega(Calculations!M158,Calculations!N158,Calculations!Q158,'Reaction Information'!$C$50,'Reaction Information'!$P$50*10^5,'Reaction Information'!$Q$50)*((1/Calculations!S158)-1)-'Reaction Information'!$P$50*10^5*((1/Calculations!$C$10)-1)+'Reaction Information'!$P$50*10^5*Calculations!$C$14*(Calculations!O158-Calculations!$C$8))</f>
        <v>-110246.15151594591</v>
      </c>
      <c r="AU158" s="8" t="e">
        <f>IF(ISBLANK(Input!$BQ$4),NA(),'Reaction Information'!$E$54-'Reaction Information'!$G$54*(Calculations!$O158-Calculations!$C$8)-'Reaction Information'!$N$54*(Calculations!$O158*LN(Calculations!$O158/Calculations!$C$8)-Calculations!$O158+Calculations!$C$8)-'Reaction Information'!$O$54*10^4*(((1/(Calculations!$O158-Calculations!$C$13))-(1/(Calculations!$C$8-Calculations!$C$13)))*((Calculations!$C$13-Calculations!$O158)/(Calculations!$C$13))-(Calculations!$O158/(Calculations!$C$13*Calculations!$C$13))*LN((Calculations!$C$8*(Calculations!$O158-Calculations!$C$13))/(Calculations!$O158*(Calculations!$C$8-Calculations!$C$13))))+'Reaction Information'!$J$54*10^-1*(Calculations!$M158-Calculations!$C$9)+'Reaction Information'!$K$54*10^2*LN((Calculations!$C$12+Calculations!$M158)/(Calculations!$C$12+Calculations!$C$9))+(1/(Calculations!$O158-Calculations!$C$13))*('Reaction Information'!$L$54*(Calculations!$M158-Calculations!$C$9)+'Reaction Information'!$M$54*10^4*LN((Calculations!$C$12+Calculations!$M158)/(Calculations!$C$12+Calculations!$C$9)))+calculateOmega(Calculations!M158,Calculations!N158,Calculations!Q158,'Reaction Information'!$C$54,'Reaction Information'!$P$54*10^5,'Reaction Information'!$Q$54)*((1/Calculations!$S158)-1)-'Reaction Information'!$P$54*10^5*((1/Calculations!$C$10)-1)+'Reaction Information'!$P$54*10^5*Calculations!$C$14*(Calculations!$O158-Calculations!$C$8))</f>
        <v>#N/A</v>
      </c>
      <c r="AV158" s="8" t="e">
        <f>IF(ISBLANK(Input!$BT$4),NA(),'Reaction Information'!$E$58-'Reaction Information'!$G$58*(Calculations!$O158-Calculations!$C$8)-'Reaction Information'!$N$58*(Calculations!$O158*LN(Calculations!$O158/Calculations!$C$8)-Calculations!$O158+Calculations!$C$8)-'Reaction Information'!$O$58*10^4*(((1/(Calculations!$O158-Calculations!$C$13))-(1/(Calculations!$C$8-Calculations!$C$13)))*((Calculations!$C$13-Calculations!$O158)/(Calculations!$C$13))-(Calculations!$O158/(Calculations!$C$13*Calculations!$C$13))*LN((Calculations!$C$8*(Calculations!$O158-Calculations!$C$13))/(Calculations!$O158*(Calculations!$C$8-Calculations!$C$13))))+'Reaction Information'!$J$58*10^-1*(Calculations!$M158-Calculations!$C$9)+'Reaction Information'!$K$58*10^2*LN((Calculations!$C$12+Calculations!$M158)/(Calculations!$C$12+Calculations!$C$9))+(1/(Calculations!$O158-Calculations!$C$13))*('Reaction Information'!$L$58*(Calculations!$M158-Calculations!$C$9)+'Reaction Information'!$M$58*10^4*LN((Calculations!$C$12+Calculations!$M158)/(Calculations!$C$12+Calculations!$C$9)))+calculateOmega(Calculations!M158,Calculations!N158,Calculations!Q158,'Reaction Information'!$C$58,'Reaction Information'!$P$58*10^5,'Reaction Information'!$Q$58)*((1/Calculations!$S158)-1)-'Reaction Information'!$P$58*10^5*((1/Calculations!$C$10)-1)+'Reaction Information'!$P$58*10^5*Calculations!$C$14*(Calculations!$O158-Calculations!$C$8))</f>
        <v>#N/A</v>
      </c>
      <c r="AW158" s="8" t="e">
        <f>IF(ISBLANK(Input!$BW$4),NA(),'Reaction Information'!$E$62-'Reaction Information'!$G$62*(Calculations!$O158-Calculations!$C$8)-'Reaction Information'!$N$62*(Calculations!$O158*LN(Calculations!$O158/Calculations!$C$8)-Calculations!$O158+Calculations!$C$8)-'Reaction Information'!$O$62*10^4*(((1/(Calculations!$O158-Calculations!$C$13))-(1/(Calculations!$C$8-Calculations!$C$13)))*((Calculations!$C$13-Calculations!$O158)/(Calculations!$C$13))-(Calculations!$O158/(Calculations!$C$13*Calculations!$C$13))*LN((Calculations!$C$8*(Calculations!$O158-Calculations!$C$13))/(Calculations!$O158*(Calculations!$C$8-Calculations!$C$13))))+'Reaction Information'!$J$62*10^-1*(Calculations!$M158-Calculations!$C$9)+'Reaction Information'!$K$62*10^2*LN((Calculations!$C$12+Calculations!$M158)/(Calculations!$C$12+Calculations!$C$9))+(1/(Calculations!$O158-Calculations!$C$13))*('Reaction Information'!$L$62*(Calculations!$M158-Calculations!$C$9)+'Reaction Information'!$M$62*10^4*LN((Calculations!$C$12+Calculations!$M158)/(Calculations!$C$12+Calculations!$C$9)))+calculateOmega(Calculations!M158,Calculations!N158,Calculations!Q158,'Reaction Information'!$C$62,'Reaction Information'!$P$62*10^5,'Reaction Information'!$Q$62)*((1/Calculations!$S158)-1)-'Reaction Information'!$P$62*10^5*((1/Calculations!$C$10)-1)+'Reaction Information'!$P$62*10^5*Calculations!$C$14*(Calculations!$O158-Calculations!$C$8))</f>
        <v>#N/A</v>
      </c>
      <c r="AX158" s="8" t="e">
        <f>IF(ISBLANK(Input!$BZ$4),NA(),'Reaction Information'!$E$66-'Reaction Information'!$G$66*(Calculations!$O158-Calculations!$C$8)-'Reaction Information'!$N$66*(Calculations!$O158*LN(Calculations!$O158/Calculations!$C$8)-Calculations!$O158+Calculations!$C$8)-'Reaction Information'!$O$66*10^4*(((1/(Calculations!$O158-Calculations!$C$13))-(1/(Calculations!$C$8-Calculations!$C$13)))*((Calculations!$C$13-Calculations!$O158)/(Calculations!$C$13))-(Calculations!$O158/(Calculations!$C$13*Calculations!$C$13))*LN((Calculations!$C$8*(Calculations!$O158-Calculations!$C$13))/(Calculations!$O158*(Calculations!$C$8-Calculations!$C$13))))+'Reaction Information'!$J$66*10^-1*(Calculations!$M158-Calculations!$C$9)+'Reaction Information'!$K$66*10^2*LN((Calculations!$C$12+Calculations!$M158)/(Calculations!$C$12+Calculations!$C$9))+(1/(Calculations!$O158-Calculations!$C$13))*('Reaction Information'!$L$66*(Calculations!$M158-Calculations!$C$9)+'Reaction Information'!$M$66*10^4*LN((Calculations!$C$12+Calculations!$M158)/(Calculations!$C$12+Calculations!$C$9)))+calculateOmega(Calculations!M158,Calculations!N158,Calculations!Q158,'Reaction Information'!$C$66,'Reaction Information'!$P$66*10^5,'Reaction Information'!$Q$66)*((1/Calculations!$S158)-1)-'Reaction Information'!$P$66*10^5*((1/Calculations!$C$10)-1)+'Reaction Information'!$P$66*10^5*Calculations!$C$14*(Calculations!$O158-Calculations!$C$8))</f>
        <v>#N/A</v>
      </c>
      <c r="AY158" s="31">
        <f>(AL158*Input!$AO$4+AM158*Input!$AR$4+AN158*Input!$AU$4+AO158*Input!$AX$4+IF(ISNA(AP158),0,AP158*Input!$BA$4)+IF(ISNA(AQ158),0,AQ158*Input!$BD$4)+IF(ISNA(AR158),0,AR158*Input!$BG$4)+IF(ISNA(AS158),0,AS158*Input!$BJ$4)+IF(ISNA(AT158),0,AT158*Input!$BM$4)+IF(ISNA(AU158),0,AU158*Input!$BP$4)+IF(ISNA(AV158),0,AV158*Input!$BS$4)+IF(ISNA(AW158),0,AW158*Input!$BV$4)+IF(ISNA(AX158),0,AX158*Input!$BY$4))-(Y158*Input!$B$4+Z158*Input!$E$4+AA158*Input!$H$4+AB158*Input!$K$4+IF(ISNA(AC158),0,AC158*Input!$N$4)+IF(ISNA(AD158),0,AD158*Input!$Q$4)+IF(ISNA(AE158),0,AE158*Input!$T$4)+IF(ISNA(AF158),0,AF158*Input!$W$4)+IF(ISNA(AG158),0,AG158*Input!$Z$4)+IF(ISNA(AH158),0,AH158*Input!$AC$4)+IF(ISNA(AI158),0,AI158*Input!$AF$4)+IF(ISNA(AJ158),0,AJ158*Input!$AI$4)+IF(ISNA(AK158),0,AK158*Input!$AL$4))</f>
        <v>2874.8990238157567</v>
      </c>
      <c r="AZ158" s="42">
        <f t="shared" si="39"/>
        <v>-0.93399084402637789</v>
      </c>
      <c r="BA158" s="1">
        <f t="shared" si="46"/>
        <v>400</v>
      </c>
      <c r="BB158" s="46">
        <f t="shared" si="47"/>
        <v>55000</v>
      </c>
      <c r="BC158" s="1"/>
      <c r="BD158" s="2">
        <f t="shared" si="48"/>
        <v>55000</v>
      </c>
      <c r="BE158" s="46">
        <f t="shared" si="49"/>
        <v>400</v>
      </c>
      <c r="BF158" s="1">
        <f>Results!AJ160</f>
        <v>0</v>
      </c>
      <c r="BG158" s="1">
        <f>Results!AK160</f>
        <v>0</v>
      </c>
      <c r="BH158" s="1">
        <f>Results!AL160</f>
        <v>0</v>
      </c>
      <c r="BI158" s="1">
        <f>Results!AM160</f>
        <v>0</v>
      </c>
      <c r="BJ158" s="1" t="e">
        <f>IF(OR(ISNA('Reaction Information'!$D$5), $N158 = "", $D$27 = FALSE, 'Reaction Information'!$D$5 = ""), NA(), 24.465)</f>
        <v>#N/A</v>
      </c>
      <c r="BK158" s="1" t="e">
        <f>IF(OR(ISNA('Reaction Information'!$D$9), $N158 = "", $D$27 = FALSE, 'Reaction Information'!$D$9 = ""), NA(), 24.465)</f>
        <v>#N/A</v>
      </c>
      <c r="BL158" s="8">
        <f t="shared" si="40"/>
        <v>12.241115540977965</v>
      </c>
      <c r="BM158" s="8">
        <f>IF(OR(ISBLANK(Input!$X$4),$D$27=FALSE),NA(),('Reaction Information'!$J$13/10+'Reaction Information'!$K$13*100/(Calculations!$C$12+Calculations!$M158)+('Reaction Information'!$L$13+'Reaction Information'!$M$13*10^4/(Calculations!$C$12+Calculations!$M158))/(Calculations!$O158-Calculations!$C$13) -calculateOmega(Calculations!$M158,Calculations!$N158,Calculations!$Q158,'Reaction Information'!$C$13,'Reaction Information'!$P$13*10^5,'Reaction Information'!$Q$13)*Calculations!$U158*10^-6 + (1/$S158 - 1)*calculate_domegadP(Calculations!$M158,Calculations!$N158,Calculations!$Q158,'Reaction Information'!$C$13,'Reaction Information'!$P$13*10^5,'Reaction Information'!$Q$13,$D$20,$D$19=3))*41.84)</f>
        <v>29.802264898545275</v>
      </c>
      <c r="BN158" s="8" t="e">
        <f>IF(OR(ISBLANK(Input!$AA$4),$D$27=FALSE),NA(),('Reaction Information'!$J$17/10+'Reaction Information'!$K$17*100/(Calculations!$C$12+Calculations!$M158)+('Reaction Information'!$L$17+'Reaction Information'!$M$17*10000/(Calculations!$C$12+Calculations!$M158))/(Calculations!$O158-Calculations!$C$13)-calculateOmega(Calculations!M158,Calculations!N158,Calculations!Q158,'Reaction Information'!$C$17,'Reaction Information'!$P$17*10^5,'Reaction Information'!$Q$17)*Calculations!$U158*10^-6 + (1/$S158 - 1)*calculate_domegadP(Calculations!M158,Calculations!N158,Calculations!Q158,'Reaction Information'!$C$17,'Reaction Information'!$P$17*10^5,'Reaction Information'!$Q$17,$D$20,$D$19=3))*41.84)</f>
        <v>#N/A</v>
      </c>
      <c r="BO158" s="8" t="e">
        <f>IF(OR(ISBLANK(Input!$AD$4),$D$27=FALSE),NA(),('Reaction Information'!$J$21/10+'Reaction Information'!$K$21*100/(Calculations!$C$12+Calculations!$M158)+('Reaction Information'!$L$21+'Reaction Information'!$M$21*10000/(Calculations!$C$12+Calculations!$M158))/(Calculations!$O158-Calculations!$C$13)-calculateOmega(Calculations!M158,Calculations!N158,Calculations!Q158,'Reaction Information'!$C$21,'Reaction Information'!$P$21*10^5,'Reaction Information'!$Q$21)*Calculations!$U158*10^-6 + (1/$S158 - 1)*calculate_domegadP(Calculations!M158,Calculations!N158,Calculations!Q158,'Reaction Information'!$C$21,'Reaction Information'!$P$21*10^5,'Reaction Information'!$Q$21,$D$20,$D$19=3))*41.84)</f>
        <v>#N/A</v>
      </c>
      <c r="BP158" s="8" t="e">
        <f>IF(OR(ISBLANK(Input!$AG$4),$D$27=FALSE),NA(),('Reaction Information'!$J$25/10+'Reaction Information'!$K$25*100/(Calculations!$C$12+Calculations!$M158)+('Reaction Information'!$L$25+'Reaction Information'!$M$25*10000/(Calculations!$C$12+Calculations!$M158))/(Calculations!$O158-Calculations!$C$13)-calculateOmega(Calculations!M158,Calculations!N158,Calculations!Q158,'Reaction Information'!$C$25,'Reaction Information'!$P$25*10^5,'Reaction Information'!$Q$25)*Calculations!$U158*10^-6 + (1/$S158 - 1)*calculate_domegadP(Calculations!M158,Calculations!N158,Calculations!Q158,'Reaction Information'!$C$25,'Reaction Information'!$P$25*10^5,'Reaction Information'!$Q$25,$D$20,$D$19=3))*41.84)</f>
        <v>#N/A</v>
      </c>
      <c r="BQ158" s="8" t="e">
        <f>IF(OR(ISBLANK(Input!$AJ$4),$D$27=FALSE),NA(),('Reaction Information'!$J$29/10+'Reaction Information'!$K$29*100/(Calculations!$C$12+Calculations!$M158)+('Reaction Information'!$L$29+'Reaction Information'!$M$29*10000/(Calculations!$C$12+Calculations!$M158))/(Calculations!$O158-Calculations!$C$13)-calculateOmega(Calculations!M158,Calculations!N158,Calculations!Q158,'Reaction Information'!$C$29,'Reaction Information'!$P$29*10^5,'Reaction Information'!$Q$29)*Calculations!$U158*10^-6 + (1/$S158 - 1)*calculate_domegadP(Calculations!M158,Calculations!N158,Calculations!Q158,'Reaction Information'!$C$29,'Reaction Information'!$P$29*10^5,'Reaction Information'!$Q$29,$D$20,$D$19=3))*41.84)</f>
        <v>#N/A</v>
      </c>
      <c r="BR158" s="8" t="e">
        <f>IF(OR(ISBLANK(Input!$AM$4),$D$27=FALSE),NA(),('Reaction Information'!$J$33/10+'Reaction Information'!$K$33*100/(Calculations!$C$12+Calculations!$M158)+('Reaction Information'!$L$33+'Reaction Information'!$M$33*10000/(Calculations!$C$12+Calculations!$M158))/(Calculations!$O158-Calculations!$C$13)-calculateOmega(Calculations!M158,Calculations!N158,Calculations!Q158,'Reaction Information'!$C$33,'Reaction Information'!$P$33*10^5,'Reaction Information'!$Q$33)*Calculations!$U158*10^-6 + (1/$S158 - 1)*calculate_domegadP(Calculations!M158,Calculations!N158,Calculations!Q158,'Reaction Information'!$C$33,'Reaction Information'!$P$33*10^5,'Reaction Information'!$Q$33,$D$20,$D$19=3))*41.84)</f>
        <v>#N/A</v>
      </c>
      <c r="BS158" s="1">
        <f>Results!AW160</f>
        <v>0</v>
      </c>
      <c r="BT158" s="1">
        <f>Results!AX160</f>
        <v>0</v>
      </c>
      <c r="BU158" s="1">
        <f>Results!AY160</f>
        <v>0</v>
      </c>
      <c r="BV158" s="1">
        <f>Results!AZ160</f>
        <v>0</v>
      </c>
      <c r="BW158" s="1" t="e">
        <f>IF(OR(ISNA('Reaction Information'!$D$38), $N158 = "", $D$27 = FALSE, 'Reaction Information'!$D$38 = ""), NA(), 24.465)</f>
        <v>#N/A</v>
      </c>
      <c r="BX158" s="1" t="e">
        <f>IF(OR(ISNA('Reaction Information'!$D$42), $N158 = "", $D$27 = FALSE, 'Reaction Information'!$D$42 = ""), NA(), 24.465)</f>
        <v>#N/A</v>
      </c>
      <c r="BY158" s="8" t="e">
        <f t="shared" si="41"/>
        <v>#N/A</v>
      </c>
      <c r="BZ158" s="8">
        <f>IF(OR(ISBLANK(Input!$BK$4),$D$27=FALSE),NA(),('Reaction Information'!$J$46/10+'Reaction Information'!$K$46*100/(Calculations!$C$12+Calculations!$M158)+('Reaction Information'!$L$46+'Reaction Information'!$M$46*10000/(Calculations!$C$12+Calculations!$M158))/(Calculations!$O158-Calculations!$C$13)-calculateOmega(Calculations!M158,Calculations!N158,Calculations!Q158,'Reaction Information'!$C$46,'Reaction Information'!$P$46*10^5,'Reaction Information'!$Q$46)*Calculations!$U158*10^-6 + (1/$S158 - 1)*calculate_domegadP(Calculations!M158,Calculations!N158,Calculations!Q158,'Reaction Information'!$C$46,'Reaction Information'!$P$46*10^5,'Reaction Information'!$Q$46,$D$20,$D$19=3))*41.84)</f>
        <v>0</v>
      </c>
      <c r="CA158" s="8">
        <f>IF(OR(ISBLANK(Input!$BN$4),$D$27=FALSE),NA(),('Reaction Information'!$J$50/10+'Reaction Information'!$K$50*100/(Calculations!$C$12+Calculations!$M158)+('Reaction Information'!$L$50+'Reaction Information'!$M$50*10000/(Calculations!$C$12+Calculations!$M158))/(Calculations!$O158-Calculations!$C$13)-calculateOmega(Calculations!M158,Calculations!N158,Calculations!Q158,'Reaction Information'!$C$50,'Reaction Information'!$P$50*10^5,'Reaction Information'!$Q$50)*Calculations!$U158*10^-6 + (1/$S158 - 1)*calculate_domegadP(Calculations!M158,Calculations!N158,Calculations!Q158,'Reaction Information'!$C$50,'Reaction Information'!$P$50*10^5,'Reaction Information'!$Q$50,$D$20,$D$19=3))*41.84)</f>
        <v>31.645762566211122</v>
      </c>
      <c r="CB158" s="8" t="e">
        <f>IF(OR(ISBLANK(Input!$BQ$4),$D$27=FALSE),NA(),('Reaction Information'!$J$54/10+'Reaction Information'!$K$54*100/(Calculations!$C$12+Calculations!$M158)+('Reaction Information'!$L$54+'Reaction Information'!$M$54*10000/(Calculations!$C$12+Calculations!$M158))/(Calculations!$O158-Calculations!$C$13)-calculateOmega(Calculations!M158,Calculations!N158,Calculations!Q158,'Reaction Information'!$C$54,'Reaction Information'!$P$54*10^5,'Reaction Information'!$Q$54)*Calculations!$U158*10^-6 + (1/$S158 - 1)*calculate_domegadP(Calculations!M158,Calculations!N158,Calculations!Q158,'Reaction Information'!$C$54,'Reaction Information'!$P$54*10^5,'Reaction Information'!$Q$54,$D$20,$D$19=3))*41.84)</f>
        <v>#N/A</v>
      </c>
      <c r="CC158" s="8" t="e">
        <f>IF(OR(ISBLANK(Input!$BT$4),$D$27=FALSE),NA(),('Reaction Information'!$J$58/10+'Reaction Information'!$K$58*100/(Calculations!$C$12+Calculations!$M158)+('Reaction Information'!$L$58+'Reaction Information'!$M$58*10000/(Calculations!$C$12+Calculations!$M158))/(Calculations!$O158-Calculations!$C$13)-calculateOmega(Calculations!M158,Calculations!N158,Calculations!Q158,'Reaction Information'!$C$58,'Reaction Information'!$P$58*10^5,'Reaction Information'!$Q$58)*Calculations!$U158*10^-6 + (1/$S158 - 1)*calculate_domegadP(Calculations!M158,Calculations!N158,Calculations!Q158,'Reaction Information'!$C$58,'Reaction Information'!$P$58*10^5,'Reaction Information'!$Q$58,$D$20,$D$19=3))*41.84)</f>
        <v>#N/A</v>
      </c>
      <c r="CD158" s="8" t="e">
        <f>IF(OR(ISBLANK(Input!$BW$4),$D$27=FALSE),NA(),('Reaction Information'!$J$62/10+'Reaction Information'!$K$62*100/(Calculations!$C$12+Calculations!$M158)+('Reaction Information'!$L$62+'Reaction Information'!$M$62*10000/(Calculations!$C$12+Calculations!$M158))/(Calculations!$O158-Calculations!$C$13)-calculateOmega(Calculations!M158,Calculations!N158,Calculations!Q158,'Reaction Information'!$C$62,'Reaction Information'!$P$62*10^5,'Reaction Information'!$Q$62)*Calculations!$U158*10^-6 + (1/$S158 - 1)*calculate_domegadP(Calculations!M158,Calculations!N158,Calculations!Q158,'Reaction Information'!$C$62,'Reaction Information'!$P$62*10^5,'Reaction Information'!$Q$62,$D$20,$D$19=3))*41.84)</f>
        <v>#N/A</v>
      </c>
      <c r="CE158" s="8" t="e">
        <f>IF(OR(ISBLANK(Input!$BZ$4),$D$27=FALSE),NA(),('Reaction Information'!$J$66/10+'Reaction Information'!$K$66*100/(Calculations!$C$12+Calculations!$M158)+('Reaction Information'!$L$66+'Reaction Information'!$M$66*10000/(Calculations!$C$12+Calculations!$M158))/(Calculations!$O158-Calculations!$C$13)-calculateOmega(Calculations!M158,Calculations!N158,Calculations!Q158,'Reaction Information'!$C$66,'Reaction Information'!$P$66*10^5,'Reaction Information'!$Q$66)*Calculations!$U158*10^-6 + (1/$S158 - 1)*calculate_domegadP(Calculations!M158,Calculations!N158,Calculations!Q158,'Reaction Information'!$C$66,'Reaction Information'!$P$66*10^5,'Reaction Information'!$Q$66,$D$20,$D$19=3))*41.84)</f>
        <v>#N/A</v>
      </c>
      <c r="CF158" s="31">
        <f>(BS158*Input!$AO$4+BT158*Input!$AR$4+BU158*Input!$AU$4+BV158*Input!$AX$4+IF(ISNA(BW158),0,BW158*Input!$BA$4)+IF(ISNA(BX158),0,BX158*Input!$BD$4)+IF(ISNA(BY158),0,BY158*Input!$BG$4)+IF(ISNA(BZ158),0,BZ158*Input!$BJ$4)+IF(ISNA(CA158),0,CA158*Input!$BM$4)+IF(ISNA(CB158),0,CB158*Input!$BP$4)+IF(ISNA(CC158),0,CC158*Input!$BS$4)+IF(ISNA(CD158),0,CD158*Input!$BV$4)+IF(ISNA(CE158),0,CE158*Input!$BY$4))-(BF158*Input!$B$4+BG158*Input!$E$4+BH158*Input!$H$4+BI158*Input!$K$4+IF(ISNA(BJ158),0,BJ158*Input!$N$4)+IF(ISNA(BK158),0,BK158*Input!$Q$4)+IF(ISNA(BL158),0,BL158*Input!$T$4)+IF(ISNA(BM158),0,BM158*Input!$W$4)+IF(ISNA(BN158),0,BN158*Input!$Z$4)+IF(ISNA(BO158),0,BO158*Input!$AC$4)+IF(ISNA(BP158),0,BP158*Input!$AF$4)+IF(ISNA(BQ158),0,BQ158*Input!$AI$4)+IF(ISNA(BR158),0,BR158*Input!$AL$4))</f>
        <v>-10.397617873312118</v>
      </c>
      <c r="CG158" s="1">
        <f t="shared" si="50"/>
        <v>400</v>
      </c>
      <c r="CH158" s="46">
        <f t="shared" si="51"/>
        <v>55000</v>
      </c>
      <c r="CI158" s="1"/>
    </row>
    <row r="159" spans="1:87" x14ac:dyDescent="0.2">
      <c r="A159" s="1"/>
      <c r="B159" s="1"/>
      <c r="C159" s="1"/>
      <c r="D159" s="1"/>
      <c r="E159" s="1"/>
      <c r="F159" s="2">
        <v>154</v>
      </c>
      <c r="G159" s="1" t="str">
        <f>IF(ISBLANK(Input!CB159), "", Input!CB159*1000)</f>
        <v/>
      </c>
      <c r="H159" s="1" t="str">
        <f>IF(ISBLANK(Input!CC159), "", Input!CC159)</f>
        <v/>
      </c>
      <c r="I159" s="1">
        <f>IF(Input!$CF$5 + Input!$CF$6*(FLOOR((Calculations!$F159-1)/(FLOOR((Input!$CF$12-Input!$CF$10)/Input!$CF$11,1)+1),1)) &gt; Input!$CF$7, "", (Input!$CF$5 + Input!$CF$6*(FLOOR((Calculations!$F159-1)/(FLOOR((Input!$CF$12-Input!$CF$10)/Input!$CF$11,1)+1),1)))*1000)</f>
        <v>55000</v>
      </c>
      <c r="J159" s="1">
        <f>IF(Calculations!I159 = "", "", Input!$CF$10 + Input!$CF$11*(Calculations!$F159-1) - (FLOOR((Input!$CF$12-Input!$CF$10)/Input!$CF$11,1)+1)*Input!$CF$11*FLOOR((Calculations!$F159-1)/(FLOOR((Input!$CF$12-Input!$CF$10)/Input!$CF$11,1)+1),1))</f>
        <v>450</v>
      </c>
      <c r="K159" s="8" t="str">
        <f t="shared" si="52"/>
        <v/>
      </c>
      <c r="L159" s="117" t="str">
        <f>IF(OR(Input!$CJ$5 + Input!$CJ$6*(Calculations!F159-1) &gt; Input!$CJ$7, Input!$CJ$5 + Input!$CJ$6*(Calculations!F159-1) &gt; 350), "", Input!$CJ$5 + Input!$CJ$6*(Calculations!F159-1))</f>
        <v/>
      </c>
      <c r="M159" s="1">
        <f t="shared" si="42"/>
        <v>55000</v>
      </c>
      <c r="N159" s="1">
        <f t="shared" si="43"/>
        <v>450</v>
      </c>
      <c r="O159" s="1">
        <f t="shared" si="38"/>
        <v>723.15</v>
      </c>
      <c r="P159" s="1" t="e">
        <f>IF(OR($D$20=3,AND($D$21=TRUE,M159&lt;1000)),INDEX('Water Density'!$C$6:$CX$120,MATCH(Calculations!N159,'Water Density'!$B$6:$B$120),MATCH(Calculations!M159/1000,'Water Density'!$C$5:$CX$5)),NA())</f>
        <v>#N/A</v>
      </c>
      <c r="Q159" s="182">
        <f>IF(OR($D$20=3,AND($D$21=TRUE,M159&lt;1000)), IF(P159&lt;&gt;0,P159,NA()), calculateDensity(M159,N159,$D$20,0.01,$D$19 = 3))</f>
        <v>1.4575909796455502</v>
      </c>
      <c r="R159" s="1" t="e">
        <f>IF($D$22=5,INDEX('Dielectric Constant'!$C$6:$CX$120,MATCH(Calculations!N159,'Dielectric Constant'!$B$6:$B$120),MATCH(Calculations!M159/1000,'Dielectric Constant'!$C$5:$CX$5)),NA())</f>
        <v>#N/A</v>
      </c>
      <c r="S159" s="58">
        <f>IF($D$22=5, IF(R159&lt;&gt;0,R159,NA()), IF(AND($D$23,M159&lt;=5000,$D$19 &lt;&gt; 3),calculateEpsilon(Q159,N159,1,FALSE),calculateEpsilon(Q159,N159,$D$22,$D$19 = 3)))</f>
        <v>45.407959192199364</v>
      </c>
      <c r="T159" s="1" t="e">
        <f>IF($D$24=3,INDEX('Water Free Energy'!$C$6:$CX$120,MATCH(Calculations!N159,'Water Free Energy'!$B$6:$B$120),MATCH(Calculations!M159/1000,'Water Free Energy'!$C$5:$CX$5)),NA())</f>
        <v>#N/A</v>
      </c>
      <c r="U159" s="179">
        <f>IF($D$27,calculateQ(M159,N159,Q159,$D$20,$D$22,$D$19=3)*10^6,NA())</f>
        <v>8.982495386726827E-2</v>
      </c>
      <c r="V159"/>
      <c r="W159" s="2">
        <f t="shared" si="44"/>
        <v>55000</v>
      </c>
      <c r="X159" s="1">
        <f t="shared" si="45"/>
        <v>450</v>
      </c>
      <c r="Y159" s="1">
        <f>Results!F161</f>
        <v>0</v>
      </c>
      <c r="Z159" s="1">
        <f>Results!G161</f>
        <v>0</v>
      </c>
      <c r="AA159" s="1">
        <f>Results!H161</f>
        <v>0</v>
      </c>
      <c r="AB159" s="1">
        <f>Results!I161</f>
        <v>0</v>
      </c>
      <c r="AC159" s="1" t="e">
        <f>IF(ISBLANK(Input!$O$4),NA(),'Reaction Information'!$E$5-'Reaction Information'!$G$5*(Calculations!$O159-Calculations!$C$8)+'Reaction Information'!$I$5*(Calculations!$O159-Calculations!$C$8-Calculations!$O159*LN(Calculations!$O159/Calculations!$C$8))+'Reaction Information'!$J$5*0.001/2*(2*Calculations!$O159*Calculations!$C$8-Calculations!$O159^2-Calculations!$C$8^2) + 'Reaction Information'!$K$5*100000*(Calculations!$O159^2 + Calculations!$C$8^2 - 2*Calculations!$O159*Calculations!$C$8)/(2*Calculations!$O159*Calculations!$C$8^2))</f>
        <v>#N/A</v>
      </c>
      <c r="AD159" s="8" t="e">
        <f>IF(ISBLANK(Input!$R$4),NA(),'Reaction Information'!$E$9-'Reaction Information'!$G$9*(Calculations!$O159-Calculations!$C$8)+'Reaction Information'!$I$9*(Calculations!$O159-Calculations!$C$8-Calculations!$O159*LN(Calculations!$O159/Calculations!$C$8))+'Reaction Information'!$J$9*0.001/2*(2*Calculations!$O159*Calculations!$C$8-Calculations!$O159^2-Calculations!$C$8^2) + 'Reaction Information'!$K$9*100000*(Calculations!$O159^2 + Calculations!$C$8^2 - 2*Calculations!$O159*Calculations!$C$8)/(2*Calculations!$O159*Calculations!$C$8^2))</f>
        <v>#N/A</v>
      </c>
      <c r="AE159" s="8">
        <f>IF(AE$5="H2O",IF($D$24=3,IF(T159=0,NA(),T159),calculateGibbsOfWater(M159,N159,$D$24,$D$20,$D$19=3)),NA())</f>
        <v>-47511.560051400855</v>
      </c>
      <c r="AF159" s="8">
        <f>IF(ISBLANK(Input!$X$4),NA(),'Reaction Information'!$E$13-'Reaction Information'!$G$13*(Calculations!O159-Calculations!$C$8)-'Reaction Information'!$N$13*(Calculations!O159*LN(Calculations!O159/Calculations!$C$8)-Calculations!O159+Calculations!$C$8)-'Reaction Information'!$O$13*10^4*(((1/(Calculations!O159-Calculations!$C$13))-(1/(Calculations!$C$8-Calculations!$C$13)))*((Calculations!$C$13-Calculations!O159)/(Calculations!$C$13))-(Calculations!O159/(Calculations!$C$13*Calculations!$C$13))*LN((Calculations!$C$8*(Calculations!O159-Calculations!$C$13))/(Calculations!O159*(Calculations!$C$8-Calculations!$C$13))))+'Reaction Information'!$J$13*10^-1*(Calculations!M159-Calculations!$C$9)+'Reaction Information'!$K$13*10^2*LN((Calculations!$C$12+Calculations!M159)/(Calculations!$C$12+Calculations!$C$9))+(1/(Calculations!O159-Calculations!$C$13))*('Reaction Information'!$L$13*(Calculations!M159-Calculations!$C$9)+'Reaction Information'!$M$13*10^4*LN((Calculations!$C$12+Calculations!M159)/(Calculations!$C$12+Calculations!$C$9)))+calculateOmega(Calculations!M159,Calculations!N159,Calculations!Q159,'Reaction Information'!$C$13,'Reaction Information'!$P$13*10^5,'Reaction Information'!$Q$13)*((1/Calculations!S159)-1)-'Reaction Information'!$P$13*10^5*((1/Calculations!$C$10)-1)+'Reaction Information'!$P$13*10^5*Calculations!$C$14*(Calculations!O159-Calculations!$C$8))</f>
        <v>-68949.103282355281</v>
      </c>
      <c r="AG159" s="8" t="e">
        <f>IF(ISBLANK(Input!$AA$4),NA(),'Reaction Information'!$E$17-'Reaction Information'!$G$17*(Calculations!$O159-Calculations!$C$8)-'Reaction Information'!$N$17*(Calculations!$O159*LN(Calculations!$O159/Calculations!$C$8)-Calculations!$O159+Calculations!$C$8)-'Reaction Information'!$O$17*10^4*(((1/(Calculations!$O159-Calculations!$C$13))-(1/(Calculations!$C$8-Calculations!$C$13)))*((Calculations!$C$13-Calculations!$O159)/(Calculations!$C$13))-(Calculations!$O159/(Calculations!$C$13*Calculations!$C$13))*LN((Calculations!$C$8*(Calculations!$O159-Calculations!$C$13))/(Calculations!$O159*(Calculations!$C$8-Calculations!$C$13))))+'Reaction Information'!$J$17*10^-1*(Calculations!$M159-Calculations!$C$9)+'Reaction Information'!$K$17*10^2*LN((Calculations!$C$12+Calculations!$M159)/(Calculations!$C$12+Calculations!$C$9))+(1/(Calculations!$O159-Calculations!$C$13))*('Reaction Information'!$L$17*(Calculations!$M159-Calculations!$C$9)+'Reaction Information'!$M$17*10^4*LN((Calculations!$C$12+Calculations!$M159)/(Calculations!$C$12+Calculations!$C$9)))+calculateOmega(Calculations!M159,Calculations!N159,Calculations!Q159,'Reaction Information'!$C$17,'Reaction Information'!$P$17*10^5,'Reaction Information'!$Q$17)*((1/Calculations!$S159)-1)-'Reaction Information'!$P$17*10^5*((1/Calculations!$C$10)-1)+'Reaction Information'!$P$17*10^5*Calculations!$C$14*(Calculations!$O159-Calculations!$C$8))</f>
        <v>#N/A</v>
      </c>
      <c r="AH159" s="8" t="e">
        <f>IF(ISBLANK(Input!$AD$4),NA(),'Reaction Information'!$E$21-'Reaction Information'!$G$21*(Calculations!$O159-Calculations!$C$8)-'Reaction Information'!$N$21*(Calculations!$O159*LN(Calculations!$O159/Calculations!$C$8)-Calculations!$O159+Calculations!$C$8)-'Reaction Information'!$O$21*10^4*(((1/(Calculations!$O159-Calculations!$C$13))-(1/(Calculations!$C$8-Calculations!$C$13)))*((Calculations!$C$13-Calculations!$O159)/(Calculations!$C$13))-(Calculations!$O159/(Calculations!$C$13*Calculations!$C$13))*LN((Calculations!$C$8*(Calculations!$O159-Calculations!$C$13))/(Calculations!$O159*(Calculations!$C$8-Calculations!$C$13))))+'Reaction Information'!$J$21*10^-1*(Calculations!$M159-Calculations!$C$9)+'Reaction Information'!$K$21*10^2*LN((Calculations!$C$12+Calculations!$M159)/(Calculations!$C$12+Calculations!$C$9))+(1/(Calculations!$O159-Calculations!$C$13))*('Reaction Information'!$L$21*(Calculations!$M159-Calculations!$C$9)+'Reaction Information'!$M$21*10^4*LN((Calculations!$C$12+Calculations!$M159)/(Calculations!$C$12+Calculations!$C$9)))+calculateOmega(Calculations!M159,Calculations!N159,Calculations!Q159,'Reaction Information'!$C$21,'Reaction Information'!$P$21*10^5,'Reaction Information'!$Q$21)*((1/Calculations!$S159)-1)-'Reaction Information'!$P$21*10^5*((1/Calculations!$C$10)-1)+'Reaction Information'!$P$21*10^5*Calculations!$C$14*(Calculations!$O159-Calculations!$C$8))</f>
        <v>#N/A</v>
      </c>
      <c r="AI159" s="8" t="e">
        <f>IF(ISBLANK(Input!$AG$4),NA(),'Reaction Information'!$E$25-'Reaction Information'!$G$25*(Calculations!$O159-Calculations!$C$8)-'Reaction Information'!$N$25*(Calculations!$O159*LN(Calculations!$O159/Calculations!$C$8)-Calculations!$O159+Calculations!$C$8)-'Reaction Information'!$O$25*10^4*(((1/(Calculations!$O159-Calculations!$C$13))-(1/(Calculations!$C$8-Calculations!$C$13)))*((Calculations!$C$13-Calculations!$O159)/(Calculations!$C$13))-(Calculations!$O159/(Calculations!$C$13*Calculations!$C$13))*LN((Calculations!$C$8*(Calculations!$O159-Calculations!$C$13))/(Calculations!$O159*(Calculations!$C$8-Calculations!$C$13))))+'Reaction Information'!$J$25*10^-1*(Calculations!$M159-Calculations!$C$9)+'Reaction Information'!$K$25*10^2*LN((Calculations!$C$12+Calculations!$M159)/(Calculations!$C$12+Calculations!$C$9))+(1/(Calculations!$O159-Calculations!$C$13))*('Reaction Information'!$L$25*(Calculations!$M159-Calculations!$C$9)+'Reaction Information'!$M$25*10^4*LN((Calculations!$C$12+Calculations!$M159)/(Calculations!$C$12+Calculations!$C$9)))+calculateOmega(Calculations!M159,Calculations!N159,Calculations!Q159,'Reaction Information'!$C$25,'Reaction Information'!$P$25*10^5,'Reaction Information'!$Q$25)*((1/Calculations!$S159)-1)-'Reaction Information'!$P$25*10^5*((1/Calculations!$C$10)-1)+'Reaction Information'!$P$25*10^5*Calculations!$C$14*(Calculations!$O159-Calculations!$C$8))</f>
        <v>#N/A</v>
      </c>
      <c r="AJ159" s="8" t="e">
        <f>IF(ISBLANK(Input!$AJ$4),NA(),'Reaction Information'!$E$29-'Reaction Information'!$G$29*(Calculations!$O159-Calculations!$C$8)-'Reaction Information'!$N$29*(Calculations!$O159*LN(Calculations!$O159/Calculations!$C$8)-Calculations!$O159+Calculations!$C$8)-'Reaction Information'!$O$29*10^4*(((1/(Calculations!$O159-Calculations!$C$13))-(1/(Calculations!$C$8-Calculations!$C$13)))*((Calculations!$C$13-Calculations!$O159)/(Calculations!$C$13))-(Calculations!$O159/(Calculations!$C$13*Calculations!$C$13))*LN((Calculations!$C$8*(Calculations!$O159-Calculations!$C$13))/(Calculations!$O159*(Calculations!$C$8-Calculations!$C$13))))+'Reaction Information'!$J$29*10^-1*(Calculations!$M159-Calculations!$C$9)+'Reaction Information'!$K$29*10^2*LN((Calculations!$C$12+Calculations!$M159)/(Calculations!$C$12+Calculations!$C$9))+(1/(Calculations!$O159-Calculations!$C$13))*('Reaction Information'!$L$29*(Calculations!$M159-Calculations!$C$9)+'Reaction Information'!$M$29*10^4*LN((Calculations!$C$12+Calculations!$M159)/(Calculations!$C$12+Calculations!$C$9)))+calculateOmega(Calculations!M159,Calculations!N159,Calculations!Q159,'Reaction Information'!$C$29,'Reaction Information'!$P$29*10^5,'Reaction Information'!$Q$29)*((1/Calculations!$S159)-1)-'Reaction Information'!$P$29*10^5*((1/Calculations!$C$10)-1)+'Reaction Information'!$P$29*10^5*Calculations!$C$14*(Calculations!$O159-Calculations!$C$8))</f>
        <v>#N/A</v>
      </c>
      <c r="AK159" s="8" t="e">
        <f>IF(ISBLANK(Input!$AM$4),NA(),'Reaction Information'!$E$33-'Reaction Information'!$G$33*(Calculations!$O159-Calculations!$C$8)-'Reaction Information'!$N$33*(Calculations!$O159*LN(Calculations!$O159/Calculations!$C$8)-Calculations!$O159+Calculations!$C$8)-'Reaction Information'!$O$33*10^4*(((1/(Calculations!$O159-Calculations!$C$13))-(1/(Calculations!$C$8-Calculations!$C$13)))*((Calculations!$C$13-Calculations!$O159)/(Calculations!$C$13))-(Calculations!$O159/(Calculations!$C$13*Calculations!$C$13))*LN((Calculations!$C$8*(Calculations!$O159-Calculations!$C$13))/(Calculations!$O159*(Calculations!$C$8-Calculations!$C$13))))+'Reaction Information'!$J$33*10^-1*(Calculations!$M159-Calculations!$C$9)+'Reaction Information'!$K$33*10^2*LN((Calculations!$C$12+Calculations!$M159)/(Calculations!$C$12+Calculations!$C$9))+(1/(Calculations!$O159-Calculations!$C$13))*('Reaction Information'!$L$33*(Calculations!$M159-Calculations!$C$9)+'Reaction Information'!$M$33*10^4*LN((Calculations!$C$12+Calculations!$M159)/(Calculations!$C$12+Calculations!$C$9)))+calculateOmega(Calculations!M159,Calculations!N159,Calculations!Q159,'Reaction Information'!$C$33,'Reaction Information'!$P$33*10^5,'Reaction Information'!$Q$33)*((1/Calculations!$S159)-1)-'Reaction Information'!$P$33*10^5*((1/Calculations!$C$10)-1)+'Reaction Information'!$P$33*10^5*Calculations!$C$14*(Calculations!$O159-Calculations!$C$8))</f>
        <v>#N/A</v>
      </c>
      <c r="AL159" s="1">
        <f>Results!S161</f>
        <v>0</v>
      </c>
      <c r="AM159" s="1">
        <f>Results!T161</f>
        <v>0</v>
      </c>
      <c r="AN159" s="1">
        <f>Results!U161</f>
        <v>0</v>
      </c>
      <c r="AO159" s="1">
        <f>Results!V161</f>
        <v>0</v>
      </c>
      <c r="AP159" s="8" t="e">
        <f>IF(ISBLANK(Input!$BB$4),NA(),'Reaction Information'!$E$38-'Reaction Information'!$G$38*(Calculations!$O159-Calculations!$C$8)+'Reaction Information'!$I$38*(Calculations!$O159-Calculations!$C$8-Calculations!$O159*LN(Calculations!$O159/Calculations!$C$8))+'Reaction Information'!$J$38*0.001/2*(2*Calculations!$O159*Calculations!$C$8-Calculations!$O159^2-Calculations!$C$8^2) + 'Reaction Information'!$K$38*100000*(Calculations!$O159^2 + Calculations!$C$8^2 - 2*Calculations!$O159*Calculations!$C$8)/(2*Calculations!$O159*Calculations!$C$8^2))</f>
        <v>#N/A</v>
      </c>
      <c r="AQ159" s="8" t="e">
        <f>IF(ISBLANK(Input!$BE$4),NA(),'Reaction Information'!$E$42-'Reaction Information'!$G$42*(Calculations!$O159-Calculations!$C$8)+'Reaction Information'!$I$42*(Calculations!$O159-Calculations!$C$8-Calculations!$O159*LN(Calculations!$O159/Calculations!$C$8))+'Reaction Information'!$J$42*0.001/2*(2*Calculations!$O159*Calculations!$C$8-Calculations!$O159^2-Calculations!$C$8^2) + 'Reaction Information'!$K$42*100000*(Calculations!$O159^2 + Calculations!$C$8^2 - 2*Calculations!$O159*Calculations!$C$8)/(2*Calculations!$O159*Calculations!$C$8^2))</f>
        <v>#N/A</v>
      </c>
      <c r="AR159" s="8" t="e">
        <f>IF(AR$5="H2O", IF($D$24=3,IF(T159=0,NA(),T159),calculateGibbsOfWater(M159,N159,$D$24,$D$20,$D$19=3)),NA())</f>
        <v>#N/A</v>
      </c>
      <c r="AS159" s="8">
        <f>IF(ISBLANK(Input!$BK$4),NA(),'Reaction Information'!$E$46-'Reaction Information'!$G$46*(Calculations!O159-Calculations!$C$8)-'Reaction Information'!$N$46*(Calculations!O159*LN(Calculations!O159/Calculations!$C$8)-Calculations!O159+Calculations!$C$8)-'Reaction Information'!$O$46*10^4*(((1/(Calculations!O159-Calculations!$C$13))-(1/(Calculations!$C$8-Calculations!$C$13)))*((Calculations!$C$13-Calculations!O159)/(Calculations!$C$13))-(Calculations!O159/(Calculations!$C$13*Calculations!$C$13))*LN((Calculations!$C$8*(Calculations!O159-Calculations!$C$13))/(Calculations!O159*(Calculations!$C$8-Calculations!$C$13))))+'Reaction Information'!$J$46*10^-1*(Calculations!$M159-Calculations!$C$9)+'Reaction Information'!$K$46*10^2*LN((Calculations!$C$12+Calculations!$M159)/(Calculations!$C$12+Calculations!$C$9))+(1/(Calculations!O159-Calculations!$C$13))*('Reaction Information'!$L$46*(Calculations!$M159-Calculations!$C$9)+'Reaction Information'!$M$46*10^4*LN((Calculations!$C$12+Calculations!$M159)/(Calculations!$C$12+Calculations!$C$9)))+calculateOmega(Calculations!M159,Calculations!N159,Calculations!Q159,'Reaction Information'!$C$46,'Reaction Information'!$P$46*10^5,'Reaction Information'!$Q$46)*((1/Calculations!S159)-1)-'Reaction Information'!$P$46*10^5*((1/Calculations!$C$10)-1)+'Reaction Information'!$P$46*10^5*Calculations!$C$14*(Calculations!O159-Calculations!$C$8))</f>
        <v>0</v>
      </c>
      <c r="AT159" s="8">
        <f>IF(ISBLANK(Input!$BN$4),NA(),'Reaction Information'!$E$50-'Reaction Information'!$G$50*(Calculations!O159-Calculations!$C$8)-'Reaction Information'!$N$50*(Calculations!O159*LN(Calculations!O159/Calculations!$C$8)-Calculations!O159+Calculations!$C$8)-'Reaction Information'!$O$50*10^4*(((1/(Calculations!O159-Calculations!$C$13))-(1/(Calculations!$C$8-Calculations!$C$13)))*((Calculations!$C$13-Calculations!O159)/(Calculations!$C$13))-(Calculations!O159/(Calculations!$C$13*Calculations!$C$13))*LN((Calculations!$C$8*(Calculations!O159-Calculations!$C$13))/(Calculations!O159*(Calculations!$C$8-Calculations!$C$13))))+'Reaction Information'!$J$50*10^-1*(Calculations!$M159-Calculations!$C$9)+'Reaction Information'!$K$50*10^2*LN((Calculations!$C$12+Calculations!$M159)/(Calculations!$C$12+Calculations!$C$9))+(1/(Calculations!O159-Calculations!$C$13))*('Reaction Information'!$L$50*(Calculations!$M159-Calculations!$C$9)+'Reaction Information'!$M$50*10^4*LN((Calculations!$C$12+Calculations!$M159)/(Calculations!$C$12+Calculations!$C$9)))+calculateOmega(Calculations!M159,Calculations!N159,Calculations!Q159,'Reaction Information'!$C$50,'Reaction Information'!$P$50*10^5,'Reaction Information'!$Q$50)*((1/Calculations!S159)-1)-'Reaction Information'!$P$50*10^5*((1/Calculations!$C$10)-1)+'Reaction Information'!$P$50*10^5*Calculations!$C$14*(Calculations!O159-Calculations!$C$8))</f>
        <v>-111917.19424648944</v>
      </c>
      <c r="AU159" s="8" t="e">
        <f>IF(ISBLANK(Input!$BQ$4),NA(),'Reaction Information'!$E$54-'Reaction Information'!$G$54*(Calculations!$O159-Calculations!$C$8)-'Reaction Information'!$N$54*(Calculations!$O159*LN(Calculations!$O159/Calculations!$C$8)-Calculations!$O159+Calculations!$C$8)-'Reaction Information'!$O$54*10^4*(((1/(Calculations!$O159-Calculations!$C$13))-(1/(Calculations!$C$8-Calculations!$C$13)))*((Calculations!$C$13-Calculations!$O159)/(Calculations!$C$13))-(Calculations!$O159/(Calculations!$C$13*Calculations!$C$13))*LN((Calculations!$C$8*(Calculations!$O159-Calculations!$C$13))/(Calculations!$O159*(Calculations!$C$8-Calculations!$C$13))))+'Reaction Information'!$J$54*10^-1*(Calculations!$M159-Calculations!$C$9)+'Reaction Information'!$K$54*10^2*LN((Calculations!$C$12+Calculations!$M159)/(Calculations!$C$12+Calculations!$C$9))+(1/(Calculations!$O159-Calculations!$C$13))*('Reaction Information'!$L$54*(Calculations!$M159-Calculations!$C$9)+'Reaction Information'!$M$54*10^4*LN((Calculations!$C$12+Calculations!$M159)/(Calculations!$C$12+Calculations!$C$9)))+calculateOmega(Calculations!M159,Calculations!N159,Calculations!Q159,'Reaction Information'!$C$54,'Reaction Information'!$P$54*10^5,'Reaction Information'!$Q$54)*((1/Calculations!$S159)-1)-'Reaction Information'!$P$54*10^5*((1/Calculations!$C$10)-1)+'Reaction Information'!$P$54*10^5*Calculations!$C$14*(Calculations!$O159-Calculations!$C$8))</f>
        <v>#N/A</v>
      </c>
      <c r="AV159" s="8" t="e">
        <f>IF(ISBLANK(Input!$BT$4),NA(),'Reaction Information'!$E$58-'Reaction Information'!$G$58*(Calculations!$O159-Calculations!$C$8)-'Reaction Information'!$N$58*(Calculations!$O159*LN(Calculations!$O159/Calculations!$C$8)-Calculations!$O159+Calculations!$C$8)-'Reaction Information'!$O$58*10^4*(((1/(Calculations!$O159-Calculations!$C$13))-(1/(Calculations!$C$8-Calculations!$C$13)))*((Calculations!$C$13-Calculations!$O159)/(Calculations!$C$13))-(Calculations!$O159/(Calculations!$C$13*Calculations!$C$13))*LN((Calculations!$C$8*(Calculations!$O159-Calculations!$C$13))/(Calculations!$O159*(Calculations!$C$8-Calculations!$C$13))))+'Reaction Information'!$J$58*10^-1*(Calculations!$M159-Calculations!$C$9)+'Reaction Information'!$K$58*10^2*LN((Calculations!$C$12+Calculations!$M159)/(Calculations!$C$12+Calculations!$C$9))+(1/(Calculations!$O159-Calculations!$C$13))*('Reaction Information'!$L$58*(Calculations!$M159-Calculations!$C$9)+'Reaction Information'!$M$58*10^4*LN((Calculations!$C$12+Calculations!$M159)/(Calculations!$C$12+Calculations!$C$9)))+calculateOmega(Calculations!M159,Calculations!N159,Calculations!Q159,'Reaction Information'!$C$58,'Reaction Information'!$P$58*10^5,'Reaction Information'!$Q$58)*((1/Calculations!$S159)-1)-'Reaction Information'!$P$58*10^5*((1/Calculations!$C$10)-1)+'Reaction Information'!$P$58*10^5*Calculations!$C$14*(Calculations!$O159-Calculations!$C$8))</f>
        <v>#N/A</v>
      </c>
      <c r="AW159" s="8" t="e">
        <f>IF(ISBLANK(Input!$BW$4),NA(),'Reaction Information'!$E$62-'Reaction Information'!$G$62*(Calculations!$O159-Calculations!$C$8)-'Reaction Information'!$N$62*(Calculations!$O159*LN(Calculations!$O159/Calculations!$C$8)-Calculations!$O159+Calculations!$C$8)-'Reaction Information'!$O$62*10^4*(((1/(Calculations!$O159-Calculations!$C$13))-(1/(Calculations!$C$8-Calculations!$C$13)))*((Calculations!$C$13-Calculations!$O159)/(Calculations!$C$13))-(Calculations!$O159/(Calculations!$C$13*Calculations!$C$13))*LN((Calculations!$C$8*(Calculations!$O159-Calculations!$C$13))/(Calculations!$O159*(Calculations!$C$8-Calculations!$C$13))))+'Reaction Information'!$J$62*10^-1*(Calculations!$M159-Calculations!$C$9)+'Reaction Information'!$K$62*10^2*LN((Calculations!$C$12+Calculations!$M159)/(Calculations!$C$12+Calculations!$C$9))+(1/(Calculations!$O159-Calculations!$C$13))*('Reaction Information'!$L$62*(Calculations!$M159-Calculations!$C$9)+'Reaction Information'!$M$62*10^4*LN((Calculations!$C$12+Calculations!$M159)/(Calculations!$C$12+Calculations!$C$9)))+calculateOmega(Calculations!M159,Calculations!N159,Calculations!Q159,'Reaction Information'!$C$62,'Reaction Information'!$P$62*10^5,'Reaction Information'!$Q$62)*((1/Calculations!$S159)-1)-'Reaction Information'!$P$62*10^5*((1/Calculations!$C$10)-1)+'Reaction Information'!$P$62*10^5*Calculations!$C$14*(Calculations!$O159-Calculations!$C$8))</f>
        <v>#N/A</v>
      </c>
      <c r="AX159" s="8" t="e">
        <f>IF(ISBLANK(Input!$BZ$4),NA(),'Reaction Information'!$E$66-'Reaction Information'!$G$66*(Calculations!$O159-Calculations!$C$8)-'Reaction Information'!$N$66*(Calculations!$O159*LN(Calculations!$O159/Calculations!$C$8)-Calculations!$O159+Calculations!$C$8)-'Reaction Information'!$O$66*10^4*(((1/(Calculations!$O159-Calculations!$C$13))-(1/(Calculations!$C$8-Calculations!$C$13)))*((Calculations!$C$13-Calculations!$O159)/(Calculations!$C$13))-(Calculations!$O159/(Calculations!$C$13*Calculations!$C$13))*LN((Calculations!$C$8*(Calculations!$O159-Calculations!$C$13))/(Calculations!$O159*(Calculations!$C$8-Calculations!$C$13))))+'Reaction Information'!$J$66*10^-1*(Calculations!$M159-Calculations!$C$9)+'Reaction Information'!$K$66*10^2*LN((Calculations!$C$12+Calculations!$M159)/(Calculations!$C$12+Calculations!$C$9))+(1/(Calculations!$O159-Calculations!$C$13))*('Reaction Information'!$L$66*(Calculations!$M159-Calculations!$C$9)+'Reaction Information'!$M$66*10^4*LN((Calculations!$C$12+Calculations!$M159)/(Calculations!$C$12+Calculations!$C$9)))+calculateOmega(Calculations!M159,Calculations!N159,Calculations!Q159,'Reaction Information'!$C$66,'Reaction Information'!$P$66*10^5,'Reaction Information'!$Q$66)*((1/Calculations!$S159)-1)-'Reaction Information'!$P$66*10^5*((1/Calculations!$C$10)-1)+'Reaction Information'!$P$66*10^5*Calculations!$C$14*(Calculations!$O159-Calculations!$C$8))</f>
        <v>#N/A</v>
      </c>
      <c r="AY159" s="31">
        <f>(AL159*Input!$AO$4+AM159*Input!$AR$4+AN159*Input!$AU$4+AO159*Input!$AX$4+IF(ISNA(AP159),0,AP159*Input!$BA$4)+IF(ISNA(AQ159),0,AQ159*Input!$BD$4)+IF(ISNA(AR159),0,AR159*Input!$BG$4)+IF(ISNA(AS159),0,AS159*Input!$BJ$4)+IF(ISNA(AT159),0,AT159*Input!$BM$4)+IF(ISNA(AU159),0,AU159*Input!$BP$4)+IF(ISNA(AV159),0,AV159*Input!$BS$4)+IF(ISNA(AW159),0,AW159*Input!$BV$4)+IF(ISNA(AX159),0,AX159*Input!$BY$4))-(Y159*Input!$B$4+Z159*Input!$E$4+AA159*Input!$H$4+AB159*Input!$K$4+IF(ISNA(AC159),0,AC159*Input!$N$4)+IF(ISNA(AD159),0,AD159*Input!$Q$4)+IF(ISNA(AE159),0,AE159*Input!$T$4)+IF(ISNA(AF159),0,AF159*Input!$W$4)+IF(ISNA(AG159),0,AG159*Input!$Z$4)+IF(ISNA(AH159),0,AH159*Input!$AC$4)+IF(ISNA(AI159),0,AI159*Input!$AF$4)+IF(ISNA(AJ159),0,AJ159*Input!$AI$4)+IF(ISNA(AK159),0,AK159*Input!$AL$4))</f>
        <v>4543.4690872666979</v>
      </c>
      <c r="AZ159" s="42">
        <f t="shared" si="39"/>
        <v>-1.3740136923301041</v>
      </c>
      <c r="BA159" s="1">
        <f t="shared" si="46"/>
        <v>450</v>
      </c>
      <c r="BB159" s="46">
        <f t="shared" si="47"/>
        <v>55000</v>
      </c>
      <c r="BC159" s="1"/>
      <c r="BD159" s="2">
        <f t="shared" si="48"/>
        <v>55000</v>
      </c>
      <c r="BE159" s="46">
        <f t="shared" si="49"/>
        <v>450</v>
      </c>
      <c r="BF159" s="1">
        <f>Results!AJ161</f>
        <v>0</v>
      </c>
      <c r="BG159" s="1">
        <f>Results!AK161</f>
        <v>0</v>
      </c>
      <c r="BH159" s="1">
        <f>Results!AL161</f>
        <v>0</v>
      </c>
      <c r="BI159" s="1">
        <f>Results!AM161</f>
        <v>0</v>
      </c>
      <c r="BJ159" s="1" t="e">
        <f>IF(OR(ISNA('Reaction Information'!$D$5), $N159 = "", $D$27 = FALSE, 'Reaction Information'!$D$5 = ""), NA(), 24.465)</f>
        <v>#N/A</v>
      </c>
      <c r="BK159" s="1" t="e">
        <f>IF(OR(ISNA('Reaction Information'!$D$9), $N159 = "", $D$27 = FALSE, 'Reaction Information'!$D$9 = ""), NA(), 24.465)</f>
        <v>#N/A</v>
      </c>
      <c r="BL159" s="8">
        <f t="shared" si="40"/>
        <v>12.359626432636725</v>
      </c>
      <c r="BM159" s="8">
        <f>IF(OR(ISBLANK(Input!$X$4),$D$27=FALSE),NA(),('Reaction Information'!$J$13/10+'Reaction Information'!$K$13*100/(Calculations!$C$12+Calculations!$M159)+('Reaction Information'!$L$13+'Reaction Information'!$M$13*10^4/(Calculations!$C$12+Calculations!$M159))/(Calculations!$O159-Calculations!$C$13) -calculateOmega(Calculations!$M159,Calculations!$N159,Calculations!$Q159,'Reaction Information'!$C$13,'Reaction Information'!$P$13*10^5,'Reaction Information'!$Q$13)*Calculations!$U159*10^-6 + (1/$S159 - 1)*calculate_domegadP(Calculations!$M159,Calculations!$N159,Calculations!$Q159,'Reaction Information'!$C$13,'Reaction Information'!$P$13*10^5,'Reaction Information'!$Q$13,$D$20,$D$19=3))*41.84)</f>
        <v>29.804573335503182</v>
      </c>
      <c r="BN159" s="8" t="e">
        <f>IF(OR(ISBLANK(Input!$AA$4),$D$27=FALSE),NA(),('Reaction Information'!$J$17/10+'Reaction Information'!$K$17*100/(Calculations!$C$12+Calculations!$M159)+('Reaction Information'!$L$17+'Reaction Information'!$M$17*10000/(Calculations!$C$12+Calculations!$M159))/(Calculations!$O159-Calculations!$C$13)-calculateOmega(Calculations!M159,Calculations!N159,Calculations!Q159,'Reaction Information'!$C$17,'Reaction Information'!$P$17*10^5,'Reaction Information'!$Q$17)*Calculations!$U159*10^-6 + (1/$S159 - 1)*calculate_domegadP(Calculations!M159,Calculations!N159,Calculations!Q159,'Reaction Information'!$C$17,'Reaction Information'!$P$17*10^5,'Reaction Information'!$Q$17,$D$20,$D$19=3))*41.84)</f>
        <v>#N/A</v>
      </c>
      <c r="BO159" s="8" t="e">
        <f>IF(OR(ISBLANK(Input!$AD$4),$D$27=FALSE),NA(),('Reaction Information'!$J$21/10+'Reaction Information'!$K$21*100/(Calculations!$C$12+Calculations!$M159)+('Reaction Information'!$L$21+'Reaction Information'!$M$21*10000/(Calculations!$C$12+Calculations!$M159))/(Calculations!$O159-Calculations!$C$13)-calculateOmega(Calculations!M159,Calculations!N159,Calculations!Q159,'Reaction Information'!$C$21,'Reaction Information'!$P$21*10^5,'Reaction Information'!$Q$21)*Calculations!$U159*10^-6 + (1/$S159 - 1)*calculate_domegadP(Calculations!M159,Calculations!N159,Calculations!Q159,'Reaction Information'!$C$21,'Reaction Information'!$P$21*10^5,'Reaction Information'!$Q$21,$D$20,$D$19=3))*41.84)</f>
        <v>#N/A</v>
      </c>
      <c r="BP159" s="8" t="e">
        <f>IF(OR(ISBLANK(Input!$AG$4),$D$27=FALSE),NA(),('Reaction Information'!$J$25/10+'Reaction Information'!$K$25*100/(Calculations!$C$12+Calculations!$M159)+('Reaction Information'!$L$25+'Reaction Information'!$M$25*10000/(Calculations!$C$12+Calculations!$M159))/(Calculations!$O159-Calculations!$C$13)-calculateOmega(Calculations!M159,Calculations!N159,Calculations!Q159,'Reaction Information'!$C$25,'Reaction Information'!$P$25*10^5,'Reaction Information'!$Q$25)*Calculations!$U159*10^-6 + (1/$S159 - 1)*calculate_domegadP(Calculations!M159,Calculations!N159,Calculations!Q159,'Reaction Information'!$C$25,'Reaction Information'!$P$25*10^5,'Reaction Information'!$Q$25,$D$20,$D$19=3))*41.84)</f>
        <v>#N/A</v>
      </c>
      <c r="BQ159" s="8" t="e">
        <f>IF(OR(ISBLANK(Input!$AJ$4),$D$27=FALSE),NA(),('Reaction Information'!$J$29/10+'Reaction Information'!$K$29*100/(Calculations!$C$12+Calculations!$M159)+('Reaction Information'!$L$29+'Reaction Information'!$M$29*10000/(Calculations!$C$12+Calculations!$M159))/(Calculations!$O159-Calculations!$C$13)-calculateOmega(Calculations!M159,Calculations!N159,Calculations!Q159,'Reaction Information'!$C$29,'Reaction Information'!$P$29*10^5,'Reaction Information'!$Q$29)*Calculations!$U159*10^-6 + (1/$S159 - 1)*calculate_domegadP(Calculations!M159,Calculations!N159,Calculations!Q159,'Reaction Information'!$C$29,'Reaction Information'!$P$29*10^5,'Reaction Information'!$Q$29,$D$20,$D$19=3))*41.84)</f>
        <v>#N/A</v>
      </c>
      <c r="BR159" s="8" t="e">
        <f>IF(OR(ISBLANK(Input!$AM$4),$D$27=FALSE),NA(),('Reaction Information'!$J$33/10+'Reaction Information'!$K$33*100/(Calculations!$C$12+Calculations!$M159)+('Reaction Information'!$L$33+'Reaction Information'!$M$33*10000/(Calculations!$C$12+Calculations!$M159))/(Calculations!$O159-Calculations!$C$13)-calculateOmega(Calculations!M159,Calculations!N159,Calculations!Q159,'Reaction Information'!$C$33,'Reaction Information'!$P$33*10^5,'Reaction Information'!$Q$33)*Calculations!$U159*10^-6 + (1/$S159 - 1)*calculate_domegadP(Calculations!M159,Calculations!N159,Calculations!Q159,'Reaction Information'!$C$33,'Reaction Information'!$P$33*10^5,'Reaction Information'!$Q$33,$D$20,$D$19=3))*41.84)</f>
        <v>#N/A</v>
      </c>
      <c r="BS159" s="1">
        <f>Results!AW161</f>
        <v>0</v>
      </c>
      <c r="BT159" s="1">
        <f>Results!AX161</f>
        <v>0</v>
      </c>
      <c r="BU159" s="1">
        <f>Results!AY161</f>
        <v>0</v>
      </c>
      <c r="BV159" s="1">
        <f>Results!AZ161</f>
        <v>0</v>
      </c>
      <c r="BW159" s="1" t="e">
        <f>IF(OR(ISNA('Reaction Information'!$D$38), $N159 = "", $D$27 = FALSE, 'Reaction Information'!$D$38 = ""), NA(), 24.465)</f>
        <v>#N/A</v>
      </c>
      <c r="BX159" s="1" t="e">
        <f>IF(OR(ISNA('Reaction Information'!$D$42), $N159 = "", $D$27 = FALSE, 'Reaction Information'!$D$42 = ""), NA(), 24.465)</f>
        <v>#N/A</v>
      </c>
      <c r="BY159" s="8" t="e">
        <f t="shared" si="41"/>
        <v>#N/A</v>
      </c>
      <c r="BZ159" s="8">
        <f>IF(OR(ISBLANK(Input!$BK$4),$D$27=FALSE),NA(),('Reaction Information'!$J$46/10+'Reaction Information'!$K$46*100/(Calculations!$C$12+Calculations!$M159)+('Reaction Information'!$L$46+'Reaction Information'!$M$46*10000/(Calculations!$C$12+Calculations!$M159))/(Calculations!$O159-Calculations!$C$13)-calculateOmega(Calculations!M159,Calculations!N159,Calculations!Q159,'Reaction Information'!$C$46,'Reaction Information'!$P$46*10^5,'Reaction Information'!$Q$46)*Calculations!$U159*10^-6 + (1/$S159 - 1)*calculate_domegadP(Calculations!M159,Calculations!N159,Calculations!Q159,'Reaction Information'!$C$46,'Reaction Information'!$P$46*10^5,'Reaction Information'!$Q$46,$D$20,$D$19=3))*41.84)</f>
        <v>0</v>
      </c>
      <c r="CA159" s="8">
        <f>IF(OR(ISBLANK(Input!$BN$4),$D$27=FALSE),NA(),('Reaction Information'!$J$50/10+'Reaction Information'!$K$50*100/(Calculations!$C$12+Calculations!$M159)+('Reaction Information'!$L$50+'Reaction Information'!$M$50*10000/(Calculations!$C$12+Calculations!$M159))/(Calculations!$O159-Calculations!$C$13)-calculateOmega(Calculations!M159,Calculations!N159,Calculations!Q159,'Reaction Information'!$C$50,'Reaction Information'!$P$50*10^5,'Reaction Information'!$Q$50)*Calculations!$U159*10^-6 + (1/$S159 - 1)*calculate_domegadP(Calculations!M159,Calculations!N159,Calculations!Q159,'Reaction Information'!$C$50,'Reaction Information'!$P$50*10^5,'Reaction Information'!$Q$50,$D$20,$D$19=3))*41.84)</f>
        <v>31.605216655118287</v>
      </c>
      <c r="CB159" s="8" t="e">
        <f>IF(OR(ISBLANK(Input!$BQ$4),$D$27=FALSE),NA(),('Reaction Information'!$J$54/10+'Reaction Information'!$K$54*100/(Calculations!$C$12+Calculations!$M159)+('Reaction Information'!$L$54+'Reaction Information'!$M$54*10000/(Calculations!$C$12+Calculations!$M159))/(Calculations!$O159-Calculations!$C$13)-calculateOmega(Calculations!M159,Calculations!N159,Calculations!Q159,'Reaction Information'!$C$54,'Reaction Information'!$P$54*10^5,'Reaction Information'!$Q$54)*Calculations!$U159*10^-6 + (1/$S159 - 1)*calculate_domegadP(Calculations!M159,Calculations!N159,Calculations!Q159,'Reaction Information'!$C$54,'Reaction Information'!$P$54*10^5,'Reaction Information'!$Q$54,$D$20,$D$19=3))*41.84)</f>
        <v>#N/A</v>
      </c>
      <c r="CC159" s="8" t="e">
        <f>IF(OR(ISBLANK(Input!$BT$4),$D$27=FALSE),NA(),('Reaction Information'!$J$58/10+'Reaction Information'!$K$58*100/(Calculations!$C$12+Calculations!$M159)+('Reaction Information'!$L$58+'Reaction Information'!$M$58*10000/(Calculations!$C$12+Calculations!$M159))/(Calculations!$O159-Calculations!$C$13)-calculateOmega(Calculations!M159,Calculations!N159,Calculations!Q159,'Reaction Information'!$C$58,'Reaction Information'!$P$58*10^5,'Reaction Information'!$Q$58)*Calculations!$U159*10^-6 + (1/$S159 - 1)*calculate_domegadP(Calculations!M159,Calculations!N159,Calculations!Q159,'Reaction Information'!$C$58,'Reaction Information'!$P$58*10^5,'Reaction Information'!$Q$58,$D$20,$D$19=3))*41.84)</f>
        <v>#N/A</v>
      </c>
      <c r="CD159" s="8" t="e">
        <f>IF(OR(ISBLANK(Input!$BW$4),$D$27=FALSE),NA(),('Reaction Information'!$J$62/10+'Reaction Information'!$K$62*100/(Calculations!$C$12+Calculations!$M159)+('Reaction Information'!$L$62+'Reaction Information'!$M$62*10000/(Calculations!$C$12+Calculations!$M159))/(Calculations!$O159-Calculations!$C$13)-calculateOmega(Calculations!M159,Calculations!N159,Calculations!Q159,'Reaction Information'!$C$62,'Reaction Information'!$P$62*10^5,'Reaction Information'!$Q$62)*Calculations!$U159*10^-6 + (1/$S159 - 1)*calculate_domegadP(Calculations!M159,Calculations!N159,Calculations!Q159,'Reaction Information'!$C$62,'Reaction Information'!$P$62*10^5,'Reaction Information'!$Q$62,$D$20,$D$19=3))*41.84)</f>
        <v>#N/A</v>
      </c>
      <c r="CE159" s="8" t="e">
        <f>IF(OR(ISBLANK(Input!$BZ$4),$D$27=FALSE),NA(),('Reaction Information'!$J$66/10+'Reaction Information'!$K$66*100/(Calculations!$C$12+Calculations!$M159)+('Reaction Information'!$L$66+'Reaction Information'!$M$66*10000/(Calculations!$C$12+Calculations!$M159))/(Calculations!$O159-Calculations!$C$13)-calculateOmega(Calculations!M159,Calculations!N159,Calculations!Q159,'Reaction Information'!$C$66,'Reaction Information'!$P$66*10^5,'Reaction Information'!$Q$66)*Calculations!$U159*10^-6 + (1/$S159 - 1)*calculate_domegadP(Calculations!M159,Calculations!N159,Calculations!Q159,'Reaction Information'!$C$66,'Reaction Information'!$P$66*10^5,'Reaction Information'!$Q$66,$D$20,$D$19=3))*41.84)</f>
        <v>#N/A</v>
      </c>
      <c r="CF159" s="31">
        <f>(BS159*Input!$AO$4+BT159*Input!$AR$4+BU159*Input!$AU$4+BV159*Input!$AX$4+IF(ISNA(BW159),0,BW159*Input!$BA$4)+IF(ISNA(BX159),0,BX159*Input!$BD$4)+IF(ISNA(BY159),0,BY159*Input!$BG$4)+IF(ISNA(BZ159),0,BZ159*Input!$BJ$4)+IF(ISNA(CA159),0,CA159*Input!$BM$4)+IF(ISNA(CB159),0,CB159*Input!$BP$4)+IF(ISNA(CC159),0,CC159*Input!$BS$4)+IF(ISNA(CD159),0,CD159*Input!$BV$4)+IF(ISNA(CE159),0,CE159*Input!$BY$4))-(BF159*Input!$B$4+BG159*Input!$E$4+BH159*Input!$H$4+BI159*Input!$K$4+IF(ISNA(BJ159),0,BJ159*Input!$N$4)+IF(ISNA(BK159),0,BK159*Input!$Q$4)+IF(ISNA(BL159),0,BL159*Input!$T$4)+IF(ISNA(BM159),0,BM159*Input!$W$4)+IF(ISNA(BN159),0,BN159*Input!$Z$4)+IF(ISNA(BO159),0,BO159*Input!$AC$4)+IF(ISNA(BP159),0,BP159*Input!$AF$4)+IF(ISNA(BQ159),0,BQ159*Input!$AI$4)+IF(ISNA(BR159),0,BR159*Input!$AL$4))</f>
        <v>-10.558983113021622</v>
      </c>
      <c r="CG159" s="1">
        <f t="shared" si="50"/>
        <v>450</v>
      </c>
      <c r="CH159" s="46">
        <f t="shared" si="51"/>
        <v>55000</v>
      </c>
      <c r="CI159" s="1"/>
    </row>
    <row r="160" spans="1:87" x14ac:dyDescent="0.2">
      <c r="A160" s="1"/>
      <c r="B160" s="1"/>
      <c r="C160" s="1"/>
      <c r="D160" s="1"/>
      <c r="E160" s="1"/>
      <c r="F160" s="2">
        <v>155</v>
      </c>
      <c r="G160" s="1" t="str">
        <f>IF(ISBLANK(Input!CB160), "", Input!CB160*1000)</f>
        <v/>
      </c>
      <c r="H160" s="1" t="str">
        <f>IF(ISBLANK(Input!CC160), "", Input!CC160)</f>
        <v/>
      </c>
      <c r="I160" s="1">
        <f>IF(Input!$CF$5 + Input!$CF$6*(FLOOR((Calculations!$F160-1)/(FLOOR((Input!$CF$12-Input!$CF$10)/Input!$CF$11,1)+1),1)) &gt; Input!$CF$7, "", (Input!$CF$5 + Input!$CF$6*(FLOOR((Calculations!$F160-1)/(FLOOR((Input!$CF$12-Input!$CF$10)/Input!$CF$11,1)+1),1)))*1000)</f>
        <v>55000</v>
      </c>
      <c r="J160" s="1">
        <f>IF(Calculations!I160 = "", "", Input!$CF$10 + Input!$CF$11*(Calculations!$F160-1) - (FLOOR((Input!$CF$12-Input!$CF$10)/Input!$CF$11,1)+1)*Input!$CF$11*FLOOR((Calculations!$F160-1)/(FLOOR((Input!$CF$12-Input!$CF$10)/Input!$CF$11,1)+1),1))</f>
        <v>500</v>
      </c>
      <c r="K160" s="8" t="str">
        <f t="shared" si="52"/>
        <v/>
      </c>
      <c r="L160" s="117" t="str">
        <f>IF(OR(Input!$CJ$5 + Input!$CJ$6*(Calculations!F160-1) &gt; Input!$CJ$7, Input!$CJ$5 + Input!$CJ$6*(Calculations!F160-1) &gt; 350), "", Input!$CJ$5 + Input!$CJ$6*(Calculations!F160-1))</f>
        <v/>
      </c>
      <c r="M160" s="1">
        <f t="shared" si="42"/>
        <v>55000</v>
      </c>
      <c r="N160" s="1">
        <f t="shared" si="43"/>
        <v>500</v>
      </c>
      <c r="O160" s="1">
        <f t="shared" si="38"/>
        <v>773.15</v>
      </c>
      <c r="P160" s="1" t="e">
        <f>IF(OR($D$20=3,AND($D$21=TRUE,M160&lt;1000)),INDEX('Water Density'!$C$6:$CX$120,MATCH(Calculations!N160,'Water Density'!$B$6:$B$120),MATCH(Calculations!M160/1000,'Water Density'!$C$5:$CX$5)),NA())</f>
        <v>#N/A</v>
      </c>
      <c r="Q160" s="182">
        <f>IF(OR($D$20=3,AND($D$21=TRUE,M160&lt;1000)), IF(P160&lt;&gt;0,P160,NA()), calculateDensity(M160,N160,$D$20,0.01,$D$19 = 3))</f>
        <v>1.4438596890366076</v>
      </c>
      <c r="R160" s="1" t="e">
        <f>IF($D$22=5,INDEX('Dielectric Constant'!$C$6:$CX$120,MATCH(Calculations!N160,'Dielectric Constant'!$B$6:$B$120),MATCH(Calculations!M160/1000,'Dielectric Constant'!$C$5:$CX$5)),NA())</f>
        <v>#N/A</v>
      </c>
      <c r="S160" s="58">
        <f>IF($D$22=5, IF(R160&lt;&gt;0,R160,NA()), IF(AND($D$23,M160&lt;=5000,$D$19 &lt;&gt; 3),calculateEpsilon(Q160,N160,1,FALSE),calculateEpsilon(Q160,N160,$D$22,$D$19 = 3)))</f>
        <v>41.20159647779677</v>
      </c>
      <c r="T160" s="1" t="e">
        <f>IF($D$24=3,INDEX('Water Free Energy'!$C$6:$CX$120,MATCH(Calculations!N160,'Water Free Energy'!$B$6:$B$120),MATCH(Calculations!M160/1000,'Water Free Energy'!$C$5:$CX$5)),NA())</f>
        <v>#N/A</v>
      </c>
      <c r="U160" s="179">
        <f>IF($D$27,calculateQ(M160,N160,Q160,$D$20,$D$22,$D$19=3)*10^6,NA())</f>
        <v>9.7424882028957452E-2</v>
      </c>
      <c r="V160"/>
      <c r="W160" s="2">
        <f t="shared" si="44"/>
        <v>55000</v>
      </c>
      <c r="X160" s="1">
        <f t="shared" si="45"/>
        <v>500</v>
      </c>
      <c r="Y160" s="1">
        <f>Results!F162</f>
        <v>0</v>
      </c>
      <c r="Z160" s="1">
        <f>Results!G162</f>
        <v>0</v>
      </c>
      <c r="AA160" s="1">
        <f>Results!H162</f>
        <v>0</v>
      </c>
      <c r="AB160" s="1">
        <f>Results!I162</f>
        <v>0</v>
      </c>
      <c r="AC160" s="1" t="e">
        <f>IF(ISBLANK(Input!$O$4),NA(),'Reaction Information'!$E$5-'Reaction Information'!$G$5*(Calculations!$O160-Calculations!$C$8)+'Reaction Information'!$I$5*(Calculations!$O160-Calculations!$C$8-Calculations!$O160*LN(Calculations!$O160/Calculations!$C$8))+'Reaction Information'!$J$5*0.001/2*(2*Calculations!$O160*Calculations!$C$8-Calculations!$O160^2-Calculations!$C$8^2) + 'Reaction Information'!$K$5*100000*(Calculations!$O160^2 + Calculations!$C$8^2 - 2*Calculations!$O160*Calculations!$C$8)/(2*Calculations!$O160*Calculations!$C$8^2))</f>
        <v>#N/A</v>
      </c>
      <c r="AD160" s="8" t="e">
        <f>IF(ISBLANK(Input!$R$4),NA(),'Reaction Information'!$E$9-'Reaction Information'!$G$9*(Calculations!$O160-Calculations!$C$8)+'Reaction Information'!$I$9*(Calculations!$O160-Calculations!$C$8-Calculations!$O160*LN(Calculations!$O160/Calculations!$C$8))+'Reaction Information'!$J$9*0.001/2*(2*Calculations!$O160*Calculations!$C$8-Calculations!$O160^2-Calculations!$C$8^2) + 'Reaction Information'!$K$9*100000*(Calculations!$O160^2 + Calculations!$C$8^2 - 2*Calculations!$O160*Calculations!$C$8)/(2*Calculations!$O160*Calculations!$C$8^2))</f>
        <v>#N/A</v>
      </c>
      <c r="AE160" s="8">
        <f>IF(AE$5="H2O",IF($D$24=3,IF(T160=0,NA(),T160),calculateGibbsOfWater(M160,N160,$D$24,$D$20,$D$19=3)),NA())</f>
        <v>-48780.537642371608</v>
      </c>
      <c r="AF160" s="8">
        <f>IF(ISBLANK(Input!$X$4),NA(),'Reaction Information'!$E$13-'Reaction Information'!$G$13*(Calculations!O160-Calculations!$C$8)-'Reaction Information'!$N$13*(Calculations!O160*LN(Calculations!O160/Calculations!$C$8)-Calculations!O160+Calculations!$C$8)-'Reaction Information'!$O$13*10^4*(((1/(Calculations!O160-Calculations!$C$13))-(1/(Calculations!$C$8-Calculations!$C$13)))*((Calculations!$C$13-Calculations!O160)/(Calculations!$C$13))-(Calculations!O160/(Calculations!$C$13*Calculations!$C$13))*LN((Calculations!$C$8*(Calculations!O160-Calculations!$C$13))/(Calculations!O160*(Calculations!$C$8-Calculations!$C$13))))+'Reaction Information'!$J$13*10^-1*(Calculations!M160-Calculations!$C$9)+'Reaction Information'!$K$13*10^2*LN((Calculations!$C$12+Calculations!M160)/(Calculations!$C$12+Calculations!$C$9))+(1/(Calculations!O160-Calculations!$C$13))*('Reaction Information'!$L$13*(Calculations!M160-Calculations!$C$9)+'Reaction Information'!$M$13*10^4*LN((Calculations!$C$12+Calculations!M160)/(Calculations!$C$12+Calculations!$C$9)))+calculateOmega(Calculations!M160,Calculations!N160,Calculations!Q160,'Reaction Information'!$C$13,'Reaction Information'!$P$13*10^5,'Reaction Information'!$Q$13)*((1/Calculations!S160)-1)-'Reaction Information'!$P$13*10^5*((1/Calculations!$C$10)-1)+'Reaction Information'!$P$13*10^5*Calculations!$C$14*(Calculations!O160-Calculations!$C$8))</f>
        <v>-71106.706679404073</v>
      </c>
      <c r="AG160" s="8" t="e">
        <f>IF(ISBLANK(Input!$AA$4),NA(),'Reaction Information'!$E$17-'Reaction Information'!$G$17*(Calculations!$O160-Calculations!$C$8)-'Reaction Information'!$N$17*(Calculations!$O160*LN(Calculations!$O160/Calculations!$C$8)-Calculations!$O160+Calculations!$C$8)-'Reaction Information'!$O$17*10^4*(((1/(Calculations!$O160-Calculations!$C$13))-(1/(Calculations!$C$8-Calculations!$C$13)))*((Calculations!$C$13-Calculations!$O160)/(Calculations!$C$13))-(Calculations!$O160/(Calculations!$C$13*Calculations!$C$13))*LN((Calculations!$C$8*(Calculations!$O160-Calculations!$C$13))/(Calculations!$O160*(Calculations!$C$8-Calculations!$C$13))))+'Reaction Information'!$J$17*10^-1*(Calculations!$M160-Calculations!$C$9)+'Reaction Information'!$K$17*10^2*LN((Calculations!$C$12+Calculations!$M160)/(Calculations!$C$12+Calculations!$C$9))+(1/(Calculations!$O160-Calculations!$C$13))*('Reaction Information'!$L$17*(Calculations!$M160-Calculations!$C$9)+'Reaction Information'!$M$17*10^4*LN((Calculations!$C$12+Calculations!$M160)/(Calculations!$C$12+Calculations!$C$9)))+calculateOmega(Calculations!M160,Calculations!N160,Calculations!Q160,'Reaction Information'!$C$17,'Reaction Information'!$P$17*10^5,'Reaction Information'!$Q$17)*((1/Calculations!$S160)-1)-'Reaction Information'!$P$17*10^5*((1/Calculations!$C$10)-1)+'Reaction Information'!$P$17*10^5*Calculations!$C$14*(Calculations!$O160-Calculations!$C$8))</f>
        <v>#N/A</v>
      </c>
      <c r="AH160" s="8" t="e">
        <f>IF(ISBLANK(Input!$AD$4),NA(),'Reaction Information'!$E$21-'Reaction Information'!$G$21*(Calculations!$O160-Calculations!$C$8)-'Reaction Information'!$N$21*(Calculations!$O160*LN(Calculations!$O160/Calculations!$C$8)-Calculations!$O160+Calculations!$C$8)-'Reaction Information'!$O$21*10^4*(((1/(Calculations!$O160-Calculations!$C$13))-(1/(Calculations!$C$8-Calculations!$C$13)))*((Calculations!$C$13-Calculations!$O160)/(Calculations!$C$13))-(Calculations!$O160/(Calculations!$C$13*Calculations!$C$13))*LN((Calculations!$C$8*(Calculations!$O160-Calculations!$C$13))/(Calculations!$O160*(Calculations!$C$8-Calculations!$C$13))))+'Reaction Information'!$J$21*10^-1*(Calculations!$M160-Calculations!$C$9)+'Reaction Information'!$K$21*10^2*LN((Calculations!$C$12+Calculations!$M160)/(Calculations!$C$12+Calculations!$C$9))+(1/(Calculations!$O160-Calculations!$C$13))*('Reaction Information'!$L$21*(Calculations!$M160-Calculations!$C$9)+'Reaction Information'!$M$21*10^4*LN((Calculations!$C$12+Calculations!$M160)/(Calculations!$C$12+Calculations!$C$9)))+calculateOmega(Calculations!M160,Calculations!N160,Calculations!Q160,'Reaction Information'!$C$21,'Reaction Information'!$P$21*10^5,'Reaction Information'!$Q$21)*((1/Calculations!$S160)-1)-'Reaction Information'!$P$21*10^5*((1/Calculations!$C$10)-1)+'Reaction Information'!$P$21*10^5*Calculations!$C$14*(Calculations!$O160-Calculations!$C$8))</f>
        <v>#N/A</v>
      </c>
      <c r="AI160" s="8" t="e">
        <f>IF(ISBLANK(Input!$AG$4),NA(),'Reaction Information'!$E$25-'Reaction Information'!$G$25*(Calculations!$O160-Calculations!$C$8)-'Reaction Information'!$N$25*(Calculations!$O160*LN(Calculations!$O160/Calculations!$C$8)-Calculations!$O160+Calculations!$C$8)-'Reaction Information'!$O$25*10^4*(((1/(Calculations!$O160-Calculations!$C$13))-(1/(Calculations!$C$8-Calculations!$C$13)))*((Calculations!$C$13-Calculations!$O160)/(Calculations!$C$13))-(Calculations!$O160/(Calculations!$C$13*Calculations!$C$13))*LN((Calculations!$C$8*(Calculations!$O160-Calculations!$C$13))/(Calculations!$O160*(Calculations!$C$8-Calculations!$C$13))))+'Reaction Information'!$J$25*10^-1*(Calculations!$M160-Calculations!$C$9)+'Reaction Information'!$K$25*10^2*LN((Calculations!$C$12+Calculations!$M160)/(Calculations!$C$12+Calculations!$C$9))+(1/(Calculations!$O160-Calculations!$C$13))*('Reaction Information'!$L$25*(Calculations!$M160-Calculations!$C$9)+'Reaction Information'!$M$25*10^4*LN((Calculations!$C$12+Calculations!$M160)/(Calculations!$C$12+Calculations!$C$9)))+calculateOmega(Calculations!M160,Calculations!N160,Calculations!Q160,'Reaction Information'!$C$25,'Reaction Information'!$P$25*10^5,'Reaction Information'!$Q$25)*((1/Calculations!$S160)-1)-'Reaction Information'!$P$25*10^5*((1/Calculations!$C$10)-1)+'Reaction Information'!$P$25*10^5*Calculations!$C$14*(Calculations!$O160-Calculations!$C$8))</f>
        <v>#N/A</v>
      </c>
      <c r="AJ160" s="8" t="e">
        <f>IF(ISBLANK(Input!$AJ$4),NA(),'Reaction Information'!$E$29-'Reaction Information'!$G$29*(Calculations!$O160-Calculations!$C$8)-'Reaction Information'!$N$29*(Calculations!$O160*LN(Calculations!$O160/Calculations!$C$8)-Calculations!$O160+Calculations!$C$8)-'Reaction Information'!$O$29*10^4*(((1/(Calculations!$O160-Calculations!$C$13))-(1/(Calculations!$C$8-Calculations!$C$13)))*((Calculations!$C$13-Calculations!$O160)/(Calculations!$C$13))-(Calculations!$O160/(Calculations!$C$13*Calculations!$C$13))*LN((Calculations!$C$8*(Calculations!$O160-Calculations!$C$13))/(Calculations!$O160*(Calculations!$C$8-Calculations!$C$13))))+'Reaction Information'!$J$29*10^-1*(Calculations!$M160-Calculations!$C$9)+'Reaction Information'!$K$29*10^2*LN((Calculations!$C$12+Calculations!$M160)/(Calculations!$C$12+Calculations!$C$9))+(1/(Calculations!$O160-Calculations!$C$13))*('Reaction Information'!$L$29*(Calculations!$M160-Calculations!$C$9)+'Reaction Information'!$M$29*10^4*LN((Calculations!$C$12+Calculations!$M160)/(Calculations!$C$12+Calculations!$C$9)))+calculateOmega(Calculations!M160,Calculations!N160,Calculations!Q160,'Reaction Information'!$C$29,'Reaction Information'!$P$29*10^5,'Reaction Information'!$Q$29)*((1/Calculations!$S160)-1)-'Reaction Information'!$P$29*10^5*((1/Calculations!$C$10)-1)+'Reaction Information'!$P$29*10^5*Calculations!$C$14*(Calculations!$O160-Calculations!$C$8))</f>
        <v>#N/A</v>
      </c>
      <c r="AK160" s="8" t="e">
        <f>IF(ISBLANK(Input!$AM$4),NA(),'Reaction Information'!$E$33-'Reaction Information'!$G$33*(Calculations!$O160-Calculations!$C$8)-'Reaction Information'!$N$33*(Calculations!$O160*LN(Calculations!$O160/Calculations!$C$8)-Calculations!$O160+Calculations!$C$8)-'Reaction Information'!$O$33*10^4*(((1/(Calculations!$O160-Calculations!$C$13))-(1/(Calculations!$C$8-Calculations!$C$13)))*((Calculations!$C$13-Calculations!$O160)/(Calculations!$C$13))-(Calculations!$O160/(Calculations!$C$13*Calculations!$C$13))*LN((Calculations!$C$8*(Calculations!$O160-Calculations!$C$13))/(Calculations!$O160*(Calculations!$C$8-Calculations!$C$13))))+'Reaction Information'!$J$33*10^-1*(Calculations!$M160-Calculations!$C$9)+'Reaction Information'!$K$33*10^2*LN((Calculations!$C$12+Calculations!$M160)/(Calculations!$C$12+Calculations!$C$9))+(1/(Calculations!$O160-Calculations!$C$13))*('Reaction Information'!$L$33*(Calculations!$M160-Calculations!$C$9)+'Reaction Information'!$M$33*10^4*LN((Calculations!$C$12+Calculations!$M160)/(Calculations!$C$12+Calculations!$C$9)))+calculateOmega(Calculations!M160,Calculations!N160,Calculations!Q160,'Reaction Information'!$C$33,'Reaction Information'!$P$33*10^5,'Reaction Information'!$Q$33)*((1/Calculations!$S160)-1)-'Reaction Information'!$P$33*10^5*((1/Calculations!$C$10)-1)+'Reaction Information'!$P$33*10^5*Calculations!$C$14*(Calculations!$O160-Calculations!$C$8))</f>
        <v>#N/A</v>
      </c>
      <c r="AL160" s="1">
        <f>Results!S162</f>
        <v>0</v>
      </c>
      <c r="AM160" s="1">
        <f>Results!T162</f>
        <v>0</v>
      </c>
      <c r="AN160" s="1">
        <f>Results!U162</f>
        <v>0</v>
      </c>
      <c r="AO160" s="1">
        <f>Results!V162</f>
        <v>0</v>
      </c>
      <c r="AP160" s="8" t="e">
        <f>IF(ISBLANK(Input!$BB$4),NA(),'Reaction Information'!$E$38-'Reaction Information'!$G$38*(Calculations!$O160-Calculations!$C$8)+'Reaction Information'!$I$38*(Calculations!$O160-Calculations!$C$8-Calculations!$O160*LN(Calculations!$O160/Calculations!$C$8))+'Reaction Information'!$J$38*0.001/2*(2*Calculations!$O160*Calculations!$C$8-Calculations!$O160^2-Calculations!$C$8^2) + 'Reaction Information'!$K$38*100000*(Calculations!$O160^2 + Calculations!$C$8^2 - 2*Calculations!$O160*Calculations!$C$8)/(2*Calculations!$O160*Calculations!$C$8^2))</f>
        <v>#N/A</v>
      </c>
      <c r="AQ160" s="8" t="e">
        <f>IF(ISBLANK(Input!$BE$4),NA(),'Reaction Information'!$E$42-'Reaction Information'!$G$42*(Calculations!$O160-Calculations!$C$8)+'Reaction Information'!$I$42*(Calculations!$O160-Calculations!$C$8-Calculations!$O160*LN(Calculations!$O160/Calculations!$C$8))+'Reaction Information'!$J$42*0.001/2*(2*Calculations!$O160*Calculations!$C$8-Calculations!$O160^2-Calculations!$C$8^2) + 'Reaction Information'!$K$42*100000*(Calculations!$O160^2 + Calculations!$C$8^2 - 2*Calculations!$O160*Calculations!$C$8)/(2*Calculations!$O160*Calculations!$C$8^2))</f>
        <v>#N/A</v>
      </c>
      <c r="AR160" s="8" t="e">
        <f>IF(AR$5="H2O", IF($D$24=3,IF(T160=0,NA(),T160),calculateGibbsOfWater(M160,N160,$D$24,$D$20,$D$19=3)),NA())</f>
        <v>#N/A</v>
      </c>
      <c r="AS160" s="8">
        <f>IF(ISBLANK(Input!$BK$4),NA(),'Reaction Information'!$E$46-'Reaction Information'!$G$46*(Calculations!O160-Calculations!$C$8)-'Reaction Information'!$N$46*(Calculations!O160*LN(Calculations!O160/Calculations!$C$8)-Calculations!O160+Calculations!$C$8)-'Reaction Information'!$O$46*10^4*(((1/(Calculations!O160-Calculations!$C$13))-(1/(Calculations!$C$8-Calculations!$C$13)))*((Calculations!$C$13-Calculations!O160)/(Calculations!$C$13))-(Calculations!O160/(Calculations!$C$13*Calculations!$C$13))*LN((Calculations!$C$8*(Calculations!O160-Calculations!$C$13))/(Calculations!O160*(Calculations!$C$8-Calculations!$C$13))))+'Reaction Information'!$J$46*10^-1*(Calculations!$M160-Calculations!$C$9)+'Reaction Information'!$K$46*10^2*LN((Calculations!$C$12+Calculations!$M160)/(Calculations!$C$12+Calculations!$C$9))+(1/(Calculations!O160-Calculations!$C$13))*('Reaction Information'!$L$46*(Calculations!$M160-Calculations!$C$9)+'Reaction Information'!$M$46*10^4*LN((Calculations!$C$12+Calculations!$M160)/(Calculations!$C$12+Calculations!$C$9)))+calculateOmega(Calculations!M160,Calculations!N160,Calculations!Q160,'Reaction Information'!$C$46,'Reaction Information'!$P$46*10^5,'Reaction Information'!$Q$46)*((1/Calculations!S160)-1)-'Reaction Information'!$P$46*10^5*((1/Calculations!$C$10)-1)+'Reaction Information'!$P$46*10^5*Calculations!$C$14*(Calculations!O160-Calculations!$C$8))</f>
        <v>0</v>
      </c>
      <c r="AT160" s="8">
        <f>IF(ISBLANK(Input!$BN$4),NA(),'Reaction Information'!$E$50-'Reaction Information'!$G$50*(Calculations!O160-Calculations!$C$8)-'Reaction Information'!$N$50*(Calculations!O160*LN(Calculations!O160/Calculations!$C$8)-Calculations!O160+Calculations!$C$8)-'Reaction Information'!$O$50*10^4*(((1/(Calculations!O160-Calculations!$C$13))-(1/(Calculations!$C$8-Calculations!$C$13)))*((Calculations!$C$13-Calculations!O160)/(Calculations!$C$13))-(Calculations!O160/(Calculations!$C$13*Calculations!$C$13))*LN((Calculations!$C$8*(Calculations!O160-Calculations!$C$13))/(Calculations!O160*(Calculations!$C$8-Calculations!$C$13))))+'Reaction Information'!$J$50*10^-1*(Calculations!$M160-Calculations!$C$9)+'Reaction Information'!$K$50*10^2*LN((Calculations!$C$12+Calculations!$M160)/(Calculations!$C$12+Calculations!$C$9))+(1/(Calculations!O160-Calculations!$C$13))*('Reaction Information'!$L$50*(Calculations!$M160-Calculations!$C$9)+'Reaction Information'!$M$50*10^4*LN((Calculations!$C$12+Calculations!$M160)/(Calculations!$C$12+Calculations!$C$9)))+calculateOmega(Calculations!M160,Calculations!N160,Calculations!Q160,'Reaction Information'!$C$50,'Reaction Information'!$P$50*10^5,'Reaction Information'!$Q$50)*((1/Calculations!S160)-1)-'Reaction Information'!$P$50*10^5*((1/Calculations!$C$10)-1)+'Reaction Information'!$P$50*10^5*Calculations!$C$14*(Calculations!O160-Calculations!$C$8))</f>
        <v>-113609.25200588703</v>
      </c>
      <c r="AU160" s="8" t="e">
        <f>IF(ISBLANK(Input!$BQ$4),NA(),'Reaction Information'!$E$54-'Reaction Information'!$G$54*(Calculations!$O160-Calculations!$C$8)-'Reaction Information'!$N$54*(Calculations!$O160*LN(Calculations!$O160/Calculations!$C$8)-Calculations!$O160+Calculations!$C$8)-'Reaction Information'!$O$54*10^4*(((1/(Calculations!$O160-Calculations!$C$13))-(1/(Calculations!$C$8-Calculations!$C$13)))*((Calculations!$C$13-Calculations!$O160)/(Calculations!$C$13))-(Calculations!$O160/(Calculations!$C$13*Calculations!$C$13))*LN((Calculations!$C$8*(Calculations!$O160-Calculations!$C$13))/(Calculations!$O160*(Calculations!$C$8-Calculations!$C$13))))+'Reaction Information'!$J$54*10^-1*(Calculations!$M160-Calculations!$C$9)+'Reaction Information'!$K$54*10^2*LN((Calculations!$C$12+Calculations!$M160)/(Calculations!$C$12+Calculations!$C$9))+(1/(Calculations!$O160-Calculations!$C$13))*('Reaction Information'!$L$54*(Calculations!$M160-Calculations!$C$9)+'Reaction Information'!$M$54*10^4*LN((Calculations!$C$12+Calculations!$M160)/(Calculations!$C$12+Calculations!$C$9)))+calculateOmega(Calculations!M160,Calculations!N160,Calculations!Q160,'Reaction Information'!$C$54,'Reaction Information'!$P$54*10^5,'Reaction Information'!$Q$54)*((1/Calculations!$S160)-1)-'Reaction Information'!$P$54*10^5*((1/Calculations!$C$10)-1)+'Reaction Information'!$P$54*10^5*Calculations!$C$14*(Calculations!$O160-Calculations!$C$8))</f>
        <v>#N/A</v>
      </c>
      <c r="AV160" s="8" t="e">
        <f>IF(ISBLANK(Input!$BT$4),NA(),'Reaction Information'!$E$58-'Reaction Information'!$G$58*(Calculations!$O160-Calculations!$C$8)-'Reaction Information'!$N$58*(Calculations!$O160*LN(Calculations!$O160/Calculations!$C$8)-Calculations!$O160+Calculations!$C$8)-'Reaction Information'!$O$58*10^4*(((1/(Calculations!$O160-Calculations!$C$13))-(1/(Calculations!$C$8-Calculations!$C$13)))*((Calculations!$C$13-Calculations!$O160)/(Calculations!$C$13))-(Calculations!$O160/(Calculations!$C$13*Calculations!$C$13))*LN((Calculations!$C$8*(Calculations!$O160-Calculations!$C$13))/(Calculations!$O160*(Calculations!$C$8-Calculations!$C$13))))+'Reaction Information'!$J$58*10^-1*(Calculations!$M160-Calculations!$C$9)+'Reaction Information'!$K$58*10^2*LN((Calculations!$C$12+Calculations!$M160)/(Calculations!$C$12+Calculations!$C$9))+(1/(Calculations!$O160-Calculations!$C$13))*('Reaction Information'!$L$58*(Calculations!$M160-Calculations!$C$9)+'Reaction Information'!$M$58*10^4*LN((Calculations!$C$12+Calculations!$M160)/(Calculations!$C$12+Calculations!$C$9)))+calculateOmega(Calculations!M160,Calculations!N160,Calculations!Q160,'Reaction Information'!$C$58,'Reaction Information'!$P$58*10^5,'Reaction Information'!$Q$58)*((1/Calculations!$S160)-1)-'Reaction Information'!$P$58*10^5*((1/Calculations!$C$10)-1)+'Reaction Information'!$P$58*10^5*Calculations!$C$14*(Calculations!$O160-Calculations!$C$8))</f>
        <v>#N/A</v>
      </c>
      <c r="AW160" s="8" t="e">
        <f>IF(ISBLANK(Input!$BW$4),NA(),'Reaction Information'!$E$62-'Reaction Information'!$G$62*(Calculations!$O160-Calculations!$C$8)-'Reaction Information'!$N$62*(Calculations!$O160*LN(Calculations!$O160/Calculations!$C$8)-Calculations!$O160+Calculations!$C$8)-'Reaction Information'!$O$62*10^4*(((1/(Calculations!$O160-Calculations!$C$13))-(1/(Calculations!$C$8-Calculations!$C$13)))*((Calculations!$C$13-Calculations!$O160)/(Calculations!$C$13))-(Calculations!$O160/(Calculations!$C$13*Calculations!$C$13))*LN((Calculations!$C$8*(Calculations!$O160-Calculations!$C$13))/(Calculations!$O160*(Calculations!$C$8-Calculations!$C$13))))+'Reaction Information'!$J$62*10^-1*(Calculations!$M160-Calculations!$C$9)+'Reaction Information'!$K$62*10^2*LN((Calculations!$C$12+Calculations!$M160)/(Calculations!$C$12+Calculations!$C$9))+(1/(Calculations!$O160-Calculations!$C$13))*('Reaction Information'!$L$62*(Calculations!$M160-Calculations!$C$9)+'Reaction Information'!$M$62*10^4*LN((Calculations!$C$12+Calculations!$M160)/(Calculations!$C$12+Calculations!$C$9)))+calculateOmega(Calculations!M160,Calculations!N160,Calculations!Q160,'Reaction Information'!$C$62,'Reaction Information'!$P$62*10^5,'Reaction Information'!$Q$62)*((1/Calculations!$S160)-1)-'Reaction Information'!$P$62*10^5*((1/Calculations!$C$10)-1)+'Reaction Information'!$P$62*10^5*Calculations!$C$14*(Calculations!$O160-Calculations!$C$8))</f>
        <v>#N/A</v>
      </c>
      <c r="AX160" s="8" t="e">
        <f>IF(ISBLANK(Input!$BZ$4),NA(),'Reaction Information'!$E$66-'Reaction Information'!$G$66*(Calculations!$O160-Calculations!$C$8)-'Reaction Information'!$N$66*(Calculations!$O160*LN(Calculations!$O160/Calculations!$C$8)-Calculations!$O160+Calculations!$C$8)-'Reaction Information'!$O$66*10^4*(((1/(Calculations!$O160-Calculations!$C$13))-(1/(Calculations!$C$8-Calculations!$C$13)))*((Calculations!$C$13-Calculations!$O160)/(Calculations!$C$13))-(Calculations!$O160/(Calculations!$C$13*Calculations!$C$13))*LN((Calculations!$C$8*(Calculations!$O160-Calculations!$C$13))/(Calculations!$O160*(Calculations!$C$8-Calculations!$C$13))))+'Reaction Information'!$J$66*10^-1*(Calculations!$M160-Calculations!$C$9)+'Reaction Information'!$K$66*10^2*LN((Calculations!$C$12+Calculations!$M160)/(Calculations!$C$12+Calculations!$C$9))+(1/(Calculations!$O160-Calculations!$C$13))*('Reaction Information'!$L$66*(Calculations!$M160-Calculations!$C$9)+'Reaction Information'!$M$66*10^4*LN((Calculations!$C$12+Calculations!$M160)/(Calculations!$C$12+Calculations!$C$9)))+calculateOmega(Calculations!M160,Calculations!N160,Calculations!Q160,'Reaction Information'!$C$66,'Reaction Information'!$P$66*10^5,'Reaction Information'!$Q$66)*((1/Calculations!$S160)-1)-'Reaction Information'!$P$66*10^5*((1/Calculations!$C$10)-1)+'Reaction Information'!$P$66*10^5*Calculations!$C$14*(Calculations!$O160-Calculations!$C$8))</f>
        <v>#N/A</v>
      </c>
      <c r="AY160" s="31">
        <f>(AL160*Input!$AO$4+AM160*Input!$AR$4+AN160*Input!$AU$4+AO160*Input!$AX$4+IF(ISNA(AP160),0,AP160*Input!$BA$4)+IF(ISNA(AQ160),0,AQ160*Input!$BD$4)+IF(ISNA(AR160),0,AR160*Input!$BG$4)+IF(ISNA(AS160),0,AS160*Input!$BJ$4)+IF(ISNA(AT160),0,AT160*Input!$BM$4)+IF(ISNA(AU160),0,AU160*Input!$BP$4)+IF(ISNA(AV160),0,AV160*Input!$BS$4)+IF(ISNA(AW160),0,AW160*Input!$BV$4)+IF(ISNA(AX160),0,AX160*Input!$BY$4))-(Y160*Input!$B$4+Z160*Input!$E$4+AA160*Input!$H$4+AB160*Input!$K$4+IF(ISNA(AC160),0,AC160*Input!$N$4)+IF(ISNA(AD160),0,AD160*Input!$Q$4)+IF(ISNA(AE160),0,AE160*Input!$T$4)+IF(ISNA(AF160),0,AF160*Input!$W$4)+IF(ISNA(AG160),0,AG160*Input!$Z$4)+IF(ISNA(AH160),0,AH160*Input!$AC$4)+IF(ISNA(AI160),0,AI160*Input!$AF$4)+IF(ISNA(AJ160),0,AJ160*Input!$AI$4)+IF(ISNA(AK160),0,AK160*Input!$AL$4))</f>
        <v>6277.9923158886522</v>
      </c>
      <c r="AZ160" s="42">
        <f t="shared" si="39"/>
        <v>-1.7757789073147221</v>
      </c>
      <c r="BA160" s="1">
        <f t="shared" si="46"/>
        <v>500</v>
      </c>
      <c r="BB160" s="46">
        <f t="shared" si="47"/>
        <v>55000</v>
      </c>
      <c r="BC160" s="1"/>
      <c r="BD160" s="2">
        <f t="shared" si="48"/>
        <v>55000</v>
      </c>
      <c r="BE160" s="46">
        <f t="shared" si="49"/>
        <v>500</v>
      </c>
      <c r="BF160" s="1">
        <f>Results!AJ162</f>
        <v>0</v>
      </c>
      <c r="BG160" s="1">
        <f>Results!AK162</f>
        <v>0</v>
      </c>
      <c r="BH160" s="1">
        <f>Results!AL162</f>
        <v>0</v>
      </c>
      <c r="BI160" s="1">
        <f>Results!AM162</f>
        <v>0</v>
      </c>
      <c r="BJ160" s="1" t="e">
        <f>IF(OR(ISNA('Reaction Information'!$D$5), $N160 = "", $D$27 = FALSE, 'Reaction Information'!$D$5 = ""), NA(), 24.465)</f>
        <v>#N/A</v>
      </c>
      <c r="BK160" s="1" t="e">
        <f>IF(OR(ISNA('Reaction Information'!$D$9), $N160 = "", $D$27 = FALSE, 'Reaction Information'!$D$9 = ""), NA(), 24.465)</f>
        <v>#N/A</v>
      </c>
      <c r="BL160" s="8">
        <f t="shared" si="40"/>
        <v>12.477168063345831</v>
      </c>
      <c r="BM160" s="8">
        <f>IF(OR(ISBLANK(Input!$X$4),$D$27=FALSE),NA(),('Reaction Information'!$J$13/10+'Reaction Information'!$K$13*100/(Calculations!$C$12+Calculations!$M160)+('Reaction Information'!$L$13+'Reaction Information'!$M$13*10^4/(Calculations!$C$12+Calculations!$M160))/(Calculations!$O160-Calculations!$C$13) -calculateOmega(Calculations!$M160,Calculations!$N160,Calculations!$Q160,'Reaction Information'!$C$13,'Reaction Information'!$P$13*10^5,'Reaction Information'!$Q$13)*Calculations!$U160*10^-6 + (1/$S160 - 1)*calculate_domegadP(Calculations!$M160,Calculations!$N160,Calculations!$Q160,'Reaction Information'!$C$13,'Reaction Information'!$P$13*10^5,'Reaction Information'!$Q$13,$D$20,$D$19=3))*41.84)</f>
        <v>29.811632859243058</v>
      </c>
      <c r="BN160" s="8" t="e">
        <f>IF(OR(ISBLANK(Input!$AA$4),$D$27=FALSE),NA(),('Reaction Information'!$J$17/10+'Reaction Information'!$K$17*100/(Calculations!$C$12+Calculations!$M160)+('Reaction Information'!$L$17+'Reaction Information'!$M$17*10000/(Calculations!$C$12+Calculations!$M160))/(Calculations!$O160-Calculations!$C$13)-calculateOmega(Calculations!M160,Calculations!N160,Calculations!Q160,'Reaction Information'!$C$17,'Reaction Information'!$P$17*10^5,'Reaction Information'!$Q$17)*Calculations!$U160*10^-6 + (1/$S160 - 1)*calculate_domegadP(Calculations!M160,Calculations!N160,Calculations!Q160,'Reaction Information'!$C$17,'Reaction Information'!$P$17*10^5,'Reaction Information'!$Q$17,$D$20,$D$19=3))*41.84)</f>
        <v>#N/A</v>
      </c>
      <c r="BO160" s="8" t="e">
        <f>IF(OR(ISBLANK(Input!$AD$4),$D$27=FALSE),NA(),('Reaction Information'!$J$21/10+'Reaction Information'!$K$21*100/(Calculations!$C$12+Calculations!$M160)+('Reaction Information'!$L$21+'Reaction Information'!$M$21*10000/(Calculations!$C$12+Calculations!$M160))/(Calculations!$O160-Calculations!$C$13)-calculateOmega(Calculations!M160,Calculations!N160,Calculations!Q160,'Reaction Information'!$C$21,'Reaction Information'!$P$21*10^5,'Reaction Information'!$Q$21)*Calculations!$U160*10^-6 + (1/$S160 - 1)*calculate_domegadP(Calculations!M160,Calculations!N160,Calculations!Q160,'Reaction Information'!$C$21,'Reaction Information'!$P$21*10^5,'Reaction Information'!$Q$21,$D$20,$D$19=3))*41.84)</f>
        <v>#N/A</v>
      </c>
      <c r="BP160" s="8" t="e">
        <f>IF(OR(ISBLANK(Input!$AG$4),$D$27=FALSE),NA(),('Reaction Information'!$J$25/10+'Reaction Information'!$K$25*100/(Calculations!$C$12+Calculations!$M160)+('Reaction Information'!$L$25+'Reaction Information'!$M$25*10000/(Calculations!$C$12+Calculations!$M160))/(Calculations!$O160-Calculations!$C$13)-calculateOmega(Calculations!M160,Calculations!N160,Calculations!Q160,'Reaction Information'!$C$25,'Reaction Information'!$P$25*10^5,'Reaction Information'!$Q$25)*Calculations!$U160*10^-6 + (1/$S160 - 1)*calculate_domegadP(Calculations!M160,Calculations!N160,Calculations!Q160,'Reaction Information'!$C$25,'Reaction Information'!$P$25*10^5,'Reaction Information'!$Q$25,$D$20,$D$19=3))*41.84)</f>
        <v>#N/A</v>
      </c>
      <c r="BQ160" s="8" t="e">
        <f>IF(OR(ISBLANK(Input!$AJ$4),$D$27=FALSE),NA(),('Reaction Information'!$J$29/10+'Reaction Information'!$K$29*100/(Calculations!$C$12+Calculations!$M160)+('Reaction Information'!$L$29+'Reaction Information'!$M$29*10000/(Calculations!$C$12+Calculations!$M160))/(Calculations!$O160-Calculations!$C$13)-calculateOmega(Calculations!M160,Calculations!N160,Calculations!Q160,'Reaction Information'!$C$29,'Reaction Information'!$P$29*10^5,'Reaction Information'!$Q$29)*Calculations!$U160*10^-6 + (1/$S160 - 1)*calculate_domegadP(Calculations!M160,Calculations!N160,Calculations!Q160,'Reaction Information'!$C$29,'Reaction Information'!$P$29*10^5,'Reaction Information'!$Q$29,$D$20,$D$19=3))*41.84)</f>
        <v>#N/A</v>
      </c>
      <c r="BR160" s="8" t="e">
        <f>IF(OR(ISBLANK(Input!$AM$4),$D$27=FALSE),NA(),('Reaction Information'!$J$33/10+'Reaction Information'!$K$33*100/(Calculations!$C$12+Calculations!$M160)+('Reaction Information'!$L$33+'Reaction Information'!$M$33*10000/(Calculations!$C$12+Calculations!$M160))/(Calculations!$O160-Calculations!$C$13)-calculateOmega(Calculations!M160,Calculations!N160,Calculations!Q160,'Reaction Information'!$C$33,'Reaction Information'!$P$33*10^5,'Reaction Information'!$Q$33)*Calculations!$U160*10^-6 + (1/$S160 - 1)*calculate_domegadP(Calculations!M160,Calculations!N160,Calculations!Q160,'Reaction Information'!$C$33,'Reaction Information'!$P$33*10^5,'Reaction Information'!$Q$33,$D$20,$D$19=3))*41.84)</f>
        <v>#N/A</v>
      </c>
      <c r="BS160" s="1">
        <f>Results!AW162</f>
        <v>0</v>
      </c>
      <c r="BT160" s="1">
        <f>Results!AX162</f>
        <v>0</v>
      </c>
      <c r="BU160" s="1">
        <f>Results!AY162</f>
        <v>0</v>
      </c>
      <c r="BV160" s="1">
        <f>Results!AZ162</f>
        <v>0</v>
      </c>
      <c r="BW160" s="1" t="e">
        <f>IF(OR(ISNA('Reaction Information'!$D$38), $N160 = "", $D$27 = FALSE, 'Reaction Information'!$D$38 = ""), NA(), 24.465)</f>
        <v>#N/A</v>
      </c>
      <c r="BX160" s="1" t="e">
        <f>IF(OR(ISNA('Reaction Information'!$D$42), $N160 = "", $D$27 = FALSE, 'Reaction Information'!$D$42 = ""), NA(), 24.465)</f>
        <v>#N/A</v>
      </c>
      <c r="BY160" s="8" t="e">
        <f t="shared" si="41"/>
        <v>#N/A</v>
      </c>
      <c r="BZ160" s="8">
        <f>IF(OR(ISBLANK(Input!$BK$4),$D$27=FALSE),NA(),('Reaction Information'!$J$46/10+'Reaction Information'!$K$46*100/(Calculations!$C$12+Calculations!$M160)+('Reaction Information'!$L$46+'Reaction Information'!$M$46*10000/(Calculations!$C$12+Calculations!$M160))/(Calculations!$O160-Calculations!$C$13)-calculateOmega(Calculations!M160,Calculations!N160,Calculations!Q160,'Reaction Information'!$C$46,'Reaction Information'!$P$46*10^5,'Reaction Information'!$Q$46)*Calculations!$U160*10^-6 + (1/$S160 - 1)*calculate_domegadP(Calculations!M160,Calculations!N160,Calculations!Q160,'Reaction Information'!$C$46,'Reaction Information'!$P$46*10^5,'Reaction Information'!$Q$46,$D$20,$D$19=3))*41.84)</f>
        <v>0</v>
      </c>
      <c r="CA160" s="8">
        <f>IF(OR(ISBLANK(Input!$BN$4),$D$27=FALSE),NA(),('Reaction Information'!$J$50/10+'Reaction Information'!$K$50*100/(Calculations!$C$12+Calculations!$M160)+('Reaction Information'!$L$50+'Reaction Information'!$M$50*10000/(Calculations!$C$12+Calculations!$M160))/(Calculations!$O160-Calculations!$C$13)-calculateOmega(Calculations!M160,Calculations!N160,Calculations!Q160,'Reaction Information'!$C$50,'Reaction Information'!$P$50*10^5,'Reaction Information'!$Q$50)*Calculations!$U160*10^-6 + (1/$S160 - 1)*calculate_domegadP(Calculations!M160,Calculations!N160,Calculations!Q160,'Reaction Information'!$C$50,'Reaction Information'!$P$50*10^5,'Reaction Information'!$Q$50,$D$20,$D$19=3))*41.84)</f>
        <v>31.563872391805962</v>
      </c>
      <c r="CB160" s="8" t="e">
        <f>IF(OR(ISBLANK(Input!$BQ$4),$D$27=FALSE),NA(),('Reaction Information'!$J$54/10+'Reaction Information'!$K$54*100/(Calculations!$C$12+Calculations!$M160)+('Reaction Information'!$L$54+'Reaction Information'!$M$54*10000/(Calculations!$C$12+Calculations!$M160))/(Calculations!$O160-Calculations!$C$13)-calculateOmega(Calculations!M160,Calculations!N160,Calculations!Q160,'Reaction Information'!$C$54,'Reaction Information'!$P$54*10^5,'Reaction Information'!$Q$54)*Calculations!$U160*10^-6 + (1/$S160 - 1)*calculate_domegadP(Calculations!M160,Calculations!N160,Calculations!Q160,'Reaction Information'!$C$54,'Reaction Information'!$P$54*10^5,'Reaction Information'!$Q$54,$D$20,$D$19=3))*41.84)</f>
        <v>#N/A</v>
      </c>
      <c r="CC160" s="8" t="e">
        <f>IF(OR(ISBLANK(Input!$BT$4),$D$27=FALSE),NA(),('Reaction Information'!$J$58/10+'Reaction Information'!$K$58*100/(Calculations!$C$12+Calculations!$M160)+('Reaction Information'!$L$58+'Reaction Information'!$M$58*10000/(Calculations!$C$12+Calculations!$M160))/(Calculations!$O160-Calculations!$C$13)-calculateOmega(Calculations!M160,Calculations!N160,Calculations!Q160,'Reaction Information'!$C$58,'Reaction Information'!$P$58*10^5,'Reaction Information'!$Q$58)*Calculations!$U160*10^-6 + (1/$S160 - 1)*calculate_domegadP(Calculations!M160,Calculations!N160,Calculations!Q160,'Reaction Information'!$C$58,'Reaction Information'!$P$58*10^5,'Reaction Information'!$Q$58,$D$20,$D$19=3))*41.84)</f>
        <v>#N/A</v>
      </c>
      <c r="CD160" s="8" t="e">
        <f>IF(OR(ISBLANK(Input!$BW$4),$D$27=FALSE),NA(),('Reaction Information'!$J$62/10+'Reaction Information'!$K$62*100/(Calculations!$C$12+Calculations!$M160)+('Reaction Information'!$L$62+'Reaction Information'!$M$62*10000/(Calculations!$C$12+Calculations!$M160))/(Calculations!$O160-Calculations!$C$13)-calculateOmega(Calculations!M160,Calculations!N160,Calculations!Q160,'Reaction Information'!$C$62,'Reaction Information'!$P$62*10^5,'Reaction Information'!$Q$62)*Calculations!$U160*10^-6 + (1/$S160 - 1)*calculate_domegadP(Calculations!M160,Calculations!N160,Calculations!Q160,'Reaction Information'!$C$62,'Reaction Information'!$P$62*10^5,'Reaction Information'!$Q$62,$D$20,$D$19=3))*41.84)</f>
        <v>#N/A</v>
      </c>
      <c r="CE160" s="8" t="e">
        <f>IF(OR(ISBLANK(Input!$BZ$4),$D$27=FALSE),NA(),('Reaction Information'!$J$66/10+'Reaction Information'!$K$66*100/(Calculations!$C$12+Calculations!$M160)+('Reaction Information'!$L$66+'Reaction Information'!$M$66*10000/(Calculations!$C$12+Calculations!$M160))/(Calculations!$O160-Calculations!$C$13)-calculateOmega(Calculations!M160,Calculations!N160,Calculations!Q160,'Reaction Information'!$C$66,'Reaction Information'!$P$66*10^5,'Reaction Information'!$Q$66)*Calculations!$U160*10^-6 + (1/$S160 - 1)*calculate_domegadP(Calculations!M160,Calculations!N160,Calculations!Q160,'Reaction Information'!$C$66,'Reaction Information'!$P$66*10^5,'Reaction Information'!$Q$66,$D$20,$D$19=3))*41.84)</f>
        <v>#N/A</v>
      </c>
      <c r="CF160" s="31">
        <f>(BS160*Input!$AO$4+BT160*Input!$AR$4+BU160*Input!$AU$4+BV160*Input!$AX$4+IF(ISNA(BW160),0,BW160*Input!$BA$4)+IF(ISNA(BX160),0,BX160*Input!$BD$4)+IF(ISNA(BY160),0,BY160*Input!$BG$4)+IF(ISNA(BZ160),0,BZ160*Input!$BJ$4)+IF(ISNA(CA160),0,CA160*Input!$BM$4)+IF(ISNA(CB160),0,CB160*Input!$BP$4)+IF(ISNA(CC160),0,CC160*Input!$BS$4)+IF(ISNA(CD160),0,CD160*Input!$BV$4)+IF(ISNA(CE160),0,CE160*Input!$BY$4))-(BF160*Input!$B$4+BG160*Input!$E$4+BH160*Input!$H$4+BI160*Input!$K$4+IF(ISNA(BJ160),0,BJ160*Input!$N$4)+IF(ISNA(BK160),0,BK160*Input!$Q$4)+IF(ISNA(BL160),0,BL160*Input!$T$4)+IF(ISNA(BM160),0,BM160*Input!$W$4)+IF(ISNA(BN160),0,BN160*Input!$Z$4)+IF(ISNA(BO160),0,BO160*Input!$AC$4)+IF(ISNA(BP160),0,BP160*Input!$AF$4)+IF(ISNA(BQ160),0,BQ160*Input!$AI$4)+IF(ISNA(BR160),0,BR160*Input!$AL$4))</f>
        <v>-10.724928530782929</v>
      </c>
      <c r="CG160" s="1">
        <f t="shared" si="50"/>
        <v>500</v>
      </c>
      <c r="CH160" s="46">
        <f t="shared" si="51"/>
        <v>55000</v>
      </c>
      <c r="CI160" s="1"/>
    </row>
    <row r="161" spans="1:87" x14ac:dyDescent="0.2">
      <c r="A161" s="1"/>
      <c r="B161" s="1"/>
      <c r="C161" s="1"/>
      <c r="D161" s="1"/>
      <c r="E161" s="1"/>
      <c r="F161" s="2">
        <v>156</v>
      </c>
      <c r="G161" s="1" t="str">
        <f>IF(ISBLANK(Input!CB161), "", Input!CB161*1000)</f>
        <v/>
      </c>
      <c r="H161" s="1" t="str">
        <f>IF(ISBLANK(Input!CC161), "", Input!CC161)</f>
        <v/>
      </c>
      <c r="I161" s="1">
        <f>IF(Input!$CF$5 + Input!$CF$6*(FLOOR((Calculations!$F161-1)/(FLOOR((Input!$CF$12-Input!$CF$10)/Input!$CF$11,1)+1),1)) &gt; Input!$CF$7, "", (Input!$CF$5 + Input!$CF$6*(FLOOR((Calculations!$F161-1)/(FLOOR((Input!$CF$12-Input!$CF$10)/Input!$CF$11,1)+1),1)))*1000)</f>
        <v>55000</v>
      </c>
      <c r="J161" s="1">
        <f>IF(Calculations!I161 = "", "", Input!$CF$10 + Input!$CF$11*(Calculations!$F161-1) - (FLOOR((Input!$CF$12-Input!$CF$10)/Input!$CF$11,1)+1)*Input!$CF$11*FLOOR((Calculations!$F161-1)/(FLOOR((Input!$CF$12-Input!$CF$10)/Input!$CF$11,1)+1),1))</f>
        <v>550</v>
      </c>
      <c r="K161" s="8" t="str">
        <f t="shared" si="52"/>
        <v/>
      </c>
      <c r="L161" s="117" t="str">
        <f>IF(OR(Input!$CJ$5 + Input!$CJ$6*(Calculations!F161-1) &gt; Input!$CJ$7, Input!$CJ$5 + Input!$CJ$6*(Calculations!F161-1) &gt; 350), "", Input!$CJ$5 + Input!$CJ$6*(Calculations!F161-1))</f>
        <v/>
      </c>
      <c r="M161" s="1">
        <f t="shared" si="42"/>
        <v>55000</v>
      </c>
      <c r="N161" s="1">
        <f t="shared" si="43"/>
        <v>550</v>
      </c>
      <c r="O161" s="1">
        <f t="shared" si="38"/>
        <v>823.15</v>
      </c>
      <c r="P161" s="1" t="e">
        <f>IF(OR($D$20=3,AND($D$21=TRUE,M161&lt;1000)),INDEX('Water Density'!$C$6:$CX$120,MATCH(Calculations!N161,'Water Density'!$B$6:$B$120),MATCH(Calculations!M161/1000,'Water Density'!$C$5:$CX$5)),NA())</f>
        <v>#N/A</v>
      </c>
      <c r="Q161" s="182">
        <f>IF(OR($D$20=3,AND($D$21=TRUE,M161&lt;1000)), IF(P161&lt;&gt;0,P161,NA()), calculateDensity(M161,N161,$D$20,0.01,$D$19 = 3))</f>
        <v>1.430412785951495</v>
      </c>
      <c r="R161" s="1" t="e">
        <f>IF($D$22=5,INDEX('Dielectric Constant'!$C$6:$CX$120,MATCH(Calculations!N161,'Dielectric Constant'!$B$6:$B$120),MATCH(Calculations!M161/1000,'Dielectric Constant'!$C$5:$CX$5)),NA())</f>
        <v>#N/A</v>
      </c>
      <c r="S161" s="58">
        <f>IF($D$22=5, IF(R161&lt;&gt;0,R161,NA()), IF(AND($D$23,M161&lt;=5000,$D$19 &lt;&gt; 3),calculateEpsilon(Q161,N161,1,FALSE),calculateEpsilon(Q161,N161,$D$22,$D$19 = 3)))</f>
        <v>37.484482890658882</v>
      </c>
      <c r="T161" s="1" t="e">
        <f>IF($D$24=3,INDEX('Water Free Energy'!$C$6:$CX$120,MATCH(Calculations!N161,'Water Free Energy'!$B$6:$B$120),MATCH(Calculations!M161/1000,'Water Free Energy'!$C$5:$CX$5)),NA())</f>
        <v>#N/A</v>
      </c>
      <c r="U161" s="179">
        <f>IF($D$27,calculateQ(M161,N161,Q161,$D$20,$D$22,$D$19=3)*10^6,NA())</f>
        <v>0.10519199353907065</v>
      </c>
      <c r="V161"/>
      <c r="W161" s="2">
        <f t="shared" si="44"/>
        <v>55000</v>
      </c>
      <c r="X161" s="1">
        <f t="shared" si="45"/>
        <v>550</v>
      </c>
      <c r="Y161" s="1">
        <f>Results!F163</f>
        <v>0</v>
      </c>
      <c r="Z161" s="1">
        <f>Results!G163</f>
        <v>0</v>
      </c>
      <c r="AA161" s="1">
        <f>Results!H163</f>
        <v>0</v>
      </c>
      <c r="AB161" s="1">
        <f>Results!I163</f>
        <v>0</v>
      </c>
      <c r="AC161" s="1" t="e">
        <f>IF(ISBLANK(Input!$O$4),NA(),'Reaction Information'!$E$5-'Reaction Information'!$G$5*(Calculations!$O161-Calculations!$C$8)+'Reaction Information'!$I$5*(Calculations!$O161-Calculations!$C$8-Calculations!$O161*LN(Calculations!$O161/Calculations!$C$8))+'Reaction Information'!$J$5*0.001/2*(2*Calculations!$O161*Calculations!$C$8-Calculations!$O161^2-Calculations!$C$8^2) + 'Reaction Information'!$K$5*100000*(Calculations!$O161^2 + Calculations!$C$8^2 - 2*Calculations!$O161*Calculations!$C$8)/(2*Calculations!$O161*Calculations!$C$8^2))</f>
        <v>#N/A</v>
      </c>
      <c r="AD161" s="8" t="e">
        <f>IF(ISBLANK(Input!$R$4),NA(),'Reaction Information'!$E$9-'Reaction Information'!$G$9*(Calculations!$O161-Calculations!$C$8)+'Reaction Information'!$I$9*(Calculations!$O161-Calculations!$C$8-Calculations!$O161*LN(Calculations!$O161/Calculations!$C$8))+'Reaction Information'!$J$9*0.001/2*(2*Calculations!$O161*Calculations!$C$8-Calculations!$O161^2-Calculations!$C$8^2) + 'Reaction Information'!$K$9*100000*(Calculations!$O161^2 + Calculations!$C$8^2 - 2*Calculations!$O161*Calculations!$C$8)/(2*Calculations!$O161*Calculations!$C$8^2))</f>
        <v>#N/A</v>
      </c>
      <c r="AE161" s="8">
        <f>IF(AE$5="H2O",IF($D$24=3,IF(T161=0,NA(),T161),calculateGibbsOfWater(M161,N161,$D$24,$D$20,$D$19=3)),NA())</f>
        <v>-50089.556008639236</v>
      </c>
      <c r="AF161" s="8">
        <f>IF(ISBLANK(Input!$X$4),NA(),'Reaction Information'!$E$13-'Reaction Information'!$G$13*(Calculations!O161-Calculations!$C$8)-'Reaction Information'!$N$13*(Calculations!O161*LN(Calculations!O161/Calculations!$C$8)-Calculations!O161+Calculations!$C$8)-'Reaction Information'!$O$13*10^4*(((1/(Calculations!O161-Calculations!$C$13))-(1/(Calculations!$C$8-Calculations!$C$13)))*((Calculations!$C$13-Calculations!O161)/(Calculations!$C$13))-(Calculations!O161/(Calculations!$C$13*Calculations!$C$13))*LN((Calculations!$C$8*(Calculations!O161-Calculations!$C$13))/(Calculations!O161*(Calculations!$C$8-Calculations!$C$13))))+'Reaction Information'!$J$13*10^-1*(Calculations!M161-Calculations!$C$9)+'Reaction Information'!$K$13*10^2*LN((Calculations!$C$12+Calculations!M161)/(Calculations!$C$12+Calculations!$C$9))+(1/(Calculations!O161-Calculations!$C$13))*('Reaction Information'!$L$13*(Calculations!M161-Calculations!$C$9)+'Reaction Information'!$M$13*10^4*LN((Calculations!$C$12+Calculations!M161)/(Calculations!$C$12+Calculations!$C$9)))+calculateOmega(Calculations!M161,Calculations!N161,Calculations!Q161,'Reaction Information'!$C$13,'Reaction Information'!$P$13*10^5,'Reaction Information'!$Q$13)*((1/Calculations!S161)-1)-'Reaction Information'!$P$13*10^5*((1/Calculations!$C$10)-1)+'Reaction Information'!$P$13*10^5*Calculations!$C$14*(Calculations!O161-Calculations!$C$8))</f>
        <v>-73303.04472890179</v>
      </c>
      <c r="AG161" s="8" t="e">
        <f>IF(ISBLANK(Input!$AA$4),NA(),'Reaction Information'!$E$17-'Reaction Information'!$G$17*(Calculations!$O161-Calculations!$C$8)-'Reaction Information'!$N$17*(Calculations!$O161*LN(Calculations!$O161/Calculations!$C$8)-Calculations!$O161+Calculations!$C$8)-'Reaction Information'!$O$17*10^4*(((1/(Calculations!$O161-Calculations!$C$13))-(1/(Calculations!$C$8-Calculations!$C$13)))*((Calculations!$C$13-Calculations!$O161)/(Calculations!$C$13))-(Calculations!$O161/(Calculations!$C$13*Calculations!$C$13))*LN((Calculations!$C$8*(Calculations!$O161-Calculations!$C$13))/(Calculations!$O161*(Calculations!$C$8-Calculations!$C$13))))+'Reaction Information'!$J$17*10^-1*(Calculations!$M161-Calculations!$C$9)+'Reaction Information'!$K$17*10^2*LN((Calculations!$C$12+Calculations!$M161)/(Calculations!$C$12+Calculations!$C$9))+(1/(Calculations!$O161-Calculations!$C$13))*('Reaction Information'!$L$17*(Calculations!$M161-Calculations!$C$9)+'Reaction Information'!$M$17*10^4*LN((Calculations!$C$12+Calculations!$M161)/(Calculations!$C$12+Calculations!$C$9)))+calculateOmega(Calculations!M161,Calculations!N161,Calculations!Q161,'Reaction Information'!$C$17,'Reaction Information'!$P$17*10^5,'Reaction Information'!$Q$17)*((1/Calculations!$S161)-1)-'Reaction Information'!$P$17*10^5*((1/Calculations!$C$10)-1)+'Reaction Information'!$P$17*10^5*Calculations!$C$14*(Calculations!$O161-Calculations!$C$8))</f>
        <v>#N/A</v>
      </c>
      <c r="AH161" s="8" t="e">
        <f>IF(ISBLANK(Input!$AD$4),NA(),'Reaction Information'!$E$21-'Reaction Information'!$G$21*(Calculations!$O161-Calculations!$C$8)-'Reaction Information'!$N$21*(Calculations!$O161*LN(Calculations!$O161/Calculations!$C$8)-Calculations!$O161+Calculations!$C$8)-'Reaction Information'!$O$21*10^4*(((1/(Calculations!$O161-Calculations!$C$13))-(1/(Calculations!$C$8-Calculations!$C$13)))*((Calculations!$C$13-Calculations!$O161)/(Calculations!$C$13))-(Calculations!$O161/(Calculations!$C$13*Calculations!$C$13))*LN((Calculations!$C$8*(Calculations!$O161-Calculations!$C$13))/(Calculations!$O161*(Calculations!$C$8-Calculations!$C$13))))+'Reaction Information'!$J$21*10^-1*(Calculations!$M161-Calculations!$C$9)+'Reaction Information'!$K$21*10^2*LN((Calculations!$C$12+Calculations!$M161)/(Calculations!$C$12+Calculations!$C$9))+(1/(Calculations!$O161-Calculations!$C$13))*('Reaction Information'!$L$21*(Calculations!$M161-Calculations!$C$9)+'Reaction Information'!$M$21*10^4*LN((Calculations!$C$12+Calculations!$M161)/(Calculations!$C$12+Calculations!$C$9)))+calculateOmega(Calculations!M161,Calculations!N161,Calculations!Q161,'Reaction Information'!$C$21,'Reaction Information'!$P$21*10^5,'Reaction Information'!$Q$21)*((1/Calculations!$S161)-1)-'Reaction Information'!$P$21*10^5*((1/Calculations!$C$10)-1)+'Reaction Information'!$P$21*10^5*Calculations!$C$14*(Calculations!$O161-Calculations!$C$8))</f>
        <v>#N/A</v>
      </c>
      <c r="AI161" s="8" t="e">
        <f>IF(ISBLANK(Input!$AG$4),NA(),'Reaction Information'!$E$25-'Reaction Information'!$G$25*(Calculations!$O161-Calculations!$C$8)-'Reaction Information'!$N$25*(Calculations!$O161*LN(Calculations!$O161/Calculations!$C$8)-Calculations!$O161+Calculations!$C$8)-'Reaction Information'!$O$25*10^4*(((1/(Calculations!$O161-Calculations!$C$13))-(1/(Calculations!$C$8-Calculations!$C$13)))*((Calculations!$C$13-Calculations!$O161)/(Calculations!$C$13))-(Calculations!$O161/(Calculations!$C$13*Calculations!$C$13))*LN((Calculations!$C$8*(Calculations!$O161-Calculations!$C$13))/(Calculations!$O161*(Calculations!$C$8-Calculations!$C$13))))+'Reaction Information'!$J$25*10^-1*(Calculations!$M161-Calculations!$C$9)+'Reaction Information'!$K$25*10^2*LN((Calculations!$C$12+Calculations!$M161)/(Calculations!$C$12+Calculations!$C$9))+(1/(Calculations!$O161-Calculations!$C$13))*('Reaction Information'!$L$25*(Calculations!$M161-Calculations!$C$9)+'Reaction Information'!$M$25*10^4*LN((Calculations!$C$12+Calculations!$M161)/(Calculations!$C$12+Calculations!$C$9)))+calculateOmega(Calculations!M161,Calculations!N161,Calculations!Q161,'Reaction Information'!$C$25,'Reaction Information'!$P$25*10^5,'Reaction Information'!$Q$25)*((1/Calculations!$S161)-1)-'Reaction Information'!$P$25*10^5*((1/Calculations!$C$10)-1)+'Reaction Information'!$P$25*10^5*Calculations!$C$14*(Calculations!$O161-Calculations!$C$8))</f>
        <v>#N/A</v>
      </c>
      <c r="AJ161" s="8" t="e">
        <f>IF(ISBLANK(Input!$AJ$4),NA(),'Reaction Information'!$E$29-'Reaction Information'!$G$29*(Calculations!$O161-Calculations!$C$8)-'Reaction Information'!$N$29*(Calculations!$O161*LN(Calculations!$O161/Calculations!$C$8)-Calculations!$O161+Calculations!$C$8)-'Reaction Information'!$O$29*10^4*(((1/(Calculations!$O161-Calculations!$C$13))-(1/(Calculations!$C$8-Calculations!$C$13)))*((Calculations!$C$13-Calculations!$O161)/(Calculations!$C$13))-(Calculations!$O161/(Calculations!$C$13*Calculations!$C$13))*LN((Calculations!$C$8*(Calculations!$O161-Calculations!$C$13))/(Calculations!$O161*(Calculations!$C$8-Calculations!$C$13))))+'Reaction Information'!$J$29*10^-1*(Calculations!$M161-Calculations!$C$9)+'Reaction Information'!$K$29*10^2*LN((Calculations!$C$12+Calculations!$M161)/(Calculations!$C$12+Calculations!$C$9))+(1/(Calculations!$O161-Calculations!$C$13))*('Reaction Information'!$L$29*(Calculations!$M161-Calculations!$C$9)+'Reaction Information'!$M$29*10^4*LN((Calculations!$C$12+Calculations!$M161)/(Calculations!$C$12+Calculations!$C$9)))+calculateOmega(Calculations!M161,Calculations!N161,Calculations!Q161,'Reaction Information'!$C$29,'Reaction Information'!$P$29*10^5,'Reaction Information'!$Q$29)*((1/Calculations!$S161)-1)-'Reaction Information'!$P$29*10^5*((1/Calculations!$C$10)-1)+'Reaction Information'!$P$29*10^5*Calculations!$C$14*(Calculations!$O161-Calculations!$C$8))</f>
        <v>#N/A</v>
      </c>
      <c r="AK161" s="8" t="e">
        <f>IF(ISBLANK(Input!$AM$4),NA(),'Reaction Information'!$E$33-'Reaction Information'!$G$33*(Calculations!$O161-Calculations!$C$8)-'Reaction Information'!$N$33*(Calculations!$O161*LN(Calculations!$O161/Calculations!$C$8)-Calculations!$O161+Calculations!$C$8)-'Reaction Information'!$O$33*10^4*(((1/(Calculations!$O161-Calculations!$C$13))-(1/(Calculations!$C$8-Calculations!$C$13)))*((Calculations!$C$13-Calculations!$O161)/(Calculations!$C$13))-(Calculations!$O161/(Calculations!$C$13*Calculations!$C$13))*LN((Calculations!$C$8*(Calculations!$O161-Calculations!$C$13))/(Calculations!$O161*(Calculations!$C$8-Calculations!$C$13))))+'Reaction Information'!$J$33*10^-1*(Calculations!$M161-Calculations!$C$9)+'Reaction Information'!$K$33*10^2*LN((Calculations!$C$12+Calculations!$M161)/(Calculations!$C$12+Calculations!$C$9))+(1/(Calculations!$O161-Calculations!$C$13))*('Reaction Information'!$L$33*(Calculations!$M161-Calculations!$C$9)+'Reaction Information'!$M$33*10^4*LN((Calculations!$C$12+Calculations!$M161)/(Calculations!$C$12+Calculations!$C$9)))+calculateOmega(Calculations!M161,Calculations!N161,Calculations!Q161,'Reaction Information'!$C$33,'Reaction Information'!$P$33*10^5,'Reaction Information'!$Q$33)*((1/Calculations!$S161)-1)-'Reaction Information'!$P$33*10^5*((1/Calculations!$C$10)-1)+'Reaction Information'!$P$33*10^5*Calculations!$C$14*(Calculations!$O161-Calculations!$C$8))</f>
        <v>#N/A</v>
      </c>
      <c r="AL161" s="1">
        <f>Results!S163</f>
        <v>0</v>
      </c>
      <c r="AM161" s="1">
        <f>Results!T163</f>
        <v>0</v>
      </c>
      <c r="AN161" s="1">
        <f>Results!U163</f>
        <v>0</v>
      </c>
      <c r="AO161" s="1">
        <f>Results!V163</f>
        <v>0</v>
      </c>
      <c r="AP161" s="8" t="e">
        <f>IF(ISBLANK(Input!$BB$4),NA(),'Reaction Information'!$E$38-'Reaction Information'!$G$38*(Calculations!$O161-Calculations!$C$8)+'Reaction Information'!$I$38*(Calculations!$O161-Calculations!$C$8-Calculations!$O161*LN(Calculations!$O161/Calculations!$C$8))+'Reaction Information'!$J$38*0.001/2*(2*Calculations!$O161*Calculations!$C$8-Calculations!$O161^2-Calculations!$C$8^2) + 'Reaction Information'!$K$38*100000*(Calculations!$O161^2 + Calculations!$C$8^2 - 2*Calculations!$O161*Calculations!$C$8)/(2*Calculations!$O161*Calculations!$C$8^2))</f>
        <v>#N/A</v>
      </c>
      <c r="AQ161" s="8" t="e">
        <f>IF(ISBLANK(Input!$BE$4),NA(),'Reaction Information'!$E$42-'Reaction Information'!$G$42*(Calculations!$O161-Calculations!$C$8)+'Reaction Information'!$I$42*(Calculations!$O161-Calculations!$C$8-Calculations!$O161*LN(Calculations!$O161/Calculations!$C$8))+'Reaction Information'!$J$42*0.001/2*(2*Calculations!$O161*Calculations!$C$8-Calculations!$O161^2-Calculations!$C$8^2) + 'Reaction Information'!$K$42*100000*(Calculations!$O161^2 + Calculations!$C$8^2 - 2*Calculations!$O161*Calculations!$C$8)/(2*Calculations!$O161*Calculations!$C$8^2))</f>
        <v>#N/A</v>
      </c>
      <c r="AR161" s="8" t="e">
        <f>IF(AR$5="H2O", IF($D$24=3,IF(T161=0,NA(),T161),calculateGibbsOfWater(M161,N161,$D$24,$D$20,$D$19=3)),NA())</f>
        <v>#N/A</v>
      </c>
      <c r="AS161" s="8">
        <f>IF(ISBLANK(Input!$BK$4),NA(),'Reaction Information'!$E$46-'Reaction Information'!$G$46*(Calculations!O161-Calculations!$C$8)-'Reaction Information'!$N$46*(Calculations!O161*LN(Calculations!O161/Calculations!$C$8)-Calculations!O161+Calculations!$C$8)-'Reaction Information'!$O$46*10^4*(((1/(Calculations!O161-Calculations!$C$13))-(1/(Calculations!$C$8-Calculations!$C$13)))*((Calculations!$C$13-Calculations!O161)/(Calculations!$C$13))-(Calculations!O161/(Calculations!$C$13*Calculations!$C$13))*LN((Calculations!$C$8*(Calculations!O161-Calculations!$C$13))/(Calculations!O161*(Calculations!$C$8-Calculations!$C$13))))+'Reaction Information'!$J$46*10^-1*(Calculations!$M161-Calculations!$C$9)+'Reaction Information'!$K$46*10^2*LN((Calculations!$C$12+Calculations!$M161)/(Calculations!$C$12+Calculations!$C$9))+(1/(Calculations!O161-Calculations!$C$13))*('Reaction Information'!$L$46*(Calculations!$M161-Calculations!$C$9)+'Reaction Information'!$M$46*10^4*LN((Calculations!$C$12+Calculations!$M161)/(Calculations!$C$12+Calculations!$C$9)))+calculateOmega(Calculations!M161,Calculations!N161,Calculations!Q161,'Reaction Information'!$C$46,'Reaction Information'!$P$46*10^5,'Reaction Information'!$Q$46)*((1/Calculations!S161)-1)-'Reaction Information'!$P$46*10^5*((1/Calculations!$C$10)-1)+'Reaction Information'!$P$46*10^5*Calculations!$C$14*(Calculations!O161-Calculations!$C$8))</f>
        <v>0</v>
      </c>
      <c r="AT161" s="8">
        <f>IF(ISBLANK(Input!$BN$4),NA(),'Reaction Information'!$E$50-'Reaction Information'!$G$50*(Calculations!O161-Calculations!$C$8)-'Reaction Information'!$N$50*(Calculations!O161*LN(Calculations!O161/Calculations!$C$8)-Calculations!O161+Calculations!$C$8)-'Reaction Information'!$O$50*10^4*(((1/(Calculations!O161-Calculations!$C$13))-(1/(Calculations!$C$8-Calculations!$C$13)))*((Calculations!$C$13-Calculations!O161)/(Calculations!$C$13))-(Calculations!O161/(Calculations!$C$13*Calculations!$C$13))*LN((Calculations!$C$8*(Calculations!O161-Calculations!$C$13))/(Calculations!O161*(Calculations!$C$8-Calculations!$C$13))))+'Reaction Information'!$J$50*10^-1*(Calculations!$M161-Calculations!$C$9)+'Reaction Information'!$K$50*10^2*LN((Calculations!$C$12+Calculations!$M161)/(Calculations!$C$12+Calculations!$C$9))+(1/(Calculations!O161-Calculations!$C$13))*('Reaction Information'!$L$50*(Calculations!$M161-Calculations!$C$9)+'Reaction Information'!$M$50*10^4*LN((Calculations!$C$12+Calculations!$M161)/(Calculations!$C$12+Calculations!$C$9)))+calculateOmega(Calculations!M161,Calculations!N161,Calculations!Q161,'Reaction Information'!$C$50,'Reaction Information'!$P$50*10^5,'Reaction Information'!$Q$50)*((1/Calculations!S161)-1)-'Reaction Information'!$P$50*10^5*((1/Calculations!$C$10)-1)+'Reaction Information'!$P$50*10^5*Calculations!$C$14*(Calculations!O161-Calculations!$C$8))</f>
        <v>-115318.00099284753</v>
      </c>
      <c r="AU161" s="8" t="e">
        <f>IF(ISBLANK(Input!$BQ$4),NA(),'Reaction Information'!$E$54-'Reaction Information'!$G$54*(Calculations!$O161-Calculations!$C$8)-'Reaction Information'!$N$54*(Calculations!$O161*LN(Calculations!$O161/Calculations!$C$8)-Calculations!$O161+Calculations!$C$8)-'Reaction Information'!$O$54*10^4*(((1/(Calculations!$O161-Calculations!$C$13))-(1/(Calculations!$C$8-Calculations!$C$13)))*((Calculations!$C$13-Calculations!$O161)/(Calculations!$C$13))-(Calculations!$O161/(Calculations!$C$13*Calculations!$C$13))*LN((Calculations!$C$8*(Calculations!$O161-Calculations!$C$13))/(Calculations!$O161*(Calculations!$C$8-Calculations!$C$13))))+'Reaction Information'!$J$54*10^-1*(Calculations!$M161-Calculations!$C$9)+'Reaction Information'!$K$54*10^2*LN((Calculations!$C$12+Calculations!$M161)/(Calculations!$C$12+Calculations!$C$9))+(1/(Calculations!$O161-Calculations!$C$13))*('Reaction Information'!$L$54*(Calculations!$M161-Calculations!$C$9)+'Reaction Information'!$M$54*10^4*LN((Calculations!$C$12+Calculations!$M161)/(Calculations!$C$12+Calculations!$C$9)))+calculateOmega(Calculations!M161,Calculations!N161,Calculations!Q161,'Reaction Information'!$C$54,'Reaction Information'!$P$54*10^5,'Reaction Information'!$Q$54)*((1/Calculations!$S161)-1)-'Reaction Information'!$P$54*10^5*((1/Calculations!$C$10)-1)+'Reaction Information'!$P$54*10^5*Calculations!$C$14*(Calculations!$O161-Calculations!$C$8))</f>
        <v>#N/A</v>
      </c>
      <c r="AV161" s="8" t="e">
        <f>IF(ISBLANK(Input!$BT$4),NA(),'Reaction Information'!$E$58-'Reaction Information'!$G$58*(Calculations!$O161-Calculations!$C$8)-'Reaction Information'!$N$58*(Calculations!$O161*LN(Calculations!$O161/Calculations!$C$8)-Calculations!$O161+Calculations!$C$8)-'Reaction Information'!$O$58*10^4*(((1/(Calculations!$O161-Calculations!$C$13))-(1/(Calculations!$C$8-Calculations!$C$13)))*((Calculations!$C$13-Calculations!$O161)/(Calculations!$C$13))-(Calculations!$O161/(Calculations!$C$13*Calculations!$C$13))*LN((Calculations!$C$8*(Calculations!$O161-Calculations!$C$13))/(Calculations!$O161*(Calculations!$C$8-Calculations!$C$13))))+'Reaction Information'!$J$58*10^-1*(Calculations!$M161-Calculations!$C$9)+'Reaction Information'!$K$58*10^2*LN((Calculations!$C$12+Calculations!$M161)/(Calculations!$C$12+Calculations!$C$9))+(1/(Calculations!$O161-Calculations!$C$13))*('Reaction Information'!$L$58*(Calculations!$M161-Calculations!$C$9)+'Reaction Information'!$M$58*10^4*LN((Calculations!$C$12+Calculations!$M161)/(Calculations!$C$12+Calculations!$C$9)))+calculateOmega(Calculations!M161,Calculations!N161,Calculations!Q161,'Reaction Information'!$C$58,'Reaction Information'!$P$58*10^5,'Reaction Information'!$Q$58)*((1/Calculations!$S161)-1)-'Reaction Information'!$P$58*10^5*((1/Calculations!$C$10)-1)+'Reaction Information'!$P$58*10^5*Calculations!$C$14*(Calculations!$O161-Calculations!$C$8))</f>
        <v>#N/A</v>
      </c>
      <c r="AW161" s="8" t="e">
        <f>IF(ISBLANK(Input!$BW$4),NA(),'Reaction Information'!$E$62-'Reaction Information'!$G$62*(Calculations!$O161-Calculations!$C$8)-'Reaction Information'!$N$62*(Calculations!$O161*LN(Calculations!$O161/Calculations!$C$8)-Calculations!$O161+Calculations!$C$8)-'Reaction Information'!$O$62*10^4*(((1/(Calculations!$O161-Calculations!$C$13))-(1/(Calculations!$C$8-Calculations!$C$13)))*((Calculations!$C$13-Calculations!$O161)/(Calculations!$C$13))-(Calculations!$O161/(Calculations!$C$13*Calculations!$C$13))*LN((Calculations!$C$8*(Calculations!$O161-Calculations!$C$13))/(Calculations!$O161*(Calculations!$C$8-Calculations!$C$13))))+'Reaction Information'!$J$62*10^-1*(Calculations!$M161-Calculations!$C$9)+'Reaction Information'!$K$62*10^2*LN((Calculations!$C$12+Calculations!$M161)/(Calculations!$C$12+Calculations!$C$9))+(1/(Calculations!$O161-Calculations!$C$13))*('Reaction Information'!$L$62*(Calculations!$M161-Calculations!$C$9)+'Reaction Information'!$M$62*10^4*LN((Calculations!$C$12+Calculations!$M161)/(Calculations!$C$12+Calculations!$C$9)))+calculateOmega(Calculations!M161,Calculations!N161,Calculations!Q161,'Reaction Information'!$C$62,'Reaction Information'!$P$62*10^5,'Reaction Information'!$Q$62)*((1/Calculations!$S161)-1)-'Reaction Information'!$P$62*10^5*((1/Calculations!$C$10)-1)+'Reaction Information'!$P$62*10^5*Calculations!$C$14*(Calculations!$O161-Calculations!$C$8))</f>
        <v>#N/A</v>
      </c>
      <c r="AX161" s="8" t="e">
        <f>IF(ISBLANK(Input!$BZ$4),NA(),'Reaction Information'!$E$66-'Reaction Information'!$G$66*(Calculations!$O161-Calculations!$C$8)-'Reaction Information'!$N$66*(Calculations!$O161*LN(Calculations!$O161/Calculations!$C$8)-Calculations!$O161+Calculations!$C$8)-'Reaction Information'!$O$66*10^4*(((1/(Calculations!$O161-Calculations!$C$13))-(1/(Calculations!$C$8-Calculations!$C$13)))*((Calculations!$C$13-Calculations!$O161)/(Calculations!$C$13))-(Calculations!$O161/(Calculations!$C$13*Calculations!$C$13))*LN((Calculations!$C$8*(Calculations!$O161-Calculations!$C$13))/(Calculations!$O161*(Calculations!$C$8-Calculations!$C$13))))+'Reaction Information'!$J$66*10^-1*(Calculations!$M161-Calculations!$C$9)+'Reaction Information'!$K$66*10^2*LN((Calculations!$C$12+Calculations!$M161)/(Calculations!$C$12+Calculations!$C$9))+(1/(Calculations!$O161-Calculations!$C$13))*('Reaction Information'!$L$66*(Calculations!$M161-Calculations!$C$9)+'Reaction Information'!$M$66*10^4*LN((Calculations!$C$12+Calculations!$M161)/(Calculations!$C$12+Calculations!$C$9)))+calculateOmega(Calculations!M161,Calculations!N161,Calculations!Q161,'Reaction Information'!$C$66,'Reaction Information'!$P$66*10^5,'Reaction Information'!$Q$66)*((1/Calculations!$S161)-1)-'Reaction Information'!$P$66*10^5*((1/Calculations!$C$10)-1)+'Reaction Information'!$P$66*10^5*Calculations!$C$14*(Calculations!$O161-Calculations!$C$8))</f>
        <v>#N/A</v>
      </c>
      <c r="AY161" s="31">
        <f>(AL161*Input!$AO$4+AM161*Input!$AR$4+AN161*Input!$AU$4+AO161*Input!$AX$4+IF(ISNA(AP161),0,AP161*Input!$BA$4)+IF(ISNA(AQ161),0,AQ161*Input!$BD$4)+IF(ISNA(AR161),0,AR161*Input!$BG$4)+IF(ISNA(AS161),0,AS161*Input!$BJ$4)+IF(ISNA(AT161),0,AT161*Input!$BM$4)+IF(ISNA(AU161),0,AU161*Input!$BP$4)+IF(ISNA(AV161),0,AV161*Input!$BS$4)+IF(ISNA(AW161),0,AW161*Input!$BV$4)+IF(ISNA(AX161),0,AX161*Input!$BY$4))-(Y161*Input!$B$4+Z161*Input!$E$4+AA161*Input!$H$4+AB161*Input!$K$4+IF(ISNA(AC161),0,AC161*Input!$N$4)+IF(ISNA(AD161),0,AD161*Input!$Q$4)+IF(ISNA(AE161),0,AE161*Input!$T$4)+IF(ISNA(AF161),0,AF161*Input!$W$4)+IF(ISNA(AG161),0,AG161*Input!$Z$4)+IF(ISNA(AH161),0,AH161*Input!$AC$4)+IF(ISNA(AI161),0,AI161*Input!$AF$4)+IF(ISNA(AJ161),0,AJ161*Input!$AI$4)+IF(ISNA(AK161),0,AK161*Input!$AL$4))</f>
        <v>8074.5997446934925</v>
      </c>
      <c r="AZ161" s="42">
        <f t="shared" si="39"/>
        <v>-2.1452301630363779</v>
      </c>
      <c r="BA161" s="1">
        <f t="shared" si="46"/>
        <v>550</v>
      </c>
      <c r="BB161" s="46">
        <f t="shared" si="47"/>
        <v>55000</v>
      </c>
      <c r="BC161" s="1"/>
      <c r="BD161" s="2">
        <f t="shared" si="48"/>
        <v>55000</v>
      </c>
      <c r="BE161" s="46">
        <f t="shared" si="49"/>
        <v>550</v>
      </c>
      <c r="BF161" s="1">
        <f>Results!AJ163</f>
        <v>0</v>
      </c>
      <c r="BG161" s="1">
        <f>Results!AK163</f>
        <v>0</v>
      </c>
      <c r="BH161" s="1">
        <f>Results!AL163</f>
        <v>0</v>
      </c>
      <c r="BI161" s="1">
        <f>Results!AM163</f>
        <v>0</v>
      </c>
      <c r="BJ161" s="1" t="e">
        <f>IF(OR(ISNA('Reaction Information'!$D$5), $N161 = "", $D$27 = FALSE, 'Reaction Information'!$D$5 = ""), NA(), 24.465)</f>
        <v>#N/A</v>
      </c>
      <c r="BK161" s="1" t="e">
        <f>IF(OR(ISNA('Reaction Information'!$D$9), $N161 = "", $D$27 = FALSE, 'Reaction Information'!$D$9 = ""), NA(), 24.465)</f>
        <v>#N/A</v>
      </c>
      <c r="BL161" s="8">
        <f t="shared" si="40"/>
        <v>12.594462365642539</v>
      </c>
      <c r="BM161" s="8">
        <f>IF(OR(ISBLANK(Input!$X$4),$D$27=FALSE),NA(),('Reaction Information'!$J$13/10+'Reaction Information'!$K$13*100/(Calculations!$C$12+Calculations!$M161)+('Reaction Information'!$L$13+'Reaction Information'!$M$13*10^4/(Calculations!$C$12+Calculations!$M161))/(Calculations!$O161-Calculations!$C$13) -calculateOmega(Calculations!$M161,Calculations!$N161,Calculations!$Q161,'Reaction Information'!$C$13,'Reaction Information'!$P$13*10^5,'Reaction Information'!$Q$13)*Calculations!$U161*10^-6 + (1/$S161 - 1)*calculate_domegadP(Calculations!$M161,Calculations!$N161,Calculations!$Q161,'Reaction Information'!$C$13,'Reaction Information'!$P$13*10^5,'Reaction Information'!$Q$13,$D$20,$D$19=3))*41.84)</f>
        <v>29.822340100703673</v>
      </c>
      <c r="BN161" s="8" t="e">
        <f>IF(OR(ISBLANK(Input!$AA$4),$D$27=FALSE),NA(),('Reaction Information'!$J$17/10+'Reaction Information'!$K$17*100/(Calculations!$C$12+Calculations!$M161)+('Reaction Information'!$L$17+'Reaction Information'!$M$17*10000/(Calculations!$C$12+Calculations!$M161))/(Calculations!$O161-Calculations!$C$13)-calculateOmega(Calculations!M161,Calculations!N161,Calculations!Q161,'Reaction Information'!$C$17,'Reaction Information'!$P$17*10^5,'Reaction Information'!$Q$17)*Calculations!$U161*10^-6 + (1/$S161 - 1)*calculate_domegadP(Calculations!M161,Calculations!N161,Calculations!Q161,'Reaction Information'!$C$17,'Reaction Information'!$P$17*10^5,'Reaction Information'!$Q$17,$D$20,$D$19=3))*41.84)</f>
        <v>#N/A</v>
      </c>
      <c r="BO161" s="8" t="e">
        <f>IF(OR(ISBLANK(Input!$AD$4),$D$27=FALSE),NA(),('Reaction Information'!$J$21/10+'Reaction Information'!$K$21*100/(Calculations!$C$12+Calculations!$M161)+('Reaction Information'!$L$21+'Reaction Information'!$M$21*10000/(Calculations!$C$12+Calculations!$M161))/(Calculations!$O161-Calculations!$C$13)-calculateOmega(Calculations!M161,Calculations!N161,Calculations!Q161,'Reaction Information'!$C$21,'Reaction Information'!$P$21*10^5,'Reaction Information'!$Q$21)*Calculations!$U161*10^-6 + (1/$S161 - 1)*calculate_domegadP(Calculations!M161,Calculations!N161,Calculations!Q161,'Reaction Information'!$C$21,'Reaction Information'!$P$21*10^5,'Reaction Information'!$Q$21,$D$20,$D$19=3))*41.84)</f>
        <v>#N/A</v>
      </c>
      <c r="BP161" s="8" t="e">
        <f>IF(OR(ISBLANK(Input!$AG$4),$D$27=FALSE),NA(),('Reaction Information'!$J$25/10+'Reaction Information'!$K$25*100/(Calculations!$C$12+Calculations!$M161)+('Reaction Information'!$L$25+'Reaction Information'!$M$25*10000/(Calculations!$C$12+Calculations!$M161))/(Calculations!$O161-Calculations!$C$13)-calculateOmega(Calculations!M161,Calculations!N161,Calculations!Q161,'Reaction Information'!$C$25,'Reaction Information'!$P$25*10^5,'Reaction Information'!$Q$25)*Calculations!$U161*10^-6 + (1/$S161 - 1)*calculate_domegadP(Calculations!M161,Calculations!N161,Calculations!Q161,'Reaction Information'!$C$25,'Reaction Information'!$P$25*10^5,'Reaction Information'!$Q$25,$D$20,$D$19=3))*41.84)</f>
        <v>#N/A</v>
      </c>
      <c r="BQ161" s="8" t="e">
        <f>IF(OR(ISBLANK(Input!$AJ$4),$D$27=FALSE),NA(),('Reaction Information'!$J$29/10+'Reaction Information'!$K$29*100/(Calculations!$C$12+Calculations!$M161)+('Reaction Information'!$L$29+'Reaction Information'!$M$29*10000/(Calculations!$C$12+Calculations!$M161))/(Calculations!$O161-Calculations!$C$13)-calculateOmega(Calculations!M161,Calculations!N161,Calculations!Q161,'Reaction Information'!$C$29,'Reaction Information'!$P$29*10^5,'Reaction Information'!$Q$29)*Calculations!$U161*10^-6 + (1/$S161 - 1)*calculate_domegadP(Calculations!M161,Calculations!N161,Calculations!Q161,'Reaction Information'!$C$29,'Reaction Information'!$P$29*10^5,'Reaction Information'!$Q$29,$D$20,$D$19=3))*41.84)</f>
        <v>#N/A</v>
      </c>
      <c r="BR161" s="8" t="e">
        <f>IF(OR(ISBLANK(Input!$AM$4),$D$27=FALSE),NA(),('Reaction Information'!$J$33/10+'Reaction Information'!$K$33*100/(Calculations!$C$12+Calculations!$M161)+('Reaction Information'!$L$33+'Reaction Information'!$M$33*10000/(Calculations!$C$12+Calculations!$M161))/(Calculations!$O161-Calculations!$C$13)-calculateOmega(Calculations!M161,Calculations!N161,Calculations!Q161,'Reaction Information'!$C$33,'Reaction Information'!$P$33*10^5,'Reaction Information'!$Q$33)*Calculations!$U161*10^-6 + (1/$S161 - 1)*calculate_domegadP(Calculations!M161,Calculations!N161,Calculations!Q161,'Reaction Information'!$C$33,'Reaction Information'!$P$33*10^5,'Reaction Information'!$Q$33,$D$20,$D$19=3))*41.84)</f>
        <v>#N/A</v>
      </c>
      <c r="BS161" s="1">
        <f>Results!AW163</f>
        <v>0</v>
      </c>
      <c r="BT161" s="1">
        <f>Results!AX163</f>
        <v>0</v>
      </c>
      <c r="BU161" s="1">
        <f>Results!AY163</f>
        <v>0</v>
      </c>
      <c r="BV161" s="1">
        <f>Results!AZ163</f>
        <v>0</v>
      </c>
      <c r="BW161" s="1" t="e">
        <f>IF(OR(ISNA('Reaction Information'!$D$38), $N161 = "", $D$27 = FALSE, 'Reaction Information'!$D$38 = ""), NA(), 24.465)</f>
        <v>#N/A</v>
      </c>
      <c r="BX161" s="1" t="e">
        <f>IF(OR(ISNA('Reaction Information'!$D$42), $N161 = "", $D$27 = FALSE, 'Reaction Information'!$D$42 = ""), NA(), 24.465)</f>
        <v>#N/A</v>
      </c>
      <c r="BY161" s="8" t="e">
        <f t="shared" si="41"/>
        <v>#N/A</v>
      </c>
      <c r="BZ161" s="8">
        <f>IF(OR(ISBLANK(Input!$BK$4),$D$27=FALSE),NA(),('Reaction Information'!$J$46/10+'Reaction Information'!$K$46*100/(Calculations!$C$12+Calculations!$M161)+('Reaction Information'!$L$46+'Reaction Information'!$M$46*10000/(Calculations!$C$12+Calculations!$M161))/(Calculations!$O161-Calculations!$C$13)-calculateOmega(Calculations!M161,Calculations!N161,Calculations!Q161,'Reaction Information'!$C$46,'Reaction Information'!$P$46*10^5,'Reaction Information'!$Q$46)*Calculations!$U161*10^-6 + (1/$S161 - 1)*calculate_domegadP(Calculations!M161,Calculations!N161,Calculations!Q161,'Reaction Information'!$C$46,'Reaction Information'!$P$46*10^5,'Reaction Information'!$Q$46,$D$20,$D$19=3))*41.84)</f>
        <v>0</v>
      </c>
      <c r="CA161" s="8">
        <f>IF(OR(ISBLANK(Input!$BN$4),$D$27=FALSE),NA(),('Reaction Information'!$J$50/10+'Reaction Information'!$K$50*100/(Calculations!$C$12+Calculations!$M161)+('Reaction Information'!$L$50+'Reaction Information'!$M$50*10000/(Calculations!$C$12+Calculations!$M161))/(Calculations!$O161-Calculations!$C$13)-calculateOmega(Calculations!M161,Calculations!N161,Calculations!Q161,'Reaction Information'!$C$50,'Reaction Information'!$P$50*10^5,'Reaction Information'!$Q$50)*Calculations!$U161*10^-6 + (1/$S161 - 1)*calculate_domegadP(Calculations!M161,Calculations!N161,Calculations!Q161,'Reaction Information'!$C$50,'Reaction Information'!$P$50*10^5,'Reaction Information'!$Q$50,$D$20,$D$19=3))*41.84)</f>
        <v>31.521781247501291</v>
      </c>
      <c r="CB161" s="8" t="e">
        <f>IF(OR(ISBLANK(Input!$BQ$4),$D$27=FALSE),NA(),('Reaction Information'!$J$54/10+'Reaction Information'!$K$54*100/(Calculations!$C$12+Calculations!$M161)+('Reaction Information'!$L$54+'Reaction Information'!$M$54*10000/(Calculations!$C$12+Calculations!$M161))/(Calculations!$O161-Calculations!$C$13)-calculateOmega(Calculations!M161,Calculations!N161,Calculations!Q161,'Reaction Information'!$C$54,'Reaction Information'!$P$54*10^5,'Reaction Information'!$Q$54)*Calculations!$U161*10^-6 + (1/$S161 - 1)*calculate_domegadP(Calculations!M161,Calculations!N161,Calculations!Q161,'Reaction Information'!$C$54,'Reaction Information'!$P$54*10^5,'Reaction Information'!$Q$54,$D$20,$D$19=3))*41.84)</f>
        <v>#N/A</v>
      </c>
      <c r="CC161" s="8" t="e">
        <f>IF(OR(ISBLANK(Input!$BT$4),$D$27=FALSE),NA(),('Reaction Information'!$J$58/10+'Reaction Information'!$K$58*100/(Calculations!$C$12+Calculations!$M161)+('Reaction Information'!$L$58+'Reaction Information'!$M$58*10000/(Calculations!$C$12+Calculations!$M161))/(Calculations!$O161-Calculations!$C$13)-calculateOmega(Calculations!M161,Calculations!N161,Calculations!Q161,'Reaction Information'!$C$58,'Reaction Information'!$P$58*10^5,'Reaction Information'!$Q$58)*Calculations!$U161*10^-6 + (1/$S161 - 1)*calculate_domegadP(Calculations!M161,Calculations!N161,Calculations!Q161,'Reaction Information'!$C$58,'Reaction Information'!$P$58*10^5,'Reaction Information'!$Q$58,$D$20,$D$19=3))*41.84)</f>
        <v>#N/A</v>
      </c>
      <c r="CD161" s="8" t="e">
        <f>IF(OR(ISBLANK(Input!$BW$4),$D$27=FALSE),NA(),('Reaction Information'!$J$62/10+'Reaction Information'!$K$62*100/(Calculations!$C$12+Calculations!$M161)+('Reaction Information'!$L$62+'Reaction Information'!$M$62*10000/(Calculations!$C$12+Calculations!$M161))/(Calculations!$O161-Calculations!$C$13)-calculateOmega(Calculations!M161,Calculations!N161,Calculations!Q161,'Reaction Information'!$C$62,'Reaction Information'!$P$62*10^5,'Reaction Information'!$Q$62)*Calculations!$U161*10^-6 + (1/$S161 - 1)*calculate_domegadP(Calculations!M161,Calculations!N161,Calculations!Q161,'Reaction Information'!$C$62,'Reaction Information'!$P$62*10^5,'Reaction Information'!$Q$62,$D$20,$D$19=3))*41.84)</f>
        <v>#N/A</v>
      </c>
      <c r="CE161" s="8" t="e">
        <f>IF(OR(ISBLANK(Input!$BZ$4),$D$27=FALSE),NA(),('Reaction Information'!$J$66/10+'Reaction Information'!$K$66*100/(Calculations!$C$12+Calculations!$M161)+('Reaction Information'!$L$66+'Reaction Information'!$M$66*10000/(Calculations!$C$12+Calculations!$M161))/(Calculations!$O161-Calculations!$C$13)-calculateOmega(Calculations!M161,Calculations!N161,Calculations!Q161,'Reaction Information'!$C$66,'Reaction Information'!$P$66*10^5,'Reaction Information'!$Q$66)*Calculations!$U161*10^-6 + (1/$S161 - 1)*calculate_domegadP(Calculations!M161,Calculations!N161,Calculations!Q161,'Reaction Information'!$C$66,'Reaction Information'!$P$66*10^5,'Reaction Information'!$Q$66,$D$20,$D$19=3))*41.84)</f>
        <v>#N/A</v>
      </c>
      <c r="CF161" s="31">
        <f>(BS161*Input!$AO$4+BT161*Input!$AR$4+BU161*Input!$AU$4+BV161*Input!$AX$4+IF(ISNA(BW161),0,BW161*Input!$BA$4)+IF(ISNA(BX161),0,BX161*Input!$BD$4)+IF(ISNA(BY161),0,BY161*Input!$BG$4)+IF(ISNA(BZ161),0,BZ161*Input!$BJ$4)+IF(ISNA(CA161),0,CA161*Input!$BM$4)+IF(ISNA(CB161),0,CB161*Input!$BP$4)+IF(ISNA(CC161),0,CC161*Input!$BS$4)+IF(ISNA(CD161),0,CD161*Input!$BV$4)+IF(ISNA(CE161),0,CE161*Input!$BY$4))-(BF161*Input!$B$4+BG161*Input!$E$4+BH161*Input!$H$4+BI161*Input!$K$4+IF(ISNA(BJ161),0,BJ161*Input!$N$4)+IF(ISNA(BK161),0,BK161*Input!$Q$4)+IF(ISNA(BL161),0,BL161*Input!$T$4)+IF(ISNA(BM161),0,BM161*Input!$W$4)+IF(ISNA(BN161),0,BN161*Input!$Z$4)+IF(ISNA(BO161),0,BO161*Input!$AC$4)+IF(ISNA(BP161),0,BP161*Input!$AF$4)+IF(ISNA(BQ161),0,BQ161*Input!$AI$4)+IF(ISNA(BR161),0,BR161*Input!$AL$4))</f>
        <v>-10.895021218844921</v>
      </c>
      <c r="CG161" s="1">
        <f t="shared" si="50"/>
        <v>550</v>
      </c>
      <c r="CH161" s="46">
        <f t="shared" si="51"/>
        <v>55000</v>
      </c>
      <c r="CI161" s="1"/>
    </row>
    <row r="162" spans="1:87" x14ac:dyDescent="0.2">
      <c r="A162" s="1"/>
      <c r="B162" s="1"/>
      <c r="C162" s="1"/>
      <c r="D162" s="1"/>
      <c r="E162" s="1"/>
      <c r="F162" s="2">
        <v>157</v>
      </c>
      <c r="G162" s="1" t="str">
        <f>IF(ISBLANK(Input!CB162), "", Input!CB162*1000)</f>
        <v/>
      </c>
      <c r="H162" s="1" t="str">
        <f>IF(ISBLANK(Input!CC162), "", Input!CC162)</f>
        <v/>
      </c>
      <c r="I162" s="1">
        <f>IF(Input!$CF$5 + Input!$CF$6*(FLOOR((Calculations!$F162-1)/(FLOOR((Input!$CF$12-Input!$CF$10)/Input!$CF$11,1)+1),1)) &gt; Input!$CF$7, "", (Input!$CF$5 + Input!$CF$6*(FLOOR((Calculations!$F162-1)/(FLOOR((Input!$CF$12-Input!$CF$10)/Input!$CF$11,1)+1),1)))*1000)</f>
        <v>55000</v>
      </c>
      <c r="J162" s="1">
        <f>IF(Calculations!I162 = "", "", Input!$CF$10 + Input!$CF$11*(Calculations!$F162-1) - (FLOOR((Input!$CF$12-Input!$CF$10)/Input!$CF$11,1)+1)*Input!$CF$11*FLOOR((Calculations!$F162-1)/(FLOOR((Input!$CF$12-Input!$CF$10)/Input!$CF$11,1)+1),1))</f>
        <v>600</v>
      </c>
      <c r="K162" s="8" t="str">
        <f t="shared" si="52"/>
        <v/>
      </c>
      <c r="L162" s="117" t="str">
        <f>IF(OR(Input!$CJ$5 + Input!$CJ$6*(Calculations!F162-1) &gt; Input!$CJ$7, Input!$CJ$5 + Input!$CJ$6*(Calculations!F162-1) &gt; 350), "", Input!$CJ$5 + Input!$CJ$6*(Calculations!F162-1))</f>
        <v/>
      </c>
      <c r="M162" s="1">
        <f t="shared" si="42"/>
        <v>55000</v>
      </c>
      <c r="N162" s="1">
        <f t="shared" si="43"/>
        <v>600</v>
      </c>
      <c r="O162" s="1">
        <f t="shared" si="38"/>
        <v>873.15</v>
      </c>
      <c r="P162" s="1" t="e">
        <f>IF(OR($D$20=3,AND($D$21=TRUE,M162&lt;1000)),INDEX('Water Density'!$C$6:$CX$120,MATCH(Calculations!N162,'Water Density'!$B$6:$B$120),MATCH(Calculations!M162/1000,'Water Density'!$C$5:$CX$5)),NA())</f>
        <v>#N/A</v>
      </c>
      <c r="Q162" s="182">
        <f>IF(OR($D$20=3,AND($D$21=TRUE,M162&lt;1000)), IF(P162&lt;&gt;0,P162,NA()), calculateDensity(M162,N162,$D$20,0.01,$D$19 = 3))</f>
        <v>1.4172041514807945</v>
      </c>
      <c r="R162" s="1" t="e">
        <f>IF($D$22=5,INDEX('Dielectric Constant'!$C$6:$CX$120,MATCH(Calculations!N162,'Dielectric Constant'!$B$6:$B$120),MATCH(Calculations!M162/1000,'Dielectric Constant'!$C$5:$CX$5)),NA())</f>
        <v>#N/A</v>
      </c>
      <c r="S162" s="58">
        <f>IF($D$22=5, IF(R162&lt;&gt;0,R162,NA()), IF(AND($D$23,M162&lt;=5000,$D$19 &lt;&gt; 3),calculateEpsilon(Q162,N162,1,FALSE),calculateEpsilon(Q162,N162,$D$22,$D$19 = 3)))</f>
        <v>34.184211861188587</v>
      </c>
      <c r="T162" s="1" t="e">
        <f>IF($D$24=3,INDEX('Water Free Energy'!$C$6:$CX$120,MATCH(Calculations!N162,'Water Free Energy'!$B$6:$B$120),MATCH(Calculations!M162/1000,'Water Free Energy'!$C$5:$CX$5)),NA())</f>
        <v>#N/A</v>
      </c>
      <c r="U162" s="179">
        <f>IF($D$27,calculateQ(M162,N162,Q162,$D$20,$D$22,$D$19=3)*10^6,NA())</f>
        <v>0.11310901405067551</v>
      </c>
      <c r="V162"/>
      <c r="W162" s="2">
        <f t="shared" si="44"/>
        <v>55000</v>
      </c>
      <c r="X162" s="1">
        <f t="shared" si="45"/>
        <v>600</v>
      </c>
      <c r="Y162" s="1">
        <f>Results!F164</f>
        <v>0</v>
      </c>
      <c r="Z162" s="1">
        <f>Results!G164</f>
        <v>0</v>
      </c>
      <c r="AA162" s="1">
        <f>Results!H164</f>
        <v>0</v>
      </c>
      <c r="AB162" s="1">
        <f>Results!I164</f>
        <v>0</v>
      </c>
      <c r="AC162" s="1" t="e">
        <f>IF(ISBLANK(Input!$O$4),NA(),'Reaction Information'!$E$5-'Reaction Information'!$G$5*(Calculations!$O162-Calculations!$C$8)+'Reaction Information'!$I$5*(Calculations!$O162-Calculations!$C$8-Calculations!$O162*LN(Calculations!$O162/Calculations!$C$8))+'Reaction Information'!$J$5*0.001/2*(2*Calculations!$O162*Calculations!$C$8-Calculations!$O162^2-Calculations!$C$8^2) + 'Reaction Information'!$K$5*100000*(Calculations!$O162^2 + Calculations!$C$8^2 - 2*Calculations!$O162*Calculations!$C$8)/(2*Calculations!$O162*Calculations!$C$8^2))</f>
        <v>#N/A</v>
      </c>
      <c r="AD162" s="8" t="e">
        <f>IF(ISBLANK(Input!$R$4),NA(),'Reaction Information'!$E$9-'Reaction Information'!$G$9*(Calculations!$O162-Calculations!$C$8)+'Reaction Information'!$I$9*(Calculations!$O162-Calculations!$C$8-Calculations!$O162*LN(Calculations!$O162/Calculations!$C$8))+'Reaction Information'!$J$9*0.001/2*(2*Calculations!$O162*Calculations!$C$8-Calculations!$O162^2-Calculations!$C$8^2) + 'Reaction Information'!$K$9*100000*(Calculations!$O162^2 + Calculations!$C$8^2 - 2*Calculations!$O162*Calculations!$C$8)/(2*Calculations!$O162*Calculations!$C$8^2))</f>
        <v>#N/A</v>
      </c>
      <c r="AE162" s="8">
        <f>IF(AE$5="H2O",IF($D$24=3,IF(T162=0,NA(),T162),calculateGibbsOfWater(M162,N162,$D$24,$D$20,$D$19=3)),NA())</f>
        <v>-51432.121759820497</v>
      </c>
      <c r="AF162" s="8">
        <f>IF(ISBLANK(Input!$X$4),NA(),'Reaction Information'!$E$13-'Reaction Information'!$G$13*(Calculations!O162-Calculations!$C$8)-'Reaction Information'!$N$13*(Calculations!O162*LN(Calculations!O162/Calculations!$C$8)-Calculations!O162+Calculations!$C$8)-'Reaction Information'!$O$13*10^4*(((1/(Calculations!O162-Calculations!$C$13))-(1/(Calculations!$C$8-Calculations!$C$13)))*((Calculations!$C$13-Calculations!O162)/(Calculations!$C$13))-(Calculations!O162/(Calculations!$C$13*Calculations!$C$13))*LN((Calculations!$C$8*(Calculations!O162-Calculations!$C$13))/(Calculations!O162*(Calculations!$C$8-Calculations!$C$13))))+'Reaction Information'!$J$13*10^-1*(Calculations!M162-Calculations!$C$9)+'Reaction Information'!$K$13*10^2*LN((Calculations!$C$12+Calculations!M162)/(Calculations!$C$12+Calculations!$C$9))+(1/(Calculations!O162-Calculations!$C$13))*('Reaction Information'!$L$13*(Calculations!M162-Calculations!$C$9)+'Reaction Information'!$M$13*10^4*LN((Calculations!$C$12+Calculations!M162)/(Calculations!$C$12+Calculations!$C$9)))+calculateOmega(Calculations!M162,Calculations!N162,Calculations!Q162,'Reaction Information'!$C$13,'Reaction Information'!$P$13*10^5,'Reaction Information'!$Q$13)*((1/Calculations!S162)-1)-'Reaction Information'!$P$13*10^5*((1/Calculations!$C$10)-1)+'Reaction Information'!$P$13*10^5*Calculations!$C$14*(Calculations!O162-Calculations!$C$8))</f>
        <v>-75537.717114616156</v>
      </c>
      <c r="AG162" s="8" t="e">
        <f>IF(ISBLANK(Input!$AA$4),NA(),'Reaction Information'!$E$17-'Reaction Information'!$G$17*(Calculations!$O162-Calculations!$C$8)-'Reaction Information'!$N$17*(Calculations!$O162*LN(Calculations!$O162/Calculations!$C$8)-Calculations!$O162+Calculations!$C$8)-'Reaction Information'!$O$17*10^4*(((1/(Calculations!$O162-Calculations!$C$13))-(1/(Calculations!$C$8-Calculations!$C$13)))*((Calculations!$C$13-Calculations!$O162)/(Calculations!$C$13))-(Calculations!$O162/(Calculations!$C$13*Calculations!$C$13))*LN((Calculations!$C$8*(Calculations!$O162-Calculations!$C$13))/(Calculations!$O162*(Calculations!$C$8-Calculations!$C$13))))+'Reaction Information'!$J$17*10^-1*(Calculations!$M162-Calculations!$C$9)+'Reaction Information'!$K$17*10^2*LN((Calculations!$C$12+Calculations!$M162)/(Calculations!$C$12+Calculations!$C$9))+(1/(Calculations!$O162-Calculations!$C$13))*('Reaction Information'!$L$17*(Calculations!$M162-Calculations!$C$9)+'Reaction Information'!$M$17*10^4*LN((Calculations!$C$12+Calculations!$M162)/(Calculations!$C$12+Calculations!$C$9)))+calculateOmega(Calculations!M162,Calculations!N162,Calculations!Q162,'Reaction Information'!$C$17,'Reaction Information'!$P$17*10^5,'Reaction Information'!$Q$17)*((1/Calculations!$S162)-1)-'Reaction Information'!$P$17*10^5*((1/Calculations!$C$10)-1)+'Reaction Information'!$P$17*10^5*Calculations!$C$14*(Calculations!$O162-Calculations!$C$8))</f>
        <v>#N/A</v>
      </c>
      <c r="AH162" s="8" t="e">
        <f>IF(ISBLANK(Input!$AD$4),NA(),'Reaction Information'!$E$21-'Reaction Information'!$G$21*(Calculations!$O162-Calculations!$C$8)-'Reaction Information'!$N$21*(Calculations!$O162*LN(Calculations!$O162/Calculations!$C$8)-Calculations!$O162+Calculations!$C$8)-'Reaction Information'!$O$21*10^4*(((1/(Calculations!$O162-Calculations!$C$13))-(1/(Calculations!$C$8-Calculations!$C$13)))*((Calculations!$C$13-Calculations!$O162)/(Calculations!$C$13))-(Calculations!$O162/(Calculations!$C$13*Calculations!$C$13))*LN((Calculations!$C$8*(Calculations!$O162-Calculations!$C$13))/(Calculations!$O162*(Calculations!$C$8-Calculations!$C$13))))+'Reaction Information'!$J$21*10^-1*(Calculations!$M162-Calculations!$C$9)+'Reaction Information'!$K$21*10^2*LN((Calculations!$C$12+Calculations!$M162)/(Calculations!$C$12+Calculations!$C$9))+(1/(Calculations!$O162-Calculations!$C$13))*('Reaction Information'!$L$21*(Calculations!$M162-Calculations!$C$9)+'Reaction Information'!$M$21*10^4*LN((Calculations!$C$12+Calculations!$M162)/(Calculations!$C$12+Calculations!$C$9)))+calculateOmega(Calculations!M162,Calculations!N162,Calculations!Q162,'Reaction Information'!$C$21,'Reaction Information'!$P$21*10^5,'Reaction Information'!$Q$21)*((1/Calculations!$S162)-1)-'Reaction Information'!$P$21*10^5*((1/Calculations!$C$10)-1)+'Reaction Information'!$P$21*10^5*Calculations!$C$14*(Calculations!$O162-Calculations!$C$8))</f>
        <v>#N/A</v>
      </c>
      <c r="AI162" s="8" t="e">
        <f>IF(ISBLANK(Input!$AG$4),NA(),'Reaction Information'!$E$25-'Reaction Information'!$G$25*(Calculations!$O162-Calculations!$C$8)-'Reaction Information'!$N$25*(Calculations!$O162*LN(Calculations!$O162/Calculations!$C$8)-Calculations!$O162+Calculations!$C$8)-'Reaction Information'!$O$25*10^4*(((1/(Calculations!$O162-Calculations!$C$13))-(1/(Calculations!$C$8-Calculations!$C$13)))*((Calculations!$C$13-Calculations!$O162)/(Calculations!$C$13))-(Calculations!$O162/(Calculations!$C$13*Calculations!$C$13))*LN((Calculations!$C$8*(Calculations!$O162-Calculations!$C$13))/(Calculations!$O162*(Calculations!$C$8-Calculations!$C$13))))+'Reaction Information'!$J$25*10^-1*(Calculations!$M162-Calculations!$C$9)+'Reaction Information'!$K$25*10^2*LN((Calculations!$C$12+Calculations!$M162)/(Calculations!$C$12+Calculations!$C$9))+(1/(Calculations!$O162-Calculations!$C$13))*('Reaction Information'!$L$25*(Calculations!$M162-Calculations!$C$9)+'Reaction Information'!$M$25*10^4*LN((Calculations!$C$12+Calculations!$M162)/(Calculations!$C$12+Calculations!$C$9)))+calculateOmega(Calculations!M162,Calculations!N162,Calculations!Q162,'Reaction Information'!$C$25,'Reaction Information'!$P$25*10^5,'Reaction Information'!$Q$25)*((1/Calculations!$S162)-1)-'Reaction Information'!$P$25*10^5*((1/Calculations!$C$10)-1)+'Reaction Information'!$P$25*10^5*Calculations!$C$14*(Calculations!$O162-Calculations!$C$8))</f>
        <v>#N/A</v>
      </c>
      <c r="AJ162" s="8" t="e">
        <f>IF(ISBLANK(Input!$AJ$4),NA(),'Reaction Information'!$E$29-'Reaction Information'!$G$29*(Calculations!$O162-Calculations!$C$8)-'Reaction Information'!$N$29*(Calculations!$O162*LN(Calculations!$O162/Calculations!$C$8)-Calculations!$O162+Calculations!$C$8)-'Reaction Information'!$O$29*10^4*(((1/(Calculations!$O162-Calculations!$C$13))-(1/(Calculations!$C$8-Calculations!$C$13)))*((Calculations!$C$13-Calculations!$O162)/(Calculations!$C$13))-(Calculations!$O162/(Calculations!$C$13*Calculations!$C$13))*LN((Calculations!$C$8*(Calculations!$O162-Calculations!$C$13))/(Calculations!$O162*(Calculations!$C$8-Calculations!$C$13))))+'Reaction Information'!$J$29*10^-1*(Calculations!$M162-Calculations!$C$9)+'Reaction Information'!$K$29*10^2*LN((Calculations!$C$12+Calculations!$M162)/(Calculations!$C$12+Calculations!$C$9))+(1/(Calculations!$O162-Calculations!$C$13))*('Reaction Information'!$L$29*(Calculations!$M162-Calculations!$C$9)+'Reaction Information'!$M$29*10^4*LN((Calculations!$C$12+Calculations!$M162)/(Calculations!$C$12+Calculations!$C$9)))+calculateOmega(Calculations!M162,Calculations!N162,Calculations!Q162,'Reaction Information'!$C$29,'Reaction Information'!$P$29*10^5,'Reaction Information'!$Q$29)*((1/Calculations!$S162)-1)-'Reaction Information'!$P$29*10^5*((1/Calculations!$C$10)-1)+'Reaction Information'!$P$29*10^5*Calculations!$C$14*(Calculations!$O162-Calculations!$C$8))</f>
        <v>#N/A</v>
      </c>
      <c r="AK162" s="8" t="e">
        <f>IF(ISBLANK(Input!$AM$4),NA(),'Reaction Information'!$E$33-'Reaction Information'!$G$33*(Calculations!$O162-Calculations!$C$8)-'Reaction Information'!$N$33*(Calculations!$O162*LN(Calculations!$O162/Calculations!$C$8)-Calculations!$O162+Calculations!$C$8)-'Reaction Information'!$O$33*10^4*(((1/(Calculations!$O162-Calculations!$C$13))-(1/(Calculations!$C$8-Calculations!$C$13)))*((Calculations!$C$13-Calculations!$O162)/(Calculations!$C$13))-(Calculations!$O162/(Calculations!$C$13*Calculations!$C$13))*LN((Calculations!$C$8*(Calculations!$O162-Calculations!$C$13))/(Calculations!$O162*(Calculations!$C$8-Calculations!$C$13))))+'Reaction Information'!$J$33*10^-1*(Calculations!$M162-Calculations!$C$9)+'Reaction Information'!$K$33*10^2*LN((Calculations!$C$12+Calculations!$M162)/(Calculations!$C$12+Calculations!$C$9))+(1/(Calculations!$O162-Calculations!$C$13))*('Reaction Information'!$L$33*(Calculations!$M162-Calculations!$C$9)+'Reaction Information'!$M$33*10^4*LN((Calculations!$C$12+Calculations!$M162)/(Calculations!$C$12+Calculations!$C$9)))+calculateOmega(Calculations!M162,Calculations!N162,Calculations!Q162,'Reaction Information'!$C$33,'Reaction Information'!$P$33*10^5,'Reaction Information'!$Q$33)*((1/Calculations!$S162)-1)-'Reaction Information'!$P$33*10^5*((1/Calculations!$C$10)-1)+'Reaction Information'!$P$33*10^5*Calculations!$C$14*(Calculations!$O162-Calculations!$C$8))</f>
        <v>#N/A</v>
      </c>
      <c r="AL162" s="1">
        <f>Results!S164</f>
        <v>0</v>
      </c>
      <c r="AM162" s="1">
        <f>Results!T164</f>
        <v>0</v>
      </c>
      <c r="AN162" s="1">
        <f>Results!U164</f>
        <v>0</v>
      </c>
      <c r="AO162" s="1">
        <f>Results!V164</f>
        <v>0</v>
      </c>
      <c r="AP162" s="8" t="e">
        <f>IF(ISBLANK(Input!$BB$4),NA(),'Reaction Information'!$E$38-'Reaction Information'!$G$38*(Calculations!$O162-Calculations!$C$8)+'Reaction Information'!$I$38*(Calculations!$O162-Calculations!$C$8-Calculations!$O162*LN(Calculations!$O162/Calculations!$C$8))+'Reaction Information'!$J$38*0.001/2*(2*Calculations!$O162*Calculations!$C$8-Calculations!$O162^2-Calculations!$C$8^2) + 'Reaction Information'!$K$38*100000*(Calculations!$O162^2 + Calculations!$C$8^2 - 2*Calculations!$O162*Calculations!$C$8)/(2*Calculations!$O162*Calculations!$C$8^2))</f>
        <v>#N/A</v>
      </c>
      <c r="AQ162" s="8" t="e">
        <f>IF(ISBLANK(Input!$BE$4),NA(),'Reaction Information'!$E$42-'Reaction Information'!$G$42*(Calculations!$O162-Calculations!$C$8)+'Reaction Information'!$I$42*(Calculations!$O162-Calculations!$C$8-Calculations!$O162*LN(Calculations!$O162/Calculations!$C$8))+'Reaction Information'!$J$42*0.001/2*(2*Calculations!$O162*Calculations!$C$8-Calculations!$O162^2-Calculations!$C$8^2) + 'Reaction Information'!$K$42*100000*(Calculations!$O162^2 + Calculations!$C$8^2 - 2*Calculations!$O162*Calculations!$C$8)/(2*Calculations!$O162*Calculations!$C$8^2))</f>
        <v>#N/A</v>
      </c>
      <c r="AR162" s="8" t="e">
        <f>IF(AR$5="H2O", IF($D$24=3,IF(T162=0,NA(),T162),calculateGibbsOfWater(M162,N162,$D$24,$D$20,$D$19=3)),NA())</f>
        <v>#N/A</v>
      </c>
      <c r="AS162" s="8">
        <f>IF(ISBLANK(Input!$BK$4),NA(),'Reaction Information'!$E$46-'Reaction Information'!$G$46*(Calculations!O162-Calculations!$C$8)-'Reaction Information'!$N$46*(Calculations!O162*LN(Calculations!O162/Calculations!$C$8)-Calculations!O162+Calculations!$C$8)-'Reaction Information'!$O$46*10^4*(((1/(Calculations!O162-Calculations!$C$13))-(1/(Calculations!$C$8-Calculations!$C$13)))*((Calculations!$C$13-Calculations!O162)/(Calculations!$C$13))-(Calculations!O162/(Calculations!$C$13*Calculations!$C$13))*LN((Calculations!$C$8*(Calculations!O162-Calculations!$C$13))/(Calculations!O162*(Calculations!$C$8-Calculations!$C$13))))+'Reaction Information'!$J$46*10^-1*(Calculations!$M162-Calculations!$C$9)+'Reaction Information'!$K$46*10^2*LN((Calculations!$C$12+Calculations!$M162)/(Calculations!$C$12+Calculations!$C$9))+(1/(Calculations!O162-Calculations!$C$13))*('Reaction Information'!$L$46*(Calculations!$M162-Calculations!$C$9)+'Reaction Information'!$M$46*10^4*LN((Calculations!$C$12+Calculations!$M162)/(Calculations!$C$12+Calculations!$C$9)))+calculateOmega(Calculations!M162,Calculations!N162,Calculations!Q162,'Reaction Information'!$C$46,'Reaction Information'!$P$46*10^5,'Reaction Information'!$Q$46)*((1/Calculations!S162)-1)-'Reaction Information'!$P$46*10^5*((1/Calculations!$C$10)-1)+'Reaction Information'!$P$46*10^5*Calculations!$C$14*(Calculations!O162-Calculations!$C$8))</f>
        <v>0</v>
      </c>
      <c r="AT162" s="8">
        <f>IF(ISBLANK(Input!$BN$4),NA(),'Reaction Information'!$E$50-'Reaction Information'!$G$50*(Calculations!O162-Calculations!$C$8)-'Reaction Information'!$N$50*(Calculations!O162*LN(Calculations!O162/Calculations!$C$8)-Calculations!O162+Calculations!$C$8)-'Reaction Information'!$O$50*10^4*(((1/(Calculations!O162-Calculations!$C$13))-(1/(Calculations!$C$8-Calculations!$C$13)))*((Calculations!$C$13-Calculations!O162)/(Calculations!$C$13))-(Calculations!O162/(Calculations!$C$13*Calculations!$C$13))*LN((Calculations!$C$8*(Calculations!O162-Calculations!$C$13))/(Calculations!O162*(Calculations!$C$8-Calculations!$C$13))))+'Reaction Information'!$J$50*10^-1*(Calculations!$M162-Calculations!$C$9)+'Reaction Information'!$K$50*10^2*LN((Calculations!$C$12+Calculations!$M162)/(Calculations!$C$12+Calculations!$C$9))+(1/(Calculations!O162-Calculations!$C$13))*('Reaction Information'!$L$50*(Calculations!$M162-Calculations!$C$9)+'Reaction Information'!$M$50*10^4*LN((Calculations!$C$12+Calculations!$M162)/(Calculations!$C$12+Calculations!$C$9)))+calculateOmega(Calculations!M162,Calculations!N162,Calculations!Q162,'Reaction Information'!$C$50,'Reaction Information'!$P$50*10^5,'Reaction Information'!$Q$50)*((1/Calculations!S162)-1)-'Reaction Information'!$P$50*10^5*((1/Calculations!$C$10)-1)+'Reaction Information'!$P$50*10^5*Calculations!$C$14*(Calculations!O162-Calculations!$C$8))</f>
        <v>-117039.66075750312</v>
      </c>
      <c r="AU162" s="8" t="e">
        <f>IF(ISBLANK(Input!$BQ$4),NA(),'Reaction Information'!$E$54-'Reaction Information'!$G$54*(Calculations!$O162-Calculations!$C$8)-'Reaction Information'!$N$54*(Calculations!$O162*LN(Calculations!$O162/Calculations!$C$8)-Calculations!$O162+Calculations!$C$8)-'Reaction Information'!$O$54*10^4*(((1/(Calculations!$O162-Calculations!$C$13))-(1/(Calculations!$C$8-Calculations!$C$13)))*((Calculations!$C$13-Calculations!$O162)/(Calculations!$C$13))-(Calculations!$O162/(Calculations!$C$13*Calculations!$C$13))*LN((Calculations!$C$8*(Calculations!$O162-Calculations!$C$13))/(Calculations!$O162*(Calculations!$C$8-Calculations!$C$13))))+'Reaction Information'!$J$54*10^-1*(Calculations!$M162-Calculations!$C$9)+'Reaction Information'!$K$54*10^2*LN((Calculations!$C$12+Calculations!$M162)/(Calculations!$C$12+Calculations!$C$9))+(1/(Calculations!$O162-Calculations!$C$13))*('Reaction Information'!$L$54*(Calculations!$M162-Calculations!$C$9)+'Reaction Information'!$M$54*10^4*LN((Calculations!$C$12+Calculations!$M162)/(Calculations!$C$12+Calculations!$C$9)))+calculateOmega(Calculations!M162,Calculations!N162,Calculations!Q162,'Reaction Information'!$C$54,'Reaction Information'!$P$54*10^5,'Reaction Information'!$Q$54)*((1/Calculations!$S162)-1)-'Reaction Information'!$P$54*10^5*((1/Calculations!$C$10)-1)+'Reaction Information'!$P$54*10^5*Calculations!$C$14*(Calculations!$O162-Calculations!$C$8))</f>
        <v>#N/A</v>
      </c>
      <c r="AV162" s="8" t="e">
        <f>IF(ISBLANK(Input!$BT$4),NA(),'Reaction Information'!$E$58-'Reaction Information'!$G$58*(Calculations!$O162-Calculations!$C$8)-'Reaction Information'!$N$58*(Calculations!$O162*LN(Calculations!$O162/Calculations!$C$8)-Calculations!$O162+Calculations!$C$8)-'Reaction Information'!$O$58*10^4*(((1/(Calculations!$O162-Calculations!$C$13))-(1/(Calculations!$C$8-Calculations!$C$13)))*((Calculations!$C$13-Calculations!$O162)/(Calculations!$C$13))-(Calculations!$O162/(Calculations!$C$13*Calculations!$C$13))*LN((Calculations!$C$8*(Calculations!$O162-Calculations!$C$13))/(Calculations!$O162*(Calculations!$C$8-Calculations!$C$13))))+'Reaction Information'!$J$58*10^-1*(Calculations!$M162-Calculations!$C$9)+'Reaction Information'!$K$58*10^2*LN((Calculations!$C$12+Calculations!$M162)/(Calculations!$C$12+Calculations!$C$9))+(1/(Calculations!$O162-Calculations!$C$13))*('Reaction Information'!$L$58*(Calculations!$M162-Calculations!$C$9)+'Reaction Information'!$M$58*10^4*LN((Calculations!$C$12+Calculations!$M162)/(Calculations!$C$12+Calculations!$C$9)))+calculateOmega(Calculations!M162,Calculations!N162,Calculations!Q162,'Reaction Information'!$C$58,'Reaction Information'!$P$58*10^5,'Reaction Information'!$Q$58)*((1/Calculations!$S162)-1)-'Reaction Information'!$P$58*10^5*((1/Calculations!$C$10)-1)+'Reaction Information'!$P$58*10^5*Calculations!$C$14*(Calculations!$O162-Calculations!$C$8))</f>
        <v>#N/A</v>
      </c>
      <c r="AW162" s="8" t="e">
        <f>IF(ISBLANK(Input!$BW$4),NA(),'Reaction Information'!$E$62-'Reaction Information'!$G$62*(Calculations!$O162-Calculations!$C$8)-'Reaction Information'!$N$62*(Calculations!$O162*LN(Calculations!$O162/Calculations!$C$8)-Calculations!$O162+Calculations!$C$8)-'Reaction Information'!$O$62*10^4*(((1/(Calculations!$O162-Calculations!$C$13))-(1/(Calculations!$C$8-Calculations!$C$13)))*((Calculations!$C$13-Calculations!$O162)/(Calculations!$C$13))-(Calculations!$O162/(Calculations!$C$13*Calculations!$C$13))*LN((Calculations!$C$8*(Calculations!$O162-Calculations!$C$13))/(Calculations!$O162*(Calculations!$C$8-Calculations!$C$13))))+'Reaction Information'!$J$62*10^-1*(Calculations!$M162-Calculations!$C$9)+'Reaction Information'!$K$62*10^2*LN((Calculations!$C$12+Calculations!$M162)/(Calculations!$C$12+Calculations!$C$9))+(1/(Calculations!$O162-Calculations!$C$13))*('Reaction Information'!$L$62*(Calculations!$M162-Calculations!$C$9)+'Reaction Information'!$M$62*10^4*LN((Calculations!$C$12+Calculations!$M162)/(Calculations!$C$12+Calculations!$C$9)))+calculateOmega(Calculations!M162,Calculations!N162,Calculations!Q162,'Reaction Information'!$C$62,'Reaction Information'!$P$62*10^5,'Reaction Information'!$Q$62)*((1/Calculations!$S162)-1)-'Reaction Information'!$P$62*10^5*((1/Calculations!$C$10)-1)+'Reaction Information'!$P$62*10^5*Calculations!$C$14*(Calculations!$O162-Calculations!$C$8))</f>
        <v>#N/A</v>
      </c>
      <c r="AX162" s="8" t="e">
        <f>IF(ISBLANK(Input!$BZ$4),NA(),'Reaction Information'!$E$66-'Reaction Information'!$G$66*(Calculations!$O162-Calculations!$C$8)-'Reaction Information'!$N$66*(Calculations!$O162*LN(Calculations!$O162/Calculations!$C$8)-Calculations!$O162+Calculations!$C$8)-'Reaction Information'!$O$66*10^4*(((1/(Calculations!$O162-Calculations!$C$13))-(1/(Calculations!$C$8-Calculations!$C$13)))*((Calculations!$C$13-Calculations!$O162)/(Calculations!$C$13))-(Calculations!$O162/(Calculations!$C$13*Calculations!$C$13))*LN((Calculations!$C$8*(Calculations!$O162-Calculations!$C$13))/(Calculations!$O162*(Calculations!$C$8-Calculations!$C$13))))+'Reaction Information'!$J$66*10^-1*(Calculations!$M162-Calculations!$C$9)+'Reaction Information'!$K$66*10^2*LN((Calculations!$C$12+Calculations!$M162)/(Calculations!$C$12+Calculations!$C$9))+(1/(Calculations!$O162-Calculations!$C$13))*('Reaction Information'!$L$66*(Calculations!$M162-Calculations!$C$9)+'Reaction Information'!$M$66*10^4*LN((Calculations!$C$12+Calculations!$M162)/(Calculations!$C$12+Calculations!$C$9)))+calculateOmega(Calculations!M162,Calculations!N162,Calculations!Q162,'Reaction Information'!$C$66,'Reaction Information'!$P$66*10^5,'Reaction Information'!$Q$66)*((1/Calculations!$S162)-1)-'Reaction Information'!$P$66*10^5*((1/Calculations!$C$10)-1)+'Reaction Information'!$P$66*10^5*Calculations!$C$14*(Calculations!$O162-Calculations!$C$8))</f>
        <v>#N/A</v>
      </c>
      <c r="AY162" s="31">
        <f>(AL162*Input!$AO$4+AM162*Input!$AR$4+AN162*Input!$AU$4+AO162*Input!$AX$4+IF(ISNA(AP162),0,AP162*Input!$BA$4)+IF(ISNA(AQ162),0,AQ162*Input!$BD$4)+IF(ISNA(AR162),0,AR162*Input!$BG$4)+IF(ISNA(AS162),0,AS162*Input!$BJ$4)+IF(ISNA(AT162),0,AT162*Input!$BM$4)+IF(ISNA(AU162),0,AU162*Input!$BP$4)+IF(ISNA(AV162),0,AV162*Input!$BS$4)+IF(ISNA(AW162),0,AW162*Input!$BV$4)+IF(ISNA(AX162),0,AX162*Input!$BY$4))-(Y162*Input!$B$4+Z162*Input!$E$4+AA162*Input!$H$4+AB162*Input!$K$4+IF(ISNA(AC162),0,AC162*Input!$N$4)+IF(ISNA(AD162),0,AD162*Input!$Q$4)+IF(ISNA(AE162),0,AE162*Input!$T$4)+IF(ISNA(AF162),0,AF162*Input!$W$4)+IF(ISNA(AG162),0,AG162*Input!$Z$4)+IF(ISNA(AH162),0,AH162*Input!$AC$4)+IF(ISNA(AI162),0,AI162*Input!$AF$4)+IF(ISNA(AJ162),0,AJ162*Input!$AI$4)+IF(ISNA(AK162),0,AK162*Input!$AL$4))</f>
        <v>9930.17811693353</v>
      </c>
      <c r="AZ162" s="42">
        <f t="shared" si="39"/>
        <v>-2.4871389777315724</v>
      </c>
      <c r="BA162" s="1">
        <f t="shared" si="46"/>
        <v>600</v>
      </c>
      <c r="BB162" s="46">
        <f t="shared" si="47"/>
        <v>55000</v>
      </c>
      <c r="BC162" s="1"/>
      <c r="BD162" s="2">
        <f t="shared" si="48"/>
        <v>55000</v>
      </c>
      <c r="BE162" s="46">
        <f t="shared" si="49"/>
        <v>600</v>
      </c>
      <c r="BF162" s="1">
        <f>Results!AJ164</f>
        <v>0</v>
      </c>
      <c r="BG162" s="1">
        <f>Results!AK164</f>
        <v>0</v>
      </c>
      <c r="BH162" s="1">
        <f>Results!AL164</f>
        <v>0</v>
      </c>
      <c r="BI162" s="1">
        <f>Results!AM164</f>
        <v>0</v>
      </c>
      <c r="BJ162" s="1" t="e">
        <f>IF(OR(ISNA('Reaction Information'!$D$5), $N162 = "", $D$27 = FALSE, 'Reaction Information'!$D$5 = ""), NA(), 24.465)</f>
        <v>#N/A</v>
      </c>
      <c r="BK162" s="1" t="e">
        <f>IF(OR(ISNA('Reaction Information'!$D$9), $N162 = "", $D$27 = FALSE, 'Reaction Information'!$D$9 = ""), NA(), 24.465)</f>
        <v>#N/A</v>
      </c>
      <c r="BL162" s="8">
        <f t="shared" si="40"/>
        <v>12.711845347881862</v>
      </c>
      <c r="BM162" s="8">
        <f>IF(OR(ISBLANK(Input!$X$4),$D$27=FALSE),NA(),('Reaction Information'!$J$13/10+'Reaction Information'!$K$13*100/(Calculations!$C$12+Calculations!$M162)+('Reaction Information'!$L$13+'Reaction Information'!$M$13*10^4/(Calculations!$C$12+Calculations!$M162))/(Calculations!$O162-Calculations!$C$13) -calculateOmega(Calculations!$M162,Calculations!$N162,Calculations!$Q162,'Reaction Information'!$C$13,'Reaction Information'!$P$13*10^5,'Reaction Information'!$Q$13)*Calculations!$U162*10^-6 + (1/$S162 - 1)*calculate_domegadP(Calculations!$M162,Calculations!$N162,Calculations!$Q162,'Reaction Information'!$C$13,'Reaction Information'!$P$13*10^5,'Reaction Information'!$Q$13,$D$20,$D$19=3))*41.84)</f>
        <v>29.835919238350034</v>
      </c>
      <c r="BN162" s="8" t="e">
        <f>IF(OR(ISBLANK(Input!$AA$4),$D$27=FALSE),NA(),('Reaction Information'!$J$17/10+'Reaction Information'!$K$17*100/(Calculations!$C$12+Calculations!$M162)+('Reaction Information'!$L$17+'Reaction Information'!$M$17*10000/(Calculations!$C$12+Calculations!$M162))/(Calculations!$O162-Calculations!$C$13)-calculateOmega(Calculations!M162,Calculations!N162,Calculations!Q162,'Reaction Information'!$C$17,'Reaction Information'!$P$17*10^5,'Reaction Information'!$Q$17)*Calculations!$U162*10^-6 + (1/$S162 - 1)*calculate_domegadP(Calculations!M162,Calculations!N162,Calculations!Q162,'Reaction Information'!$C$17,'Reaction Information'!$P$17*10^5,'Reaction Information'!$Q$17,$D$20,$D$19=3))*41.84)</f>
        <v>#N/A</v>
      </c>
      <c r="BO162" s="8" t="e">
        <f>IF(OR(ISBLANK(Input!$AD$4),$D$27=FALSE),NA(),('Reaction Information'!$J$21/10+'Reaction Information'!$K$21*100/(Calculations!$C$12+Calculations!$M162)+('Reaction Information'!$L$21+'Reaction Information'!$M$21*10000/(Calculations!$C$12+Calculations!$M162))/(Calculations!$O162-Calculations!$C$13)-calculateOmega(Calculations!M162,Calculations!N162,Calculations!Q162,'Reaction Information'!$C$21,'Reaction Information'!$P$21*10^5,'Reaction Information'!$Q$21)*Calculations!$U162*10^-6 + (1/$S162 - 1)*calculate_domegadP(Calculations!M162,Calculations!N162,Calculations!Q162,'Reaction Information'!$C$21,'Reaction Information'!$P$21*10^5,'Reaction Information'!$Q$21,$D$20,$D$19=3))*41.84)</f>
        <v>#N/A</v>
      </c>
      <c r="BP162" s="8" t="e">
        <f>IF(OR(ISBLANK(Input!$AG$4),$D$27=FALSE),NA(),('Reaction Information'!$J$25/10+'Reaction Information'!$K$25*100/(Calculations!$C$12+Calculations!$M162)+('Reaction Information'!$L$25+'Reaction Information'!$M$25*10000/(Calculations!$C$12+Calculations!$M162))/(Calculations!$O162-Calculations!$C$13)-calculateOmega(Calculations!M162,Calculations!N162,Calculations!Q162,'Reaction Information'!$C$25,'Reaction Information'!$P$25*10^5,'Reaction Information'!$Q$25)*Calculations!$U162*10^-6 + (1/$S162 - 1)*calculate_domegadP(Calculations!M162,Calculations!N162,Calculations!Q162,'Reaction Information'!$C$25,'Reaction Information'!$P$25*10^5,'Reaction Information'!$Q$25,$D$20,$D$19=3))*41.84)</f>
        <v>#N/A</v>
      </c>
      <c r="BQ162" s="8" t="e">
        <f>IF(OR(ISBLANK(Input!$AJ$4),$D$27=FALSE),NA(),('Reaction Information'!$J$29/10+'Reaction Information'!$K$29*100/(Calculations!$C$12+Calculations!$M162)+('Reaction Information'!$L$29+'Reaction Information'!$M$29*10000/(Calculations!$C$12+Calculations!$M162))/(Calculations!$O162-Calculations!$C$13)-calculateOmega(Calculations!M162,Calculations!N162,Calculations!Q162,'Reaction Information'!$C$29,'Reaction Information'!$P$29*10^5,'Reaction Information'!$Q$29)*Calculations!$U162*10^-6 + (1/$S162 - 1)*calculate_domegadP(Calculations!M162,Calculations!N162,Calculations!Q162,'Reaction Information'!$C$29,'Reaction Information'!$P$29*10^5,'Reaction Information'!$Q$29,$D$20,$D$19=3))*41.84)</f>
        <v>#N/A</v>
      </c>
      <c r="BR162" s="8" t="e">
        <f>IF(OR(ISBLANK(Input!$AM$4),$D$27=FALSE),NA(),('Reaction Information'!$J$33/10+'Reaction Information'!$K$33*100/(Calculations!$C$12+Calculations!$M162)+('Reaction Information'!$L$33+'Reaction Information'!$M$33*10000/(Calculations!$C$12+Calculations!$M162))/(Calculations!$O162-Calculations!$C$13)-calculateOmega(Calculations!M162,Calculations!N162,Calculations!Q162,'Reaction Information'!$C$33,'Reaction Information'!$P$33*10^5,'Reaction Information'!$Q$33)*Calculations!$U162*10^-6 + (1/$S162 - 1)*calculate_domegadP(Calculations!M162,Calculations!N162,Calculations!Q162,'Reaction Information'!$C$33,'Reaction Information'!$P$33*10^5,'Reaction Information'!$Q$33,$D$20,$D$19=3))*41.84)</f>
        <v>#N/A</v>
      </c>
      <c r="BS162" s="1">
        <f>Results!AW164</f>
        <v>0</v>
      </c>
      <c r="BT162" s="1">
        <f>Results!AX164</f>
        <v>0</v>
      </c>
      <c r="BU162" s="1">
        <f>Results!AY164</f>
        <v>0</v>
      </c>
      <c r="BV162" s="1">
        <f>Results!AZ164</f>
        <v>0</v>
      </c>
      <c r="BW162" s="1" t="e">
        <f>IF(OR(ISNA('Reaction Information'!$D$38), $N162 = "", $D$27 = FALSE, 'Reaction Information'!$D$38 = ""), NA(), 24.465)</f>
        <v>#N/A</v>
      </c>
      <c r="BX162" s="1" t="e">
        <f>IF(OR(ISNA('Reaction Information'!$D$42), $N162 = "", $D$27 = FALSE, 'Reaction Information'!$D$42 = ""), NA(), 24.465)</f>
        <v>#N/A</v>
      </c>
      <c r="BY162" s="8" t="e">
        <f t="shared" si="41"/>
        <v>#N/A</v>
      </c>
      <c r="BZ162" s="8">
        <f>IF(OR(ISBLANK(Input!$BK$4),$D$27=FALSE),NA(),('Reaction Information'!$J$46/10+'Reaction Information'!$K$46*100/(Calculations!$C$12+Calculations!$M162)+('Reaction Information'!$L$46+'Reaction Information'!$M$46*10000/(Calculations!$C$12+Calculations!$M162))/(Calculations!$O162-Calculations!$C$13)-calculateOmega(Calculations!M162,Calculations!N162,Calculations!Q162,'Reaction Information'!$C$46,'Reaction Information'!$P$46*10^5,'Reaction Information'!$Q$46)*Calculations!$U162*10^-6 + (1/$S162 - 1)*calculate_domegadP(Calculations!M162,Calculations!N162,Calculations!Q162,'Reaction Information'!$C$46,'Reaction Information'!$P$46*10^5,'Reaction Information'!$Q$46,$D$20,$D$19=3))*41.84)</f>
        <v>0</v>
      </c>
      <c r="CA162" s="8">
        <f>IF(OR(ISBLANK(Input!$BN$4),$D$27=FALSE),NA(),('Reaction Information'!$J$50/10+'Reaction Information'!$K$50*100/(Calculations!$C$12+Calculations!$M162)+('Reaction Information'!$L$50+'Reaction Information'!$M$50*10000/(Calculations!$C$12+Calculations!$M162))/(Calculations!$O162-Calculations!$C$13)-calculateOmega(Calculations!M162,Calculations!N162,Calculations!Q162,'Reaction Information'!$C$50,'Reaction Information'!$P$50*10^5,'Reaction Information'!$Q$50)*Calculations!$U162*10^-6 + (1/$S162 - 1)*calculate_domegadP(Calculations!M162,Calculations!N162,Calculations!Q162,'Reaction Information'!$C$50,'Reaction Information'!$P$50*10^5,'Reaction Information'!$Q$50,$D$20,$D$19=3))*41.84)</f>
        <v>31.479001820200029</v>
      </c>
      <c r="CB162" s="8" t="e">
        <f>IF(OR(ISBLANK(Input!$BQ$4),$D$27=FALSE),NA(),('Reaction Information'!$J$54/10+'Reaction Information'!$K$54*100/(Calculations!$C$12+Calculations!$M162)+('Reaction Information'!$L$54+'Reaction Information'!$M$54*10000/(Calculations!$C$12+Calculations!$M162))/(Calculations!$O162-Calculations!$C$13)-calculateOmega(Calculations!M162,Calculations!N162,Calculations!Q162,'Reaction Information'!$C$54,'Reaction Information'!$P$54*10^5,'Reaction Information'!$Q$54)*Calculations!$U162*10^-6 + (1/$S162 - 1)*calculate_domegadP(Calculations!M162,Calculations!N162,Calculations!Q162,'Reaction Information'!$C$54,'Reaction Information'!$P$54*10^5,'Reaction Information'!$Q$54,$D$20,$D$19=3))*41.84)</f>
        <v>#N/A</v>
      </c>
      <c r="CC162" s="8" t="e">
        <f>IF(OR(ISBLANK(Input!$BT$4),$D$27=FALSE),NA(),('Reaction Information'!$J$58/10+'Reaction Information'!$K$58*100/(Calculations!$C$12+Calculations!$M162)+('Reaction Information'!$L$58+'Reaction Information'!$M$58*10000/(Calculations!$C$12+Calculations!$M162))/(Calculations!$O162-Calculations!$C$13)-calculateOmega(Calculations!M162,Calculations!N162,Calculations!Q162,'Reaction Information'!$C$58,'Reaction Information'!$P$58*10^5,'Reaction Information'!$Q$58)*Calculations!$U162*10^-6 + (1/$S162 - 1)*calculate_domegadP(Calculations!M162,Calculations!N162,Calculations!Q162,'Reaction Information'!$C$58,'Reaction Information'!$P$58*10^5,'Reaction Information'!$Q$58,$D$20,$D$19=3))*41.84)</f>
        <v>#N/A</v>
      </c>
      <c r="CD162" s="8" t="e">
        <f>IF(OR(ISBLANK(Input!$BW$4),$D$27=FALSE),NA(),('Reaction Information'!$J$62/10+'Reaction Information'!$K$62*100/(Calculations!$C$12+Calculations!$M162)+('Reaction Information'!$L$62+'Reaction Information'!$M$62*10000/(Calculations!$C$12+Calculations!$M162))/(Calculations!$O162-Calculations!$C$13)-calculateOmega(Calculations!M162,Calculations!N162,Calculations!Q162,'Reaction Information'!$C$62,'Reaction Information'!$P$62*10^5,'Reaction Information'!$Q$62)*Calculations!$U162*10^-6 + (1/$S162 - 1)*calculate_domegadP(Calculations!M162,Calculations!N162,Calculations!Q162,'Reaction Information'!$C$62,'Reaction Information'!$P$62*10^5,'Reaction Information'!$Q$62,$D$20,$D$19=3))*41.84)</f>
        <v>#N/A</v>
      </c>
      <c r="CE162" s="8" t="e">
        <f>IF(OR(ISBLANK(Input!$BZ$4),$D$27=FALSE),NA(),('Reaction Information'!$J$66/10+'Reaction Information'!$K$66*100/(Calculations!$C$12+Calculations!$M162)+('Reaction Information'!$L$66+'Reaction Information'!$M$66*10000/(Calculations!$C$12+Calculations!$M162))/(Calculations!$O162-Calculations!$C$13)-calculateOmega(Calculations!M162,Calculations!N162,Calculations!Q162,'Reaction Information'!$C$66,'Reaction Information'!$P$66*10^5,'Reaction Information'!$Q$66)*Calculations!$U162*10^-6 + (1/$S162 - 1)*calculate_domegadP(Calculations!M162,Calculations!N162,Calculations!Q162,'Reaction Information'!$C$66,'Reaction Information'!$P$66*10^5,'Reaction Information'!$Q$66,$D$20,$D$19=3))*41.84)</f>
        <v>#N/A</v>
      </c>
      <c r="CF162" s="31">
        <f>(BS162*Input!$AO$4+BT162*Input!$AR$4+BU162*Input!$AU$4+BV162*Input!$AX$4+IF(ISNA(BW162),0,BW162*Input!$BA$4)+IF(ISNA(BX162),0,BX162*Input!$BD$4)+IF(ISNA(BY162),0,BY162*Input!$BG$4)+IF(ISNA(BZ162),0,BZ162*Input!$BJ$4)+IF(ISNA(CA162),0,CA162*Input!$BM$4)+IF(ISNA(CB162),0,CB162*Input!$BP$4)+IF(ISNA(CC162),0,CC162*Input!$BS$4)+IF(ISNA(CD162),0,CD162*Input!$BV$4)+IF(ISNA(CE162),0,CE162*Input!$BY$4))-(BF162*Input!$B$4+BG162*Input!$E$4+BH162*Input!$H$4+BI162*Input!$K$4+IF(ISNA(BJ162),0,BJ162*Input!$N$4)+IF(ISNA(BK162),0,BK162*Input!$Q$4)+IF(ISNA(BL162),0,BL162*Input!$T$4)+IF(ISNA(BM162),0,BM162*Input!$W$4)+IF(ISNA(BN162),0,BN162*Input!$Z$4)+IF(ISNA(BO162),0,BO162*Input!$AC$4)+IF(ISNA(BP162),0,BP162*Input!$AF$4)+IF(ISNA(BQ162),0,BQ162*Input!$AI$4)+IF(ISNA(BR162),0,BR162*Input!$AL$4))</f>
        <v>-11.068762766031863</v>
      </c>
      <c r="CG162" s="1">
        <f t="shared" si="50"/>
        <v>600</v>
      </c>
      <c r="CH162" s="46">
        <f t="shared" si="51"/>
        <v>55000</v>
      </c>
      <c r="CI162" s="1"/>
    </row>
    <row r="163" spans="1:87" x14ac:dyDescent="0.2">
      <c r="A163" s="1"/>
      <c r="B163" s="1"/>
      <c r="C163" s="1"/>
      <c r="D163" s="1"/>
      <c r="E163" s="1"/>
      <c r="F163" s="2">
        <v>158</v>
      </c>
      <c r="G163" s="1" t="str">
        <f>IF(ISBLANK(Input!CB163), "", Input!CB163*1000)</f>
        <v/>
      </c>
      <c r="H163" s="1" t="str">
        <f>IF(ISBLANK(Input!CC163), "", Input!CC163)</f>
        <v/>
      </c>
      <c r="I163" s="1">
        <f>IF(Input!$CF$5 + Input!$CF$6*(FLOOR((Calculations!$F163-1)/(FLOOR((Input!$CF$12-Input!$CF$10)/Input!$CF$11,1)+1),1)) &gt; Input!$CF$7, "", (Input!$CF$5 + Input!$CF$6*(FLOOR((Calculations!$F163-1)/(FLOOR((Input!$CF$12-Input!$CF$10)/Input!$CF$11,1)+1),1)))*1000)</f>
        <v>55000</v>
      </c>
      <c r="J163" s="1">
        <f>IF(Calculations!I163 = "", "", Input!$CF$10 + Input!$CF$11*(Calculations!$F163-1) - (FLOOR((Input!$CF$12-Input!$CF$10)/Input!$CF$11,1)+1)*Input!$CF$11*FLOOR((Calculations!$F163-1)/(FLOOR((Input!$CF$12-Input!$CF$10)/Input!$CF$11,1)+1),1))</f>
        <v>650</v>
      </c>
      <c r="K163" s="8" t="str">
        <f t="shared" si="52"/>
        <v/>
      </c>
      <c r="L163" s="117" t="str">
        <f>IF(OR(Input!$CJ$5 + Input!$CJ$6*(Calculations!F163-1) &gt; Input!$CJ$7, Input!$CJ$5 + Input!$CJ$6*(Calculations!F163-1) &gt; 350), "", Input!$CJ$5 + Input!$CJ$6*(Calculations!F163-1))</f>
        <v/>
      </c>
      <c r="M163" s="1">
        <f t="shared" si="42"/>
        <v>55000</v>
      </c>
      <c r="N163" s="1">
        <f t="shared" si="43"/>
        <v>650</v>
      </c>
      <c r="O163" s="1">
        <f t="shared" si="38"/>
        <v>923.15</v>
      </c>
      <c r="P163" s="1" t="e">
        <f>IF(OR($D$20=3,AND($D$21=TRUE,M163&lt;1000)),INDEX('Water Density'!$C$6:$CX$120,MATCH(Calculations!N163,'Water Density'!$B$6:$B$120),MATCH(Calculations!M163/1000,'Water Density'!$C$5:$CX$5)),NA())</f>
        <v>#N/A</v>
      </c>
      <c r="Q163" s="182">
        <f>IF(OR($D$20=3,AND($D$21=TRUE,M163&lt;1000)), IF(P163&lt;&gt;0,P163,NA()), calculateDensity(M163,N163,$D$20,0.01,$D$19 = 3))</f>
        <v>1.404214414192438</v>
      </c>
      <c r="R163" s="1" t="e">
        <f>IF($D$22=5,INDEX('Dielectric Constant'!$C$6:$CX$120,MATCH(Calculations!N163,'Dielectric Constant'!$B$6:$B$120),MATCH(Calculations!M163/1000,'Dielectric Constant'!$C$5:$CX$5)),NA())</f>
        <v>#N/A</v>
      </c>
      <c r="S163" s="58">
        <f>IF($D$22=5, IF(R163&lt;&gt;0,R163,NA()), IF(AND($D$23,M163&lt;=5000,$D$19 &lt;&gt; 3),calculateEpsilon(Q163,N163,1,FALSE),calculateEpsilon(Q163,N163,$D$22,$D$19 = 3)))</f>
        <v>31.242837500687976</v>
      </c>
      <c r="T163" s="1" t="e">
        <f>IF($D$24=3,INDEX('Water Free Energy'!$C$6:$CX$120,MATCH(Calculations!N163,'Water Free Energy'!$B$6:$B$120),MATCH(Calculations!M163/1000,'Water Free Energy'!$C$5:$CX$5)),NA())</f>
        <v>#N/A</v>
      </c>
      <c r="U163" s="179">
        <f>IF($D$27,calculateQ(M163,N163,Q163,$D$20,$D$22,$D$19=3)*10^6,NA())</f>
        <v>0.12115848202566126</v>
      </c>
      <c r="V163"/>
      <c r="W163" s="2">
        <f t="shared" si="44"/>
        <v>55000</v>
      </c>
      <c r="X163" s="1">
        <f t="shared" si="45"/>
        <v>650</v>
      </c>
      <c r="Y163" s="1">
        <f>Results!F165</f>
        <v>0</v>
      </c>
      <c r="Z163" s="1">
        <f>Results!G165</f>
        <v>0</v>
      </c>
      <c r="AA163" s="1">
        <f>Results!H165</f>
        <v>0</v>
      </c>
      <c r="AB163" s="1">
        <f>Results!I165</f>
        <v>0</v>
      </c>
      <c r="AC163" s="1" t="e">
        <f>IF(ISBLANK(Input!$O$4),NA(),'Reaction Information'!$E$5-'Reaction Information'!$G$5*(Calculations!$O163-Calculations!$C$8)+'Reaction Information'!$I$5*(Calculations!$O163-Calculations!$C$8-Calculations!$O163*LN(Calculations!$O163/Calculations!$C$8))+'Reaction Information'!$J$5*0.001/2*(2*Calculations!$O163*Calculations!$C$8-Calculations!$O163^2-Calculations!$C$8^2) + 'Reaction Information'!$K$5*100000*(Calculations!$O163^2 + Calculations!$C$8^2 - 2*Calculations!$O163*Calculations!$C$8)/(2*Calculations!$O163*Calculations!$C$8^2))</f>
        <v>#N/A</v>
      </c>
      <c r="AD163" s="8" t="e">
        <f>IF(ISBLANK(Input!$R$4),NA(),'Reaction Information'!$E$9-'Reaction Information'!$G$9*(Calculations!$O163-Calculations!$C$8)+'Reaction Information'!$I$9*(Calculations!$O163-Calculations!$C$8-Calculations!$O163*LN(Calculations!$O163/Calculations!$C$8))+'Reaction Information'!$J$9*0.001/2*(2*Calculations!$O163*Calculations!$C$8-Calculations!$O163^2-Calculations!$C$8^2) + 'Reaction Information'!$K$9*100000*(Calculations!$O163^2 + Calculations!$C$8^2 - 2*Calculations!$O163*Calculations!$C$8)/(2*Calculations!$O163*Calculations!$C$8^2))</f>
        <v>#N/A</v>
      </c>
      <c r="AE163" s="8">
        <f>IF(AE$5="H2O",IF($D$24=3,IF(T163=0,NA(),T163),calculateGibbsOfWater(M163,N163,$D$24,$D$20,$D$19=3)),NA())</f>
        <v>-52793.894737350842</v>
      </c>
      <c r="AF163" s="8">
        <f>IF(ISBLANK(Input!$X$4),NA(),'Reaction Information'!$E$13-'Reaction Information'!$G$13*(Calculations!O163-Calculations!$C$8)-'Reaction Information'!$N$13*(Calculations!O163*LN(Calculations!O163/Calculations!$C$8)-Calculations!O163+Calculations!$C$8)-'Reaction Information'!$O$13*10^4*(((1/(Calculations!O163-Calculations!$C$13))-(1/(Calculations!$C$8-Calculations!$C$13)))*((Calculations!$C$13-Calculations!O163)/(Calculations!$C$13))-(Calculations!O163/(Calculations!$C$13*Calculations!$C$13))*LN((Calculations!$C$8*(Calculations!O163-Calculations!$C$13))/(Calculations!O163*(Calculations!$C$8-Calculations!$C$13))))+'Reaction Information'!$J$13*10^-1*(Calculations!M163-Calculations!$C$9)+'Reaction Information'!$K$13*10^2*LN((Calculations!$C$12+Calculations!M163)/(Calculations!$C$12+Calculations!$C$9))+(1/(Calculations!O163-Calculations!$C$13))*('Reaction Information'!$L$13*(Calculations!M163-Calculations!$C$9)+'Reaction Information'!$M$13*10^4*LN((Calculations!$C$12+Calculations!M163)/(Calculations!$C$12+Calculations!$C$9)))+calculateOmega(Calculations!M163,Calculations!N163,Calculations!Q163,'Reaction Information'!$C$13,'Reaction Information'!$P$13*10^5,'Reaction Information'!$Q$13)*((1/Calculations!S163)-1)-'Reaction Information'!$P$13*10^5*((1/Calculations!$C$10)-1)+'Reaction Information'!$P$13*10^5*Calculations!$C$14*(Calculations!O163-Calculations!$C$8))</f>
        <v>-77810.33458476956</v>
      </c>
      <c r="AG163" s="8" t="e">
        <f>IF(ISBLANK(Input!$AA$4),NA(),'Reaction Information'!$E$17-'Reaction Information'!$G$17*(Calculations!$O163-Calculations!$C$8)-'Reaction Information'!$N$17*(Calculations!$O163*LN(Calculations!$O163/Calculations!$C$8)-Calculations!$O163+Calculations!$C$8)-'Reaction Information'!$O$17*10^4*(((1/(Calculations!$O163-Calculations!$C$13))-(1/(Calculations!$C$8-Calculations!$C$13)))*((Calculations!$C$13-Calculations!$O163)/(Calculations!$C$13))-(Calculations!$O163/(Calculations!$C$13*Calculations!$C$13))*LN((Calculations!$C$8*(Calculations!$O163-Calculations!$C$13))/(Calculations!$O163*(Calculations!$C$8-Calculations!$C$13))))+'Reaction Information'!$J$17*10^-1*(Calculations!$M163-Calculations!$C$9)+'Reaction Information'!$K$17*10^2*LN((Calculations!$C$12+Calculations!$M163)/(Calculations!$C$12+Calculations!$C$9))+(1/(Calculations!$O163-Calculations!$C$13))*('Reaction Information'!$L$17*(Calculations!$M163-Calculations!$C$9)+'Reaction Information'!$M$17*10^4*LN((Calculations!$C$12+Calculations!$M163)/(Calculations!$C$12+Calculations!$C$9)))+calculateOmega(Calculations!M163,Calculations!N163,Calculations!Q163,'Reaction Information'!$C$17,'Reaction Information'!$P$17*10^5,'Reaction Information'!$Q$17)*((1/Calculations!$S163)-1)-'Reaction Information'!$P$17*10^5*((1/Calculations!$C$10)-1)+'Reaction Information'!$P$17*10^5*Calculations!$C$14*(Calculations!$O163-Calculations!$C$8))</f>
        <v>#N/A</v>
      </c>
      <c r="AH163" s="8" t="e">
        <f>IF(ISBLANK(Input!$AD$4),NA(),'Reaction Information'!$E$21-'Reaction Information'!$G$21*(Calculations!$O163-Calculations!$C$8)-'Reaction Information'!$N$21*(Calculations!$O163*LN(Calculations!$O163/Calculations!$C$8)-Calculations!$O163+Calculations!$C$8)-'Reaction Information'!$O$21*10^4*(((1/(Calculations!$O163-Calculations!$C$13))-(1/(Calculations!$C$8-Calculations!$C$13)))*((Calculations!$C$13-Calculations!$O163)/(Calculations!$C$13))-(Calculations!$O163/(Calculations!$C$13*Calculations!$C$13))*LN((Calculations!$C$8*(Calculations!$O163-Calculations!$C$13))/(Calculations!$O163*(Calculations!$C$8-Calculations!$C$13))))+'Reaction Information'!$J$21*10^-1*(Calculations!$M163-Calculations!$C$9)+'Reaction Information'!$K$21*10^2*LN((Calculations!$C$12+Calculations!$M163)/(Calculations!$C$12+Calculations!$C$9))+(1/(Calculations!$O163-Calculations!$C$13))*('Reaction Information'!$L$21*(Calculations!$M163-Calculations!$C$9)+'Reaction Information'!$M$21*10^4*LN((Calculations!$C$12+Calculations!$M163)/(Calculations!$C$12+Calculations!$C$9)))+calculateOmega(Calculations!M163,Calculations!N163,Calculations!Q163,'Reaction Information'!$C$21,'Reaction Information'!$P$21*10^5,'Reaction Information'!$Q$21)*((1/Calculations!$S163)-1)-'Reaction Information'!$P$21*10^5*((1/Calculations!$C$10)-1)+'Reaction Information'!$P$21*10^5*Calculations!$C$14*(Calculations!$O163-Calculations!$C$8))</f>
        <v>#N/A</v>
      </c>
      <c r="AI163" s="8" t="e">
        <f>IF(ISBLANK(Input!$AG$4),NA(),'Reaction Information'!$E$25-'Reaction Information'!$G$25*(Calculations!$O163-Calculations!$C$8)-'Reaction Information'!$N$25*(Calculations!$O163*LN(Calculations!$O163/Calculations!$C$8)-Calculations!$O163+Calculations!$C$8)-'Reaction Information'!$O$25*10^4*(((1/(Calculations!$O163-Calculations!$C$13))-(1/(Calculations!$C$8-Calculations!$C$13)))*((Calculations!$C$13-Calculations!$O163)/(Calculations!$C$13))-(Calculations!$O163/(Calculations!$C$13*Calculations!$C$13))*LN((Calculations!$C$8*(Calculations!$O163-Calculations!$C$13))/(Calculations!$O163*(Calculations!$C$8-Calculations!$C$13))))+'Reaction Information'!$J$25*10^-1*(Calculations!$M163-Calculations!$C$9)+'Reaction Information'!$K$25*10^2*LN((Calculations!$C$12+Calculations!$M163)/(Calculations!$C$12+Calculations!$C$9))+(1/(Calculations!$O163-Calculations!$C$13))*('Reaction Information'!$L$25*(Calculations!$M163-Calculations!$C$9)+'Reaction Information'!$M$25*10^4*LN((Calculations!$C$12+Calculations!$M163)/(Calculations!$C$12+Calculations!$C$9)))+calculateOmega(Calculations!M163,Calculations!N163,Calculations!Q163,'Reaction Information'!$C$25,'Reaction Information'!$P$25*10^5,'Reaction Information'!$Q$25)*((1/Calculations!$S163)-1)-'Reaction Information'!$P$25*10^5*((1/Calculations!$C$10)-1)+'Reaction Information'!$P$25*10^5*Calculations!$C$14*(Calculations!$O163-Calculations!$C$8))</f>
        <v>#N/A</v>
      </c>
      <c r="AJ163" s="8" t="e">
        <f>IF(ISBLANK(Input!$AJ$4),NA(),'Reaction Information'!$E$29-'Reaction Information'!$G$29*(Calculations!$O163-Calculations!$C$8)-'Reaction Information'!$N$29*(Calculations!$O163*LN(Calculations!$O163/Calculations!$C$8)-Calculations!$O163+Calculations!$C$8)-'Reaction Information'!$O$29*10^4*(((1/(Calculations!$O163-Calculations!$C$13))-(1/(Calculations!$C$8-Calculations!$C$13)))*((Calculations!$C$13-Calculations!$O163)/(Calculations!$C$13))-(Calculations!$O163/(Calculations!$C$13*Calculations!$C$13))*LN((Calculations!$C$8*(Calculations!$O163-Calculations!$C$13))/(Calculations!$O163*(Calculations!$C$8-Calculations!$C$13))))+'Reaction Information'!$J$29*10^-1*(Calculations!$M163-Calculations!$C$9)+'Reaction Information'!$K$29*10^2*LN((Calculations!$C$12+Calculations!$M163)/(Calculations!$C$12+Calculations!$C$9))+(1/(Calculations!$O163-Calculations!$C$13))*('Reaction Information'!$L$29*(Calculations!$M163-Calculations!$C$9)+'Reaction Information'!$M$29*10^4*LN((Calculations!$C$12+Calculations!$M163)/(Calculations!$C$12+Calculations!$C$9)))+calculateOmega(Calculations!M163,Calculations!N163,Calculations!Q163,'Reaction Information'!$C$29,'Reaction Information'!$P$29*10^5,'Reaction Information'!$Q$29)*((1/Calculations!$S163)-1)-'Reaction Information'!$P$29*10^5*((1/Calculations!$C$10)-1)+'Reaction Information'!$P$29*10^5*Calculations!$C$14*(Calculations!$O163-Calculations!$C$8))</f>
        <v>#N/A</v>
      </c>
      <c r="AK163" s="8" t="e">
        <f>IF(ISBLANK(Input!$AM$4),NA(),'Reaction Information'!$E$33-'Reaction Information'!$G$33*(Calculations!$O163-Calculations!$C$8)-'Reaction Information'!$N$33*(Calculations!$O163*LN(Calculations!$O163/Calculations!$C$8)-Calculations!$O163+Calculations!$C$8)-'Reaction Information'!$O$33*10^4*(((1/(Calculations!$O163-Calculations!$C$13))-(1/(Calculations!$C$8-Calculations!$C$13)))*((Calculations!$C$13-Calculations!$O163)/(Calculations!$C$13))-(Calculations!$O163/(Calculations!$C$13*Calculations!$C$13))*LN((Calculations!$C$8*(Calculations!$O163-Calculations!$C$13))/(Calculations!$O163*(Calculations!$C$8-Calculations!$C$13))))+'Reaction Information'!$J$33*10^-1*(Calculations!$M163-Calculations!$C$9)+'Reaction Information'!$K$33*10^2*LN((Calculations!$C$12+Calculations!$M163)/(Calculations!$C$12+Calculations!$C$9))+(1/(Calculations!$O163-Calculations!$C$13))*('Reaction Information'!$L$33*(Calculations!$M163-Calculations!$C$9)+'Reaction Information'!$M$33*10^4*LN((Calculations!$C$12+Calculations!$M163)/(Calculations!$C$12+Calculations!$C$9)))+calculateOmega(Calculations!M163,Calculations!N163,Calculations!Q163,'Reaction Information'!$C$33,'Reaction Information'!$P$33*10^5,'Reaction Information'!$Q$33)*((1/Calculations!$S163)-1)-'Reaction Information'!$P$33*10^5*((1/Calculations!$C$10)-1)+'Reaction Information'!$P$33*10^5*Calculations!$C$14*(Calculations!$O163-Calculations!$C$8))</f>
        <v>#N/A</v>
      </c>
      <c r="AL163" s="1">
        <f>Results!S165</f>
        <v>0</v>
      </c>
      <c r="AM163" s="1">
        <f>Results!T165</f>
        <v>0</v>
      </c>
      <c r="AN163" s="1">
        <f>Results!U165</f>
        <v>0</v>
      </c>
      <c r="AO163" s="1">
        <f>Results!V165</f>
        <v>0</v>
      </c>
      <c r="AP163" s="8" t="e">
        <f>IF(ISBLANK(Input!$BB$4),NA(),'Reaction Information'!$E$38-'Reaction Information'!$G$38*(Calculations!$O163-Calculations!$C$8)+'Reaction Information'!$I$38*(Calculations!$O163-Calculations!$C$8-Calculations!$O163*LN(Calculations!$O163/Calculations!$C$8))+'Reaction Information'!$J$38*0.001/2*(2*Calculations!$O163*Calculations!$C$8-Calculations!$O163^2-Calculations!$C$8^2) + 'Reaction Information'!$K$38*100000*(Calculations!$O163^2 + Calculations!$C$8^2 - 2*Calculations!$O163*Calculations!$C$8)/(2*Calculations!$O163*Calculations!$C$8^2))</f>
        <v>#N/A</v>
      </c>
      <c r="AQ163" s="8" t="e">
        <f>IF(ISBLANK(Input!$BE$4),NA(),'Reaction Information'!$E$42-'Reaction Information'!$G$42*(Calculations!$O163-Calculations!$C$8)+'Reaction Information'!$I$42*(Calculations!$O163-Calculations!$C$8-Calculations!$O163*LN(Calculations!$O163/Calculations!$C$8))+'Reaction Information'!$J$42*0.001/2*(2*Calculations!$O163*Calculations!$C$8-Calculations!$O163^2-Calculations!$C$8^2) + 'Reaction Information'!$K$42*100000*(Calculations!$O163^2 + Calculations!$C$8^2 - 2*Calculations!$O163*Calculations!$C$8)/(2*Calculations!$O163*Calculations!$C$8^2))</f>
        <v>#N/A</v>
      </c>
      <c r="AR163" s="8" t="e">
        <f>IF(AR$5="H2O", IF($D$24=3,IF(T163=0,NA(),T163),calculateGibbsOfWater(M163,N163,$D$24,$D$20,$D$19=3)),NA())</f>
        <v>#N/A</v>
      </c>
      <c r="AS163" s="8">
        <f>IF(ISBLANK(Input!$BK$4),NA(),'Reaction Information'!$E$46-'Reaction Information'!$G$46*(Calculations!O163-Calculations!$C$8)-'Reaction Information'!$N$46*(Calculations!O163*LN(Calculations!O163/Calculations!$C$8)-Calculations!O163+Calculations!$C$8)-'Reaction Information'!$O$46*10^4*(((1/(Calculations!O163-Calculations!$C$13))-(1/(Calculations!$C$8-Calculations!$C$13)))*((Calculations!$C$13-Calculations!O163)/(Calculations!$C$13))-(Calculations!O163/(Calculations!$C$13*Calculations!$C$13))*LN((Calculations!$C$8*(Calculations!O163-Calculations!$C$13))/(Calculations!O163*(Calculations!$C$8-Calculations!$C$13))))+'Reaction Information'!$J$46*10^-1*(Calculations!$M163-Calculations!$C$9)+'Reaction Information'!$K$46*10^2*LN((Calculations!$C$12+Calculations!$M163)/(Calculations!$C$12+Calculations!$C$9))+(1/(Calculations!O163-Calculations!$C$13))*('Reaction Information'!$L$46*(Calculations!$M163-Calculations!$C$9)+'Reaction Information'!$M$46*10^4*LN((Calculations!$C$12+Calculations!$M163)/(Calculations!$C$12+Calculations!$C$9)))+calculateOmega(Calculations!M163,Calculations!N163,Calculations!Q163,'Reaction Information'!$C$46,'Reaction Information'!$P$46*10^5,'Reaction Information'!$Q$46)*((1/Calculations!S163)-1)-'Reaction Information'!$P$46*10^5*((1/Calculations!$C$10)-1)+'Reaction Information'!$P$46*10^5*Calculations!$C$14*(Calculations!O163-Calculations!$C$8))</f>
        <v>0</v>
      </c>
      <c r="AT163" s="8">
        <f>IF(ISBLANK(Input!$BN$4),NA(),'Reaction Information'!$E$50-'Reaction Information'!$G$50*(Calculations!O163-Calculations!$C$8)-'Reaction Information'!$N$50*(Calculations!O163*LN(Calculations!O163/Calculations!$C$8)-Calculations!O163+Calculations!$C$8)-'Reaction Information'!$O$50*10^4*(((1/(Calculations!O163-Calculations!$C$13))-(1/(Calculations!$C$8-Calculations!$C$13)))*((Calculations!$C$13-Calculations!O163)/(Calculations!$C$13))-(Calculations!O163/(Calculations!$C$13*Calculations!$C$13))*LN((Calculations!$C$8*(Calculations!O163-Calculations!$C$13))/(Calculations!O163*(Calculations!$C$8-Calculations!$C$13))))+'Reaction Information'!$J$50*10^-1*(Calculations!$M163-Calculations!$C$9)+'Reaction Information'!$K$50*10^2*LN((Calculations!$C$12+Calculations!$M163)/(Calculations!$C$12+Calculations!$C$9))+(1/(Calculations!O163-Calculations!$C$13))*('Reaction Information'!$L$50*(Calculations!$M163-Calculations!$C$9)+'Reaction Information'!$M$50*10^4*LN((Calculations!$C$12+Calculations!$M163)/(Calculations!$C$12+Calculations!$C$9)))+calculateOmega(Calculations!M163,Calculations!N163,Calculations!Q163,'Reaction Information'!$C$50,'Reaction Information'!$P$50*10^5,'Reaction Information'!$Q$50)*((1/Calculations!S163)-1)-'Reaction Information'!$P$50*10^5*((1/Calculations!$C$10)-1)+'Reaction Information'!$P$50*10^5*Calculations!$C$14*(Calculations!O163-Calculations!$C$8))</f>
        <v>-118770.85992524968</v>
      </c>
      <c r="AU163" s="8" t="e">
        <f>IF(ISBLANK(Input!$BQ$4),NA(),'Reaction Information'!$E$54-'Reaction Information'!$G$54*(Calculations!$O163-Calculations!$C$8)-'Reaction Information'!$N$54*(Calculations!$O163*LN(Calculations!$O163/Calculations!$C$8)-Calculations!$O163+Calculations!$C$8)-'Reaction Information'!$O$54*10^4*(((1/(Calculations!$O163-Calculations!$C$13))-(1/(Calculations!$C$8-Calculations!$C$13)))*((Calculations!$C$13-Calculations!$O163)/(Calculations!$C$13))-(Calculations!$O163/(Calculations!$C$13*Calculations!$C$13))*LN((Calculations!$C$8*(Calculations!$O163-Calculations!$C$13))/(Calculations!$O163*(Calculations!$C$8-Calculations!$C$13))))+'Reaction Information'!$J$54*10^-1*(Calculations!$M163-Calculations!$C$9)+'Reaction Information'!$K$54*10^2*LN((Calculations!$C$12+Calculations!$M163)/(Calculations!$C$12+Calculations!$C$9))+(1/(Calculations!$O163-Calculations!$C$13))*('Reaction Information'!$L$54*(Calculations!$M163-Calculations!$C$9)+'Reaction Information'!$M$54*10^4*LN((Calculations!$C$12+Calculations!$M163)/(Calculations!$C$12+Calculations!$C$9)))+calculateOmega(Calculations!M163,Calculations!N163,Calculations!Q163,'Reaction Information'!$C$54,'Reaction Information'!$P$54*10^5,'Reaction Information'!$Q$54)*((1/Calculations!$S163)-1)-'Reaction Information'!$P$54*10^5*((1/Calculations!$C$10)-1)+'Reaction Information'!$P$54*10^5*Calculations!$C$14*(Calculations!$O163-Calculations!$C$8))</f>
        <v>#N/A</v>
      </c>
      <c r="AV163" s="8" t="e">
        <f>IF(ISBLANK(Input!$BT$4),NA(),'Reaction Information'!$E$58-'Reaction Information'!$G$58*(Calculations!$O163-Calculations!$C$8)-'Reaction Information'!$N$58*(Calculations!$O163*LN(Calculations!$O163/Calculations!$C$8)-Calculations!$O163+Calculations!$C$8)-'Reaction Information'!$O$58*10^4*(((1/(Calculations!$O163-Calculations!$C$13))-(1/(Calculations!$C$8-Calculations!$C$13)))*((Calculations!$C$13-Calculations!$O163)/(Calculations!$C$13))-(Calculations!$O163/(Calculations!$C$13*Calculations!$C$13))*LN((Calculations!$C$8*(Calculations!$O163-Calculations!$C$13))/(Calculations!$O163*(Calculations!$C$8-Calculations!$C$13))))+'Reaction Information'!$J$58*10^-1*(Calculations!$M163-Calculations!$C$9)+'Reaction Information'!$K$58*10^2*LN((Calculations!$C$12+Calculations!$M163)/(Calculations!$C$12+Calculations!$C$9))+(1/(Calculations!$O163-Calculations!$C$13))*('Reaction Information'!$L$58*(Calculations!$M163-Calculations!$C$9)+'Reaction Information'!$M$58*10^4*LN((Calculations!$C$12+Calculations!$M163)/(Calculations!$C$12+Calculations!$C$9)))+calculateOmega(Calculations!M163,Calculations!N163,Calculations!Q163,'Reaction Information'!$C$58,'Reaction Information'!$P$58*10^5,'Reaction Information'!$Q$58)*((1/Calculations!$S163)-1)-'Reaction Information'!$P$58*10^5*((1/Calculations!$C$10)-1)+'Reaction Information'!$P$58*10^5*Calculations!$C$14*(Calculations!$O163-Calculations!$C$8))</f>
        <v>#N/A</v>
      </c>
      <c r="AW163" s="8" t="e">
        <f>IF(ISBLANK(Input!$BW$4),NA(),'Reaction Information'!$E$62-'Reaction Information'!$G$62*(Calculations!$O163-Calculations!$C$8)-'Reaction Information'!$N$62*(Calculations!$O163*LN(Calculations!$O163/Calculations!$C$8)-Calculations!$O163+Calculations!$C$8)-'Reaction Information'!$O$62*10^4*(((1/(Calculations!$O163-Calculations!$C$13))-(1/(Calculations!$C$8-Calculations!$C$13)))*((Calculations!$C$13-Calculations!$O163)/(Calculations!$C$13))-(Calculations!$O163/(Calculations!$C$13*Calculations!$C$13))*LN((Calculations!$C$8*(Calculations!$O163-Calculations!$C$13))/(Calculations!$O163*(Calculations!$C$8-Calculations!$C$13))))+'Reaction Information'!$J$62*10^-1*(Calculations!$M163-Calculations!$C$9)+'Reaction Information'!$K$62*10^2*LN((Calculations!$C$12+Calculations!$M163)/(Calculations!$C$12+Calculations!$C$9))+(1/(Calculations!$O163-Calculations!$C$13))*('Reaction Information'!$L$62*(Calculations!$M163-Calculations!$C$9)+'Reaction Information'!$M$62*10^4*LN((Calculations!$C$12+Calculations!$M163)/(Calculations!$C$12+Calculations!$C$9)))+calculateOmega(Calculations!M163,Calculations!N163,Calculations!Q163,'Reaction Information'!$C$62,'Reaction Information'!$P$62*10^5,'Reaction Information'!$Q$62)*((1/Calculations!$S163)-1)-'Reaction Information'!$P$62*10^5*((1/Calculations!$C$10)-1)+'Reaction Information'!$P$62*10^5*Calculations!$C$14*(Calculations!$O163-Calculations!$C$8))</f>
        <v>#N/A</v>
      </c>
      <c r="AX163" s="8" t="e">
        <f>IF(ISBLANK(Input!$BZ$4),NA(),'Reaction Information'!$E$66-'Reaction Information'!$G$66*(Calculations!$O163-Calculations!$C$8)-'Reaction Information'!$N$66*(Calculations!$O163*LN(Calculations!$O163/Calculations!$C$8)-Calculations!$O163+Calculations!$C$8)-'Reaction Information'!$O$66*10^4*(((1/(Calculations!$O163-Calculations!$C$13))-(1/(Calculations!$C$8-Calculations!$C$13)))*((Calculations!$C$13-Calculations!$O163)/(Calculations!$C$13))-(Calculations!$O163/(Calculations!$C$13*Calculations!$C$13))*LN((Calculations!$C$8*(Calculations!$O163-Calculations!$C$13))/(Calculations!$O163*(Calculations!$C$8-Calculations!$C$13))))+'Reaction Information'!$J$66*10^-1*(Calculations!$M163-Calculations!$C$9)+'Reaction Information'!$K$66*10^2*LN((Calculations!$C$12+Calculations!$M163)/(Calculations!$C$12+Calculations!$C$9))+(1/(Calculations!$O163-Calculations!$C$13))*('Reaction Information'!$L$66*(Calculations!$M163-Calculations!$C$9)+'Reaction Information'!$M$66*10^4*LN((Calculations!$C$12+Calculations!$M163)/(Calculations!$C$12+Calculations!$C$9)))+calculateOmega(Calculations!M163,Calculations!N163,Calculations!Q163,'Reaction Information'!$C$66,'Reaction Information'!$P$66*10^5,'Reaction Information'!$Q$66)*((1/Calculations!$S163)-1)-'Reaction Information'!$P$66*10^5*((1/Calculations!$C$10)-1)+'Reaction Information'!$P$66*10^5*Calculations!$C$14*(Calculations!$O163-Calculations!$C$8))</f>
        <v>#N/A</v>
      </c>
      <c r="AY163" s="31">
        <f>(AL163*Input!$AO$4+AM163*Input!$AR$4+AN163*Input!$AU$4+AO163*Input!$AX$4+IF(ISNA(AP163),0,AP163*Input!$BA$4)+IF(ISNA(AQ163),0,AQ163*Input!$BD$4)+IF(ISNA(AR163),0,AR163*Input!$BG$4)+IF(ISNA(AS163),0,AS163*Input!$BJ$4)+IF(ISNA(AT163),0,AT163*Input!$BM$4)+IF(ISNA(AU163),0,AU163*Input!$BP$4)+IF(ISNA(AV163),0,AV163*Input!$BS$4)+IF(ISNA(AW163),0,AW163*Input!$BV$4)+IF(ISNA(AX163),0,AX163*Input!$BY$4))-(Y163*Input!$B$4+Z163*Input!$E$4+AA163*Input!$H$4+AB163*Input!$K$4+IF(ISNA(AC163),0,AC163*Input!$N$4)+IF(ISNA(AD163),0,AD163*Input!$Q$4)+IF(ISNA(AE163),0,AE163*Input!$T$4)+IF(ISNA(AF163),0,AF163*Input!$W$4)+IF(ISNA(AG163),0,AG163*Input!$Z$4)+IF(ISNA(AH163),0,AH163*Input!$AC$4)+IF(ISNA(AI163),0,AI163*Input!$AF$4)+IF(ISNA(AJ163),0,AJ163*Input!$AI$4)+IF(ISNA(AK163),0,AK163*Input!$AL$4))</f>
        <v>11833.369396870723</v>
      </c>
      <c r="AZ163" s="42">
        <f t="shared" si="39"/>
        <v>-2.8032899589419586</v>
      </c>
      <c r="BA163" s="1">
        <f t="shared" si="46"/>
        <v>650</v>
      </c>
      <c r="BB163" s="46">
        <f t="shared" si="47"/>
        <v>55000</v>
      </c>
      <c r="BC163" s="1"/>
      <c r="BD163" s="2">
        <f t="shared" si="48"/>
        <v>55000</v>
      </c>
      <c r="BE163" s="46">
        <f t="shared" si="49"/>
        <v>650</v>
      </c>
      <c r="BF163" s="1">
        <f>Results!AJ165</f>
        <v>0</v>
      </c>
      <c r="BG163" s="1">
        <f>Results!AK165</f>
        <v>0</v>
      </c>
      <c r="BH163" s="1">
        <f>Results!AL165</f>
        <v>0</v>
      </c>
      <c r="BI163" s="1">
        <f>Results!AM165</f>
        <v>0</v>
      </c>
      <c r="BJ163" s="1" t="e">
        <f>IF(OR(ISNA('Reaction Information'!$D$5), $N163 = "", $D$27 = FALSE, 'Reaction Information'!$D$5 = ""), NA(), 24.465)</f>
        <v>#N/A</v>
      </c>
      <c r="BK163" s="1" t="e">
        <f>IF(OR(ISNA('Reaction Information'!$D$9), $N163 = "", $D$27 = FALSE, 'Reaction Information'!$D$9 = ""), NA(), 24.465)</f>
        <v>#N/A</v>
      </c>
      <c r="BL163" s="8">
        <f t="shared" si="40"/>
        <v>12.829436742650563</v>
      </c>
      <c r="BM163" s="8">
        <f>IF(OR(ISBLANK(Input!$X$4),$D$27=FALSE),NA(),('Reaction Information'!$J$13/10+'Reaction Information'!$K$13*100/(Calculations!$C$12+Calculations!$M163)+('Reaction Information'!$L$13+'Reaction Information'!$M$13*10^4/(Calculations!$C$12+Calculations!$M163))/(Calculations!$O163-Calculations!$C$13) -calculateOmega(Calculations!$M163,Calculations!$N163,Calculations!$Q163,'Reaction Information'!$C$13,'Reaction Information'!$P$13*10^5,'Reaction Information'!$Q$13)*Calculations!$U163*10^-6 + (1/$S163 - 1)*calculate_domegadP(Calculations!$M163,Calculations!$N163,Calculations!$Q163,'Reaction Information'!$C$13,'Reaction Information'!$P$13*10^5,'Reaction Information'!$Q$13,$D$20,$D$19=3))*41.84)</f>
        <v>29.851800398443462</v>
      </c>
      <c r="BN163" s="8" t="e">
        <f>IF(OR(ISBLANK(Input!$AA$4),$D$27=FALSE),NA(),('Reaction Information'!$J$17/10+'Reaction Information'!$K$17*100/(Calculations!$C$12+Calculations!$M163)+('Reaction Information'!$L$17+'Reaction Information'!$M$17*10000/(Calculations!$C$12+Calculations!$M163))/(Calculations!$O163-Calculations!$C$13)-calculateOmega(Calculations!M163,Calculations!N163,Calculations!Q163,'Reaction Information'!$C$17,'Reaction Information'!$P$17*10^5,'Reaction Information'!$Q$17)*Calculations!$U163*10^-6 + (1/$S163 - 1)*calculate_domegadP(Calculations!M163,Calculations!N163,Calculations!Q163,'Reaction Information'!$C$17,'Reaction Information'!$P$17*10^5,'Reaction Information'!$Q$17,$D$20,$D$19=3))*41.84)</f>
        <v>#N/A</v>
      </c>
      <c r="BO163" s="8" t="e">
        <f>IF(OR(ISBLANK(Input!$AD$4),$D$27=FALSE),NA(),('Reaction Information'!$J$21/10+'Reaction Information'!$K$21*100/(Calculations!$C$12+Calculations!$M163)+('Reaction Information'!$L$21+'Reaction Information'!$M$21*10000/(Calculations!$C$12+Calculations!$M163))/(Calculations!$O163-Calculations!$C$13)-calculateOmega(Calculations!M163,Calculations!N163,Calculations!Q163,'Reaction Information'!$C$21,'Reaction Information'!$P$21*10^5,'Reaction Information'!$Q$21)*Calculations!$U163*10^-6 + (1/$S163 - 1)*calculate_domegadP(Calculations!M163,Calculations!N163,Calculations!Q163,'Reaction Information'!$C$21,'Reaction Information'!$P$21*10^5,'Reaction Information'!$Q$21,$D$20,$D$19=3))*41.84)</f>
        <v>#N/A</v>
      </c>
      <c r="BP163" s="8" t="e">
        <f>IF(OR(ISBLANK(Input!$AG$4),$D$27=FALSE),NA(),('Reaction Information'!$J$25/10+'Reaction Information'!$K$25*100/(Calculations!$C$12+Calculations!$M163)+('Reaction Information'!$L$25+'Reaction Information'!$M$25*10000/(Calculations!$C$12+Calculations!$M163))/(Calculations!$O163-Calculations!$C$13)-calculateOmega(Calculations!M163,Calculations!N163,Calculations!Q163,'Reaction Information'!$C$25,'Reaction Information'!$P$25*10^5,'Reaction Information'!$Q$25)*Calculations!$U163*10^-6 + (1/$S163 - 1)*calculate_domegadP(Calculations!M163,Calculations!N163,Calculations!Q163,'Reaction Information'!$C$25,'Reaction Information'!$P$25*10^5,'Reaction Information'!$Q$25,$D$20,$D$19=3))*41.84)</f>
        <v>#N/A</v>
      </c>
      <c r="BQ163" s="8" t="e">
        <f>IF(OR(ISBLANK(Input!$AJ$4),$D$27=FALSE),NA(),('Reaction Information'!$J$29/10+'Reaction Information'!$K$29*100/(Calculations!$C$12+Calculations!$M163)+('Reaction Information'!$L$29+'Reaction Information'!$M$29*10000/(Calculations!$C$12+Calculations!$M163))/(Calculations!$O163-Calculations!$C$13)-calculateOmega(Calculations!M163,Calculations!N163,Calculations!Q163,'Reaction Information'!$C$29,'Reaction Information'!$P$29*10^5,'Reaction Information'!$Q$29)*Calculations!$U163*10^-6 + (1/$S163 - 1)*calculate_domegadP(Calculations!M163,Calculations!N163,Calculations!Q163,'Reaction Information'!$C$29,'Reaction Information'!$P$29*10^5,'Reaction Information'!$Q$29,$D$20,$D$19=3))*41.84)</f>
        <v>#N/A</v>
      </c>
      <c r="BR163" s="8" t="e">
        <f>IF(OR(ISBLANK(Input!$AM$4),$D$27=FALSE),NA(),('Reaction Information'!$J$33/10+'Reaction Information'!$K$33*100/(Calculations!$C$12+Calculations!$M163)+('Reaction Information'!$L$33+'Reaction Information'!$M$33*10000/(Calculations!$C$12+Calculations!$M163))/(Calculations!$O163-Calculations!$C$13)-calculateOmega(Calculations!M163,Calculations!N163,Calculations!Q163,'Reaction Information'!$C$33,'Reaction Information'!$P$33*10^5,'Reaction Information'!$Q$33)*Calculations!$U163*10^-6 + (1/$S163 - 1)*calculate_domegadP(Calculations!M163,Calculations!N163,Calculations!Q163,'Reaction Information'!$C$33,'Reaction Information'!$P$33*10^5,'Reaction Information'!$Q$33,$D$20,$D$19=3))*41.84)</f>
        <v>#N/A</v>
      </c>
      <c r="BS163" s="1">
        <f>Results!AW165</f>
        <v>0</v>
      </c>
      <c r="BT163" s="1">
        <f>Results!AX165</f>
        <v>0</v>
      </c>
      <c r="BU163" s="1">
        <f>Results!AY165</f>
        <v>0</v>
      </c>
      <c r="BV163" s="1">
        <f>Results!AZ165</f>
        <v>0</v>
      </c>
      <c r="BW163" s="1" t="e">
        <f>IF(OR(ISNA('Reaction Information'!$D$38), $N163 = "", $D$27 = FALSE, 'Reaction Information'!$D$38 = ""), NA(), 24.465)</f>
        <v>#N/A</v>
      </c>
      <c r="BX163" s="1" t="e">
        <f>IF(OR(ISNA('Reaction Information'!$D$42), $N163 = "", $D$27 = FALSE, 'Reaction Information'!$D$42 = ""), NA(), 24.465)</f>
        <v>#N/A</v>
      </c>
      <c r="BY163" s="8" t="e">
        <f t="shared" si="41"/>
        <v>#N/A</v>
      </c>
      <c r="BZ163" s="8">
        <f>IF(OR(ISBLANK(Input!$BK$4),$D$27=FALSE),NA(),('Reaction Information'!$J$46/10+'Reaction Information'!$K$46*100/(Calculations!$C$12+Calculations!$M163)+('Reaction Information'!$L$46+'Reaction Information'!$M$46*10000/(Calculations!$C$12+Calculations!$M163))/(Calculations!$O163-Calculations!$C$13)-calculateOmega(Calculations!M163,Calculations!N163,Calculations!Q163,'Reaction Information'!$C$46,'Reaction Information'!$P$46*10^5,'Reaction Information'!$Q$46)*Calculations!$U163*10^-6 + (1/$S163 - 1)*calculate_domegadP(Calculations!M163,Calculations!N163,Calculations!Q163,'Reaction Information'!$C$46,'Reaction Information'!$P$46*10^5,'Reaction Information'!$Q$46,$D$20,$D$19=3))*41.84)</f>
        <v>0</v>
      </c>
      <c r="CA163" s="8">
        <f>IF(OR(ISBLANK(Input!$BN$4),$D$27=FALSE),NA(),('Reaction Information'!$J$50/10+'Reaction Information'!$K$50*100/(Calculations!$C$12+Calculations!$M163)+('Reaction Information'!$L$50+'Reaction Information'!$M$50*10000/(Calculations!$C$12+Calculations!$M163))/(Calculations!$O163-Calculations!$C$13)-calculateOmega(Calculations!M163,Calculations!N163,Calculations!Q163,'Reaction Information'!$C$50,'Reaction Information'!$P$50*10^5,'Reaction Information'!$Q$50)*Calculations!$U163*10^-6 + (1/$S163 - 1)*calculate_domegadP(Calculations!M163,Calculations!N163,Calculations!Q163,'Reaction Information'!$C$50,'Reaction Information'!$P$50*10^5,'Reaction Information'!$Q$50,$D$20,$D$19=3))*41.84)</f>
        <v>31.43560332347386</v>
      </c>
      <c r="CB163" s="8" t="e">
        <f>IF(OR(ISBLANK(Input!$BQ$4),$D$27=FALSE),NA(),('Reaction Information'!$J$54/10+'Reaction Information'!$K$54*100/(Calculations!$C$12+Calculations!$M163)+('Reaction Information'!$L$54+'Reaction Information'!$M$54*10000/(Calculations!$C$12+Calculations!$M163))/(Calculations!$O163-Calculations!$C$13)-calculateOmega(Calculations!M163,Calculations!N163,Calculations!Q163,'Reaction Information'!$C$54,'Reaction Information'!$P$54*10^5,'Reaction Information'!$Q$54)*Calculations!$U163*10^-6 + (1/$S163 - 1)*calculate_domegadP(Calculations!M163,Calculations!N163,Calculations!Q163,'Reaction Information'!$C$54,'Reaction Information'!$P$54*10^5,'Reaction Information'!$Q$54,$D$20,$D$19=3))*41.84)</f>
        <v>#N/A</v>
      </c>
      <c r="CC163" s="8" t="e">
        <f>IF(OR(ISBLANK(Input!$BT$4),$D$27=FALSE),NA(),('Reaction Information'!$J$58/10+'Reaction Information'!$K$58*100/(Calculations!$C$12+Calculations!$M163)+('Reaction Information'!$L$58+'Reaction Information'!$M$58*10000/(Calculations!$C$12+Calculations!$M163))/(Calculations!$O163-Calculations!$C$13)-calculateOmega(Calculations!M163,Calculations!N163,Calculations!Q163,'Reaction Information'!$C$58,'Reaction Information'!$P$58*10^5,'Reaction Information'!$Q$58)*Calculations!$U163*10^-6 + (1/$S163 - 1)*calculate_domegadP(Calculations!M163,Calculations!N163,Calculations!Q163,'Reaction Information'!$C$58,'Reaction Information'!$P$58*10^5,'Reaction Information'!$Q$58,$D$20,$D$19=3))*41.84)</f>
        <v>#N/A</v>
      </c>
      <c r="CD163" s="8" t="e">
        <f>IF(OR(ISBLANK(Input!$BW$4),$D$27=FALSE),NA(),('Reaction Information'!$J$62/10+'Reaction Information'!$K$62*100/(Calculations!$C$12+Calculations!$M163)+('Reaction Information'!$L$62+'Reaction Information'!$M$62*10000/(Calculations!$C$12+Calculations!$M163))/(Calculations!$O163-Calculations!$C$13)-calculateOmega(Calculations!M163,Calculations!N163,Calculations!Q163,'Reaction Information'!$C$62,'Reaction Information'!$P$62*10^5,'Reaction Information'!$Q$62)*Calculations!$U163*10^-6 + (1/$S163 - 1)*calculate_domegadP(Calculations!M163,Calculations!N163,Calculations!Q163,'Reaction Information'!$C$62,'Reaction Information'!$P$62*10^5,'Reaction Information'!$Q$62,$D$20,$D$19=3))*41.84)</f>
        <v>#N/A</v>
      </c>
      <c r="CE163" s="8" t="e">
        <f>IF(OR(ISBLANK(Input!$BZ$4),$D$27=FALSE),NA(),('Reaction Information'!$J$66/10+'Reaction Information'!$K$66*100/(Calculations!$C$12+Calculations!$M163)+('Reaction Information'!$L$66+'Reaction Information'!$M$66*10000/(Calculations!$C$12+Calculations!$M163))/(Calculations!$O163-Calculations!$C$13)-calculateOmega(Calculations!M163,Calculations!N163,Calculations!Q163,'Reaction Information'!$C$66,'Reaction Information'!$P$66*10^5,'Reaction Information'!$Q$66)*Calculations!$U163*10^-6 + (1/$S163 - 1)*calculate_domegadP(Calculations!M163,Calculations!N163,Calculations!Q163,'Reaction Information'!$C$66,'Reaction Information'!$P$66*10^5,'Reaction Information'!$Q$66,$D$20,$D$19=3))*41.84)</f>
        <v>#N/A</v>
      </c>
      <c r="CF163" s="31">
        <f>(BS163*Input!$AO$4+BT163*Input!$AR$4+BU163*Input!$AU$4+BV163*Input!$AX$4+IF(ISNA(BW163),0,BW163*Input!$BA$4)+IF(ISNA(BX163),0,BX163*Input!$BD$4)+IF(ISNA(BY163),0,BY163*Input!$BG$4)+IF(ISNA(BZ163),0,BZ163*Input!$BJ$4)+IF(ISNA(CA163),0,CA163*Input!$BM$4)+IF(ISNA(CB163),0,CB163*Input!$BP$4)+IF(ISNA(CC163),0,CC163*Input!$BS$4)+IF(ISNA(CD163),0,CD163*Input!$BV$4)+IF(ISNA(CE163),0,CE163*Input!$BY$4))-(BF163*Input!$B$4+BG163*Input!$E$4+BH163*Input!$H$4+BI163*Input!$K$4+IF(ISNA(BJ163),0,BJ163*Input!$N$4)+IF(ISNA(BK163),0,BK163*Input!$Q$4)+IF(ISNA(BL163),0,BL163*Input!$T$4)+IF(ISNA(BM163),0,BM163*Input!$W$4)+IF(ISNA(BN163),0,BN163*Input!$Z$4)+IF(ISNA(BO163),0,BO163*Input!$AC$4)+IF(ISNA(BP163),0,BP163*Input!$AF$4)+IF(ISNA(BQ163),0,BQ163*Input!$AI$4)+IF(ISNA(BR163),0,BR163*Input!$AL$4))</f>
        <v>-11.245633817620163</v>
      </c>
      <c r="CG163" s="1">
        <f t="shared" si="50"/>
        <v>650</v>
      </c>
      <c r="CH163" s="46">
        <f t="shared" si="51"/>
        <v>55000</v>
      </c>
      <c r="CI163" s="1"/>
    </row>
    <row r="164" spans="1:87" x14ac:dyDescent="0.2">
      <c r="A164" s="1"/>
      <c r="B164" s="1"/>
      <c r="C164" s="1"/>
      <c r="D164" s="1"/>
      <c r="E164" s="1"/>
      <c r="F164" s="2">
        <v>159</v>
      </c>
      <c r="G164" s="1" t="str">
        <f>IF(ISBLANK(Input!CB164), "", Input!CB164*1000)</f>
        <v/>
      </c>
      <c r="H164" s="1" t="str">
        <f>IF(ISBLANK(Input!CC164), "", Input!CC164)</f>
        <v/>
      </c>
      <c r="I164" s="1">
        <f>IF(Input!$CF$5 + Input!$CF$6*(FLOOR((Calculations!$F164-1)/(FLOOR((Input!$CF$12-Input!$CF$10)/Input!$CF$11,1)+1),1)) &gt; Input!$CF$7, "", (Input!$CF$5 + Input!$CF$6*(FLOOR((Calculations!$F164-1)/(FLOOR((Input!$CF$12-Input!$CF$10)/Input!$CF$11,1)+1),1)))*1000)</f>
        <v>55000</v>
      </c>
      <c r="J164" s="1">
        <f>IF(Calculations!I164 = "", "", Input!$CF$10 + Input!$CF$11*(Calculations!$F164-1) - (FLOOR((Input!$CF$12-Input!$CF$10)/Input!$CF$11,1)+1)*Input!$CF$11*FLOOR((Calculations!$F164-1)/(FLOOR((Input!$CF$12-Input!$CF$10)/Input!$CF$11,1)+1),1))</f>
        <v>700</v>
      </c>
      <c r="K164" s="8" t="str">
        <f t="shared" si="52"/>
        <v/>
      </c>
      <c r="L164" s="117" t="str">
        <f>IF(OR(Input!$CJ$5 + Input!$CJ$6*(Calculations!F164-1) &gt; Input!$CJ$7, Input!$CJ$5 + Input!$CJ$6*(Calculations!F164-1) &gt; 350), "", Input!$CJ$5 + Input!$CJ$6*(Calculations!F164-1))</f>
        <v/>
      </c>
      <c r="M164" s="1">
        <f t="shared" si="42"/>
        <v>55000</v>
      </c>
      <c r="N164" s="1">
        <f t="shared" si="43"/>
        <v>700</v>
      </c>
      <c r="O164" s="1">
        <f t="shared" si="38"/>
        <v>973.15</v>
      </c>
      <c r="P164" s="1" t="e">
        <f>IF(OR($D$20=3,AND($D$21=TRUE,M164&lt;1000)),INDEX('Water Density'!$C$6:$CX$120,MATCH(Calculations!N164,'Water Density'!$B$6:$B$120),MATCH(Calculations!M164/1000,'Water Density'!$C$5:$CX$5)),NA())</f>
        <v>#N/A</v>
      </c>
      <c r="Q164" s="182">
        <f>IF(OR($D$20=3,AND($D$21=TRUE,M164&lt;1000)), IF(P164&lt;&gt;0,P164,NA()), calculateDensity(M164,N164,$D$20,0.01,$D$19 = 3))</f>
        <v>1.3914385077118872</v>
      </c>
      <c r="R164" s="1" t="e">
        <f>IF($D$22=5,INDEX('Dielectric Constant'!$C$6:$CX$120,MATCH(Calculations!N164,'Dielectric Constant'!$B$6:$B$120),MATCH(Calculations!M164/1000,'Dielectric Constant'!$C$5:$CX$5)),NA())</f>
        <v>#N/A</v>
      </c>
      <c r="S164" s="58">
        <f>IF($D$22=5, IF(R164&lt;&gt;0,R164,NA()), IF(AND($D$23,M164&lt;=5000,$D$19 &lt;&gt; 3),calculateEpsilon(Q164,N164,1,FALSE),calculateEpsilon(Q164,N164,$D$22,$D$19 = 3)))</f>
        <v>28.612939073896776</v>
      </c>
      <c r="T164" s="1" t="e">
        <f>IF($D$24=3,INDEX('Water Free Energy'!$C$6:$CX$120,MATCH(Calculations!N164,'Water Free Energy'!$B$6:$B$120),MATCH(Calculations!M164/1000,'Water Free Energy'!$C$5:$CX$5)),NA())</f>
        <v>#N/A</v>
      </c>
      <c r="U164" s="179">
        <f>IF($D$27,calculateQ(M164,N164,Q164,$D$20,$D$22,$D$19=3)*10^6,NA())</f>
        <v>0.12932166325325212</v>
      </c>
      <c r="V164"/>
      <c r="W164" s="2">
        <f t="shared" si="44"/>
        <v>55000</v>
      </c>
      <c r="X164" s="1">
        <f t="shared" si="45"/>
        <v>700</v>
      </c>
      <c r="Y164" s="1">
        <f>Results!F166</f>
        <v>0</v>
      </c>
      <c r="Z164" s="1">
        <f>Results!G166</f>
        <v>0</v>
      </c>
      <c r="AA164" s="1">
        <f>Results!H166</f>
        <v>0</v>
      </c>
      <c r="AB164" s="1">
        <f>Results!I166</f>
        <v>0</v>
      </c>
      <c r="AC164" s="1" t="e">
        <f>IF(ISBLANK(Input!$O$4),NA(),'Reaction Information'!$E$5-'Reaction Information'!$G$5*(Calculations!$O164-Calculations!$C$8)+'Reaction Information'!$I$5*(Calculations!$O164-Calculations!$C$8-Calculations!$O164*LN(Calculations!$O164/Calculations!$C$8))+'Reaction Information'!$J$5*0.001/2*(2*Calculations!$O164*Calculations!$C$8-Calculations!$O164^2-Calculations!$C$8^2) + 'Reaction Information'!$K$5*100000*(Calculations!$O164^2 + Calculations!$C$8^2 - 2*Calculations!$O164*Calculations!$C$8)/(2*Calculations!$O164*Calculations!$C$8^2))</f>
        <v>#N/A</v>
      </c>
      <c r="AD164" s="8" t="e">
        <f>IF(ISBLANK(Input!$R$4),NA(),'Reaction Information'!$E$9-'Reaction Information'!$G$9*(Calculations!$O164-Calculations!$C$8)+'Reaction Information'!$I$9*(Calculations!$O164-Calculations!$C$8-Calculations!$O164*LN(Calculations!$O164/Calculations!$C$8))+'Reaction Information'!$J$9*0.001/2*(2*Calculations!$O164*Calculations!$C$8-Calculations!$O164^2-Calculations!$C$8^2) + 'Reaction Information'!$K$9*100000*(Calculations!$O164^2 + Calculations!$C$8^2 - 2*Calculations!$O164*Calculations!$C$8)/(2*Calculations!$O164*Calculations!$C$8^2))</f>
        <v>#N/A</v>
      </c>
      <c r="AE164" s="8">
        <f>IF(AE$5="H2O",IF($D$24=3,IF(T164=0,NA(),T164),calculateGibbsOfWater(M164,N164,$D$24,$D$20,$D$19=3)),NA())</f>
        <v>-54225.336277371083</v>
      </c>
      <c r="AF164" s="8">
        <f>IF(ISBLANK(Input!$X$4),NA(),'Reaction Information'!$E$13-'Reaction Information'!$G$13*(Calculations!O164-Calculations!$C$8)-'Reaction Information'!$N$13*(Calculations!O164*LN(Calculations!O164/Calculations!$C$8)-Calculations!O164+Calculations!$C$8)-'Reaction Information'!$O$13*10^4*(((1/(Calculations!O164-Calculations!$C$13))-(1/(Calculations!$C$8-Calculations!$C$13)))*((Calculations!$C$13-Calculations!O164)/(Calculations!$C$13))-(Calculations!O164/(Calculations!$C$13*Calculations!$C$13))*LN((Calculations!$C$8*(Calculations!O164-Calculations!$C$13))/(Calculations!O164*(Calculations!$C$8-Calculations!$C$13))))+'Reaction Information'!$J$13*10^-1*(Calculations!M164-Calculations!$C$9)+'Reaction Information'!$K$13*10^2*LN((Calculations!$C$12+Calculations!M164)/(Calculations!$C$12+Calculations!$C$9))+(1/(Calculations!O164-Calculations!$C$13))*('Reaction Information'!$L$13*(Calculations!M164-Calculations!$C$9)+'Reaction Information'!$M$13*10^4*LN((Calculations!$C$12+Calculations!M164)/(Calculations!$C$12+Calculations!$C$9)))+calculateOmega(Calculations!M164,Calculations!N164,Calculations!Q164,'Reaction Information'!$C$13,'Reaction Information'!$P$13*10^5,'Reaction Information'!$Q$13)*((1/Calculations!S164)-1)-'Reaction Information'!$P$13*10^5*((1/Calculations!$C$10)-1)+'Reaction Information'!$P$13*10^5*Calculations!$C$14*(Calculations!O164-Calculations!$C$8))</f>
        <v>-80120.545655124995</v>
      </c>
      <c r="AG164" s="8" t="e">
        <f>IF(ISBLANK(Input!$AA$4),NA(),'Reaction Information'!$E$17-'Reaction Information'!$G$17*(Calculations!$O164-Calculations!$C$8)-'Reaction Information'!$N$17*(Calculations!$O164*LN(Calculations!$O164/Calculations!$C$8)-Calculations!$O164+Calculations!$C$8)-'Reaction Information'!$O$17*10^4*(((1/(Calculations!$O164-Calculations!$C$13))-(1/(Calculations!$C$8-Calculations!$C$13)))*((Calculations!$C$13-Calculations!$O164)/(Calculations!$C$13))-(Calculations!$O164/(Calculations!$C$13*Calculations!$C$13))*LN((Calculations!$C$8*(Calculations!$O164-Calculations!$C$13))/(Calculations!$O164*(Calculations!$C$8-Calculations!$C$13))))+'Reaction Information'!$J$17*10^-1*(Calculations!$M164-Calculations!$C$9)+'Reaction Information'!$K$17*10^2*LN((Calculations!$C$12+Calculations!$M164)/(Calculations!$C$12+Calculations!$C$9))+(1/(Calculations!$O164-Calculations!$C$13))*('Reaction Information'!$L$17*(Calculations!$M164-Calculations!$C$9)+'Reaction Information'!$M$17*10^4*LN((Calculations!$C$12+Calculations!$M164)/(Calculations!$C$12+Calculations!$C$9)))+calculateOmega(Calculations!M164,Calculations!N164,Calculations!Q164,'Reaction Information'!$C$17,'Reaction Information'!$P$17*10^5,'Reaction Information'!$Q$17)*((1/Calculations!$S164)-1)-'Reaction Information'!$P$17*10^5*((1/Calculations!$C$10)-1)+'Reaction Information'!$P$17*10^5*Calculations!$C$14*(Calculations!$O164-Calculations!$C$8))</f>
        <v>#N/A</v>
      </c>
      <c r="AH164" s="8" t="e">
        <f>IF(ISBLANK(Input!$AD$4),NA(),'Reaction Information'!$E$21-'Reaction Information'!$G$21*(Calculations!$O164-Calculations!$C$8)-'Reaction Information'!$N$21*(Calculations!$O164*LN(Calculations!$O164/Calculations!$C$8)-Calculations!$O164+Calculations!$C$8)-'Reaction Information'!$O$21*10^4*(((1/(Calculations!$O164-Calculations!$C$13))-(1/(Calculations!$C$8-Calculations!$C$13)))*((Calculations!$C$13-Calculations!$O164)/(Calculations!$C$13))-(Calculations!$O164/(Calculations!$C$13*Calculations!$C$13))*LN((Calculations!$C$8*(Calculations!$O164-Calculations!$C$13))/(Calculations!$O164*(Calculations!$C$8-Calculations!$C$13))))+'Reaction Information'!$J$21*10^-1*(Calculations!$M164-Calculations!$C$9)+'Reaction Information'!$K$21*10^2*LN((Calculations!$C$12+Calculations!$M164)/(Calculations!$C$12+Calculations!$C$9))+(1/(Calculations!$O164-Calculations!$C$13))*('Reaction Information'!$L$21*(Calculations!$M164-Calculations!$C$9)+'Reaction Information'!$M$21*10^4*LN((Calculations!$C$12+Calculations!$M164)/(Calculations!$C$12+Calculations!$C$9)))+calculateOmega(Calculations!M164,Calculations!N164,Calculations!Q164,'Reaction Information'!$C$21,'Reaction Information'!$P$21*10^5,'Reaction Information'!$Q$21)*((1/Calculations!$S164)-1)-'Reaction Information'!$P$21*10^5*((1/Calculations!$C$10)-1)+'Reaction Information'!$P$21*10^5*Calculations!$C$14*(Calculations!$O164-Calculations!$C$8))</f>
        <v>#N/A</v>
      </c>
      <c r="AI164" s="8" t="e">
        <f>IF(ISBLANK(Input!$AG$4),NA(),'Reaction Information'!$E$25-'Reaction Information'!$G$25*(Calculations!$O164-Calculations!$C$8)-'Reaction Information'!$N$25*(Calculations!$O164*LN(Calculations!$O164/Calculations!$C$8)-Calculations!$O164+Calculations!$C$8)-'Reaction Information'!$O$25*10^4*(((1/(Calculations!$O164-Calculations!$C$13))-(1/(Calculations!$C$8-Calculations!$C$13)))*((Calculations!$C$13-Calculations!$O164)/(Calculations!$C$13))-(Calculations!$O164/(Calculations!$C$13*Calculations!$C$13))*LN((Calculations!$C$8*(Calculations!$O164-Calculations!$C$13))/(Calculations!$O164*(Calculations!$C$8-Calculations!$C$13))))+'Reaction Information'!$J$25*10^-1*(Calculations!$M164-Calculations!$C$9)+'Reaction Information'!$K$25*10^2*LN((Calculations!$C$12+Calculations!$M164)/(Calculations!$C$12+Calculations!$C$9))+(1/(Calculations!$O164-Calculations!$C$13))*('Reaction Information'!$L$25*(Calculations!$M164-Calculations!$C$9)+'Reaction Information'!$M$25*10^4*LN((Calculations!$C$12+Calculations!$M164)/(Calculations!$C$12+Calculations!$C$9)))+calculateOmega(Calculations!M164,Calculations!N164,Calculations!Q164,'Reaction Information'!$C$25,'Reaction Information'!$P$25*10^5,'Reaction Information'!$Q$25)*((1/Calculations!$S164)-1)-'Reaction Information'!$P$25*10^5*((1/Calculations!$C$10)-1)+'Reaction Information'!$P$25*10^5*Calculations!$C$14*(Calculations!$O164-Calculations!$C$8))</f>
        <v>#N/A</v>
      </c>
      <c r="AJ164" s="8" t="e">
        <f>IF(ISBLANK(Input!$AJ$4),NA(),'Reaction Information'!$E$29-'Reaction Information'!$G$29*(Calculations!$O164-Calculations!$C$8)-'Reaction Information'!$N$29*(Calculations!$O164*LN(Calculations!$O164/Calculations!$C$8)-Calculations!$O164+Calculations!$C$8)-'Reaction Information'!$O$29*10^4*(((1/(Calculations!$O164-Calculations!$C$13))-(1/(Calculations!$C$8-Calculations!$C$13)))*((Calculations!$C$13-Calculations!$O164)/(Calculations!$C$13))-(Calculations!$O164/(Calculations!$C$13*Calculations!$C$13))*LN((Calculations!$C$8*(Calculations!$O164-Calculations!$C$13))/(Calculations!$O164*(Calculations!$C$8-Calculations!$C$13))))+'Reaction Information'!$J$29*10^-1*(Calculations!$M164-Calculations!$C$9)+'Reaction Information'!$K$29*10^2*LN((Calculations!$C$12+Calculations!$M164)/(Calculations!$C$12+Calculations!$C$9))+(1/(Calculations!$O164-Calculations!$C$13))*('Reaction Information'!$L$29*(Calculations!$M164-Calculations!$C$9)+'Reaction Information'!$M$29*10^4*LN((Calculations!$C$12+Calculations!$M164)/(Calculations!$C$12+Calculations!$C$9)))+calculateOmega(Calculations!M164,Calculations!N164,Calculations!Q164,'Reaction Information'!$C$29,'Reaction Information'!$P$29*10^5,'Reaction Information'!$Q$29)*((1/Calculations!$S164)-1)-'Reaction Information'!$P$29*10^5*((1/Calculations!$C$10)-1)+'Reaction Information'!$P$29*10^5*Calculations!$C$14*(Calculations!$O164-Calculations!$C$8))</f>
        <v>#N/A</v>
      </c>
      <c r="AK164" s="8" t="e">
        <f>IF(ISBLANK(Input!$AM$4),NA(),'Reaction Information'!$E$33-'Reaction Information'!$G$33*(Calculations!$O164-Calculations!$C$8)-'Reaction Information'!$N$33*(Calculations!$O164*LN(Calculations!$O164/Calculations!$C$8)-Calculations!$O164+Calculations!$C$8)-'Reaction Information'!$O$33*10^4*(((1/(Calculations!$O164-Calculations!$C$13))-(1/(Calculations!$C$8-Calculations!$C$13)))*((Calculations!$C$13-Calculations!$O164)/(Calculations!$C$13))-(Calculations!$O164/(Calculations!$C$13*Calculations!$C$13))*LN((Calculations!$C$8*(Calculations!$O164-Calculations!$C$13))/(Calculations!$O164*(Calculations!$C$8-Calculations!$C$13))))+'Reaction Information'!$J$33*10^-1*(Calculations!$M164-Calculations!$C$9)+'Reaction Information'!$K$33*10^2*LN((Calculations!$C$12+Calculations!$M164)/(Calculations!$C$12+Calculations!$C$9))+(1/(Calculations!$O164-Calculations!$C$13))*('Reaction Information'!$L$33*(Calculations!$M164-Calculations!$C$9)+'Reaction Information'!$M$33*10^4*LN((Calculations!$C$12+Calculations!$M164)/(Calculations!$C$12+Calculations!$C$9)))+calculateOmega(Calculations!M164,Calculations!N164,Calculations!Q164,'Reaction Information'!$C$33,'Reaction Information'!$P$33*10^5,'Reaction Information'!$Q$33)*((1/Calculations!$S164)-1)-'Reaction Information'!$P$33*10^5*((1/Calculations!$C$10)-1)+'Reaction Information'!$P$33*10^5*Calculations!$C$14*(Calculations!$O164-Calculations!$C$8))</f>
        <v>#N/A</v>
      </c>
      <c r="AL164" s="1">
        <f>Results!S166</f>
        <v>0</v>
      </c>
      <c r="AM164" s="1">
        <f>Results!T166</f>
        <v>0</v>
      </c>
      <c r="AN164" s="1">
        <f>Results!U166</f>
        <v>0</v>
      </c>
      <c r="AO164" s="1">
        <f>Results!V166</f>
        <v>0</v>
      </c>
      <c r="AP164" s="8" t="e">
        <f>IF(ISBLANK(Input!$BB$4),NA(),'Reaction Information'!$E$38-'Reaction Information'!$G$38*(Calculations!$O164-Calculations!$C$8)+'Reaction Information'!$I$38*(Calculations!$O164-Calculations!$C$8-Calculations!$O164*LN(Calculations!$O164/Calculations!$C$8))+'Reaction Information'!$J$38*0.001/2*(2*Calculations!$O164*Calculations!$C$8-Calculations!$O164^2-Calculations!$C$8^2) + 'Reaction Information'!$K$38*100000*(Calculations!$O164^2 + Calculations!$C$8^2 - 2*Calculations!$O164*Calculations!$C$8)/(2*Calculations!$O164*Calculations!$C$8^2))</f>
        <v>#N/A</v>
      </c>
      <c r="AQ164" s="8" t="e">
        <f>IF(ISBLANK(Input!$BE$4),NA(),'Reaction Information'!$E$42-'Reaction Information'!$G$42*(Calculations!$O164-Calculations!$C$8)+'Reaction Information'!$I$42*(Calculations!$O164-Calculations!$C$8-Calculations!$O164*LN(Calculations!$O164/Calculations!$C$8))+'Reaction Information'!$J$42*0.001/2*(2*Calculations!$O164*Calculations!$C$8-Calculations!$O164^2-Calculations!$C$8^2) + 'Reaction Information'!$K$42*100000*(Calculations!$O164^2 + Calculations!$C$8^2 - 2*Calculations!$O164*Calculations!$C$8)/(2*Calculations!$O164*Calculations!$C$8^2))</f>
        <v>#N/A</v>
      </c>
      <c r="AR164" s="8" t="e">
        <f>IF(AR$5="H2O", IF($D$24=3,IF(T164=0,NA(),T164),calculateGibbsOfWater(M164,N164,$D$24,$D$20,$D$19=3)),NA())</f>
        <v>#N/A</v>
      </c>
      <c r="AS164" s="8">
        <f>IF(ISBLANK(Input!$BK$4),NA(),'Reaction Information'!$E$46-'Reaction Information'!$G$46*(Calculations!O164-Calculations!$C$8)-'Reaction Information'!$N$46*(Calculations!O164*LN(Calculations!O164/Calculations!$C$8)-Calculations!O164+Calculations!$C$8)-'Reaction Information'!$O$46*10^4*(((1/(Calculations!O164-Calculations!$C$13))-(1/(Calculations!$C$8-Calculations!$C$13)))*((Calculations!$C$13-Calculations!O164)/(Calculations!$C$13))-(Calculations!O164/(Calculations!$C$13*Calculations!$C$13))*LN((Calculations!$C$8*(Calculations!O164-Calculations!$C$13))/(Calculations!O164*(Calculations!$C$8-Calculations!$C$13))))+'Reaction Information'!$J$46*10^-1*(Calculations!$M164-Calculations!$C$9)+'Reaction Information'!$K$46*10^2*LN((Calculations!$C$12+Calculations!$M164)/(Calculations!$C$12+Calculations!$C$9))+(1/(Calculations!O164-Calculations!$C$13))*('Reaction Information'!$L$46*(Calculations!$M164-Calculations!$C$9)+'Reaction Information'!$M$46*10^4*LN((Calculations!$C$12+Calculations!$M164)/(Calculations!$C$12+Calculations!$C$9)))+calculateOmega(Calculations!M164,Calculations!N164,Calculations!Q164,'Reaction Information'!$C$46,'Reaction Information'!$P$46*10^5,'Reaction Information'!$Q$46)*((1/Calculations!S164)-1)-'Reaction Information'!$P$46*10^5*((1/Calculations!$C$10)-1)+'Reaction Information'!$P$46*10^5*Calculations!$C$14*(Calculations!O164-Calculations!$C$8))</f>
        <v>0</v>
      </c>
      <c r="AT164" s="8">
        <f>IF(ISBLANK(Input!$BN$4),NA(),'Reaction Information'!$E$50-'Reaction Information'!$G$50*(Calculations!O164-Calculations!$C$8)-'Reaction Information'!$N$50*(Calculations!O164*LN(Calculations!O164/Calculations!$C$8)-Calculations!O164+Calculations!$C$8)-'Reaction Information'!$O$50*10^4*(((1/(Calculations!O164-Calculations!$C$13))-(1/(Calculations!$C$8-Calculations!$C$13)))*((Calculations!$C$13-Calculations!O164)/(Calculations!$C$13))-(Calculations!O164/(Calculations!$C$13*Calculations!$C$13))*LN((Calculations!$C$8*(Calculations!O164-Calculations!$C$13))/(Calculations!O164*(Calculations!$C$8-Calculations!$C$13))))+'Reaction Information'!$J$50*10^-1*(Calculations!$M164-Calculations!$C$9)+'Reaction Information'!$K$50*10^2*LN((Calculations!$C$12+Calculations!$M164)/(Calculations!$C$12+Calculations!$C$9))+(1/(Calculations!O164-Calculations!$C$13))*('Reaction Information'!$L$50*(Calculations!$M164-Calculations!$C$9)+'Reaction Information'!$M$50*10^4*LN((Calculations!$C$12+Calculations!$M164)/(Calculations!$C$12+Calculations!$C$9)))+calculateOmega(Calculations!M164,Calculations!N164,Calculations!Q164,'Reaction Information'!$C$50,'Reaction Information'!$P$50*10^5,'Reaction Information'!$Q$50)*((1/Calculations!S164)-1)-'Reaction Information'!$P$50*10^5*((1/Calculations!$C$10)-1)+'Reaction Information'!$P$50*10^5*Calculations!$C$14*(Calculations!O164-Calculations!$C$8))</f>
        <v>-120508.54696804877</v>
      </c>
      <c r="AU164" s="8" t="e">
        <f>IF(ISBLANK(Input!$BQ$4),NA(),'Reaction Information'!$E$54-'Reaction Information'!$G$54*(Calculations!$O164-Calculations!$C$8)-'Reaction Information'!$N$54*(Calculations!$O164*LN(Calculations!$O164/Calculations!$C$8)-Calculations!$O164+Calculations!$C$8)-'Reaction Information'!$O$54*10^4*(((1/(Calculations!$O164-Calculations!$C$13))-(1/(Calculations!$C$8-Calculations!$C$13)))*((Calculations!$C$13-Calculations!$O164)/(Calculations!$C$13))-(Calculations!$O164/(Calculations!$C$13*Calculations!$C$13))*LN((Calculations!$C$8*(Calculations!$O164-Calculations!$C$13))/(Calculations!$O164*(Calculations!$C$8-Calculations!$C$13))))+'Reaction Information'!$J$54*10^-1*(Calculations!$M164-Calculations!$C$9)+'Reaction Information'!$K$54*10^2*LN((Calculations!$C$12+Calculations!$M164)/(Calculations!$C$12+Calculations!$C$9))+(1/(Calculations!$O164-Calculations!$C$13))*('Reaction Information'!$L$54*(Calculations!$M164-Calculations!$C$9)+'Reaction Information'!$M$54*10^4*LN((Calculations!$C$12+Calculations!$M164)/(Calculations!$C$12+Calculations!$C$9)))+calculateOmega(Calculations!M164,Calculations!N164,Calculations!Q164,'Reaction Information'!$C$54,'Reaction Information'!$P$54*10^5,'Reaction Information'!$Q$54)*((1/Calculations!$S164)-1)-'Reaction Information'!$P$54*10^5*((1/Calculations!$C$10)-1)+'Reaction Information'!$P$54*10^5*Calculations!$C$14*(Calculations!$O164-Calculations!$C$8))</f>
        <v>#N/A</v>
      </c>
      <c r="AV164" s="8" t="e">
        <f>IF(ISBLANK(Input!$BT$4),NA(),'Reaction Information'!$E$58-'Reaction Information'!$G$58*(Calculations!$O164-Calculations!$C$8)-'Reaction Information'!$N$58*(Calculations!$O164*LN(Calculations!$O164/Calculations!$C$8)-Calculations!$O164+Calculations!$C$8)-'Reaction Information'!$O$58*10^4*(((1/(Calculations!$O164-Calculations!$C$13))-(1/(Calculations!$C$8-Calculations!$C$13)))*((Calculations!$C$13-Calculations!$O164)/(Calculations!$C$13))-(Calculations!$O164/(Calculations!$C$13*Calculations!$C$13))*LN((Calculations!$C$8*(Calculations!$O164-Calculations!$C$13))/(Calculations!$O164*(Calculations!$C$8-Calculations!$C$13))))+'Reaction Information'!$J$58*10^-1*(Calculations!$M164-Calculations!$C$9)+'Reaction Information'!$K$58*10^2*LN((Calculations!$C$12+Calculations!$M164)/(Calculations!$C$12+Calculations!$C$9))+(1/(Calculations!$O164-Calculations!$C$13))*('Reaction Information'!$L$58*(Calculations!$M164-Calculations!$C$9)+'Reaction Information'!$M$58*10^4*LN((Calculations!$C$12+Calculations!$M164)/(Calculations!$C$12+Calculations!$C$9)))+calculateOmega(Calculations!M164,Calculations!N164,Calculations!Q164,'Reaction Information'!$C$58,'Reaction Information'!$P$58*10^5,'Reaction Information'!$Q$58)*((1/Calculations!$S164)-1)-'Reaction Information'!$P$58*10^5*((1/Calculations!$C$10)-1)+'Reaction Information'!$P$58*10^5*Calculations!$C$14*(Calculations!$O164-Calculations!$C$8))</f>
        <v>#N/A</v>
      </c>
      <c r="AW164" s="8" t="e">
        <f>IF(ISBLANK(Input!$BW$4),NA(),'Reaction Information'!$E$62-'Reaction Information'!$G$62*(Calculations!$O164-Calculations!$C$8)-'Reaction Information'!$N$62*(Calculations!$O164*LN(Calculations!$O164/Calculations!$C$8)-Calculations!$O164+Calculations!$C$8)-'Reaction Information'!$O$62*10^4*(((1/(Calculations!$O164-Calculations!$C$13))-(1/(Calculations!$C$8-Calculations!$C$13)))*((Calculations!$C$13-Calculations!$O164)/(Calculations!$C$13))-(Calculations!$O164/(Calculations!$C$13*Calculations!$C$13))*LN((Calculations!$C$8*(Calculations!$O164-Calculations!$C$13))/(Calculations!$O164*(Calculations!$C$8-Calculations!$C$13))))+'Reaction Information'!$J$62*10^-1*(Calculations!$M164-Calculations!$C$9)+'Reaction Information'!$K$62*10^2*LN((Calculations!$C$12+Calculations!$M164)/(Calculations!$C$12+Calculations!$C$9))+(1/(Calculations!$O164-Calculations!$C$13))*('Reaction Information'!$L$62*(Calculations!$M164-Calculations!$C$9)+'Reaction Information'!$M$62*10^4*LN((Calculations!$C$12+Calculations!$M164)/(Calculations!$C$12+Calculations!$C$9)))+calculateOmega(Calculations!M164,Calculations!N164,Calculations!Q164,'Reaction Information'!$C$62,'Reaction Information'!$P$62*10^5,'Reaction Information'!$Q$62)*((1/Calculations!$S164)-1)-'Reaction Information'!$P$62*10^5*((1/Calculations!$C$10)-1)+'Reaction Information'!$P$62*10^5*Calculations!$C$14*(Calculations!$O164-Calculations!$C$8))</f>
        <v>#N/A</v>
      </c>
      <c r="AX164" s="8" t="e">
        <f>IF(ISBLANK(Input!$BZ$4),NA(),'Reaction Information'!$E$66-'Reaction Information'!$G$66*(Calculations!$O164-Calculations!$C$8)-'Reaction Information'!$N$66*(Calculations!$O164*LN(Calculations!$O164/Calculations!$C$8)-Calculations!$O164+Calculations!$C$8)-'Reaction Information'!$O$66*10^4*(((1/(Calculations!$O164-Calculations!$C$13))-(1/(Calculations!$C$8-Calculations!$C$13)))*((Calculations!$C$13-Calculations!$O164)/(Calculations!$C$13))-(Calculations!$O164/(Calculations!$C$13*Calculations!$C$13))*LN((Calculations!$C$8*(Calculations!$O164-Calculations!$C$13))/(Calculations!$O164*(Calculations!$C$8-Calculations!$C$13))))+'Reaction Information'!$J$66*10^-1*(Calculations!$M164-Calculations!$C$9)+'Reaction Information'!$K$66*10^2*LN((Calculations!$C$12+Calculations!$M164)/(Calculations!$C$12+Calculations!$C$9))+(1/(Calculations!$O164-Calculations!$C$13))*('Reaction Information'!$L$66*(Calculations!$M164-Calculations!$C$9)+'Reaction Information'!$M$66*10^4*LN((Calculations!$C$12+Calculations!$M164)/(Calculations!$C$12+Calculations!$C$9)))+calculateOmega(Calculations!M164,Calculations!N164,Calculations!Q164,'Reaction Information'!$C$66,'Reaction Information'!$P$66*10^5,'Reaction Information'!$Q$66)*((1/Calculations!$S164)-1)-'Reaction Information'!$P$66*10^5*((1/Calculations!$C$10)-1)+'Reaction Information'!$P$66*10^5*Calculations!$C$14*(Calculations!$O164-Calculations!$C$8))</f>
        <v>#N/A</v>
      </c>
      <c r="AY164" s="31">
        <f>(AL164*Input!$AO$4+AM164*Input!$AR$4+AN164*Input!$AU$4+AO164*Input!$AX$4+IF(ISNA(AP164),0,AP164*Input!$BA$4)+IF(ISNA(AQ164),0,AQ164*Input!$BD$4)+IF(ISNA(AR164),0,AR164*Input!$BG$4)+IF(ISNA(AS164),0,AS164*Input!$BJ$4)+IF(ISNA(AT164),0,AT164*Input!$BM$4)+IF(ISNA(AU164),0,AU164*Input!$BP$4)+IF(ISNA(AV164),0,AV164*Input!$BS$4)+IF(ISNA(AW164),0,AW164*Input!$BV$4)+IF(ISNA(AX164),0,AX164*Input!$BY$4))-(Y164*Input!$B$4+Z164*Input!$E$4+AA164*Input!$H$4+AB164*Input!$K$4+IF(ISNA(AC164),0,AC164*Input!$N$4)+IF(ISNA(AD164),0,AD164*Input!$Q$4)+IF(ISNA(AE164),0,AE164*Input!$T$4)+IF(ISNA(AF164),0,AF164*Input!$W$4)+IF(ISNA(AG164),0,AG164*Input!$Z$4)+IF(ISNA(AH164),0,AH164*Input!$AC$4)+IF(ISNA(AI164),0,AI164*Input!$AF$4)+IF(ISNA(AJ164),0,AJ164*Input!$AI$4)+IF(ISNA(AK164),0,AK164*Input!$AL$4))</f>
        <v>13837.33496444732</v>
      </c>
      <c r="AZ164" s="42">
        <f t="shared" si="39"/>
        <v>-3.1096000939206139</v>
      </c>
      <c r="BA164" s="1">
        <f t="shared" si="46"/>
        <v>700</v>
      </c>
      <c r="BB164" s="46">
        <f t="shared" si="47"/>
        <v>55000</v>
      </c>
      <c r="BC164" s="1"/>
      <c r="BD164" s="2">
        <f t="shared" si="48"/>
        <v>55000</v>
      </c>
      <c r="BE164" s="46">
        <f t="shared" si="49"/>
        <v>700</v>
      </c>
      <c r="BF164" s="1">
        <f>Results!AJ166</f>
        <v>0</v>
      </c>
      <c r="BG164" s="1">
        <f>Results!AK166</f>
        <v>0</v>
      </c>
      <c r="BH164" s="1">
        <f>Results!AL166</f>
        <v>0</v>
      </c>
      <c r="BI164" s="1">
        <f>Results!AM166</f>
        <v>0</v>
      </c>
      <c r="BJ164" s="1" t="e">
        <f>IF(OR(ISNA('Reaction Information'!$D$5), $N164 = "", $D$27 = FALSE, 'Reaction Information'!$D$5 = ""), NA(), 24.465)</f>
        <v>#N/A</v>
      </c>
      <c r="BK164" s="1" t="e">
        <f>IF(OR(ISNA('Reaction Information'!$D$9), $N164 = "", $D$27 = FALSE, 'Reaction Information'!$D$9 = ""), NA(), 24.465)</f>
        <v>#N/A</v>
      </c>
      <c r="BL164" s="8">
        <f t="shared" si="40"/>
        <v>12.947234031653137</v>
      </c>
      <c r="BM164" s="8">
        <f>IF(OR(ISBLANK(Input!$X$4),$D$27=FALSE),NA(),('Reaction Information'!$J$13/10+'Reaction Information'!$K$13*100/(Calculations!$C$12+Calculations!$M164)+('Reaction Information'!$L$13+'Reaction Information'!$M$13*10^4/(Calculations!$C$12+Calculations!$M164))/(Calculations!$O164-Calculations!$C$13) -calculateOmega(Calculations!$M164,Calculations!$N164,Calculations!$Q164,'Reaction Information'!$C$13,'Reaction Information'!$P$13*10^5,'Reaction Information'!$Q$13)*Calculations!$U164*10^-6 + (1/$S164 - 1)*calculate_domegadP(Calculations!$M164,Calculations!$N164,Calculations!$Q164,'Reaction Information'!$C$13,'Reaction Information'!$P$13*10^5,'Reaction Information'!$Q$13,$D$20,$D$19=3))*41.84)</f>
        <v>29.869546715416366</v>
      </c>
      <c r="BN164" s="8" t="e">
        <f>IF(OR(ISBLANK(Input!$AA$4),$D$27=FALSE),NA(),('Reaction Information'!$J$17/10+'Reaction Information'!$K$17*100/(Calculations!$C$12+Calculations!$M164)+('Reaction Information'!$L$17+'Reaction Information'!$M$17*10000/(Calculations!$C$12+Calculations!$M164))/(Calculations!$O164-Calculations!$C$13)-calculateOmega(Calculations!M164,Calculations!N164,Calculations!Q164,'Reaction Information'!$C$17,'Reaction Information'!$P$17*10^5,'Reaction Information'!$Q$17)*Calculations!$U164*10^-6 + (1/$S164 - 1)*calculate_domegadP(Calculations!M164,Calculations!N164,Calculations!Q164,'Reaction Information'!$C$17,'Reaction Information'!$P$17*10^5,'Reaction Information'!$Q$17,$D$20,$D$19=3))*41.84)</f>
        <v>#N/A</v>
      </c>
      <c r="BO164" s="8" t="e">
        <f>IF(OR(ISBLANK(Input!$AD$4),$D$27=FALSE),NA(),('Reaction Information'!$J$21/10+'Reaction Information'!$K$21*100/(Calculations!$C$12+Calculations!$M164)+('Reaction Information'!$L$21+'Reaction Information'!$M$21*10000/(Calculations!$C$12+Calculations!$M164))/(Calculations!$O164-Calculations!$C$13)-calculateOmega(Calculations!M164,Calculations!N164,Calculations!Q164,'Reaction Information'!$C$21,'Reaction Information'!$P$21*10^5,'Reaction Information'!$Q$21)*Calculations!$U164*10^-6 + (1/$S164 - 1)*calculate_domegadP(Calculations!M164,Calculations!N164,Calculations!Q164,'Reaction Information'!$C$21,'Reaction Information'!$P$21*10^5,'Reaction Information'!$Q$21,$D$20,$D$19=3))*41.84)</f>
        <v>#N/A</v>
      </c>
      <c r="BP164" s="8" t="e">
        <f>IF(OR(ISBLANK(Input!$AG$4),$D$27=FALSE),NA(),('Reaction Information'!$J$25/10+'Reaction Information'!$K$25*100/(Calculations!$C$12+Calculations!$M164)+('Reaction Information'!$L$25+'Reaction Information'!$M$25*10000/(Calculations!$C$12+Calculations!$M164))/(Calculations!$O164-Calculations!$C$13)-calculateOmega(Calculations!M164,Calculations!N164,Calculations!Q164,'Reaction Information'!$C$25,'Reaction Information'!$P$25*10^5,'Reaction Information'!$Q$25)*Calculations!$U164*10^-6 + (1/$S164 - 1)*calculate_domegadP(Calculations!M164,Calculations!N164,Calculations!Q164,'Reaction Information'!$C$25,'Reaction Information'!$P$25*10^5,'Reaction Information'!$Q$25,$D$20,$D$19=3))*41.84)</f>
        <v>#N/A</v>
      </c>
      <c r="BQ164" s="8" t="e">
        <f>IF(OR(ISBLANK(Input!$AJ$4),$D$27=FALSE),NA(),('Reaction Information'!$J$29/10+'Reaction Information'!$K$29*100/(Calculations!$C$12+Calculations!$M164)+('Reaction Information'!$L$29+'Reaction Information'!$M$29*10000/(Calculations!$C$12+Calculations!$M164))/(Calculations!$O164-Calculations!$C$13)-calculateOmega(Calculations!M164,Calculations!N164,Calculations!Q164,'Reaction Information'!$C$29,'Reaction Information'!$P$29*10^5,'Reaction Information'!$Q$29)*Calculations!$U164*10^-6 + (1/$S164 - 1)*calculate_domegadP(Calculations!M164,Calculations!N164,Calculations!Q164,'Reaction Information'!$C$29,'Reaction Information'!$P$29*10^5,'Reaction Information'!$Q$29,$D$20,$D$19=3))*41.84)</f>
        <v>#N/A</v>
      </c>
      <c r="BR164" s="8" t="e">
        <f>IF(OR(ISBLANK(Input!$AM$4),$D$27=FALSE),NA(),('Reaction Information'!$J$33/10+'Reaction Information'!$K$33*100/(Calculations!$C$12+Calculations!$M164)+('Reaction Information'!$L$33+'Reaction Information'!$M$33*10000/(Calculations!$C$12+Calculations!$M164))/(Calculations!$O164-Calculations!$C$13)-calculateOmega(Calculations!M164,Calculations!N164,Calculations!Q164,'Reaction Information'!$C$33,'Reaction Information'!$P$33*10^5,'Reaction Information'!$Q$33)*Calculations!$U164*10^-6 + (1/$S164 - 1)*calculate_domegadP(Calculations!M164,Calculations!N164,Calculations!Q164,'Reaction Information'!$C$33,'Reaction Information'!$P$33*10^5,'Reaction Information'!$Q$33,$D$20,$D$19=3))*41.84)</f>
        <v>#N/A</v>
      </c>
      <c r="BS164" s="1">
        <f>Results!AW166</f>
        <v>0</v>
      </c>
      <c r="BT164" s="1">
        <f>Results!AX166</f>
        <v>0</v>
      </c>
      <c r="BU164" s="1">
        <f>Results!AY166</f>
        <v>0</v>
      </c>
      <c r="BV164" s="1">
        <f>Results!AZ166</f>
        <v>0</v>
      </c>
      <c r="BW164" s="1" t="e">
        <f>IF(OR(ISNA('Reaction Information'!$D$38), $N164 = "", $D$27 = FALSE, 'Reaction Information'!$D$38 = ""), NA(), 24.465)</f>
        <v>#N/A</v>
      </c>
      <c r="BX164" s="1" t="e">
        <f>IF(OR(ISNA('Reaction Information'!$D$42), $N164 = "", $D$27 = FALSE, 'Reaction Information'!$D$42 = ""), NA(), 24.465)</f>
        <v>#N/A</v>
      </c>
      <c r="BY164" s="8" t="e">
        <f t="shared" si="41"/>
        <v>#N/A</v>
      </c>
      <c r="BZ164" s="8">
        <f>IF(OR(ISBLANK(Input!$BK$4),$D$27=FALSE),NA(),('Reaction Information'!$J$46/10+'Reaction Information'!$K$46*100/(Calculations!$C$12+Calculations!$M164)+('Reaction Information'!$L$46+'Reaction Information'!$M$46*10000/(Calculations!$C$12+Calculations!$M164))/(Calculations!$O164-Calculations!$C$13)-calculateOmega(Calculations!M164,Calculations!N164,Calculations!Q164,'Reaction Information'!$C$46,'Reaction Information'!$P$46*10^5,'Reaction Information'!$Q$46)*Calculations!$U164*10^-6 + (1/$S164 - 1)*calculate_domegadP(Calculations!M164,Calculations!N164,Calculations!Q164,'Reaction Information'!$C$46,'Reaction Information'!$P$46*10^5,'Reaction Information'!$Q$46,$D$20,$D$19=3))*41.84)</f>
        <v>0</v>
      </c>
      <c r="CA164" s="8">
        <f>IF(OR(ISBLANK(Input!$BN$4),$D$27=FALSE),NA(),('Reaction Information'!$J$50/10+'Reaction Information'!$K$50*100/(Calculations!$C$12+Calculations!$M164)+('Reaction Information'!$L$50+'Reaction Information'!$M$50*10000/(Calculations!$C$12+Calculations!$M164))/(Calculations!$O164-Calculations!$C$13)-calculateOmega(Calculations!M164,Calculations!N164,Calculations!Q164,'Reaction Information'!$C$50,'Reaction Information'!$P$50*10^5,'Reaction Information'!$Q$50)*Calculations!$U164*10^-6 + (1/$S164 - 1)*calculate_domegadP(Calculations!M164,Calculations!N164,Calculations!Q164,'Reaction Information'!$C$50,'Reaction Information'!$P$50*10^5,'Reaction Information'!$Q$50,$D$20,$D$19=3))*41.84)</f>
        <v>31.391668142385576</v>
      </c>
      <c r="CB164" s="8" t="e">
        <f>IF(OR(ISBLANK(Input!$BQ$4),$D$27=FALSE),NA(),('Reaction Information'!$J$54/10+'Reaction Information'!$K$54*100/(Calculations!$C$12+Calculations!$M164)+('Reaction Information'!$L$54+'Reaction Information'!$M$54*10000/(Calculations!$C$12+Calculations!$M164))/(Calculations!$O164-Calculations!$C$13)-calculateOmega(Calculations!M164,Calculations!N164,Calculations!Q164,'Reaction Information'!$C$54,'Reaction Information'!$P$54*10^5,'Reaction Information'!$Q$54)*Calculations!$U164*10^-6 + (1/$S164 - 1)*calculate_domegadP(Calculations!M164,Calculations!N164,Calculations!Q164,'Reaction Information'!$C$54,'Reaction Information'!$P$54*10^5,'Reaction Information'!$Q$54,$D$20,$D$19=3))*41.84)</f>
        <v>#N/A</v>
      </c>
      <c r="CC164" s="8" t="e">
        <f>IF(OR(ISBLANK(Input!$BT$4),$D$27=FALSE),NA(),('Reaction Information'!$J$58/10+'Reaction Information'!$K$58*100/(Calculations!$C$12+Calculations!$M164)+('Reaction Information'!$L$58+'Reaction Information'!$M$58*10000/(Calculations!$C$12+Calculations!$M164))/(Calculations!$O164-Calculations!$C$13)-calculateOmega(Calculations!M164,Calculations!N164,Calculations!Q164,'Reaction Information'!$C$58,'Reaction Information'!$P$58*10^5,'Reaction Information'!$Q$58)*Calculations!$U164*10^-6 + (1/$S164 - 1)*calculate_domegadP(Calculations!M164,Calculations!N164,Calculations!Q164,'Reaction Information'!$C$58,'Reaction Information'!$P$58*10^5,'Reaction Information'!$Q$58,$D$20,$D$19=3))*41.84)</f>
        <v>#N/A</v>
      </c>
      <c r="CD164" s="8" t="e">
        <f>IF(OR(ISBLANK(Input!$BW$4),$D$27=FALSE),NA(),('Reaction Information'!$J$62/10+'Reaction Information'!$K$62*100/(Calculations!$C$12+Calculations!$M164)+('Reaction Information'!$L$62+'Reaction Information'!$M$62*10000/(Calculations!$C$12+Calculations!$M164))/(Calculations!$O164-Calculations!$C$13)-calculateOmega(Calculations!M164,Calculations!N164,Calculations!Q164,'Reaction Information'!$C$62,'Reaction Information'!$P$62*10^5,'Reaction Information'!$Q$62)*Calculations!$U164*10^-6 + (1/$S164 - 1)*calculate_domegadP(Calculations!M164,Calculations!N164,Calculations!Q164,'Reaction Information'!$C$62,'Reaction Information'!$P$62*10^5,'Reaction Information'!$Q$62,$D$20,$D$19=3))*41.84)</f>
        <v>#N/A</v>
      </c>
      <c r="CE164" s="8" t="e">
        <f>IF(OR(ISBLANK(Input!$BZ$4),$D$27=FALSE),NA(),('Reaction Information'!$J$66/10+'Reaction Information'!$K$66*100/(Calculations!$C$12+Calculations!$M164)+('Reaction Information'!$L$66+'Reaction Information'!$M$66*10000/(Calculations!$C$12+Calculations!$M164))/(Calculations!$O164-Calculations!$C$13)-calculateOmega(Calculations!M164,Calculations!N164,Calculations!Q164,'Reaction Information'!$C$66,'Reaction Information'!$P$66*10^5,'Reaction Information'!$Q$66)*Calculations!$U164*10^-6 + (1/$S164 - 1)*calculate_domegadP(Calculations!M164,Calculations!N164,Calculations!Q164,'Reaction Information'!$C$66,'Reaction Information'!$P$66*10^5,'Reaction Information'!$Q$66,$D$20,$D$19=3))*41.84)</f>
        <v>#N/A</v>
      </c>
      <c r="CF164" s="31">
        <f>(BS164*Input!$AO$4+BT164*Input!$AR$4+BU164*Input!$AU$4+BV164*Input!$AX$4+IF(ISNA(BW164),0,BW164*Input!$BA$4)+IF(ISNA(BX164),0,BX164*Input!$BD$4)+IF(ISNA(BY164),0,BY164*Input!$BG$4)+IF(ISNA(BZ164),0,BZ164*Input!$BJ$4)+IF(ISNA(CA164),0,CA164*Input!$BM$4)+IF(ISNA(CB164),0,CB164*Input!$BP$4)+IF(ISNA(CC164),0,CC164*Input!$BS$4)+IF(ISNA(CD164),0,CD164*Input!$BV$4)+IF(ISNA(CE164),0,CE164*Input!$BY$4))-(BF164*Input!$B$4+BG164*Input!$E$4+BH164*Input!$H$4+BI164*Input!$K$4+IF(ISNA(BJ164),0,BJ164*Input!$N$4)+IF(ISNA(BK164),0,BK164*Input!$Q$4)+IF(ISNA(BL164),0,BL164*Input!$T$4)+IF(ISNA(BM164),0,BM164*Input!$W$4)+IF(ISNA(BN164),0,BN164*Input!$Z$4)+IF(ISNA(BO164),0,BO164*Input!$AC$4)+IF(ISNA(BP164),0,BP164*Input!$AF$4)+IF(ISNA(BQ164),0,BQ164*Input!$AI$4)+IF(ISNA(BR164),0,BR164*Input!$AL$4))</f>
        <v>-11.425112604683925</v>
      </c>
      <c r="CG164" s="1">
        <f t="shared" si="50"/>
        <v>700</v>
      </c>
      <c r="CH164" s="46">
        <f t="shared" si="51"/>
        <v>55000</v>
      </c>
      <c r="CI164" s="1"/>
    </row>
    <row r="165" spans="1:87" x14ac:dyDescent="0.2">
      <c r="A165" s="1"/>
      <c r="B165" s="1"/>
      <c r="C165" s="1"/>
      <c r="D165" s="1"/>
      <c r="E165" s="1"/>
      <c r="F165" s="2">
        <v>160</v>
      </c>
      <c r="G165" s="1" t="str">
        <f>IF(ISBLANK(Input!CB165), "", Input!CB165*1000)</f>
        <v/>
      </c>
      <c r="H165" s="1" t="str">
        <f>IF(ISBLANK(Input!CC165), "", Input!CC165)</f>
        <v/>
      </c>
      <c r="I165" s="1">
        <f>IF(Input!$CF$5 + Input!$CF$6*(FLOOR((Calculations!$F165-1)/(FLOOR((Input!$CF$12-Input!$CF$10)/Input!$CF$11,1)+1),1)) &gt; Input!$CF$7, "", (Input!$CF$5 + Input!$CF$6*(FLOOR((Calculations!$F165-1)/(FLOOR((Input!$CF$12-Input!$CF$10)/Input!$CF$11,1)+1),1)))*1000)</f>
        <v>55000</v>
      </c>
      <c r="J165" s="1">
        <f>IF(Calculations!I165 = "", "", Input!$CF$10 + Input!$CF$11*(Calculations!$F165-1) - (FLOOR((Input!$CF$12-Input!$CF$10)/Input!$CF$11,1)+1)*Input!$CF$11*FLOOR((Calculations!$F165-1)/(FLOOR((Input!$CF$12-Input!$CF$10)/Input!$CF$11,1)+1),1))</f>
        <v>750</v>
      </c>
      <c r="K165" s="8" t="str">
        <f t="shared" si="52"/>
        <v/>
      </c>
      <c r="L165" s="117" t="str">
        <f>IF(OR(Input!$CJ$5 + Input!$CJ$6*(Calculations!F165-1) &gt; Input!$CJ$7, Input!$CJ$5 + Input!$CJ$6*(Calculations!F165-1) &gt; 350), "", Input!$CJ$5 + Input!$CJ$6*(Calculations!F165-1))</f>
        <v/>
      </c>
      <c r="M165" s="1">
        <f t="shared" si="42"/>
        <v>55000</v>
      </c>
      <c r="N165" s="1">
        <f t="shared" si="43"/>
        <v>750</v>
      </c>
      <c r="O165" s="1">
        <f t="shared" si="38"/>
        <v>1023.15</v>
      </c>
      <c r="P165" s="1" t="e">
        <f>IF(OR($D$20=3,AND($D$21=TRUE,M165&lt;1000)),INDEX('Water Density'!$C$6:$CX$120,MATCH(Calculations!N165,'Water Density'!$B$6:$B$120),MATCH(Calculations!M165/1000,'Water Density'!$C$5:$CX$5)),NA())</f>
        <v>#N/A</v>
      </c>
      <c r="Q165" s="182">
        <f>IF(OR($D$20=3,AND($D$21=TRUE,M165&lt;1000)), IF(P165&lt;&gt;0,P165,NA()), calculateDensity(M165,N165,$D$20,0.01,$D$19 = 3))</f>
        <v>1.3788782201713325</v>
      </c>
      <c r="R165" s="1" t="e">
        <f>IF($D$22=5,INDEX('Dielectric Constant'!$C$6:$CX$120,MATCH(Calculations!N165,'Dielectric Constant'!$B$6:$B$120),MATCH(Calculations!M165/1000,'Dielectric Constant'!$C$5:$CX$5)),NA())</f>
        <v>#N/A</v>
      </c>
      <c r="S165" s="58">
        <f>IF($D$22=5, IF(R165&lt;&gt;0,R165,NA()), IF(AND($D$23,M165&lt;=5000,$D$19 &lt;&gt; 3),calculateEpsilon(Q165,N165,1,FALSE),calculateEpsilon(Q165,N165,$D$22,$D$19 = 3)))</f>
        <v>26.255027435476283</v>
      </c>
      <c r="T165" s="1" t="e">
        <f>IF($D$24=3,INDEX('Water Free Energy'!$C$6:$CX$120,MATCH(Calculations!N165,'Water Free Energy'!$B$6:$B$120),MATCH(Calculations!M165/1000,'Water Free Energy'!$C$5:$CX$5)),NA())</f>
        <v>#N/A</v>
      </c>
      <c r="U165" s="179">
        <f>IF($D$27,calculateQ(M165,N165,Q165,$D$20,$D$22,$D$19=3)*10^6,NA())</f>
        <v>0.13757809817942188</v>
      </c>
      <c r="V165"/>
      <c r="W165" s="2">
        <f t="shared" si="44"/>
        <v>55000</v>
      </c>
      <c r="X165" s="1">
        <f t="shared" si="45"/>
        <v>750</v>
      </c>
      <c r="Y165" s="1">
        <f>Results!F167</f>
        <v>0</v>
      </c>
      <c r="Z165" s="1">
        <f>Results!G167</f>
        <v>0</v>
      </c>
      <c r="AA165" s="1">
        <f>Results!H167</f>
        <v>0</v>
      </c>
      <c r="AB165" s="1">
        <f>Results!I167</f>
        <v>0</v>
      </c>
      <c r="AC165" s="1" t="e">
        <f>IF(ISBLANK(Input!$O$4),NA(),'Reaction Information'!$E$5-'Reaction Information'!$G$5*(Calculations!$O165-Calculations!$C$8)+'Reaction Information'!$I$5*(Calculations!$O165-Calculations!$C$8-Calculations!$O165*LN(Calculations!$O165/Calculations!$C$8))+'Reaction Information'!$J$5*0.001/2*(2*Calculations!$O165*Calculations!$C$8-Calculations!$O165^2-Calculations!$C$8^2) + 'Reaction Information'!$K$5*100000*(Calculations!$O165^2 + Calculations!$C$8^2 - 2*Calculations!$O165*Calculations!$C$8)/(2*Calculations!$O165*Calculations!$C$8^2))</f>
        <v>#N/A</v>
      </c>
      <c r="AD165" s="8" t="e">
        <f>IF(ISBLANK(Input!$R$4),NA(),'Reaction Information'!$E$9-'Reaction Information'!$G$9*(Calculations!$O165-Calculations!$C$8)+'Reaction Information'!$I$9*(Calculations!$O165-Calculations!$C$8-Calculations!$O165*LN(Calculations!$O165/Calculations!$C$8))+'Reaction Information'!$J$9*0.001/2*(2*Calculations!$O165*Calculations!$C$8-Calculations!$O165^2-Calculations!$C$8^2) + 'Reaction Information'!$K$9*100000*(Calculations!$O165^2 + Calculations!$C$8^2 - 2*Calculations!$O165*Calculations!$C$8)/(2*Calculations!$O165*Calculations!$C$8^2))</f>
        <v>#N/A</v>
      </c>
      <c r="AE165" s="8">
        <f>IF(AE$5="H2O",IF($D$24=3,IF(T165=0,NA(),T165),calculateGibbsOfWater(M165,N165,$D$24,$D$20,$D$19=3)),NA())</f>
        <v>-55671.069421013453</v>
      </c>
      <c r="AF165" s="8">
        <f>IF(ISBLANK(Input!$X$4),NA(),'Reaction Information'!$E$13-'Reaction Information'!$G$13*(Calculations!O165-Calculations!$C$8)-'Reaction Information'!$N$13*(Calculations!O165*LN(Calculations!O165/Calculations!$C$8)-Calculations!O165+Calculations!$C$8)-'Reaction Information'!$O$13*10^4*(((1/(Calculations!O165-Calculations!$C$13))-(1/(Calculations!$C$8-Calculations!$C$13)))*((Calculations!$C$13-Calculations!O165)/(Calculations!$C$13))-(Calculations!O165/(Calculations!$C$13*Calculations!$C$13))*LN((Calculations!$C$8*(Calculations!O165-Calculations!$C$13))/(Calculations!O165*(Calculations!$C$8-Calculations!$C$13))))+'Reaction Information'!$J$13*10^-1*(Calculations!M165-Calculations!$C$9)+'Reaction Information'!$K$13*10^2*LN((Calculations!$C$12+Calculations!M165)/(Calculations!$C$12+Calculations!$C$9))+(1/(Calculations!O165-Calculations!$C$13))*('Reaction Information'!$L$13*(Calculations!M165-Calculations!$C$9)+'Reaction Information'!$M$13*10^4*LN((Calculations!$C$12+Calculations!M165)/(Calculations!$C$12+Calculations!$C$9)))+calculateOmega(Calculations!M165,Calculations!N165,Calculations!Q165,'Reaction Information'!$C$13,'Reaction Information'!$P$13*10^5,'Reaction Information'!$Q$13)*((1/Calculations!S165)-1)-'Reaction Information'!$P$13*10^5*((1/Calculations!$C$10)-1)+'Reaction Information'!$P$13*10^5*Calculations!$C$14*(Calculations!O165-Calculations!$C$8))</f>
        <v>-82468.04903444073</v>
      </c>
      <c r="AG165" s="8" t="e">
        <f>IF(ISBLANK(Input!$AA$4),NA(),'Reaction Information'!$E$17-'Reaction Information'!$G$17*(Calculations!$O165-Calculations!$C$8)-'Reaction Information'!$N$17*(Calculations!$O165*LN(Calculations!$O165/Calculations!$C$8)-Calculations!$O165+Calculations!$C$8)-'Reaction Information'!$O$17*10^4*(((1/(Calculations!$O165-Calculations!$C$13))-(1/(Calculations!$C$8-Calculations!$C$13)))*((Calculations!$C$13-Calculations!$O165)/(Calculations!$C$13))-(Calculations!$O165/(Calculations!$C$13*Calculations!$C$13))*LN((Calculations!$C$8*(Calculations!$O165-Calculations!$C$13))/(Calculations!$O165*(Calculations!$C$8-Calculations!$C$13))))+'Reaction Information'!$J$17*10^-1*(Calculations!$M165-Calculations!$C$9)+'Reaction Information'!$K$17*10^2*LN((Calculations!$C$12+Calculations!$M165)/(Calculations!$C$12+Calculations!$C$9))+(1/(Calculations!$O165-Calculations!$C$13))*('Reaction Information'!$L$17*(Calculations!$M165-Calculations!$C$9)+'Reaction Information'!$M$17*10^4*LN((Calculations!$C$12+Calculations!$M165)/(Calculations!$C$12+Calculations!$C$9)))+calculateOmega(Calculations!M165,Calculations!N165,Calculations!Q165,'Reaction Information'!$C$17,'Reaction Information'!$P$17*10^5,'Reaction Information'!$Q$17)*((1/Calculations!$S165)-1)-'Reaction Information'!$P$17*10^5*((1/Calculations!$C$10)-1)+'Reaction Information'!$P$17*10^5*Calculations!$C$14*(Calculations!$O165-Calculations!$C$8))</f>
        <v>#N/A</v>
      </c>
      <c r="AH165" s="8" t="e">
        <f>IF(ISBLANK(Input!$AD$4),NA(),'Reaction Information'!$E$21-'Reaction Information'!$G$21*(Calculations!$O165-Calculations!$C$8)-'Reaction Information'!$N$21*(Calculations!$O165*LN(Calculations!$O165/Calculations!$C$8)-Calculations!$O165+Calculations!$C$8)-'Reaction Information'!$O$21*10^4*(((1/(Calculations!$O165-Calculations!$C$13))-(1/(Calculations!$C$8-Calculations!$C$13)))*((Calculations!$C$13-Calculations!$O165)/(Calculations!$C$13))-(Calculations!$O165/(Calculations!$C$13*Calculations!$C$13))*LN((Calculations!$C$8*(Calculations!$O165-Calculations!$C$13))/(Calculations!$O165*(Calculations!$C$8-Calculations!$C$13))))+'Reaction Information'!$J$21*10^-1*(Calculations!$M165-Calculations!$C$9)+'Reaction Information'!$K$21*10^2*LN((Calculations!$C$12+Calculations!$M165)/(Calculations!$C$12+Calculations!$C$9))+(1/(Calculations!$O165-Calculations!$C$13))*('Reaction Information'!$L$21*(Calculations!$M165-Calculations!$C$9)+'Reaction Information'!$M$21*10^4*LN((Calculations!$C$12+Calculations!$M165)/(Calculations!$C$12+Calculations!$C$9)))+calculateOmega(Calculations!M165,Calculations!N165,Calculations!Q165,'Reaction Information'!$C$21,'Reaction Information'!$P$21*10^5,'Reaction Information'!$Q$21)*((1/Calculations!$S165)-1)-'Reaction Information'!$P$21*10^5*((1/Calculations!$C$10)-1)+'Reaction Information'!$P$21*10^5*Calculations!$C$14*(Calculations!$O165-Calculations!$C$8))</f>
        <v>#N/A</v>
      </c>
      <c r="AI165" s="8" t="e">
        <f>IF(ISBLANK(Input!$AG$4),NA(),'Reaction Information'!$E$25-'Reaction Information'!$G$25*(Calculations!$O165-Calculations!$C$8)-'Reaction Information'!$N$25*(Calculations!$O165*LN(Calculations!$O165/Calculations!$C$8)-Calculations!$O165+Calculations!$C$8)-'Reaction Information'!$O$25*10^4*(((1/(Calculations!$O165-Calculations!$C$13))-(1/(Calculations!$C$8-Calculations!$C$13)))*((Calculations!$C$13-Calculations!$O165)/(Calculations!$C$13))-(Calculations!$O165/(Calculations!$C$13*Calculations!$C$13))*LN((Calculations!$C$8*(Calculations!$O165-Calculations!$C$13))/(Calculations!$O165*(Calculations!$C$8-Calculations!$C$13))))+'Reaction Information'!$J$25*10^-1*(Calculations!$M165-Calculations!$C$9)+'Reaction Information'!$K$25*10^2*LN((Calculations!$C$12+Calculations!$M165)/(Calculations!$C$12+Calculations!$C$9))+(1/(Calculations!$O165-Calculations!$C$13))*('Reaction Information'!$L$25*(Calculations!$M165-Calculations!$C$9)+'Reaction Information'!$M$25*10^4*LN((Calculations!$C$12+Calculations!$M165)/(Calculations!$C$12+Calculations!$C$9)))+calculateOmega(Calculations!M165,Calculations!N165,Calculations!Q165,'Reaction Information'!$C$25,'Reaction Information'!$P$25*10^5,'Reaction Information'!$Q$25)*((1/Calculations!$S165)-1)-'Reaction Information'!$P$25*10^5*((1/Calculations!$C$10)-1)+'Reaction Information'!$P$25*10^5*Calculations!$C$14*(Calculations!$O165-Calculations!$C$8))</f>
        <v>#N/A</v>
      </c>
      <c r="AJ165" s="8" t="e">
        <f>IF(ISBLANK(Input!$AJ$4),NA(),'Reaction Information'!$E$29-'Reaction Information'!$G$29*(Calculations!$O165-Calculations!$C$8)-'Reaction Information'!$N$29*(Calculations!$O165*LN(Calculations!$O165/Calculations!$C$8)-Calculations!$O165+Calculations!$C$8)-'Reaction Information'!$O$29*10^4*(((1/(Calculations!$O165-Calculations!$C$13))-(1/(Calculations!$C$8-Calculations!$C$13)))*((Calculations!$C$13-Calculations!$O165)/(Calculations!$C$13))-(Calculations!$O165/(Calculations!$C$13*Calculations!$C$13))*LN((Calculations!$C$8*(Calculations!$O165-Calculations!$C$13))/(Calculations!$O165*(Calculations!$C$8-Calculations!$C$13))))+'Reaction Information'!$J$29*10^-1*(Calculations!$M165-Calculations!$C$9)+'Reaction Information'!$K$29*10^2*LN((Calculations!$C$12+Calculations!$M165)/(Calculations!$C$12+Calculations!$C$9))+(1/(Calculations!$O165-Calculations!$C$13))*('Reaction Information'!$L$29*(Calculations!$M165-Calculations!$C$9)+'Reaction Information'!$M$29*10^4*LN((Calculations!$C$12+Calculations!$M165)/(Calculations!$C$12+Calculations!$C$9)))+calculateOmega(Calculations!M165,Calculations!N165,Calculations!Q165,'Reaction Information'!$C$29,'Reaction Information'!$P$29*10^5,'Reaction Information'!$Q$29)*((1/Calculations!$S165)-1)-'Reaction Information'!$P$29*10^5*((1/Calculations!$C$10)-1)+'Reaction Information'!$P$29*10^5*Calculations!$C$14*(Calculations!$O165-Calculations!$C$8))</f>
        <v>#N/A</v>
      </c>
      <c r="AK165" s="8" t="e">
        <f>IF(ISBLANK(Input!$AM$4),NA(),'Reaction Information'!$E$33-'Reaction Information'!$G$33*(Calculations!$O165-Calculations!$C$8)-'Reaction Information'!$N$33*(Calculations!$O165*LN(Calculations!$O165/Calculations!$C$8)-Calculations!$O165+Calculations!$C$8)-'Reaction Information'!$O$33*10^4*(((1/(Calculations!$O165-Calculations!$C$13))-(1/(Calculations!$C$8-Calculations!$C$13)))*((Calculations!$C$13-Calculations!$O165)/(Calculations!$C$13))-(Calculations!$O165/(Calculations!$C$13*Calculations!$C$13))*LN((Calculations!$C$8*(Calculations!$O165-Calculations!$C$13))/(Calculations!$O165*(Calculations!$C$8-Calculations!$C$13))))+'Reaction Information'!$J$33*10^-1*(Calculations!$M165-Calculations!$C$9)+'Reaction Information'!$K$33*10^2*LN((Calculations!$C$12+Calculations!$M165)/(Calculations!$C$12+Calculations!$C$9))+(1/(Calculations!$O165-Calculations!$C$13))*('Reaction Information'!$L$33*(Calculations!$M165-Calculations!$C$9)+'Reaction Information'!$M$33*10^4*LN((Calculations!$C$12+Calculations!$M165)/(Calculations!$C$12+Calculations!$C$9)))+calculateOmega(Calculations!M165,Calculations!N165,Calculations!Q165,'Reaction Information'!$C$33,'Reaction Information'!$P$33*10^5,'Reaction Information'!$Q$33)*((1/Calculations!$S165)-1)-'Reaction Information'!$P$33*10^5*((1/Calculations!$C$10)-1)+'Reaction Information'!$P$33*10^5*Calculations!$C$14*(Calculations!$O165-Calculations!$C$8))</f>
        <v>#N/A</v>
      </c>
      <c r="AL165" s="1">
        <f>Results!S167</f>
        <v>0</v>
      </c>
      <c r="AM165" s="1">
        <f>Results!T167</f>
        <v>0</v>
      </c>
      <c r="AN165" s="1">
        <f>Results!U167</f>
        <v>0</v>
      </c>
      <c r="AO165" s="1">
        <f>Results!V167</f>
        <v>0</v>
      </c>
      <c r="AP165" s="8" t="e">
        <f>IF(ISBLANK(Input!$BB$4),NA(),'Reaction Information'!$E$38-'Reaction Information'!$G$38*(Calculations!$O165-Calculations!$C$8)+'Reaction Information'!$I$38*(Calculations!$O165-Calculations!$C$8-Calculations!$O165*LN(Calculations!$O165/Calculations!$C$8))+'Reaction Information'!$J$38*0.001/2*(2*Calculations!$O165*Calculations!$C$8-Calculations!$O165^2-Calculations!$C$8^2) + 'Reaction Information'!$K$38*100000*(Calculations!$O165^2 + Calculations!$C$8^2 - 2*Calculations!$O165*Calculations!$C$8)/(2*Calculations!$O165*Calculations!$C$8^2))</f>
        <v>#N/A</v>
      </c>
      <c r="AQ165" s="8" t="e">
        <f>IF(ISBLANK(Input!$BE$4),NA(),'Reaction Information'!$E$42-'Reaction Information'!$G$42*(Calculations!$O165-Calculations!$C$8)+'Reaction Information'!$I$42*(Calculations!$O165-Calculations!$C$8-Calculations!$O165*LN(Calculations!$O165/Calculations!$C$8))+'Reaction Information'!$J$42*0.001/2*(2*Calculations!$O165*Calculations!$C$8-Calculations!$O165^2-Calculations!$C$8^2) + 'Reaction Information'!$K$42*100000*(Calculations!$O165^2 + Calculations!$C$8^2 - 2*Calculations!$O165*Calculations!$C$8)/(2*Calculations!$O165*Calculations!$C$8^2))</f>
        <v>#N/A</v>
      </c>
      <c r="AR165" s="8" t="e">
        <f>IF(AR$5="H2O", IF($D$24=3,IF(T165=0,NA(),T165),calculateGibbsOfWater(M165,N165,$D$24,$D$20,$D$19=3)),NA())</f>
        <v>#N/A</v>
      </c>
      <c r="AS165" s="8">
        <f>IF(ISBLANK(Input!$BK$4),NA(),'Reaction Information'!$E$46-'Reaction Information'!$G$46*(Calculations!O165-Calculations!$C$8)-'Reaction Information'!$N$46*(Calculations!O165*LN(Calculations!O165/Calculations!$C$8)-Calculations!O165+Calculations!$C$8)-'Reaction Information'!$O$46*10^4*(((1/(Calculations!O165-Calculations!$C$13))-(1/(Calculations!$C$8-Calculations!$C$13)))*((Calculations!$C$13-Calculations!O165)/(Calculations!$C$13))-(Calculations!O165/(Calculations!$C$13*Calculations!$C$13))*LN((Calculations!$C$8*(Calculations!O165-Calculations!$C$13))/(Calculations!O165*(Calculations!$C$8-Calculations!$C$13))))+'Reaction Information'!$J$46*10^-1*(Calculations!$M165-Calculations!$C$9)+'Reaction Information'!$K$46*10^2*LN((Calculations!$C$12+Calculations!$M165)/(Calculations!$C$12+Calculations!$C$9))+(1/(Calculations!O165-Calculations!$C$13))*('Reaction Information'!$L$46*(Calculations!$M165-Calculations!$C$9)+'Reaction Information'!$M$46*10^4*LN((Calculations!$C$12+Calculations!$M165)/(Calculations!$C$12+Calculations!$C$9)))+calculateOmega(Calculations!M165,Calculations!N165,Calculations!Q165,'Reaction Information'!$C$46,'Reaction Information'!$P$46*10^5,'Reaction Information'!$Q$46)*((1/Calculations!S165)-1)-'Reaction Information'!$P$46*10^5*((1/Calculations!$C$10)-1)+'Reaction Information'!$P$46*10^5*Calculations!$C$14*(Calculations!O165-Calculations!$C$8))</f>
        <v>0</v>
      </c>
      <c r="AT165" s="8">
        <f>IF(ISBLANK(Input!$BN$4),NA(),'Reaction Information'!$E$50-'Reaction Information'!$G$50*(Calculations!O165-Calculations!$C$8)-'Reaction Information'!$N$50*(Calculations!O165*LN(Calculations!O165/Calculations!$C$8)-Calculations!O165+Calculations!$C$8)-'Reaction Information'!$O$50*10^4*(((1/(Calculations!O165-Calculations!$C$13))-(1/(Calculations!$C$8-Calculations!$C$13)))*((Calculations!$C$13-Calculations!O165)/(Calculations!$C$13))-(Calculations!O165/(Calculations!$C$13*Calculations!$C$13))*LN((Calculations!$C$8*(Calculations!O165-Calculations!$C$13))/(Calculations!O165*(Calculations!$C$8-Calculations!$C$13))))+'Reaction Information'!$J$50*10^-1*(Calculations!$M165-Calculations!$C$9)+'Reaction Information'!$K$50*10^2*LN((Calculations!$C$12+Calculations!$M165)/(Calculations!$C$12+Calculations!$C$9))+(1/(Calculations!O165-Calculations!$C$13))*('Reaction Information'!$L$50*(Calculations!$M165-Calculations!$C$9)+'Reaction Information'!$M$50*10^4*LN((Calculations!$C$12+Calculations!$M165)/(Calculations!$C$12+Calculations!$C$9)))+calculateOmega(Calculations!M165,Calculations!N165,Calculations!Q165,'Reaction Information'!$C$50,'Reaction Information'!$P$50*10^5,'Reaction Information'!$Q$50)*((1/Calculations!S165)-1)-'Reaction Information'!$P$50*10^5*((1/Calculations!$C$10)-1)+'Reaction Information'!$P$50*10^5*Calculations!$C$14*(Calculations!O165-Calculations!$C$8))</f>
        <v>-122249.92582582289</v>
      </c>
      <c r="AU165" s="8" t="e">
        <f>IF(ISBLANK(Input!$BQ$4),NA(),'Reaction Information'!$E$54-'Reaction Information'!$G$54*(Calculations!$O165-Calculations!$C$8)-'Reaction Information'!$N$54*(Calculations!$O165*LN(Calculations!$O165/Calculations!$C$8)-Calculations!$O165+Calculations!$C$8)-'Reaction Information'!$O$54*10^4*(((1/(Calculations!$O165-Calculations!$C$13))-(1/(Calculations!$C$8-Calculations!$C$13)))*((Calculations!$C$13-Calculations!$O165)/(Calculations!$C$13))-(Calculations!$O165/(Calculations!$C$13*Calculations!$C$13))*LN((Calculations!$C$8*(Calculations!$O165-Calculations!$C$13))/(Calculations!$O165*(Calculations!$C$8-Calculations!$C$13))))+'Reaction Information'!$J$54*10^-1*(Calculations!$M165-Calculations!$C$9)+'Reaction Information'!$K$54*10^2*LN((Calculations!$C$12+Calculations!$M165)/(Calculations!$C$12+Calculations!$C$9))+(1/(Calculations!$O165-Calculations!$C$13))*('Reaction Information'!$L$54*(Calculations!$M165-Calculations!$C$9)+'Reaction Information'!$M$54*10^4*LN((Calculations!$C$12+Calculations!$M165)/(Calculations!$C$12+Calculations!$C$9)))+calculateOmega(Calculations!M165,Calculations!N165,Calculations!Q165,'Reaction Information'!$C$54,'Reaction Information'!$P$54*10^5,'Reaction Information'!$Q$54)*((1/Calculations!$S165)-1)-'Reaction Information'!$P$54*10^5*((1/Calculations!$C$10)-1)+'Reaction Information'!$P$54*10^5*Calculations!$C$14*(Calculations!$O165-Calculations!$C$8))</f>
        <v>#N/A</v>
      </c>
      <c r="AV165" s="8" t="e">
        <f>IF(ISBLANK(Input!$BT$4),NA(),'Reaction Information'!$E$58-'Reaction Information'!$G$58*(Calculations!$O165-Calculations!$C$8)-'Reaction Information'!$N$58*(Calculations!$O165*LN(Calculations!$O165/Calculations!$C$8)-Calculations!$O165+Calculations!$C$8)-'Reaction Information'!$O$58*10^4*(((1/(Calculations!$O165-Calculations!$C$13))-(1/(Calculations!$C$8-Calculations!$C$13)))*((Calculations!$C$13-Calculations!$O165)/(Calculations!$C$13))-(Calculations!$O165/(Calculations!$C$13*Calculations!$C$13))*LN((Calculations!$C$8*(Calculations!$O165-Calculations!$C$13))/(Calculations!$O165*(Calculations!$C$8-Calculations!$C$13))))+'Reaction Information'!$J$58*10^-1*(Calculations!$M165-Calculations!$C$9)+'Reaction Information'!$K$58*10^2*LN((Calculations!$C$12+Calculations!$M165)/(Calculations!$C$12+Calculations!$C$9))+(1/(Calculations!$O165-Calculations!$C$13))*('Reaction Information'!$L$58*(Calculations!$M165-Calculations!$C$9)+'Reaction Information'!$M$58*10^4*LN((Calculations!$C$12+Calculations!$M165)/(Calculations!$C$12+Calculations!$C$9)))+calculateOmega(Calculations!M165,Calculations!N165,Calculations!Q165,'Reaction Information'!$C$58,'Reaction Information'!$P$58*10^5,'Reaction Information'!$Q$58)*((1/Calculations!$S165)-1)-'Reaction Information'!$P$58*10^5*((1/Calculations!$C$10)-1)+'Reaction Information'!$P$58*10^5*Calculations!$C$14*(Calculations!$O165-Calculations!$C$8))</f>
        <v>#N/A</v>
      </c>
      <c r="AW165" s="8" t="e">
        <f>IF(ISBLANK(Input!$BW$4),NA(),'Reaction Information'!$E$62-'Reaction Information'!$G$62*(Calculations!$O165-Calculations!$C$8)-'Reaction Information'!$N$62*(Calculations!$O165*LN(Calculations!$O165/Calculations!$C$8)-Calculations!$O165+Calculations!$C$8)-'Reaction Information'!$O$62*10^4*(((1/(Calculations!$O165-Calculations!$C$13))-(1/(Calculations!$C$8-Calculations!$C$13)))*((Calculations!$C$13-Calculations!$O165)/(Calculations!$C$13))-(Calculations!$O165/(Calculations!$C$13*Calculations!$C$13))*LN((Calculations!$C$8*(Calculations!$O165-Calculations!$C$13))/(Calculations!$O165*(Calculations!$C$8-Calculations!$C$13))))+'Reaction Information'!$J$62*10^-1*(Calculations!$M165-Calculations!$C$9)+'Reaction Information'!$K$62*10^2*LN((Calculations!$C$12+Calculations!$M165)/(Calculations!$C$12+Calculations!$C$9))+(1/(Calculations!$O165-Calculations!$C$13))*('Reaction Information'!$L$62*(Calculations!$M165-Calculations!$C$9)+'Reaction Information'!$M$62*10^4*LN((Calculations!$C$12+Calculations!$M165)/(Calculations!$C$12+Calculations!$C$9)))+calculateOmega(Calculations!M165,Calculations!N165,Calculations!Q165,'Reaction Information'!$C$62,'Reaction Information'!$P$62*10^5,'Reaction Information'!$Q$62)*((1/Calculations!$S165)-1)-'Reaction Information'!$P$62*10^5*((1/Calculations!$C$10)-1)+'Reaction Information'!$P$62*10^5*Calculations!$C$14*(Calculations!$O165-Calculations!$C$8))</f>
        <v>#N/A</v>
      </c>
      <c r="AX165" s="8" t="e">
        <f>IF(ISBLANK(Input!$BZ$4),NA(),'Reaction Information'!$E$66-'Reaction Information'!$G$66*(Calculations!$O165-Calculations!$C$8)-'Reaction Information'!$N$66*(Calculations!$O165*LN(Calculations!$O165/Calculations!$C$8)-Calculations!$O165+Calculations!$C$8)-'Reaction Information'!$O$66*10^4*(((1/(Calculations!$O165-Calculations!$C$13))-(1/(Calculations!$C$8-Calculations!$C$13)))*((Calculations!$C$13-Calculations!$O165)/(Calculations!$C$13))-(Calculations!$O165/(Calculations!$C$13*Calculations!$C$13))*LN((Calculations!$C$8*(Calculations!$O165-Calculations!$C$13))/(Calculations!$O165*(Calculations!$C$8-Calculations!$C$13))))+'Reaction Information'!$J$66*10^-1*(Calculations!$M165-Calculations!$C$9)+'Reaction Information'!$K$66*10^2*LN((Calculations!$C$12+Calculations!$M165)/(Calculations!$C$12+Calculations!$C$9))+(1/(Calculations!$O165-Calculations!$C$13))*('Reaction Information'!$L$66*(Calculations!$M165-Calculations!$C$9)+'Reaction Information'!$M$66*10^4*LN((Calculations!$C$12+Calculations!$M165)/(Calculations!$C$12+Calculations!$C$9)))+calculateOmega(Calculations!M165,Calculations!N165,Calculations!Q165,'Reaction Information'!$C$66,'Reaction Information'!$P$66*10^5,'Reaction Information'!$Q$66)*((1/Calculations!$S165)-1)-'Reaction Information'!$P$66*10^5*((1/Calculations!$C$10)-1)+'Reaction Information'!$P$66*10^5*Calculations!$C$14*(Calculations!$O165-Calculations!$C$8))</f>
        <v>#N/A</v>
      </c>
      <c r="AY165" s="31">
        <f>(AL165*Input!$AO$4+AM165*Input!$AR$4+AN165*Input!$AU$4+AO165*Input!$AX$4+IF(ISNA(AP165),0,AP165*Input!$BA$4)+IF(ISNA(AQ165),0,AQ165*Input!$BD$4)+IF(ISNA(AR165),0,AR165*Input!$BG$4)+IF(ISNA(AS165),0,AS165*Input!$BJ$4)+IF(ISNA(AT165),0,AT165*Input!$BM$4)+IF(ISNA(AU165),0,AU165*Input!$BP$4)+IF(ISNA(AV165),0,AV165*Input!$BS$4)+IF(ISNA(AW165),0,AW165*Input!$BV$4)+IF(ISNA(AX165),0,AX165*Input!$BY$4))-(Y165*Input!$B$4+Z165*Input!$E$4+AA165*Input!$H$4+AB165*Input!$K$4+IF(ISNA(AC165),0,AC165*Input!$N$4)+IF(ISNA(AD165),0,AD165*Input!$Q$4)+IF(ISNA(AE165),0,AE165*Input!$T$4)+IF(ISNA(AF165),0,AF165*Input!$W$4)+IF(ISNA(AG165),0,AG165*Input!$Z$4)+IF(ISNA(AH165),0,AH165*Input!$AC$4)+IF(ISNA(AI165),0,AI165*Input!$AF$4)+IF(ISNA(AJ165),0,AJ165*Input!$AI$4)+IF(ISNA(AK165),0,AK165*Input!$AL$4))</f>
        <v>15889.192629631289</v>
      </c>
      <c r="AZ165" s="42">
        <f t="shared" si="39"/>
        <v>-3.3962088952201479</v>
      </c>
      <c r="BA165" s="1">
        <f t="shared" si="46"/>
        <v>750</v>
      </c>
      <c r="BB165" s="46">
        <f t="shared" si="47"/>
        <v>55000</v>
      </c>
      <c r="BC165" s="1"/>
      <c r="BD165" s="2">
        <f t="shared" si="48"/>
        <v>55000</v>
      </c>
      <c r="BE165" s="46">
        <f t="shared" si="49"/>
        <v>750</v>
      </c>
      <c r="BF165" s="1">
        <f>Results!AJ167</f>
        <v>0</v>
      </c>
      <c r="BG165" s="1">
        <f>Results!AK167</f>
        <v>0</v>
      </c>
      <c r="BH165" s="1">
        <f>Results!AL167</f>
        <v>0</v>
      </c>
      <c r="BI165" s="1">
        <f>Results!AM167</f>
        <v>0</v>
      </c>
      <c r="BJ165" s="1" t="e">
        <f>IF(OR(ISNA('Reaction Information'!$D$5), $N165 = "", $D$27 = FALSE, 'Reaction Information'!$D$5 = ""), NA(), 24.465)</f>
        <v>#N/A</v>
      </c>
      <c r="BK165" s="1" t="e">
        <f>IF(OR(ISNA('Reaction Information'!$D$9), $N165 = "", $D$27 = FALSE, 'Reaction Information'!$D$9 = ""), NA(), 24.465)</f>
        <v>#N/A</v>
      </c>
      <c r="BL165" s="8">
        <f t="shared" si="40"/>
        <v>13.065171192392546</v>
      </c>
      <c r="BM165" s="8">
        <f>IF(OR(ISBLANK(Input!$X$4),$D$27=FALSE),NA(),('Reaction Information'!$J$13/10+'Reaction Information'!$K$13*100/(Calculations!$C$12+Calculations!$M165)+('Reaction Information'!$L$13+'Reaction Information'!$M$13*10^4/(Calculations!$C$12+Calculations!$M165))/(Calculations!$O165-Calculations!$C$13) -calculateOmega(Calculations!$M165,Calculations!$N165,Calculations!$Q165,'Reaction Information'!$C$13,'Reaction Information'!$P$13*10^5,'Reaction Information'!$Q$13)*Calculations!$U165*10^-6 + (1/$S165 - 1)*calculate_domegadP(Calculations!$M165,Calculations!$N165,Calculations!$Q165,'Reaction Information'!$C$13,'Reaction Information'!$P$13*10^5,'Reaction Information'!$Q$13,$D$20,$D$19=3))*41.84)</f>
        <v>29.888809658779298</v>
      </c>
      <c r="BN165" s="8" t="e">
        <f>IF(OR(ISBLANK(Input!$AA$4),$D$27=FALSE),NA(),('Reaction Information'!$J$17/10+'Reaction Information'!$K$17*100/(Calculations!$C$12+Calculations!$M165)+('Reaction Information'!$L$17+'Reaction Information'!$M$17*10000/(Calculations!$C$12+Calculations!$M165))/(Calculations!$O165-Calculations!$C$13)-calculateOmega(Calculations!M165,Calculations!N165,Calculations!Q165,'Reaction Information'!$C$17,'Reaction Information'!$P$17*10^5,'Reaction Information'!$Q$17)*Calculations!$U165*10^-6 + (1/$S165 - 1)*calculate_domegadP(Calculations!M165,Calculations!N165,Calculations!Q165,'Reaction Information'!$C$17,'Reaction Information'!$P$17*10^5,'Reaction Information'!$Q$17,$D$20,$D$19=3))*41.84)</f>
        <v>#N/A</v>
      </c>
      <c r="BO165" s="8" t="e">
        <f>IF(OR(ISBLANK(Input!$AD$4),$D$27=FALSE),NA(),('Reaction Information'!$J$21/10+'Reaction Information'!$K$21*100/(Calculations!$C$12+Calculations!$M165)+('Reaction Information'!$L$21+'Reaction Information'!$M$21*10000/(Calculations!$C$12+Calculations!$M165))/(Calculations!$O165-Calculations!$C$13)-calculateOmega(Calculations!M165,Calculations!N165,Calculations!Q165,'Reaction Information'!$C$21,'Reaction Information'!$P$21*10^5,'Reaction Information'!$Q$21)*Calculations!$U165*10^-6 + (1/$S165 - 1)*calculate_domegadP(Calculations!M165,Calculations!N165,Calculations!Q165,'Reaction Information'!$C$21,'Reaction Information'!$P$21*10^5,'Reaction Information'!$Q$21,$D$20,$D$19=3))*41.84)</f>
        <v>#N/A</v>
      </c>
      <c r="BP165" s="8" t="e">
        <f>IF(OR(ISBLANK(Input!$AG$4),$D$27=FALSE),NA(),('Reaction Information'!$J$25/10+'Reaction Information'!$K$25*100/(Calculations!$C$12+Calculations!$M165)+('Reaction Information'!$L$25+'Reaction Information'!$M$25*10000/(Calculations!$C$12+Calculations!$M165))/(Calculations!$O165-Calculations!$C$13)-calculateOmega(Calculations!M165,Calculations!N165,Calculations!Q165,'Reaction Information'!$C$25,'Reaction Information'!$P$25*10^5,'Reaction Information'!$Q$25)*Calculations!$U165*10^-6 + (1/$S165 - 1)*calculate_domegadP(Calculations!M165,Calculations!N165,Calculations!Q165,'Reaction Information'!$C$25,'Reaction Information'!$P$25*10^5,'Reaction Information'!$Q$25,$D$20,$D$19=3))*41.84)</f>
        <v>#N/A</v>
      </c>
      <c r="BQ165" s="8" t="e">
        <f>IF(OR(ISBLANK(Input!$AJ$4),$D$27=FALSE),NA(),('Reaction Information'!$J$29/10+'Reaction Information'!$K$29*100/(Calculations!$C$12+Calculations!$M165)+('Reaction Information'!$L$29+'Reaction Information'!$M$29*10000/(Calculations!$C$12+Calculations!$M165))/(Calculations!$O165-Calculations!$C$13)-calculateOmega(Calculations!M165,Calculations!N165,Calculations!Q165,'Reaction Information'!$C$29,'Reaction Information'!$P$29*10^5,'Reaction Information'!$Q$29)*Calculations!$U165*10^-6 + (1/$S165 - 1)*calculate_domegadP(Calculations!M165,Calculations!N165,Calculations!Q165,'Reaction Information'!$C$29,'Reaction Information'!$P$29*10^5,'Reaction Information'!$Q$29,$D$20,$D$19=3))*41.84)</f>
        <v>#N/A</v>
      </c>
      <c r="BR165" s="8" t="e">
        <f>IF(OR(ISBLANK(Input!$AM$4),$D$27=FALSE),NA(),('Reaction Information'!$J$33/10+'Reaction Information'!$K$33*100/(Calculations!$C$12+Calculations!$M165)+('Reaction Information'!$L$33+'Reaction Information'!$M$33*10000/(Calculations!$C$12+Calculations!$M165))/(Calculations!$O165-Calculations!$C$13)-calculateOmega(Calculations!M165,Calculations!N165,Calculations!Q165,'Reaction Information'!$C$33,'Reaction Information'!$P$33*10^5,'Reaction Information'!$Q$33)*Calculations!$U165*10^-6 + (1/$S165 - 1)*calculate_domegadP(Calculations!M165,Calculations!N165,Calculations!Q165,'Reaction Information'!$C$33,'Reaction Information'!$P$33*10^5,'Reaction Information'!$Q$33,$D$20,$D$19=3))*41.84)</f>
        <v>#N/A</v>
      </c>
      <c r="BS165" s="1">
        <f>Results!AW167</f>
        <v>0</v>
      </c>
      <c r="BT165" s="1">
        <f>Results!AX167</f>
        <v>0</v>
      </c>
      <c r="BU165" s="1">
        <f>Results!AY167</f>
        <v>0</v>
      </c>
      <c r="BV165" s="1">
        <f>Results!AZ167</f>
        <v>0</v>
      </c>
      <c r="BW165" s="1" t="e">
        <f>IF(OR(ISNA('Reaction Information'!$D$38), $N165 = "", $D$27 = FALSE, 'Reaction Information'!$D$38 = ""), NA(), 24.465)</f>
        <v>#N/A</v>
      </c>
      <c r="BX165" s="1" t="e">
        <f>IF(OR(ISNA('Reaction Information'!$D$42), $N165 = "", $D$27 = FALSE, 'Reaction Information'!$D$42 = ""), NA(), 24.465)</f>
        <v>#N/A</v>
      </c>
      <c r="BY165" s="8" t="e">
        <f t="shared" si="41"/>
        <v>#N/A</v>
      </c>
      <c r="BZ165" s="8">
        <f>IF(OR(ISBLANK(Input!$BK$4),$D$27=FALSE),NA(),('Reaction Information'!$J$46/10+'Reaction Information'!$K$46*100/(Calculations!$C$12+Calculations!$M165)+('Reaction Information'!$L$46+'Reaction Information'!$M$46*10000/(Calculations!$C$12+Calculations!$M165))/(Calculations!$O165-Calculations!$C$13)-calculateOmega(Calculations!M165,Calculations!N165,Calculations!Q165,'Reaction Information'!$C$46,'Reaction Information'!$P$46*10^5,'Reaction Information'!$Q$46)*Calculations!$U165*10^-6 + (1/$S165 - 1)*calculate_domegadP(Calculations!M165,Calculations!N165,Calculations!Q165,'Reaction Information'!$C$46,'Reaction Information'!$P$46*10^5,'Reaction Information'!$Q$46,$D$20,$D$19=3))*41.84)</f>
        <v>0</v>
      </c>
      <c r="CA165" s="8">
        <f>IF(OR(ISBLANK(Input!$BN$4),$D$27=FALSE),NA(),('Reaction Information'!$J$50/10+'Reaction Information'!$K$50*100/(Calculations!$C$12+Calculations!$M165)+('Reaction Information'!$L$50+'Reaction Information'!$M$50*10000/(Calculations!$C$12+Calculations!$M165))/(Calculations!$O165-Calculations!$C$13)-calculateOmega(Calculations!M165,Calculations!N165,Calculations!Q165,'Reaction Information'!$C$50,'Reaction Information'!$P$50*10^5,'Reaction Information'!$Q$50)*Calculations!$U165*10^-6 + (1/$S165 - 1)*calculate_domegadP(Calculations!M165,Calculations!N165,Calculations!Q165,'Reaction Information'!$C$50,'Reaction Information'!$P$50*10^5,'Reaction Information'!$Q$50,$D$20,$D$19=3))*41.84)</f>
        <v>31.34729223560846</v>
      </c>
      <c r="CB165" s="8" t="e">
        <f>IF(OR(ISBLANK(Input!$BQ$4),$D$27=FALSE),NA(),('Reaction Information'!$J$54/10+'Reaction Information'!$K$54*100/(Calculations!$C$12+Calculations!$M165)+('Reaction Information'!$L$54+'Reaction Information'!$M$54*10000/(Calculations!$C$12+Calculations!$M165))/(Calculations!$O165-Calculations!$C$13)-calculateOmega(Calculations!M165,Calculations!N165,Calculations!Q165,'Reaction Information'!$C$54,'Reaction Information'!$P$54*10^5,'Reaction Information'!$Q$54)*Calculations!$U165*10^-6 + (1/$S165 - 1)*calculate_domegadP(Calculations!M165,Calculations!N165,Calculations!Q165,'Reaction Information'!$C$54,'Reaction Information'!$P$54*10^5,'Reaction Information'!$Q$54,$D$20,$D$19=3))*41.84)</f>
        <v>#N/A</v>
      </c>
      <c r="CC165" s="8" t="e">
        <f>IF(OR(ISBLANK(Input!$BT$4),$D$27=FALSE),NA(),('Reaction Information'!$J$58/10+'Reaction Information'!$K$58*100/(Calculations!$C$12+Calculations!$M165)+('Reaction Information'!$L$58+'Reaction Information'!$M$58*10000/(Calculations!$C$12+Calculations!$M165))/(Calculations!$O165-Calculations!$C$13)-calculateOmega(Calculations!M165,Calculations!N165,Calculations!Q165,'Reaction Information'!$C$58,'Reaction Information'!$P$58*10^5,'Reaction Information'!$Q$58)*Calculations!$U165*10^-6 + (1/$S165 - 1)*calculate_domegadP(Calculations!M165,Calculations!N165,Calculations!Q165,'Reaction Information'!$C$58,'Reaction Information'!$P$58*10^5,'Reaction Information'!$Q$58,$D$20,$D$19=3))*41.84)</f>
        <v>#N/A</v>
      </c>
      <c r="CD165" s="8" t="e">
        <f>IF(OR(ISBLANK(Input!$BW$4),$D$27=FALSE),NA(),('Reaction Information'!$J$62/10+'Reaction Information'!$K$62*100/(Calculations!$C$12+Calculations!$M165)+('Reaction Information'!$L$62+'Reaction Information'!$M$62*10000/(Calculations!$C$12+Calculations!$M165))/(Calculations!$O165-Calculations!$C$13)-calculateOmega(Calculations!M165,Calculations!N165,Calculations!Q165,'Reaction Information'!$C$62,'Reaction Information'!$P$62*10^5,'Reaction Information'!$Q$62)*Calculations!$U165*10^-6 + (1/$S165 - 1)*calculate_domegadP(Calculations!M165,Calculations!N165,Calculations!Q165,'Reaction Information'!$C$62,'Reaction Information'!$P$62*10^5,'Reaction Information'!$Q$62,$D$20,$D$19=3))*41.84)</f>
        <v>#N/A</v>
      </c>
      <c r="CE165" s="8" t="e">
        <f>IF(OR(ISBLANK(Input!$BZ$4),$D$27=FALSE),NA(),('Reaction Information'!$J$66/10+'Reaction Information'!$K$66*100/(Calculations!$C$12+Calculations!$M165)+('Reaction Information'!$L$66+'Reaction Information'!$M$66*10000/(Calculations!$C$12+Calculations!$M165))/(Calculations!$O165-Calculations!$C$13)-calculateOmega(Calculations!M165,Calculations!N165,Calculations!Q165,'Reaction Information'!$C$66,'Reaction Information'!$P$66*10^5,'Reaction Information'!$Q$66)*Calculations!$U165*10^-6 + (1/$S165 - 1)*calculate_domegadP(Calculations!M165,Calculations!N165,Calculations!Q165,'Reaction Information'!$C$66,'Reaction Information'!$P$66*10^5,'Reaction Information'!$Q$66,$D$20,$D$19=3))*41.84)</f>
        <v>#N/A</v>
      </c>
      <c r="CF165" s="31">
        <f>(BS165*Input!$AO$4+BT165*Input!$AR$4+BU165*Input!$AU$4+BV165*Input!$AX$4+IF(ISNA(BW165),0,BW165*Input!$BA$4)+IF(ISNA(BX165),0,BX165*Input!$BD$4)+IF(ISNA(BY165),0,BY165*Input!$BG$4)+IF(ISNA(BZ165),0,BZ165*Input!$BJ$4)+IF(ISNA(CA165),0,CA165*Input!$BM$4)+IF(ISNA(CB165),0,CB165*Input!$BP$4)+IF(ISNA(CC165),0,CC165*Input!$BS$4)+IF(ISNA(CD165),0,CD165*Input!$BV$4)+IF(ISNA(CE165),0,CE165*Input!$BY$4))-(BF165*Input!$B$4+BG165*Input!$E$4+BH165*Input!$H$4+BI165*Input!$K$4+IF(ISNA(BJ165),0,BJ165*Input!$N$4)+IF(ISNA(BK165),0,BK165*Input!$Q$4)+IF(ISNA(BL165),0,BL165*Input!$T$4)+IF(ISNA(BM165),0,BM165*Input!$W$4)+IF(ISNA(BN165),0,BN165*Input!$Z$4)+IF(ISNA(BO165),0,BO165*Input!$AC$4)+IF(ISNA(BP165),0,BP165*Input!$AF$4)+IF(ISNA(BQ165),0,BQ165*Input!$AI$4)+IF(ISNA(BR165),0,BR165*Input!$AL$4))</f>
        <v>-11.606688615563382</v>
      </c>
      <c r="CG165" s="1">
        <f t="shared" si="50"/>
        <v>750</v>
      </c>
      <c r="CH165" s="46">
        <f t="shared" si="51"/>
        <v>55000</v>
      </c>
      <c r="CI165" s="1"/>
    </row>
    <row r="166" spans="1:87" x14ac:dyDescent="0.2">
      <c r="A166" s="1"/>
      <c r="B166" s="1"/>
      <c r="C166" s="1"/>
      <c r="D166" s="1"/>
      <c r="E166" s="1"/>
      <c r="F166" s="2">
        <v>161</v>
      </c>
      <c r="G166" s="1" t="str">
        <f>IF(ISBLANK(Input!CB166), "", Input!CB166*1000)</f>
        <v/>
      </c>
      <c r="H166" s="1" t="str">
        <f>IF(ISBLANK(Input!CC166), "", Input!CC166)</f>
        <v/>
      </c>
      <c r="I166" s="1">
        <f>IF(Input!$CF$5 + Input!$CF$6*(FLOOR((Calculations!$F166-1)/(FLOOR((Input!$CF$12-Input!$CF$10)/Input!$CF$11,1)+1),1)) &gt; Input!$CF$7, "", (Input!$CF$5 + Input!$CF$6*(FLOOR((Calculations!$F166-1)/(FLOOR((Input!$CF$12-Input!$CF$10)/Input!$CF$11,1)+1),1)))*1000)</f>
        <v>55000</v>
      </c>
      <c r="J166" s="1">
        <f>IF(Calculations!I166 = "", "", Input!$CF$10 + Input!$CF$11*(Calculations!$F166-1) - (FLOOR((Input!$CF$12-Input!$CF$10)/Input!$CF$11,1)+1)*Input!$CF$11*FLOOR((Calculations!$F166-1)/(FLOOR((Input!$CF$12-Input!$CF$10)/Input!$CF$11,1)+1),1))</f>
        <v>800</v>
      </c>
      <c r="K166" s="8" t="str">
        <f t="shared" si="52"/>
        <v/>
      </c>
      <c r="L166" s="117" t="str">
        <f>IF(OR(Input!$CJ$5 + Input!$CJ$6*(Calculations!F166-1) &gt; Input!$CJ$7, Input!$CJ$5 + Input!$CJ$6*(Calculations!F166-1) &gt; 350), "", Input!$CJ$5 + Input!$CJ$6*(Calculations!F166-1))</f>
        <v/>
      </c>
      <c r="M166" s="1">
        <f t="shared" si="42"/>
        <v>55000</v>
      </c>
      <c r="N166" s="1">
        <f t="shared" si="43"/>
        <v>800</v>
      </c>
      <c r="O166" s="1">
        <f t="shared" ref="O166:O197" si="53">N166+273.15</f>
        <v>1073.1500000000001</v>
      </c>
      <c r="P166" s="1" t="e">
        <f>IF(OR($D$20=3,AND($D$21=TRUE,M166&lt;1000)),INDEX('Water Density'!$C$6:$CX$120,MATCH(Calculations!N166,'Water Density'!$B$6:$B$120),MATCH(Calculations!M166/1000,'Water Density'!$C$5:$CX$5)),NA())</f>
        <v>#N/A</v>
      </c>
      <c r="Q166" s="182">
        <f>IF(OR($D$20=3,AND($D$21=TRUE,M166&lt;1000)), IF(P166&lt;&gt;0,P166,NA()), calculateDensity(M166,N166,$D$20,0.01,$D$19 = 3))</f>
        <v>1.3665384689342976</v>
      </c>
      <c r="R166" s="1" t="e">
        <f>IF($D$22=5,INDEX('Dielectric Constant'!$C$6:$CX$120,MATCH(Calculations!N166,'Dielectric Constant'!$B$6:$B$120),MATCH(Calculations!M166/1000,'Dielectric Constant'!$C$5:$CX$5)),NA())</f>
        <v>#N/A</v>
      </c>
      <c r="S166" s="58">
        <f>IF($D$22=5, IF(R166&lt;&gt;0,R166,NA()), IF(AND($D$23,M166&lt;=5000,$D$19 &lt;&gt; 3),calculateEpsilon(Q166,N166,1,FALSE),calculateEpsilon(Q166,N166,$D$22,$D$19 = 3)))</f>
        <v>24.135790318087299</v>
      </c>
      <c r="T166" s="1" t="e">
        <f>IF($D$24=3,INDEX('Water Free Energy'!$C$6:$CX$120,MATCH(Calculations!N166,'Water Free Energy'!$B$6:$B$120),MATCH(Calculations!M166/1000,'Water Free Energy'!$C$5:$CX$5)),NA())</f>
        <v>#N/A</v>
      </c>
      <c r="U166" s="179">
        <f>IF($D$27,calculateQ(M166,N166,Q166,$D$20,$D$22,$D$19=3)*10^6,NA())</f>
        <v>0.14590503566289537</v>
      </c>
      <c r="V166"/>
      <c r="W166" s="2">
        <f t="shared" si="44"/>
        <v>55000</v>
      </c>
      <c r="X166" s="1">
        <f t="shared" si="45"/>
        <v>800</v>
      </c>
      <c r="Y166" s="1">
        <f>Results!F168</f>
        <v>0</v>
      </c>
      <c r="Z166" s="1">
        <f>Results!G168</f>
        <v>0</v>
      </c>
      <c r="AA166" s="1">
        <f>Results!H168</f>
        <v>0</v>
      </c>
      <c r="AB166" s="1">
        <f>Results!I168</f>
        <v>0</v>
      </c>
      <c r="AC166" s="1" t="e">
        <f>IF(ISBLANK(Input!$O$4),NA(),'Reaction Information'!$E$5-'Reaction Information'!$G$5*(Calculations!$O166-Calculations!$C$8)+'Reaction Information'!$I$5*(Calculations!$O166-Calculations!$C$8-Calculations!$O166*LN(Calculations!$O166/Calculations!$C$8))+'Reaction Information'!$J$5*0.001/2*(2*Calculations!$O166*Calculations!$C$8-Calculations!$O166^2-Calculations!$C$8^2) + 'Reaction Information'!$K$5*100000*(Calculations!$O166^2 + Calculations!$C$8^2 - 2*Calculations!$O166*Calculations!$C$8)/(2*Calculations!$O166*Calculations!$C$8^2))</f>
        <v>#N/A</v>
      </c>
      <c r="AD166" s="8" t="e">
        <f>IF(ISBLANK(Input!$R$4),NA(),'Reaction Information'!$E$9-'Reaction Information'!$G$9*(Calculations!$O166-Calculations!$C$8)+'Reaction Information'!$I$9*(Calculations!$O166-Calculations!$C$8-Calculations!$O166*LN(Calculations!$O166/Calculations!$C$8))+'Reaction Information'!$J$9*0.001/2*(2*Calculations!$O166*Calculations!$C$8-Calculations!$O166^2-Calculations!$C$8^2) + 'Reaction Information'!$K$9*100000*(Calculations!$O166^2 + Calculations!$C$8^2 - 2*Calculations!$O166*Calculations!$C$8)/(2*Calculations!$O166*Calculations!$C$8^2))</f>
        <v>#N/A</v>
      </c>
      <c r="AE166" s="8">
        <f>IF(AE$5="H2O",IF($D$24=3,IF(T166=0,NA(),T166),calculateGibbsOfWater(M166,N166,$D$24,$D$20,$D$19=3)),NA())</f>
        <v>-57181.184161021127</v>
      </c>
      <c r="AF166" s="8">
        <f>IF(ISBLANK(Input!$X$4),NA(),'Reaction Information'!$E$13-'Reaction Information'!$G$13*(Calculations!O166-Calculations!$C$8)-'Reaction Information'!$N$13*(Calculations!O166*LN(Calculations!O166/Calculations!$C$8)-Calculations!O166+Calculations!$C$8)-'Reaction Information'!$O$13*10^4*(((1/(Calculations!O166-Calculations!$C$13))-(1/(Calculations!$C$8-Calculations!$C$13)))*((Calculations!$C$13-Calculations!O166)/(Calculations!$C$13))-(Calculations!O166/(Calculations!$C$13*Calculations!$C$13))*LN((Calculations!$C$8*(Calculations!O166-Calculations!$C$13))/(Calculations!O166*(Calculations!$C$8-Calculations!$C$13))))+'Reaction Information'!$J$13*10^-1*(Calculations!M166-Calculations!$C$9)+'Reaction Information'!$K$13*10^2*LN((Calculations!$C$12+Calculations!M166)/(Calculations!$C$12+Calculations!$C$9))+(1/(Calculations!O166-Calculations!$C$13))*('Reaction Information'!$L$13*(Calculations!M166-Calculations!$C$9)+'Reaction Information'!$M$13*10^4*LN((Calculations!$C$12+Calculations!M166)/(Calculations!$C$12+Calculations!$C$9)))+calculateOmega(Calculations!M166,Calculations!N166,Calculations!Q166,'Reaction Information'!$C$13,'Reaction Information'!$P$13*10^5,'Reaction Information'!$Q$13)*((1/Calculations!S166)-1)-'Reaction Information'!$P$13*10^5*((1/Calculations!$C$10)-1)+'Reaction Information'!$P$13*10^5*Calculations!$C$14*(Calculations!O166-Calculations!$C$8))</f>
        <v>-84852.596114996762</v>
      </c>
      <c r="AG166" s="8" t="e">
        <f>IF(ISBLANK(Input!$AA$4),NA(),'Reaction Information'!$E$17-'Reaction Information'!$G$17*(Calculations!$O166-Calculations!$C$8)-'Reaction Information'!$N$17*(Calculations!$O166*LN(Calculations!$O166/Calculations!$C$8)-Calculations!$O166+Calculations!$C$8)-'Reaction Information'!$O$17*10^4*(((1/(Calculations!$O166-Calculations!$C$13))-(1/(Calculations!$C$8-Calculations!$C$13)))*((Calculations!$C$13-Calculations!$O166)/(Calculations!$C$13))-(Calculations!$O166/(Calculations!$C$13*Calculations!$C$13))*LN((Calculations!$C$8*(Calculations!$O166-Calculations!$C$13))/(Calculations!$O166*(Calculations!$C$8-Calculations!$C$13))))+'Reaction Information'!$J$17*10^-1*(Calculations!$M166-Calculations!$C$9)+'Reaction Information'!$K$17*10^2*LN((Calculations!$C$12+Calculations!$M166)/(Calculations!$C$12+Calculations!$C$9))+(1/(Calculations!$O166-Calculations!$C$13))*('Reaction Information'!$L$17*(Calculations!$M166-Calculations!$C$9)+'Reaction Information'!$M$17*10^4*LN((Calculations!$C$12+Calculations!$M166)/(Calculations!$C$12+Calculations!$C$9)))+calculateOmega(Calculations!M166,Calculations!N166,Calculations!Q166,'Reaction Information'!$C$17,'Reaction Information'!$P$17*10^5,'Reaction Information'!$Q$17)*((1/Calculations!$S166)-1)-'Reaction Information'!$P$17*10^5*((1/Calculations!$C$10)-1)+'Reaction Information'!$P$17*10^5*Calculations!$C$14*(Calculations!$O166-Calculations!$C$8))</f>
        <v>#N/A</v>
      </c>
      <c r="AH166" s="8" t="e">
        <f>IF(ISBLANK(Input!$AD$4),NA(),'Reaction Information'!$E$21-'Reaction Information'!$G$21*(Calculations!$O166-Calculations!$C$8)-'Reaction Information'!$N$21*(Calculations!$O166*LN(Calculations!$O166/Calculations!$C$8)-Calculations!$O166+Calculations!$C$8)-'Reaction Information'!$O$21*10^4*(((1/(Calculations!$O166-Calculations!$C$13))-(1/(Calculations!$C$8-Calculations!$C$13)))*((Calculations!$C$13-Calculations!$O166)/(Calculations!$C$13))-(Calculations!$O166/(Calculations!$C$13*Calculations!$C$13))*LN((Calculations!$C$8*(Calculations!$O166-Calculations!$C$13))/(Calculations!$O166*(Calculations!$C$8-Calculations!$C$13))))+'Reaction Information'!$J$21*10^-1*(Calculations!$M166-Calculations!$C$9)+'Reaction Information'!$K$21*10^2*LN((Calculations!$C$12+Calculations!$M166)/(Calculations!$C$12+Calculations!$C$9))+(1/(Calculations!$O166-Calculations!$C$13))*('Reaction Information'!$L$21*(Calculations!$M166-Calculations!$C$9)+'Reaction Information'!$M$21*10^4*LN((Calculations!$C$12+Calculations!$M166)/(Calculations!$C$12+Calculations!$C$9)))+calculateOmega(Calculations!M166,Calculations!N166,Calculations!Q166,'Reaction Information'!$C$21,'Reaction Information'!$P$21*10^5,'Reaction Information'!$Q$21)*((1/Calculations!$S166)-1)-'Reaction Information'!$P$21*10^5*((1/Calculations!$C$10)-1)+'Reaction Information'!$P$21*10^5*Calculations!$C$14*(Calculations!$O166-Calculations!$C$8))</f>
        <v>#N/A</v>
      </c>
      <c r="AI166" s="8" t="e">
        <f>IF(ISBLANK(Input!$AG$4),NA(),'Reaction Information'!$E$25-'Reaction Information'!$G$25*(Calculations!$O166-Calculations!$C$8)-'Reaction Information'!$N$25*(Calculations!$O166*LN(Calculations!$O166/Calculations!$C$8)-Calculations!$O166+Calculations!$C$8)-'Reaction Information'!$O$25*10^4*(((1/(Calculations!$O166-Calculations!$C$13))-(1/(Calculations!$C$8-Calculations!$C$13)))*((Calculations!$C$13-Calculations!$O166)/(Calculations!$C$13))-(Calculations!$O166/(Calculations!$C$13*Calculations!$C$13))*LN((Calculations!$C$8*(Calculations!$O166-Calculations!$C$13))/(Calculations!$O166*(Calculations!$C$8-Calculations!$C$13))))+'Reaction Information'!$J$25*10^-1*(Calculations!$M166-Calculations!$C$9)+'Reaction Information'!$K$25*10^2*LN((Calculations!$C$12+Calculations!$M166)/(Calculations!$C$12+Calculations!$C$9))+(1/(Calculations!$O166-Calculations!$C$13))*('Reaction Information'!$L$25*(Calculations!$M166-Calculations!$C$9)+'Reaction Information'!$M$25*10^4*LN((Calculations!$C$12+Calculations!$M166)/(Calculations!$C$12+Calculations!$C$9)))+calculateOmega(Calculations!M166,Calculations!N166,Calculations!Q166,'Reaction Information'!$C$25,'Reaction Information'!$P$25*10^5,'Reaction Information'!$Q$25)*((1/Calculations!$S166)-1)-'Reaction Information'!$P$25*10^5*((1/Calculations!$C$10)-1)+'Reaction Information'!$P$25*10^5*Calculations!$C$14*(Calculations!$O166-Calculations!$C$8))</f>
        <v>#N/A</v>
      </c>
      <c r="AJ166" s="8" t="e">
        <f>IF(ISBLANK(Input!$AJ$4),NA(),'Reaction Information'!$E$29-'Reaction Information'!$G$29*(Calculations!$O166-Calculations!$C$8)-'Reaction Information'!$N$29*(Calculations!$O166*LN(Calculations!$O166/Calculations!$C$8)-Calculations!$O166+Calculations!$C$8)-'Reaction Information'!$O$29*10^4*(((1/(Calculations!$O166-Calculations!$C$13))-(1/(Calculations!$C$8-Calculations!$C$13)))*((Calculations!$C$13-Calculations!$O166)/(Calculations!$C$13))-(Calculations!$O166/(Calculations!$C$13*Calculations!$C$13))*LN((Calculations!$C$8*(Calculations!$O166-Calculations!$C$13))/(Calculations!$O166*(Calculations!$C$8-Calculations!$C$13))))+'Reaction Information'!$J$29*10^-1*(Calculations!$M166-Calculations!$C$9)+'Reaction Information'!$K$29*10^2*LN((Calculations!$C$12+Calculations!$M166)/(Calculations!$C$12+Calculations!$C$9))+(1/(Calculations!$O166-Calculations!$C$13))*('Reaction Information'!$L$29*(Calculations!$M166-Calculations!$C$9)+'Reaction Information'!$M$29*10^4*LN((Calculations!$C$12+Calculations!$M166)/(Calculations!$C$12+Calculations!$C$9)))+calculateOmega(Calculations!M166,Calculations!N166,Calculations!Q166,'Reaction Information'!$C$29,'Reaction Information'!$P$29*10^5,'Reaction Information'!$Q$29)*((1/Calculations!$S166)-1)-'Reaction Information'!$P$29*10^5*((1/Calculations!$C$10)-1)+'Reaction Information'!$P$29*10^5*Calculations!$C$14*(Calculations!$O166-Calculations!$C$8))</f>
        <v>#N/A</v>
      </c>
      <c r="AK166" s="8" t="e">
        <f>IF(ISBLANK(Input!$AM$4),NA(),'Reaction Information'!$E$33-'Reaction Information'!$G$33*(Calculations!$O166-Calculations!$C$8)-'Reaction Information'!$N$33*(Calculations!$O166*LN(Calculations!$O166/Calculations!$C$8)-Calculations!$O166+Calculations!$C$8)-'Reaction Information'!$O$33*10^4*(((1/(Calculations!$O166-Calculations!$C$13))-(1/(Calculations!$C$8-Calculations!$C$13)))*((Calculations!$C$13-Calculations!$O166)/(Calculations!$C$13))-(Calculations!$O166/(Calculations!$C$13*Calculations!$C$13))*LN((Calculations!$C$8*(Calculations!$O166-Calculations!$C$13))/(Calculations!$O166*(Calculations!$C$8-Calculations!$C$13))))+'Reaction Information'!$J$33*10^-1*(Calculations!$M166-Calculations!$C$9)+'Reaction Information'!$K$33*10^2*LN((Calculations!$C$12+Calculations!$M166)/(Calculations!$C$12+Calculations!$C$9))+(1/(Calculations!$O166-Calculations!$C$13))*('Reaction Information'!$L$33*(Calculations!$M166-Calculations!$C$9)+'Reaction Information'!$M$33*10^4*LN((Calculations!$C$12+Calculations!$M166)/(Calculations!$C$12+Calculations!$C$9)))+calculateOmega(Calculations!M166,Calculations!N166,Calculations!Q166,'Reaction Information'!$C$33,'Reaction Information'!$P$33*10^5,'Reaction Information'!$Q$33)*((1/Calculations!$S166)-1)-'Reaction Information'!$P$33*10^5*((1/Calculations!$C$10)-1)+'Reaction Information'!$P$33*10^5*Calculations!$C$14*(Calculations!$O166-Calculations!$C$8))</f>
        <v>#N/A</v>
      </c>
      <c r="AL166" s="1">
        <f>Results!S168</f>
        <v>0</v>
      </c>
      <c r="AM166" s="1">
        <f>Results!T168</f>
        <v>0</v>
      </c>
      <c r="AN166" s="1">
        <f>Results!U168</f>
        <v>0</v>
      </c>
      <c r="AO166" s="1">
        <f>Results!V168</f>
        <v>0</v>
      </c>
      <c r="AP166" s="8" t="e">
        <f>IF(ISBLANK(Input!$BB$4),NA(),'Reaction Information'!$E$38-'Reaction Information'!$G$38*(Calculations!$O166-Calculations!$C$8)+'Reaction Information'!$I$38*(Calculations!$O166-Calculations!$C$8-Calculations!$O166*LN(Calculations!$O166/Calculations!$C$8))+'Reaction Information'!$J$38*0.001/2*(2*Calculations!$O166*Calculations!$C$8-Calculations!$O166^2-Calculations!$C$8^2) + 'Reaction Information'!$K$38*100000*(Calculations!$O166^2 + Calculations!$C$8^2 - 2*Calculations!$O166*Calculations!$C$8)/(2*Calculations!$O166*Calculations!$C$8^2))</f>
        <v>#N/A</v>
      </c>
      <c r="AQ166" s="8" t="e">
        <f>IF(ISBLANK(Input!$BE$4),NA(),'Reaction Information'!$E$42-'Reaction Information'!$G$42*(Calculations!$O166-Calculations!$C$8)+'Reaction Information'!$I$42*(Calculations!$O166-Calculations!$C$8-Calculations!$O166*LN(Calculations!$O166/Calculations!$C$8))+'Reaction Information'!$J$42*0.001/2*(2*Calculations!$O166*Calculations!$C$8-Calculations!$O166^2-Calculations!$C$8^2) + 'Reaction Information'!$K$42*100000*(Calculations!$O166^2 + Calculations!$C$8^2 - 2*Calculations!$O166*Calculations!$C$8)/(2*Calculations!$O166*Calculations!$C$8^2))</f>
        <v>#N/A</v>
      </c>
      <c r="AR166" s="8" t="e">
        <f>IF(AR$5="H2O", IF($D$24=3,IF(T166=0,NA(),T166),calculateGibbsOfWater(M166,N166,$D$24,$D$20,$D$19=3)),NA())</f>
        <v>#N/A</v>
      </c>
      <c r="AS166" s="8">
        <f>IF(ISBLANK(Input!$BK$4),NA(),'Reaction Information'!$E$46-'Reaction Information'!$G$46*(Calculations!O166-Calculations!$C$8)-'Reaction Information'!$N$46*(Calculations!O166*LN(Calculations!O166/Calculations!$C$8)-Calculations!O166+Calculations!$C$8)-'Reaction Information'!$O$46*10^4*(((1/(Calculations!O166-Calculations!$C$13))-(1/(Calculations!$C$8-Calculations!$C$13)))*((Calculations!$C$13-Calculations!O166)/(Calculations!$C$13))-(Calculations!O166/(Calculations!$C$13*Calculations!$C$13))*LN((Calculations!$C$8*(Calculations!O166-Calculations!$C$13))/(Calculations!O166*(Calculations!$C$8-Calculations!$C$13))))+'Reaction Information'!$J$46*10^-1*(Calculations!$M166-Calculations!$C$9)+'Reaction Information'!$K$46*10^2*LN((Calculations!$C$12+Calculations!$M166)/(Calculations!$C$12+Calculations!$C$9))+(1/(Calculations!O166-Calculations!$C$13))*('Reaction Information'!$L$46*(Calculations!$M166-Calculations!$C$9)+'Reaction Information'!$M$46*10^4*LN((Calculations!$C$12+Calculations!$M166)/(Calculations!$C$12+Calculations!$C$9)))+calculateOmega(Calculations!M166,Calculations!N166,Calculations!Q166,'Reaction Information'!$C$46,'Reaction Information'!$P$46*10^5,'Reaction Information'!$Q$46)*((1/Calculations!S166)-1)-'Reaction Information'!$P$46*10^5*((1/Calculations!$C$10)-1)+'Reaction Information'!$P$46*10^5*Calculations!$C$14*(Calculations!O166-Calculations!$C$8))</f>
        <v>0</v>
      </c>
      <c r="AT166" s="8">
        <f>IF(ISBLANK(Input!$BN$4),NA(),'Reaction Information'!$E$50-'Reaction Information'!$G$50*(Calculations!O166-Calculations!$C$8)-'Reaction Information'!$N$50*(Calculations!O166*LN(Calculations!O166/Calculations!$C$8)-Calculations!O166+Calculations!$C$8)-'Reaction Information'!$O$50*10^4*(((1/(Calculations!O166-Calculations!$C$13))-(1/(Calculations!$C$8-Calculations!$C$13)))*((Calculations!$C$13-Calculations!O166)/(Calculations!$C$13))-(Calculations!O166/(Calculations!$C$13*Calculations!$C$13))*LN((Calculations!$C$8*(Calculations!O166-Calculations!$C$13))/(Calculations!O166*(Calculations!$C$8-Calculations!$C$13))))+'Reaction Information'!$J$50*10^-1*(Calculations!$M166-Calculations!$C$9)+'Reaction Information'!$K$50*10^2*LN((Calculations!$C$12+Calculations!$M166)/(Calculations!$C$12+Calculations!$C$9))+(1/(Calculations!O166-Calculations!$C$13))*('Reaction Information'!$L$50*(Calculations!$M166-Calculations!$C$9)+'Reaction Information'!$M$50*10^4*LN((Calculations!$C$12+Calculations!$M166)/(Calculations!$C$12+Calculations!$C$9)))+calculateOmega(Calculations!M166,Calculations!N166,Calculations!Q166,'Reaction Information'!$C$50,'Reaction Information'!$P$50*10^5,'Reaction Information'!$Q$50)*((1/Calculations!S166)-1)-'Reaction Information'!$P$50*10^5*((1/Calculations!$C$10)-1)+'Reaction Information'!$P$50*10^5*Calculations!$C$14*(Calculations!O166-Calculations!$C$8))</f>
        <v>-123992.41171878856</v>
      </c>
      <c r="AU166" s="8" t="e">
        <f>IF(ISBLANK(Input!$BQ$4),NA(),'Reaction Information'!$E$54-'Reaction Information'!$G$54*(Calculations!$O166-Calculations!$C$8)-'Reaction Information'!$N$54*(Calculations!$O166*LN(Calculations!$O166/Calculations!$C$8)-Calculations!$O166+Calculations!$C$8)-'Reaction Information'!$O$54*10^4*(((1/(Calculations!$O166-Calculations!$C$13))-(1/(Calculations!$C$8-Calculations!$C$13)))*((Calculations!$C$13-Calculations!$O166)/(Calculations!$C$13))-(Calculations!$O166/(Calculations!$C$13*Calculations!$C$13))*LN((Calculations!$C$8*(Calculations!$O166-Calculations!$C$13))/(Calculations!$O166*(Calculations!$C$8-Calculations!$C$13))))+'Reaction Information'!$J$54*10^-1*(Calculations!$M166-Calculations!$C$9)+'Reaction Information'!$K$54*10^2*LN((Calculations!$C$12+Calculations!$M166)/(Calculations!$C$12+Calculations!$C$9))+(1/(Calculations!$O166-Calculations!$C$13))*('Reaction Information'!$L$54*(Calculations!$M166-Calculations!$C$9)+'Reaction Information'!$M$54*10^4*LN((Calculations!$C$12+Calculations!$M166)/(Calculations!$C$12+Calculations!$C$9)))+calculateOmega(Calculations!M166,Calculations!N166,Calculations!Q166,'Reaction Information'!$C$54,'Reaction Information'!$P$54*10^5,'Reaction Information'!$Q$54)*((1/Calculations!$S166)-1)-'Reaction Information'!$P$54*10^5*((1/Calculations!$C$10)-1)+'Reaction Information'!$P$54*10^5*Calculations!$C$14*(Calculations!$O166-Calculations!$C$8))</f>
        <v>#N/A</v>
      </c>
      <c r="AV166" s="8" t="e">
        <f>IF(ISBLANK(Input!$BT$4),NA(),'Reaction Information'!$E$58-'Reaction Information'!$G$58*(Calculations!$O166-Calculations!$C$8)-'Reaction Information'!$N$58*(Calculations!$O166*LN(Calculations!$O166/Calculations!$C$8)-Calculations!$O166+Calculations!$C$8)-'Reaction Information'!$O$58*10^4*(((1/(Calculations!$O166-Calculations!$C$13))-(1/(Calculations!$C$8-Calculations!$C$13)))*((Calculations!$C$13-Calculations!$O166)/(Calculations!$C$13))-(Calculations!$O166/(Calculations!$C$13*Calculations!$C$13))*LN((Calculations!$C$8*(Calculations!$O166-Calculations!$C$13))/(Calculations!$O166*(Calculations!$C$8-Calculations!$C$13))))+'Reaction Information'!$J$58*10^-1*(Calculations!$M166-Calculations!$C$9)+'Reaction Information'!$K$58*10^2*LN((Calculations!$C$12+Calculations!$M166)/(Calculations!$C$12+Calculations!$C$9))+(1/(Calculations!$O166-Calculations!$C$13))*('Reaction Information'!$L$58*(Calculations!$M166-Calculations!$C$9)+'Reaction Information'!$M$58*10^4*LN((Calculations!$C$12+Calculations!$M166)/(Calculations!$C$12+Calculations!$C$9)))+calculateOmega(Calculations!M166,Calculations!N166,Calculations!Q166,'Reaction Information'!$C$58,'Reaction Information'!$P$58*10^5,'Reaction Information'!$Q$58)*((1/Calculations!$S166)-1)-'Reaction Information'!$P$58*10^5*((1/Calculations!$C$10)-1)+'Reaction Information'!$P$58*10^5*Calculations!$C$14*(Calculations!$O166-Calculations!$C$8))</f>
        <v>#N/A</v>
      </c>
      <c r="AW166" s="8" t="e">
        <f>IF(ISBLANK(Input!$BW$4),NA(),'Reaction Information'!$E$62-'Reaction Information'!$G$62*(Calculations!$O166-Calculations!$C$8)-'Reaction Information'!$N$62*(Calculations!$O166*LN(Calculations!$O166/Calculations!$C$8)-Calculations!$O166+Calculations!$C$8)-'Reaction Information'!$O$62*10^4*(((1/(Calculations!$O166-Calculations!$C$13))-(1/(Calculations!$C$8-Calculations!$C$13)))*((Calculations!$C$13-Calculations!$O166)/(Calculations!$C$13))-(Calculations!$O166/(Calculations!$C$13*Calculations!$C$13))*LN((Calculations!$C$8*(Calculations!$O166-Calculations!$C$13))/(Calculations!$O166*(Calculations!$C$8-Calculations!$C$13))))+'Reaction Information'!$J$62*10^-1*(Calculations!$M166-Calculations!$C$9)+'Reaction Information'!$K$62*10^2*LN((Calculations!$C$12+Calculations!$M166)/(Calculations!$C$12+Calculations!$C$9))+(1/(Calculations!$O166-Calculations!$C$13))*('Reaction Information'!$L$62*(Calculations!$M166-Calculations!$C$9)+'Reaction Information'!$M$62*10^4*LN((Calculations!$C$12+Calculations!$M166)/(Calculations!$C$12+Calculations!$C$9)))+calculateOmega(Calculations!M166,Calculations!N166,Calculations!Q166,'Reaction Information'!$C$62,'Reaction Information'!$P$62*10^5,'Reaction Information'!$Q$62)*((1/Calculations!$S166)-1)-'Reaction Information'!$P$62*10^5*((1/Calculations!$C$10)-1)+'Reaction Information'!$P$62*10^5*Calculations!$C$14*(Calculations!$O166-Calculations!$C$8))</f>
        <v>#N/A</v>
      </c>
      <c r="AX166" s="8" t="e">
        <f>IF(ISBLANK(Input!$BZ$4),NA(),'Reaction Information'!$E$66-'Reaction Information'!$G$66*(Calculations!$O166-Calculations!$C$8)-'Reaction Information'!$N$66*(Calculations!$O166*LN(Calculations!$O166/Calculations!$C$8)-Calculations!$O166+Calculations!$C$8)-'Reaction Information'!$O$66*10^4*(((1/(Calculations!$O166-Calculations!$C$13))-(1/(Calculations!$C$8-Calculations!$C$13)))*((Calculations!$C$13-Calculations!$O166)/(Calculations!$C$13))-(Calculations!$O166/(Calculations!$C$13*Calculations!$C$13))*LN((Calculations!$C$8*(Calculations!$O166-Calculations!$C$13))/(Calculations!$O166*(Calculations!$C$8-Calculations!$C$13))))+'Reaction Information'!$J$66*10^-1*(Calculations!$M166-Calculations!$C$9)+'Reaction Information'!$K$66*10^2*LN((Calculations!$C$12+Calculations!$M166)/(Calculations!$C$12+Calculations!$C$9))+(1/(Calculations!$O166-Calculations!$C$13))*('Reaction Information'!$L$66*(Calculations!$M166-Calculations!$C$9)+'Reaction Information'!$M$66*10^4*LN((Calculations!$C$12+Calculations!$M166)/(Calculations!$C$12+Calculations!$C$9)))+calculateOmega(Calculations!M166,Calculations!N166,Calculations!Q166,'Reaction Information'!$C$66,'Reaction Information'!$P$66*10^5,'Reaction Information'!$Q$66)*((1/Calculations!$S166)-1)-'Reaction Information'!$P$66*10^5*((1/Calculations!$C$10)-1)+'Reaction Information'!$P$66*10^5*Calculations!$C$14*(Calculations!$O166-Calculations!$C$8))</f>
        <v>#N/A</v>
      </c>
      <c r="AY166" s="31">
        <f>(AL166*Input!$AO$4+AM166*Input!$AR$4+AN166*Input!$AU$4+AO166*Input!$AX$4+IF(ISNA(AP166),0,AP166*Input!$BA$4)+IF(ISNA(AQ166),0,AQ166*Input!$BD$4)+IF(ISNA(AR166),0,AR166*Input!$BG$4)+IF(ISNA(AS166),0,AS166*Input!$BJ$4)+IF(ISNA(AT166),0,AT166*Input!$BM$4)+IF(ISNA(AU166),0,AU166*Input!$BP$4)+IF(ISNA(AV166),0,AV166*Input!$BS$4)+IF(ISNA(AW166),0,AW166*Input!$BV$4)+IF(ISNA(AX166),0,AX166*Input!$BY$4))-(Y166*Input!$B$4+Z166*Input!$E$4+AA166*Input!$H$4+AB166*Input!$K$4+IF(ISNA(AC166),0,AC166*Input!$N$4)+IF(ISNA(AD166),0,AD166*Input!$Q$4)+IF(ISNA(AE166),0,AE166*Input!$T$4)+IF(ISNA(AF166),0,AF166*Input!$W$4)+IF(ISNA(AG166),0,AG166*Input!$Z$4)+IF(ISNA(AH166),0,AH166*Input!$AC$4)+IF(ISNA(AI166),0,AI166*Input!$AF$4)+IF(ISNA(AJ166),0,AJ166*Input!$AI$4)+IF(ISNA(AK166),0,AK166*Input!$AL$4))</f>
        <v>18041.368557229347</v>
      </c>
      <c r="AZ166" s="42">
        <f t="shared" ref="AZ166:AZ197" si="54">-AY166/(2.302585*O166*$C$11)</f>
        <v>-3.6765537722285466</v>
      </c>
      <c r="BA166" s="1">
        <f t="shared" si="46"/>
        <v>800</v>
      </c>
      <c r="BB166" s="46">
        <f t="shared" si="47"/>
        <v>55000</v>
      </c>
      <c r="BC166" s="1"/>
      <c r="BD166" s="2">
        <f t="shared" si="48"/>
        <v>55000</v>
      </c>
      <c r="BE166" s="46">
        <f t="shared" si="49"/>
        <v>800</v>
      </c>
      <c r="BF166" s="1">
        <f>Results!AJ168</f>
        <v>0</v>
      </c>
      <c r="BG166" s="1">
        <f>Results!AK168</f>
        <v>0</v>
      </c>
      <c r="BH166" s="1">
        <f>Results!AL168</f>
        <v>0</v>
      </c>
      <c r="BI166" s="1">
        <f>Results!AM168</f>
        <v>0</v>
      </c>
      <c r="BJ166" s="1" t="e">
        <f>IF(OR(ISNA('Reaction Information'!$D$5), $N166 = "", $D$27 = FALSE, 'Reaction Information'!$D$5 = ""), NA(), 24.465)</f>
        <v>#N/A</v>
      </c>
      <c r="BK166" s="1" t="e">
        <f>IF(OR(ISNA('Reaction Information'!$D$9), $N166 = "", $D$27 = FALSE, 'Reaction Information'!$D$9 = ""), NA(), 24.465)</f>
        <v>#N/A</v>
      </c>
      <c r="BL166" s="8">
        <f t="shared" ref="BL166:BL197" si="55">IF(AND(BL$5="H2O",$D$27),18.01528/$Q166,NA())</f>
        <v>13.183148816914985</v>
      </c>
      <c r="BM166" s="8">
        <f>IF(OR(ISBLANK(Input!$X$4),$D$27=FALSE),NA(),('Reaction Information'!$J$13/10+'Reaction Information'!$K$13*100/(Calculations!$C$12+Calculations!$M166)+('Reaction Information'!$L$13+'Reaction Information'!$M$13*10^4/(Calculations!$C$12+Calculations!$M166))/(Calculations!$O166-Calculations!$C$13) -calculateOmega(Calculations!$M166,Calculations!$N166,Calculations!$Q166,'Reaction Information'!$C$13,'Reaction Information'!$P$13*10^5,'Reaction Information'!$Q$13)*Calculations!$U166*10^-6 + (1/$S166 - 1)*calculate_domegadP(Calculations!$M166,Calculations!$N166,Calculations!$Q166,'Reaction Information'!$C$13,'Reaction Information'!$P$13*10^5,'Reaction Information'!$Q$13,$D$20,$D$19=3))*41.84)</f>
        <v>29.909299299491995</v>
      </c>
      <c r="BN166" s="8" t="e">
        <f>IF(OR(ISBLANK(Input!$AA$4),$D$27=FALSE),NA(),('Reaction Information'!$J$17/10+'Reaction Information'!$K$17*100/(Calculations!$C$12+Calculations!$M166)+('Reaction Information'!$L$17+'Reaction Information'!$M$17*10000/(Calculations!$C$12+Calculations!$M166))/(Calculations!$O166-Calculations!$C$13)-calculateOmega(Calculations!M166,Calculations!N166,Calculations!Q166,'Reaction Information'!$C$17,'Reaction Information'!$P$17*10^5,'Reaction Information'!$Q$17)*Calculations!$U166*10^-6 + (1/$S166 - 1)*calculate_domegadP(Calculations!M166,Calculations!N166,Calculations!Q166,'Reaction Information'!$C$17,'Reaction Information'!$P$17*10^5,'Reaction Information'!$Q$17,$D$20,$D$19=3))*41.84)</f>
        <v>#N/A</v>
      </c>
      <c r="BO166" s="8" t="e">
        <f>IF(OR(ISBLANK(Input!$AD$4),$D$27=FALSE),NA(),('Reaction Information'!$J$21/10+'Reaction Information'!$K$21*100/(Calculations!$C$12+Calculations!$M166)+('Reaction Information'!$L$21+'Reaction Information'!$M$21*10000/(Calculations!$C$12+Calculations!$M166))/(Calculations!$O166-Calculations!$C$13)-calculateOmega(Calculations!M166,Calculations!N166,Calculations!Q166,'Reaction Information'!$C$21,'Reaction Information'!$P$21*10^5,'Reaction Information'!$Q$21)*Calculations!$U166*10^-6 + (1/$S166 - 1)*calculate_domegadP(Calculations!M166,Calculations!N166,Calculations!Q166,'Reaction Information'!$C$21,'Reaction Information'!$P$21*10^5,'Reaction Information'!$Q$21,$D$20,$D$19=3))*41.84)</f>
        <v>#N/A</v>
      </c>
      <c r="BP166" s="8" t="e">
        <f>IF(OR(ISBLANK(Input!$AG$4),$D$27=FALSE),NA(),('Reaction Information'!$J$25/10+'Reaction Information'!$K$25*100/(Calculations!$C$12+Calculations!$M166)+('Reaction Information'!$L$25+'Reaction Information'!$M$25*10000/(Calculations!$C$12+Calculations!$M166))/(Calculations!$O166-Calculations!$C$13)-calculateOmega(Calculations!M166,Calculations!N166,Calculations!Q166,'Reaction Information'!$C$25,'Reaction Information'!$P$25*10^5,'Reaction Information'!$Q$25)*Calculations!$U166*10^-6 + (1/$S166 - 1)*calculate_domegadP(Calculations!M166,Calculations!N166,Calculations!Q166,'Reaction Information'!$C$25,'Reaction Information'!$P$25*10^5,'Reaction Information'!$Q$25,$D$20,$D$19=3))*41.84)</f>
        <v>#N/A</v>
      </c>
      <c r="BQ166" s="8" t="e">
        <f>IF(OR(ISBLANK(Input!$AJ$4),$D$27=FALSE),NA(),('Reaction Information'!$J$29/10+'Reaction Information'!$K$29*100/(Calculations!$C$12+Calculations!$M166)+('Reaction Information'!$L$29+'Reaction Information'!$M$29*10000/(Calculations!$C$12+Calculations!$M166))/(Calculations!$O166-Calculations!$C$13)-calculateOmega(Calculations!M166,Calculations!N166,Calculations!Q166,'Reaction Information'!$C$29,'Reaction Information'!$P$29*10^5,'Reaction Information'!$Q$29)*Calculations!$U166*10^-6 + (1/$S166 - 1)*calculate_domegadP(Calculations!M166,Calculations!N166,Calculations!Q166,'Reaction Information'!$C$29,'Reaction Information'!$P$29*10^5,'Reaction Information'!$Q$29,$D$20,$D$19=3))*41.84)</f>
        <v>#N/A</v>
      </c>
      <c r="BR166" s="8" t="e">
        <f>IF(OR(ISBLANK(Input!$AM$4),$D$27=FALSE),NA(),('Reaction Information'!$J$33/10+'Reaction Information'!$K$33*100/(Calculations!$C$12+Calculations!$M166)+('Reaction Information'!$L$33+'Reaction Information'!$M$33*10000/(Calculations!$C$12+Calculations!$M166))/(Calculations!$O166-Calculations!$C$13)-calculateOmega(Calculations!M166,Calculations!N166,Calculations!Q166,'Reaction Information'!$C$33,'Reaction Information'!$P$33*10^5,'Reaction Information'!$Q$33)*Calculations!$U166*10^-6 + (1/$S166 - 1)*calculate_domegadP(Calculations!M166,Calculations!N166,Calculations!Q166,'Reaction Information'!$C$33,'Reaction Information'!$P$33*10^5,'Reaction Information'!$Q$33,$D$20,$D$19=3))*41.84)</f>
        <v>#N/A</v>
      </c>
      <c r="BS166" s="1">
        <f>Results!AW168</f>
        <v>0</v>
      </c>
      <c r="BT166" s="1">
        <f>Results!AX168</f>
        <v>0</v>
      </c>
      <c r="BU166" s="1">
        <f>Results!AY168</f>
        <v>0</v>
      </c>
      <c r="BV166" s="1">
        <f>Results!AZ168</f>
        <v>0</v>
      </c>
      <c r="BW166" s="1" t="e">
        <f>IF(OR(ISNA('Reaction Information'!$D$38), $N166 = "", $D$27 = FALSE, 'Reaction Information'!$D$38 = ""), NA(), 24.465)</f>
        <v>#N/A</v>
      </c>
      <c r="BX166" s="1" t="e">
        <f>IF(OR(ISNA('Reaction Information'!$D$42), $N166 = "", $D$27 = FALSE, 'Reaction Information'!$D$42 = ""), NA(), 24.465)</f>
        <v>#N/A</v>
      </c>
      <c r="BY166" s="8" t="e">
        <f t="shared" ref="BY166:BY197" si="56">IF(AND(BY$5="H2O",$D$27),18.01528/$Q166,NA())</f>
        <v>#N/A</v>
      </c>
      <c r="BZ166" s="8">
        <f>IF(OR(ISBLANK(Input!$BK$4),$D$27=FALSE),NA(),('Reaction Information'!$J$46/10+'Reaction Information'!$K$46*100/(Calculations!$C$12+Calculations!$M166)+('Reaction Information'!$L$46+'Reaction Information'!$M$46*10000/(Calculations!$C$12+Calculations!$M166))/(Calculations!$O166-Calculations!$C$13)-calculateOmega(Calculations!M166,Calculations!N166,Calculations!Q166,'Reaction Information'!$C$46,'Reaction Information'!$P$46*10^5,'Reaction Information'!$Q$46)*Calculations!$U166*10^-6 + (1/$S166 - 1)*calculate_domegadP(Calculations!M166,Calculations!N166,Calculations!Q166,'Reaction Information'!$C$46,'Reaction Information'!$P$46*10^5,'Reaction Information'!$Q$46,$D$20,$D$19=3))*41.84)</f>
        <v>0</v>
      </c>
      <c r="CA166" s="8">
        <f>IF(OR(ISBLANK(Input!$BN$4),$D$27=FALSE),NA(),('Reaction Information'!$J$50/10+'Reaction Information'!$K$50*100/(Calculations!$C$12+Calculations!$M166)+('Reaction Information'!$L$50+'Reaction Information'!$M$50*10000/(Calculations!$C$12+Calculations!$M166))/(Calculations!$O166-Calculations!$C$13)-calculateOmega(Calculations!M166,Calculations!N166,Calculations!Q166,'Reaction Information'!$C$50,'Reaction Information'!$P$50*10^5,'Reaction Information'!$Q$50)*Calculations!$U166*10^-6 + (1/$S166 - 1)*calculate_domegadP(Calculations!M166,Calculations!N166,Calculations!Q166,'Reaction Information'!$C$50,'Reaction Information'!$P$50*10^5,'Reaction Information'!$Q$50,$D$20,$D$19=3))*41.84)</f>
        <v>31.302586855903815</v>
      </c>
      <c r="CB166" s="8" t="e">
        <f>IF(OR(ISBLANK(Input!$BQ$4),$D$27=FALSE),NA(),('Reaction Information'!$J$54/10+'Reaction Information'!$K$54*100/(Calculations!$C$12+Calculations!$M166)+('Reaction Information'!$L$54+'Reaction Information'!$M$54*10000/(Calculations!$C$12+Calculations!$M166))/(Calculations!$O166-Calculations!$C$13)-calculateOmega(Calculations!M166,Calculations!N166,Calculations!Q166,'Reaction Information'!$C$54,'Reaction Information'!$P$54*10^5,'Reaction Information'!$Q$54)*Calculations!$U166*10^-6 + (1/$S166 - 1)*calculate_domegadP(Calculations!M166,Calculations!N166,Calculations!Q166,'Reaction Information'!$C$54,'Reaction Information'!$P$54*10^5,'Reaction Information'!$Q$54,$D$20,$D$19=3))*41.84)</f>
        <v>#N/A</v>
      </c>
      <c r="CC166" s="8" t="e">
        <f>IF(OR(ISBLANK(Input!$BT$4),$D$27=FALSE),NA(),('Reaction Information'!$J$58/10+'Reaction Information'!$K$58*100/(Calculations!$C$12+Calculations!$M166)+('Reaction Information'!$L$58+'Reaction Information'!$M$58*10000/(Calculations!$C$12+Calculations!$M166))/(Calculations!$O166-Calculations!$C$13)-calculateOmega(Calculations!M166,Calculations!N166,Calculations!Q166,'Reaction Information'!$C$58,'Reaction Information'!$P$58*10^5,'Reaction Information'!$Q$58)*Calculations!$U166*10^-6 + (1/$S166 - 1)*calculate_domegadP(Calculations!M166,Calculations!N166,Calculations!Q166,'Reaction Information'!$C$58,'Reaction Information'!$P$58*10^5,'Reaction Information'!$Q$58,$D$20,$D$19=3))*41.84)</f>
        <v>#N/A</v>
      </c>
      <c r="CD166" s="8" t="e">
        <f>IF(OR(ISBLANK(Input!$BW$4),$D$27=FALSE),NA(),('Reaction Information'!$J$62/10+'Reaction Information'!$K$62*100/(Calculations!$C$12+Calculations!$M166)+('Reaction Information'!$L$62+'Reaction Information'!$M$62*10000/(Calculations!$C$12+Calculations!$M166))/(Calculations!$O166-Calculations!$C$13)-calculateOmega(Calculations!M166,Calculations!N166,Calculations!Q166,'Reaction Information'!$C$62,'Reaction Information'!$P$62*10^5,'Reaction Information'!$Q$62)*Calculations!$U166*10^-6 + (1/$S166 - 1)*calculate_domegadP(Calculations!M166,Calculations!N166,Calculations!Q166,'Reaction Information'!$C$62,'Reaction Information'!$P$62*10^5,'Reaction Information'!$Q$62,$D$20,$D$19=3))*41.84)</f>
        <v>#N/A</v>
      </c>
      <c r="CE166" s="8" t="e">
        <f>IF(OR(ISBLANK(Input!$BZ$4),$D$27=FALSE),NA(),('Reaction Information'!$J$66/10+'Reaction Information'!$K$66*100/(Calculations!$C$12+Calculations!$M166)+('Reaction Information'!$L$66+'Reaction Information'!$M$66*10000/(Calculations!$C$12+Calculations!$M166))/(Calculations!$O166-Calculations!$C$13)-calculateOmega(Calculations!M166,Calculations!N166,Calculations!Q166,'Reaction Information'!$C$66,'Reaction Information'!$P$66*10^5,'Reaction Information'!$Q$66)*Calculations!$U166*10^-6 + (1/$S166 - 1)*calculate_domegadP(Calculations!M166,Calculations!N166,Calculations!Q166,'Reaction Information'!$C$66,'Reaction Information'!$P$66*10^5,'Reaction Information'!$Q$66,$D$20,$D$19=3))*41.84)</f>
        <v>#N/A</v>
      </c>
      <c r="CF166" s="31">
        <f>(BS166*Input!$AO$4+BT166*Input!$AR$4+BU166*Input!$AU$4+BV166*Input!$AX$4+IF(ISNA(BW166),0,BW166*Input!$BA$4)+IF(ISNA(BX166),0,BX166*Input!$BD$4)+IF(ISNA(BY166),0,BY166*Input!$BG$4)+IF(ISNA(BZ166),0,BZ166*Input!$BJ$4)+IF(ISNA(CA166),0,CA166*Input!$BM$4)+IF(ISNA(CB166),0,CB166*Input!$BP$4)+IF(ISNA(CC166),0,CC166*Input!$BS$4)+IF(ISNA(CD166),0,CD166*Input!$BV$4)+IF(ISNA(CE166),0,CE166*Input!$BY$4))-(BF166*Input!$B$4+BG166*Input!$E$4+BH166*Input!$H$4+BI166*Input!$K$4+IF(ISNA(BJ166),0,BJ166*Input!$N$4)+IF(ISNA(BK166),0,BK166*Input!$Q$4)+IF(ISNA(BL166),0,BL166*Input!$T$4)+IF(ISNA(BM166),0,BM166*Input!$W$4)+IF(ISNA(BN166),0,BN166*Input!$Z$4)+IF(ISNA(BO166),0,BO166*Input!$AC$4)+IF(ISNA(BP166),0,BP166*Input!$AF$4)+IF(ISNA(BQ166),0,BQ166*Input!$AI$4)+IF(ISNA(BR166),0,BR166*Input!$AL$4))</f>
        <v>-11.789861260503162</v>
      </c>
      <c r="CG166" s="1">
        <f t="shared" si="50"/>
        <v>800</v>
      </c>
      <c r="CH166" s="46">
        <f t="shared" si="51"/>
        <v>55000</v>
      </c>
      <c r="CI166" s="1"/>
    </row>
    <row r="167" spans="1:87" x14ac:dyDescent="0.2">
      <c r="A167" s="1"/>
      <c r="B167" s="1"/>
      <c r="C167" s="1"/>
      <c r="D167" s="1"/>
      <c r="E167" s="1"/>
      <c r="F167" s="2">
        <v>162</v>
      </c>
      <c r="G167" s="1" t="str">
        <f>IF(ISBLANK(Input!CB167), "", Input!CB167*1000)</f>
        <v/>
      </c>
      <c r="H167" s="1" t="str">
        <f>IF(ISBLANK(Input!CC167), "", Input!CC167)</f>
        <v/>
      </c>
      <c r="I167" s="1">
        <f>IF(Input!$CF$5 + Input!$CF$6*(FLOOR((Calculations!$F167-1)/(FLOOR((Input!$CF$12-Input!$CF$10)/Input!$CF$11,1)+1),1)) &gt; Input!$CF$7, "", (Input!$CF$5 + Input!$CF$6*(FLOOR((Calculations!$F167-1)/(FLOOR((Input!$CF$12-Input!$CF$10)/Input!$CF$11,1)+1),1)))*1000)</f>
        <v>55000</v>
      </c>
      <c r="J167" s="1">
        <f>IF(Calculations!I167 = "", "", Input!$CF$10 + Input!$CF$11*(Calculations!$F167-1) - (FLOOR((Input!$CF$12-Input!$CF$10)/Input!$CF$11,1)+1)*Input!$CF$11*FLOOR((Calculations!$F167-1)/(FLOOR((Input!$CF$12-Input!$CF$10)/Input!$CF$11,1)+1),1))</f>
        <v>850</v>
      </c>
      <c r="K167" s="8" t="str">
        <f t="shared" si="52"/>
        <v/>
      </c>
      <c r="L167" s="117" t="str">
        <f>IF(OR(Input!$CJ$5 + Input!$CJ$6*(Calculations!F167-1) &gt; Input!$CJ$7, Input!$CJ$5 + Input!$CJ$6*(Calculations!F167-1) &gt; 350), "", Input!$CJ$5 + Input!$CJ$6*(Calculations!F167-1))</f>
        <v/>
      </c>
      <c r="M167" s="1">
        <f t="shared" si="42"/>
        <v>55000</v>
      </c>
      <c r="N167" s="1">
        <f t="shared" si="43"/>
        <v>850</v>
      </c>
      <c r="O167" s="1">
        <f t="shared" si="53"/>
        <v>1123.1500000000001</v>
      </c>
      <c r="P167" s="1" t="e">
        <f>IF(OR($D$20=3,AND($D$21=TRUE,M167&lt;1000)),INDEX('Water Density'!$C$6:$CX$120,MATCH(Calculations!N167,'Water Density'!$B$6:$B$120),MATCH(Calculations!M167/1000,'Water Density'!$C$5:$CX$5)),NA())</f>
        <v>#N/A</v>
      </c>
      <c r="Q167" s="182">
        <f>IF(OR($D$20=3,AND($D$21=TRUE,M167&lt;1000)), IF(P167&lt;&gt;0,P167,NA()), calculateDensity(M167,N167,$D$20,0.01,$D$19 = 3))</f>
        <v>1.3544247674083709</v>
      </c>
      <c r="R167" s="1" t="e">
        <f>IF($D$22=5,INDEX('Dielectric Constant'!$C$6:$CX$120,MATCH(Calculations!N167,'Dielectric Constant'!$B$6:$B$120),MATCH(Calculations!M167/1000,'Dielectric Constant'!$C$5:$CX$5)),NA())</f>
        <v>#N/A</v>
      </c>
      <c r="S167" s="58">
        <f>IF($D$22=5, IF(R167&lt;&gt;0,R167,NA()), IF(AND($D$23,M167&lt;=5000,$D$19 &lt;&gt; 3),calculateEpsilon(Q167,N167,1,FALSE),calculateEpsilon(Q167,N167,$D$22,$D$19 = 3)))</f>
        <v>22.226831952879778</v>
      </c>
      <c r="T167" s="1" t="e">
        <f>IF($D$24=3,INDEX('Water Free Energy'!$C$6:$CX$120,MATCH(Calculations!N167,'Water Free Energy'!$B$6:$B$120),MATCH(Calculations!M167/1000,'Water Free Energy'!$C$5:$CX$5)),NA())</f>
        <v>#N/A</v>
      </c>
      <c r="U167" s="179">
        <f>IF($D$27,calculateQ(M167,N167,Q167,$D$20,$D$22,$D$19=3)*10^6,NA())</f>
        <v>0.15427731795303479</v>
      </c>
      <c r="V167"/>
      <c r="W167" s="2">
        <f t="shared" si="44"/>
        <v>55000</v>
      </c>
      <c r="X167" s="1">
        <f t="shared" si="45"/>
        <v>850</v>
      </c>
      <c r="Y167" s="1">
        <f>Results!F169</f>
        <v>0</v>
      </c>
      <c r="Z167" s="1">
        <f>Results!G169</f>
        <v>0</v>
      </c>
      <c r="AA167" s="1">
        <f>Results!H169</f>
        <v>0</v>
      </c>
      <c r="AB167" s="1">
        <f>Results!I169</f>
        <v>0</v>
      </c>
      <c r="AC167" s="1" t="e">
        <f>IF(ISBLANK(Input!$O$4),NA(),'Reaction Information'!$E$5-'Reaction Information'!$G$5*(Calculations!$O167-Calculations!$C$8)+'Reaction Information'!$I$5*(Calculations!$O167-Calculations!$C$8-Calculations!$O167*LN(Calculations!$O167/Calculations!$C$8))+'Reaction Information'!$J$5*0.001/2*(2*Calculations!$O167*Calculations!$C$8-Calculations!$O167^2-Calculations!$C$8^2) + 'Reaction Information'!$K$5*100000*(Calculations!$O167^2 + Calculations!$C$8^2 - 2*Calculations!$O167*Calculations!$C$8)/(2*Calculations!$O167*Calculations!$C$8^2))</f>
        <v>#N/A</v>
      </c>
      <c r="AD167" s="8" t="e">
        <f>IF(ISBLANK(Input!$R$4),NA(),'Reaction Information'!$E$9-'Reaction Information'!$G$9*(Calculations!$O167-Calculations!$C$8)+'Reaction Information'!$I$9*(Calculations!$O167-Calculations!$C$8-Calculations!$O167*LN(Calculations!$O167/Calculations!$C$8))+'Reaction Information'!$J$9*0.001/2*(2*Calculations!$O167*Calculations!$C$8-Calculations!$O167^2-Calculations!$C$8^2) + 'Reaction Information'!$K$9*100000*(Calculations!$O167^2 + Calculations!$C$8^2 - 2*Calculations!$O167*Calculations!$C$8)/(2*Calculations!$O167*Calculations!$C$8^2))</f>
        <v>#N/A</v>
      </c>
      <c r="AE167" s="8">
        <f>IF(AE$5="H2O",IF($D$24=3,IF(T167=0,NA(),T167),calculateGibbsOfWater(M167,N167,$D$24,$D$20,$D$19=3)),NA())</f>
        <v>-58730.479917648554</v>
      </c>
      <c r="AF167" s="8">
        <f>IF(ISBLANK(Input!$X$4),NA(),'Reaction Information'!$E$13-'Reaction Information'!$G$13*(Calculations!O167-Calculations!$C$8)-'Reaction Information'!$N$13*(Calculations!O167*LN(Calculations!O167/Calculations!$C$8)-Calculations!O167+Calculations!$C$8)-'Reaction Information'!$O$13*10^4*(((1/(Calculations!O167-Calculations!$C$13))-(1/(Calculations!$C$8-Calculations!$C$13)))*((Calculations!$C$13-Calculations!O167)/(Calculations!$C$13))-(Calculations!O167/(Calculations!$C$13*Calculations!$C$13))*LN((Calculations!$C$8*(Calculations!O167-Calculations!$C$13))/(Calculations!O167*(Calculations!$C$8-Calculations!$C$13))))+'Reaction Information'!$J$13*10^-1*(Calculations!M167-Calculations!$C$9)+'Reaction Information'!$K$13*10^2*LN((Calculations!$C$12+Calculations!M167)/(Calculations!$C$12+Calculations!$C$9))+(1/(Calculations!O167-Calculations!$C$13))*('Reaction Information'!$L$13*(Calculations!M167-Calculations!$C$9)+'Reaction Information'!$M$13*10^4*LN((Calculations!$C$12+Calculations!M167)/(Calculations!$C$12+Calculations!$C$9)))+calculateOmega(Calculations!M167,Calculations!N167,Calculations!Q167,'Reaction Information'!$C$13,'Reaction Information'!$P$13*10^5,'Reaction Information'!$Q$13)*((1/Calculations!S167)-1)-'Reaction Information'!$P$13*10^5*((1/Calculations!$C$10)-1)+'Reaction Information'!$P$13*10^5*Calculations!$C$14*(Calculations!O167-Calculations!$C$8))</f>
        <v>-87273.990786042006</v>
      </c>
      <c r="AG167" s="8" t="e">
        <f>IF(ISBLANK(Input!$AA$4),NA(),'Reaction Information'!$E$17-'Reaction Information'!$G$17*(Calculations!$O167-Calculations!$C$8)-'Reaction Information'!$N$17*(Calculations!$O167*LN(Calculations!$O167/Calculations!$C$8)-Calculations!$O167+Calculations!$C$8)-'Reaction Information'!$O$17*10^4*(((1/(Calculations!$O167-Calculations!$C$13))-(1/(Calculations!$C$8-Calculations!$C$13)))*((Calculations!$C$13-Calculations!$O167)/(Calculations!$C$13))-(Calculations!$O167/(Calculations!$C$13*Calculations!$C$13))*LN((Calculations!$C$8*(Calculations!$O167-Calculations!$C$13))/(Calculations!$O167*(Calculations!$C$8-Calculations!$C$13))))+'Reaction Information'!$J$17*10^-1*(Calculations!$M167-Calculations!$C$9)+'Reaction Information'!$K$17*10^2*LN((Calculations!$C$12+Calculations!$M167)/(Calculations!$C$12+Calculations!$C$9))+(1/(Calculations!$O167-Calculations!$C$13))*('Reaction Information'!$L$17*(Calculations!$M167-Calculations!$C$9)+'Reaction Information'!$M$17*10^4*LN((Calculations!$C$12+Calculations!$M167)/(Calculations!$C$12+Calculations!$C$9)))+calculateOmega(Calculations!M167,Calculations!N167,Calculations!Q167,'Reaction Information'!$C$17,'Reaction Information'!$P$17*10^5,'Reaction Information'!$Q$17)*((1/Calculations!$S167)-1)-'Reaction Information'!$P$17*10^5*((1/Calculations!$C$10)-1)+'Reaction Information'!$P$17*10^5*Calculations!$C$14*(Calculations!$O167-Calculations!$C$8))</f>
        <v>#N/A</v>
      </c>
      <c r="AH167" s="8" t="e">
        <f>IF(ISBLANK(Input!$AD$4),NA(),'Reaction Information'!$E$21-'Reaction Information'!$G$21*(Calculations!$O167-Calculations!$C$8)-'Reaction Information'!$N$21*(Calculations!$O167*LN(Calculations!$O167/Calculations!$C$8)-Calculations!$O167+Calculations!$C$8)-'Reaction Information'!$O$21*10^4*(((1/(Calculations!$O167-Calculations!$C$13))-(1/(Calculations!$C$8-Calculations!$C$13)))*((Calculations!$C$13-Calculations!$O167)/(Calculations!$C$13))-(Calculations!$O167/(Calculations!$C$13*Calculations!$C$13))*LN((Calculations!$C$8*(Calculations!$O167-Calculations!$C$13))/(Calculations!$O167*(Calculations!$C$8-Calculations!$C$13))))+'Reaction Information'!$J$21*10^-1*(Calculations!$M167-Calculations!$C$9)+'Reaction Information'!$K$21*10^2*LN((Calculations!$C$12+Calculations!$M167)/(Calculations!$C$12+Calculations!$C$9))+(1/(Calculations!$O167-Calculations!$C$13))*('Reaction Information'!$L$21*(Calculations!$M167-Calculations!$C$9)+'Reaction Information'!$M$21*10^4*LN((Calculations!$C$12+Calculations!$M167)/(Calculations!$C$12+Calculations!$C$9)))+calculateOmega(Calculations!M167,Calculations!N167,Calculations!Q167,'Reaction Information'!$C$21,'Reaction Information'!$P$21*10^5,'Reaction Information'!$Q$21)*((1/Calculations!$S167)-1)-'Reaction Information'!$P$21*10^5*((1/Calculations!$C$10)-1)+'Reaction Information'!$P$21*10^5*Calculations!$C$14*(Calculations!$O167-Calculations!$C$8))</f>
        <v>#N/A</v>
      </c>
      <c r="AI167" s="8" t="e">
        <f>IF(ISBLANK(Input!$AG$4),NA(),'Reaction Information'!$E$25-'Reaction Information'!$G$25*(Calculations!$O167-Calculations!$C$8)-'Reaction Information'!$N$25*(Calculations!$O167*LN(Calculations!$O167/Calculations!$C$8)-Calculations!$O167+Calculations!$C$8)-'Reaction Information'!$O$25*10^4*(((1/(Calculations!$O167-Calculations!$C$13))-(1/(Calculations!$C$8-Calculations!$C$13)))*((Calculations!$C$13-Calculations!$O167)/(Calculations!$C$13))-(Calculations!$O167/(Calculations!$C$13*Calculations!$C$13))*LN((Calculations!$C$8*(Calculations!$O167-Calculations!$C$13))/(Calculations!$O167*(Calculations!$C$8-Calculations!$C$13))))+'Reaction Information'!$J$25*10^-1*(Calculations!$M167-Calculations!$C$9)+'Reaction Information'!$K$25*10^2*LN((Calculations!$C$12+Calculations!$M167)/(Calculations!$C$12+Calculations!$C$9))+(1/(Calculations!$O167-Calculations!$C$13))*('Reaction Information'!$L$25*(Calculations!$M167-Calculations!$C$9)+'Reaction Information'!$M$25*10^4*LN((Calculations!$C$12+Calculations!$M167)/(Calculations!$C$12+Calculations!$C$9)))+calculateOmega(Calculations!M167,Calculations!N167,Calculations!Q167,'Reaction Information'!$C$25,'Reaction Information'!$P$25*10^5,'Reaction Information'!$Q$25)*((1/Calculations!$S167)-1)-'Reaction Information'!$P$25*10^5*((1/Calculations!$C$10)-1)+'Reaction Information'!$P$25*10^5*Calculations!$C$14*(Calculations!$O167-Calculations!$C$8))</f>
        <v>#N/A</v>
      </c>
      <c r="AJ167" s="8" t="e">
        <f>IF(ISBLANK(Input!$AJ$4),NA(),'Reaction Information'!$E$29-'Reaction Information'!$G$29*(Calculations!$O167-Calculations!$C$8)-'Reaction Information'!$N$29*(Calculations!$O167*LN(Calculations!$O167/Calculations!$C$8)-Calculations!$O167+Calculations!$C$8)-'Reaction Information'!$O$29*10^4*(((1/(Calculations!$O167-Calculations!$C$13))-(1/(Calculations!$C$8-Calculations!$C$13)))*((Calculations!$C$13-Calculations!$O167)/(Calculations!$C$13))-(Calculations!$O167/(Calculations!$C$13*Calculations!$C$13))*LN((Calculations!$C$8*(Calculations!$O167-Calculations!$C$13))/(Calculations!$O167*(Calculations!$C$8-Calculations!$C$13))))+'Reaction Information'!$J$29*10^-1*(Calculations!$M167-Calculations!$C$9)+'Reaction Information'!$K$29*10^2*LN((Calculations!$C$12+Calculations!$M167)/(Calculations!$C$12+Calculations!$C$9))+(1/(Calculations!$O167-Calculations!$C$13))*('Reaction Information'!$L$29*(Calculations!$M167-Calculations!$C$9)+'Reaction Information'!$M$29*10^4*LN((Calculations!$C$12+Calculations!$M167)/(Calculations!$C$12+Calculations!$C$9)))+calculateOmega(Calculations!M167,Calculations!N167,Calculations!Q167,'Reaction Information'!$C$29,'Reaction Information'!$P$29*10^5,'Reaction Information'!$Q$29)*((1/Calculations!$S167)-1)-'Reaction Information'!$P$29*10^5*((1/Calculations!$C$10)-1)+'Reaction Information'!$P$29*10^5*Calculations!$C$14*(Calculations!$O167-Calculations!$C$8))</f>
        <v>#N/A</v>
      </c>
      <c r="AK167" s="8" t="e">
        <f>IF(ISBLANK(Input!$AM$4),NA(),'Reaction Information'!$E$33-'Reaction Information'!$G$33*(Calculations!$O167-Calculations!$C$8)-'Reaction Information'!$N$33*(Calculations!$O167*LN(Calculations!$O167/Calculations!$C$8)-Calculations!$O167+Calculations!$C$8)-'Reaction Information'!$O$33*10^4*(((1/(Calculations!$O167-Calculations!$C$13))-(1/(Calculations!$C$8-Calculations!$C$13)))*((Calculations!$C$13-Calculations!$O167)/(Calculations!$C$13))-(Calculations!$O167/(Calculations!$C$13*Calculations!$C$13))*LN((Calculations!$C$8*(Calculations!$O167-Calculations!$C$13))/(Calculations!$O167*(Calculations!$C$8-Calculations!$C$13))))+'Reaction Information'!$J$33*10^-1*(Calculations!$M167-Calculations!$C$9)+'Reaction Information'!$K$33*10^2*LN((Calculations!$C$12+Calculations!$M167)/(Calculations!$C$12+Calculations!$C$9))+(1/(Calculations!$O167-Calculations!$C$13))*('Reaction Information'!$L$33*(Calculations!$M167-Calculations!$C$9)+'Reaction Information'!$M$33*10^4*LN((Calculations!$C$12+Calculations!$M167)/(Calculations!$C$12+Calculations!$C$9)))+calculateOmega(Calculations!M167,Calculations!N167,Calculations!Q167,'Reaction Information'!$C$33,'Reaction Information'!$P$33*10^5,'Reaction Information'!$Q$33)*((1/Calculations!$S167)-1)-'Reaction Information'!$P$33*10^5*((1/Calculations!$C$10)-1)+'Reaction Information'!$P$33*10^5*Calculations!$C$14*(Calculations!$O167-Calculations!$C$8))</f>
        <v>#N/A</v>
      </c>
      <c r="AL167" s="1">
        <f>Results!S169</f>
        <v>0</v>
      </c>
      <c r="AM167" s="1">
        <f>Results!T169</f>
        <v>0</v>
      </c>
      <c r="AN167" s="1">
        <f>Results!U169</f>
        <v>0</v>
      </c>
      <c r="AO167" s="1">
        <f>Results!V169</f>
        <v>0</v>
      </c>
      <c r="AP167" s="8" t="e">
        <f>IF(ISBLANK(Input!$BB$4),NA(),'Reaction Information'!$E$38-'Reaction Information'!$G$38*(Calculations!$O167-Calculations!$C$8)+'Reaction Information'!$I$38*(Calculations!$O167-Calculations!$C$8-Calculations!$O167*LN(Calculations!$O167/Calculations!$C$8))+'Reaction Information'!$J$38*0.001/2*(2*Calculations!$O167*Calculations!$C$8-Calculations!$O167^2-Calculations!$C$8^2) + 'Reaction Information'!$K$38*100000*(Calculations!$O167^2 + Calculations!$C$8^2 - 2*Calculations!$O167*Calculations!$C$8)/(2*Calculations!$O167*Calculations!$C$8^2))</f>
        <v>#N/A</v>
      </c>
      <c r="AQ167" s="8" t="e">
        <f>IF(ISBLANK(Input!$BE$4),NA(),'Reaction Information'!$E$42-'Reaction Information'!$G$42*(Calculations!$O167-Calculations!$C$8)+'Reaction Information'!$I$42*(Calculations!$O167-Calculations!$C$8-Calculations!$O167*LN(Calculations!$O167/Calculations!$C$8))+'Reaction Information'!$J$42*0.001/2*(2*Calculations!$O167*Calculations!$C$8-Calculations!$O167^2-Calculations!$C$8^2) + 'Reaction Information'!$K$42*100000*(Calculations!$O167^2 + Calculations!$C$8^2 - 2*Calculations!$O167*Calculations!$C$8)/(2*Calculations!$O167*Calculations!$C$8^2))</f>
        <v>#N/A</v>
      </c>
      <c r="AR167" s="8" t="e">
        <f>IF(AR$5="H2O", IF($D$24=3,IF(T167=0,NA(),T167),calculateGibbsOfWater(M167,N167,$D$24,$D$20,$D$19=3)),NA())</f>
        <v>#N/A</v>
      </c>
      <c r="AS167" s="8">
        <f>IF(ISBLANK(Input!$BK$4),NA(),'Reaction Information'!$E$46-'Reaction Information'!$G$46*(Calculations!O167-Calculations!$C$8)-'Reaction Information'!$N$46*(Calculations!O167*LN(Calculations!O167/Calculations!$C$8)-Calculations!O167+Calculations!$C$8)-'Reaction Information'!$O$46*10^4*(((1/(Calculations!O167-Calculations!$C$13))-(1/(Calculations!$C$8-Calculations!$C$13)))*((Calculations!$C$13-Calculations!O167)/(Calculations!$C$13))-(Calculations!O167/(Calculations!$C$13*Calculations!$C$13))*LN((Calculations!$C$8*(Calculations!O167-Calculations!$C$13))/(Calculations!O167*(Calculations!$C$8-Calculations!$C$13))))+'Reaction Information'!$J$46*10^-1*(Calculations!$M167-Calculations!$C$9)+'Reaction Information'!$K$46*10^2*LN((Calculations!$C$12+Calculations!$M167)/(Calculations!$C$12+Calculations!$C$9))+(1/(Calculations!O167-Calculations!$C$13))*('Reaction Information'!$L$46*(Calculations!$M167-Calculations!$C$9)+'Reaction Information'!$M$46*10^4*LN((Calculations!$C$12+Calculations!$M167)/(Calculations!$C$12+Calculations!$C$9)))+calculateOmega(Calculations!M167,Calculations!N167,Calculations!Q167,'Reaction Information'!$C$46,'Reaction Information'!$P$46*10^5,'Reaction Information'!$Q$46)*((1/Calculations!S167)-1)-'Reaction Information'!$P$46*10^5*((1/Calculations!$C$10)-1)+'Reaction Information'!$P$46*10^5*Calculations!$C$14*(Calculations!O167-Calculations!$C$8))</f>
        <v>0</v>
      </c>
      <c r="AT167" s="8">
        <f>IF(ISBLANK(Input!$BN$4),NA(),'Reaction Information'!$E$50-'Reaction Information'!$G$50*(Calculations!O167-Calculations!$C$8)-'Reaction Information'!$N$50*(Calculations!O167*LN(Calculations!O167/Calculations!$C$8)-Calculations!O167+Calculations!$C$8)-'Reaction Information'!$O$50*10^4*(((1/(Calculations!O167-Calculations!$C$13))-(1/(Calculations!$C$8-Calculations!$C$13)))*((Calculations!$C$13-Calculations!O167)/(Calculations!$C$13))-(Calculations!O167/(Calculations!$C$13*Calculations!$C$13))*LN((Calculations!$C$8*(Calculations!O167-Calculations!$C$13))/(Calculations!O167*(Calculations!$C$8-Calculations!$C$13))))+'Reaction Information'!$J$50*10^-1*(Calculations!$M167-Calculations!$C$9)+'Reaction Information'!$K$50*10^2*LN((Calculations!$C$12+Calculations!$M167)/(Calculations!$C$12+Calculations!$C$9))+(1/(Calculations!O167-Calculations!$C$13))*('Reaction Information'!$L$50*(Calculations!$M167-Calculations!$C$9)+'Reaction Information'!$M$50*10^4*LN((Calculations!$C$12+Calculations!$M167)/(Calculations!$C$12+Calculations!$C$9)))+calculateOmega(Calculations!M167,Calculations!N167,Calculations!Q167,'Reaction Information'!$C$50,'Reaction Information'!$P$50*10^5,'Reaction Information'!$Q$50)*((1/Calculations!S167)-1)-'Reaction Information'!$P$50*10^5*((1/Calculations!$C$10)-1)+'Reaction Information'!$P$50*10^5*Calculations!$C$14*(Calculations!O167-Calculations!$C$8))</f>
        <v>-125733.59609665435</v>
      </c>
      <c r="AU167" s="8" t="e">
        <f>IF(ISBLANK(Input!$BQ$4),NA(),'Reaction Information'!$E$54-'Reaction Information'!$G$54*(Calculations!$O167-Calculations!$C$8)-'Reaction Information'!$N$54*(Calculations!$O167*LN(Calculations!$O167/Calculations!$C$8)-Calculations!$O167+Calculations!$C$8)-'Reaction Information'!$O$54*10^4*(((1/(Calculations!$O167-Calculations!$C$13))-(1/(Calculations!$C$8-Calculations!$C$13)))*((Calculations!$C$13-Calculations!$O167)/(Calculations!$C$13))-(Calculations!$O167/(Calculations!$C$13*Calculations!$C$13))*LN((Calculations!$C$8*(Calculations!$O167-Calculations!$C$13))/(Calculations!$O167*(Calculations!$C$8-Calculations!$C$13))))+'Reaction Information'!$J$54*10^-1*(Calculations!$M167-Calculations!$C$9)+'Reaction Information'!$K$54*10^2*LN((Calculations!$C$12+Calculations!$M167)/(Calculations!$C$12+Calculations!$C$9))+(1/(Calculations!$O167-Calculations!$C$13))*('Reaction Information'!$L$54*(Calculations!$M167-Calculations!$C$9)+'Reaction Information'!$M$54*10^4*LN((Calculations!$C$12+Calculations!$M167)/(Calculations!$C$12+Calculations!$C$9)))+calculateOmega(Calculations!M167,Calculations!N167,Calculations!Q167,'Reaction Information'!$C$54,'Reaction Information'!$P$54*10^5,'Reaction Information'!$Q$54)*((1/Calculations!$S167)-1)-'Reaction Information'!$P$54*10^5*((1/Calculations!$C$10)-1)+'Reaction Information'!$P$54*10^5*Calculations!$C$14*(Calculations!$O167-Calculations!$C$8))</f>
        <v>#N/A</v>
      </c>
      <c r="AV167" s="8" t="e">
        <f>IF(ISBLANK(Input!$BT$4),NA(),'Reaction Information'!$E$58-'Reaction Information'!$G$58*(Calculations!$O167-Calculations!$C$8)-'Reaction Information'!$N$58*(Calculations!$O167*LN(Calculations!$O167/Calculations!$C$8)-Calculations!$O167+Calculations!$C$8)-'Reaction Information'!$O$58*10^4*(((1/(Calculations!$O167-Calculations!$C$13))-(1/(Calculations!$C$8-Calculations!$C$13)))*((Calculations!$C$13-Calculations!$O167)/(Calculations!$C$13))-(Calculations!$O167/(Calculations!$C$13*Calculations!$C$13))*LN((Calculations!$C$8*(Calculations!$O167-Calculations!$C$13))/(Calculations!$O167*(Calculations!$C$8-Calculations!$C$13))))+'Reaction Information'!$J$58*10^-1*(Calculations!$M167-Calculations!$C$9)+'Reaction Information'!$K$58*10^2*LN((Calculations!$C$12+Calculations!$M167)/(Calculations!$C$12+Calculations!$C$9))+(1/(Calculations!$O167-Calculations!$C$13))*('Reaction Information'!$L$58*(Calculations!$M167-Calculations!$C$9)+'Reaction Information'!$M$58*10^4*LN((Calculations!$C$12+Calculations!$M167)/(Calculations!$C$12+Calculations!$C$9)))+calculateOmega(Calculations!M167,Calculations!N167,Calculations!Q167,'Reaction Information'!$C$58,'Reaction Information'!$P$58*10^5,'Reaction Information'!$Q$58)*((1/Calculations!$S167)-1)-'Reaction Information'!$P$58*10^5*((1/Calculations!$C$10)-1)+'Reaction Information'!$P$58*10^5*Calculations!$C$14*(Calculations!$O167-Calculations!$C$8))</f>
        <v>#N/A</v>
      </c>
      <c r="AW167" s="8" t="e">
        <f>IF(ISBLANK(Input!$BW$4),NA(),'Reaction Information'!$E$62-'Reaction Information'!$G$62*(Calculations!$O167-Calculations!$C$8)-'Reaction Information'!$N$62*(Calculations!$O167*LN(Calculations!$O167/Calculations!$C$8)-Calculations!$O167+Calculations!$C$8)-'Reaction Information'!$O$62*10^4*(((1/(Calculations!$O167-Calculations!$C$13))-(1/(Calculations!$C$8-Calculations!$C$13)))*((Calculations!$C$13-Calculations!$O167)/(Calculations!$C$13))-(Calculations!$O167/(Calculations!$C$13*Calculations!$C$13))*LN((Calculations!$C$8*(Calculations!$O167-Calculations!$C$13))/(Calculations!$O167*(Calculations!$C$8-Calculations!$C$13))))+'Reaction Information'!$J$62*10^-1*(Calculations!$M167-Calculations!$C$9)+'Reaction Information'!$K$62*10^2*LN((Calculations!$C$12+Calculations!$M167)/(Calculations!$C$12+Calculations!$C$9))+(1/(Calculations!$O167-Calculations!$C$13))*('Reaction Information'!$L$62*(Calculations!$M167-Calculations!$C$9)+'Reaction Information'!$M$62*10^4*LN((Calculations!$C$12+Calculations!$M167)/(Calculations!$C$12+Calculations!$C$9)))+calculateOmega(Calculations!M167,Calculations!N167,Calculations!Q167,'Reaction Information'!$C$62,'Reaction Information'!$P$62*10^5,'Reaction Information'!$Q$62)*((1/Calculations!$S167)-1)-'Reaction Information'!$P$62*10^5*((1/Calculations!$C$10)-1)+'Reaction Information'!$P$62*10^5*Calculations!$C$14*(Calculations!$O167-Calculations!$C$8))</f>
        <v>#N/A</v>
      </c>
      <c r="AX167" s="8" t="e">
        <f>IF(ISBLANK(Input!$BZ$4),NA(),'Reaction Information'!$E$66-'Reaction Information'!$G$66*(Calculations!$O167-Calculations!$C$8)-'Reaction Information'!$N$66*(Calculations!$O167*LN(Calculations!$O167/Calculations!$C$8)-Calculations!$O167+Calculations!$C$8)-'Reaction Information'!$O$66*10^4*(((1/(Calculations!$O167-Calculations!$C$13))-(1/(Calculations!$C$8-Calculations!$C$13)))*((Calculations!$C$13-Calculations!$O167)/(Calculations!$C$13))-(Calculations!$O167/(Calculations!$C$13*Calculations!$C$13))*LN((Calculations!$C$8*(Calculations!$O167-Calculations!$C$13))/(Calculations!$O167*(Calculations!$C$8-Calculations!$C$13))))+'Reaction Information'!$J$66*10^-1*(Calculations!$M167-Calculations!$C$9)+'Reaction Information'!$K$66*10^2*LN((Calculations!$C$12+Calculations!$M167)/(Calculations!$C$12+Calculations!$C$9))+(1/(Calculations!$O167-Calculations!$C$13))*('Reaction Information'!$L$66*(Calculations!$M167-Calculations!$C$9)+'Reaction Information'!$M$66*10^4*LN((Calculations!$C$12+Calculations!$M167)/(Calculations!$C$12+Calculations!$C$9)))+calculateOmega(Calculations!M167,Calculations!N167,Calculations!Q167,'Reaction Information'!$C$66,'Reaction Information'!$P$66*10^5,'Reaction Information'!$Q$66)*((1/Calculations!$S167)-1)-'Reaction Information'!$P$66*10^5*((1/Calculations!$C$10)-1)+'Reaction Information'!$P$66*10^5*Calculations!$C$14*(Calculations!$O167-Calculations!$C$8))</f>
        <v>#N/A</v>
      </c>
      <c r="AY167" s="31">
        <f>(AL167*Input!$AO$4+AM167*Input!$AR$4+AN167*Input!$AU$4+AO167*Input!$AX$4+IF(ISNA(AP167),0,AP167*Input!$BA$4)+IF(ISNA(AQ167),0,AQ167*Input!$BD$4)+IF(ISNA(AR167),0,AR167*Input!$BG$4)+IF(ISNA(AS167),0,AS167*Input!$BJ$4)+IF(ISNA(AT167),0,AT167*Input!$BM$4)+IF(ISNA(AU167),0,AU167*Input!$BP$4)+IF(ISNA(AV167),0,AV167*Input!$BS$4)+IF(ISNA(AW167),0,AW167*Input!$BV$4)+IF(ISNA(AX167),0,AX167*Input!$BY$4))-(Y167*Input!$B$4+Z167*Input!$E$4+AA167*Input!$H$4+AB167*Input!$K$4+IF(ISNA(AC167),0,AC167*Input!$N$4)+IF(ISNA(AD167),0,AD167*Input!$Q$4)+IF(ISNA(AE167),0,AE167*Input!$T$4)+IF(ISNA(AF167),0,AF167*Input!$W$4)+IF(ISNA(AG167),0,AG167*Input!$Z$4)+IF(ISNA(AH167),0,AH167*Input!$AC$4)+IF(ISNA(AI167),0,AI167*Input!$AF$4)+IF(ISNA(AJ167),0,AJ167*Input!$AI$4)+IF(ISNA(AK167),0,AK167*Input!$AL$4))</f>
        <v>20270.874607036196</v>
      </c>
      <c r="AZ167" s="42">
        <f t="shared" si="54"/>
        <v>-3.9469952094095802</v>
      </c>
      <c r="BA167" s="1">
        <f t="shared" si="46"/>
        <v>850</v>
      </c>
      <c r="BB167" s="46">
        <f t="shared" si="47"/>
        <v>55000</v>
      </c>
      <c r="BC167" s="1"/>
      <c r="BD167" s="2">
        <f t="shared" si="48"/>
        <v>55000</v>
      </c>
      <c r="BE167" s="46">
        <f t="shared" si="49"/>
        <v>850</v>
      </c>
      <c r="BF167" s="1">
        <f>Results!AJ169</f>
        <v>0</v>
      </c>
      <c r="BG167" s="1">
        <f>Results!AK169</f>
        <v>0</v>
      </c>
      <c r="BH167" s="1">
        <f>Results!AL169</f>
        <v>0</v>
      </c>
      <c r="BI167" s="1">
        <f>Results!AM169</f>
        <v>0</v>
      </c>
      <c r="BJ167" s="1" t="e">
        <f>IF(OR(ISNA('Reaction Information'!$D$5), $N167 = "", $D$27 = FALSE, 'Reaction Information'!$D$5 = ""), NA(), 24.465)</f>
        <v>#N/A</v>
      </c>
      <c r="BK167" s="1" t="e">
        <f>IF(OR(ISNA('Reaction Information'!$D$9), $N167 = "", $D$27 = FALSE, 'Reaction Information'!$D$9 = ""), NA(), 24.465)</f>
        <v>#N/A</v>
      </c>
      <c r="BL167" s="8">
        <f t="shared" si="55"/>
        <v>13.301056236937697</v>
      </c>
      <c r="BM167" s="8">
        <f>IF(OR(ISBLANK(Input!$X$4),$D$27=FALSE),NA(),('Reaction Information'!$J$13/10+'Reaction Information'!$K$13*100/(Calculations!$C$12+Calculations!$M167)+('Reaction Information'!$L$13+'Reaction Information'!$M$13*10^4/(Calculations!$C$12+Calculations!$M167))/(Calculations!$O167-Calculations!$C$13) -calculateOmega(Calculations!$M167,Calculations!$N167,Calculations!$Q167,'Reaction Information'!$C$13,'Reaction Information'!$P$13*10^5,'Reaction Information'!$Q$13)*Calculations!$U167*10^-6 + (1/$S167 - 1)*calculate_domegadP(Calculations!$M167,Calculations!$N167,Calculations!$Q167,'Reaction Information'!$C$13,'Reaction Information'!$P$13*10^5,'Reaction Information'!$Q$13,$D$20,$D$19=3))*41.84)</f>
        <v>29.930765416373404</v>
      </c>
      <c r="BN167" s="8" t="e">
        <f>IF(OR(ISBLANK(Input!$AA$4),$D$27=FALSE),NA(),('Reaction Information'!$J$17/10+'Reaction Information'!$K$17*100/(Calculations!$C$12+Calculations!$M167)+('Reaction Information'!$L$17+'Reaction Information'!$M$17*10000/(Calculations!$C$12+Calculations!$M167))/(Calculations!$O167-Calculations!$C$13)-calculateOmega(Calculations!M167,Calculations!N167,Calculations!Q167,'Reaction Information'!$C$17,'Reaction Information'!$P$17*10^5,'Reaction Information'!$Q$17)*Calculations!$U167*10^-6 + (1/$S167 - 1)*calculate_domegadP(Calculations!M167,Calculations!N167,Calculations!Q167,'Reaction Information'!$C$17,'Reaction Information'!$P$17*10^5,'Reaction Information'!$Q$17,$D$20,$D$19=3))*41.84)</f>
        <v>#N/A</v>
      </c>
      <c r="BO167" s="8" t="e">
        <f>IF(OR(ISBLANK(Input!$AD$4),$D$27=FALSE),NA(),('Reaction Information'!$J$21/10+'Reaction Information'!$K$21*100/(Calculations!$C$12+Calculations!$M167)+('Reaction Information'!$L$21+'Reaction Information'!$M$21*10000/(Calculations!$C$12+Calculations!$M167))/(Calculations!$O167-Calculations!$C$13)-calculateOmega(Calculations!M167,Calculations!N167,Calculations!Q167,'Reaction Information'!$C$21,'Reaction Information'!$P$21*10^5,'Reaction Information'!$Q$21)*Calculations!$U167*10^-6 + (1/$S167 - 1)*calculate_domegadP(Calculations!M167,Calculations!N167,Calculations!Q167,'Reaction Information'!$C$21,'Reaction Information'!$P$21*10^5,'Reaction Information'!$Q$21,$D$20,$D$19=3))*41.84)</f>
        <v>#N/A</v>
      </c>
      <c r="BP167" s="8" t="e">
        <f>IF(OR(ISBLANK(Input!$AG$4),$D$27=FALSE),NA(),('Reaction Information'!$J$25/10+'Reaction Information'!$K$25*100/(Calculations!$C$12+Calculations!$M167)+('Reaction Information'!$L$25+'Reaction Information'!$M$25*10000/(Calculations!$C$12+Calculations!$M167))/(Calculations!$O167-Calculations!$C$13)-calculateOmega(Calculations!M167,Calculations!N167,Calculations!Q167,'Reaction Information'!$C$25,'Reaction Information'!$P$25*10^5,'Reaction Information'!$Q$25)*Calculations!$U167*10^-6 + (1/$S167 - 1)*calculate_domegadP(Calculations!M167,Calculations!N167,Calculations!Q167,'Reaction Information'!$C$25,'Reaction Information'!$P$25*10^5,'Reaction Information'!$Q$25,$D$20,$D$19=3))*41.84)</f>
        <v>#N/A</v>
      </c>
      <c r="BQ167" s="8" t="e">
        <f>IF(OR(ISBLANK(Input!$AJ$4),$D$27=FALSE),NA(),('Reaction Information'!$J$29/10+'Reaction Information'!$K$29*100/(Calculations!$C$12+Calculations!$M167)+('Reaction Information'!$L$29+'Reaction Information'!$M$29*10000/(Calculations!$C$12+Calculations!$M167))/(Calculations!$O167-Calculations!$C$13)-calculateOmega(Calculations!M167,Calculations!N167,Calculations!Q167,'Reaction Information'!$C$29,'Reaction Information'!$P$29*10^5,'Reaction Information'!$Q$29)*Calculations!$U167*10^-6 + (1/$S167 - 1)*calculate_domegadP(Calculations!M167,Calculations!N167,Calculations!Q167,'Reaction Information'!$C$29,'Reaction Information'!$P$29*10^5,'Reaction Information'!$Q$29,$D$20,$D$19=3))*41.84)</f>
        <v>#N/A</v>
      </c>
      <c r="BR167" s="8" t="e">
        <f>IF(OR(ISBLANK(Input!$AM$4),$D$27=FALSE),NA(),('Reaction Information'!$J$33/10+'Reaction Information'!$K$33*100/(Calculations!$C$12+Calculations!$M167)+('Reaction Information'!$L$33+'Reaction Information'!$M$33*10000/(Calculations!$C$12+Calculations!$M167))/(Calculations!$O167-Calculations!$C$13)-calculateOmega(Calculations!M167,Calculations!N167,Calculations!Q167,'Reaction Information'!$C$33,'Reaction Information'!$P$33*10^5,'Reaction Information'!$Q$33)*Calculations!$U167*10^-6 + (1/$S167 - 1)*calculate_domegadP(Calculations!M167,Calculations!N167,Calculations!Q167,'Reaction Information'!$C$33,'Reaction Information'!$P$33*10^5,'Reaction Information'!$Q$33,$D$20,$D$19=3))*41.84)</f>
        <v>#N/A</v>
      </c>
      <c r="BS167" s="1">
        <f>Results!AW169</f>
        <v>0</v>
      </c>
      <c r="BT167" s="1">
        <f>Results!AX169</f>
        <v>0</v>
      </c>
      <c r="BU167" s="1">
        <f>Results!AY169</f>
        <v>0</v>
      </c>
      <c r="BV167" s="1">
        <f>Results!AZ169</f>
        <v>0</v>
      </c>
      <c r="BW167" s="1" t="e">
        <f>IF(OR(ISNA('Reaction Information'!$D$38), $N167 = "", $D$27 = FALSE, 'Reaction Information'!$D$38 = ""), NA(), 24.465)</f>
        <v>#N/A</v>
      </c>
      <c r="BX167" s="1" t="e">
        <f>IF(OR(ISNA('Reaction Information'!$D$42), $N167 = "", $D$27 = FALSE, 'Reaction Information'!$D$42 = ""), NA(), 24.465)</f>
        <v>#N/A</v>
      </c>
      <c r="BY167" s="8" t="e">
        <f t="shared" si="56"/>
        <v>#N/A</v>
      </c>
      <c r="BZ167" s="8">
        <f>IF(OR(ISBLANK(Input!$BK$4),$D$27=FALSE),NA(),('Reaction Information'!$J$46/10+'Reaction Information'!$K$46*100/(Calculations!$C$12+Calculations!$M167)+('Reaction Information'!$L$46+'Reaction Information'!$M$46*10000/(Calculations!$C$12+Calculations!$M167))/(Calculations!$O167-Calculations!$C$13)-calculateOmega(Calculations!M167,Calculations!N167,Calculations!Q167,'Reaction Information'!$C$46,'Reaction Information'!$P$46*10^5,'Reaction Information'!$Q$46)*Calculations!$U167*10^-6 + (1/$S167 - 1)*calculate_domegadP(Calculations!M167,Calculations!N167,Calculations!Q167,'Reaction Information'!$C$46,'Reaction Information'!$P$46*10^5,'Reaction Information'!$Q$46,$D$20,$D$19=3))*41.84)</f>
        <v>0</v>
      </c>
      <c r="CA167" s="8">
        <f>IF(OR(ISBLANK(Input!$BN$4),$D$27=FALSE),NA(),('Reaction Information'!$J$50/10+'Reaction Information'!$K$50*100/(Calculations!$C$12+Calculations!$M167)+('Reaction Information'!$L$50+'Reaction Information'!$M$50*10000/(Calculations!$C$12+Calculations!$M167))/(Calculations!$O167-Calculations!$C$13)-calculateOmega(Calculations!M167,Calculations!N167,Calculations!Q167,'Reaction Information'!$C$50,'Reaction Information'!$P$50*10^5,'Reaction Information'!$Q$50)*Calculations!$U167*10^-6 + (1/$S167 - 1)*calculate_domegadP(Calculations!M167,Calculations!N167,Calculations!Q167,'Reaction Information'!$C$50,'Reaction Information'!$P$50*10^5,'Reaction Information'!$Q$50,$D$20,$D$19=3))*41.84)</f>
        <v>31.257678301120745</v>
      </c>
      <c r="CB167" s="8" t="e">
        <f>IF(OR(ISBLANK(Input!$BQ$4),$D$27=FALSE),NA(),('Reaction Information'!$J$54/10+'Reaction Information'!$K$54*100/(Calculations!$C$12+Calculations!$M167)+('Reaction Information'!$L$54+'Reaction Information'!$M$54*10000/(Calculations!$C$12+Calculations!$M167))/(Calculations!$O167-Calculations!$C$13)-calculateOmega(Calculations!M167,Calculations!N167,Calculations!Q167,'Reaction Information'!$C$54,'Reaction Information'!$P$54*10^5,'Reaction Information'!$Q$54)*Calculations!$U167*10^-6 + (1/$S167 - 1)*calculate_domegadP(Calculations!M167,Calculations!N167,Calculations!Q167,'Reaction Information'!$C$54,'Reaction Information'!$P$54*10^5,'Reaction Information'!$Q$54,$D$20,$D$19=3))*41.84)</f>
        <v>#N/A</v>
      </c>
      <c r="CC167" s="8" t="e">
        <f>IF(OR(ISBLANK(Input!$BT$4),$D$27=FALSE),NA(),('Reaction Information'!$J$58/10+'Reaction Information'!$K$58*100/(Calculations!$C$12+Calculations!$M167)+('Reaction Information'!$L$58+'Reaction Information'!$M$58*10000/(Calculations!$C$12+Calculations!$M167))/(Calculations!$O167-Calculations!$C$13)-calculateOmega(Calculations!M167,Calculations!N167,Calculations!Q167,'Reaction Information'!$C$58,'Reaction Information'!$P$58*10^5,'Reaction Information'!$Q$58)*Calculations!$U167*10^-6 + (1/$S167 - 1)*calculate_domegadP(Calculations!M167,Calculations!N167,Calculations!Q167,'Reaction Information'!$C$58,'Reaction Information'!$P$58*10^5,'Reaction Information'!$Q$58,$D$20,$D$19=3))*41.84)</f>
        <v>#N/A</v>
      </c>
      <c r="CD167" s="8" t="e">
        <f>IF(OR(ISBLANK(Input!$BW$4),$D$27=FALSE),NA(),('Reaction Information'!$J$62/10+'Reaction Information'!$K$62*100/(Calculations!$C$12+Calculations!$M167)+('Reaction Information'!$L$62+'Reaction Information'!$M$62*10000/(Calculations!$C$12+Calculations!$M167))/(Calculations!$O167-Calculations!$C$13)-calculateOmega(Calculations!M167,Calculations!N167,Calculations!Q167,'Reaction Information'!$C$62,'Reaction Information'!$P$62*10^5,'Reaction Information'!$Q$62)*Calculations!$U167*10^-6 + (1/$S167 - 1)*calculate_domegadP(Calculations!M167,Calculations!N167,Calculations!Q167,'Reaction Information'!$C$62,'Reaction Information'!$P$62*10^5,'Reaction Information'!$Q$62,$D$20,$D$19=3))*41.84)</f>
        <v>#N/A</v>
      </c>
      <c r="CE167" s="8" t="e">
        <f>IF(OR(ISBLANK(Input!$BZ$4),$D$27=FALSE),NA(),('Reaction Information'!$J$66/10+'Reaction Information'!$K$66*100/(Calculations!$C$12+Calculations!$M167)+('Reaction Information'!$L$66+'Reaction Information'!$M$66*10000/(Calculations!$C$12+Calculations!$M167))/(Calculations!$O167-Calculations!$C$13)-calculateOmega(Calculations!M167,Calculations!N167,Calculations!Q167,'Reaction Information'!$C$66,'Reaction Information'!$P$66*10^5,'Reaction Information'!$Q$66)*Calculations!$U167*10^-6 + (1/$S167 - 1)*calculate_domegadP(Calculations!M167,Calculations!N167,Calculations!Q167,'Reaction Information'!$C$66,'Reaction Information'!$P$66*10^5,'Reaction Information'!$Q$66,$D$20,$D$19=3))*41.84)</f>
        <v>#N/A</v>
      </c>
      <c r="CF167" s="31">
        <f>(BS167*Input!$AO$4+BT167*Input!$AR$4+BU167*Input!$AU$4+BV167*Input!$AX$4+IF(ISNA(BW167),0,BW167*Input!$BA$4)+IF(ISNA(BX167),0,BX167*Input!$BD$4)+IF(ISNA(BY167),0,BY167*Input!$BG$4)+IF(ISNA(BZ167),0,BZ167*Input!$BJ$4)+IF(ISNA(CA167),0,CA167*Input!$BM$4)+IF(ISNA(CB167),0,CB167*Input!$BP$4)+IF(ISNA(CC167),0,CC167*Input!$BS$4)+IF(ISNA(CD167),0,CD167*Input!$BV$4)+IF(ISNA(CE167),0,CE167*Input!$BY$4))-(BF167*Input!$B$4+BG167*Input!$E$4+BH167*Input!$H$4+BI167*Input!$K$4+IF(ISNA(BJ167),0,BJ167*Input!$N$4)+IF(ISNA(BK167),0,BK167*Input!$Q$4)+IF(ISNA(BL167),0,BL167*Input!$T$4)+IF(ISNA(BM167),0,BM167*Input!$W$4)+IF(ISNA(BN167),0,BN167*Input!$Z$4)+IF(ISNA(BO167),0,BO167*Input!$AC$4)+IF(ISNA(BP167),0,BP167*Input!$AF$4)+IF(ISNA(BQ167),0,BQ167*Input!$AI$4)+IF(ISNA(BR167),0,BR167*Input!$AL$4))</f>
        <v>-11.974143352190357</v>
      </c>
      <c r="CG167" s="1">
        <f t="shared" si="50"/>
        <v>850</v>
      </c>
      <c r="CH167" s="46">
        <f t="shared" si="51"/>
        <v>55000</v>
      </c>
      <c r="CI167" s="1"/>
    </row>
    <row r="168" spans="1:87" x14ac:dyDescent="0.2">
      <c r="A168" s="1"/>
      <c r="B168" s="1"/>
      <c r="C168" s="1"/>
      <c r="D168" s="1"/>
      <c r="E168" s="1"/>
      <c r="F168" s="2">
        <v>163</v>
      </c>
      <c r="G168" s="1" t="str">
        <f>IF(ISBLANK(Input!CB168), "", Input!CB168*1000)</f>
        <v/>
      </c>
      <c r="H168" s="1" t="str">
        <f>IF(ISBLANK(Input!CC168), "", Input!CC168)</f>
        <v/>
      </c>
      <c r="I168" s="1">
        <f>IF(Input!$CF$5 + Input!$CF$6*(FLOOR((Calculations!$F168-1)/(FLOOR((Input!$CF$12-Input!$CF$10)/Input!$CF$11,1)+1),1)) &gt; Input!$CF$7, "", (Input!$CF$5 + Input!$CF$6*(FLOOR((Calculations!$F168-1)/(FLOOR((Input!$CF$12-Input!$CF$10)/Input!$CF$11,1)+1),1)))*1000)</f>
        <v>55000</v>
      </c>
      <c r="J168" s="1">
        <f>IF(Calculations!I168 = "", "", Input!$CF$10 + Input!$CF$11*(Calculations!$F168-1) - (FLOOR((Input!$CF$12-Input!$CF$10)/Input!$CF$11,1)+1)*Input!$CF$11*FLOOR((Calculations!$F168-1)/(FLOOR((Input!$CF$12-Input!$CF$10)/Input!$CF$11,1)+1),1))</f>
        <v>900</v>
      </c>
      <c r="K168" s="8" t="str">
        <f t="shared" si="52"/>
        <v/>
      </c>
      <c r="L168" s="117" t="str">
        <f>IF(OR(Input!$CJ$5 + Input!$CJ$6*(Calculations!F168-1) &gt; Input!$CJ$7, Input!$CJ$5 + Input!$CJ$6*(Calculations!F168-1) &gt; 350), "", Input!$CJ$5 + Input!$CJ$6*(Calculations!F168-1))</f>
        <v/>
      </c>
      <c r="M168" s="1">
        <f t="shared" si="42"/>
        <v>55000</v>
      </c>
      <c r="N168" s="1">
        <f t="shared" si="43"/>
        <v>900</v>
      </c>
      <c r="O168" s="1">
        <f t="shared" si="53"/>
        <v>1173.1500000000001</v>
      </c>
      <c r="P168" s="1" t="e">
        <f>IF(OR($D$20=3,AND($D$21=TRUE,M168&lt;1000)),INDEX('Water Density'!$C$6:$CX$120,MATCH(Calculations!N168,'Water Density'!$B$6:$B$120),MATCH(Calculations!M168/1000,'Water Density'!$C$5:$CX$5)),NA())</f>
        <v>#N/A</v>
      </c>
      <c r="Q168" s="182">
        <f>IF(OR($D$20=3,AND($D$21=TRUE,M168&lt;1000)), IF(P168&lt;&gt;0,P168,NA()), calculateDensity(M168,N168,$D$20,0.01,$D$19 = 3))</f>
        <v>1.3425420329570774</v>
      </c>
      <c r="R168" s="1" t="e">
        <f>IF($D$22=5,INDEX('Dielectric Constant'!$C$6:$CX$120,MATCH(Calculations!N168,'Dielectric Constant'!$B$6:$B$120),MATCH(Calculations!M168/1000,'Dielectric Constant'!$C$5:$CX$5)),NA())</f>
        <v>#N/A</v>
      </c>
      <c r="S168" s="58">
        <f>IF($D$22=5, IF(R168&lt;&gt;0,R168,NA()), IF(AND($D$23,M168&lt;=5000,$D$19 &lt;&gt; 3),calculateEpsilon(Q168,N168,1,FALSE),calculateEpsilon(Q168,N168,$D$22,$D$19 = 3)))</f>
        <v>20.503755436618672</v>
      </c>
      <c r="T168" s="1" t="e">
        <f>IF($D$24=3,INDEX('Water Free Energy'!$C$6:$CX$120,MATCH(Calculations!N168,'Water Free Energy'!$B$6:$B$120),MATCH(Calculations!M168/1000,'Water Free Energy'!$C$5:$CX$5)),NA())</f>
        <v>#N/A</v>
      </c>
      <c r="U168" s="179">
        <f>IF($D$27,calculateQ(M168,N168,Q168,$D$20,$D$22,$D$19=3)*10^6,NA())</f>
        <v>0.1626672055879802</v>
      </c>
      <c r="V168"/>
      <c r="W168" s="2">
        <f t="shared" si="44"/>
        <v>55000</v>
      </c>
      <c r="X168" s="1">
        <f t="shared" si="45"/>
        <v>900</v>
      </c>
      <c r="Y168" s="1">
        <f>Results!F170</f>
        <v>0</v>
      </c>
      <c r="Z168" s="1">
        <f>Results!G170</f>
        <v>0</v>
      </c>
      <c r="AA168" s="1">
        <f>Results!H170</f>
        <v>0</v>
      </c>
      <c r="AB168" s="1">
        <f>Results!I170</f>
        <v>0</v>
      </c>
      <c r="AC168" s="1" t="e">
        <f>IF(ISBLANK(Input!$O$4),NA(),'Reaction Information'!$E$5-'Reaction Information'!$G$5*(Calculations!$O168-Calculations!$C$8)+'Reaction Information'!$I$5*(Calculations!$O168-Calculations!$C$8-Calculations!$O168*LN(Calculations!$O168/Calculations!$C$8))+'Reaction Information'!$J$5*0.001/2*(2*Calculations!$O168*Calculations!$C$8-Calculations!$O168^2-Calculations!$C$8^2) + 'Reaction Information'!$K$5*100000*(Calculations!$O168^2 + Calculations!$C$8^2 - 2*Calculations!$O168*Calculations!$C$8)/(2*Calculations!$O168*Calculations!$C$8^2))</f>
        <v>#N/A</v>
      </c>
      <c r="AD168" s="8" t="e">
        <f>IF(ISBLANK(Input!$R$4),NA(),'Reaction Information'!$E$9-'Reaction Information'!$G$9*(Calculations!$O168-Calculations!$C$8)+'Reaction Information'!$I$9*(Calculations!$O168-Calculations!$C$8-Calculations!$O168*LN(Calculations!$O168/Calculations!$C$8))+'Reaction Information'!$J$9*0.001/2*(2*Calculations!$O168*Calculations!$C$8-Calculations!$O168^2-Calculations!$C$8^2) + 'Reaction Information'!$K$9*100000*(Calculations!$O168^2 + Calculations!$C$8^2 - 2*Calculations!$O168*Calculations!$C$8)/(2*Calculations!$O168*Calculations!$C$8^2))</f>
        <v>#N/A</v>
      </c>
      <c r="AE168" s="8">
        <f>IF(AE$5="H2O",IF($D$24=3,IF(T168=0,NA(),T168),calculateGibbsOfWater(M168,N168,$D$24,$D$20,$D$19=3)),NA())</f>
        <v>-60327.237751621702</v>
      </c>
      <c r="AF168" s="8">
        <f>IF(ISBLANK(Input!$X$4),NA(),'Reaction Information'!$E$13-'Reaction Information'!$G$13*(Calculations!O168-Calculations!$C$8)-'Reaction Information'!$N$13*(Calculations!O168*LN(Calculations!O168/Calculations!$C$8)-Calculations!O168+Calculations!$C$8)-'Reaction Information'!$O$13*10^4*(((1/(Calculations!O168-Calculations!$C$13))-(1/(Calculations!$C$8-Calculations!$C$13)))*((Calculations!$C$13-Calculations!O168)/(Calculations!$C$13))-(Calculations!O168/(Calculations!$C$13*Calculations!$C$13))*LN((Calculations!$C$8*(Calculations!O168-Calculations!$C$13))/(Calculations!O168*(Calculations!$C$8-Calculations!$C$13))))+'Reaction Information'!$J$13*10^-1*(Calculations!M168-Calculations!$C$9)+'Reaction Information'!$K$13*10^2*LN((Calculations!$C$12+Calculations!M168)/(Calculations!$C$12+Calculations!$C$9))+(1/(Calculations!O168-Calculations!$C$13))*('Reaction Information'!$L$13*(Calculations!M168-Calculations!$C$9)+'Reaction Information'!$M$13*10^4*LN((Calculations!$C$12+Calculations!M168)/(Calculations!$C$12+Calculations!$C$9)))+calculateOmega(Calculations!M168,Calculations!N168,Calculations!Q168,'Reaction Information'!$C$13,'Reaction Information'!$P$13*10^5,'Reaction Information'!$Q$13)*((1/Calculations!S168)-1)-'Reaction Information'!$P$13*10^5*((1/Calculations!$C$10)-1)+'Reaction Information'!$P$13*10^5*Calculations!$C$14*(Calculations!O168-Calculations!$C$8))</f>
        <v>-89732.086213906558</v>
      </c>
      <c r="AG168" s="8" t="e">
        <f>IF(ISBLANK(Input!$AA$4),NA(),'Reaction Information'!$E$17-'Reaction Information'!$G$17*(Calculations!$O168-Calculations!$C$8)-'Reaction Information'!$N$17*(Calculations!$O168*LN(Calculations!$O168/Calculations!$C$8)-Calculations!$O168+Calculations!$C$8)-'Reaction Information'!$O$17*10^4*(((1/(Calculations!$O168-Calculations!$C$13))-(1/(Calculations!$C$8-Calculations!$C$13)))*((Calculations!$C$13-Calculations!$O168)/(Calculations!$C$13))-(Calculations!$O168/(Calculations!$C$13*Calculations!$C$13))*LN((Calculations!$C$8*(Calculations!$O168-Calculations!$C$13))/(Calculations!$O168*(Calculations!$C$8-Calculations!$C$13))))+'Reaction Information'!$J$17*10^-1*(Calculations!$M168-Calculations!$C$9)+'Reaction Information'!$K$17*10^2*LN((Calculations!$C$12+Calculations!$M168)/(Calculations!$C$12+Calculations!$C$9))+(1/(Calculations!$O168-Calculations!$C$13))*('Reaction Information'!$L$17*(Calculations!$M168-Calculations!$C$9)+'Reaction Information'!$M$17*10^4*LN((Calculations!$C$12+Calculations!$M168)/(Calculations!$C$12+Calculations!$C$9)))+calculateOmega(Calculations!M168,Calculations!N168,Calculations!Q168,'Reaction Information'!$C$17,'Reaction Information'!$P$17*10^5,'Reaction Information'!$Q$17)*((1/Calculations!$S168)-1)-'Reaction Information'!$P$17*10^5*((1/Calculations!$C$10)-1)+'Reaction Information'!$P$17*10^5*Calculations!$C$14*(Calculations!$O168-Calculations!$C$8))</f>
        <v>#N/A</v>
      </c>
      <c r="AH168" s="8" t="e">
        <f>IF(ISBLANK(Input!$AD$4),NA(),'Reaction Information'!$E$21-'Reaction Information'!$G$21*(Calculations!$O168-Calculations!$C$8)-'Reaction Information'!$N$21*(Calculations!$O168*LN(Calculations!$O168/Calculations!$C$8)-Calculations!$O168+Calculations!$C$8)-'Reaction Information'!$O$21*10^4*(((1/(Calculations!$O168-Calculations!$C$13))-(1/(Calculations!$C$8-Calculations!$C$13)))*((Calculations!$C$13-Calculations!$O168)/(Calculations!$C$13))-(Calculations!$O168/(Calculations!$C$13*Calculations!$C$13))*LN((Calculations!$C$8*(Calculations!$O168-Calculations!$C$13))/(Calculations!$O168*(Calculations!$C$8-Calculations!$C$13))))+'Reaction Information'!$J$21*10^-1*(Calculations!$M168-Calculations!$C$9)+'Reaction Information'!$K$21*10^2*LN((Calculations!$C$12+Calculations!$M168)/(Calculations!$C$12+Calculations!$C$9))+(1/(Calculations!$O168-Calculations!$C$13))*('Reaction Information'!$L$21*(Calculations!$M168-Calculations!$C$9)+'Reaction Information'!$M$21*10^4*LN((Calculations!$C$12+Calculations!$M168)/(Calculations!$C$12+Calculations!$C$9)))+calculateOmega(Calculations!M168,Calculations!N168,Calculations!Q168,'Reaction Information'!$C$21,'Reaction Information'!$P$21*10^5,'Reaction Information'!$Q$21)*((1/Calculations!$S168)-1)-'Reaction Information'!$P$21*10^5*((1/Calculations!$C$10)-1)+'Reaction Information'!$P$21*10^5*Calculations!$C$14*(Calculations!$O168-Calculations!$C$8))</f>
        <v>#N/A</v>
      </c>
      <c r="AI168" s="8" t="e">
        <f>IF(ISBLANK(Input!$AG$4),NA(),'Reaction Information'!$E$25-'Reaction Information'!$G$25*(Calculations!$O168-Calculations!$C$8)-'Reaction Information'!$N$25*(Calculations!$O168*LN(Calculations!$O168/Calculations!$C$8)-Calculations!$O168+Calculations!$C$8)-'Reaction Information'!$O$25*10^4*(((1/(Calculations!$O168-Calculations!$C$13))-(1/(Calculations!$C$8-Calculations!$C$13)))*((Calculations!$C$13-Calculations!$O168)/(Calculations!$C$13))-(Calculations!$O168/(Calculations!$C$13*Calculations!$C$13))*LN((Calculations!$C$8*(Calculations!$O168-Calculations!$C$13))/(Calculations!$O168*(Calculations!$C$8-Calculations!$C$13))))+'Reaction Information'!$J$25*10^-1*(Calculations!$M168-Calculations!$C$9)+'Reaction Information'!$K$25*10^2*LN((Calculations!$C$12+Calculations!$M168)/(Calculations!$C$12+Calculations!$C$9))+(1/(Calculations!$O168-Calculations!$C$13))*('Reaction Information'!$L$25*(Calculations!$M168-Calculations!$C$9)+'Reaction Information'!$M$25*10^4*LN((Calculations!$C$12+Calculations!$M168)/(Calculations!$C$12+Calculations!$C$9)))+calculateOmega(Calculations!M168,Calculations!N168,Calculations!Q168,'Reaction Information'!$C$25,'Reaction Information'!$P$25*10^5,'Reaction Information'!$Q$25)*((1/Calculations!$S168)-1)-'Reaction Information'!$P$25*10^5*((1/Calculations!$C$10)-1)+'Reaction Information'!$P$25*10^5*Calculations!$C$14*(Calculations!$O168-Calculations!$C$8))</f>
        <v>#N/A</v>
      </c>
      <c r="AJ168" s="8" t="e">
        <f>IF(ISBLANK(Input!$AJ$4),NA(),'Reaction Information'!$E$29-'Reaction Information'!$G$29*(Calculations!$O168-Calculations!$C$8)-'Reaction Information'!$N$29*(Calculations!$O168*LN(Calculations!$O168/Calculations!$C$8)-Calculations!$O168+Calculations!$C$8)-'Reaction Information'!$O$29*10^4*(((1/(Calculations!$O168-Calculations!$C$13))-(1/(Calculations!$C$8-Calculations!$C$13)))*((Calculations!$C$13-Calculations!$O168)/(Calculations!$C$13))-(Calculations!$O168/(Calculations!$C$13*Calculations!$C$13))*LN((Calculations!$C$8*(Calculations!$O168-Calculations!$C$13))/(Calculations!$O168*(Calculations!$C$8-Calculations!$C$13))))+'Reaction Information'!$J$29*10^-1*(Calculations!$M168-Calculations!$C$9)+'Reaction Information'!$K$29*10^2*LN((Calculations!$C$12+Calculations!$M168)/(Calculations!$C$12+Calculations!$C$9))+(1/(Calculations!$O168-Calculations!$C$13))*('Reaction Information'!$L$29*(Calculations!$M168-Calculations!$C$9)+'Reaction Information'!$M$29*10^4*LN((Calculations!$C$12+Calculations!$M168)/(Calculations!$C$12+Calculations!$C$9)))+calculateOmega(Calculations!M168,Calculations!N168,Calculations!Q168,'Reaction Information'!$C$29,'Reaction Information'!$P$29*10^5,'Reaction Information'!$Q$29)*((1/Calculations!$S168)-1)-'Reaction Information'!$P$29*10^5*((1/Calculations!$C$10)-1)+'Reaction Information'!$P$29*10^5*Calculations!$C$14*(Calculations!$O168-Calculations!$C$8))</f>
        <v>#N/A</v>
      </c>
      <c r="AK168" s="8" t="e">
        <f>IF(ISBLANK(Input!$AM$4),NA(),'Reaction Information'!$E$33-'Reaction Information'!$G$33*(Calculations!$O168-Calculations!$C$8)-'Reaction Information'!$N$33*(Calculations!$O168*LN(Calculations!$O168/Calculations!$C$8)-Calculations!$O168+Calculations!$C$8)-'Reaction Information'!$O$33*10^4*(((1/(Calculations!$O168-Calculations!$C$13))-(1/(Calculations!$C$8-Calculations!$C$13)))*((Calculations!$C$13-Calculations!$O168)/(Calculations!$C$13))-(Calculations!$O168/(Calculations!$C$13*Calculations!$C$13))*LN((Calculations!$C$8*(Calculations!$O168-Calculations!$C$13))/(Calculations!$O168*(Calculations!$C$8-Calculations!$C$13))))+'Reaction Information'!$J$33*10^-1*(Calculations!$M168-Calculations!$C$9)+'Reaction Information'!$K$33*10^2*LN((Calculations!$C$12+Calculations!$M168)/(Calculations!$C$12+Calculations!$C$9))+(1/(Calculations!$O168-Calculations!$C$13))*('Reaction Information'!$L$33*(Calculations!$M168-Calculations!$C$9)+'Reaction Information'!$M$33*10^4*LN((Calculations!$C$12+Calculations!$M168)/(Calculations!$C$12+Calculations!$C$9)))+calculateOmega(Calculations!M168,Calculations!N168,Calculations!Q168,'Reaction Information'!$C$33,'Reaction Information'!$P$33*10^5,'Reaction Information'!$Q$33)*((1/Calculations!$S168)-1)-'Reaction Information'!$P$33*10^5*((1/Calculations!$C$10)-1)+'Reaction Information'!$P$33*10^5*Calculations!$C$14*(Calculations!$O168-Calculations!$C$8))</f>
        <v>#N/A</v>
      </c>
      <c r="AL168" s="1">
        <f>Results!S170</f>
        <v>0</v>
      </c>
      <c r="AM168" s="1">
        <f>Results!T170</f>
        <v>0</v>
      </c>
      <c r="AN168" s="1">
        <f>Results!U170</f>
        <v>0</v>
      </c>
      <c r="AO168" s="1">
        <f>Results!V170</f>
        <v>0</v>
      </c>
      <c r="AP168" s="8" t="e">
        <f>IF(ISBLANK(Input!$BB$4),NA(),'Reaction Information'!$E$38-'Reaction Information'!$G$38*(Calculations!$O168-Calculations!$C$8)+'Reaction Information'!$I$38*(Calculations!$O168-Calculations!$C$8-Calculations!$O168*LN(Calculations!$O168/Calculations!$C$8))+'Reaction Information'!$J$38*0.001/2*(2*Calculations!$O168*Calculations!$C$8-Calculations!$O168^2-Calculations!$C$8^2) + 'Reaction Information'!$K$38*100000*(Calculations!$O168^2 + Calculations!$C$8^2 - 2*Calculations!$O168*Calculations!$C$8)/(2*Calculations!$O168*Calculations!$C$8^2))</f>
        <v>#N/A</v>
      </c>
      <c r="AQ168" s="8" t="e">
        <f>IF(ISBLANK(Input!$BE$4),NA(),'Reaction Information'!$E$42-'Reaction Information'!$G$42*(Calculations!$O168-Calculations!$C$8)+'Reaction Information'!$I$42*(Calculations!$O168-Calculations!$C$8-Calculations!$O168*LN(Calculations!$O168/Calculations!$C$8))+'Reaction Information'!$J$42*0.001/2*(2*Calculations!$O168*Calculations!$C$8-Calculations!$O168^2-Calculations!$C$8^2) + 'Reaction Information'!$K$42*100000*(Calculations!$O168^2 + Calculations!$C$8^2 - 2*Calculations!$O168*Calculations!$C$8)/(2*Calculations!$O168*Calculations!$C$8^2))</f>
        <v>#N/A</v>
      </c>
      <c r="AR168" s="8" t="e">
        <f>IF(AR$5="H2O", IF($D$24=3,IF(T168=0,NA(),T168),calculateGibbsOfWater(M168,N168,$D$24,$D$20,$D$19=3)),NA())</f>
        <v>#N/A</v>
      </c>
      <c r="AS168" s="8">
        <f>IF(ISBLANK(Input!$BK$4),NA(),'Reaction Information'!$E$46-'Reaction Information'!$G$46*(Calculations!O168-Calculations!$C$8)-'Reaction Information'!$N$46*(Calculations!O168*LN(Calculations!O168/Calculations!$C$8)-Calculations!O168+Calculations!$C$8)-'Reaction Information'!$O$46*10^4*(((1/(Calculations!O168-Calculations!$C$13))-(1/(Calculations!$C$8-Calculations!$C$13)))*((Calculations!$C$13-Calculations!O168)/(Calculations!$C$13))-(Calculations!O168/(Calculations!$C$13*Calculations!$C$13))*LN((Calculations!$C$8*(Calculations!O168-Calculations!$C$13))/(Calculations!O168*(Calculations!$C$8-Calculations!$C$13))))+'Reaction Information'!$J$46*10^-1*(Calculations!$M168-Calculations!$C$9)+'Reaction Information'!$K$46*10^2*LN((Calculations!$C$12+Calculations!$M168)/(Calculations!$C$12+Calculations!$C$9))+(1/(Calculations!O168-Calculations!$C$13))*('Reaction Information'!$L$46*(Calculations!$M168-Calculations!$C$9)+'Reaction Information'!$M$46*10^4*LN((Calculations!$C$12+Calculations!$M168)/(Calculations!$C$12+Calculations!$C$9)))+calculateOmega(Calculations!M168,Calculations!N168,Calculations!Q168,'Reaction Information'!$C$46,'Reaction Information'!$P$46*10^5,'Reaction Information'!$Q$46)*((1/Calculations!S168)-1)-'Reaction Information'!$P$46*10^5*((1/Calculations!$C$10)-1)+'Reaction Information'!$P$46*10^5*Calculations!$C$14*(Calculations!O168-Calculations!$C$8))</f>
        <v>0</v>
      </c>
      <c r="AT168" s="8">
        <f>IF(ISBLANK(Input!$BN$4),NA(),'Reaction Information'!$E$50-'Reaction Information'!$G$50*(Calculations!O168-Calculations!$C$8)-'Reaction Information'!$N$50*(Calculations!O168*LN(Calculations!O168/Calculations!$C$8)-Calculations!O168+Calculations!$C$8)-'Reaction Information'!$O$50*10^4*(((1/(Calculations!O168-Calculations!$C$13))-(1/(Calculations!$C$8-Calculations!$C$13)))*((Calculations!$C$13-Calculations!O168)/(Calculations!$C$13))-(Calculations!O168/(Calculations!$C$13*Calculations!$C$13))*LN((Calculations!$C$8*(Calculations!O168-Calculations!$C$13))/(Calculations!O168*(Calculations!$C$8-Calculations!$C$13))))+'Reaction Information'!$J$50*10^-1*(Calculations!$M168-Calculations!$C$9)+'Reaction Information'!$K$50*10^2*LN((Calculations!$C$12+Calculations!$M168)/(Calculations!$C$12+Calculations!$C$9))+(1/(Calculations!O168-Calculations!$C$13))*('Reaction Information'!$L$50*(Calculations!$M168-Calculations!$C$9)+'Reaction Information'!$M$50*10^4*LN((Calculations!$C$12+Calculations!$M168)/(Calculations!$C$12+Calculations!$C$9)))+calculateOmega(Calculations!M168,Calculations!N168,Calculations!Q168,'Reaction Information'!$C$50,'Reaction Information'!$P$50*10^5,'Reaction Information'!$Q$50)*((1/Calculations!S168)-1)-'Reaction Information'!$P$50*10^5*((1/Calculations!$C$10)-1)+'Reaction Information'!$P$50*10^5*Calculations!$C$14*(Calculations!O168-Calculations!$C$8))</f>
        <v>-127471.22107337079</v>
      </c>
      <c r="AU168" s="8" t="e">
        <f>IF(ISBLANK(Input!$BQ$4),NA(),'Reaction Information'!$E$54-'Reaction Information'!$G$54*(Calculations!$O168-Calculations!$C$8)-'Reaction Information'!$N$54*(Calculations!$O168*LN(Calculations!$O168/Calculations!$C$8)-Calculations!$O168+Calculations!$C$8)-'Reaction Information'!$O$54*10^4*(((1/(Calculations!$O168-Calculations!$C$13))-(1/(Calculations!$C$8-Calculations!$C$13)))*((Calculations!$C$13-Calculations!$O168)/(Calculations!$C$13))-(Calculations!$O168/(Calculations!$C$13*Calculations!$C$13))*LN((Calculations!$C$8*(Calculations!$O168-Calculations!$C$13))/(Calculations!$O168*(Calculations!$C$8-Calculations!$C$13))))+'Reaction Information'!$J$54*10^-1*(Calculations!$M168-Calculations!$C$9)+'Reaction Information'!$K$54*10^2*LN((Calculations!$C$12+Calculations!$M168)/(Calculations!$C$12+Calculations!$C$9))+(1/(Calculations!$O168-Calculations!$C$13))*('Reaction Information'!$L$54*(Calculations!$M168-Calculations!$C$9)+'Reaction Information'!$M$54*10^4*LN((Calculations!$C$12+Calculations!$M168)/(Calculations!$C$12+Calculations!$C$9)))+calculateOmega(Calculations!M168,Calculations!N168,Calculations!Q168,'Reaction Information'!$C$54,'Reaction Information'!$P$54*10^5,'Reaction Information'!$Q$54)*((1/Calculations!$S168)-1)-'Reaction Information'!$P$54*10^5*((1/Calculations!$C$10)-1)+'Reaction Information'!$P$54*10^5*Calculations!$C$14*(Calculations!$O168-Calculations!$C$8))</f>
        <v>#N/A</v>
      </c>
      <c r="AV168" s="8" t="e">
        <f>IF(ISBLANK(Input!$BT$4),NA(),'Reaction Information'!$E$58-'Reaction Information'!$G$58*(Calculations!$O168-Calculations!$C$8)-'Reaction Information'!$N$58*(Calculations!$O168*LN(Calculations!$O168/Calculations!$C$8)-Calculations!$O168+Calculations!$C$8)-'Reaction Information'!$O$58*10^4*(((1/(Calculations!$O168-Calculations!$C$13))-(1/(Calculations!$C$8-Calculations!$C$13)))*((Calculations!$C$13-Calculations!$O168)/(Calculations!$C$13))-(Calculations!$O168/(Calculations!$C$13*Calculations!$C$13))*LN((Calculations!$C$8*(Calculations!$O168-Calculations!$C$13))/(Calculations!$O168*(Calculations!$C$8-Calculations!$C$13))))+'Reaction Information'!$J$58*10^-1*(Calculations!$M168-Calculations!$C$9)+'Reaction Information'!$K$58*10^2*LN((Calculations!$C$12+Calculations!$M168)/(Calculations!$C$12+Calculations!$C$9))+(1/(Calculations!$O168-Calculations!$C$13))*('Reaction Information'!$L$58*(Calculations!$M168-Calculations!$C$9)+'Reaction Information'!$M$58*10^4*LN((Calculations!$C$12+Calculations!$M168)/(Calculations!$C$12+Calculations!$C$9)))+calculateOmega(Calculations!M168,Calculations!N168,Calculations!Q168,'Reaction Information'!$C$58,'Reaction Information'!$P$58*10^5,'Reaction Information'!$Q$58)*((1/Calculations!$S168)-1)-'Reaction Information'!$P$58*10^5*((1/Calculations!$C$10)-1)+'Reaction Information'!$P$58*10^5*Calculations!$C$14*(Calculations!$O168-Calculations!$C$8))</f>
        <v>#N/A</v>
      </c>
      <c r="AW168" s="8" t="e">
        <f>IF(ISBLANK(Input!$BW$4),NA(),'Reaction Information'!$E$62-'Reaction Information'!$G$62*(Calculations!$O168-Calculations!$C$8)-'Reaction Information'!$N$62*(Calculations!$O168*LN(Calculations!$O168/Calculations!$C$8)-Calculations!$O168+Calculations!$C$8)-'Reaction Information'!$O$62*10^4*(((1/(Calculations!$O168-Calculations!$C$13))-(1/(Calculations!$C$8-Calculations!$C$13)))*((Calculations!$C$13-Calculations!$O168)/(Calculations!$C$13))-(Calculations!$O168/(Calculations!$C$13*Calculations!$C$13))*LN((Calculations!$C$8*(Calculations!$O168-Calculations!$C$13))/(Calculations!$O168*(Calculations!$C$8-Calculations!$C$13))))+'Reaction Information'!$J$62*10^-1*(Calculations!$M168-Calculations!$C$9)+'Reaction Information'!$K$62*10^2*LN((Calculations!$C$12+Calculations!$M168)/(Calculations!$C$12+Calculations!$C$9))+(1/(Calculations!$O168-Calculations!$C$13))*('Reaction Information'!$L$62*(Calculations!$M168-Calculations!$C$9)+'Reaction Information'!$M$62*10^4*LN((Calculations!$C$12+Calculations!$M168)/(Calculations!$C$12+Calculations!$C$9)))+calculateOmega(Calculations!M168,Calculations!N168,Calculations!Q168,'Reaction Information'!$C$62,'Reaction Information'!$P$62*10^5,'Reaction Information'!$Q$62)*((1/Calculations!$S168)-1)-'Reaction Information'!$P$62*10^5*((1/Calculations!$C$10)-1)+'Reaction Information'!$P$62*10^5*Calculations!$C$14*(Calculations!$O168-Calculations!$C$8))</f>
        <v>#N/A</v>
      </c>
      <c r="AX168" s="8" t="e">
        <f>IF(ISBLANK(Input!$BZ$4),NA(),'Reaction Information'!$E$66-'Reaction Information'!$G$66*(Calculations!$O168-Calculations!$C$8)-'Reaction Information'!$N$66*(Calculations!$O168*LN(Calculations!$O168/Calculations!$C$8)-Calculations!$O168+Calculations!$C$8)-'Reaction Information'!$O$66*10^4*(((1/(Calculations!$O168-Calculations!$C$13))-(1/(Calculations!$C$8-Calculations!$C$13)))*((Calculations!$C$13-Calculations!$O168)/(Calculations!$C$13))-(Calculations!$O168/(Calculations!$C$13*Calculations!$C$13))*LN((Calculations!$C$8*(Calculations!$O168-Calculations!$C$13))/(Calculations!$O168*(Calculations!$C$8-Calculations!$C$13))))+'Reaction Information'!$J$66*10^-1*(Calculations!$M168-Calculations!$C$9)+'Reaction Information'!$K$66*10^2*LN((Calculations!$C$12+Calculations!$M168)/(Calculations!$C$12+Calculations!$C$9))+(1/(Calculations!$O168-Calculations!$C$13))*('Reaction Information'!$L$66*(Calculations!$M168-Calculations!$C$9)+'Reaction Information'!$M$66*10^4*LN((Calculations!$C$12+Calculations!$M168)/(Calculations!$C$12+Calculations!$C$9)))+calculateOmega(Calculations!M168,Calculations!N168,Calculations!Q168,'Reaction Information'!$C$66,'Reaction Information'!$P$66*10^5,'Reaction Information'!$Q$66)*((1/Calculations!$S168)-1)-'Reaction Information'!$P$66*10^5*((1/Calculations!$C$10)-1)+'Reaction Information'!$P$66*10^5*Calculations!$C$14*(Calculations!$O168-Calculations!$C$8))</f>
        <v>#N/A</v>
      </c>
      <c r="AY168" s="31">
        <f>(AL168*Input!$AO$4+AM168*Input!$AR$4+AN168*Input!$AU$4+AO168*Input!$AX$4+IF(ISNA(AP168),0,AP168*Input!$BA$4)+IF(ISNA(AQ168),0,AQ168*Input!$BD$4)+IF(ISNA(AR168),0,AR168*Input!$BG$4)+IF(ISNA(AS168),0,AS168*Input!$BJ$4)+IF(ISNA(AT168),0,AT168*Input!$BM$4)+IF(ISNA(AU168),0,AU168*Input!$BP$4)+IF(ISNA(AV168),0,AV168*Input!$BS$4)+IF(ISNA(AW168),0,AW168*Input!$BV$4)+IF(ISNA(AX168),0,AX168*Input!$BY$4))-(Y168*Input!$B$4+Z168*Input!$E$4+AA168*Input!$H$4+AB168*Input!$K$4+IF(ISNA(AC168),0,AC168*Input!$N$4)+IF(ISNA(AD168),0,AD168*Input!$Q$4)+IF(ISNA(AE168),0,AE168*Input!$T$4)+IF(ISNA(AF168),0,AF168*Input!$W$4)+IF(ISNA(AG168),0,AG168*Input!$Z$4)+IF(ISNA(AH168),0,AH168*Input!$AC$4)+IF(ISNA(AI168),0,AI168*Input!$AF$4)+IF(ISNA(AJ168),0,AJ168*Input!$AI$4)+IF(ISNA(AK168),0,AK168*Input!$AL$4))</f>
        <v>22588.102892157462</v>
      </c>
      <c r="AZ168" s="42">
        <f t="shared" si="54"/>
        <v>-4.210736703861782</v>
      </c>
      <c r="BA168" s="1">
        <f t="shared" si="46"/>
        <v>900</v>
      </c>
      <c r="BB168" s="46">
        <f t="shared" si="47"/>
        <v>55000</v>
      </c>
      <c r="BC168" s="1"/>
      <c r="BD168" s="2">
        <f t="shared" si="48"/>
        <v>55000</v>
      </c>
      <c r="BE168" s="46">
        <f t="shared" si="49"/>
        <v>900</v>
      </c>
      <c r="BF168" s="1">
        <f>Results!AJ170</f>
        <v>0</v>
      </c>
      <c r="BG168" s="1">
        <f>Results!AK170</f>
        <v>0</v>
      </c>
      <c r="BH168" s="1">
        <f>Results!AL170</f>
        <v>0</v>
      </c>
      <c r="BI168" s="1">
        <f>Results!AM170</f>
        <v>0</v>
      </c>
      <c r="BJ168" s="1" t="e">
        <f>IF(OR(ISNA('Reaction Information'!$D$5), $N168 = "", $D$27 = FALSE, 'Reaction Information'!$D$5 = ""), NA(), 24.465)</f>
        <v>#N/A</v>
      </c>
      <c r="BK168" s="1" t="e">
        <f>IF(OR(ISNA('Reaction Information'!$D$9), $N168 = "", $D$27 = FALSE, 'Reaction Information'!$D$9 = ""), NA(), 24.465)</f>
        <v>#N/A</v>
      </c>
      <c r="BL168" s="8">
        <f t="shared" si="55"/>
        <v>13.418782844600866</v>
      </c>
      <c r="BM168" s="8">
        <f>IF(OR(ISBLANK(Input!$X$4),$D$27=FALSE),NA(),('Reaction Information'!$J$13/10+'Reaction Information'!$K$13*100/(Calculations!$C$12+Calculations!$M168)+('Reaction Information'!$L$13+'Reaction Information'!$M$13*10^4/(Calculations!$C$12+Calculations!$M168))/(Calculations!$O168-Calculations!$C$13) -calculateOmega(Calculations!$M168,Calculations!$N168,Calculations!$Q168,'Reaction Information'!$C$13,'Reaction Information'!$P$13*10^5,'Reaction Information'!$Q$13)*Calculations!$U168*10^-6 + (1/$S168 - 1)*calculate_domegadP(Calculations!$M168,Calculations!$N168,Calculations!$Q168,'Reaction Information'!$C$13,'Reaction Information'!$P$13*10^5,'Reaction Information'!$Q$13,$D$20,$D$19=3))*41.84)</f>
        <v>29.952984276222473</v>
      </c>
      <c r="BN168" s="8" t="e">
        <f>IF(OR(ISBLANK(Input!$AA$4),$D$27=FALSE),NA(),('Reaction Information'!$J$17/10+'Reaction Information'!$K$17*100/(Calculations!$C$12+Calculations!$M168)+('Reaction Information'!$L$17+'Reaction Information'!$M$17*10000/(Calculations!$C$12+Calculations!$M168))/(Calculations!$O168-Calculations!$C$13)-calculateOmega(Calculations!M168,Calculations!N168,Calculations!Q168,'Reaction Information'!$C$17,'Reaction Information'!$P$17*10^5,'Reaction Information'!$Q$17)*Calculations!$U168*10^-6 + (1/$S168 - 1)*calculate_domegadP(Calculations!M168,Calculations!N168,Calculations!Q168,'Reaction Information'!$C$17,'Reaction Information'!$P$17*10^5,'Reaction Information'!$Q$17,$D$20,$D$19=3))*41.84)</f>
        <v>#N/A</v>
      </c>
      <c r="BO168" s="8" t="e">
        <f>IF(OR(ISBLANK(Input!$AD$4),$D$27=FALSE),NA(),('Reaction Information'!$J$21/10+'Reaction Information'!$K$21*100/(Calculations!$C$12+Calculations!$M168)+('Reaction Information'!$L$21+'Reaction Information'!$M$21*10000/(Calculations!$C$12+Calculations!$M168))/(Calculations!$O168-Calculations!$C$13)-calculateOmega(Calculations!M168,Calculations!N168,Calculations!Q168,'Reaction Information'!$C$21,'Reaction Information'!$P$21*10^5,'Reaction Information'!$Q$21)*Calculations!$U168*10^-6 + (1/$S168 - 1)*calculate_domegadP(Calculations!M168,Calculations!N168,Calculations!Q168,'Reaction Information'!$C$21,'Reaction Information'!$P$21*10^5,'Reaction Information'!$Q$21,$D$20,$D$19=3))*41.84)</f>
        <v>#N/A</v>
      </c>
      <c r="BP168" s="8" t="e">
        <f>IF(OR(ISBLANK(Input!$AG$4),$D$27=FALSE),NA(),('Reaction Information'!$J$25/10+'Reaction Information'!$K$25*100/(Calculations!$C$12+Calculations!$M168)+('Reaction Information'!$L$25+'Reaction Information'!$M$25*10000/(Calculations!$C$12+Calculations!$M168))/(Calculations!$O168-Calculations!$C$13)-calculateOmega(Calculations!M168,Calculations!N168,Calculations!Q168,'Reaction Information'!$C$25,'Reaction Information'!$P$25*10^5,'Reaction Information'!$Q$25)*Calculations!$U168*10^-6 + (1/$S168 - 1)*calculate_domegadP(Calculations!M168,Calculations!N168,Calculations!Q168,'Reaction Information'!$C$25,'Reaction Information'!$P$25*10^5,'Reaction Information'!$Q$25,$D$20,$D$19=3))*41.84)</f>
        <v>#N/A</v>
      </c>
      <c r="BQ168" s="8" t="e">
        <f>IF(OR(ISBLANK(Input!$AJ$4),$D$27=FALSE),NA(),('Reaction Information'!$J$29/10+'Reaction Information'!$K$29*100/(Calculations!$C$12+Calculations!$M168)+('Reaction Information'!$L$29+'Reaction Information'!$M$29*10000/(Calculations!$C$12+Calculations!$M168))/(Calculations!$O168-Calculations!$C$13)-calculateOmega(Calculations!M168,Calculations!N168,Calculations!Q168,'Reaction Information'!$C$29,'Reaction Information'!$P$29*10^5,'Reaction Information'!$Q$29)*Calculations!$U168*10^-6 + (1/$S168 - 1)*calculate_domegadP(Calculations!M168,Calculations!N168,Calculations!Q168,'Reaction Information'!$C$29,'Reaction Information'!$P$29*10^5,'Reaction Information'!$Q$29,$D$20,$D$19=3))*41.84)</f>
        <v>#N/A</v>
      </c>
      <c r="BR168" s="8" t="e">
        <f>IF(OR(ISBLANK(Input!$AM$4),$D$27=FALSE),NA(),('Reaction Information'!$J$33/10+'Reaction Information'!$K$33*100/(Calculations!$C$12+Calculations!$M168)+('Reaction Information'!$L$33+'Reaction Information'!$M$33*10000/(Calculations!$C$12+Calculations!$M168))/(Calculations!$O168-Calculations!$C$13)-calculateOmega(Calculations!M168,Calculations!N168,Calculations!Q168,'Reaction Information'!$C$33,'Reaction Information'!$P$33*10^5,'Reaction Information'!$Q$33)*Calculations!$U168*10^-6 + (1/$S168 - 1)*calculate_domegadP(Calculations!M168,Calculations!N168,Calculations!Q168,'Reaction Information'!$C$33,'Reaction Information'!$P$33*10^5,'Reaction Information'!$Q$33,$D$20,$D$19=3))*41.84)</f>
        <v>#N/A</v>
      </c>
      <c r="BS168" s="1">
        <f>Results!AW170</f>
        <v>0</v>
      </c>
      <c r="BT168" s="1">
        <f>Results!AX170</f>
        <v>0</v>
      </c>
      <c r="BU168" s="1">
        <f>Results!AY170</f>
        <v>0</v>
      </c>
      <c r="BV168" s="1">
        <f>Results!AZ170</f>
        <v>0</v>
      </c>
      <c r="BW168" s="1" t="e">
        <f>IF(OR(ISNA('Reaction Information'!$D$38), $N168 = "", $D$27 = FALSE, 'Reaction Information'!$D$38 = ""), NA(), 24.465)</f>
        <v>#N/A</v>
      </c>
      <c r="BX168" s="1" t="e">
        <f>IF(OR(ISNA('Reaction Information'!$D$42), $N168 = "", $D$27 = FALSE, 'Reaction Information'!$D$42 = ""), NA(), 24.465)</f>
        <v>#N/A</v>
      </c>
      <c r="BY168" s="8" t="e">
        <f t="shared" si="56"/>
        <v>#N/A</v>
      </c>
      <c r="BZ168" s="8">
        <f>IF(OR(ISBLANK(Input!$BK$4),$D$27=FALSE),NA(),('Reaction Information'!$J$46/10+'Reaction Information'!$K$46*100/(Calculations!$C$12+Calculations!$M168)+('Reaction Information'!$L$46+'Reaction Information'!$M$46*10000/(Calculations!$C$12+Calculations!$M168))/(Calculations!$O168-Calculations!$C$13)-calculateOmega(Calculations!M168,Calculations!N168,Calculations!Q168,'Reaction Information'!$C$46,'Reaction Information'!$P$46*10^5,'Reaction Information'!$Q$46)*Calculations!$U168*10^-6 + (1/$S168 - 1)*calculate_domegadP(Calculations!M168,Calculations!N168,Calculations!Q168,'Reaction Information'!$C$46,'Reaction Information'!$P$46*10^5,'Reaction Information'!$Q$46,$D$20,$D$19=3))*41.84)</f>
        <v>0</v>
      </c>
      <c r="CA168" s="8">
        <f>IF(OR(ISBLANK(Input!$BN$4),$D$27=FALSE),NA(),('Reaction Information'!$J$50/10+'Reaction Information'!$K$50*100/(Calculations!$C$12+Calculations!$M168)+('Reaction Information'!$L$50+'Reaction Information'!$M$50*10000/(Calculations!$C$12+Calculations!$M168))/(Calculations!$O168-Calculations!$C$13)-calculateOmega(Calculations!M168,Calculations!N168,Calculations!Q168,'Reaction Information'!$C$50,'Reaction Information'!$P$50*10^5,'Reaction Information'!$Q$50)*Calculations!$U168*10^-6 + (1/$S168 - 1)*calculate_domegadP(Calculations!M168,Calculations!N168,Calculations!Q168,'Reaction Information'!$C$50,'Reaction Information'!$P$50*10^5,'Reaction Information'!$Q$50,$D$20,$D$19=3))*41.84)</f>
        <v>31.212708258807133</v>
      </c>
      <c r="CB168" s="8" t="e">
        <f>IF(OR(ISBLANK(Input!$BQ$4),$D$27=FALSE),NA(),('Reaction Information'!$J$54/10+'Reaction Information'!$K$54*100/(Calculations!$C$12+Calculations!$M168)+('Reaction Information'!$L$54+'Reaction Information'!$M$54*10000/(Calculations!$C$12+Calculations!$M168))/(Calculations!$O168-Calculations!$C$13)-calculateOmega(Calculations!M168,Calculations!N168,Calculations!Q168,'Reaction Information'!$C$54,'Reaction Information'!$P$54*10^5,'Reaction Information'!$Q$54)*Calculations!$U168*10^-6 + (1/$S168 - 1)*calculate_domegadP(Calculations!M168,Calculations!N168,Calculations!Q168,'Reaction Information'!$C$54,'Reaction Information'!$P$54*10^5,'Reaction Information'!$Q$54,$D$20,$D$19=3))*41.84)</f>
        <v>#N/A</v>
      </c>
      <c r="CC168" s="8" t="e">
        <f>IF(OR(ISBLANK(Input!$BT$4),$D$27=FALSE),NA(),('Reaction Information'!$J$58/10+'Reaction Information'!$K$58*100/(Calculations!$C$12+Calculations!$M168)+('Reaction Information'!$L$58+'Reaction Information'!$M$58*10000/(Calculations!$C$12+Calculations!$M168))/(Calculations!$O168-Calculations!$C$13)-calculateOmega(Calculations!M168,Calculations!N168,Calculations!Q168,'Reaction Information'!$C$58,'Reaction Information'!$P$58*10^5,'Reaction Information'!$Q$58)*Calculations!$U168*10^-6 + (1/$S168 - 1)*calculate_domegadP(Calculations!M168,Calculations!N168,Calculations!Q168,'Reaction Information'!$C$58,'Reaction Information'!$P$58*10^5,'Reaction Information'!$Q$58,$D$20,$D$19=3))*41.84)</f>
        <v>#N/A</v>
      </c>
      <c r="CD168" s="8" t="e">
        <f>IF(OR(ISBLANK(Input!$BW$4),$D$27=FALSE),NA(),('Reaction Information'!$J$62/10+'Reaction Information'!$K$62*100/(Calculations!$C$12+Calculations!$M168)+('Reaction Information'!$L$62+'Reaction Information'!$M$62*10000/(Calculations!$C$12+Calculations!$M168))/(Calculations!$O168-Calculations!$C$13)-calculateOmega(Calculations!M168,Calculations!N168,Calculations!Q168,'Reaction Information'!$C$62,'Reaction Information'!$P$62*10^5,'Reaction Information'!$Q$62)*Calculations!$U168*10^-6 + (1/$S168 - 1)*calculate_domegadP(Calculations!M168,Calculations!N168,Calculations!Q168,'Reaction Information'!$C$62,'Reaction Information'!$P$62*10^5,'Reaction Information'!$Q$62,$D$20,$D$19=3))*41.84)</f>
        <v>#N/A</v>
      </c>
      <c r="CE168" s="8" t="e">
        <f>IF(OR(ISBLANK(Input!$BZ$4),$D$27=FALSE),NA(),('Reaction Information'!$J$66/10+'Reaction Information'!$K$66*100/(Calculations!$C$12+Calculations!$M168)+('Reaction Information'!$L$66+'Reaction Information'!$M$66*10000/(Calculations!$C$12+Calculations!$M168))/(Calculations!$O168-Calculations!$C$13)-calculateOmega(Calculations!M168,Calculations!N168,Calculations!Q168,'Reaction Information'!$C$66,'Reaction Information'!$P$66*10^5,'Reaction Information'!$Q$66)*Calculations!$U168*10^-6 + (1/$S168 - 1)*calculate_domegadP(Calculations!M168,Calculations!N168,Calculations!Q168,'Reaction Information'!$C$66,'Reaction Information'!$P$66*10^5,'Reaction Information'!$Q$66,$D$20,$D$19=3))*41.84)</f>
        <v>#N/A</v>
      </c>
      <c r="CF168" s="31">
        <f>(BS168*Input!$AO$4+BT168*Input!$AR$4+BU168*Input!$AU$4+BV168*Input!$AX$4+IF(ISNA(BW168),0,BW168*Input!$BA$4)+IF(ISNA(BX168),0,BX168*Input!$BD$4)+IF(ISNA(BY168),0,BY168*Input!$BG$4)+IF(ISNA(BZ168),0,BZ168*Input!$BJ$4)+IF(ISNA(CA168),0,CA168*Input!$BM$4)+IF(ISNA(CB168),0,CB168*Input!$BP$4)+IF(ISNA(CC168),0,CC168*Input!$BS$4)+IF(ISNA(CD168),0,CD168*Input!$BV$4)+IF(ISNA(CE168),0,CE168*Input!$BY$4))-(BF168*Input!$B$4+BG168*Input!$E$4+BH168*Input!$H$4+BI168*Input!$K$4+IF(ISNA(BJ168),0,BJ168*Input!$N$4)+IF(ISNA(BK168),0,BK168*Input!$Q$4)+IF(ISNA(BL168),0,BL168*Input!$T$4)+IF(ISNA(BM168),0,BM168*Input!$W$4)+IF(ISNA(BN168),0,BN168*Input!$Z$4)+IF(ISNA(BO168),0,BO168*Input!$AC$4)+IF(ISNA(BP168),0,BP168*Input!$AF$4)+IF(ISNA(BQ168),0,BQ168*Input!$AI$4)+IF(ISNA(BR168),0,BR168*Input!$AL$4))</f>
        <v>-12.159058862016202</v>
      </c>
      <c r="CG168" s="1">
        <f t="shared" si="50"/>
        <v>900</v>
      </c>
      <c r="CH168" s="46">
        <f t="shared" si="51"/>
        <v>55000</v>
      </c>
      <c r="CI168" s="1"/>
    </row>
    <row r="169" spans="1:87" x14ac:dyDescent="0.2">
      <c r="A169" s="1"/>
      <c r="B169" s="1"/>
      <c r="C169" s="1"/>
      <c r="D169" s="1"/>
      <c r="E169" s="1"/>
      <c r="F169" s="2">
        <v>164</v>
      </c>
      <c r="G169" s="1" t="str">
        <f>IF(ISBLANK(Input!CB169), "", Input!CB169*1000)</f>
        <v/>
      </c>
      <c r="H169" s="1" t="str">
        <f>IF(ISBLANK(Input!CC169), "", Input!CC169)</f>
        <v/>
      </c>
      <c r="I169" s="1">
        <f>IF(Input!$CF$5 + Input!$CF$6*(FLOOR((Calculations!$F169-1)/(FLOOR((Input!$CF$12-Input!$CF$10)/Input!$CF$11,1)+1),1)) &gt; Input!$CF$7, "", (Input!$CF$5 + Input!$CF$6*(FLOOR((Calculations!$F169-1)/(FLOOR((Input!$CF$12-Input!$CF$10)/Input!$CF$11,1)+1),1)))*1000)</f>
        <v>55000</v>
      </c>
      <c r="J169" s="1">
        <f>IF(Calculations!I169 = "", "", Input!$CF$10 + Input!$CF$11*(Calculations!$F169-1) - (FLOOR((Input!$CF$12-Input!$CF$10)/Input!$CF$11,1)+1)*Input!$CF$11*FLOOR((Calculations!$F169-1)/(FLOOR((Input!$CF$12-Input!$CF$10)/Input!$CF$11,1)+1),1))</f>
        <v>950</v>
      </c>
      <c r="K169" s="8" t="str">
        <f t="shared" si="52"/>
        <v/>
      </c>
      <c r="L169" s="117" t="str">
        <f>IF(OR(Input!$CJ$5 + Input!$CJ$6*(Calculations!F169-1) &gt; Input!$CJ$7, Input!$CJ$5 + Input!$CJ$6*(Calculations!F169-1) &gt; 350), "", Input!$CJ$5 + Input!$CJ$6*(Calculations!F169-1))</f>
        <v/>
      </c>
      <c r="M169" s="1">
        <f t="shared" si="42"/>
        <v>55000</v>
      </c>
      <c r="N169" s="1">
        <f t="shared" si="43"/>
        <v>950</v>
      </c>
      <c r="O169" s="1">
        <f t="shared" si="53"/>
        <v>1223.1500000000001</v>
      </c>
      <c r="P169" s="1" t="e">
        <f>IF(OR($D$20=3,AND($D$21=TRUE,M169&lt;1000)),INDEX('Water Density'!$C$6:$CX$120,MATCH(Calculations!N169,'Water Density'!$B$6:$B$120),MATCH(Calculations!M169/1000,'Water Density'!$C$5:$CX$5)),NA())</f>
        <v>#N/A</v>
      </c>
      <c r="Q169" s="182">
        <f>IF(OR($D$20=3,AND($D$21=TRUE,M169&lt;1000)), IF(P169&lt;&gt;0,P169,NA()), calculateDensity(M169,N169,$D$20,0.01,$D$19 = 3))</f>
        <v>1.3308945868998765</v>
      </c>
      <c r="R169" s="1" t="e">
        <f>IF($D$22=5,INDEX('Dielectric Constant'!$C$6:$CX$120,MATCH(Calculations!N169,'Dielectric Constant'!$B$6:$B$120),MATCH(Calculations!M169/1000,'Dielectric Constant'!$C$5:$CX$5)),NA())</f>
        <v>#N/A</v>
      </c>
      <c r="S169" s="58">
        <f>IF($D$22=5, IF(R169&lt;&gt;0,R169,NA()), IF(AND($D$23,M169&lt;=5000,$D$19 &lt;&gt; 3),calculateEpsilon(Q169,N169,1,FALSE),calculateEpsilon(Q169,N169,$D$22,$D$19 = 3)))</f>
        <v>18.945479528024428</v>
      </c>
      <c r="T169" s="1" t="e">
        <f>IF($D$24=3,INDEX('Water Free Energy'!$C$6:$CX$120,MATCH(Calculations!N169,'Water Free Energy'!$B$6:$B$120),MATCH(Calculations!M169/1000,'Water Free Energy'!$C$5:$CX$5)),NA())</f>
        <v>#N/A</v>
      </c>
      <c r="U169" s="179">
        <f>IF($D$27,calculateQ(M169,N169,Q169,$D$20,$D$22,$D$19=3)*10^6,NA())</f>
        <v>0.1710438279729673</v>
      </c>
      <c r="V169"/>
      <c r="W169" s="2">
        <f t="shared" si="44"/>
        <v>55000</v>
      </c>
      <c r="X169" s="1">
        <f t="shared" si="45"/>
        <v>950</v>
      </c>
      <c r="Y169" s="1">
        <f>Results!F171</f>
        <v>0</v>
      </c>
      <c r="Z169" s="1">
        <f>Results!G171</f>
        <v>0</v>
      </c>
      <c r="AA169" s="1">
        <f>Results!H171</f>
        <v>0</v>
      </c>
      <c r="AB169" s="1">
        <f>Results!I171</f>
        <v>0</v>
      </c>
      <c r="AC169" s="1" t="e">
        <f>IF(ISBLANK(Input!$O$4),NA(),'Reaction Information'!$E$5-'Reaction Information'!$G$5*(Calculations!$O169-Calculations!$C$8)+'Reaction Information'!$I$5*(Calculations!$O169-Calculations!$C$8-Calculations!$O169*LN(Calculations!$O169/Calculations!$C$8))+'Reaction Information'!$J$5*0.001/2*(2*Calculations!$O169*Calculations!$C$8-Calculations!$O169^2-Calculations!$C$8^2) + 'Reaction Information'!$K$5*100000*(Calculations!$O169^2 + Calculations!$C$8^2 - 2*Calculations!$O169*Calculations!$C$8)/(2*Calculations!$O169*Calculations!$C$8^2))</f>
        <v>#N/A</v>
      </c>
      <c r="AD169" s="8" t="e">
        <f>IF(ISBLANK(Input!$R$4),NA(),'Reaction Information'!$E$9-'Reaction Information'!$G$9*(Calculations!$O169-Calculations!$C$8)+'Reaction Information'!$I$9*(Calculations!$O169-Calculations!$C$8-Calculations!$O169*LN(Calculations!$O169/Calculations!$C$8))+'Reaction Information'!$J$9*0.001/2*(2*Calculations!$O169*Calculations!$C$8-Calculations!$O169^2-Calculations!$C$8^2) + 'Reaction Information'!$K$9*100000*(Calculations!$O169^2 + Calculations!$C$8^2 - 2*Calculations!$O169*Calculations!$C$8)/(2*Calculations!$O169*Calculations!$C$8^2))</f>
        <v>#N/A</v>
      </c>
      <c r="AE169" s="8">
        <f>IF(AE$5="H2O",IF($D$24=3,IF(T169=0,NA(),T169),calculateGibbsOfWater(M169,N169,$D$24,$D$20,$D$19=3)),NA())</f>
        <v>-61919.939065190876</v>
      </c>
      <c r="AF169" s="8">
        <f>IF(ISBLANK(Input!$X$4),NA(),'Reaction Information'!$E$13-'Reaction Information'!$G$13*(Calculations!O169-Calculations!$C$8)-'Reaction Information'!$N$13*(Calculations!O169*LN(Calculations!O169/Calculations!$C$8)-Calculations!O169+Calculations!$C$8)-'Reaction Information'!$O$13*10^4*(((1/(Calculations!O169-Calculations!$C$13))-(1/(Calculations!$C$8-Calculations!$C$13)))*((Calculations!$C$13-Calculations!O169)/(Calculations!$C$13))-(Calculations!O169/(Calculations!$C$13*Calculations!$C$13))*LN((Calculations!$C$8*(Calculations!O169-Calculations!$C$13))/(Calculations!O169*(Calculations!$C$8-Calculations!$C$13))))+'Reaction Information'!$J$13*10^-1*(Calculations!M169-Calculations!$C$9)+'Reaction Information'!$K$13*10^2*LN((Calculations!$C$12+Calculations!M169)/(Calculations!$C$12+Calculations!$C$9))+(1/(Calculations!O169-Calculations!$C$13))*('Reaction Information'!$L$13*(Calculations!M169-Calculations!$C$9)+'Reaction Information'!$M$13*10^4*LN((Calculations!$C$12+Calculations!M169)/(Calculations!$C$12+Calculations!$C$9)))+calculateOmega(Calculations!M169,Calculations!N169,Calculations!Q169,'Reaction Information'!$C$13,'Reaction Information'!$P$13*10^5,'Reaction Information'!$Q$13)*((1/Calculations!S169)-1)-'Reaction Information'!$P$13*10^5*((1/Calculations!$C$10)-1)+'Reaction Information'!$P$13*10^5*Calculations!$C$14*(Calculations!O169-Calculations!$C$8))</f>
        <v>-92226.777966197275</v>
      </c>
      <c r="AG169" s="8" t="e">
        <f>IF(ISBLANK(Input!$AA$4),NA(),'Reaction Information'!$E$17-'Reaction Information'!$G$17*(Calculations!$O169-Calculations!$C$8)-'Reaction Information'!$N$17*(Calculations!$O169*LN(Calculations!$O169/Calculations!$C$8)-Calculations!$O169+Calculations!$C$8)-'Reaction Information'!$O$17*10^4*(((1/(Calculations!$O169-Calculations!$C$13))-(1/(Calculations!$C$8-Calculations!$C$13)))*((Calculations!$C$13-Calculations!$O169)/(Calculations!$C$13))-(Calculations!$O169/(Calculations!$C$13*Calculations!$C$13))*LN((Calculations!$C$8*(Calculations!$O169-Calculations!$C$13))/(Calculations!$O169*(Calculations!$C$8-Calculations!$C$13))))+'Reaction Information'!$J$17*10^-1*(Calculations!$M169-Calculations!$C$9)+'Reaction Information'!$K$17*10^2*LN((Calculations!$C$12+Calculations!$M169)/(Calculations!$C$12+Calculations!$C$9))+(1/(Calculations!$O169-Calculations!$C$13))*('Reaction Information'!$L$17*(Calculations!$M169-Calculations!$C$9)+'Reaction Information'!$M$17*10^4*LN((Calculations!$C$12+Calculations!$M169)/(Calculations!$C$12+Calculations!$C$9)))+calculateOmega(Calculations!M169,Calculations!N169,Calculations!Q169,'Reaction Information'!$C$17,'Reaction Information'!$P$17*10^5,'Reaction Information'!$Q$17)*((1/Calculations!$S169)-1)-'Reaction Information'!$P$17*10^5*((1/Calculations!$C$10)-1)+'Reaction Information'!$P$17*10^5*Calculations!$C$14*(Calculations!$O169-Calculations!$C$8))</f>
        <v>#N/A</v>
      </c>
      <c r="AH169" s="8" t="e">
        <f>IF(ISBLANK(Input!$AD$4),NA(),'Reaction Information'!$E$21-'Reaction Information'!$G$21*(Calculations!$O169-Calculations!$C$8)-'Reaction Information'!$N$21*(Calculations!$O169*LN(Calculations!$O169/Calculations!$C$8)-Calculations!$O169+Calculations!$C$8)-'Reaction Information'!$O$21*10^4*(((1/(Calculations!$O169-Calculations!$C$13))-(1/(Calculations!$C$8-Calculations!$C$13)))*((Calculations!$C$13-Calculations!$O169)/(Calculations!$C$13))-(Calculations!$O169/(Calculations!$C$13*Calculations!$C$13))*LN((Calculations!$C$8*(Calculations!$O169-Calculations!$C$13))/(Calculations!$O169*(Calculations!$C$8-Calculations!$C$13))))+'Reaction Information'!$J$21*10^-1*(Calculations!$M169-Calculations!$C$9)+'Reaction Information'!$K$21*10^2*LN((Calculations!$C$12+Calculations!$M169)/(Calculations!$C$12+Calculations!$C$9))+(1/(Calculations!$O169-Calculations!$C$13))*('Reaction Information'!$L$21*(Calculations!$M169-Calculations!$C$9)+'Reaction Information'!$M$21*10^4*LN((Calculations!$C$12+Calculations!$M169)/(Calculations!$C$12+Calculations!$C$9)))+calculateOmega(Calculations!M169,Calculations!N169,Calculations!Q169,'Reaction Information'!$C$21,'Reaction Information'!$P$21*10^5,'Reaction Information'!$Q$21)*((1/Calculations!$S169)-1)-'Reaction Information'!$P$21*10^5*((1/Calculations!$C$10)-1)+'Reaction Information'!$P$21*10^5*Calculations!$C$14*(Calculations!$O169-Calculations!$C$8))</f>
        <v>#N/A</v>
      </c>
      <c r="AI169" s="8" t="e">
        <f>IF(ISBLANK(Input!$AG$4),NA(),'Reaction Information'!$E$25-'Reaction Information'!$G$25*(Calculations!$O169-Calculations!$C$8)-'Reaction Information'!$N$25*(Calculations!$O169*LN(Calculations!$O169/Calculations!$C$8)-Calculations!$O169+Calculations!$C$8)-'Reaction Information'!$O$25*10^4*(((1/(Calculations!$O169-Calculations!$C$13))-(1/(Calculations!$C$8-Calculations!$C$13)))*((Calculations!$C$13-Calculations!$O169)/(Calculations!$C$13))-(Calculations!$O169/(Calculations!$C$13*Calculations!$C$13))*LN((Calculations!$C$8*(Calculations!$O169-Calculations!$C$13))/(Calculations!$O169*(Calculations!$C$8-Calculations!$C$13))))+'Reaction Information'!$J$25*10^-1*(Calculations!$M169-Calculations!$C$9)+'Reaction Information'!$K$25*10^2*LN((Calculations!$C$12+Calculations!$M169)/(Calculations!$C$12+Calculations!$C$9))+(1/(Calculations!$O169-Calculations!$C$13))*('Reaction Information'!$L$25*(Calculations!$M169-Calculations!$C$9)+'Reaction Information'!$M$25*10^4*LN((Calculations!$C$12+Calculations!$M169)/(Calculations!$C$12+Calculations!$C$9)))+calculateOmega(Calculations!M169,Calculations!N169,Calculations!Q169,'Reaction Information'!$C$25,'Reaction Information'!$P$25*10^5,'Reaction Information'!$Q$25)*((1/Calculations!$S169)-1)-'Reaction Information'!$P$25*10^5*((1/Calculations!$C$10)-1)+'Reaction Information'!$P$25*10^5*Calculations!$C$14*(Calculations!$O169-Calculations!$C$8))</f>
        <v>#N/A</v>
      </c>
      <c r="AJ169" s="8" t="e">
        <f>IF(ISBLANK(Input!$AJ$4),NA(),'Reaction Information'!$E$29-'Reaction Information'!$G$29*(Calculations!$O169-Calculations!$C$8)-'Reaction Information'!$N$29*(Calculations!$O169*LN(Calculations!$O169/Calculations!$C$8)-Calculations!$O169+Calculations!$C$8)-'Reaction Information'!$O$29*10^4*(((1/(Calculations!$O169-Calculations!$C$13))-(1/(Calculations!$C$8-Calculations!$C$13)))*((Calculations!$C$13-Calculations!$O169)/(Calculations!$C$13))-(Calculations!$O169/(Calculations!$C$13*Calculations!$C$13))*LN((Calculations!$C$8*(Calculations!$O169-Calculations!$C$13))/(Calculations!$O169*(Calculations!$C$8-Calculations!$C$13))))+'Reaction Information'!$J$29*10^-1*(Calculations!$M169-Calculations!$C$9)+'Reaction Information'!$K$29*10^2*LN((Calculations!$C$12+Calculations!$M169)/(Calculations!$C$12+Calculations!$C$9))+(1/(Calculations!$O169-Calculations!$C$13))*('Reaction Information'!$L$29*(Calculations!$M169-Calculations!$C$9)+'Reaction Information'!$M$29*10^4*LN((Calculations!$C$12+Calculations!$M169)/(Calculations!$C$12+Calculations!$C$9)))+calculateOmega(Calculations!M169,Calculations!N169,Calculations!Q169,'Reaction Information'!$C$29,'Reaction Information'!$P$29*10^5,'Reaction Information'!$Q$29)*((1/Calculations!$S169)-1)-'Reaction Information'!$P$29*10^5*((1/Calculations!$C$10)-1)+'Reaction Information'!$P$29*10^5*Calculations!$C$14*(Calculations!$O169-Calculations!$C$8))</f>
        <v>#N/A</v>
      </c>
      <c r="AK169" s="8" t="e">
        <f>IF(ISBLANK(Input!$AM$4),NA(),'Reaction Information'!$E$33-'Reaction Information'!$G$33*(Calculations!$O169-Calculations!$C$8)-'Reaction Information'!$N$33*(Calculations!$O169*LN(Calculations!$O169/Calculations!$C$8)-Calculations!$O169+Calculations!$C$8)-'Reaction Information'!$O$33*10^4*(((1/(Calculations!$O169-Calculations!$C$13))-(1/(Calculations!$C$8-Calculations!$C$13)))*((Calculations!$C$13-Calculations!$O169)/(Calculations!$C$13))-(Calculations!$O169/(Calculations!$C$13*Calculations!$C$13))*LN((Calculations!$C$8*(Calculations!$O169-Calculations!$C$13))/(Calculations!$O169*(Calculations!$C$8-Calculations!$C$13))))+'Reaction Information'!$J$33*10^-1*(Calculations!$M169-Calculations!$C$9)+'Reaction Information'!$K$33*10^2*LN((Calculations!$C$12+Calculations!$M169)/(Calculations!$C$12+Calculations!$C$9))+(1/(Calculations!$O169-Calculations!$C$13))*('Reaction Information'!$L$33*(Calculations!$M169-Calculations!$C$9)+'Reaction Information'!$M$33*10^4*LN((Calculations!$C$12+Calculations!$M169)/(Calculations!$C$12+Calculations!$C$9)))+calculateOmega(Calculations!M169,Calculations!N169,Calculations!Q169,'Reaction Information'!$C$33,'Reaction Information'!$P$33*10^5,'Reaction Information'!$Q$33)*((1/Calculations!$S169)-1)-'Reaction Information'!$P$33*10^5*((1/Calculations!$C$10)-1)+'Reaction Information'!$P$33*10^5*Calculations!$C$14*(Calculations!$O169-Calculations!$C$8))</f>
        <v>#N/A</v>
      </c>
      <c r="AL169" s="1">
        <f>Results!S171</f>
        <v>0</v>
      </c>
      <c r="AM169" s="1">
        <f>Results!T171</f>
        <v>0</v>
      </c>
      <c r="AN169" s="1">
        <f>Results!U171</f>
        <v>0</v>
      </c>
      <c r="AO169" s="1">
        <f>Results!V171</f>
        <v>0</v>
      </c>
      <c r="AP169" s="8" t="e">
        <f>IF(ISBLANK(Input!$BB$4),NA(),'Reaction Information'!$E$38-'Reaction Information'!$G$38*(Calculations!$O169-Calculations!$C$8)+'Reaction Information'!$I$38*(Calculations!$O169-Calculations!$C$8-Calculations!$O169*LN(Calculations!$O169/Calculations!$C$8))+'Reaction Information'!$J$38*0.001/2*(2*Calculations!$O169*Calculations!$C$8-Calculations!$O169^2-Calculations!$C$8^2) + 'Reaction Information'!$K$38*100000*(Calculations!$O169^2 + Calculations!$C$8^2 - 2*Calculations!$O169*Calculations!$C$8)/(2*Calculations!$O169*Calculations!$C$8^2))</f>
        <v>#N/A</v>
      </c>
      <c r="AQ169" s="8" t="e">
        <f>IF(ISBLANK(Input!$BE$4),NA(),'Reaction Information'!$E$42-'Reaction Information'!$G$42*(Calculations!$O169-Calculations!$C$8)+'Reaction Information'!$I$42*(Calculations!$O169-Calculations!$C$8-Calculations!$O169*LN(Calculations!$O169/Calculations!$C$8))+'Reaction Information'!$J$42*0.001/2*(2*Calculations!$O169*Calculations!$C$8-Calculations!$O169^2-Calculations!$C$8^2) + 'Reaction Information'!$K$42*100000*(Calculations!$O169^2 + Calculations!$C$8^2 - 2*Calculations!$O169*Calculations!$C$8)/(2*Calculations!$O169*Calculations!$C$8^2))</f>
        <v>#N/A</v>
      </c>
      <c r="AR169" s="8" t="e">
        <f>IF(AR$5="H2O", IF($D$24=3,IF(T169=0,NA(),T169),calculateGibbsOfWater(M169,N169,$D$24,$D$20,$D$19=3)),NA())</f>
        <v>#N/A</v>
      </c>
      <c r="AS169" s="8">
        <f>IF(ISBLANK(Input!$BK$4),NA(),'Reaction Information'!$E$46-'Reaction Information'!$G$46*(Calculations!O169-Calculations!$C$8)-'Reaction Information'!$N$46*(Calculations!O169*LN(Calculations!O169/Calculations!$C$8)-Calculations!O169+Calculations!$C$8)-'Reaction Information'!$O$46*10^4*(((1/(Calculations!O169-Calculations!$C$13))-(1/(Calculations!$C$8-Calculations!$C$13)))*((Calculations!$C$13-Calculations!O169)/(Calculations!$C$13))-(Calculations!O169/(Calculations!$C$13*Calculations!$C$13))*LN((Calculations!$C$8*(Calculations!O169-Calculations!$C$13))/(Calculations!O169*(Calculations!$C$8-Calculations!$C$13))))+'Reaction Information'!$J$46*10^-1*(Calculations!$M169-Calculations!$C$9)+'Reaction Information'!$K$46*10^2*LN((Calculations!$C$12+Calculations!$M169)/(Calculations!$C$12+Calculations!$C$9))+(1/(Calculations!O169-Calculations!$C$13))*('Reaction Information'!$L$46*(Calculations!$M169-Calculations!$C$9)+'Reaction Information'!$M$46*10^4*LN((Calculations!$C$12+Calculations!$M169)/(Calculations!$C$12+Calculations!$C$9)))+calculateOmega(Calculations!M169,Calculations!N169,Calculations!Q169,'Reaction Information'!$C$46,'Reaction Information'!$P$46*10^5,'Reaction Information'!$Q$46)*((1/Calculations!S169)-1)-'Reaction Information'!$P$46*10^5*((1/Calculations!$C$10)-1)+'Reaction Information'!$P$46*10^5*Calculations!$C$14*(Calculations!O169-Calculations!$C$8))</f>
        <v>0</v>
      </c>
      <c r="AT169" s="8">
        <f>IF(ISBLANK(Input!$BN$4),NA(),'Reaction Information'!$E$50-'Reaction Information'!$G$50*(Calculations!O169-Calculations!$C$8)-'Reaction Information'!$N$50*(Calculations!O169*LN(Calculations!O169/Calculations!$C$8)-Calculations!O169+Calculations!$C$8)-'Reaction Information'!$O$50*10^4*(((1/(Calculations!O169-Calculations!$C$13))-(1/(Calculations!$C$8-Calculations!$C$13)))*((Calculations!$C$13-Calculations!O169)/(Calculations!$C$13))-(Calculations!O169/(Calculations!$C$13*Calculations!$C$13))*LN((Calculations!$C$8*(Calculations!O169-Calculations!$C$13))/(Calculations!O169*(Calculations!$C$8-Calculations!$C$13))))+'Reaction Information'!$J$50*10^-1*(Calculations!$M169-Calculations!$C$9)+'Reaction Information'!$K$50*10^2*LN((Calculations!$C$12+Calculations!$M169)/(Calculations!$C$12+Calculations!$C$9))+(1/(Calculations!O169-Calculations!$C$13))*('Reaction Information'!$L$50*(Calculations!$M169-Calculations!$C$9)+'Reaction Information'!$M$50*10^4*LN((Calculations!$C$12+Calculations!$M169)/(Calculations!$C$12+Calculations!$C$9)))+calculateOmega(Calculations!M169,Calculations!N169,Calculations!Q169,'Reaction Information'!$C$50,'Reaction Information'!$P$50*10^5,'Reaction Information'!$Q$50)*((1/Calculations!S169)-1)-'Reaction Information'!$P$50*10^5*((1/Calculations!$C$10)-1)+'Reaction Information'!$P$50*10^5*Calculations!$C$14*(Calculations!O169-Calculations!$C$8))</f>
        <v>-129203.16385967401</v>
      </c>
      <c r="AU169" s="8" t="e">
        <f>IF(ISBLANK(Input!$BQ$4),NA(),'Reaction Information'!$E$54-'Reaction Information'!$G$54*(Calculations!$O169-Calculations!$C$8)-'Reaction Information'!$N$54*(Calculations!$O169*LN(Calculations!$O169/Calculations!$C$8)-Calculations!$O169+Calculations!$C$8)-'Reaction Information'!$O$54*10^4*(((1/(Calculations!$O169-Calculations!$C$13))-(1/(Calculations!$C$8-Calculations!$C$13)))*((Calculations!$C$13-Calculations!$O169)/(Calculations!$C$13))-(Calculations!$O169/(Calculations!$C$13*Calculations!$C$13))*LN((Calculations!$C$8*(Calculations!$O169-Calculations!$C$13))/(Calculations!$O169*(Calculations!$C$8-Calculations!$C$13))))+'Reaction Information'!$J$54*10^-1*(Calculations!$M169-Calculations!$C$9)+'Reaction Information'!$K$54*10^2*LN((Calculations!$C$12+Calculations!$M169)/(Calculations!$C$12+Calculations!$C$9))+(1/(Calculations!$O169-Calculations!$C$13))*('Reaction Information'!$L$54*(Calculations!$M169-Calculations!$C$9)+'Reaction Information'!$M$54*10^4*LN((Calculations!$C$12+Calculations!$M169)/(Calculations!$C$12+Calculations!$C$9)))+calculateOmega(Calculations!M169,Calculations!N169,Calculations!Q169,'Reaction Information'!$C$54,'Reaction Information'!$P$54*10^5,'Reaction Information'!$Q$54)*((1/Calculations!$S169)-1)-'Reaction Information'!$P$54*10^5*((1/Calculations!$C$10)-1)+'Reaction Information'!$P$54*10^5*Calculations!$C$14*(Calculations!$O169-Calculations!$C$8))</f>
        <v>#N/A</v>
      </c>
      <c r="AV169" s="8" t="e">
        <f>IF(ISBLANK(Input!$BT$4),NA(),'Reaction Information'!$E$58-'Reaction Information'!$G$58*(Calculations!$O169-Calculations!$C$8)-'Reaction Information'!$N$58*(Calculations!$O169*LN(Calculations!$O169/Calculations!$C$8)-Calculations!$O169+Calculations!$C$8)-'Reaction Information'!$O$58*10^4*(((1/(Calculations!$O169-Calculations!$C$13))-(1/(Calculations!$C$8-Calculations!$C$13)))*((Calculations!$C$13-Calculations!$O169)/(Calculations!$C$13))-(Calculations!$O169/(Calculations!$C$13*Calculations!$C$13))*LN((Calculations!$C$8*(Calculations!$O169-Calculations!$C$13))/(Calculations!$O169*(Calculations!$C$8-Calculations!$C$13))))+'Reaction Information'!$J$58*10^-1*(Calculations!$M169-Calculations!$C$9)+'Reaction Information'!$K$58*10^2*LN((Calculations!$C$12+Calculations!$M169)/(Calculations!$C$12+Calculations!$C$9))+(1/(Calculations!$O169-Calculations!$C$13))*('Reaction Information'!$L$58*(Calculations!$M169-Calculations!$C$9)+'Reaction Information'!$M$58*10^4*LN((Calculations!$C$12+Calculations!$M169)/(Calculations!$C$12+Calculations!$C$9)))+calculateOmega(Calculations!M169,Calculations!N169,Calculations!Q169,'Reaction Information'!$C$58,'Reaction Information'!$P$58*10^5,'Reaction Information'!$Q$58)*((1/Calculations!$S169)-1)-'Reaction Information'!$P$58*10^5*((1/Calculations!$C$10)-1)+'Reaction Information'!$P$58*10^5*Calculations!$C$14*(Calculations!$O169-Calculations!$C$8))</f>
        <v>#N/A</v>
      </c>
      <c r="AW169" s="8" t="e">
        <f>IF(ISBLANK(Input!$BW$4),NA(),'Reaction Information'!$E$62-'Reaction Information'!$G$62*(Calculations!$O169-Calculations!$C$8)-'Reaction Information'!$N$62*(Calculations!$O169*LN(Calculations!$O169/Calculations!$C$8)-Calculations!$O169+Calculations!$C$8)-'Reaction Information'!$O$62*10^4*(((1/(Calculations!$O169-Calculations!$C$13))-(1/(Calculations!$C$8-Calculations!$C$13)))*((Calculations!$C$13-Calculations!$O169)/(Calculations!$C$13))-(Calculations!$O169/(Calculations!$C$13*Calculations!$C$13))*LN((Calculations!$C$8*(Calculations!$O169-Calculations!$C$13))/(Calculations!$O169*(Calculations!$C$8-Calculations!$C$13))))+'Reaction Information'!$J$62*10^-1*(Calculations!$M169-Calculations!$C$9)+'Reaction Information'!$K$62*10^2*LN((Calculations!$C$12+Calculations!$M169)/(Calculations!$C$12+Calculations!$C$9))+(1/(Calculations!$O169-Calculations!$C$13))*('Reaction Information'!$L$62*(Calculations!$M169-Calculations!$C$9)+'Reaction Information'!$M$62*10^4*LN((Calculations!$C$12+Calculations!$M169)/(Calculations!$C$12+Calculations!$C$9)))+calculateOmega(Calculations!M169,Calculations!N169,Calculations!Q169,'Reaction Information'!$C$62,'Reaction Information'!$P$62*10^5,'Reaction Information'!$Q$62)*((1/Calculations!$S169)-1)-'Reaction Information'!$P$62*10^5*((1/Calculations!$C$10)-1)+'Reaction Information'!$P$62*10^5*Calculations!$C$14*(Calculations!$O169-Calculations!$C$8))</f>
        <v>#N/A</v>
      </c>
      <c r="AX169" s="8" t="e">
        <f>IF(ISBLANK(Input!$BZ$4),NA(),'Reaction Information'!$E$66-'Reaction Information'!$G$66*(Calculations!$O169-Calculations!$C$8)-'Reaction Information'!$N$66*(Calculations!$O169*LN(Calculations!$O169/Calculations!$C$8)-Calculations!$O169+Calculations!$C$8)-'Reaction Information'!$O$66*10^4*(((1/(Calculations!$O169-Calculations!$C$13))-(1/(Calculations!$C$8-Calculations!$C$13)))*((Calculations!$C$13-Calculations!$O169)/(Calculations!$C$13))-(Calculations!$O169/(Calculations!$C$13*Calculations!$C$13))*LN((Calculations!$C$8*(Calculations!$O169-Calculations!$C$13))/(Calculations!$O169*(Calculations!$C$8-Calculations!$C$13))))+'Reaction Information'!$J$66*10^-1*(Calculations!$M169-Calculations!$C$9)+'Reaction Information'!$K$66*10^2*LN((Calculations!$C$12+Calculations!$M169)/(Calculations!$C$12+Calculations!$C$9))+(1/(Calculations!$O169-Calculations!$C$13))*('Reaction Information'!$L$66*(Calculations!$M169-Calculations!$C$9)+'Reaction Information'!$M$66*10^4*LN((Calculations!$C$12+Calculations!$M169)/(Calculations!$C$12+Calculations!$C$9)))+calculateOmega(Calculations!M169,Calculations!N169,Calculations!Q169,'Reaction Information'!$C$66,'Reaction Information'!$P$66*10^5,'Reaction Information'!$Q$66)*((1/Calculations!$S169)-1)-'Reaction Information'!$P$66*10^5*((1/Calculations!$C$10)-1)+'Reaction Information'!$P$66*10^5*Calculations!$C$14*(Calculations!$O169-Calculations!$C$8))</f>
        <v>#N/A</v>
      </c>
      <c r="AY169" s="31">
        <f>(AL169*Input!$AO$4+AM169*Input!$AR$4+AN169*Input!$AU$4+AO169*Input!$AX$4+IF(ISNA(AP169),0,AP169*Input!$BA$4)+IF(ISNA(AQ169),0,AQ169*Input!$BD$4)+IF(ISNA(AR169),0,AR169*Input!$BG$4)+IF(ISNA(AS169),0,AS169*Input!$BJ$4)+IF(ISNA(AT169),0,AT169*Input!$BM$4)+IF(ISNA(AU169),0,AU169*Input!$BP$4)+IF(ISNA(AV169),0,AV169*Input!$BS$4)+IF(ISNA(AW169),0,AW169*Input!$BV$4)+IF(ISNA(AX169),0,AX169*Input!$BY$4))-(Y169*Input!$B$4+Z169*Input!$E$4+AA169*Input!$H$4+AB169*Input!$K$4+IF(ISNA(AC169),0,AC169*Input!$N$4)+IF(ISNA(AD169),0,AD169*Input!$Q$4)+IF(ISNA(AE169),0,AE169*Input!$T$4)+IF(ISNA(AF169),0,AF169*Input!$W$4)+IF(ISNA(AG169),0,AG169*Input!$Z$4)+IF(ISNA(AH169),0,AH169*Input!$AC$4)+IF(ISNA(AI169),0,AI169*Input!$AF$4)+IF(ISNA(AJ169),0,AJ169*Input!$AI$4)+IF(ISNA(AK169),0,AK169*Input!$AL$4))</f>
        <v>24943.553171714128</v>
      </c>
      <c r="AZ169" s="42">
        <f t="shared" si="54"/>
        <v>-4.459749567546182</v>
      </c>
      <c r="BA169" s="1">
        <f t="shared" si="46"/>
        <v>950</v>
      </c>
      <c r="BB169" s="46">
        <f t="shared" si="47"/>
        <v>55000</v>
      </c>
      <c r="BC169" s="1"/>
      <c r="BD169" s="2">
        <f t="shared" si="48"/>
        <v>55000</v>
      </c>
      <c r="BE169" s="46">
        <f t="shared" si="49"/>
        <v>950</v>
      </c>
      <c r="BF169" s="1">
        <f>Results!AJ171</f>
        <v>0</v>
      </c>
      <c r="BG169" s="1">
        <f>Results!AK171</f>
        <v>0</v>
      </c>
      <c r="BH169" s="1">
        <f>Results!AL171</f>
        <v>0</v>
      </c>
      <c r="BI169" s="1">
        <f>Results!AM171</f>
        <v>0</v>
      </c>
      <c r="BJ169" s="1" t="e">
        <f>IF(OR(ISNA('Reaction Information'!$D$5), $N169 = "", $D$27 = FALSE, 'Reaction Information'!$D$5 = ""), NA(), 24.465)</f>
        <v>#N/A</v>
      </c>
      <c r="BK169" s="1" t="e">
        <f>IF(OR(ISNA('Reaction Information'!$D$9), $N169 = "", $D$27 = FALSE, 'Reaction Information'!$D$9 = ""), NA(), 24.465)</f>
        <v>#N/A</v>
      </c>
      <c r="BL169" s="8">
        <f t="shared" si="55"/>
        <v>13.536218553539953</v>
      </c>
      <c r="BM169" s="8">
        <f>IF(OR(ISBLANK(Input!$X$4),$D$27=FALSE),NA(),('Reaction Information'!$J$13/10+'Reaction Information'!$K$13*100/(Calculations!$C$12+Calculations!$M169)+('Reaction Information'!$L$13+'Reaction Information'!$M$13*10^4/(Calculations!$C$12+Calculations!$M169))/(Calculations!$O169-Calculations!$C$13) -calculateOmega(Calculations!$M169,Calculations!$N169,Calculations!$Q169,'Reaction Information'!$C$13,'Reaction Information'!$P$13*10^5,'Reaction Information'!$Q$13)*Calculations!$U169*10^-6 + (1/$S169 - 1)*calculate_domegadP(Calculations!$M169,Calculations!$N169,Calculations!$Q169,'Reaction Information'!$C$13,'Reaction Information'!$P$13*10^5,'Reaction Information'!$Q$13,$D$20,$D$19=3))*41.84)</f>
        <v>29.975747969620862</v>
      </c>
      <c r="BN169" s="8" t="e">
        <f>IF(OR(ISBLANK(Input!$AA$4),$D$27=FALSE),NA(),('Reaction Information'!$J$17/10+'Reaction Information'!$K$17*100/(Calculations!$C$12+Calculations!$M169)+('Reaction Information'!$L$17+'Reaction Information'!$M$17*10000/(Calculations!$C$12+Calculations!$M169))/(Calculations!$O169-Calculations!$C$13)-calculateOmega(Calculations!M169,Calculations!N169,Calculations!Q169,'Reaction Information'!$C$17,'Reaction Information'!$P$17*10^5,'Reaction Information'!$Q$17)*Calculations!$U169*10^-6 + (1/$S169 - 1)*calculate_domegadP(Calculations!M169,Calculations!N169,Calculations!Q169,'Reaction Information'!$C$17,'Reaction Information'!$P$17*10^5,'Reaction Information'!$Q$17,$D$20,$D$19=3))*41.84)</f>
        <v>#N/A</v>
      </c>
      <c r="BO169" s="8" t="e">
        <f>IF(OR(ISBLANK(Input!$AD$4),$D$27=FALSE),NA(),('Reaction Information'!$J$21/10+'Reaction Information'!$K$21*100/(Calculations!$C$12+Calculations!$M169)+('Reaction Information'!$L$21+'Reaction Information'!$M$21*10000/(Calculations!$C$12+Calculations!$M169))/(Calculations!$O169-Calculations!$C$13)-calculateOmega(Calculations!M169,Calculations!N169,Calculations!Q169,'Reaction Information'!$C$21,'Reaction Information'!$P$21*10^5,'Reaction Information'!$Q$21)*Calculations!$U169*10^-6 + (1/$S169 - 1)*calculate_domegadP(Calculations!M169,Calculations!N169,Calculations!Q169,'Reaction Information'!$C$21,'Reaction Information'!$P$21*10^5,'Reaction Information'!$Q$21,$D$20,$D$19=3))*41.84)</f>
        <v>#N/A</v>
      </c>
      <c r="BP169" s="8" t="e">
        <f>IF(OR(ISBLANK(Input!$AG$4),$D$27=FALSE),NA(),('Reaction Information'!$J$25/10+'Reaction Information'!$K$25*100/(Calculations!$C$12+Calculations!$M169)+('Reaction Information'!$L$25+'Reaction Information'!$M$25*10000/(Calculations!$C$12+Calculations!$M169))/(Calculations!$O169-Calculations!$C$13)-calculateOmega(Calculations!M169,Calculations!N169,Calculations!Q169,'Reaction Information'!$C$25,'Reaction Information'!$P$25*10^5,'Reaction Information'!$Q$25)*Calculations!$U169*10^-6 + (1/$S169 - 1)*calculate_domegadP(Calculations!M169,Calculations!N169,Calculations!Q169,'Reaction Information'!$C$25,'Reaction Information'!$P$25*10^5,'Reaction Information'!$Q$25,$D$20,$D$19=3))*41.84)</f>
        <v>#N/A</v>
      </c>
      <c r="BQ169" s="8" t="e">
        <f>IF(OR(ISBLANK(Input!$AJ$4),$D$27=FALSE),NA(),('Reaction Information'!$J$29/10+'Reaction Information'!$K$29*100/(Calculations!$C$12+Calculations!$M169)+('Reaction Information'!$L$29+'Reaction Information'!$M$29*10000/(Calculations!$C$12+Calculations!$M169))/(Calculations!$O169-Calculations!$C$13)-calculateOmega(Calculations!M169,Calculations!N169,Calculations!Q169,'Reaction Information'!$C$29,'Reaction Information'!$P$29*10^5,'Reaction Information'!$Q$29)*Calculations!$U169*10^-6 + (1/$S169 - 1)*calculate_domegadP(Calculations!M169,Calculations!N169,Calculations!Q169,'Reaction Information'!$C$29,'Reaction Information'!$P$29*10^5,'Reaction Information'!$Q$29,$D$20,$D$19=3))*41.84)</f>
        <v>#N/A</v>
      </c>
      <c r="BR169" s="8" t="e">
        <f>IF(OR(ISBLANK(Input!$AM$4),$D$27=FALSE),NA(),('Reaction Information'!$J$33/10+'Reaction Information'!$K$33*100/(Calculations!$C$12+Calculations!$M169)+('Reaction Information'!$L$33+'Reaction Information'!$M$33*10000/(Calculations!$C$12+Calculations!$M169))/(Calculations!$O169-Calculations!$C$13)-calculateOmega(Calculations!M169,Calculations!N169,Calculations!Q169,'Reaction Information'!$C$33,'Reaction Information'!$P$33*10^5,'Reaction Information'!$Q$33)*Calculations!$U169*10^-6 + (1/$S169 - 1)*calculate_domegadP(Calculations!M169,Calculations!N169,Calculations!Q169,'Reaction Information'!$C$33,'Reaction Information'!$P$33*10^5,'Reaction Information'!$Q$33,$D$20,$D$19=3))*41.84)</f>
        <v>#N/A</v>
      </c>
      <c r="BS169" s="1">
        <f>Results!AW171</f>
        <v>0</v>
      </c>
      <c r="BT169" s="1">
        <f>Results!AX171</f>
        <v>0</v>
      </c>
      <c r="BU169" s="1">
        <f>Results!AY171</f>
        <v>0</v>
      </c>
      <c r="BV169" s="1">
        <f>Results!AZ171</f>
        <v>0</v>
      </c>
      <c r="BW169" s="1" t="e">
        <f>IF(OR(ISNA('Reaction Information'!$D$38), $N169 = "", $D$27 = FALSE, 'Reaction Information'!$D$38 = ""), NA(), 24.465)</f>
        <v>#N/A</v>
      </c>
      <c r="BX169" s="1" t="e">
        <f>IF(OR(ISNA('Reaction Information'!$D$42), $N169 = "", $D$27 = FALSE, 'Reaction Information'!$D$42 = ""), NA(), 24.465)</f>
        <v>#N/A</v>
      </c>
      <c r="BY169" s="8" t="e">
        <f t="shared" si="56"/>
        <v>#N/A</v>
      </c>
      <c r="BZ169" s="8">
        <f>IF(OR(ISBLANK(Input!$BK$4),$D$27=FALSE),NA(),('Reaction Information'!$J$46/10+'Reaction Information'!$K$46*100/(Calculations!$C$12+Calculations!$M169)+('Reaction Information'!$L$46+'Reaction Information'!$M$46*10000/(Calculations!$C$12+Calculations!$M169))/(Calculations!$O169-Calculations!$C$13)-calculateOmega(Calculations!M169,Calculations!N169,Calculations!Q169,'Reaction Information'!$C$46,'Reaction Information'!$P$46*10^5,'Reaction Information'!$Q$46)*Calculations!$U169*10^-6 + (1/$S169 - 1)*calculate_domegadP(Calculations!M169,Calculations!N169,Calculations!Q169,'Reaction Information'!$C$46,'Reaction Information'!$P$46*10^5,'Reaction Information'!$Q$46,$D$20,$D$19=3))*41.84)</f>
        <v>0</v>
      </c>
      <c r="CA169" s="8">
        <f>IF(OR(ISBLANK(Input!$BN$4),$D$27=FALSE),NA(),('Reaction Information'!$J$50/10+'Reaction Information'!$K$50*100/(Calculations!$C$12+Calculations!$M169)+('Reaction Information'!$L$50+'Reaction Information'!$M$50*10000/(Calculations!$C$12+Calculations!$M169))/(Calculations!$O169-Calculations!$C$13)-calculateOmega(Calculations!M169,Calculations!N169,Calculations!Q169,'Reaction Information'!$C$50,'Reaction Information'!$P$50*10^5,'Reaction Information'!$Q$50)*Calculations!$U169*10^-6 + (1/$S169 - 1)*calculate_domegadP(Calculations!M169,Calculations!N169,Calculations!Q169,'Reaction Information'!$C$50,'Reaction Information'!$P$50*10^5,'Reaction Information'!$Q$50,$D$20,$D$19=3))*41.84)</f>
        <v>31.167836322337443</v>
      </c>
      <c r="CB169" s="8" t="e">
        <f>IF(OR(ISBLANK(Input!$BQ$4),$D$27=FALSE),NA(),('Reaction Information'!$J$54/10+'Reaction Information'!$K$54*100/(Calculations!$C$12+Calculations!$M169)+('Reaction Information'!$L$54+'Reaction Information'!$M$54*10000/(Calculations!$C$12+Calculations!$M169))/(Calculations!$O169-Calculations!$C$13)-calculateOmega(Calculations!M169,Calculations!N169,Calculations!Q169,'Reaction Information'!$C$54,'Reaction Information'!$P$54*10^5,'Reaction Information'!$Q$54)*Calculations!$U169*10^-6 + (1/$S169 - 1)*calculate_domegadP(Calculations!M169,Calculations!N169,Calculations!Q169,'Reaction Information'!$C$54,'Reaction Information'!$P$54*10^5,'Reaction Information'!$Q$54,$D$20,$D$19=3))*41.84)</f>
        <v>#N/A</v>
      </c>
      <c r="CC169" s="8" t="e">
        <f>IF(OR(ISBLANK(Input!$BT$4),$D$27=FALSE),NA(),('Reaction Information'!$J$58/10+'Reaction Information'!$K$58*100/(Calculations!$C$12+Calculations!$M169)+('Reaction Information'!$L$58+'Reaction Information'!$M$58*10000/(Calculations!$C$12+Calculations!$M169))/(Calculations!$O169-Calculations!$C$13)-calculateOmega(Calculations!M169,Calculations!N169,Calculations!Q169,'Reaction Information'!$C$58,'Reaction Information'!$P$58*10^5,'Reaction Information'!$Q$58)*Calculations!$U169*10^-6 + (1/$S169 - 1)*calculate_domegadP(Calculations!M169,Calculations!N169,Calculations!Q169,'Reaction Information'!$C$58,'Reaction Information'!$P$58*10^5,'Reaction Information'!$Q$58,$D$20,$D$19=3))*41.84)</f>
        <v>#N/A</v>
      </c>
      <c r="CD169" s="8" t="e">
        <f>IF(OR(ISBLANK(Input!$BW$4),$D$27=FALSE),NA(),('Reaction Information'!$J$62/10+'Reaction Information'!$K$62*100/(Calculations!$C$12+Calculations!$M169)+('Reaction Information'!$L$62+'Reaction Information'!$M$62*10000/(Calculations!$C$12+Calculations!$M169))/(Calculations!$O169-Calculations!$C$13)-calculateOmega(Calculations!M169,Calculations!N169,Calculations!Q169,'Reaction Information'!$C$62,'Reaction Information'!$P$62*10^5,'Reaction Information'!$Q$62)*Calculations!$U169*10^-6 + (1/$S169 - 1)*calculate_domegadP(Calculations!M169,Calculations!N169,Calculations!Q169,'Reaction Information'!$C$62,'Reaction Information'!$P$62*10^5,'Reaction Information'!$Q$62,$D$20,$D$19=3))*41.84)</f>
        <v>#N/A</v>
      </c>
      <c r="CE169" s="8" t="e">
        <f>IF(OR(ISBLANK(Input!$BZ$4),$D$27=FALSE),NA(),('Reaction Information'!$J$66/10+'Reaction Information'!$K$66*100/(Calculations!$C$12+Calculations!$M169)+('Reaction Information'!$L$66+'Reaction Information'!$M$66*10000/(Calculations!$C$12+Calculations!$M169))/(Calculations!$O169-Calculations!$C$13)-calculateOmega(Calculations!M169,Calculations!N169,Calculations!Q169,'Reaction Information'!$C$66,'Reaction Information'!$P$66*10^5,'Reaction Information'!$Q$66)*Calculations!$U169*10^-6 + (1/$S169 - 1)*calculate_domegadP(Calculations!M169,Calculations!N169,Calculations!Q169,'Reaction Information'!$C$66,'Reaction Information'!$P$66*10^5,'Reaction Information'!$Q$66,$D$20,$D$19=3))*41.84)</f>
        <v>#N/A</v>
      </c>
      <c r="CF169" s="31">
        <f>(BS169*Input!$AO$4+BT169*Input!$AR$4+BU169*Input!$AU$4+BV169*Input!$AX$4+IF(ISNA(BW169),0,BW169*Input!$BA$4)+IF(ISNA(BX169),0,BX169*Input!$BD$4)+IF(ISNA(BY169),0,BY169*Input!$BG$4)+IF(ISNA(BZ169),0,BZ169*Input!$BJ$4)+IF(ISNA(CA169),0,CA169*Input!$BM$4)+IF(ISNA(CB169),0,CB169*Input!$BP$4)+IF(ISNA(CC169),0,CC169*Input!$BS$4)+IF(ISNA(CD169),0,CD169*Input!$BV$4)+IF(ISNA(CE169),0,CE169*Input!$BY$4))-(BF169*Input!$B$4+BG169*Input!$E$4+BH169*Input!$H$4+BI169*Input!$K$4+IF(ISNA(BJ169),0,BJ169*Input!$N$4)+IF(ISNA(BK169),0,BK169*Input!$Q$4)+IF(ISNA(BL169),0,BL169*Input!$T$4)+IF(ISNA(BM169),0,BM169*Input!$W$4)+IF(ISNA(BN169),0,BN169*Input!$Z$4)+IF(ISNA(BO169),0,BO169*Input!$AC$4)+IF(ISNA(BP169),0,BP169*Input!$AF$4)+IF(ISNA(BQ169),0,BQ169*Input!$AI$4)+IF(ISNA(BR169),0,BR169*Input!$AL$4))</f>
        <v>-12.344130200823372</v>
      </c>
      <c r="CG169" s="1">
        <f t="shared" si="50"/>
        <v>950</v>
      </c>
      <c r="CH169" s="46">
        <f t="shared" si="51"/>
        <v>55000</v>
      </c>
      <c r="CI169" s="1"/>
    </row>
    <row r="170" spans="1:87" x14ac:dyDescent="0.2">
      <c r="A170" s="1"/>
      <c r="B170" s="1"/>
      <c r="C170" s="1"/>
      <c r="D170" s="1"/>
      <c r="E170" s="1"/>
      <c r="F170" s="2">
        <v>165</v>
      </c>
      <c r="G170" s="1" t="str">
        <f>IF(ISBLANK(Input!CB170), "", Input!CB170*1000)</f>
        <v/>
      </c>
      <c r="H170" s="1" t="str">
        <f>IF(ISBLANK(Input!CC170), "", Input!CC170)</f>
        <v/>
      </c>
      <c r="I170" s="1">
        <f>IF(Input!$CF$5 + Input!$CF$6*(FLOOR((Calculations!$F170-1)/(FLOOR((Input!$CF$12-Input!$CF$10)/Input!$CF$11,1)+1),1)) &gt; Input!$CF$7, "", (Input!$CF$5 + Input!$CF$6*(FLOOR((Calculations!$F170-1)/(FLOOR((Input!$CF$12-Input!$CF$10)/Input!$CF$11,1)+1),1)))*1000)</f>
        <v>55000</v>
      </c>
      <c r="J170" s="1">
        <f>IF(Calculations!I170 = "", "", Input!$CF$10 + Input!$CF$11*(Calculations!$F170-1) - (FLOOR((Input!$CF$12-Input!$CF$10)/Input!$CF$11,1)+1)*Input!$CF$11*FLOOR((Calculations!$F170-1)/(FLOOR((Input!$CF$12-Input!$CF$10)/Input!$CF$11,1)+1),1))</f>
        <v>1000</v>
      </c>
      <c r="K170" s="8" t="str">
        <f t="shared" si="52"/>
        <v/>
      </c>
      <c r="L170" s="117" t="str">
        <f>IF(OR(Input!$CJ$5 + Input!$CJ$6*(Calculations!F170-1) &gt; Input!$CJ$7, Input!$CJ$5 + Input!$CJ$6*(Calculations!F170-1) &gt; 350), "", Input!$CJ$5 + Input!$CJ$6*(Calculations!F170-1))</f>
        <v/>
      </c>
      <c r="M170" s="1">
        <f t="shared" si="42"/>
        <v>55000</v>
      </c>
      <c r="N170" s="1">
        <f t="shared" si="43"/>
        <v>1000</v>
      </c>
      <c r="O170" s="1">
        <f t="shared" si="53"/>
        <v>1273.1500000000001</v>
      </c>
      <c r="P170" s="1" t="e">
        <f>IF(OR($D$20=3,AND($D$21=TRUE,M170&lt;1000)),INDEX('Water Density'!$C$6:$CX$120,MATCH(Calculations!N170,'Water Density'!$B$6:$B$120),MATCH(Calculations!M170/1000,'Water Density'!$C$5:$CX$5)),NA())</f>
        <v>#N/A</v>
      </c>
      <c r="Q170" s="182">
        <f>IF(OR($D$20=3,AND($D$21=TRUE,M170&lt;1000)), IF(P170&lt;&gt;0,P170,NA()), calculateDensity(M170,N170,$D$20,0.01,$D$19 = 3))</f>
        <v>1.3194848134130241</v>
      </c>
      <c r="R170" s="1" t="e">
        <f>IF($D$22=5,INDEX('Dielectric Constant'!$C$6:$CX$120,MATCH(Calculations!N170,'Dielectric Constant'!$B$6:$B$120),MATCH(Calculations!M170/1000,'Dielectric Constant'!$C$5:$CX$5)),NA())</f>
        <v>#N/A</v>
      </c>
      <c r="S170" s="58">
        <f>IF($D$22=5, IF(R170&lt;&gt;0,R170,NA()), IF(AND($D$23,M170&lt;=5000,$D$19 &lt;&gt; 3),calculateEpsilon(Q170,N170,1,FALSE),calculateEpsilon(Q170,N170,$D$22,$D$19 = 3)))</f>
        <v>17.533674858064703</v>
      </c>
      <c r="T170" s="1" t="e">
        <f>IF($D$24=3,INDEX('Water Free Energy'!$C$6:$CX$120,MATCH(Calculations!N170,'Water Free Energy'!$B$6:$B$120),MATCH(Calculations!M170/1000,'Water Free Energy'!$C$5:$CX$5)),NA())</f>
        <v>#N/A</v>
      </c>
      <c r="U170" s="179">
        <f>IF($D$27,calculateQ(M170,N170,Q170,$D$20,$D$22,$D$19=3)*10^6,NA())</f>
        <v>0.17937386797103302</v>
      </c>
      <c r="V170"/>
      <c r="W170" s="2">
        <f t="shared" si="44"/>
        <v>55000</v>
      </c>
      <c r="X170" s="1">
        <f t="shared" si="45"/>
        <v>1000</v>
      </c>
      <c r="Y170" s="1">
        <f>Results!F172</f>
        <v>0</v>
      </c>
      <c r="Z170" s="1">
        <f>Results!G172</f>
        <v>0</v>
      </c>
      <c r="AA170" s="1">
        <f>Results!H172</f>
        <v>0</v>
      </c>
      <c r="AB170" s="1">
        <f>Results!I172</f>
        <v>0</v>
      </c>
      <c r="AC170" s="1" t="e">
        <f>IF(ISBLANK(Input!$O$4),NA(),'Reaction Information'!$E$5-'Reaction Information'!$G$5*(Calculations!$O170-Calculations!$C$8)+'Reaction Information'!$I$5*(Calculations!$O170-Calculations!$C$8-Calculations!$O170*LN(Calculations!$O170/Calculations!$C$8))+'Reaction Information'!$J$5*0.001/2*(2*Calculations!$O170*Calculations!$C$8-Calculations!$O170^2-Calculations!$C$8^2) + 'Reaction Information'!$K$5*100000*(Calculations!$O170^2 + Calculations!$C$8^2 - 2*Calculations!$O170*Calculations!$C$8)/(2*Calculations!$O170*Calculations!$C$8^2))</f>
        <v>#N/A</v>
      </c>
      <c r="AD170" s="8" t="e">
        <f>IF(ISBLANK(Input!$R$4),NA(),'Reaction Information'!$E$9-'Reaction Information'!$G$9*(Calculations!$O170-Calculations!$C$8)+'Reaction Information'!$I$9*(Calculations!$O170-Calculations!$C$8-Calculations!$O170*LN(Calculations!$O170/Calculations!$C$8))+'Reaction Information'!$J$9*0.001/2*(2*Calculations!$O170*Calculations!$C$8-Calculations!$O170^2-Calculations!$C$8^2) + 'Reaction Information'!$K$9*100000*(Calculations!$O170^2 + Calculations!$C$8^2 - 2*Calculations!$O170*Calculations!$C$8)/(2*Calculations!$O170*Calculations!$C$8^2))</f>
        <v>#N/A</v>
      </c>
      <c r="AE170" s="8">
        <f>IF(AE$5="H2O",IF($D$24=3,IF(T170=0,NA(),T170),calculateGibbsOfWater(M170,N170,$D$24,$D$20,$D$19=3)),NA())</f>
        <v>-63528.029135064091</v>
      </c>
      <c r="AF170" s="8">
        <f>IF(ISBLANK(Input!$X$4),NA(),'Reaction Information'!$E$13-'Reaction Information'!$G$13*(Calculations!O170-Calculations!$C$8)-'Reaction Information'!$N$13*(Calculations!O170*LN(Calculations!O170/Calculations!$C$8)-Calculations!O170+Calculations!$C$8)-'Reaction Information'!$O$13*10^4*(((1/(Calculations!O170-Calculations!$C$13))-(1/(Calculations!$C$8-Calculations!$C$13)))*((Calculations!$C$13-Calculations!O170)/(Calculations!$C$13))-(Calculations!O170/(Calculations!$C$13*Calculations!$C$13))*LN((Calculations!$C$8*(Calculations!O170-Calculations!$C$13))/(Calculations!O170*(Calculations!$C$8-Calculations!$C$13))))+'Reaction Information'!$J$13*10^-1*(Calculations!M170-Calculations!$C$9)+'Reaction Information'!$K$13*10^2*LN((Calculations!$C$12+Calculations!M170)/(Calculations!$C$12+Calculations!$C$9))+(1/(Calculations!O170-Calculations!$C$13))*('Reaction Information'!$L$13*(Calculations!M170-Calculations!$C$9)+'Reaction Information'!$M$13*10^4*LN((Calculations!$C$12+Calculations!M170)/(Calculations!$C$12+Calculations!$C$9)))+calculateOmega(Calculations!M170,Calculations!N170,Calculations!Q170,'Reaction Information'!$C$13,'Reaction Information'!$P$13*10^5,'Reaction Information'!$Q$13)*((1/Calculations!S170)-1)-'Reaction Information'!$P$13*10^5*((1/Calculations!$C$10)-1)+'Reaction Information'!$P$13*10^5*Calculations!$C$14*(Calculations!O170-Calculations!$C$8))</f>
        <v>-94758.003379802496</v>
      </c>
      <c r="AG170" s="8" t="e">
        <f>IF(ISBLANK(Input!$AA$4),NA(),'Reaction Information'!$E$17-'Reaction Information'!$G$17*(Calculations!$O170-Calculations!$C$8)-'Reaction Information'!$N$17*(Calculations!$O170*LN(Calculations!$O170/Calculations!$C$8)-Calculations!$O170+Calculations!$C$8)-'Reaction Information'!$O$17*10^4*(((1/(Calculations!$O170-Calculations!$C$13))-(1/(Calculations!$C$8-Calculations!$C$13)))*((Calculations!$C$13-Calculations!$O170)/(Calculations!$C$13))-(Calculations!$O170/(Calculations!$C$13*Calculations!$C$13))*LN((Calculations!$C$8*(Calculations!$O170-Calculations!$C$13))/(Calculations!$O170*(Calculations!$C$8-Calculations!$C$13))))+'Reaction Information'!$J$17*10^-1*(Calculations!$M170-Calculations!$C$9)+'Reaction Information'!$K$17*10^2*LN((Calculations!$C$12+Calculations!$M170)/(Calculations!$C$12+Calculations!$C$9))+(1/(Calculations!$O170-Calculations!$C$13))*('Reaction Information'!$L$17*(Calculations!$M170-Calculations!$C$9)+'Reaction Information'!$M$17*10^4*LN((Calculations!$C$12+Calculations!$M170)/(Calculations!$C$12+Calculations!$C$9)))+calculateOmega(Calculations!M170,Calculations!N170,Calculations!Q170,'Reaction Information'!$C$17,'Reaction Information'!$P$17*10^5,'Reaction Information'!$Q$17)*((1/Calculations!$S170)-1)-'Reaction Information'!$P$17*10^5*((1/Calculations!$C$10)-1)+'Reaction Information'!$P$17*10^5*Calculations!$C$14*(Calculations!$O170-Calculations!$C$8))</f>
        <v>#N/A</v>
      </c>
      <c r="AH170" s="8" t="e">
        <f>IF(ISBLANK(Input!$AD$4),NA(),'Reaction Information'!$E$21-'Reaction Information'!$G$21*(Calculations!$O170-Calculations!$C$8)-'Reaction Information'!$N$21*(Calculations!$O170*LN(Calculations!$O170/Calculations!$C$8)-Calculations!$O170+Calculations!$C$8)-'Reaction Information'!$O$21*10^4*(((1/(Calculations!$O170-Calculations!$C$13))-(1/(Calculations!$C$8-Calculations!$C$13)))*((Calculations!$C$13-Calculations!$O170)/(Calculations!$C$13))-(Calculations!$O170/(Calculations!$C$13*Calculations!$C$13))*LN((Calculations!$C$8*(Calculations!$O170-Calculations!$C$13))/(Calculations!$O170*(Calculations!$C$8-Calculations!$C$13))))+'Reaction Information'!$J$21*10^-1*(Calculations!$M170-Calculations!$C$9)+'Reaction Information'!$K$21*10^2*LN((Calculations!$C$12+Calculations!$M170)/(Calculations!$C$12+Calculations!$C$9))+(1/(Calculations!$O170-Calculations!$C$13))*('Reaction Information'!$L$21*(Calculations!$M170-Calculations!$C$9)+'Reaction Information'!$M$21*10^4*LN((Calculations!$C$12+Calculations!$M170)/(Calculations!$C$12+Calculations!$C$9)))+calculateOmega(Calculations!M170,Calculations!N170,Calculations!Q170,'Reaction Information'!$C$21,'Reaction Information'!$P$21*10^5,'Reaction Information'!$Q$21)*((1/Calculations!$S170)-1)-'Reaction Information'!$P$21*10^5*((1/Calculations!$C$10)-1)+'Reaction Information'!$P$21*10^5*Calculations!$C$14*(Calculations!$O170-Calculations!$C$8))</f>
        <v>#N/A</v>
      </c>
      <c r="AI170" s="8" t="e">
        <f>IF(ISBLANK(Input!$AG$4),NA(),'Reaction Information'!$E$25-'Reaction Information'!$G$25*(Calculations!$O170-Calculations!$C$8)-'Reaction Information'!$N$25*(Calculations!$O170*LN(Calculations!$O170/Calculations!$C$8)-Calculations!$O170+Calculations!$C$8)-'Reaction Information'!$O$25*10^4*(((1/(Calculations!$O170-Calculations!$C$13))-(1/(Calculations!$C$8-Calculations!$C$13)))*((Calculations!$C$13-Calculations!$O170)/(Calculations!$C$13))-(Calculations!$O170/(Calculations!$C$13*Calculations!$C$13))*LN((Calculations!$C$8*(Calculations!$O170-Calculations!$C$13))/(Calculations!$O170*(Calculations!$C$8-Calculations!$C$13))))+'Reaction Information'!$J$25*10^-1*(Calculations!$M170-Calculations!$C$9)+'Reaction Information'!$K$25*10^2*LN((Calculations!$C$12+Calculations!$M170)/(Calculations!$C$12+Calculations!$C$9))+(1/(Calculations!$O170-Calculations!$C$13))*('Reaction Information'!$L$25*(Calculations!$M170-Calculations!$C$9)+'Reaction Information'!$M$25*10^4*LN((Calculations!$C$12+Calculations!$M170)/(Calculations!$C$12+Calculations!$C$9)))+calculateOmega(Calculations!M170,Calculations!N170,Calculations!Q170,'Reaction Information'!$C$25,'Reaction Information'!$P$25*10^5,'Reaction Information'!$Q$25)*((1/Calculations!$S170)-1)-'Reaction Information'!$P$25*10^5*((1/Calculations!$C$10)-1)+'Reaction Information'!$P$25*10^5*Calculations!$C$14*(Calculations!$O170-Calculations!$C$8))</f>
        <v>#N/A</v>
      </c>
      <c r="AJ170" s="8" t="e">
        <f>IF(ISBLANK(Input!$AJ$4),NA(),'Reaction Information'!$E$29-'Reaction Information'!$G$29*(Calculations!$O170-Calculations!$C$8)-'Reaction Information'!$N$29*(Calculations!$O170*LN(Calculations!$O170/Calculations!$C$8)-Calculations!$O170+Calculations!$C$8)-'Reaction Information'!$O$29*10^4*(((1/(Calculations!$O170-Calculations!$C$13))-(1/(Calculations!$C$8-Calculations!$C$13)))*((Calculations!$C$13-Calculations!$O170)/(Calculations!$C$13))-(Calculations!$O170/(Calculations!$C$13*Calculations!$C$13))*LN((Calculations!$C$8*(Calculations!$O170-Calculations!$C$13))/(Calculations!$O170*(Calculations!$C$8-Calculations!$C$13))))+'Reaction Information'!$J$29*10^-1*(Calculations!$M170-Calculations!$C$9)+'Reaction Information'!$K$29*10^2*LN((Calculations!$C$12+Calculations!$M170)/(Calculations!$C$12+Calculations!$C$9))+(1/(Calculations!$O170-Calculations!$C$13))*('Reaction Information'!$L$29*(Calculations!$M170-Calculations!$C$9)+'Reaction Information'!$M$29*10^4*LN((Calculations!$C$12+Calculations!$M170)/(Calculations!$C$12+Calculations!$C$9)))+calculateOmega(Calculations!M170,Calculations!N170,Calculations!Q170,'Reaction Information'!$C$29,'Reaction Information'!$P$29*10^5,'Reaction Information'!$Q$29)*((1/Calculations!$S170)-1)-'Reaction Information'!$P$29*10^5*((1/Calculations!$C$10)-1)+'Reaction Information'!$P$29*10^5*Calculations!$C$14*(Calculations!$O170-Calculations!$C$8))</f>
        <v>#N/A</v>
      </c>
      <c r="AK170" s="8" t="e">
        <f>IF(ISBLANK(Input!$AM$4),NA(),'Reaction Information'!$E$33-'Reaction Information'!$G$33*(Calculations!$O170-Calculations!$C$8)-'Reaction Information'!$N$33*(Calculations!$O170*LN(Calculations!$O170/Calculations!$C$8)-Calculations!$O170+Calculations!$C$8)-'Reaction Information'!$O$33*10^4*(((1/(Calculations!$O170-Calculations!$C$13))-(1/(Calculations!$C$8-Calculations!$C$13)))*((Calculations!$C$13-Calculations!$O170)/(Calculations!$C$13))-(Calculations!$O170/(Calculations!$C$13*Calculations!$C$13))*LN((Calculations!$C$8*(Calculations!$O170-Calculations!$C$13))/(Calculations!$O170*(Calculations!$C$8-Calculations!$C$13))))+'Reaction Information'!$J$33*10^-1*(Calculations!$M170-Calculations!$C$9)+'Reaction Information'!$K$33*10^2*LN((Calculations!$C$12+Calculations!$M170)/(Calculations!$C$12+Calculations!$C$9))+(1/(Calculations!$O170-Calculations!$C$13))*('Reaction Information'!$L$33*(Calculations!$M170-Calculations!$C$9)+'Reaction Information'!$M$33*10^4*LN((Calculations!$C$12+Calculations!$M170)/(Calculations!$C$12+Calculations!$C$9)))+calculateOmega(Calculations!M170,Calculations!N170,Calculations!Q170,'Reaction Information'!$C$33,'Reaction Information'!$P$33*10^5,'Reaction Information'!$Q$33)*((1/Calculations!$S170)-1)-'Reaction Information'!$P$33*10^5*((1/Calculations!$C$10)-1)+'Reaction Information'!$P$33*10^5*Calculations!$C$14*(Calculations!$O170-Calculations!$C$8))</f>
        <v>#N/A</v>
      </c>
      <c r="AL170" s="1">
        <f>Results!S172</f>
        <v>0</v>
      </c>
      <c r="AM170" s="1">
        <f>Results!T172</f>
        <v>0</v>
      </c>
      <c r="AN170" s="1">
        <f>Results!U172</f>
        <v>0</v>
      </c>
      <c r="AO170" s="1">
        <f>Results!V172</f>
        <v>0</v>
      </c>
      <c r="AP170" s="8" t="e">
        <f>IF(ISBLANK(Input!$BB$4),NA(),'Reaction Information'!$E$38-'Reaction Information'!$G$38*(Calculations!$O170-Calculations!$C$8)+'Reaction Information'!$I$38*(Calculations!$O170-Calculations!$C$8-Calculations!$O170*LN(Calculations!$O170/Calculations!$C$8))+'Reaction Information'!$J$38*0.001/2*(2*Calculations!$O170*Calculations!$C$8-Calculations!$O170^2-Calculations!$C$8^2) + 'Reaction Information'!$K$38*100000*(Calculations!$O170^2 + Calculations!$C$8^2 - 2*Calculations!$O170*Calculations!$C$8)/(2*Calculations!$O170*Calculations!$C$8^2))</f>
        <v>#N/A</v>
      </c>
      <c r="AQ170" s="8" t="e">
        <f>IF(ISBLANK(Input!$BE$4),NA(),'Reaction Information'!$E$42-'Reaction Information'!$G$42*(Calculations!$O170-Calculations!$C$8)+'Reaction Information'!$I$42*(Calculations!$O170-Calculations!$C$8-Calculations!$O170*LN(Calculations!$O170/Calculations!$C$8))+'Reaction Information'!$J$42*0.001/2*(2*Calculations!$O170*Calculations!$C$8-Calculations!$O170^2-Calculations!$C$8^2) + 'Reaction Information'!$K$42*100000*(Calculations!$O170^2 + Calculations!$C$8^2 - 2*Calculations!$O170*Calculations!$C$8)/(2*Calculations!$O170*Calculations!$C$8^2))</f>
        <v>#N/A</v>
      </c>
      <c r="AR170" s="8" t="e">
        <f>IF(AR$5="H2O", IF($D$24=3,IF(T170=0,NA(),T170),calculateGibbsOfWater(M170,N170,$D$24,$D$20,$D$19=3)),NA())</f>
        <v>#N/A</v>
      </c>
      <c r="AS170" s="8">
        <f>IF(ISBLANK(Input!$BK$4),NA(),'Reaction Information'!$E$46-'Reaction Information'!$G$46*(Calculations!O170-Calculations!$C$8)-'Reaction Information'!$N$46*(Calculations!O170*LN(Calculations!O170/Calculations!$C$8)-Calculations!O170+Calculations!$C$8)-'Reaction Information'!$O$46*10^4*(((1/(Calculations!O170-Calculations!$C$13))-(1/(Calculations!$C$8-Calculations!$C$13)))*((Calculations!$C$13-Calculations!O170)/(Calculations!$C$13))-(Calculations!O170/(Calculations!$C$13*Calculations!$C$13))*LN((Calculations!$C$8*(Calculations!O170-Calculations!$C$13))/(Calculations!O170*(Calculations!$C$8-Calculations!$C$13))))+'Reaction Information'!$J$46*10^-1*(Calculations!$M170-Calculations!$C$9)+'Reaction Information'!$K$46*10^2*LN((Calculations!$C$12+Calculations!$M170)/(Calculations!$C$12+Calculations!$C$9))+(1/(Calculations!O170-Calculations!$C$13))*('Reaction Information'!$L$46*(Calculations!$M170-Calculations!$C$9)+'Reaction Information'!$M$46*10^4*LN((Calculations!$C$12+Calculations!$M170)/(Calculations!$C$12+Calculations!$C$9)))+calculateOmega(Calculations!M170,Calculations!N170,Calculations!Q170,'Reaction Information'!$C$46,'Reaction Information'!$P$46*10^5,'Reaction Information'!$Q$46)*((1/Calculations!S170)-1)-'Reaction Information'!$P$46*10^5*((1/Calculations!$C$10)-1)+'Reaction Information'!$P$46*10^5*Calculations!$C$14*(Calculations!O170-Calculations!$C$8))</f>
        <v>0</v>
      </c>
      <c r="AT170" s="8">
        <f>IF(ISBLANK(Input!$BN$4),NA(),'Reaction Information'!$E$50-'Reaction Information'!$G$50*(Calculations!O170-Calculations!$C$8)-'Reaction Information'!$N$50*(Calculations!O170*LN(Calculations!O170/Calculations!$C$8)-Calculations!O170+Calculations!$C$8)-'Reaction Information'!$O$50*10^4*(((1/(Calculations!O170-Calculations!$C$13))-(1/(Calculations!$C$8-Calculations!$C$13)))*((Calculations!$C$13-Calculations!O170)/(Calculations!$C$13))-(Calculations!O170/(Calculations!$C$13*Calculations!$C$13))*LN((Calculations!$C$8*(Calculations!O170-Calculations!$C$13))/(Calculations!O170*(Calculations!$C$8-Calculations!$C$13))))+'Reaction Information'!$J$50*10^-1*(Calculations!$M170-Calculations!$C$9)+'Reaction Information'!$K$50*10^2*LN((Calculations!$C$12+Calculations!$M170)/(Calculations!$C$12+Calculations!$C$9))+(1/(Calculations!O170-Calculations!$C$13))*('Reaction Information'!$L$50*(Calculations!$M170-Calculations!$C$9)+'Reaction Information'!$M$50*10^4*LN((Calculations!$C$12+Calculations!$M170)/(Calculations!$C$12+Calculations!$C$9)))+calculateOmega(Calculations!M170,Calculations!N170,Calculations!Q170,'Reaction Information'!$C$50,'Reaction Information'!$P$50*10^5,'Reaction Information'!$Q$50)*((1/Calculations!S170)-1)-'Reaction Information'!$P$50*10^5*((1/Calculations!$C$10)-1)+'Reaction Information'!$P$50*10^5*Calculations!$C$14*(Calculations!O170-Calculations!$C$8))</f>
        <v>-130927.41489718473</v>
      </c>
      <c r="AU170" s="8" t="e">
        <f>IF(ISBLANK(Input!$BQ$4),NA(),'Reaction Information'!$E$54-'Reaction Information'!$G$54*(Calculations!$O170-Calculations!$C$8)-'Reaction Information'!$N$54*(Calculations!$O170*LN(Calculations!$O170/Calculations!$C$8)-Calculations!$O170+Calculations!$C$8)-'Reaction Information'!$O$54*10^4*(((1/(Calculations!$O170-Calculations!$C$13))-(1/(Calculations!$C$8-Calculations!$C$13)))*((Calculations!$C$13-Calculations!$O170)/(Calculations!$C$13))-(Calculations!$O170/(Calculations!$C$13*Calculations!$C$13))*LN((Calculations!$C$8*(Calculations!$O170-Calculations!$C$13))/(Calculations!$O170*(Calculations!$C$8-Calculations!$C$13))))+'Reaction Information'!$J$54*10^-1*(Calculations!$M170-Calculations!$C$9)+'Reaction Information'!$K$54*10^2*LN((Calculations!$C$12+Calculations!$M170)/(Calculations!$C$12+Calculations!$C$9))+(1/(Calculations!$O170-Calculations!$C$13))*('Reaction Information'!$L$54*(Calculations!$M170-Calculations!$C$9)+'Reaction Information'!$M$54*10^4*LN((Calculations!$C$12+Calculations!$M170)/(Calculations!$C$12+Calculations!$C$9)))+calculateOmega(Calculations!M170,Calculations!N170,Calculations!Q170,'Reaction Information'!$C$54,'Reaction Information'!$P$54*10^5,'Reaction Information'!$Q$54)*((1/Calculations!$S170)-1)-'Reaction Information'!$P$54*10^5*((1/Calculations!$C$10)-1)+'Reaction Information'!$P$54*10^5*Calculations!$C$14*(Calculations!$O170-Calculations!$C$8))</f>
        <v>#N/A</v>
      </c>
      <c r="AV170" s="8" t="e">
        <f>IF(ISBLANK(Input!$BT$4),NA(),'Reaction Information'!$E$58-'Reaction Information'!$G$58*(Calculations!$O170-Calculations!$C$8)-'Reaction Information'!$N$58*(Calculations!$O170*LN(Calculations!$O170/Calculations!$C$8)-Calculations!$O170+Calculations!$C$8)-'Reaction Information'!$O$58*10^4*(((1/(Calculations!$O170-Calculations!$C$13))-(1/(Calculations!$C$8-Calculations!$C$13)))*((Calculations!$C$13-Calculations!$O170)/(Calculations!$C$13))-(Calculations!$O170/(Calculations!$C$13*Calculations!$C$13))*LN((Calculations!$C$8*(Calculations!$O170-Calculations!$C$13))/(Calculations!$O170*(Calculations!$C$8-Calculations!$C$13))))+'Reaction Information'!$J$58*10^-1*(Calculations!$M170-Calculations!$C$9)+'Reaction Information'!$K$58*10^2*LN((Calculations!$C$12+Calculations!$M170)/(Calculations!$C$12+Calculations!$C$9))+(1/(Calculations!$O170-Calculations!$C$13))*('Reaction Information'!$L$58*(Calculations!$M170-Calculations!$C$9)+'Reaction Information'!$M$58*10^4*LN((Calculations!$C$12+Calculations!$M170)/(Calculations!$C$12+Calculations!$C$9)))+calculateOmega(Calculations!M170,Calculations!N170,Calculations!Q170,'Reaction Information'!$C$58,'Reaction Information'!$P$58*10^5,'Reaction Information'!$Q$58)*((1/Calculations!$S170)-1)-'Reaction Information'!$P$58*10^5*((1/Calculations!$C$10)-1)+'Reaction Information'!$P$58*10^5*Calculations!$C$14*(Calculations!$O170-Calculations!$C$8))</f>
        <v>#N/A</v>
      </c>
      <c r="AW170" s="8" t="e">
        <f>IF(ISBLANK(Input!$BW$4),NA(),'Reaction Information'!$E$62-'Reaction Information'!$G$62*(Calculations!$O170-Calculations!$C$8)-'Reaction Information'!$N$62*(Calculations!$O170*LN(Calculations!$O170/Calculations!$C$8)-Calculations!$O170+Calculations!$C$8)-'Reaction Information'!$O$62*10^4*(((1/(Calculations!$O170-Calculations!$C$13))-(1/(Calculations!$C$8-Calculations!$C$13)))*((Calculations!$C$13-Calculations!$O170)/(Calculations!$C$13))-(Calculations!$O170/(Calculations!$C$13*Calculations!$C$13))*LN((Calculations!$C$8*(Calculations!$O170-Calculations!$C$13))/(Calculations!$O170*(Calculations!$C$8-Calculations!$C$13))))+'Reaction Information'!$J$62*10^-1*(Calculations!$M170-Calculations!$C$9)+'Reaction Information'!$K$62*10^2*LN((Calculations!$C$12+Calculations!$M170)/(Calculations!$C$12+Calculations!$C$9))+(1/(Calculations!$O170-Calculations!$C$13))*('Reaction Information'!$L$62*(Calculations!$M170-Calculations!$C$9)+'Reaction Information'!$M$62*10^4*LN((Calculations!$C$12+Calculations!$M170)/(Calculations!$C$12+Calculations!$C$9)))+calculateOmega(Calculations!M170,Calculations!N170,Calculations!Q170,'Reaction Information'!$C$62,'Reaction Information'!$P$62*10^5,'Reaction Information'!$Q$62)*((1/Calculations!$S170)-1)-'Reaction Information'!$P$62*10^5*((1/Calculations!$C$10)-1)+'Reaction Information'!$P$62*10^5*Calculations!$C$14*(Calculations!$O170-Calculations!$C$8))</f>
        <v>#N/A</v>
      </c>
      <c r="AX170" s="8" t="e">
        <f>IF(ISBLANK(Input!$BZ$4),NA(),'Reaction Information'!$E$66-'Reaction Information'!$G$66*(Calculations!$O170-Calculations!$C$8)-'Reaction Information'!$N$66*(Calculations!$O170*LN(Calculations!$O170/Calculations!$C$8)-Calculations!$O170+Calculations!$C$8)-'Reaction Information'!$O$66*10^4*(((1/(Calculations!$O170-Calculations!$C$13))-(1/(Calculations!$C$8-Calculations!$C$13)))*((Calculations!$C$13-Calculations!$O170)/(Calculations!$C$13))-(Calculations!$O170/(Calculations!$C$13*Calculations!$C$13))*LN((Calculations!$C$8*(Calculations!$O170-Calculations!$C$13))/(Calculations!$O170*(Calculations!$C$8-Calculations!$C$13))))+'Reaction Information'!$J$66*10^-1*(Calculations!$M170-Calculations!$C$9)+'Reaction Information'!$K$66*10^2*LN((Calculations!$C$12+Calculations!$M170)/(Calculations!$C$12+Calculations!$C$9))+(1/(Calculations!$O170-Calculations!$C$13))*('Reaction Information'!$L$66*(Calculations!$M170-Calculations!$C$9)+'Reaction Information'!$M$66*10^4*LN((Calculations!$C$12+Calculations!$M170)/(Calculations!$C$12+Calculations!$C$9)))+calculateOmega(Calculations!M170,Calculations!N170,Calculations!Q170,'Reaction Information'!$C$66,'Reaction Information'!$P$66*10^5,'Reaction Information'!$Q$66)*((1/Calculations!$S170)-1)-'Reaction Information'!$P$66*10^5*((1/Calculations!$C$10)-1)+'Reaction Information'!$P$66*10^5*Calculations!$C$14*(Calculations!$O170-Calculations!$C$8))</f>
        <v>#N/A</v>
      </c>
      <c r="AY170" s="31">
        <f>(AL170*Input!$AO$4+AM170*Input!$AR$4+AN170*Input!$AU$4+AO170*Input!$AX$4+IF(ISNA(AP170),0,AP170*Input!$BA$4)+IF(ISNA(AQ170),0,AQ170*Input!$BD$4)+IF(ISNA(AR170),0,AR170*Input!$BG$4)+IF(ISNA(AS170),0,AS170*Input!$BJ$4)+IF(ISNA(AT170),0,AT170*Input!$BM$4)+IF(ISNA(AU170),0,AU170*Input!$BP$4)+IF(ISNA(AV170),0,AV170*Input!$BS$4)+IF(ISNA(AW170),0,AW170*Input!$BV$4)+IF(ISNA(AX170),0,AX170*Input!$BY$4))-(Y170*Input!$B$4+Z170*Input!$E$4+AA170*Input!$H$4+AB170*Input!$K$4+IF(ISNA(AC170),0,AC170*Input!$N$4)+IF(ISNA(AD170),0,AD170*Input!$Q$4)+IF(ISNA(AE170),0,AE170*Input!$T$4)+IF(ISNA(AF170),0,AF170*Input!$W$4)+IF(ISNA(AG170),0,AG170*Input!$Z$4)+IF(ISNA(AH170),0,AH170*Input!$AC$4)+IF(ISNA(AI170),0,AI170*Input!$AF$4)+IF(ISNA(AJ170),0,AJ170*Input!$AI$4)+IF(ISNA(AK170),0,AK170*Input!$AL$4))</f>
        <v>27358.617617681855</v>
      </c>
      <c r="AZ170" s="42">
        <f t="shared" si="54"/>
        <v>-4.6994436739822047</v>
      </c>
      <c r="BA170" s="1">
        <f t="shared" si="46"/>
        <v>1000</v>
      </c>
      <c r="BB170" s="46">
        <f t="shared" si="47"/>
        <v>55000</v>
      </c>
      <c r="BC170" s="1"/>
      <c r="BD170" s="2">
        <f t="shared" si="48"/>
        <v>55000</v>
      </c>
      <c r="BE170" s="46">
        <f t="shared" si="49"/>
        <v>1000</v>
      </c>
      <c r="BF170" s="1">
        <f>Results!AJ172</f>
        <v>0</v>
      </c>
      <c r="BG170" s="1">
        <f>Results!AK172</f>
        <v>0</v>
      </c>
      <c r="BH170" s="1">
        <f>Results!AL172</f>
        <v>0</v>
      </c>
      <c r="BI170" s="1">
        <f>Results!AM172</f>
        <v>0</v>
      </c>
      <c r="BJ170" s="1" t="e">
        <f>IF(OR(ISNA('Reaction Information'!$D$5), $N170 = "", $D$27 = FALSE, 'Reaction Information'!$D$5 = ""), NA(), 24.465)</f>
        <v>#N/A</v>
      </c>
      <c r="BK170" s="1" t="e">
        <f>IF(OR(ISNA('Reaction Information'!$D$9), $N170 = "", $D$27 = FALSE, 'Reaction Information'!$D$9 = ""), NA(), 24.465)</f>
        <v>#N/A</v>
      </c>
      <c r="BL170" s="8">
        <f t="shared" si="55"/>
        <v>13.653268167142498</v>
      </c>
      <c r="BM170" s="8">
        <f>IF(OR(ISBLANK(Input!$X$4),$D$27=FALSE),NA(),('Reaction Information'!$J$13/10+'Reaction Information'!$K$13*100/(Calculations!$C$12+Calculations!$M170)+('Reaction Information'!$L$13+'Reaction Information'!$M$13*10^4/(Calculations!$C$12+Calculations!$M170))/(Calculations!$O170-Calculations!$C$13) -calculateOmega(Calculations!$M170,Calculations!$N170,Calculations!$Q170,'Reaction Information'!$C$13,'Reaction Information'!$P$13*10^5,'Reaction Information'!$Q$13)*Calculations!$U170*10^-6 + (1/$S170 - 1)*calculate_domegadP(Calculations!$M170,Calculations!$N170,Calculations!$Q170,'Reaction Information'!$C$13,'Reaction Information'!$P$13*10^5,'Reaction Information'!$Q$13,$D$20,$D$19=3))*41.84)</f>
        <v>29.998860410400805</v>
      </c>
      <c r="BN170" s="8" t="e">
        <f>IF(OR(ISBLANK(Input!$AA$4),$D$27=FALSE),NA(),('Reaction Information'!$J$17/10+'Reaction Information'!$K$17*100/(Calculations!$C$12+Calculations!$M170)+('Reaction Information'!$L$17+'Reaction Information'!$M$17*10000/(Calculations!$C$12+Calculations!$M170))/(Calculations!$O170-Calculations!$C$13)-calculateOmega(Calculations!M170,Calculations!N170,Calculations!Q170,'Reaction Information'!$C$17,'Reaction Information'!$P$17*10^5,'Reaction Information'!$Q$17)*Calculations!$U170*10^-6 + (1/$S170 - 1)*calculate_domegadP(Calculations!M170,Calculations!N170,Calculations!Q170,'Reaction Information'!$C$17,'Reaction Information'!$P$17*10^5,'Reaction Information'!$Q$17,$D$20,$D$19=3))*41.84)</f>
        <v>#N/A</v>
      </c>
      <c r="BO170" s="8" t="e">
        <f>IF(OR(ISBLANK(Input!$AD$4),$D$27=FALSE),NA(),('Reaction Information'!$J$21/10+'Reaction Information'!$K$21*100/(Calculations!$C$12+Calculations!$M170)+('Reaction Information'!$L$21+'Reaction Information'!$M$21*10000/(Calculations!$C$12+Calculations!$M170))/(Calculations!$O170-Calculations!$C$13)-calculateOmega(Calculations!M170,Calculations!N170,Calculations!Q170,'Reaction Information'!$C$21,'Reaction Information'!$P$21*10^5,'Reaction Information'!$Q$21)*Calculations!$U170*10^-6 + (1/$S170 - 1)*calculate_domegadP(Calculations!M170,Calculations!N170,Calculations!Q170,'Reaction Information'!$C$21,'Reaction Information'!$P$21*10^5,'Reaction Information'!$Q$21,$D$20,$D$19=3))*41.84)</f>
        <v>#N/A</v>
      </c>
      <c r="BP170" s="8" t="e">
        <f>IF(OR(ISBLANK(Input!$AG$4),$D$27=FALSE),NA(),('Reaction Information'!$J$25/10+'Reaction Information'!$K$25*100/(Calculations!$C$12+Calculations!$M170)+('Reaction Information'!$L$25+'Reaction Information'!$M$25*10000/(Calculations!$C$12+Calculations!$M170))/(Calculations!$O170-Calculations!$C$13)-calculateOmega(Calculations!M170,Calculations!N170,Calculations!Q170,'Reaction Information'!$C$25,'Reaction Information'!$P$25*10^5,'Reaction Information'!$Q$25)*Calculations!$U170*10^-6 + (1/$S170 - 1)*calculate_domegadP(Calculations!M170,Calculations!N170,Calculations!Q170,'Reaction Information'!$C$25,'Reaction Information'!$P$25*10^5,'Reaction Information'!$Q$25,$D$20,$D$19=3))*41.84)</f>
        <v>#N/A</v>
      </c>
      <c r="BQ170" s="8" t="e">
        <f>IF(OR(ISBLANK(Input!$AJ$4),$D$27=FALSE),NA(),('Reaction Information'!$J$29/10+'Reaction Information'!$K$29*100/(Calculations!$C$12+Calculations!$M170)+('Reaction Information'!$L$29+'Reaction Information'!$M$29*10000/(Calculations!$C$12+Calculations!$M170))/(Calculations!$O170-Calculations!$C$13)-calculateOmega(Calculations!M170,Calculations!N170,Calculations!Q170,'Reaction Information'!$C$29,'Reaction Information'!$P$29*10^5,'Reaction Information'!$Q$29)*Calculations!$U170*10^-6 + (1/$S170 - 1)*calculate_domegadP(Calculations!M170,Calculations!N170,Calculations!Q170,'Reaction Information'!$C$29,'Reaction Information'!$P$29*10^5,'Reaction Information'!$Q$29,$D$20,$D$19=3))*41.84)</f>
        <v>#N/A</v>
      </c>
      <c r="BR170" s="8" t="e">
        <f>IF(OR(ISBLANK(Input!$AM$4),$D$27=FALSE),NA(),('Reaction Information'!$J$33/10+'Reaction Information'!$K$33*100/(Calculations!$C$12+Calculations!$M170)+('Reaction Information'!$L$33+'Reaction Information'!$M$33*10000/(Calculations!$C$12+Calculations!$M170))/(Calculations!$O170-Calculations!$C$13)-calculateOmega(Calculations!M170,Calculations!N170,Calculations!Q170,'Reaction Information'!$C$33,'Reaction Information'!$P$33*10^5,'Reaction Information'!$Q$33)*Calculations!$U170*10^-6 + (1/$S170 - 1)*calculate_domegadP(Calculations!M170,Calculations!N170,Calculations!Q170,'Reaction Information'!$C$33,'Reaction Information'!$P$33*10^5,'Reaction Information'!$Q$33,$D$20,$D$19=3))*41.84)</f>
        <v>#N/A</v>
      </c>
      <c r="BS170" s="1">
        <f>Results!AW172</f>
        <v>0</v>
      </c>
      <c r="BT170" s="1">
        <f>Results!AX172</f>
        <v>0</v>
      </c>
      <c r="BU170" s="1">
        <f>Results!AY172</f>
        <v>0</v>
      </c>
      <c r="BV170" s="1">
        <f>Results!AZ172</f>
        <v>0</v>
      </c>
      <c r="BW170" s="1" t="e">
        <f>IF(OR(ISNA('Reaction Information'!$D$38), $N170 = "", $D$27 = FALSE, 'Reaction Information'!$D$38 = ""), NA(), 24.465)</f>
        <v>#N/A</v>
      </c>
      <c r="BX170" s="1" t="e">
        <f>IF(OR(ISNA('Reaction Information'!$D$42), $N170 = "", $D$27 = FALSE, 'Reaction Information'!$D$42 = ""), NA(), 24.465)</f>
        <v>#N/A</v>
      </c>
      <c r="BY170" s="8" t="e">
        <f t="shared" si="56"/>
        <v>#N/A</v>
      </c>
      <c r="BZ170" s="8">
        <f>IF(OR(ISBLANK(Input!$BK$4),$D$27=FALSE),NA(),('Reaction Information'!$J$46/10+'Reaction Information'!$K$46*100/(Calculations!$C$12+Calculations!$M170)+('Reaction Information'!$L$46+'Reaction Information'!$M$46*10000/(Calculations!$C$12+Calculations!$M170))/(Calculations!$O170-Calculations!$C$13)-calculateOmega(Calculations!M170,Calculations!N170,Calculations!Q170,'Reaction Information'!$C$46,'Reaction Information'!$P$46*10^5,'Reaction Information'!$Q$46)*Calculations!$U170*10^-6 + (1/$S170 - 1)*calculate_domegadP(Calculations!M170,Calculations!N170,Calculations!Q170,'Reaction Information'!$C$46,'Reaction Information'!$P$46*10^5,'Reaction Information'!$Q$46,$D$20,$D$19=3))*41.84)</f>
        <v>0</v>
      </c>
      <c r="CA170" s="8">
        <f>IF(OR(ISBLANK(Input!$BN$4),$D$27=FALSE),NA(),('Reaction Information'!$J$50/10+'Reaction Information'!$K$50*100/(Calculations!$C$12+Calculations!$M170)+('Reaction Information'!$L$50+'Reaction Information'!$M$50*10000/(Calculations!$C$12+Calculations!$M170))/(Calculations!$O170-Calculations!$C$13)-calculateOmega(Calculations!M170,Calculations!N170,Calculations!Q170,'Reaction Information'!$C$50,'Reaction Information'!$P$50*10^5,'Reaction Information'!$Q$50)*Calculations!$U170*10^-6 + (1/$S170 - 1)*calculate_domegadP(Calculations!M170,Calculations!N170,Calculations!Q170,'Reaction Information'!$C$50,'Reaction Information'!$P$50*10^5,'Reaction Information'!$Q$50,$D$20,$D$19=3))*41.84)</f>
        <v>31.123236050802674</v>
      </c>
      <c r="CB170" s="8" t="e">
        <f>IF(OR(ISBLANK(Input!$BQ$4),$D$27=FALSE),NA(),('Reaction Information'!$J$54/10+'Reaction Information'!$K$54*100/(Calculations!$C$12+Calculations!$M170)+('Reaction Information'!$L$54+'Reaction Information'!$M$54*10000/(Calculations!$C$12+Calculations!$M170))/(Calculations!$O170-Calculations!$C$13)-calculateOmega(Calculations!M170,Calculations!N170,Calculations!Q170,'Reaction Information'!$C$54,'Reaction Information'!$P$54*10^5,'Reaction Information'!$Q$54)*Calculations!$U170*10^-6 + (1/$S170 - 1)*calculate_domegadP(Calculations!M170,Calculations!N170,Calculations!Q170,'Reaction Information'!$C$54,'Reaction Information'!$P$54*10^5,'Reaction Information'!$Q$54,$D$20,$D$19=3))*41.84)</f>
        <v>#N/A</v>
      </c>
      <c r="CC170" s="8" t="e">
        <f>IF(OR(ISBLANK(Input!$BT$4),$D$27=FALSE),NA(),('Reaction Information'!$J$58/10+'Reaction Information'!$K$58*100/(Calculations!$C$12+Calculations!$M170)+('Reaction Information'!$L$58+'Reaction Information'!$M$58*10000/(Calculations!$C$12+Calculations!$M170))/(Calculations!$O170-Calculations!$C$13)-calculateOmega(Calculations!M170,Calculations!N170,Calculations!Q170,'Reaction Information'!$C$58,'Reaction Information'!$P$58*10^5,'Reaction Information'!$Q$58)*Calculations!$U170*10^-6 + (1/$S170 - 1)*calculate_domegadP(Calculations!M170,Calculations!N170,Calculations!Q170,'Reaction Information'!$C$58,'Reaction Information'!$P$58*10^5,'Reaction Information'!$Q$58,$D$20,$D$19=3))*41.84)</f>
        <v>#N/A</v>
      </c>
      <c r="CD170" s="8" t="e">
        <f>IF(OR(ISBLANK(Input!$BW$4),$D$27=FALSE),NA(),('Reaction Information'!$J$62/10+'Reaction Information'!$K$62*100/(Calculations!$C$12+Calculations!$M170)+('Reaction Information'!$L$62+'Reaction Information'!$M$62*10000/(Calculations!$C$12+Calculations!$M170))/(Calculations!$O170-Calculations!$C$13)-calculateOmega(Calculations!M170,Calculations!N170,Calculations!Q170,'Reaction Information'!$C$62,'Reaction Information'!$P$62*10^5,'Reaction Information'!$Q$62)*Calculations!$U170*10^-6 + (1/$S170 - 1)*calculate_domegadP(Calculations!M170,Calculations!N170,Calculations!Q170,'Reaction Information'!$C$62,'Reaction Information'!$P$62*10^5,'Reaction Information'!$Q$62,$D$20,$D$19=3))*41.84)</f>
        <v>#N/A</v>
      </c>
      <c r="CE170" s="8" t="e">
        <f>IF(OR(ISBLANK(Input!$BZ$4),$D$27=FALSE),NA(),('Reaction Information'!$J$66/10+'Reaction Information'!$K$66*100/(Calculations!$C$12+Calculations!$M170)+('Reaction Information'!$L$66+'Reaction Information'!$M$66*10000/(Calculations!$C$12+Calculations!$M170))/(Calculations!$O170-Calculations!$C$13)-calculateOmega(Calculations!M170,Calculations!N170,Calculations!Q170,'Reaction Information'!$C$66,'Reaction Information'!$P$66*10^5,'Reaction Information'!$Q$66)*Calculations!$U170*10^-6 + (1/$S170 - 1)*calculate_domegadP(Calculations!M170,Calculations!N170,Calculations!Q170,'Reaction Information'!$C$66,'Reaction Information'!$P$66*10^5,'Reaction Information'!$Q$66,$D$20,$D$19=3))*41.84)</f>
        <v>#N/A</v>
      </c>
      <c r="CF170" s="31">
        <f>(BS170*Input!$AO$4+BT170*Input!$AR$4+BU170*Input!$AU$4+BV170*Input!$AX$4+IF(ISNA(BW170),0,BW170*Input!$BA$4)+IF(ISNA(BX170),0,BX170*Input!$BD$4)+IF(ISNA(BY170),0,BY170*Input!$BG$4)+IF(ISNA(BZ170),0,BZ170*Input!$BJ$4)+IF(ISNA(CA170),0,CA170*Input!$BM$4)+IF(ISNA(CB170),0,CB170*Input!$BP$4)+IF(ISNA(CC170),0,CC170*Input!$BS$4)+IF(ISNA(CD170),0,CD170*Input!$BV$4)+IF(ISNA(CE170),0,CE170*Input!$BY$4))-(BF170*Input!$B$4+BG170*Input!$E$4+BH170*Input!$H$4+BI170*Input!$K$4+IF(ISNA(BJ170),0,BJ170*Input!$N$4)+IF(ISNA(BK170),0,BK170*Input!$Q$4)+IF(ISNA(BL170),0,BL170*Input!$T$4)+IF(ISNA(BM170),0,BM170*Input!$W$4)+IF(ISNA(BN170),0,BN170*Input!$Z$4)+IF(ISNA(BO170),0,BO170*Input!$AC$4)+IF(ISNA(BP170),0,BP170*Input!$AF$4)+IF(ISNA(BQ170),0,BQ170*Input!$AI$4)+IF(ISNA(BR170),0,BR170*Input!$AL$4))</f>
        <v>-12.528892526740627</v>
      </c>
      <c r="CG170" s="1">
        <f t="shared" si="50"/>
        <v>1000</v>
      </c>
      <c r="CH170" s="46">
        <f t="shared" si="51"/>
        <v>55000</v>
      </c>
      <c r="CI170" s="1"/>
    </row>
    <row r="171" spans="1:87" x14ac:dyDescent="0.2">
      <c r="A171" s="1"/>
      <c r="B171" s="1"/>
      <c r="C171" s="1"/>
      <c r="D171" s="1"/>
      <c r="E171" s="1"/>
      <c r="F171" s="2">
        <v>166</v>
      </c>
      <c r="G171" s="1" t="str">
        <f>IF(ISBLANK(Input!CB171), "", Input!CB171*1000)</f>
        <v/>
      </c>
      <c r="H171" s="1" t="str">
        <f>IF(ISBLANK(Input!CC171), "", Input!CC171)</f>
        <v/>
      </c>
      <c r="I171" s="1">
        <f>IF(Input!$CF$5 + Input!$CF$6*(FLOOR((Calculations!$F171-1)/(FLOOR((Input!$CF$12-Input!$CF$10)/Input!$CF$11,1)+1),1)) &gt; Input!$CF$7, "", (Input!$CF$5 + Input!$CF$6*(FLOOR((Calculations!$F171-1)/(FLOOR((Input!$CF$12-Input!$CF$10)/Input!$CF$11,1)+1),1)))*1000)</f>
        <v>60000</v>
      </c>
      <c r="J171" s="1">
        <f>IF(Calculations!I171 = "", "", Input!$CF$10 + Input!$CF$11*(Calculations!$F171-1) - (FLOOR((Input!$CF$12-Input!$CF$10)/Input!$CF$11,1)+1)*Input!$CF$11*FLOOR((Calculations!$F171-1)/(FLOOR((Input!$CF$12-Input!$CF$10)/Input!$CF$11,1)+1),1))</f>
        <v>300</v>
      </c>
      <c r="K171" s="8" t="str">
        <f t="shared" si="52"/>
        <v/>
      </c>
      <c r="L171" s="117" t="str">
        <f>IF(OR(Input!$CJ$5 + Input!$CJ$6*(Calculations!F171-1) &gt; Input!$CJ$7, Input!$CJ$5 + Input!$CJ$6*(Calculations!F171-1) &gt; 350), "", Input!$CJ$5 + Input!$CJ$6*(Calculations!F171-1))</f>
        <v/>
      </c>
      <c r="M171" s="1">
        <f t="shared" si="42"/>
        <v>60000</v>
      </c>
      <c r="N171" s="1">
        <f t="shared" si="43"/>
        <v>300</v>
      </c>
      <c r="O171" s="1">
        <f t="shared" si="53"/>
        <v>573.15</v>
      </c>
      <c r="P171" s="1" t="e">
        <f>IF(OR($D$20=3,AND($D$21=TRUE,M171&lt;1000)),INDEX('Water Density'!$C$6:$CX$120,MATCH(Calculations!N171,'Water Density'!$B$6:$B$120),MATCH(Calculations!M171/1000,'Water Density'!$C$5:$CX$5)),NA())</f>
        <v>#N/A</v>
      </c>
      <c r="Q171" s="182">
        <f>IF(OR($D$20=3,AND($D$21=TRUE,M171&lt;1000)), IF(P171&lt;&gt;0,P171,NA()), calculateDensity(M171,N171,$D$20,0.01,$D$19 = 3))</f>
        <v>1.5289878197780253</v>
      </c>
      <c r="R171" s="1" t="e">
        <f>IF($D$22=5,INDEX('Dielectric Constant'!$C$6:$CX$120,MATCH(Calculations!N171,'Dielectric Constant'!$B$6:$B$120),MATCH(Calculations!M171/1000,'Dielectric Constant'!$C$5:$CX$5)),NA())</f>
        <v>#N/A</v>
      </c>
      <c r="S171" s="58">
        <f>IF($D$22=5, IF(R171&lt;&gt;0,R171,NA()), IF(AND($D$23,M171&lt;=5000,$D$19 &lt;&gt; 3),calculateEpsilon(Q171,N171,1,FALSE),calculateEpsilon(Q171,N171,$D$22,$D$19 = 3)))</f>
        <v>63.707467459971035</v>
      </c>
      <c r="T171" s="1" t="e">
        <f>IF($D$24=3,INDEX('Water Free Energy'!$C$6:$CX$120,MATCH(Calculations!N171,'Water Free Energy'!$B$6:$B$120),MATCH(Calculations!M171/1000,'Water Free Energy'!$C$5:$CX$5)),NA())</f>
        <v>#N/A</v>
      </c>
      <c r="U171" s="179">
        <f>IF($D$27,calculateQ(M171,N171,Q171,$D$20,$D$22,$D$19=3)*10^6,NA())</f>
        <v>6.1675522004692312E-2</v>
      </c>
      <c r="V171"/>
      <c r="W171" s="2">
        <f t="shared" si="44"/>
        <v>60000</v>
      </c>
      <c r="X171" s="1">
        <f t="shared" si="45"/>
        <v>300</v>
      </c>
      <c r="Y171" s="1">
        <f>Results!F173</f>
        <v>0</v>
      </c>
      <c r="Z171" s="1">
        <f>Results!G173</f>
        <v>0</v>
      </c>
      <c r="AA171" s="1">
        <f>Results!H173</f>
        <v>0</v>
      </c>
      <c r="AB171" s="1">
        <f>Results!I173</f>
        <v>0</v>
      </c>
      <c r="AC171" s="1" t="e">
        <f>IF(ISBLANK(Input!$O$4),NA(),'Reaction Information'!$E$5-'Reaction Information'!$G$5*(Calculations!$O171-Calculations!$C$8)+'Reaction Information'!$I$5*(Calculations!$O171-Calculations!$C$8-Calculations!$O171*LN(Calculations!$O171/Calculations!$C$8))+'Reaction Information'!$J$5*0.001/2*(2*Calculations!$O171*Calculations!$C$8-Calculations!$O171^2-Calculations!$C$8^2) + 'Reaction Information'!$K$5*100000*(Calculations!$O171^2 + Calculations!$C$8^2 - 2*Calculations!$O171*Calculations!$C$8)/(2*Calculations!$O171*Calculations!$C$8^2))</f>
        <v>#N/A</v>
      </c>
      <c r="AD171" s="8" t="e">
        <f>IF(ISBLANK(Input!$R$4),NA(),'Reaction Information'!$E$9-'Reaction Information'!$G$9*(Calculations!$O171-Calculations!$C$8)+'Reaction Information'!$I$9*(Calculations!$O171-Calculations!$C$8-Calculations!$O171*LN(Calculations!$O171/Calculations!$C$8))+'Reaction Information'!$J$9*0.001/2*(2*Calculations!$O171*Calculations!$C$8-Calculations!$O171^2-Calculations!$C$8^2) + 'Reaction Information'!$K$9*100000*(Calculations!$O171^2 + Calculations!$C$8^2 - 2*Calculations!$O171*Calculations!$C$8)/(2*Calculations!$O171*Calculations!$C$8^2))</f>
        <v>#N/A</v>
      </c>
      <c r="AE171" s="8">
        <f>IF(AE$5="H2O",IF($D$24=3,IF(T171=0,NA(),T171),calculateGibbsOfWater(M171,N171,$D$24,$D$20,$D$19=3)),NA())</f>
        <v>-42592.99602458474</v>
      </c>
      <c r="AF171" s="8">
        <f>IF(ISBLANK(Input!$X$4),NA(),'Reaction Information'!$E$13-'Reaction Information'!$G$13*(Calculations!O171-Calculations!$C$8)-'Reaction Information'!$N$13*(Calculations!O171*LN(Calculations!O171/Calculations!$C$8)-Calculations!O171+Calculations!$C$8)-'Reaction Information'!$O$13*10^4*(((1/(Calculations!O171-Calculations!$C$13))-(1/(Calculations!$C$8-Calculations!$C$13)))*((Calculations!$C$13-Calculations!O171)/(Calculations!$C$13))-(Calculations!O171/(Calculations!$C$13*Calculations!$C$13))*LN((Calculations!$C$8*(Calculations!O171-Calculations!$C$13))/(Calculations!O171*(Calculations!$C$8-Calculations!$C$13))))+'Reaction Information'!$J$13*10^-1*(Calculations!M171-Calculations!$C$9)+'Reaction Information'!$K$13*10^2*LN((Calculations!$C$12+Calculations!M171)/(Calculations!$C$12+Calculations!$C$9))+(1/(Calculations!O171-Calculations!$C$13))*('Reaction Information'!$L$13*(Calculations!M171-Calculations!$C$9)+'Reaction Information'!$M$13*10^4*LN((Calculations!$C$12+Calculations!M171)/(Calculations!$C$12+Calculations!$C$9)))+calculateOmega(Calculations!M171,Calculations!N171,Calculations!Q171,'Reaction Information'!$C$13,'Reaction Information'!$P$13*10^5,'Reaction Information'!$Q$13)*((1/Calculations!S171)-1)-'Reaction Information'!$P$13*10^5*((1/Calculations!$C$10)-1)+'Reaction Information'!$P$13*10^5*Calculations!$C$14*(Calculations!O171-Calculations!$C$8))</f>
        <v>-59142.379003918941</v>
      </c>
      <c r="AG171" s="8" t="e">
        <f>IF(ISBLANK(Input!$AA$4),NA(),'Reaction Information'!$E$17-'Reaction Information'!$G$17*(Calculations!$O171-Calculations!$C$8)-'Reaction Information'!$N$17*(Calculations!$O171*LN(Calculations!$O171/Calculations!$C$8)-Calculations!$O171+Calculations!$C$8)-'Reaction Information'!$O$17*10^4*(((1/(Calculations!$O171-Calculations!$C$13))-(1/(Calculations!$C$8-Calculations!$C$13)))*((Calculations!$C$13-Calculations!$O171)/(Calculations!$C$13))-(Calculations!$O171/(Calculations!$C$13*Calculations!$C$13))*LN((Calculations!$C$8*(Calculations!$O171-Calculations!$C$13))/(Calculations!$O171*(Calculations!$C$8-Calculations!$C$13))))+'Reaction Information'!$J$17*10^-1*(Calculations!$M171-Calculations!$C$9)+'Reaction Information'!$K$17*10^2*LN((Calculations!$C$12+Calculations!$M171)/(Calculations!$C$12+Calculations!$C$9))+(1/(Calculations!$O171-Calculations!$C$13))*('Reaction Information'!$L$17*(Calculations!$M171-Calculations!$C$9)+'Reaction Information'!$M$17*10^4*LN((Calculations!$C$12+Calculations!$M171)/(Calculations!$C$12+Calculations!$C$9)))+calculateOmega(Calculations!M171,Calculations!N171,Calculations!Q171,'Reaction Information'!$C$17,'Reaction Information'!$P$17*10^5,'Reaction Information'!$Q$17)*((1/Calculations!$S171)-1)-'Reaction Information'!$P$17*10^5*((1/Calculations!$C$10)-1)+'Reaction Information'!$P$17*10^5*Calculations!$C$14*(Calculations!$O171-Calculations!$C$8))</f>
        <v>#N/A</v>
      </c>
      <c r="AH171" s="8" t="e">
        <f>IF(ISBLANK(Input!$AD$4),NA(),'Reaction Information'!$E$21-'Reaction Information'!$G$21*(Calculations!$O171-Calculations!$C$8)-'Reaction Information'!$N$21*(Calculations!$O171*LN(Calculations!$O171/Calculations!$C$8)-Calculations!$O171+Calculations!$C$8)-'Reaction Information'!$O$21*10^4*(((1/(Calculations!$O171-Calculations!$C$13))-(1/(Calculations!$C$8-Calculations!$C$13)))*((Calculations!$C$13-Calculations!$O171)/(Calculations!$C$13))-(Calculations!$O171/(Calculations!$C$13*Calculations!$C$13))*LN((Calculations!$C$8*(Calculations!$O171-Calculations!$C$13))/(Calculations!$O171*(Calculations!$C$8-Calculations!$C$13))))+'Reaction Information'!$J$21*10^-1*(Calculations!$M171-Calculations!$C$9)+'Reaction Information'!$K$21*10^2*LN((Calculations!$C$12+Calculations!$M171)/(Calculations!$C$12+Calculations!$C$9))+(1/(Calculations!$O171-Calculations!$C$13))*('Reaction Information'!$L$21*(Calculations!$M171-Calculations!$C$9)+'Reaction Information'!$M$21*10^4*LN((Calculations!$C$12+Calculations!$M171)/(Calculations!$C$12+Calculations!$C$9)))+calculateOmega(Calculations!M171,Calculations!N171,Calculations!Q171,'Reaction Information'!$C$21,'Reaction Information'!$P$21*10^5,'Reaction Information'!$Q$21)*((1/Calculations!$S171)-1)-'Reaction Information'!$P$21*10^5*((1/Calculations!$C$10)-1)+'Reaction Information'!$P$21*10^5*Calculations!$C$14*(Calculations!$O171-Calculations!$C$8))</f>
        <v>#N/A</v>
      </c>
      <c r="AI171" s="8" t="e">
        <f>IF(ISBLANK(Input!$AG$4),NA(),'Reaction Information'!$E$25-'Reaction Information'!$G$25*(Calculations!$O171-Calculations!$C$8)-'Reaction Information'!$N$25*(Calculations!$O171*LN(Calculations!$O171/Calculations!$C$8)-Calculations!$O171+Calculations!$C$8)-'Reaction Information'!$O$25*10^4*(((1/(Calculations!$O171-Calculations!$C$13))-(1/(Calculations!$C$8-Calculations!$C$13)))*((Calculations!$C$13-Calculations!$O171)/(Calculations!$C$13))-(Calculations!$O171/(Calculations!$C$13*Calculations!$C$13))*LN((Calculations!$C$8*(Calculations!$O171-Calculations!$C$13))/(Calculations!$O171*(Calculations!$C$8-Calculations!$C$13))))+'Reaction Information'!$J$25*10^-1*(Calculations!$M171-Calculations!$C$9)+'Reaction Information'!$K$25*10^2*LN((Calculations!$C$12+Calculations!$M171)/(Calculations!$C$12+Calculations!$C$9))+(1/(Calculations!$O171-Calculations!$C$13))*('Reaction Information'!$L$25*(Calculations!$M171-Calculations!$C$9)+'Reaction Information'!$M$25*10^4*LN((Calculations!$C$12+Calculations!$M171)/(Calculations!$C$12+Calculations!$C$9)))+calculateOmega(Calculations!M171,Calculations!N171,Calculations!Q171,'Reaction Information'!$C$25,'Reaction Information'!$P$25*10^5,'Reaction Information'!$Q$25)*((1/Calculations!$S171)-1)-'Reaction Information'!$P$25*10^5*((1/Calculations!$C$10)-1)+'Reaction Information'!$P$25*10^5*Calculations!$C$14*(Calculations!$O171-Calculations!$C$8))</f>
        <v>#N/A</v>
      </c>
      <c r="AJ171" s="8" t="e">
        <f>IF(ISBLANK(Input!$AJ$4),NA(),'Reaction Information'!$E$29-'Reaction Information'!$G$29*(Calculations!$O171-Calculations!$C$8)-'Reaction Information'!$N$29*(Calculations!$O171*LN(Calculations!$O171/Calculations!$C$8)-Calculations!$O171+Calculations!$C$8)-'Reaction Information'!$O$29*10^4*(((1/(Calculations!$O171-Calculations!$C$13))-(1/(Calculations!$C$8-Calculations!$C$13)))*((Calculations!$C$13-Calculations!$O171)/(Calculations!$C$13))-(Calculations!$O171/(Calculations!$C$13*Calculations!$C$13))*LN((Calculations!$C$8*(Calculations!$O171-Calculations!$C$13))/(Calculations!$O171*(Calculations!$C$8-Calculations!$C$13))))+'Reaction Information'!$J$29*10^-1*(Calculations!$M171-Calculations!$C$9)+'Reaction Information'!$K$29*10^2*LN((Calculations!$C$12+Calculations!$M171)/(Calculations!$C$12+Calculations!$C$9))+(1/(Calculations!$O171-Calculations!$C$13))*('Reaction Information'!$L$29*(Calculations!$M171-Calculations!$C$9)+'Reaction Information'!$M$29*10^4*LN((Calculations!$C$12+Calculations!$M171)/(Calculations!$C$12+Calculations!$C$9)))+calculateOmega(Calculations!M171,Calculations!N171,Calculations!Q171,'Reaction Information'!$C$29,'Reaction Information'!$P$29*10^5,'Reaction Information'!$Q$29)*((1/Calculations!$S171)-1)-'Reaction Information'!$P$29*10^5*((1/Calculations!$C$10)-1)+'Reaction Information'!$P$29*10^5*Calculations!$C$14*(Calculations!$O171-Calculations!$C$8))</f>
        <v>#N/A</v>
      </c>
      <c r="AK171" s="8" t="e">
        <f>IF(ISBLANK(Input!$AM$4),NA(),'Reaction Information'!$E$33-'Reaction Information'!$G$33*(Calculations!$O171-Calculations!$C$8)-'Reaction Information'!$N$33*(Calculations!$O171*LN(Calculations!$O171/Calculations!$C$8)-Calculations!$O171+Calculations!$C$8)-'Reaction Information'!$O$33*10^4*(((1/(Calculations!$O171-Calculations!$C$13))-(1/(Calculations!$C$8-Calculations!$C$13)))*((Calculations!$C$13-Calculations!$O171)/(Calculations!$C$13))-(Calculations!$O171/(Calculations!$C$13*Calculations!$C$13))*LN((Calculations!$C$8*(Calculations!$O171-Calculations!$C$13))/(Calculations!$O171*(Calculations!$C$8-Calculations!$C$13))))+'Reaction Information'!$J$33*10^-1*(Calculations!$M171-Calculations!$C$9)+'Reaction Information'!$K$33*10^2*LN((Calculations!$C$12+Calculations!$M171)/(Calculations!$C$12+Calculations!$C$9))+(1/(Calculations!$O171-Calculations!$C$13))*('Reaction Information'!$L$33*(Calculations!$M171-Calculations!$C$9)+'Reaction Information'!$M$33*10^4*LN((Calculations!$C$12+Calculations!$M171)/(Calculations!$C$12+Calculations!$C$9)))+calculateOmega(Calculations!M171,Calculations!N171,Calculations!Q171,'Reaction Information'!$C$33,'Reaction Information'!$P$33*10^5,'Reaction Information'!$Q$33)*((1/Calculations!$S171)-1)-'Reaction Information'!$P$33*10^5*((1/Calculations!$C$10)-1)+'Reaction Information'!$P$33*10^5*Calculations!$C$14*(Calculations!$O171-Calculations!$C$8))</f>
        <v>#N/A</v>
      </c>
      <c r="AL171" s="1">
        <f>Results!S173</f>
        <v>0</v>
      </c>
      <c r="AM171" s="1">
        <f>Results!T173</f>
        <v>0</v>
      </c>
      <c r="AN171" s="1">
        <f>Results!U173</f>
        <v>0</v>
      </c>
      <c r="AO171" s="1">
        <f>Results!V173</f>
        <v>0</v>
      </c>
      <c r="AP171" s="8" t="e">
        <f>IF(ISBLANK(Input!$BB$4),NA(),'Reaction Information'!$E$38-'Reaction Information'!$G$38*(Calculations!$O171-Calculations!$C$8)+'Reaction Information'!$I$38*(Calculations!$O171-Calculations!$C$8-Calculations!$O171*LN(Calculations!$O171/Calculations!$C$8))+'Reaction Information'!$J$38*0.001/2*(2*Calculations!$O171*Calculations!$C$8-Calculations!$O171^2-Calculations!$C$8^2) + 'Reaction Information'!$K$38*100000*(Calculations!$O171^2 + Calculations!$C$8^2 - 2*Calculations!$O171*Calculations!$C$8)/(2*Calculations!$O171*Calculations!$C$8^2))</f>
        <v>#N/A</v>
      </c>
      <c r="AQ171" s="8" t="e">
        <f>IF(ISBLANK(Input!$BE$4),NA(),'Reaction Information'!$E$42-'Reaction Information'!$G$42*(Calculations!$O171-Calculations!$C$8)+'Reaction Information'!$I$42*(Calculations!$O171-Calculations!$C$8-Calculations!$O171*LN(Calculations!$O171/Calculations!$C$8))+'Reaction Information'!$J$42*0.001/2*(2*Calculations!$O171*Calculations!$C$8-Calculations!$O171^2-Calculations!$C$8^2) + 'Reaction Information'!$K$42*100000*(Calculations!$O171^2 + Calculations!$C$8^2 - 2*Calculations!$O171*Calculations!$C$8)/(2*Calculations!$O171*Calculations!$C$8^2))</f>
        <v>#N/A</v>
      </c>
      <c r="AR171" s="8" t="e">
        <f>IF(AR$5="H2O", IF($D$24=3,IF(T171=0,NA(),T171),calculateGibbsOfWater(M171,N171,$D$24,$D$20,$D$19=3)),NA())</f>
        <v>#N/A</v>
      </c>
      <c r="AS171" s="8">
        <f>IF(ISBLANK(Input!$BK$4),NA(),'Reaction Information'!$E$46-'Reaction Information'!$G$46*(Calculations!O171-Calculations!$C$8)-'Reaction Information'!$N$46*(Calculations!O171*LN(Calculations!O171/Calculations!$C$8)-Calculations!O171+Calculations!$C$8)-'Reaction Information'!$O$46*10^4*(((1/(Calculations!O171-Calculations!$C$13))-(1/(Calculations!$C$8-Calculations!$C$13)))*((Calculations!$C$13-Calculations!O171)/(Calculations!$C$13))-(Calculations!O171/(Calculations!$C$13*Calculations!$C$13))*LN((Calculations!$C$8*(Calculations!O171-Calculations!$C$13))/(Calculations!O171*(Calculations!$C$8-Calculations!$C$13))))+'Reaction Information'!$J$46*10^-1*(Calculations!$M171-Calculations!$C$9)+'Reaction Information'!$K$46*10^2*LN((Calculations!$C$12+Calculations!$M171)/(Calculations!$C$12+Calculations!$C$9))+(1/(Calculations!O171-Calculations!$C$13))*('Reaction Information'!$L$46*(Calculations!$M171-Calculations!$C$9)+'Reaction Information'!$M$46*10^4*LN((Calculations!$C$12+Calculations!$M171)/(Calculations!$C$12+Calculations!$C$9)))+calculateOmega(Calculations!M171,Calculations!N171,Calculations!Q171,'Reaction Information'!$C$46,'Reaction Information'!$P$46*10^5,'Reaction Information'!$Q$46)*((1/Calculations!S171)-1)-'Reaction Information'!$P$46*10^5*((1/Calculations!$C$10)-1)+'Reaction Information'!$P$46*10^5*Calculations!$C$14*(Calculations!O171-Calculations!$C$8))</f>
        <v>0</v>
      </c>
      <c r="AT171" s="8">
        <f>IF(ISBLANK(Input!$BN$4),NA(),'Reaction Information'!$E$50-'Reaction Information'!$G$50*(Calculations!O171-Calculations!$C$8)-'Reaction Information'!$N$50*(Calculations!O171*LN(Calculations!O171/Calculations!$C$8)-Calculations!O171+Calculations!$C$8)-'Reaction Information'!$O$50*10^4*(((1/(Calculations!O171-Calculations!$C$13))-(1/(Calculations!$C$8-Calculations!$C$13)))*((Calculations!$C$13-Calculations!O171)/(Calculations!$C$13))-(Calculations!O171/(Calculations!$C$13*Calculations!$C$13))*LN((Calculations!$C$8*(Calculations!O171-Calculations!$C$13))/(Calculations!O171*(Calculations!$C$8-Calculations!$C$13))))+'Reaction Information'!$J$50*10^-1*(Calculations!$M171-Calculations!$C$9)+'Reaction Information'!$K$50*10^2*LN((Calculations!$C$12+Calculations!$M171)/(Calculations!$C$12+Calculations!$C$9))+(1/(Calculations!O171-Calculations!$C$13))*('Reaction Information'!$L$50*(Calculations!$M171-Calculations!$C$9)+'Reaction Information'!$M$50*10^4*LN((Calculations!$C$12+Calculations!$M171)/(Calculations!$C$12+Calculations!$C$9)))+calculateOmega(Calculations!M171,Calculations!N171,Calculations!Q171,'Reaction Information'!$C$50,'Reaction Information'!$P$50*10^5,'Reaction Information'!$Q$50)*((1/Calculations!S171)-1)-'Reaction Information'!$P$50*10^5*((1/Calculations!$C$10)-1)+'Reaction Information'!$P$50*10^5*Calculations!$C$14*(Calculations!O171-Calculations!$C$8))</f>
        <v>-103206.68621057943</v>
      </c>
      <c r="AU171" s="8" t="e">
        <f>IF(ISBLANK(Input!$BQ$4),NA(),'Reaction Information'!$E$54-'Reaction Information'!$G$54*(Calculations!$O171-Calculations!$C$8)-'Reaction Information'!$N$54*(Calculations!$O171*LN(Calculations!$O171/Calculations!$C$8)-Calculations!$O171+Calculations!$C$8)-'Reaction Information'!$O$54*10^4*(((1/(Calculations!$O171-Calculations!$C$13))-(1/(Calculations!$C$8-Calculations!$C$13)))*((Calculations!$C$13-Calculations!$O171)/(Calculations!$C$13))-(Calculations!$O171/(Calculations!$C$13*Calculations!$C$13))*LN((Calculations!$C$8*(Calculations!$O171-Calculations!$C$13))/(Calculations!$O171*(Calculations!$C$8-Calculations!$C$13))))+'Reaction Information'!$J$54*10^-1*(Calculations!$M171-Calculations!$C$9)+'Reaction Information'!$K$54*10^2*LN((Calculations!$C$12+Calculations!$M171)/(Calculations!$C$12+Calculations!$C$9))+(1/(Calculations!$O171-Calculations!$C$13))*('Reaction Information'!$L$54*(Calculations!$M171-Calculations!$C$9)+'Reaction Information'!$M$54*10^4*LN((Calculations!$C$12+Calculations!$M171)/(Calculations!$C$12+Calculations!$C$9)))+calculateOmega(Calculations!M171,Calculations!N171,Calculations!Q171,'Reaction Information'!$C$54,'Reaction Information'!$P$54*10^5,'Reaction Information'!$Q$54)*((1/Calculations!$S171)-1)-'Reaction Information'!$P$54*10^5*((1/Calculations!$C$10)-1)+'Reaction Information'!$P$54*10^5*Calculations!$C$14*(Calculations!$O171-Calculations!$C$8))</f>
        <v>#N/A</v>
      </c>
      <c r="AV171" s="8" t="e">
        <f>IF(ISBLANK(Input!$BT$4),NA(),'Reaction Information'!$E$58-'Reaction Information'!$G$58*(Calculations!$O171-Calculations!$C$8)-'Reaction Information'!$N$58*(Calculations!$O171*LN(Calculations!$O171/Calculations!$C$8)-Calculations!$O171+Calculations!$C$8)-'Reaction Information'!$O$58*10^4*(((1/(Calculations!$O171-Calculations!$C$13))-(1/(Calculations!$C$8-Calculations!$C$13)))*((Calculations!$C$13-Calculations!$O171)/(Calculations!$C$13))-(Calculations!$O171/(Calculations!$C$13*Calculations!$C$13))*LN((Calculations!$C$8*(Calculations!$O171-Calculations!$C$13))/(Calculations!$O171*(Calculations!$C$8-Calculations!$C$13))))+'Reaction Information'!$J$58*10^-1*(Calculations!$M171-Calculations!$C$9)+'Reaction Information'!$K$58*10^2*LN((Calculations!$C$12+Calculations!$M171)/(Calculations!$C$12+Calculations!$C$9))+(1/(Calculations!$O171-Calculations!$C$13))*('Reaction Information'!$L$58*(Calculations!$M171-Calculations!$C$9)+'Reaction Information'!$M$58*10^4*LN((Calculations!$C$12+Calculations!$M171)/(Calculations!$C$12+Calculations!$C$9)))+calculateOmega(Calculations!M171,Calculations!N171,Calculations!Q171,'Reaction Information'!$C$58,'Reaction Information'!$P$58*10^5,'Reaction Information'!$Q$58)*((1/Calculations!$S171)-1)-'Reaction Information'!$P$58*10^5*((1/Calculations!$C$10)-1)+'Reaction Information'!$P$58*10^5*Calculations!$C$14*(Calculations!$O171-Calculations!$C$8))</f>
        <v>#N/A</v>
      </c>
      <c r="AW171" s="8" t="e">
        <f>IF(ISBLANK(Input!$BW$4),NA(),'Reaction Information'!$E$62-'Reaction Information'!$G$62*(Calculations!$O171-Calculations!$C$8)-'Reaction Information'!$N$62*(Calculations!$O171*LN(Calculations!$O171/Calculations!$C$8)-Calculations!$O171+Calculations!$C$8)-'Reaction Information'!$O$62*10^4*(((1/(Calculations!$O171-Calculations!$C$13))-(1/(Calculations!$C$8-Calculations!$C$13)))*((Calculations!$C$13-Calculations!$O171)/(Calculations!$C$13))-(Calculations!$O171/(Calculations!$C$13*Calculations!$C$13))*LN((Calculations!$C$8*(Calculations!$O171-Calculations!$C$13))/(Calculations!$O171*(Calculations!$C$8-Calculations!$C$13))))+'Reaction Information'!$J$62*10^-1*(Calculations!$M171-Calculations!$C$9)+'Reaction Information'!$K$62*10^2*LN((Calculations!$C$12+Calculations!$M171)/(Calculations!$C$12+Calculations!$C$9))+(1/(Calculations!$O171-Calculations!$C$13))*('Reaction Information'!$L$62*(Calculations!$M171-Calculations!$C$9)+'Reaction Information'!$M$62*10^4*LN((Calculations!$C$12+Calculations!$M171)/(Calculations!$C$12+Calculations!$C$9)))+calculateOmega(Calculations!M171,Calculations!N171,Calculations!Q171,'Reaction Information'!$C$62,'Reaction Information'!$P$62*10^5,'Reaction Information'!$Q$62)*((1/Calculations!$S171)-1)-'Reaction Information'!$P$62*10^5*((1/Calculations!$C$10)-1)+'Reaction Information'!$P$62*10^5*Calculations!$C$14*(Calculations!$O171-Calculations!$C$8))</f>
        <v>#N/A</v>
      </c>
      <c r="AX171" s="8" t="e">
        <f>IF(ISBLANK(Input!$BZ$4),NA(),'Reaction Information'!$E$66-'Reaction Information'!$G$66*(Calculations!$O171-Calculations!$C$8)-'Reaction Information'!$N$66*(Calculations!$O171*LN(Calculations!$O171/Calculations!$C$8)-Calculations!$O171+Calculations!$C$8)-'Reaction Information'!$O$66*10^4*(((1/(Calculations!$O171-Calculations!$C$13))-(1/(Calculations!$C$8-Calculations!$C$13)))*((Calculations!$C$13-Calculations!$O171)/(Calculations!$C$13))-(Calculations!$O171/(Calculations!$C$13*Calculations!$C$13))*LN((Calculations!$C$8*(Calculations!$O171-Calculations!$C$13))/(Calculations!$O171*(Calculations!$C$8-Calculations!$C$13))))+'Reaction Information'!$J$66*10^-1*(Calculations!$M171-Calculations!$C$9)+'Reaction Information'!$K$66*10^2*LN((Calculations!$C$12+Calculations!$M171)/(Calculations!$C$12+Calculations!$C$9))+(1/(Calculations!$O171-Calculations!$C$13))*('Reaction Information'!$L$66*(Calculations!$M171-Calculations!$C$9)+'Reaction Information'!$M$66*10^4*LN((Calculations!$C$12+Calculations!$M171)/(Calculations!$C$12+Calculations!$C$9)))+calculateOmega(Calculations!M171,Calculations!N171,Calculations!Q171,'Reaction Information'!$C$66,'Reaction Information'!$P$66*10^5,'Reaction Information'!$Q$66)*((1/Calculations!$S171)-1)-'Reaction Information'!$P$66*10^5*((1/Calculations!$C$10)-1)+'Reaction Information'!$P$66*10^5*Calculations!$C$14*(Calculations!$O171-Calculations!$C$8))</f>
        <v>#N/A</v>
      </c>
      <c r="AY171" s="31">
        <f>(AL171*Input!$AO$4+AM171*Input!$AR$4+AN171*Input!$AU$4+AO171*Input!$AX$4+IF(ISNA(AP171),0,AP171*Input!$BA$4)+IF(ISNA(AQ171),0,AQ171*Input!$BD$4)+IF(ISNA(AR171),0,AR171*Input!$BG$4)+IF(ISNA(AS171),0,AS171*Input!$BJ$4)+IF(ISNA(AT171),0,AT171*Input!$BM$4)+IF(ISNA(AU171),0,AU171*Input!$BP$4)+IF(ISNA(AV171),0,AV171*Input!$BS$4)+IF(ISNA(AW171),0,AW171*Input!$BV$4)+IF(ISNA(AX171),0,AX171*Input!$BY$4))-(Y171*Input!$B$4+Z171*Input!$E$4+AA171*Input!$H$4+AB171*Input!$K$4+IF(ISNA(AC171),0,AC171*Input!$N$4)+IF(ISNA(AD171),0,AD171*Input!$Q$4)+IF(ISNA(AE171),0,AE171*Input!$T$4)+IF(ISNA(AF171),0,AF171*Input!$W$4)+IF(ISNA(AG171),0,AG171*Input!$Z$4)+IF(ISNA(AH171),0,AH171*Input!$AC$4)+IF(ISNA(AI171),0,AI171*Input!$AF$4)+IF(ISNA(AJ171),0,AJ171*Input!$AI$4)+IF(ISNA(AK171),0,AK171*Input!$AL$4))</f>
        <v>-1471.3111820757476</v>
      </c>
      <c r="AZ171" s="42">
        <f t="shared" si="54"/>
        <v>0.56139444693491303</v>
      </c>
      <c r="BA171" s="1">
        <f t="shared" si="46"/>
        <v>300</v>
      </c>
      <c r="BB171" s="46">
        <f t="shared" si="47"/>
        <v>60000</v>
      </c>
      <c r="BC171" s="1"/>
      <c r="BD171" s="2">
        <f t="shared" si="48"/>
        <v>60000</v>
      </c>
      <c r="BE171" s="46">
        <f t="shared" si="49"/>
        <v>300</v>
      </c>
      <c r="BF171" s="1">
        <f>Results!AJ173</f>
        <v>0</v>
      </c>
      <c r="BG171" s="1">
        <f>Results!AK173</f>
        <v>0</v>
      </c>
      <c r="BH171" s="1">
        <f>Results!AL173</f>
        <v>0</v>
      </c>
      <c r="BI171" s="1">
        <f>Results!AM173</f>
        <v>0</v>
      </c>
      <c r="BJ171" s="1" t="e">
        <f>IF(OR(ISNA('Reaction Information'!$D$5), $N171 = "", $D$27 = FALSE, 'Reaction Information'!$D$5 = ""), NA(), 24.465)</f>
        <v>#N/A</v>
      </c>
      <c r="BK171" s="1" t="e">
        <f>IF(OR(ISNA('Reaction Information'!$D$9), $N171 = "", $D$27 = FALSE, 'Reaction Information'!$D$9 = ""), NA(), 24.465)</f>
        <v>#N/A</v>
      </c>
      <c r="BL171" s="8">
        <f t="shared" si="55"/>
        <v>11.782487582285263</v>
      </c>
      <c r="BM171" s="8">
        <f>IF(OR(ISBLANK(Input!$X$4),$D$27=FALSE),NA(),('Reaction Information'!$J$13/10+'Reaction Information'!$K$13*100/(Calculations!$C$12+Calculations!$M171)+('Reaction Information'!$L$13+'Reaction Information'!$M$13*10^4/(Calculations!$C$12+Calculations!$M171))/(Calculations!$O171-Calculations!$C$13) -calculateOmega(Calculations!$M171,Calculations!$N171,Calculations!$Q171,'Reaction Information'!$C$13,'Reaction Information'!$P$13*10^5,'Reaction Information'!$Q$13)*Calculations!$U171*10^-6 + (1/$S171 - 1)*calculate_domegadP(Calculations!$M171,Calculations!$N171,Calculations!$Q171,'Reaction Information'!$C$13,'Reaction Information'!$P$13*10^5,'Reaction Information'!$Q$13,$D$20,$D$19=3))*41.84)</f>
        <v>29.788659490653636</v>
      </c>
      <c r="BN171" s="8" t="e">
        <f>IF(OR(ISBLANK(Input!$AA$4),$D$27=FALSE),NA(),('Reaction Information'!$J$17/10+'Reaction Information'!$K$17*100/(Calculations!$C$12+Calculations!$M171)+('Reaction Information'!$L$17+'Reaction Information'!$M$17*10000/(Calculations!$C$12+Calculations!$M171))/(Calculations!$O171-Calculations!$C$13)-calculateOmega(Calculations!M171,Calculations!N171,Calculations!Q171,'Reaction Information'!$C$17,'Reaction Information'!$P$17*10^5,'Reaction Information'!$Q$17)*Calculations!$U171*10^-6 + (1/$S171 - 1)*calculate_domegadP(Calculations!M171,Calculations!N171,Calculations!Q171,'Reaction Information'!$C$17,'Reaction Information'!$P$17*10^5,'Reaction Information'!$Q$17,$D$20,$D$19=3))*41.84)</f>
        <v>#N/A</v>
      </c>
      <c r="BO171" s="8" t="e">
        <f>IF(OR(ISBLANK(Input!$AD$4),$D$27=FALSE),NA(),('Reaction Information'!$J$21/10+'Reaction Information'!$K$21*100/(Calculations!$C$12+Calculations!$M171)+('Reaction Information'!$L$21+'Reaction Information'!$M$21*10000/(Calculations!$C$12+Calculations!$M171))/(Calculations!$O171-Calculations!$C$13)-calculateOmega(Calculations!M171,Calculations!N171,Calculations!Q171,'Reaction Information'!$C$21,'Reaction Information'!$P$21*10^5,'Reaction Information'!$Q$21)*Calculations!$U171*10^-6 + (1/$S171 - 1)*calculate_domegadP(Calculations!M171,Calculations!N171,Calculations!Q171,'Reaction Information'!$C$21,'Reaction Information'!$P$21*10^5,'Reaction Information'!$Q$21,$D$20,$D$19=3))*41.84)</f>
        <v>#N/A</v>
      </c>
      <c r="BP171" s="8" t="e">
        <f>IF(OR(ISBLANK(Input!$AG$4),$D$27=FALSE),NA(),('Reaction Information'!$J$25/10+'Reaction Information'!$K$25*100/(Calculations!$C$12+Calculations!$M171)+('Reaction Information'!$L$25+'Reaction Information'!$M$25*10000/(Calculations!$C$12+Calculations!$M171))/(Calculations!$O171-Calculations!$C$13)-calculateOmega(Calculations!M171,Calculations!N171,Calculations!Q171,'Reaction Information'!$C$25,'Reaction Information'!$P$25*10^5,'Reaction Information'!$Q$25)*Calculations!$U171*10^-6 + (1/$S171 - 1)*calculate_domegadP(Calculations!M171,Calculations!N171,Calculations!Q171,'Reaction Information'!$C$25,'Reaction Information'!$P$25*10^5,'Reaction Information'!$Q$25,$D$20,$D$19=3))*41.84)</f>
        <v>#N/A</v>
      </c>
      <c r="BQ171" s="8" t="e">
        <f>IF(OR(ISBLANK(Input!$AJ$4),$D$27=FALSE),NA(),('Reaction Information'!$J$29/10+'Reaction Information'!$K$29*100/(Calculations!$C$12+Calculations!$M171)+('Reaction Information'!$L$29+'Reaction Information'!$M$29*10000/(Calculations!$C$12+Calculations!$M171))/(Calculations!$O171-Calculations!$C$13)-calculateOmega(Calculations!M171,Calculations!N171,Calculations!Q171,'Reaction Information'!$C$29,'Reaction Information'!$P$29*10^5,'Reaction Information'!$Q$29)*Calculations!$U171*10^-6 + (1/$S171 - 1)*calculate_domegadP(Calculations!M171,Calculations!N171,Calculations!Q171,'Reaction Information'!$C$29,'Reaction Information'!$P$29*10^5,'Reaction Information'!$Q$29,$D$20,$D$19=3))*41.84)</f>
        <v>#N/A</v>
      </c>
      <c r="BR171" s="8" t="e">
        <f>IF(OR(ISBLANK(Input!$AM$4),$D$27=FALSE),NA(),('Reaction Information'!$J$33/10+'Reaction Information'!$K$33*100/(Calculations!$C$12+Calculations!$M171)+('Reaction Information'!$L$33+'Reaction Information'!$M$33*10000/(Calculations!$C$12+Calculations!$M171))/(Calculations!$O171-Calculations!$C$13)-calculateOmega(Calculations!M171,Calculations!N171,Calculations!Q171,'Reaction Information'!$C$33,'Reaction Information'!$P$33*10^5,'Reaction Information'!$Q$33)*Calculations!$U171*10^-6 + (1/$S171 - 1)*calculate_domegadP(Calculations!M171,Calculations!N171,Calculations!Q171,'Reaction Information'!$C$33,'Reaction Information'!$P$33*10^5,'Reaction Information'!$Q$33,$D$20,$D$19=3))*41.84)</f>
        <v>#N/A</v>
      </c>
      <c r="BS171" s="1">
        <f>Results!AW173</f>
        <v>0</v>
      </c>
      <c r="BT171" s="1">
        <f>Results!AX173</f>
        <v>0</v>
      </c>
      <c r="BU171" s="1">
        <f>Results!AY173</f>
        <v>0</v>
      </c>
      <c r="BV171" s="1">
        <f>Results!AZ173</f>
        <v>0</v>
      </c>
      <c r="BW171" s="1" t="e">
        <f>IF(OR(ISNA('Reaction Information'!$D$38), $N171 = "", $D$27 = FALSE, 'Reaction Information'!$D$38 = ""), NA(), 24.465)</f>
        <v>#N/A</v>
      </c>
      <c r="BX171" s="1" t="e">
        <f>IF(OR(ISNA('Reaction Information'!$D$42), $N171 = "", $D$27 = FALSE, 'Reaction Information'!$D$42 = ""), NA(), 24.465)</f>
        <v>#N/A</v>
      </c>
      <c r="BY171" s="8" t="e">
        <f t="shared" si="56"/>
        <v>#N/A</v>
      </c>
      <c r="BZ171" s="8">
        <f>IF(OR(ISBLANK(Input!$BK$4),$D$27=FALSE),NA(),('Reaction Information'!$J$46/10+'Reaction Information'!$K$46*100/(Calculations!$C$12+Calculations!$M171)+('Reaction Information'!$L$46+'Reaction Information'!$M$46*10000/(Calculations!$C$12+Calculations!$M171))/(Calculations!$O171-Calculations!$C$13)-calculateOmega(Calculations!M171,Calculations!N171,Calculations!Q171,'Reaction Information'!$C$46,'Reaction Information'!$P$46*10^5,'Reaction Information'!$Q$46)*Calculations!$U171*10^-6 + (1/$S171 - 1)*calculate_domegadP(Calculations!M171,Calculations!N171,Calculations!Q171,'Reaction Information'!$C$46,'Reaction Information'!$P$46*10^5,'Reaction Information'!$Q$46,$D$20,$D$19=3))*41.84)</f>
        <v>0</v>
      </c>
      <c r="CA171" s="8">
        <f>IF(OR(ISBLANK(Input!$BN$4),$D$27=FALSE),NA(),('Reaction Information'!$J$50/10+'Reaction Information'!$K$50*100/(Calculations!$C$12+Calculations!$M171)+('Reaction Information'!$L$50+'Reaction Information'!$M$50*10000/(Calculations!$C$12+Calculations!$M171))/(Calculations!$O171-Calculations!$C$13)-calculateOmega(Calculations!M171,Calculations!N171,Calculations!Q171,'Reaction Information'!$C$50,'Reaction Information'!$P$50*10^5,'Reaction Information'!$Q$50)*Calculations!$U171*10^-6 + (1/$S171 - 1)*calculate_domegadP(Calculations!M171,Calculations!N171,Calculations!Q171,'Reaction Information'!$C$50,'Reaction Information'!$P$50*10^5,'Reaction Information'!$Q$50,$D$20,$D$19=3))*41.84)</f>
        <v>31.758639846410727</v>
      </c>
      <c r="CB171" s="8" t="e">
        <f>IF(OR(ISBLANK(Input!$BQ$4),$D$27=FALSE),NA(),('Reaction Information'!$J$54/10+'Reaction Information'!$K$54*100/(Calculations!$C$12+Calculations!$M171)+('Reaction Information'!$L$54+'Reaction Information'!$M$54*10000/(Calculations!$C$12+Calculations!$M171))/(Calculations!$O171-Calculations!$C$13)-calculateOmega(Calculations!M171,Calculations!N171,Calculations!Q171,'Reaction Information'!$C$54,'Reaction Information'!$P$54*10^5,'Reaction Information'!$Q$54)*Calculations!$U171*10^-6 + (1/$S171 - 1)*calculate_domegadP(Calculations!M171,Calculations!N171,Calculations!Q171,'Reaction Information'!$C$54,'Reaction Information'!$P$54*10^5,'Reaction Information'!$Q$54,$D$20,$D$19=3))*41.84)</f>
        <v>#N/A</v>
      </c>
      <c r="CC171" s="8" t="e">
        <f>IF(OR(ISBLANK(Input!$BT$4),$D$27=FALSE),NA(),('Reaction Information'!$J$58/10+'Reaction Information'!$K$58*100/(Calculations!$C$12+Calculations!$M171)+('Reaction Information'!$L$58+'Reaction Information'!$M$58*10000/(Calculations!$C$12+Calculations!$M171))/(Calculations!$O171-Calculations!$C$13)-calculateOmega(Calculations!M171,Calculations!N171,Calculations!Q171,'Reaction Information'!$C$58,'Reaction Information'!$P$58*10^5,'Reaction Information'!$Q$58)*Calculations!$U171*10^-6 + (1/$S171 - 1)*calculate_domegadP(Calculations!M171,Calculations!N171,Calculations!Q171,'Reaction Information'!$C$58,'Reaction Information'!$P$58*10^5,'Reaction Information'!$Q$58,$D$20,$D$19=3))*41.84)</f>
        <v>#N/A</v>
      </c>
      <c r="CD171" s="8" t="e">
        <f>IF(OR(ISBLANK(Input!$BW$4),$D$27=FALSE),NA(),('Reaction Information'!$J$62/10+'Reaction Information'!$K$62*100/(Calculations!$C$12+Calculations!$M171)+('Reaction Information'!$L$62+'Reaction Information'!$M$62*10000/(Calculations!$C$12+Calculations!$M171))/(Calculations!$O171-Calculations!$C$13)-calculateOmega(Calculations!M171,Calculations!N171,Calculations!Q171,'Reaction Information'!$C$62,'Reaction Information'!$P$62*10^5,'Reaction Information'!$Q$62)*Calculations!$U171*10^-6 + (1/$S171 - 1)*calculate_domegadP(Calculations!M171,Calculations!N171,Calculations!Q171,'Reaction Information'!$C$62,'Reaction Information'!$P$62*10^5,'Reaction Information'!$Q$62,$D$20,$D$19=3))*41.84)</f>
        <v>#N/A</v>
      </c>
      <c r="CE171" s="8" t="e">
        <f>IF(OR(ISBLANK(Input!$BZ$4),$D$27=FALSE),NA(),('Reaction Information'!$J$66/10+'Reaction Information'!$K$66*100/(Calculations!$C$12+Calculations!$M171)+('Reaction Information'!$L$66+'Reaction Information'!$M$66*10000/(Calculations!$C$12+Calculations!$M171))/(Calculations!$O171-Calculations!$C$13)-calculateOmega(Calculations!M171,Calculations!N171,Calculations!Q171,'Reaction Information'!$C$66,'Reaction Information'!$P$66*10^5,'Reaction Information'!$Q$66)*Calculations!$U171*10^-6 + (1/$S171 - 1)*calculate_domegadP(Calculations!M171,Calculations!N171,Calculations!Q171,'Reaction Information'!$C$66,'Reaction Information'!$P$66*10^5,'Reaction Information'!$Q$66,$D$20,$D$19=3))*41.84)</f>
        <v>#N/A</v>
      </c>
      <c r="CF171" s="31">
        <f>(BS171*Input!$AO$4+BT171*Input!$AR$4+BU171*Input!$AU$4+BV171*Input!$AX$4+IF(ISNA(BW171),0,BW171*Input!$BA$4)+IF(ISNA(BX171),0,BX171*Input!$BD$4)+IF(ISNA(BY171),0,BY171*Input!$BG$4)+IF(ISNA(BZ171),0,BZ171*Input!$BJ$4)+IF(ISNA(CA171),0,CA171*Input!$BM$4)+IF(ISNA(CB171),0,CB171*Input!$BP$4)+IF(ISNA(CC171),0,CC171*Input!$BS$4)+IF(ISNA(CD171),0,CD171*Input!$BV$4)+IF(ISNA(CE171),0,CE171*Input!$BY$4))-(BF171*Input!$B$4+BG171*Input!$E$4+BH171*Input!$H$4+BI171*Input!$K$4+IF(ISNA(BJ171),0,BJ171*Input!$N$4)+IF(ISNA(BK171),0,BK171*Input!$Q$4)+IF(ISNA(BL171),0,BL171*Input!$T$4)+IF(ISNA(BM171),0,BM171*Input!$W$4)+IF(ISNA(BN171),0,BN171*Input!$Z$4)+IF(ISNA(BO171),0,BO171*Input!$AC$4)+IF(ISNA(BP171),0,BP171*Input!$AF$4)+IF(ISNA(BQ171),0,BQ171*Input!$AI$4)+IF(ISNA(BR171),0,BR171*Input!$AL$4))</f>
        <v>-9.8125072265281723</v>
      </c>
      <c r="CG171" s="1">
        <f t="shared" si="50"/>
        <v>300</v>
      </c>
      <c r="CH171" s="46">
        <f t="shared" si="51"/>
        <v>60000</v>
      </c>
      <c r="CI171" s="1"/>
    </row>
    <row r="172" spans="1:87" x14ac:dyDescent="0.2">
      <c r="A172" s="1"/>
      <c r="B172" s="1"/>
      <c r="C172" s="1"/>
      <c r="D172" s="1"/>
      <c r="E172" s="1"/>
      <c r="F172" s="2">
        <v>167</v>
      </c>
      <c r="G172" s="1" t="str">
        <f>IF(ISBLANK(Input!CB172), "", Input!CB172*1000)</f>
        <v/>
      </c>
      <c r="H172" s="1" t="str">
        <f>IF(ISBLANK(Input!CC172), "", Input!CC172)</f>
        <v/>
      </c>
      <c r="I172" s="1">
        <f>IF(Input!$CF$5 + Input!$CF$6*(FLOOR((Calculations!$F172-1)/(FLOOR((Input!$CF$12-Input!$CF$10)/Input!$CF$11,1)+1),1)) &gt; Input!$CF$7, "", (Input!$CF$5 + Input!$CF$6*(FLOOR((Calculations!$F172-1)/(FLOOR((Input!$CF$12-Input!$CF$10)/Input!$CF$11,1)+1),1)))*1000)</f>
        <v>60000</v>
      </c>
      <c r="J172" s="1">
        <f>IF(Calculations!I172 = "", "", Input!$CF$10 + Input!$CF$11*(Calculations!$F172-1) - (FLOOR((Input!$CF$12-Input!$CF$10)/Input!$CF$11,1)+1)*Input!$CF$11*FLOOR((Calculations!$F172-1)/(FLOOR((Input!$CF$12-Input!$CF$10)/Input!$CF$11,1)+1),1))</f>
        <v>350</v>
      </c>
      <c r="K172" s="8" t="str">
        <f t="shared" si="52"/>
        <v/>
      </c>
      <c r="L172" s="117" t="str">
        <f>IF(OR(Input!$CJ$5 + Input!$CJ$6*(Calculations!F172-1) &gt; Input!$CJ$7, Input!$CJ$5 + Input!$CJ$6*(Calculations!F172-1) &gt; 350), "", Input!$CJ$5 + Input!$CJ$6*(Calculations!F172-1))</f>
        <v/>
      </c>
      <c r="M172" s="1">
        <f t="shared" si="42"/>
        <v>60000</v>
      </c>
      <c r="N172" s="1">
        <f t="shared" si="43"/>
        <v>350</v>
      </c>
      <c r="O172" s="1">
        <f t="shared" si="53"/>
        <v>623.15</v>
      </c>
      <c r="P172" s="1" t="e">
        <f>IF(OR($D$20=3,AND($D$21=TRUE,M172&lt;1000)),INDEX('Water Density'!$C$6:$CX$120,MATCH(Calculations!N172,'Water Density'!$B$6:$B$120),MATCH(Calculations!M172/1000,'Water Density'!$C$5:$CX$5)),NA())</f>
        <v>#N/A</v>
      </c>
      <c r="Q172" s="182">
        <f>IF(OR($D$20=3,AND($D$21=TRUE,M172&lt;1000)), IF(P172&lt;&gt;0,P172,NA()), calculateDensity(M172,N172,$D$20,0.01,$D$19 = 3))</f>
        <v>1.5132449549600477</v>
      </c>
      <c r="R172" s="1" t="e">
        <f>IF($D$22=5,INDEX('Dielectric Constant'!$C$6:$CX$120,MATCH(Calculations!N172,'Dielectric Constant'!$B$6:$B$120),MATCH(Calculations!M172/1000,'Dielectric Constant'!$C$5:$CX$5)),NA())</f>
        <v>#N/A</v>
      </c>
      <c r="S172" s="58">
        <f>IF($D$22=5, IF(R172&lt;&gt;0,R172,NA()), IF(AND($D$23,M172&lt;=5000,$D$19 &lt;&gt; 3),calculateEpsilon(Q172,N172,1,FALSE),calculateEpsilon(Q172,N172,$D$22,$D$19 = 3)))</f>
        <v>57.185769337071704</v>
      </c>
      <c r="T172" s="1" t="e">
        <f>IF($D$24=3,INDEX('Water Free Energy'!$C$6:$CX$120,MATCH(Calculations!N172,'Water Free Energy'!$B$6:$B$120),MATCH(Calculations!M172/1000,'Water Free Energy'!$C$5:$CX$5)),NA())</f>
        <v>#N/A</v>
      </c>
      <c r="U172" s="179">
        <f>IF($D$27,calculateQ(M172,N172,Q172,$D$20,$D$22,$D$19=3)*10^6,NA())</f>
        <v>6.7761567194901604E-2</v>
      </c>
      <c r="V172"/>
      <c r="W172" s="2">
        <f t="shared" si="44"/>
        <v>60000</v>
      </c>
      <c r="X172" s="1">
        <f t="shared" si="45"/>
        <v>350</v>
      </c>
      <c r="Y172" s="1">
        <f>Results!F174</f>
        <v>0</v>
      </c>
      <c r="Z172" s="1">
        <f>Results!G174</f>
        <v>0</v>
      </c>
      <c r="AA172" s="1">
        <f>Results!H174</f>
        <v>0</v>
      </c>
      <c r="AB172" s="1">
        <f>Results!I174</f>
        <v>0</v>
      </c>
      <c r="AC172" s="1" t="e">
        <f>IF(ISBLANK(Input!$O$4),NA(),'Reaction Information'!$E$5-'Reaction Information'!$G$5*(Calculations!$O172-Calculations!$C$8)+'Reaction Information'!$I$5*(Calculations!$O172-Calculations!$C$8-Calculations!$O172*LN(Calculations!$O172/Calculations!$C$8))+'Reaction Information'!$J$5*0.001/2*(2*Calculations!$O172*Calculations!$C$8-Calculations!$O172^2-Calculations!$C$8^2) + 'Reaction Information'!$K$5*100000*(Calculations!$O172^2 + Calculations!$C$8^2 - 2*Calculations!$O172*Calculations!$C$8)/(2*Calculations!$O172*Calculations!$C$8^2))</f>
        <v>#N/A</v>
      </c>
      <c r="AD172" s="8" t="e">
        <f>IF(ISBLANK(Input!$R$4),NA(),'Reaction Information'!$E$9-'Reaction Information'!$G$9*(Calculations!$O172-Calculations!$C$8)+'Reaction Information'!$I$9*(Calculations!$O172-Calculations!$C$8-Calculations!$O172*LN(Calculations!$O172/Calculations!$C$8))+'Reaction Information'!$J$9*0.001/2*(2*Calculations!$O172*Calculations!$C$8-Calculations!$O172^2-Calculations!$C$8^2) + 'Reaction Information'!$K$9*100000*(Calculations!$O172^2 + Calculations!$C$8^2 - 2*Calculations!$O172*Calculations!$C$8)/(2*Calculations!$O172*Calculations!$C$8^2))</f>
        <v>#N/A</v>
      </c>
      <c r="AE172" s="8">
        <f>IF(AE$5="H2O",IF($D$24=3,IF(T172=0,NA(),T172),calculateGibbsOfWater(M172,N172,$D$24,$D$20,$D$19=3)),NA())</f>
        <v>-43684.07114072617</v>
      </c>
      <c r="AF172" s="8">
        <f>IF(ISBLANK(Input!$X$4),NA(),'Reaction Information'!$E$13-'Reaction Information'!$G$13*(Calculations!O172-Calculations!$C$8)-'Reaction Information'!$N$13*(Calculations!O172*LN(Calculations!O172/Calculations!$C$8)-Calculations!O172+Calculations!$C$8)-'Reaction Information'!$O$13*10^4*(((1/(Calculations!O172-Calculations!$C$13))-(1/(Calculations!$C$8-Calculations!$C$13)))*((Calculations!$C$13-Calculations!O172)/(Calculations!$C$13))-(Calculations!O172/(Calculations!$C$13*Calculations!$C$13))*LN((Calculations!$C$8*(Calculations!O172-Calculations!$C$13))/(Calculations!O172*(Calculations!$C$8-Calculations!$C$13))))+'Reaction Information'!$J$13*10^-1*(Calculations!M172-Calculations!$C$9)+'Reaction Information'!$K$13*10^2*LN((Calculations!$C$12+Calculations!M172)/(Calculations!$C$12+Calculations!$C$9))+(1/(Calculations!O172-Calculations!$C$13))*('Reaction Information'!$L$13*(Calculations!M172-Calculations!$C$9)+'Reaction Information'!$M$13*10^4*LN((Calculations!$C$12+Calculations!M172)/(Calculations!$C$12+Calculations!$C$9)))+calculateOmega(Calculations!M172,Calculations!N172,Calculations!Q172,'Reaction Information'!$C$13,'Reaction Information'!$P$13*10^5,'Reaction Information'!$Q$13)*((1/Calculations!S172)-1)-'Reaction Information'!$P$13*10^5*((1/Calculations!$C$10)-1)+'Reaction Information'!$P$13*10^5*Calculations!$C$14*(Calculations!O172-Calculations!$C$8))</f>
        <v>-61182.556265655592</v>
      </c>
      <c r="AG172" s="8" t="e">
        <f>IF(ISBLANK(Input!$AA$4),NA(),'Reaction Information'!$E$17-'Reaction Information'!$G$17*(Calculations!$O172-Calculations!$C$8)-'Reaction Information'!$N$17*(Calculations!$O172*LN(Calculations!$O172/Calculations!$C$8)-Calculations!$O172+Calculations!$C$8)-'Reaction Information'!$O$17*10^4*(((1/(Calculations!$O172-Calculations!$C$13))-(1/(Calculations!$C$8-Calculations!$C$13)))*((Calculations!$C$13-Calculations!$O172)/(Calculations!$C$13))-(Calculations!$O172/(Calculations!$C$13*Calculations!$C$13))*LN((Calculations!$C$8*(Calculations!$O172-Calculations!$C$13))/(Calculations!$O172*(Calculations!$C$8-Calculations!$C$13))))+'Reaction Information'!$J$17*10^-1*(Calculations!$M172-Calculations!$C$9)+'Reaction Information'!$K$17*10^2*LN((Calculations!$C$12+Calculations!$M172)/(Calculations!$C$12+Calculations!$C$9))+(1/(Calculations!$O172-Calculations!$C$13))*('Reaction Information'!$L$17*(Calculations!$M172-Calculations!$C$9)+'Reaction Information'!$M$17*10^4*LN((Calculations!$C$12+Calculations!$M172)/(Calculations!$C$12+Calculations!$C$9)))+calculateOmega(Calculations!M172,Calculations!N172,Calculations!Q172,'Reaction Information'!$C$17,'Reaction Information'!$P$17*10^5,'Reaction Information'!$Q$17)*((1/Calculations!$S172)-1)-'Reaction Information'!$P$17*10^5*((1/Calculations!$C$10)-1)+'Reaction Information'!$P$17*10^5*Calculations!$C$14*(Calculations!$O172-Calculations!$C$8))</f>
        <v>#N/A</v>
      </c>
      <c r="AH172" s="8" t="e">
        <f>IF(ISBLANK(Input!$AD$4),NA(),'Reaction Information'!$E$21-'Reaction Information'!$G$21*(Calculations!$O172-Calculations!$C$8)-'Reaction Information'!$N$21*(Calculations!$O172*LN(Calculations!$O172/Calculations!$C$8)-Calculations!$O172+Calculations!$C$8)-'Reaction Information'!$O$21*10^4*(((1/(Calculations!$O172-Calculations!$C$13))-(1/(Calculations!$C$8-Calculations!$C$13)))*((Calculations!$C$13-Calculations!$O172)/(Calculations!$C$13))-(Calculations!$O172/(Calculations!$C$13*Calculations!$C$13))*LN((Calculations!$C$8*(Calculations!$O172-Calculations!$C$13))/(Calculations!$O172*(Calculations!$C$8-Calculations!$C$13))))+'Reaction Information'!$J$21*10^-1*(Calculations!$M172-Calculations!$C$9)+'Reaction Information'!$K$21*10^2*LN((Calculations!$C$12+Calculations!$M172)/(Calculations!$C$12+Calculations!$C$9))+(1/(Calculations!$O172-Calculations!$C$13))*('Reaction Information'!$L$21*(Calculations!$M172-Calculations!$C$9)+'Reaction Information'!$M$21*10^4*LN((Calculations!$C$12+Calculations!$M172)/(Calculations!$C$12+Calculations!$C$9)))+calculateOmega(Calculations!M172,Calculations!N172,Calculations!Q172,'Reaction Information'!$C$21,'Reaction Information'!$P$21*10^5,'Reaction Information'!$Q$21)*((1/Calculations!$S172)-1)-'Reaction Information'!$P$21*10^5*((1/Calculations!$C$10)-1)+'Reaction Information'!$P$21*10^5*Calculations!$C$14*(Calculations!$O172-Calculations!$C$8))</f>
        <v>#N/A</v>
      </c>
      <c r="AI172" s="8" t="e">
        <f>IF(ISBLANK(Input!$AG$4),NA(),'Reaction Information'!$E$25-'Reaction Information'!$G$25*(Calculations!$O172-Calculations!$C$8)-'Reaction Information'!$N$25*(Calculations!$O172*LN(Calculations!$O172/Calculations!$C$8)-Calculations!$O172+Calculations!$C$8)-'Reaction Information'!$O$25*10^4*(((1/(Calculations!$O172-Calculations!$C$13))-(1/(Calculations!$C$8-Calculations!$C$13)))*((Calculations!$C$13-Calculations!$O172)/(Calculations!$C$13))-(Calculations!$O172/(Calculations!$C$13*Calculations!$C$13))*LN((Calculations!$C$8*(Calculations!$O172-Calculations!$C$13))/(Calculations!$O172*(Calculations!$C$8-Calculations!$C$13))))+'Reaction Information'!$J$25*10^-1*(Calculations!$M172-Calculations!$C$9)+'Reaction Information'!$K$25*10^2*LN((Calculations!$C$12+Calculations!$M172)/(Calculations!$C$12+Calculations!$C$9))+(1/(Calculations!$O172-Calculations!$C$13))*('Reaction Information'!$L$25*(Calculations!$M172-Calculations!$C$9)+'Reaction Information'!$M$25*10^4*LN((Calculations!$C$12+Calculations!$M172)/(Calculations!$C$12+Calculations!$C$9)))+calculateOmega(Calculations!M172,Calculations!N172,Calculations!Q172,'Reaction Information'!$C$25,'Reaction Information'!$P$25*10^5,'Reaction Information'!$Q$25)*((1/Calculations!$S172)-1)-'Reaction Information'!$P$25*10^5*((1/Calculations!$C$10)-1)+'Reaction Information'!$P$25*10^5*Calculations!$C$14*(Calculations!$O172-Calculations!$C$8))</f>
        <v>#N/A</v>
      </c>
      <c r="AJ172" s="8" t="e">
        <f>IF(ISBLANK(Input!$AJ$4),NA(),'Reaction Information'!$E$29-'Reaction Information'!$G$29*(Calculations!$O172-Calculations!$C$8)-'Reaction Information'!$N$29*(Calculations!$O172*LN(Calculations!$O172/Calculations!$C$8)-Calculations!$O172+Calculations!$C$8)-'Reaction Information'!$O$29*10^4*(((1/(Calculations!$O172-Calculations!$C$13))-(1/(Calculations!$C$8-Calculations!$C$13)))*((Calculations!$C$13-Calculations!$O172)/(Calculations!$C$13))-(Calculations!$O172/(Calculations!$C$13*Calculations!$C$13))*LN((Calculations!$C$8*(Calculations!$O172-Calculations!$C$13))/(Calculations!$O172*(Calculations!$C$8-Calculations!$C$13))))+'Reaction Information'!$J$29*10^-1*(Calculations!$M172-Calculations!$C$9)+'Reaction Information'!$K$29*10^2*LN((Calculations!$C$12+Calculations!$M172)/(Calculations!$C$12+Calculations!$C$9))+(1/(Calculations!$O172-Calculations!$C$13))*('Reaction Information'!$L$29*(Calculations!$M172-Calculations!$C$9)+'Reaction Information'!$M$29*10^4*LN((Calculations!$C$12+Calculations!$M172)/(Calculations!$C$12+Calculations!$C$9)))+calculateOmega(Calculations!M172,Calculations!N172,Calculations!Q172,'Reaction Information'!$C$29,'Reaction Information'!$P$29*10^5,'Reaction Information'!$Q$29)*((1/Calculations!$S172)-1)-'Reaction Information'!$P$29*10^5*((1/Calculations!$C$10)-1)+'Reaction Information'!$P$29*10^5*Calculations!$C$14*(Calculations!$O172-Calculations!$C$8))</f>
        <v>#N/A</v>
      </c>
      <c r="AK172" s="8" t="e">
        <f>IF(ISBLANK(Input!$AM$4),NA(),'Reaction Information'!$E$33-'Reaction Information'!$G$33*(Calculations!$O172-Calculations!$C$8)-'Reaction Information'!$N$33*(Calculations!$O172*LN(Calculations!$O172/Calculations!$C$8)-Calculations!$O172+Calculations!$C$8)-'Reaction Information'!$O$33*10^4*(((1/(Calculations!$O172-Calculations!$C$13))-(1/(Calculations!$C$8-Calculations!$C$13)))*((Calculations!$C$13-Calculations!$O172)/(Calculations!$C$13))-(Calculations!$O172/(Calculations!$C$13*Calculations!$C$13))*LN((Calculations!$C$8*(Calculations!$O172-Calculations!$C$13))/(Calculations!$O172*(Calculations!$C$8-Calculations!$C$13))))+'Reaction Information'!$J$33*10^-1*(Calculations!$M172-Calculations!$C$9)+'Reaction Information'!$K$33*10^2*LN((Calculations!$C$12+Calculations!$M172)/(Calculations!$C$12+Calculations!$C$9))+(1/(Calculations!$O172-Calculations!$C$13))*('Reaction Information'!$L$33*(Calculations!$M172-Calculations!$C$9)+'Reaction Information'!$M$33*10^4*LN((Calculations!$C$12+Calculations!$M172)/(Calculations!$C$12+Calculations!$C$9)))+calculateOmega(Calculations!M172,Calculations!N172,Calculations!Q172,'Reaction Information'!$C$33,'Reaction Information'!$P$33*10^5,'Reaction Information'!$Q$33)*((1/Calculations!$S172)-1)-'Reaction Information'!$P$33*10^5*((1/Calculations!$C$10)-1)+'Reaction Information'!$P$33*10^5*Calculations!$C$14*(Calculations!$O172-Calculations!$C$8))</f>
        <v>#N/A</v>
      </c>
      <c r="AL172" s="1">
        <f>Results!S174</f>
        <v>0</v>
      </c>
      <c r="AM172" s="1">
        <f>Results!T174</f>
        <v>0</v>
      </c>
      <c r="AN172" s="1">
        <f>Results!U174</f>
        <v>0</v>
      </c>
      <c r="AO172" s="1">
        <f>Results!V174</f>
        <v>0</v>
      </c>
      <c r="AP172" s="8" t="e">
        <f>IF(ISBLANK(Input!$BB$4),NA(),'Reaction Information'!$E$38-'Reaction Information'!$G$38*(Calculations!$O172-Calculations!$C$8)+'Reaction Information'!$I$38*(Calculations!$O172-Calculations!$C$8-Calculations!$O172*LN(Calculations!$O172/Calculations!$C$8))+'Reaction Information'!$J$38*0.001/2*(2*Calculations!$O172*Calculations!$C$8-Calculations!$O172^2-Calculations!$C$8^2) + 'Reaction Information'!$K$38*100000*(Calculations!$O172^2 + Calculations!$C$8^2 - 2*Calculations!$O172*Calculations!$C$8)/(2*Calculations!$O172*Calculations!$C$8^2))</f>
        <v>#N/A</v>
      </c>
      <c r="AQ172" s="8" t="e">
        <f>IF(ISBLANK(Input!$BE$4),NA(),'Reaction Information'!$E$42-'Reaction Information'!$G$42*(Calculations!$O172-Calculations!$C$8)+'Reaction Information'!$I$42*(Calculations!$O172-Calculations!$C$8-Calculations!$O172*LN(Calculations!$O172/Calculations!$C$8))+'Reaction Information'!$J$42*0.001/2*(2*Calculations!$O172*Calculations!$C$8-Calculations!$O172^2-Calculations!$C$8^2) + 'Reaction Information'!$K$42*100000*(Calculations!$O172^2 + Calculations!$C$8^2 - 2*Calculations!$O172*Calculations!$C$8)/(2*Calculations!$O172*Calculations!$C$8^2))</f>
        <v>#N/A</v>
      </c>
      <c r="AR172" s="8" t="e">
        <f>IF(AR$5="H2O", IF($D$24=3,IF(T172=0,NA(),T172),calculateGibbsOfWater(M172,N172,$D$24,$D$20,$D$19=3)),NA())</f>
        <v>#N/A</v>
      </c>
      <c r="AS172" s="8">
        <f>IF(ISBLANK(Input!$BK$4),NA(),'Reaction Information'!$E$46-'Reaction Information'!$G$46*(Calculations!O172-Calculations!$C$8)-'Reaction Information'!$N$46*(Calculations!O172*LN(Calculations!O172/Calculations!$C$8)-Calculations!O172+Calculations!$C$8)-'Reaction Information'!$O$46*10^4*(((1/(Calculations!O172-Calculations!$C$13))-(1/(Calculations!$C$8-Calculations!$C$13)))*((Calculations!$C$13-Calculations!O172)/(Calculations!$C$13))-(Calculations!O172/(Calculations!$C$13*Calculations!$C$13))*LN((Calculations!$C$8*(Calculations!O172-Calculations!$C$13))/(Calculations!O172*(Calculations!$C$8-Calculations!$C$13))))+'Reaction Information'!$J$46*10^-1*(Calculations!$M172-Calculations!$C$9)+'Reaction Information'!$K$46*10^2*LN((Calculations!$C$12+Calculations!$M172)/(Calculations!$C$12+Calculations!$C$9))+(1/(Calculations!O172-Calculations!$C$13))*('Reaction Information'!$L$46*(Calculations!$M172-Calculations!$C$9)+'Reaction Information'!$M$46*10^4*LN((Calculations!$C$12+Calculations!$M172)/(Calculations!$C$12+Calculations!$C$9)))+calculateOmega(Calculations!M172,Calculations!N172,Calculations!Q172,'Reaction Information'!$C$46,'Reaction Information'!$P$46*10^5,'Reaction Information'!$Q$46)*((1/Calculations!S172)-1)-'Reaction Information'!$P$46*10^5*((1/Calculations!$C$10)-1)+'Reaction Information'!$P$46*10^5*Calculations!$C$14*(Calculations!O172-Calculations!$C$8))</f>
        <v>0</v>
      </c>
      <c r="AT172" s="8">
        <f>IF(ISBLANK(Input!$BN$4),NA(),'Reaction Information'!$E$50-'Reaction Information'!$G$50*(Calculations!O172-Calculations!$C$8)-'Reaction Information'!$N$50*(Calculations!O172*LN(Calculations!O172/Calculations!$C$8)-Calculations!O172+Calculations!$C$8)-'Reaction Information'!$O$50*10^4*(((1/(Calculations!O172-Calculations!$C$13))-(1/(Calculations!$C$8-Calculations!$C$13)))*((Calculations!$C$13-Calculations!O172)/(Calculations!$C$13))-(Calculations!O172/(Calculations!$C$13*Calculations!$C$13))*LN((Calculations!$C$8*(Calculations!O172-Calculations!$C$13))/(Calculations!O172*(Calculations!$C$8-Calculations!$C$13))))+'Reaction Information'!$J$50*10^-1*(Calculations!$M172-Calculations!$C$9)+'Reaction Information'!$K$50*10^2*LN((Calculations!$C$12+Calculations!$M172)/(Calculations!$C$12+Calculations!$C$9))+(1/(Calculations!O172-Calculations!$C$13))*('Reaction Information'!$L$50*(Calculations!$M172-Calculations!$C$9)+'Reaction Information'!$M$50*10^4*LN((Calculations!$C$12+Calculations!$M172)/(Calculations!$C$12+Calculations!$C$9)))+calculateOmega(Calculations!M172,Calculations!N172,Calculations!Q172,'Reaction Information'!$C$50,'Reaction Information'!$P$50*10^5,'Reaction Information'!$Q$50)*((1/Calculations!S172)-1)-'Reaction Information'!$P$50*10^5*((1/Calculations!$C$10)-1)+'Reaction Information'!$P$50*10^5*Calculations!$C$14*(Calculations!O172-Calculations!$C$8))</f>
        <v>-104826.59049143615</v>
      </c>
      <c r="AU172" s="8" t="e">
        <f>IF(ISBLANK(Input!$BQ$4),NA(),'Reaction Information'!$E$54-'Reaction Information'!$G$54*(Calculations!$O172-Calculations!$C$8)-'Reaction Information'!$N$54*(Calculations!$O172*LN(Calculations!$O172/Calculations!$C$8)-Calculations!$O172+Calculations!$C$8)-'Reaction Information'!$O$54*10^4*(((1/(Calculations!$O172-Calculations!$C$13))-(1/(Calculations!$C$8-Calculations!$C$13)))*((Calculations!$C$13-Calculations!$O172)/(Calculations!$C$13))-(Calculations!$O172/(Calculations!$C$13*Calculations!$C$13))*LN((Calculations!$C$8*(Calculations!$O172-Calculations!$C$13))/(Calculations!$O172*(Calculations!$C$8-Calculations!$C$13))))+'Reaction Information'!$J$54*10^-1*(Calculations!$M172-Calculations!$C$9)+'Reaction Information'!$K$54*10^2*LN((Calculations!$C$12+Calculations!$M172)/(Calculations!$C$12+Calculations!$C$9))+(1/(Calculations!$O172-Calculations!$C$13))*('Reaction Information'!$L$54*(Calculations!$M172-Calculations!$C$9)+'Reaction Information'!$M$54*10^4*LN((Calculations!$C$12+Calculations!$M172)/(Calculations!$C$12+Calculations!$C$9)))+calculateOmega(Calculations!M172,Calculations!N172,Calculations!Q172,'Reaction Information'!$C$54,'Reaction Information'!$P$54*10^5,'Reaction Information'!$Q$54)*((1/Calculations!$S172)-1)-'Reaction Information'!$P$54*10^5*((1/Calculations!$C$10)-1)+'Reaction Information'!$P$54*10^5*Calculations!$C$14*(Calculations!$O172-Calculations!$C$8))</f>
        <v>#N/A</v>
      </c>
      <c r="AV172" s="8" t="e">
        <f>IF(ISBLANK(Input!$BT$4),NA(),'Reaction Information'!$E$58-'Reaction Information'!$G$58*(Calculations!$O172-Calculations!$C$8)-'Reaction Information'!$N$58*(Calculations!$O172*LN(Calculations!$O172/Calculations!$C$8)-Calculations!$O172+Calculations!$C$8)-'Reaction Information'!$O$58*10^4*(((1/(Calculations!$O172-Calculations!$C$13))-(1/(Calculations!$C$8-Calculations!$C$13)))*((Calculations!$C$13-Calculations!$O172)/(Calculations!$C$13))-(Calculations!$O172/(Calculations!$C$13*Calculations!$C$13))*LN((Calculations!$C$8*(Calculations!$O172-Calculations!$C$13))/(Calculations!$O172*(Calculations!$C$8-Calculations!$C$13))))+'Reaction Information'!$J$58*10^-1*(Calculations!$M172-Calculations!$C$9)+'Reaction Information'!$K$58*10^2*LN((Calculations!$C$12+Calculations!$M172)/(Calculations!$C$12+Calculations!$C$9))+(1/(Calculations!$O172-Calculations!$C$13))*('Reaction Information'!$L$58*(Calculations!$M172-Calculations!$C$9)+'Reaction Information'!$M$58*10^4*LN((Calculations!$C$12+Calculations!$M172)/(Calculations!$C$12+Calculations!$C$9)))+calculateOmega(Calculations!M172,Calculations!N172,Calculations!Q172,'Reaction Information'!$C$58,'Reaction Information'!$P$58*10^5,'Reaction Information'!$Q$58)*((1/Calculations!$S172)-1)-'Reaction Information'!$P$58*10^5*((1/Calculations!$C$10)-1)+'Reaction Information'!$P$58*10^5*Calculations!$C$14*(Calculations!$O172-Calculations!$C$8))</f>
        <v>#N/A</v>
      </c>
      <c r="AW172" s="8" t="e">
        <f>IF(ISBLANK(Input!$BW$4),NA(),'Reaction Information'!$E$62-'Reaction Information'!$G$62*(Calculations!$O172-Calculations!$C$8)-'Reaction Information'!$N$62*(Calculations!$O172*LN(Calculations!$O172/Calculations!$C$8)-Calculations!$O172+Calculations!$C$8)-'Reaction Information'!$O$62*10^4*(((1/(Calculations!$O172-Calculations!$C$13))-(1/(Calculations!$C$8-Calculations!$C$13)))*((Calculations!$C$13-Calculations!$O172)/(Calculations!$C$13))-(Calculations!$O172/(Calculations!$C$13*Calculations!$C$13))*LN((Calculations!$C$8*(Calculations!$O172-Calculations!$C$13))/(Calculations!$O172*(Calculations!$C$8-Calculations!$C$13))))+'Reaction Information'!$J$62*10^-1*(Calculations!$M172-Calculations!$C$9)+'Reaction Information'!$K$62*10^2*LN((Calculations!$C$12+Calculations!$M172)/(Calculations!$C$12+Calculations!$C$9))+(1/(Calculations!$O172-Calculations!$C$13))*('Reaction Information'!$L$62*(Calculations!$M172-Calculations!$C$9)+'Reaction Information'!$M$62*10^4*LN((Calculations!$C$12+Calculations!$M172)/(Calculations!$C$12+Calculations!$C$9)))+calculateOmega(Calculations!M172,Calculations!N172,Calculations!Q172,'Reaction Information'!$C$62,'Reaction Information'!$P$62*10^5,'Reaction Information'!$Q$62)*((1/Calculations!$S172)-1)-'Reaction Information'!$P$62*10^5*((1/Calculations!$C$10)-1)+'Reaction Information'!$P$62*10^5*Calculations!$C$14*(Calculations!$O172-Calculations!$C$8))</f>
        <v>#N/A</v>
      </c>
      <c r="AX172" s="8" t="e">
        <f>IF(ISBLANK(Input!$BZ$4),NA(),'Reaction Information'!$E$66-'Reaction Information'!$G$66*(Calculations!$O172-Calculations!$C$8)-'Reaction Information'!$N$66*(Calculations!$O172*LN(Calculations!$O172/Calculations!$C$8)-Calculations!$O172+Calculations!$C$8)-'Reaction Information'!$O$66*10^4*(((1/(Calculations!$O172-Calculations!$C$13))-(1/(Calculations!$C$8-Calculations!$C$13)))*((Calculations!$C$13-Calculations!$O172)/(Calculations!$C$13))-(Calculations!$O172/(Calculations!$C$13*Calculations!$C$13))*LN((Calculations!$C$8*(Calculations!$O172-Calculations!$C$13))/(Calculations!$O172*(Calculations!$C$8-Calculations!$C$13))))+'Reaction Information'!$J$66*10^-1*(Calculations!$M172-Calculations!$C$9)+'Reaction Information'!$K$66*10^2*LN((Calculations!$C$12+Calculations!$M172)/(Calculations!$C$12+Calculations!$C$9))+(1/(Calculations!$O172-Calculations!$C$13))*('Reaction Information'!$L$66*(Calculations!$M172-Calculations!$C$9)+'Reaction Information'!$M$66*10^4*LN((Calculations!$C$12+Calculations!$M172)/(Calculations!$C$12+Calculations!$C$9)))+calculateOmega(Calculations!M172,Calculations!N172,Calculations!Q172,'Reaction Information'!$C$66,'Reaction Information'!$P$66*10^5,'Reaction Information'!$Q$66)*((1/Calculations!$S172)-1)-'Reaction Information'!$P$66*10^5*((1/Calculations!$C$10)-1)+'Reaction Information'!$P$66*10^5*Calculations!$C$14*(Calculations!$O172-Calculations!$C$8))</f>
        <v>#N/A</v>
      </c>
      <c r="AY172" s="31">
        <f>(AL172*Input!$AO$4+AM172*Input!$AR$4+AN172*Input!$AU$4+AO172*Input!$AX$4+IF(ISNA(AP172),0,AP172*Input!$BA$4)+IF(ISNA(AQ172),0,AQ172*Input!$BD$4)+IF(ISNA(AR172),0,AR172*Input!$BG$4)+IF(ISNA(AS172),0,AS172*Input!$BJ$4)+IF(ISNA(AT172),0,AT172*Input!$BM$4)+IF(ISNA(AU172),0,AU172*Input!$BP$4)+IF(ISNA(AV172),0,AV172*Input!$BS$4)+IF(ISNA(AW172),0,AW172*Input!$BV$4)+IF(ISNA(AX172),0,AX172*Input!$BY$4))-(Y172*Input!$B$4+Z172*Input!$E$4+AA172*Input!$H$4+AB172*Input!$K$4+IF(ISNA(AC172),0,AC172*Input!$N$4)+IF(ISNA(AD172),0,AD172*Input!$Q$4)+IF(ISNA(AE172),0,AE172*Input!$T$4)+IF(ISNA(AF172),0,AF172*Input!$W$4)+IF(ISNA(AG172),0,AG172*Input!$Z$4)+IF(ISNA(AH172),0,AH172*Input!$AC$4)+IF(ISNA(AI172),0,AI172*Input!$AF$4)+IF(ISNA(AJ172),0,AJ172*Input!$AI$4)+IF(ISNA(AK172),0,AK172*Input!$AL$4))</f>
        <v>40.036914945623721</v>
      </c>
      <c r="AZ172" s="42">
        <f t="shared" si="54"/>
        <v>-1.4050762068628873E-2</v>
      </c>
      <c r="BA172" s="1">
        <f t="shared" si="46"/>
        <v>350</v>
      </c>
      <c r="BB172" s="46">
        <f t="shared" si="47"/>
        <v>60000</v>
      </c>
      <c r="BC172" s="1"/>
      <c r="BD172" s="2">
        <f t="shared" si="48"/>
        <v>60000</v>
      </c>
      <c r="BE172" s="46">
        <f t="shared" si="49"/>
        <v>350</v>
      </c>
      <c r="BF172" s="1">
        <f>Results!AJ174</f>
        <v>0</v>
      </c>
      <c r="BG172" s="1">
        <f>Results!AK174</f>
        <v>0</v>
      </c>
      <c r="BH172" s="1">
        <f>Results!AL174</f>
        <v>0</v>
      </c>
      <c r="BI172" s="1">
        <f>Results!AM174</f>
        <v>0</v>
      </c>
      <c r="BJ172" s="1" t="e">
        <f>IF(OR(ISNA('Reaction Information'!$D$5), $N172 = "", $D$27 = FALSE, 'Reaction Information'!$D$5 = ""), NA(), 24.465)</f>
        <v>#N/A</v>
      </c>
      <c r="BK172" s="1" t="e">
        <f>IF(OR(ISNA('Reaction Information'!$D$9), $N172 = "", $D$27 = FALSE, 'Reaction Information'!$D$9 = ""), NA(), 24.465)</f>
        <v>#N/A</v>
      </c>
      <c r="BL172" s="8">
        <f t="shared" si="55"/>
        <v>11.905065297558275</v>
      </c>
      <c r="BM172" s="8">
        <f>IF(OR(ISBLANK(Input!$X$4),$D$27=FALSE),NA(),('Reaction Information'!$J$13/10+'Reaction Information'!$K$13*100/(Calculations!$C$12+Calculations!$M172)+('Reaction Information'!$L$13+'Reaction Information'!$M$13*10^4/(Calculations!$C$12+Calculations!$M172))/(Calculations!$O172-Calculations!$C$13) -calculateOmega(Calculations!$M172,Calculations!$N172,Calculations!$Q172,'Reaction Information'!$C$13,'Reaction Information'!$P$13*10^5,'Reaction Information'!$Q$13)*Calculations!$U172*10^-6 + (1/$S172 - 1)*calculate_domegadP(Calculations!$M172,Calculations!$N172,Calculations!$Q172,'Reaction Information'!$C$13,'Reaction Information'!$P$13*10^5,'Reaction Information'!$Q$13,$D$20,$D$19=3))*41.84)</f>
        <v>29.772043915931</v>
      </c>
      <c r="BN172" s="8" t="e">
        <f>IF(OR(ISBLANK(Input!$AA$4),$D$27=FALSE),NA(),('Reaction Information'!$J$17/10+'Reaction Information'!$K$17*100/(Calculations!$C$12+Calculations!$M172)+('Reaction Information'!$L$17+'Reaction Information'!$M$17*10000/(Calculations!$C$12+Calculations!$M172))/(Calculations!$O172-Calculations!$C$13)-calculateOmega(Calculations!M172,Calculations!N172,Calculations!Q172,'Reaction Information'!$C$17,'Reaction Information'!$P$17*10^5,'Reaction Information'!$Q$17)*Calculations!$U172*10^-6 + (1/$S172 - 1)*calculate_domegadP(Calculations!M172,Calculations!N172,Calculations!Q172,'Reaction Information'!$C$17,'Reaction Information'!$P$17*10^5,'Reaction Information'!$Q$17,$D$20,$D$19=3))*41.84)</f>
        <v>#N/A</v>
      </c>
      <c r="BO172" s="8" t="e">
        <f>IF(OR(ISBLANK(Input!$AD$4),$D$27=FALSE),NA(),('Reaction Information'!$J$21/10+'Reaction Information'!$K$21*100/(Calculations!$C$12+Calculations!$M172)+('Reaction Information'!$L$21+'Reaction Information'!$M$21*10000/(Calculations!$C$12+Calculations!$M172))/(Calculations!$O172-Calculations!$C$13)-calculateOmega(Calculations!M172,Calculations!N172,Calculations!Q172,'Reaction Information'!$C$21,'Reaction Information'!$P$21*10^5,'Reaction Information'!$Q$21)*Calculations!$U172*10^-6 + (1/$S172 - 1)*calculate_domegadP(Calculations!M172,Calculations!N172,Calculations!Q172,'Reaction Information'!$C$21,'Reaction Information'!$P$21*10^5,'Reaction Information'!$Q$21,$D$20,$D$19=3))*41.84)</f>
        <v>#N/A</v>
      </c>
      <c r="BP172" s="8" t="e">
        <f>IF(OR(ISBLANK(Input!$AG$4),$D$27=FALSE),NA(),('Reaction Information'!$J$25/10+'Reaction Information'!$K$25*100/(Calculations!$C$12+Calculations!$M172)+('Reaction Information'!$L$25+'Reaction Information'!$M$25*10000/(Calculations!$C$12+Calculations!$M172))/(Calculations!$O172-Calculations!$C$13)-calculateOmega(Calculations!M172,Calculations!N172,Calculations!Q172,'Reaction Information'!$C$25,'Reaction Information'!$P$25*10^5,'Reaction Information'!$Q$25)*Calculations!$U172*10^-6 + (1/$S172 - 1)*calculate_domegadP(Calculations!M172,Calculations!N172,Calculations!Q172,'Reaction Information'!$C$25,'Reaction Information'!$P$25*10^5,'Reaction Information'!$Q$25,$D$20,$D$19=3))*41.84)</f>
        <v>#N/A</v>
      </c>
      <c r="BQ172" s="8" t="e">
        <f>IF(OR(ISBLANK(Input!$AJ$4),$D$27=FALSE),NA(),('Reaction Information'!$J$29/10+'Reaction Information'!$K$29*100/(Calculations!$C$12+Calculations!$M172)+('Reaction Information'!$L$29+'Reaction Information'!$M$29*10000/(Calculations!$C$12+Calculations!$M172))/(Calculations!$O172-Calculations!$C$13)-calculateOmega(Calculations!M172,Calculations!N172,Calculations!Q172,'Reaction Information'!$C$29,'Reaction Information'!$P$29*10^5,'Reaction Information'!$Q$29)*Calculations!$U172*10^-6 + (1/$S172 - 1)*calculate_domegadP(Calculations!M172,Calculations!N172,Calculations!Q172,'Reaction Information'!$C$29,'Reaction Information'!$P$29*10^5,'Reaction Information'!$Q$29,$D$20,$D$19=3))*41.84)</f>
        <v>#N/A</v>
      </c>
      <c r="BR172" s="8" t="e">
        <f>IF(OR(ISBLANK(Input!$AM$4),$D$27=FALSE),NA(),('Reaction Information'!$J$33/10+'Reaction Information'!$K$33*100/(Calculations!$C$12+Calculations!$M172)+('Reaction Information'!$L$33+'Reaction Information'!$M$33*10000/(Calculations!$C$12+Calculations!$M172))/(Calculations!$O172-Calculations!$C$13)-calculateOmega(Calculations!M172,Calculations!N172,Calculations!Q172,'Reaction Information'!$C$33,'Reaction Information'!$P$33*10^5,'Reaction Information'!$Q$33)*Calculations!$U172*10^-6 + (1/$S172 - 1)*calculate_domegadP(Calculations!M172,Calculations!N172,Calculations!Q172,'Reaction Information'!$C$33,'Reaction Information'!$P$33*10^5,'Reaction Information'!$Q$33,$D$20,$D$19=3))*41.84)</f>
        <v>#N/A</v>
      </c>
      <c r="BS172" s="1">
        <f>Results!AW174</f>
        <v>0</v>
      </c>
      <c r="BT172" s="1">
        <f>Results!AX174</f>
        <v>0</v>
      </c>
      <c r="BU172" s="1">
        <f>Results!AY174</f>
        <v>0</v>
      </c>
      <c r="BV172" s="1">
        <f>Results!AZ174</f>
        <v>0</v>
      </c>
      <c r="BW172" s="1" t="e">
        <f>IF(OR(ISNA('Reaction Information'!$D$38), $N172 = "", $D$27 = FALSE, 'Reaction Information'!$D$38 = ""), NA(), 24.465)</f>
        <v>#N/A</v>
      </c>
      <c r="BX172" s="1" t="e">
        <f>IF(OR(ISNA('Reaction Information'!$D$42), $N172 = "", $D$27 = FALSE, 'Reaction Information'!$D$42 = ""), NA(), 24.465)</f>
        <v>#N/A</v>
      </c>
      <c r="BY172" s="8" t="e">
        <f t="shared" si="56"/>
        <v>#N/A</v>
      </c>
      <c r="BZ172" s="8">
        <f>IF(OR(ISBLANK(Input!$BK$4),$D$27=FALSE),NA(),('Reaction Information'!$J$46/10+'Reaction Information'!$K$46*100/(Calculations!$C$12+Calculations!$M172)+('Reaction Information'!$L$46+'Reaction Information'!$M$46*10000/(Calculations!$C$12+Calculations!$M172))/(Calculations!$O172-Calculations!$C$13)-calculateOmega(Calculations!M172,Calculations!N172,Calculations!Q172,'Reaction Information'!$C$46,'Reaction Information'!$P$46*10^5,'Reaction Information'!$Q$46)*Calculations!$U172*10^-6 + (1/$S172 - 1)*calculate_domegadP(Calculations!M172,Calculations!N172,Calculations!Q172,'Reaction Information'!$C$46,'Reaction Information'!$P$46*10^5,'Reaction Information'!$Q$46,$D$20,$D$19=3))*41.84)</f>
        <v>0</v>
      </c>
      <c r="CA172" s="8">
        <f>IF(OR(ISBLANK(Input!$BN$4),$D$27=FALSE),NA(),('Reaction Information'!$J$50/10+'Reaction Information'!$K$50*100/(Calculations!$C$12+Calculations!$M172)+('Reaction Information'!$L$50+'Reaction Information'!$M$50*10000/(Calculations!$C$12+Calculations!$M172))/(Calculations!$O172-Calculations!$C$13)-calculateOmega(Calculations!M172,Calculations!N172,Calculations!Q172,'Reaction Information'!$C$50,'Reaction Information'!$P$50*10^5,'Reaction Information'!$Q$50)*Calculations!$U172*10^-6 + (1/$S172 - 1)*calculate_domegadP(Calculations!M172,Calculations!N172,Calculations!Q172,'Reaction Information'!$C$50,'Reaction Information'!$P$50*10^5,'Reaction Information'!$Q$50,$D$20,$D$19=3))*41.84)</f>
        <v>31.723923047145675</v>
      </c>
      <c r="CB172" s="8" t="e">
        <f>IF(OR(ISBLANK(Input!$BQ$4),$D$27=FALSE),NA(),('Reaction Information'!$J$54/10+'Reaction Information'!$K$54*100/(Calculations!$C$12+Calculations!$M172)+('Reaction Information'!$L$54+'Reaction Information'!$M$54*10000/(Calculations!$C$12+Calculations!$M172))/(Calculations!$O172-Calculations!$C$13)-calculateOmega(Calculations!M172,Calculations!N172,Calculations!Q172,'Reaction Information'!$C$54,'Reaction Information'!$P$54*10^5,'Reaction Information'!$Q$54)*Calculations!$U172*10^-6 + (1/$S172 - 1)*calculate_domegadP(Calculations!M172,Calculations!N172,Calculations!Q172,'Reaction Information'!$C$54,'Reaction Information'!$P$54*10^5,'Reaction Information'!$Q$54,$D$20,$D$19=3))*41.84)</f>
        <v>#N/A</v>
      </c>
      <c r="CC172" s="8" t="e">
        <f>IF(OR(ISBLANK(Input!$BT$4),$D$27=FALSE),NA(),('Reaction Information'!$J$58/10+'Reaction Information'!$K$58*100/(Calculations!$C$12+Calculations!$M172)+('Reaction Information'!$L$58+'Reaction Information'!$M$58*10000/(Calculations!$C$12+Calculations!$M172))/(Calculations!$O172-Calculations!$C$13)-calculateOmega(Calculations!M172,Calculations!N172,Calculations!Q172,'Reaction Information'!$C$58,'Reaction Information'!$P$58*10^5,'Reaction Information'!$Q$58)*Calculations!$U172*10^-6 + (1/$S172 - 1)*calculate_domegadP(Calculations!M172,Calculations!N172,Calculations!Q172,'Reaction Information'!$C$58,'Reaction Information'!$P$58*10^5,'Reaction Information'!$Q$58,$D$20,$D$19=3))*41.84)</f>
        <v>#N/A</v>
      </c>
      <c r="CD172" s="8" t="e">
        <f>IF(OR(ISBLANK(Input!$BW$4),$D$27=FALSE),NA(),('Reaction Information'!$J$62/10+'Reaction Information'!$K$62*100/(Calculations!$C$12+Calculations!$M172)+('Reaction Information'!$L$62+'Reaction Information'!$M$62*10000/(Calculations!$C$12+Calculations!$M172))/(Calculations!$O172-Calculations!$C$13)-calculateOmega(Calculations!M172,Calculations!N172,Calculations!Q172,'Reaction Information'!$C$62,'Reaction Information'!$P$62*10^5,'Reaction Information'!$Q$62)*Calculations!$U172*10^-6 + (1/$S172 - 1)*calculate_domegadP(Calculations!M172,Calculations!N172,Calculations!Q172,'Reaction Information'!$C$62,'Reaction Information'!$P$62*10^5,'Reaction Information'!$Q$62,$D$20,$D$19=3))*41.84)</f>
        <v>#N/A</v>
      </c>
      <c r="CE172" s="8" t="e">
        <f>IF(OR(ISBLANK(Input!$BZ$4),$D$27=FALSE),NA(),('Reaction Information'!$J$66/10+'Reaction Information'!$K$66*100/(Calculations!$C$12+Calculations!$M172)+('Reaction Information'!$L$66+'Reaction Information'!$M$66*10000/(Calculations!$C$12+Calculations!$M172))/(Calculations!$O172-Calculations!$C$13)-calculateOmega(Calculations!M172,Calculations!N172,Calculations!Q172,'Reaction Information'!$C$66,'Reaction Information'!$P$66*10^5,'Reaction Information'!$Q$66)*Calculations!$U172*10^-6 + (1/$S172 - 1)*calculate_domegadP(Calculations!M172,Calculations!N172,Calculations!Q172,'Reaction Information'!$C$66,'Reaction Information'!$P$66*10^5,'Reaction Information'!$Q$66,$D$20,$D$19=3))*41.84)</f>
        <v>#N/A</v>
      </c>
      <c r="CF172" s="31">
        <f>(BS172*Input!$AO$4+BT172*Input!$AR$4+BU172*Input!$AU$4+BV172*Input!$AX$4+IF(ISNA(BW172),0,BW172*Input!$BA$4)+IF(ISNA(BX172),0,BX172*Input!$BD$4)+IF(ISNA(BY172),0,BY172*Input!$BG$4)+IF(ISNA(BZ172),0,BZ172*Input!$BJ$4)+IF(ISNA(CA172),0,CA172*Input!$BM$4)+IF(ISNA(CB172),0,CB172*Input!$BP$4)+IF(ISNA(CC172),0,CC172*Input!$BS$4)+IF(ISNA(CD172),0,CD172*Input!$BV$4)+IF(ISNA(CE172),0,CE172*Input!$BY$4))-(BF172*Input!$B$4+BG172*Input!$E$4+BH172*Input!$H$4+BI172*Input!$K$4+IF(ISNA(BJ172),0,BJ172*Input!$N$4)+IF(ISNA(BK172),0,BK172*Input!$Q$4)+IF(ISNA(BL172),0,BL172*Input!$T$4)+IF(ISNA(BM172),0,BM172*Input!$W$4)+IF(ISNA(BN172),0,BN172*Input!$Z$4)+IF(ISNA(BO172),0,BO172*Input!$AC$4)+IF(ISNA(BP172),0,BP172*Input!$AF$4)+IF(ISNA(BQ172),0,BQ172*Input!$AI$4)+IF(ISNA(BR172),0,BR172*Input!$AL$4))</f>
        <v>-9.953186166343599</v>
      </c>
      <c r="CG172" s="1">
        <f t="shared" si="50"/>
        <v>350</v>
      </c>
      <c r="CH172" s="46">
        <f t="shared" si="51"/>
        <v>60000</v>
      </c>
      <c r="CI172" s="1"/>
    </row>
    <row r="173" spans="1:87" x14ac:dyDescent="0.2">
      <c r="A173" s="1"/>
      <c r="B173" s="1"/>
      <c r="C173" s="1"/>
      <c r="D173" s="1"/>
      <c r="E173" s="1"/>
      <c r="F173" s="2">
        <v>168</v>
      </c>
      <c r="G173" s="1" t="str">
        <f>IF(ISBLANK(Input!CB173), "", Input!CB173*1000)</f>
        <v/>
      </c>
      <c r="H173" s="1" t="str">
        <f>IF(ISBLANK(Input!CC173), "", Input!CC173)</f>
        <v/>
      </c>
      <c r="I173" s="1">
        <f>IF(Input!$CF$5 + Input!$CF$6*(FLOOR((Calculations!$F173-1)/(FLOOR((Input!$CF$12-Input!$CF$10)/Input!$CF$11,1)+1),1)) &gt; Input!$CF$7, "", (Input!$CF$5 + Input!$CF$6*(FLOOR((Calculations!$F173-1)/(FLOOR((Input!$CF$12-Input!$CF$10)/Input!$CF$11,1)+1),1)))*1000)</f>
        <v>60000</v>
      </c>
      <c r="J173" s="1">
        <f>IF(Calculations!I173 = "", "", Input!$CF$10 + Input!$CF$11*(Calculations!$F173-1) - (FLOOR((Input!$CF$12-Input!$CF$10)/Input!$CF$11,1)+1)*Input!$CF$11*FLOOR((Calculations!$F173-1)/(FLOOR((Input!$CF$12-Input!$CF$10)/Input!$CF$11,1)+1),1))</f>
        <v>400</v>
      </c>
      <c r="K173" s="8" t="str">
        <f t="shared" si="52"/>
        <v/>
      </c>
      <c r="L173" s="117" t="str">
        <f>IF(OR(Input!$CJ$5 + Input!$CJ$6*(Calculations!F173-1) &gt; Input!$CJ$7, Input!$CJ$5 + Input!$CJ$6*(Calculations!F173-1) &gt; 350), "", Input!$CJ$5 + Input!$CJ$6*(Calculations!F173-1))</f>
        <v/>
      </c>
      <c r="M173" s="1">
        <f t="shared" si="42"/>
        <v>60000</v>
      </c>
      <c r="N173" s="1">
        <f t="shared" si="43"/>
        <v>400</v>
      </c>
      <c r="O173" s="1">
        <f t="shared" si="53"/>
        <v>673.15</v>
      </c>
      <c r="P173" s="1" t="e">
        <f>IF(OR($D$20=3,AND($D$21=TRUE,M173&lt;1000)),INDEX('Water Density'!$C$6:$CX$120,MATCH(Calculations!N173,'Water Density'!$B$6:$B$120),MATCH(Calculations!M173/1000,'Water Density'!$C$5:$CX$5)),NA())</f>
        <v>#N/A</v>
      </c>
      <c r="Q173" s="182">
        <f>IF(OR($D$20=3,AND($D$21=TRUE,M173&lt;1000)), IF(P173&lt;&gt;0,P173,NA()), calculateDensity(M173,N173,$D$20,0.01,$D$19 = 3))</f>
        <v>1.4985972466033699</v>
      </c>
      <c r="R173" s="1" t="e">
        <f>IF($D$22=5,INDEX('Dielectric Constant'!$C$6:$CX$120,MATCH(Calculations!N173,'Dielectric Constant'!$B$6:$B$120),MATCH(Calculations!M173/1000,'Dielectric Constant'!$C$5:$CX$5)),NA())</f>
        <v>#N/A</v>
      </c>
      <c r="S173" s="58">
        <f>IF($D$22=5, IF(R173&lt;&gt;0,R173,NA()), IF(AND($D$23,M173&lt;=5000,$D$19 &lt;&gt; 3),calculateEpsilon(Q173,N173,1,FALSE),calculateEpsilon(Q173,N173,$D$22,$D$19 = 3)))</f>
        <v>51.566284738544141</v>
      </c>
      <c r="T173" s="1" t="e">
        <f>IF($D$24=3,INDEX('Water Free Energy'!$C$6:$CX$120,MATCH(Calculations!N173,'Water Free Energy'!$B$6:$B$120),MATCH(Calculations!M173/1000,'Water Free Energy'!$C$5:$CX$5)),NA())</f>
        <v>#N/A</v>
      </c>
      <c r="U173" s="179">
        <f>IF($D$27,calculateQ(M173,N173,Q173,$D$20,$D$22,$D$19=3)*10^6,NA())</f>
        <v>7.4060711397525084E-2</v>
      </c>
      <c r="V173"/>
      <c r="W173" s="2">
        <f t="shared" si="44"/>
        <v>60000</v>
      </c>
      <c r="X173" s="1">
        <f t="shared" si="45"/>
        <v>400</v>
      </c>
      <c r="Y173" s="1">
        <f>Results!F175</f>
        <v>0</v>
      </c>
      <c r="Z173" s="1">
        <f>Results!G175</f>
        <v>0</v>
      </c>
      <c r="AA173" s="1">
        <f>Results!H175</f>
        <v>0</v>
      </c>
      <c r="AB173" s="1">
        <f>Results!I175</f>
        <v>0</v>
      </c>
      <c r="AC173" s="1" t="e">
        <f>IF(ISBLANK(Input!$O$4),NA(),'Reaction Information'!$E$5-'Reaction Information'!$G$5*(Calculations!$O173-Calculations!$C$8)+'Reaction Information'!$I$5*(Calculations!$O173-Calculations!$C$8-Calculations!$O173*LN(Calculations!$O173/Calculations!$C$8))+'Reaction Information'!$J$5*0.001/2*(2*Calculations!$O173*Calculations!$C$8-Calculations!$O173^2-Calculations!$C$8^2) + 'Reaction Information'!$K$5*100000*(Calculations!$O173^2 + Calculations!$C$8^2 - 2*Calculations!$O173*Calculations!$C$8)/(2*Calculations!$O173*Calculations!$C$8^2))</f>
        <v>#N/A</v>
      </c>
      <c r="AD173" s="8" t="e">
        <f>IF(ISBLANK(Input!$R$4),NA(),'Reaction Information'!$E$9-'Reaction Information'!$G$9*(Calculations!$O173-Calculations!$C$8)+'Reaction Information'!$I$9*(Calculations!$O173-Calculations!$C$8-Calculations!$O173*LN(Calculations!$O173/Calculations!$C$8))+'Reaction Information'!$J$9*0.001/2*(2*Calculations!$O173*Calculations!$C$8-Calculations!$O173^2-Calculations!$C$8^2) + 'Reaction Information'!$K$9*100000*(Calculations!$O173^2 + Calculations!$C$8^2 - 2*Calculations!$O173*Calculations!$C$8)/(2*Calculations!$O173*Calculations!$C$8^2))</f>
        <v>#N/A</v>
      </c>
      <c r="AE173" s="8">
        <f>IF(AE$5="H2O",IF($D$24=3,IF(T173=0,NA(),T173),calculateGibbsOfWater(M173,N173,$D$24,$D$20,$D$19=3)),NA())</f>
        <v>-44834.9882046126</v>
      </c>
      <c r="AF173" s="8">
        <f>IF(ISBLANK(Input!$X$4),NA(),'Reaction Information'!$E$13-'Reaction Information'!$G$13*(Calculations!O173-Calculations!$C$8)-'Reaction Information'!$N$13*(Calculations!O173*LN(Calculations!O173/Calculations!$C$8)-Calculations!O173+Calculations!$C$8)-'Reaction Information'!$O$13*10^4*(((1/(Calculations!O173-Calculations!$C$13))-(1/(Calculations!$C$8-Calculations!$C$13)))*((Calculations!$C$13-Calculations!O173)/(Calculations!$C$13))-(Calculations!O173/(Calculations!$C$13*Calculations!$C$13))*LN((Calculations!$C$8*(Calculations!O173-Calculations!$C$13))/(Calculations!O173*(Calculations!$C$8-Calculations!$C$13))))+'Reaction Information'!$J$13*10^-1*(Calculations!M173-Calculations!$C$9)+'Reaction Information'!$K$13*10^2*LN((Calculations!$C$12+Calculations!M173)/(Calculations!$C$12+Calculations!$C$9))+(1/(Calculations!O173-Calculations!$C$13))*('Reaction Information'!$L$13*(Calculations!M173-Calculations!$C$9)+'Reaction Information'!$M$13*10^4*LN((Calculations!$C$12+Calculations!M173)/(Calculations!$C$12+Calculations!$C$9)))+calculateOmega(Calculations!M173,Calculations!N173,Calculations!Q173,'Reaction Information'!$C$13,'Reaction Information'!$P$13*10^5,'Reaction Information'!$Q$13)*((1/Calculations!S173)-1)-'Reaction Information'!$P$13*10^5*((1/Calculations!$C$10)-1)+'Reaction Information'!$P$13*10^5*Calculations!$C$14*(Calculations!O173-Calculations!$C$8))</f>
        <v>-63260.374754172422</v>
      </c>
      <c r="AG173" s="8" t="e">
        <f>IF(ISBLANK(Input!$AA$4),NA(),'Reaction Information'!$E$17-'Reaction Information'!$G$17*(Calculations!$O173-Calculations!$C$8)-'Reaction Information'!$N$17*(Calculations!$O173*LN(Calculations!$O173/Calculations!$C$8)-Calculations!$O173+Calculations!$C$8)-'Reaction Information'!$O$17*10^4*(((1/(Calculations!$O173-Calculations!$C$13))-(1/(Calculations!$C$8-Calculations!$C$13)))*((Calculations!$C$13-Calculations!$O173)/(Calculations!$C$13))-(Calculations!$O173/(Calculations!$C$13*Calculations!$C$13))*LN((Calculations!$C$8*(Calculations!$O173-Calculations!$C$13))/(Calculations!$O173*(Calculations!$C$8-Calculations!$C$13))))+'Reaction Information'!$J$17*10^-1*(Calculations!$M173-Calculations!$C$9)+'Reaction Information'!$K$17*10^2*LN((Calculations!$C$12+Calculations!$M173)/(Calculations!$C$12+Calculations!$C$9))+(1/(Calculations!$O173-Calculations!$C$13))*('Reaction Information'!$L$17*(Calculations!$M173-Calculations!$C$9)+'Reaction Information'!$M$17*10^4*LN((Calculations!$C$12+Calculations!$M173)/(Calculations!$C$12+Calculations!$C$9)))+calculateOmega(Calculations!M173,Calculations!N173,Calculations!Q173,'Reaction Information'!$C$17,'Reaction Information'!$P$17*10^5,'Reaction Information'!$Q$17)*((1/Calculations!$S173)-1)-'Reaction Information'!$P$17*10^5*((1/Calculations!$C$10)-1)+'Reaction Information'!$P$17*10^5*Calculations!$C$14*(Calculations!$O173-Calculations!$C$8))</f>
        <v>#N/A</v>
      </c>
      <c r="AH173" s="8" t="e">
        <f>IF(ISBLANK(Input!$AD$4),NA(),'Reaction Information'!$E$21-'Reaction Information'!$G$21*(Calculations!$O173-Calculations!$C$8)-'Reaction Information'!$N$21*(Calculations!$O173*LN(Calculations!$O173/Calculations!$C$8)-Calculations!$O173+Calculations!$C$8)-'Reaction Information'!$O$21*10^4*(((1/(Calculations!$O173-Calculations!$C$13))-(1/(Calculations!$C$8-Calculations!$C$13)))*((Calculations!$C$13-Calculations!$O173)/(Calculations!$C$13))-(Calculations!$O173/(Calculations!$C$13*Calculations!$C$13))*LN((Calculations!$C$8*(Calculations!$O173-Calculations!$C$13))/(Calculations!$O173*(Calculations!$C$8-Calculations!$C$13))))+'Reaction Information'!$J$21*10^-1*(Calculations!$M173-Calculations!$C$9)+'Reaction Information'!$K$21*10^2*LN((Calculations!$C$12+Calculations!$M173)/(Calculations!$C$12+Calculations!$C$9))+(1/(Calculations!$O173-Calculations!$C$13))*('Reaction Information'!$L$21*(Calculations!$M173-Calculations!$C$9)+'Reaction Information'!$M$21*10^4*LN((Calculations!$C$12+Calculations!$M173)/(Calculations!$C$12+Calculations!$C$9)))+calculateOmega(Calculations!M173,Calculations!N173,Calculations!Q173,'Reaction Information'!$C$21,'Reaction Information'!$P$21*10^5,'Reaction Information'!$Q$21)*((1/Calculations!$S173)-1)-'Reaction Information'!$P$21*10^5*((1/Calculations!$C$10)-1)+'Reaction Information'!$P$21*10^5*Calculations!$C$14*(Calculations!$O173-Calculations!$C$8))</f>
        <v>#N/A</v>
      </c>
      <c r="AI173" s="8" t="e">
        <f>IF(ISBLANK(Input!$AG$4),NA(),'Reaction Information'!$E$25-'Reaction Information'!$G$25*(Calculations!$O173-Calculations!$C$8)-'Reaction Information'!$N$25*(Calculations!$O173*LN(Calculations!$O173/Calculations!$C$8)-Calculations!$O173+Calculations!$C$8)-'Reaction Information'!$O$25*10^4*(((1/(Calculations!$O173-Calculations!$C$13))-(1/(Calculations!$C$8-Calculations!$C$13)))*((Calculations!$C$13-Calculations!$O173)/(Calculations!$C$13))-(Calculations!$O173/(Calculations!$C$13*Calculations!$C$13))*LN((Calculations!$C$8*(Calculations!$O173-Calculations!$C$13))/(Calculations!$O173*(Calculations!$C$8-Calculations!$C$13))))+'Reaction Information'!$J$25*10^-1*(Calculations!$M173-Calculations!$C$9)+'Reaction Information'!$K$25*10^2*LN((Calculations!$C$12+Calculations!$M173)/(Calculations!$C$12+Calculations!$C$9))+(1/(Calculations!$O173-Calculations!$C$13))*('Reaction Information'!$L$25*(Calculations!$M173-Calculations!$C$9)+'Reaction Information'!$M$25*10^4*LN((Calculations!$C$12+Calculations!$M173)/(Calculations!$C$12+Calculations!$C$9)))+calculateOmega(Calculations!M173,Calculations!N173,Calculations!Q173,'Reaction Information'!$C$25,'Reaction Information'!$P$25*10^5,'Reaction Information'!$Q$25)*((1/Calculations!$S173)-1)-'Reaction Information'!$P$25*10^5*((1/Calculations!$C$10)-1)+'Reaction Information'!$P$25*10^5*Calculations!$C$14*(Calculations!$O173-Calculations!$C$8))</f>
        <v>#N/A</v>
      </c>
      <c r="AJ173" s="8" t="e">
        <f>IF(ISBLANK(Input!$AJ$4),NA(),'Reaction Information'!$E$29-'Reaction Information'!$G$29*(Calculations!$O173-Calculations!$C$8)-'Reaction Information'!$N$29*(Calculations!$O173*LN(Calculations!$O173/Calculations!$C$8)-Calculations!$O173+Calculations!$C$8)-'Reaction Information'!$O$29*10^4*(((1/(Calculations!$O173-Calculations!$C$13))-(1/(Calculations!$C$8-Calculations!$C$13)))*((Calculations!$C$13-Calculations!$O173)/(Calculations!$C$13))-(Calculations!$O173/(Calculations!$C$13*Calculations!$C$13))*LN((Calculations!$C$8*(Calculations!$O173-Calculations!$C$13))/(Calculations!$O173*(Calculations!$C$8-Calculations!$C$13))))+'Reaction Information'!$J$29*10^-1*(Calculations!$M173-Calculations!$C$9)+'Reaction Information'!$K$29*10^2*LN((Calculations!$C$12+Calculations!$M173)/(Calculations!$C$12+Calculations!$C$9))+(1/(Calculations!$O173-Calculations!$C$13))*('Reaction Information'!$L$29*(Calculations!$M173-Calculations!$C$9)+'Reaction Information'!$M$29*10^4*LN((Calculations!$C$12+Calculations!$M173)/(Calculations!$C$12+Calculations!$C$9)))+calculateOmega(Calculations!M173,Calculations!N173,Calculations!Q173,'Reaction Information'!$C$29,'Reaction Information'!$P$29*10^5,'Reaction Information'!$Q$29)*((1/Calculations!$S173)-1)-'Reaction Information'!$P$29*10^5*((1/Calculations!$C$10)-1)+'Reaction Information'!$P$29*10^5*Calculations!$C$14*(Calculations!$O173-Calculations!$C$8))</f>
        <v>#N/A</v>
      </c>
      <c r="AK173" s="8" t="e">
        <f>IF(ISBLANK(Input!$AM$4),NA(),'Reaction Information'!$E$33-'Reaction Information'!$G$33*(Calculations!$O173-Calculations!$C$8)-'Reaction Information'!$N$33*(Calculations!$O173*LN(Calculations!$O173/Calculations!$C$8)-Calculations!$O173+Calculations!$C$8)-'Reaction Information'!$O$33*10^4*(((1/(Calculations!$O173-Calculations!$C$13))-(1/(Calculations!$C$8-Calculations!$C$13)))*((Calculations!$C$13-Calculations!$O173)/(Calculations!$C$13))-(Calculations!$O173/(Calculations!$C$13*Calculations!$C$13))*LN((Calculations!$C$8*(Calculations!$O173-Calculations!$C$13))/(Calculations!$O173*(Calculations!$C$8-Calculations!$C$13))))+'Reaction Information'!$J$33*10^-1*(Calculations!$M173-Calculations!$C$9)+'Reaction Information'!$K$33*10^2*LN((Calculations!$C$12+Calculations!$M173)/(Calculations!$C$12+Calculations!$C$9))+(1/(Calculations!$O173-Calculations!$C$13))*('Reaction Information'!$L$33*(Calculations!$M173-Calculations!$C$9)+'Reaction Information'!$M$33*10^4*LN((Calculations!$C$12+Calculations!$M173)/(Calculations!$C$12+Calculations!$C$9)))+calculateOmega(Calculations!M173,Calculations!N173,Calculations!Q173,'Reaction Information'!$C$33,'Reaction Information'!$P$33*10^5,'Reaction Information'!$Q$33)*((1/Calculations!$S173)-1)-'Reaction Information'!$P$33*10^5*((1/Calculations!$C$10)-1)+'Reaction Information'!$P$33*10^5*Calculations!$C$14*(Calculations!$O173-Calculations!$C$8))</f>
        <v>#N/A</v>
      </c>
      <c r="AL173" s="1">
        <f>Results!S175</f>
        <v>0</v>
      </c>
      <c r="AM173" s="1">
        <f>Results!T175</f>
        <v>0</v>
      </c>
      <c r="AN173" s="1">
        <f>Results!U175</f>
        <v>0</v>
      </c>
      <c r="AO173" s="1">
        <f>Results!V175</f>
        <v>0</v>
      </c>
      <c r="AP173" s="8" t="e">
        <f>IF(ISBLANK(Input!$BB$4),NA(),'Reaction Information'!$E$38-'Reaction Information'!$G$38*(Calculations!$O173-Calculations!$C$8)+'Reaction Information'!$I$38*(Calculations!$O173-Calculations!$C$8-Calculations!$O173*LN(Calculations!$O173/Calculations!$C$8))+'Reaction Information'!$J$38*0.001/2*(2*Calculations!$O173*Calculations!$C$8-Calculations!$O173^2-Calculations!$C$8^2) + 'Reaction Information'!$K$38*100000*(Calculations!$O173^2 + Calculations!$C$8^2 - 2*Calculations!$O173*Calculations!$C$8)/(2*Calculations!$O173*Calculations!$C$8^2))</f>
        <v>#N/A</v>
      </c>
      <c r="AQ173" s="8" t="e">
        <f>IF(ISBLANK(Input!$BE$4),NA(),'Reaction Information'!$E$42-'Reaction Information'!$G$42*(Calculations!$O173-Calculations!$C$8)+'Reaction Information'!$I$42*(Calculations!$O173-Calculations!$C$8-Calculations!$O173*LN(Calculations!$O173/Calculations!$C$8))+'Reaction Information'!$J$42*0.001/2*(2*Calculations!$O173*Calculations!$C$8-Calculations!$O173^2-Calculations!$C$8^2) + 'Reaction Information'!$K$42*100000*(Calculations!$O173^2 + Calculations!$C$8^2 - 2*Calculations!$O173*Calculations!$C$8)/(2*Calculations!$O173*Calculations!$C$8^2))</f>
        <v>#N/A</v>
      </c>
      <c r="AR173" s="8" t="e">
        <f>IF(AR$5="H2O", IF($D$24=3,IF(T173=0,NA(),T173),calculateGibbsOfWater(M173,N173,$D$24,$D$20,$D$19=3)),NA())</f>
        <v>#N/A</v>
      </c>
      <c r="AS173" s="8">
        <f>IF(ISBLANK(Input!$BK$4),NA(),'Reaction Information'!$E$46-'Reaction Information'!$G$46*(Calculations!O173-Calculations!$C$8)-'Reaction Information'!$N$46*(Calculations!O173*LN(Calculations!O173/Calculations!$C$8)-Calculations!O173+Calculations!$C$8)-'Reaction Information'!$O$46*10^4*(((1/(Calculations!O173-Calculations!$C$13))-(1/(Calculations!$C$8-Calculations!$C$13)))*((Calculations!$C$13-Calculations!O173)/(Calculations!$C$13))-(Calculations!O173/(Calculations!$C$13*Calculations!$C$13))*LN((Calculations!$C$8*(Calculations!O173-Calculations!$C$13))/(Calculations!O173*(Calculations!$C$8-Calculations!$C$13))))+'Reaction Information'!$J$46*10^-1*(Calculations!$M173-Calculations!$C$9)+'Reaction Information'!$K$46*10^2*LN((Calculations!$C$12+Calculations!$M173)/(Calculations!$C$12+Calculations!$C$9))+(1/(Calculations!O173-Calculations!$C$13))*('Reaction Information'!$L$46*(Calculations!$M173-Calculations!$C$9)+'Reaction Information'!$M$46*10^4*LN((Calculations!$C$12+Calculations!$M173)/(Calculations!$C$12+Calculations!$C$9)))+calculateOmega(Calculations!M173,Calculations!N173,Calculations!Q173,'Reaction Information'!$C$46,'Reaction Information'!$P$46*10^5,'Reaction Information'!$Q$46)*((1/Calculations!S173)-1)-'Reaction Information'!$P$46*10^5*((1/Calculations!$C$10)-1)+'Reaction Information'!$P$46*10^5*Calculations!$C$14*(Calculations!O173-Calculations!$C$8))</f>
        <v>0</v>
      </c>
      <c r="AT173" s="8">
        <f>IF(ISBLANK(Input!$BN$4),NA(),'Reaction Information'!$E$50-'Reaction Information'!$G$50*(Calculations!O173-Calculations!$C$8)-'Reaction Information'!$N$50*(Calculations!O173*LN(Calculations!O173/Calculations!$C$8)-Calculations!O173+Calculations!$C$8)-'Reaction Information'!$O$50*10^4*(((1/(Calculations!O173-Calculations!$C$13))-(1/(Calculations!$C$8-Calculations!$C$13)))*((Calculations!$C$13-Calculations!O173)/(Calculations!$C$13))-(Calculations!O173/(Calculations!$C$13*Calculations!$C$13))*LN((Calculations!$C$8*(Calculations!O173-Calculations!$C$13))/(Calculations!O173*(Calculations!$C$8-Calculations!$C$13))))+'Reaction Information'!$J$50*10^-1*(Calculations!$M173-Calculations!$C$9)+'Reaction Information'!$K$50*10^2*LN((Calculations!$C$12+Calculations!$M173)/(Calculations!$C$12+Calculations!$C$9))+(1/(Calculations!O173-Calculations!$C$13))*('Reaction Information'!$L$50*(Calculations!$M173-Calculations!$C$9)+'Reaction Information'!$M$50*10^4*LN((Calculations!$C$12+Calculations!$M173)/(Calculations!$C$12+Calculations!$C$9)))+calculateOmega(Calculations!M173,Calculations!N173,Calculations!Q173,'Reaction Information'!$C$50,'Reaction Information'!$P$50*10^5,'Reaction Information'!$Q$50)*((1/Calculations!S173)-1)-'Reaction Information'!$P$50*10^5*((1/Calculations!$C$10)-1)+'Reaction Information'!$P$50*10^5*Calculations!$C$14*(Calculations!O173-Calculations!$C$8))</f>
        <v>-106479.39673681534</v>
      </c>
      <c r="AU173" s="8" t="e">
        <f>IF(ISBLANK(Input!$BQ$4),NA(),'Reaction Information'!$E$54-'Reaction Information'!$G$54*(Calculations!$O173-Calculations!$C$8)-'Reaction Information'!$N$54*(Calculations!$O173*LN(Calculations!$O173/Calculations!$C$8)-Calculations!$O173+Calculations!$C$8)-'Reaction Information'!$O$54*10^4*(((1/(Calculations!$O173-Calculations!$C$13))-(1/(Calculations!$C$8-Calculations!$C$13)))*((Calculations!$C$13-Calculations!$O173)/(Calculations!$C$13))-(Calculations!$O173/(Calculations!$C$13*Calculations!$C$13))*LN((Calculations!$C$8*(Calculations!$O173-Calculations!$C$13))/(Calculations!$O173*(Calculations!$C$8-Calculations!$C$13))))+'Reaction Information'!$J$54*10^-1*(Calculations!$M173-Calculations!$C$9)+'Reaction Information'!$K$54*10^2*LN((Calculations!$C$12+Calculations!$M173)/(Calculations!$C$12+Calculations!$C$9))+(1/(Calculations!$O173-Calculations!$C$13))*('Reaction Information'!$L$54*(Calculations!$M173-Calculations!$C$9)+'Reaction Information'!$M$54*10^4*LN((Calculations!$C$12+Calculations!$M173)/(Calculations!$C$12+Calculations!$C$9)))+calculateOmega(Calculations!M173,Calculations!N173,Calculations!Q173,'Reaction Information'!$C$54,'Reaction Information'!$P$54*10^5,'Reaction Information'!$Q$54)*((1/Calculations!$S173)-1)-'Reaction Information'!$P$54*10^5*((1/Calculations!$C$10)-1)+'Reaction Information'!$P$54*10^5*Calculations!$C$14*(Calculations!$O173-Calculations!$C$8))</f>
        <v>#N/A</v>
      </c>
      <c r="AV173" s="8" t="e">
        <f>IF(ISBLANK(Input!$BT$4),NA(),'Reaction Information'!$E$58-'Reaction Information'!$G$58*(Calculations!$O173-Calculations!$C$8)-'Reaction Information'!$N$58*(Calculations!$O173*LN(Calculations!$O173/Calculations!$C$8)-Calculations!$O173+Calculations!$C$8)-'Reaction Information'!$O$58*10^4*(((1/(Calculations!$O173-Calculations!$C$13))-(1/(Calculations!$C$8-Calculations!$C$13)))*((Calculations!$C$13-Calculations!$O173)/(Calculations!$C$13))-(Calculations!$O173/(Calculations!$C$13*Calculations!$C$13))*LN((Calculations!$C$8*(Calculations!$O173-Calculations!$C$13))/(Calculations!$O173*(Calculations!$C$8-Calculations!$C$13))))+'Reaction Information'!$J$58*10^-1*(Calculations!$M173-Calculations!$C$9)+'Reaction Information'!$K$58*10^2*LN((Calculations!$C$12+Calculations!$M173)/(Calculations!$C$12+Calculations!$C$9))+(1/(Calculations!$O173-Calculations!$C$13))*('Reaction Information'!$L$58*(Calculations!$M173-Calculations!$C$9)+'Reaction Information'!$M$58*10^4*LN((Calculations!$C$12+Calculations!$M173)/(Calculations!$C$12+Calculations!$C$9)))+calculateOmega(Calculations!M173,Calculations!N173,Calculations!Q173,'Reaction Information'!$C$58,'Reaction Information'!$P$58*10^5,'Reaction Information'!$Q$58)*((1/Calculations!$S173)-1)-'Reaction Information'!$P$58*10^5*((1/Calculations!$C$10)-1)+'Reaction Information'!$P$58*10^5*Calculations!$C$14*(Calculations!$O173-Calculations!$C$8))</f>
        <v>#N/A</v>
      </c>
      <c r="AW173" s="8" t="e">
        <f>IF(ISBLANK(Input!$BW$4),NA(),'Reaction Information'!$E$62-'Reaction Information'!$G$62*(Calculations!$O173-Calculations!$C$8)-'Reaction Information'!$N$62*(Calculations!$O173*LN(Calculations!$O173/Calculations!$C$8)-Calculations!$O173+Calculations!$C$8)-'Reaction Information'!$O$62*10^4*(((1/(Calculations!$O173-Calculations!$C$13))-(1/(Calculations!$C$8-Calculations!$C$13)))*((Calculations!$C$13-Calculations!$O173)/(Calculations!$C$13))-(Calculations!$O173/(Calculations!$C$13*Calculations!$C$13))*LN((Calculations!$C$8*(Calculations!$O173-Calculations!$C$13))/(Calculations!$O173*(Calculations!$C$8-Calculations!$C$13))))+'Reaction Information'!$J$62*10^-1*(Calculations!$M173-Calculations!$C$9)+'Reaction Information'!$K$62*10^2*LN((Calculations!$C$12+Calculations!$M173)/(Calculations!$C$12+Calculations!$C$9))+(1/(Calculations!$O173-Calculations!$C$13))*('Reaction Information'!$L$62*(Calculations!$M173-Calculations!$C$9)+'Reaction Information'!$M$62*10^4*LN((Calculations!$C$12+Calculations!$M173)/(Calculations!$C$12+Calculations!$C$9)))+calculateOmega(Calculations!M173,Calculations!N173,Calculations!Q173,'Reaction Information'!$C$62,'Reaction Information'!$P$62*10^5,'Reaction Information'!$Q$62)*((1/Calculations!$S173)-1)-'Reaction Information'!$P$62*10^5*((1/Calculations!$C$10)-1)+'Reaction Information'!$P$62*10^5*Calculations!$C$14*(Calculations!$O173-Calculations!$C$8))</f>
        <v>#N/A</v>
      </c>
      <c r="AX173" s="8" t="e">
        <f>IF(ISBLANK(Input!$BZ$4),NA(),'Reaction Information'!$E$66-'Reaction Information'!$G$66*(Calculations!$O173-Calculations!$C$8)-'Reaction Information'!$N$66*(Calculations!$O173*LN(Calculations!$O173/Calculations!$C$8)-Calculations!$O173+Calculations!$C$8)-'Reaction Information'!$O$66*10^4*(((1/(Calculations!$O173-Calculations!$C$13))-(1/(Calculations!$C$8-Calculations!$C$13)))*((Calculations!$C$13-Calculations!$O173)/(Calculations!$C$13))-(Calculations!$O173/(Calculations!$C$13*Calculations!$C$13))*LN((Calculations!$C$8*(Calculations!$O173-Calculations!$C$13))/(Calculations!$O173*(Calculations!$C$8-Calculations!$C$13))))+'Reaction Information'!$J$66*10^-1*(Calculations!$M173-Calculations!$C$9)+'Reaction Information'!$K$66*10^2*LN((Calculations!$C$12+Calculations!$M173)/(Calculations!$C$12+Calculations!$C$9))+(1/(Calculations!$O173-Calculations!$C$13))*('Reaction Information'!$L$66*(Calculations!$M173-Calculations!$C$9)+'Reaction Information'!$M$66*10^4*LN((Calculations!$C$12+Calculations!$M173)/(Calculations!$C$12+Calculations!$C$9)))+calculateOmega(Calculations!M173,Calculations!N173,Calculations!Q173,'Reaction Information'!$C$66,'Reaction Information'!$P$66*10^5,'Reaction Information'!$Q$66)*((1/Calculations!$S173)-1)-'Reaction Information'!$P$66*10^5*((1/Calculations!$C$10)-1)+'Reaction Information'!$P$66*10^5*Calculations!$C$14*(Calculations!$O173-Calculations!$C$8))</f>
        <v>#N/A</v>
      </c>
      <c r="AY173" s="31">
        <f>(AL173*Input!$AO$4+AM173*Input!$AR$4+AN173*Input!$AU$4+AO173*Input!$AX$4+IF(ISNA(AP173),0,AP173*Input!$BA$4)+IF(ISNA(AQ173),0,AQ173*Input!$BD$4)+IF(ISNA(AR173),0,AR173*Input!$BG$4)+IF(ISNA(AS173),0,AS173*Input!$BJ$4)+IF(ISNA(AT173),0,AT173*Input!$BM$4)+IF(ISNA(AU173),0,AU173*Input!$BP$4)+IF(ISNA(AV173),0,AV173*Input!$BS$4)+IF(ISNA(AW173),0,AW173*Input!$BV$4)+IF(ISNA(AX173),0,AX173*Input!$BY$4))-(Y173*Input!$B$4+Z173*Input!$E$4+AA173*Input!$H$4+AB173*Input!$K$4+IF(ISNA(AC173),0,AC173*Input!$N$4)+IF(ISNA(AD173),0,AD173*Input!$Q$4)+IF(ISNA(AE173),0,AE173*Input!$T$4)+IF(ISNA(AF173),0,AF173*Input!$W$4)+IF(ISNA(AG173),0,AG173*Input!$Z$4)+IF(ISNA(AH173),0,AH173*Input!$AC$4)+IF(ISNA(AI173),0,AI173*Input!$AF$4)+IF(ISNA(AJ173),0,AJ173*Input!$AI$4)+IF(ISNA(AK173),0,AK173*Input!$AL$4))</f>
        <v>1615.9662219696911</v>
      </c>
      <c r="AZ173" s="42">
        <f t="shared" si="54"/>
        <v>-0.52499153642354679</v>
      </c>
      <c r="BA173" s="1">
        <f t="shared" si="46"/>
        <v>400</v>
      </c>
      <c r="BB173" s="46">
        <f t="shared" si="47"/>
        <v>60000</v>
      </c>
      <c r="BC173" s="1"/>
      <c r="BD173" s="2">
        <f t="shared" si="48"/>
        <v>60000</v>
      </c>
      <c r="BE173" s="46">
        <f t="shared" si="49"/>
        <v>400</v>
      </c>
      <c r="BF173" s="1">
        <f>Results!AJ175</f>
        <v>0</v>
      </c>
      <c r="BG173" s="1">
        <f>Results!AK175</f>
        <v>0</v>
      </c>
      <c r="BH173" s="1">
        <f>Results!AL175</f>
        <v>0</v>
      </c>
      <c r="BI173" s="1">
        <f>Results!AM175</f>
        <v>0</v>
      </c>
      <c r="BJ173" s="1" t="e">
        <f>IF(OR(ISNA('Reaction Information'!$D$5), $N173 = "", $D$27 = FALSE, 'Reaction Information'!$D$5 = ""), NA(), 24.465)</f>
        <v>#N/A</v>
      </c>
      <c r="BK173" s="1" t="e">
        <f>IF(OR(ISNA('Reaction Information'!$D$9), $N173 = "", $D$27 = FALSE, 'Reaction Information'!$D$9 = ""), NA(), 24.465)</f>
        <v>#N/A</v>
      </c>
      <c r="BL173" s="8">
        <f t="shared" si="55"/>
        <v>12.021428733325346</v>
      </c>
      <c r="BM173" s="8">
        <f>IF(OR(ISBLANK(Input!$X$4),$D$27=FALSE),NA(),('Reaction Information'!$J$13/10+'Reaction Information'!$K$13*100/(Calculations!$C$12+Calculations!$M173)+('Reaction Information'!$L$13+'Reaction Information'!$M$13*10^4/(Calculations!$C$12+Calculations!$M173))/(Calculations!$O173-Calculations!$C$13) -calculateOmega(Calculations!$M173,Calculations!$N173,Calculations!$Q173,'Reaction Information'!$C$13,'Reaction Information'!$P$13*10^5,'Reaction Information'!$Q$13)*Calculations!$U173*10^-6 + (1/$S173 - 1)*calculate_domegadP(Calculations!$M173,Calculations!$N173,Calculations!$Q173,'Reaction Information'!$C$13,'Reaction Information'!$P$13*10^5,'Reaction Information'!$Q$13,$D$20,$D$19=3))*41.84)</f>
        <v>29.764450462611197</v>
      </c>
      <c r="BN173" s="8" t="e">
        <f>IF(OR(ISBLANK(Input!$AA$4),$D$27=FALSE),NA(),('Reaction Information'!$J$17/10+'Reaction Information'!$K$17*100/(Calculations!$C$12+Calculations!$M173)+('Reaction Information'!$L$17+'Reaction Information'!$M$17*10000/(Calculations!$C$12+Calculations!$M173))/(Calculations!$O173-Calculations!$C$13)-calculateOmega(Calculations!M173,Calculations!N173,Calculations!Q173,'Reaction Information'!$C$17,'Reaction Information'!$P$17*10^5,'Reaction Information'!$Q$17)*Calculations!$U173*10^-6 + (1/$S173 - 1)*calculate_domegadP(Calculations!M173,Calculations!N173,Calculations!Q173,'Reaction Information'!$C$17,'Reaction Information'!$P$17*10^5,'Reaction Information'!$Q$17,$D$20,$D$19=3))*41.84)</f>
        <v>#N/A</v>
      </c>
      <c r="BO173" s="8" t="e">
        <f>IF(OR(ISBLANK(Input!$AD$4),$D$27=FALSE),NA(),('Reaction Information'!$J$21/10+'Reaction Information'!$K$21*100/(Calculations!$C$12+Calculations!$M173)+('Reaction Information'!$L$21+'Reaction Information'!$M$21*10000/(Calculations!$C$12+Calculations!$M173))/(Calculations!$O173-Calculations!$C$13)-calculateOmega(Calculations!M173,Calculations!N173,Calculations!Q173,'Reaction Information'!$C$21,'Reaction Information'!$P$21*10^5,'Reaction Information'!$Q$21)*Calculations!$U173*10^-6 + (1/$S173 - 1)*calculate_domegadP(Calculations!M173,Calculations!N173,Calculations!Q173,'Reaction Information'!$C$21,'Reaction Information'!$P$21*10^5,'Reaction Information'!$Q$21,$D$20,$D$19=3))*41.84)</f>
        <v>#N/A</v>
      </c>
      <c r="BP173" s="8" t="e">
        <f>IF(OR(ISBLANK(Input!$AG$4),$D$27=FALSE),NA(),('Reaction Information'!$J$25/10+'Reaction Information'!$K$25*100/(Calculations!$C$12+Calculations!$M173)+('Reaction Information'!$L$25+'Reaction Information'!$M$25*10000/(Calculations!$C$12+Calculations!$M173))/(Calculations!$O173-Calculations!$C$13)-calculateOmega(Calculations!M173,Calculations!N173,Calculations!Q173,'Reaction Information'!$C$25,'Reaction Information'!$P$25*10^5,'Reaction Information'!$Q$25)*Calculations!$U173*10^-6 + (1/$S173 - 1)*calculate_domegadP(Calculations!M173,Calculations!N173,Calculations!Q173,'Reaction Information'!$C$25,'Reaction Information'!$P$25*10^5,'Reaction Information'!$Q$25,$D$20,$D$19=3))*41.84)</f>
        <v>#N/A</v>
      </c>
      <c r="BQ173" s="8" t="e">
        <f>IF(OR(ISBLANK(Input!$AJ$4),$D$27=FALSE),NA(),('Reaction Information'!$J$29/10+'Reaction Information'!$K$29*100/(Calculations!$C$12+Calculations!$M173)+('Reaction Information'!$L$29+'Reaction Information'!$M$29*10000/(Calculations!$C$12+Calculations!$M173))/(Calculations!$O173-Calculations!$C$13)-calculateOmega(Calculations!M173,Calculations!N173,Calculations!Q173,'Reaction Information'!$C$29,'Reaction Information'!$P$29*10^5,'Reaction Information'!$Q$29)*Calculations!$U173*10^-6 + (1/$S173 - 1)*calculate_domegadP(Calculations!M173,Calculations!N173,Calculations!Q173,'Reaction Information'!$C$29,'Reaction Information'!$P$29*10^5,'Reaction Information'!$Q$29,$D$20,$D$19=3))*41.84)</f>
        <v>#N/A</v>
      </c>
      <c r="BR173" s="8" t="e">
        <f>IF(OR(ISBLANK(Input!$AM$4),$D$27=FALSE),NA(),('Reaction Information'!$J$33/10+'Reaction Information'!$K$33*100/(Calculations!$C$12+Calculations!$M173)+('Reaction Information'!$L$33+'Reaction Information'!$M$33*10000/(Calculations!$C$12+Calculations!$M173))/(Calculations!$O173-Calculations!$C$13)-calculateOmega(Calculations!M173,Calculations!N173,Calculations!Q173,'Reaction Information'!$C$33,'Reaction Information'!$P$33*10^5,'Reaction Information'!$Q$33)*Calculations!$U173*10^-6 + (1/$S173 - 1)*calculate_domegadP(Calculations!M173,Calculations!N173,Calculations!Q173,'Reaction Information'!$C$33,'Reaction Information'!$P$33*10^5,'Reaction Information'!$Q$33,$D$20,$D$19=3))*41.84)</f>
        <v>#N/A</v>
      </c>
      <c r="BS173" s="1">
        <f>Results!AW175</f>
        <v>0</v>
      </c>
      <c r="BT173" s="1">
        <f>Results!AX175</f>
        <v>0</v>
      </c>
      <c r="BU173" s="1">
        <f>Results!AY175</f>
        <v>0</v>
      </c>
      <c r="BV173" s="1">
        <f>Results!AZ175</f>
        <v>0</v>
      </c>
      <c r="BW173" s="1" t="e">
        <f>IF(OR(ISNA('Reaction Information'!$D$38), $N173 = "", $D$27 = FALSE, 'Reaction Information'!$D$38 = ""), NA(), 24.465)</f>
        <v>#N/A</v>
      </c>
      <c r="BX173" s="1" t="e">
        <f>IF(OR(ISNA('Reaction Information'!$D$42), $N173 = "", $D$27 = FALSE, 'Reaction Information'!$D$42 = ""), NA(), 24.465)</f>
        <v>#N/A</v>
      </c>
      <c r="BY173" s="8" t="e">
        <f t="shared" si="56"/>
        <v>#N/A</v>
      </c>
      <c r="BZ173" s="8">
        <f>IF(OR(ISBLANK(Input!$BK$4),$D$27=FALSE),NA(),('Reaction Information'!$J$46/10+'Reaction Information'!$K$46*100/(Calculations!$C$12+Calculations!$M173)+('Reaction Information'!$L$46+'Reaction Information'!$M$46*10000/(Calculations!$C$12+Calculations!$M173))/(Calculations!$O173-Calculations!$C$13)-calculateOmega(Calculations!M173,Calculations!N173,Calculations!Q173,'Reaction Information'!$C$46,'Reaction Information'!$P$46*10^5,'Reaction Information'!$Q$46)*Calculations!$U173*10^-6 + (1/$S173 - 1)*calculate_domegadP(Calculations!M173,Calculations!N173,Calculations!Q173,'Reaction Information'!$C$46,'Reaction Information'!$P$46*10^5,'Reaction Information'!$Q$46,$D$20,$D$19=3))*41.84)</f>
        <v>0</v>
      </c>
      <c r="CA173" s="8">
        <f>IF(OR(ISBLANK(Input!$BN$4),$D$27=FALSE),NA(),('Reaction Information'!$J$50/10+'Reaction Information'!$K$50*100/(Calculations!$C$12+Calculations!$M173)+('Reaction Information'!$L$50+'Reaction Information'!$M$50*10000/(Calculations!$C$12+Calculations!$M173))/(Calculations!$O173-Calculations!$C$13)-calculateOmega(Calculations!M173,Calculations!N173,Calculations!Q173,'Reaction Information'!$C$50,'Reaction Information'!$P$50*10^5,'Reaction Information'!$Q$50)*Calculations!$U173*10^-6 + (1/$S173 - 1)*calculate_domegadP(Calculations!M173,Calculations!N173,Calculations!Q173,'Reaction Information'!$C$50,'Reaction Information'!$P$50*10^5,'Reaction Information'!$Q$50,$D$20,$D$19=3))*41.84)</f>
        <v>31.688586178787261</v>
      </c>
      <c r="CB173" s="8" t="e">
        <f>IF(OR(ISBLANK(Input!$BQ$4),$D$27=FALSE),NA(),('Reaction Information'!$J$54/10+'Reaction Information'!$K$54*100/(Calculations!$C$12+Calculations!$M173)+('Reaction Information'!$L$54+'Reaction Information'!$M$54*10000/(Calculations!$C$12+Calculations!$M173))/(Calculations!$O173-Calculations!$C$13)-calculateOmega(Calculations!M173,Calculations!N173,Calculations!Q173,'Reaction Information'!$C$54,'Reaction Information'!$P$54*10^5,'Reaction Information'!$Q$54)*Calculations!$U173*10^-6 + (1/$S173 - 1)*calculate_domegadP(Calculations!M173,Calculations!N173,Calculations!Q173,'Reaction Information'!$C$54,'Reaction Information'!$P$54*10^5,'Reaction Information'!$Q$54,$D$20,$D$19=3))*41.84)</f>
        <v>#N/A</v>
      </c>
      <c r="CC173" s="8" t="e">
        <f>IF(OR(ISBLANK(Input!$BT$4),$D$27=FALSE),NA(),('Reaction Information'!$J$58/10+'Reaction Information'!$K$58*100/(Calculations!$C$12+Calculations!$M173)+('Reaction Information'!$L$58+'Reaction Information'!$M$58*10000/(Calculations!$C$12+Calculations!$M173))/(Calculations!$O173-Calculations!$C$13)-calculateOmega(Calculations!M173,Calculations!N173,Calculations!Q173,'Reaction Information'!$C$58,'Reaction Information'!$P$58*10^5,'Reaction Information'!$Q$58)*Calculations!$U173*10^-6 + (1/$S173 - 1)*calculate_domegadP(Calculations!M173,Calculations!N173,Calculations!Q173,'Reaction Information'!$C$58,'Reaction Information'!$P$58*10^5,'Reaction Information'!$Q$58,$D$20,$D$19=3))*41.84)</f>
        <v>#N/A</v>
      </c>
      <c r="CD173" s="8" t="e">
        <f>IF(OR(ISBLANK(Input!$BW$4),$D$27=FALSE),NA(),('Reaction Information'!$J$62/10+'Reaction Information'!$K$62*100/(Calculations!$C$12+Calculations!$M173)+('Reaction Information'!$L$62+'Reaction Information'!$M$62*10000/(Calculations!$C$12+Calculations!$M173))/(Calculations!$O173-Calculations!$C$13)-calculateOmega(Calculations!M173,Calculations!N173,Calculations!Q173,'Reaction Information'!$C$62,'Reaction Information'!$P$62*10^5,'Reaction Information'!$Q$62)*Calculations!$U173*10^-6 + (1/$S173 - 1)*calculate_domegadP(Calculations!M173,Calculations!N173,Calculations!Q173,'Reaction Information'!$C$62,'Reaction Information'!$P$62*10^5,'Reaction Information'!$Q$62,$D$20,$D$19=3))*41.84)</f>
        <v>#N/A</v>
      </c>
      <c r="CE173" s="8" t="e">
        <f>IF(OR(ISBLANK(Input!$BZ$4),$D$27=FALSE),NA(),('Reaction Information'!$J$66/10+'Reaction Information'!$K$66*100/(Calculations!$C$12+Calculations!$M173)+('Reaction Information'!$L$66+'Reaction Information'!$M$66*10000/(Calculations!$C$12+Calculations!$M173))/(Calculations!$O173-Calculations!$C$13)-calculateOmega(Calculations!M173,Calculations!N173,Calculations!Q173,'Reaction Information'!$C$66,'Reaction Information'!$P$66*10^5,'Reaction Information'!$Q$66)*Calculations!$U173*10^-6 + (1/$S173 - 1)*calculate_domegadP(Calculations!M173,Calculations!N173,Calculations!Q173,'Reaction Information'!$C$66,'Reaction Information'!$P$66*10^5,'Reaction Information'!$Q$66,$D$20,$D$19=3))*41.84)</f>
        <v>#N/A</v>
      </c>
      <c r="CF173" s="31">
        <f>(BS173*Input!$AO$4+BT173*Input!$AR$4+BU173*Input!$AU$4+BV173*Input!$AX$4+IF(ISNA(BW173),0,BW173*Input!$BA$4)+IF(ISNA(BX173),0,BX173*Input!$BD$4)+IF(ISNA(BY173),0,BY173*Input!$BG$4)+IF(ISNA(BZ173),0,BZ173*Input!$BJ$4)+IF(ISNA(CA173),0,CA173*Input!$BM$4)+IF(ISNA(CB173),0,CB173*Input!$BP$4)+IF(ISNA(CC173),0,CC173*Input!$BS$4)+IF(ISNA(CD173),0,CD173*Input!$BV$4)+IF(ISNA(CE173),0,CE173*Input!$BY$4))-(BF173*Input!$B$4+BG173*Input!$E$4+BH173*Input!$H$4+BI173*Input!$K$4+IF(ISNA(BJ173),0,BJ173*Input!$N$4)+IF(ISNA(BK173),0,BK173*Input!$Q$4)+IF(ISNA(BL173),0,BL173*Input!$T$4)+IF(ISNA(BM173),0,BM173*Input!$W$4)+IF(ISNA(BN173),0,BN173*Input!$Z$4)+IF(ISNA(BO173),0,BO173*Input!$AC$4)+IF(ISNA(BP173),0,BP173*Input!$AF$4)+IF(ISNA(BQ173),0,BQ173*Input!$AI$4)+IF(ISNA(BR173),0,BR173*Input!$AL$4))</f>
        <v>-10.097293017149283</v>
      </c>
      <c r="CG173" s="1">
        <f t="shared" si="50"/>
        <v>400</v>
      </c>
      <c r="CH173" s="46">
        <f t="shared" si="51"/>
        <v>60000</v>
      </c>
      <c r="CI173" s="1"/>
    </row>
    <row r="174" spans="1:87" x14ac:dyDescent="0.2">
      <c r="A174" s="1"/>
      <c r="B174" s="1"/>
      <c r="C174" s="1"/>
      <c r="D174" s="1"/>
      <c r="E174" s="1"/>
      <c r="F174" s="2">
        <v>169</v>
      </c>
      <c r="G174" s="1" t="str">
        <f>IF(ISBLANK(Input!CB174), "", Input!CB174*1000)</f>
        <v/>
      </c>
      <c r="H174" s="1" t="str">
        <f>IF(ISBLANK(Input!CC174), "", Input!CC174)</f>
        <v/>
      </c>
      <c r="I174" s="1">
        <f>IF(Input!$CF$5 + Input!$CF$6*(FLOOR((Calculations!$F174-1)/(FLOOR((Input!$CF$12-Input!$CF$10)/Input!$CF$11,1)+1),1)) &gt; Input!$CF$7, "", (Input!$CF$5 + Input!$CF$6*(FLOOR((Calculations!$F174-1)/(FLOOR((Input!$CF$12-Input!$CF$10)/Input!$CF$11,1)+1),1)))*1000)</f>
        <v>60000</v>
      </c>
      <c r="J174" s="1">
        <f>IF(Calculations!I174 = "", "", Input!$CF$10 + Input!$CF$11*(Calculations!$F174-1) - (FLOOR((Input!$CF$12-Input!$CF$10)/Input!$CF$11,1)+1)*Input!$CF$11*FLOOR((Calculations!$F174-1)/(FLOOR((Input!$CF$12-Input!$CF$10)/Input!$CF$11,1)+1),1))</f>
        <v>450</v>
      </c>
      <c r="K174" s="8" t="str">
        <f t="shared" si="52"/>
        <v/>
      </c>
      <c r="L174" s="117" t="str">
        <f>IF(OR(Input!$CJ$5 + Input!$CJ$6*(Calculations!F174-1) &gt; Input!$CJ$7, Input!$CJ$5 + Input!$CJ$6*(Calculations!F174-1) &gt; 350), "", Input!$CJ$5 + Input!$CJ$6*(Calculations!F174-1))</f>
        <v/>
      </c>
      <c r="M174" s="1">
        <f t="shared" si="42"/>
        <v>60000</v>
      </c>
      <c r="N174" s="1">
        <f t="shared" si="43"/>
        <v>450</v>
      </c>
      <c r="O174" s="1">
        <f t="shared" si="53"/>
        <v>723.15</v>
      </c>
      <c r="P174" s="1" t="e">
        <f>IF(OR($D$20=3,AND($D$21=TRUE,M174&lt;1000)),INDEX('Water Density'!$C$6:$CX$120,MATCH(Calculations!N174,'Water Density'!$B$6:$B$120),MATCH(Calculations!M174/1000,'Water Density'!$C$5:$CX$5)),NA())</f>
        <v>#N/A</v>
      </c>
      <c r="Q174" s="182">
        <f>IF(OR($D$20=3,AND($D$21=TRUE,M174&lt;1000)), IF(P174&lt;&gt;0,P174,NA()), calculateDensity(M174,N174,$D$20,0.01,$D$19 = 3))</f>
        <v>1.4846092845195531</v>
      </c>
      <c r="R174" s="1" t="e">
        <f>IF($D$22=5,INDEX('Dielectric Constant'!$C$6:$CX$120,MATCH(Calculations!N174,'Dielectric Constant'!$B$6:$B$120),MATCH(Calculations!M174/1000,'Dielectric Constant'!$C$5:$CX$5)),NA())</f>
        <v>#N/A</v>
      </c>
      <c r="S174" s="58">
        <f>IF($D$22=5, IF(R174&lt;&gt;0,R174,NA()), IF(AND($D$23,M174&lt;=5000,$D$19 &lt;&gt; 3),calculateEpsilon(Q174,N174,1,FALSE),calculateEpsilon(Q174,N174,$D$22,$D$19 = 3)))</f>
        <v>46.667920868592368</v>
      </c>
      <c r="T174" s="1" t="e">
        <f>IF($D$24=3,INDEX('Water Free Energy'!$C$6:$CX$120,MATCH(Calculations!N174,'Water Free Energy'!$B$6:$B$120),MATCH(Calculations!M174/1000,'Water Free Energy'!$C$5:$CX$5)),NA())</f>
        <v>#N/A</v>
      </c>
      <c r="U174" s="179">
        <f>IF($D$27,calculateQ(M174,N174,Q174,$D$20,$D$22,$D$19=3)*10^6,NA())</f>
        <v>8.0536653099248651E-2</v>
      </c>
      <c r="V174"/>
      <c r="W174" s="2">
        <f t="shared" si="44"/>
        <v>60000</v>
      </c>
      <c r="X174" s="1">
        <f t="shared" si="45"/>
        <v>450</v>
      </c>
      <c r="Y174" s="1">
        <f>Results!F176</f>
        <v>0</v>
      </c>
      <c r="Z174" s="1">
        <f>Results!G176</f>
        <v>0</v>
      </c>
      <c r="AA174" s="1">
        <f>Results!H176</f>
        <v>0</v>
      </c>
      <c r="AB174" s="1">
        <f>Results!I176</f>
        <v>0</v>
      </c>
      <c r="AC174" s="1" t="e">
        <f>IF(ISBLANK(Input!$O$4),NA(),'Reaction Information'!$E$5-'Reaction Information'!$G$5*(Calculations!$O174-Calculations!$C$8)+'Reaction Information'!$I$5*(Calculations!$O174-Calculations!$C$8-Calculations!$O174*LN(Calculations!$O174/Calculations!$C$8))+'Reaction Information'!$J$5*0.001/2*(2*Calculations!$O174*Calculations!$C$8-Calculations!$O174^2-Calculations!$C$8^2) + 'Reaction Information'!$K$5*100000*(Calculations!$O174^2 + Calculations!$C$8^2 - 2*Calculations!$O174*Calculations!$C$8)/(2*Calculations!$O174*Calculations!$C$8^2))</f>
        <v>#N/A</v>
      </c>
      <c r="AD174" s="8" t="e">
        <f>IF(ISBLANK(Input!$R$4),NA(),'Reaction Information'!$E$9-'Reaction Information'!$G$9*(Calculations!$O174-Calculations!$C$8)+'Reaction Information'!$I$9*(Calculations!$O174-Calculations!$C$8-Calculations!$O174*LN(Calculations!$O174/Calculations!$C$8))+'Reaction Information'!$J$9*0.001/2*(2*Calculations!$O174*Calculations!$C$8-Calculations!$O174^2-Calculations!$C$8^2) + 'Reaction Information'!$K$9*100000*(Calculations!$O174^2 + Calculations!$C$8^2 - 2*Calculations!$O174*Calculations!$C$8)/(2*Calculations!$O174*Calculations!$C$8^2))</f>
        <v>#N/A</v>
      </c>
      <c r="AE174" s="8">
        <f>IF(AE$5="H2O",IF($D$24=3,IF(T174=0,NA(),T174),calculateGibbsOfWater(M174,N174,$D$24,$D$20,$D$19=3)),NA())</f>
        <v>-46044.278046656458</v>
      </c>
      <c r="AF174" s="8">
        <f>IF(ISBLANK(Input!$X$4),NA(),'Reaction Information'!$E$13-'Reaction Information'!$G$13*(Calculations!O174-Calculations!$C$8)-'Reaction Information'!$N$13*(Calculations!O174*LN(Calculations!O174/Calculations!$C$8)-Calculations!O174+Calculations!$C$8)-'Reaction Information'!$O$13*10^4*(((1/(Calculations!O174-Calculations!$C$13))-(1/(Calculations!$C$8-Calculations!$C$13)))*((Calculations!$C$13-Calculations!O174)/(Calculations!$C$13))-(Calculations!O174/(Calculations!$C$13*Calculations!$C$13))*LN((Calculations!$C$8*(Calculations!O174-Calculations!$C$13))/(Calculations!O174*(Calculations!$C$8-Calculations!$C$13))))+'Reaction Information'!$J$13*10^-1*(Calculations!M174-Calculations!$C$9)+'Reaction Information'!$K$13*10^2*LN((Calculations!$C$12+Calculations!M174)/(Calculations!$C$12+Calculations!$C$9))+(1/(Calculations!O174-Calculations!$C$13))*('Reaction Information'!$L$13*(Calculations!M174-Calculations!$C$9)+'Reaction Information'!$M$13*10^4*LN((Calculations!$C$12+Calculations!M174)/(Calculations!$C$12+Calculations!$C$9)))+calculateOmega(Calculations!M174,Calculations!N174,Calculations!Q174,'Reaction Information'!$C$13,'Reaction Information'!$P$13*10^5,'Reaction Information'!$Q$13)*((1/Calculations!S174)-1)-'Reaction Information'!$P$13*10^5*((1/Calculations!$C$10)-1)+'Reaction Information'!$P$13*10^5*Calculations!$C$14*(Calculations!O174-Calculations!$C$8))</f>
        <v>-65376.364252040526</v>
      </c>
      <c r="AG174" s="8" t="e">
        <f>IF(ISBLANK(Input!$AA$4),NA(),'Reaction Information'!$E$17-'Reaction Information'!$G$17*(Calculations!$O174-Calculations!$C$8)-'Reaction Information'!$N$17*(Calculations!$O174*LN(Calculations!$O174/Calculations!$C$8)-Calculations!$O174+Calculations!$C$8)-'Reaction Information'!$O$17*10^4*(((1/(Calculations!$O174-Calculations!$C$13))-(1/(Calculations!$C$8-Calculations!$C$13)))*((Calculations!$C$13-Calculations!$O174)/(Calculations!$C$13))-(Calculations!$O174/(Calculations!$C$13*Calculations!$C$13))*LN((Calculations!$C$8*(Calculations!$O174-Calculations!$C$13))/(Calculations!$O174*(Calculations!$C$8-Calculations!$C$13))))+'Reaction Information'!$J$17*10^-1*(Calculations!$M174-Calculations!$C$9)+'Reaction Information'!$K$17*10^2*LN((Calculations!$C$12+Calculations!$M174)/(Calculations!$C$12+Calculations!$C$9))+(1/(Calculations!$O174-Calculations!$C$13))*('Reaction Information'!$L$17*(Calculations!$M174-Calculations!$C$9)+'Reaction Information'!$M$17*10^4*LN((Calculations!$C$12+Calculations!$M174)/(Calculations!$C$12+Calculations!$C$9)))+calculateOmega(Calculations!M174,Calculations!N174,Calculations!Q174,'Reaction Information'!$C$17,'Reaction Information'!$P$17*10^5,'Reaction Information'!$Q$17)*((1/Calculations!$S174)-1)-'Reaction Information'!$P$17*10^5*((1/Calculations!$C$10)-1)+'Reaction Information'!$P$17*10^5*Calculations!$C$14*(Calculations!$O174-Calculations!$C$8))</f>
        <v>#N/A</v>
      </c>
      <c r="AH174" s="8" t="e">
        <f>IF(ISBLANK(Input!$AD$4),NA(),'Reaction Information'!$E$21-'Reaction Information'!$G$21*(Calculations!$O174-Calculations!$C$8)-'Reaction Information'!$N$21*(Calculations!$O174*LN(Calculations!$O174/Calculations!$C$8)-Calculations!$O174+Calculations!$C$8)-'Reaction Information'!$O$21*10^4*(((1/(Calculations!$O174-Calculations!$C$13))-(1/(Calculations!$C$8-Calculations!$C$13)))*((Calculations!$C$13-Calculations!$O174)/(Calculations!$C$13))-(Calculations!$O174/(Calculations!$C$13*Calculations!$C$13))*LN((Calculations!$C$8*(Calculations!$O174-Calculations!$C$13))/(Calculations!$O174*(Calculations!$C$8-Calculations!$C$13))))+'Reaction Information'!$J$21*10^-1*(Calculations!$M174-Calculations!$C$9)+'Reaction Information'!$K$21*10^2*LN((Calculations!$C$12+Calculations!$M174)/(Calculations!$C$12+Calculations!$C$9))+(1/(Calculations!$O174-Calculations!$C$13))*('Reaction Information'!$L$21*(Calculations!$M174-Calculations!$C$9)+'Reaction Information'!$M$21*10^4*LN((Calculations!$C$12+Calculations!$M174)/(Calculations!$C$12+Calculations!$C$9)))+calculateOmega(Calculations!M174,Calculations!N174,Calculations!Q174,'Reaction Information'!$C$21,'Reaction Information'!$P$21*10^5,'Reaction Information'!$Q$21)*((1/Calculations!$S174)-1)-'Reaction Information'!$P$21*10^5*((1/Calculations!$C$10)-1)+'Reaction Information'!$P$21*10^5*Calculations!$C$14*(Calculations!$O174-Calculations!$C$8))</f>
        <v>#N/A</v>
      </c>
      <c r="AI174" s="8" t="e">
        <f>IF(ISBLANK(Input!$AG$4),NA(),'Reaction Information'!$E$25-'Reaction Information'!$G$25*(Calculations!$O174-Calculations!$C$8)-'Reaction Information'!$N$25*(Calculations!$O174*LN(Calculations!$O174/Calculations!$C$8)-Calculations!$O174+Calculations!$C$8)-'Reaction Information'!$O$25*10^4*(((1/(Calculations!$O174-Calculations!$C$13))-(1/(Calculations!$C$8-Calculations!$C$13)))*((Calculations!$C$13-Calculations!$O174)/(Calculations!$C$13))-(Calculations!$O174/(Calculations!$C$13*Calculations!$C$13))*LN((Calculations!$C$8*(Calculations!$O174-Calculations!$C$13))/(Calculations!$O174*(Calculations!$C$8-Calculations!$C$13))))+'Reaction Information'!$J$25*10^-1*(Calculations!$M174-Calculations!$C$9)+'Reaction Information'!$K$25*10^2*LN((Calculations!$C$12+Calculations!$M174)/(Calculations!$C$12+Calculations!$C$9))+(1/(Calculations!$O174-Calculations!$C$13))*('Reaction Information'!$L$25*(Calculations!$M174-Calculations!$C$9)+'Reaction Information'!$M$25*10^4*LN((Calculations!$C$12+Calculations!$M174)/(Calculations!$C$12+Calculations!$C$9)))+calculateOmega(Calculations!M174,Calculations!N174,Calculations!Q174,'Reaction Information'!$C$25,'Reaction Information'!$P$25*10^5,'Reaction Information'!$Q$25)*((1/Calculations!$S174)-1)-'Reaction Information'!$P$25*10^5*((1/Calculations!$C$10)-1)+'Reaction Information'!$P$25*10^5*Calculations!$C$14*(Calculations!$O174-Calculations!$C$8))</f>
        <v>#N/A</v>
      </c>
      <c r="AJ174" s="8" t="e">
        <f>IF(ISBLANK(Input!$AJ$4),NA(),'Reaction Information'!$E$29-'Reaction Information'!$G$29*(Calculations!$O174-Calculations!$C$8)-'Reaction Information'!$N$29*(Calculations!$O174*LN(Calculations!$O174/Calculations!$C$8)-Calculations!$O174+Calculations!$C$8)-'Reaction Information'!$O$29*10^4*(((1/(Calculations!$O174-Calculations!$C$13))-(1/(Calculations!$C$8-Calculations!$C$13)))*((Calculations!$C$13-Calculations!$O174)/(Calculations!$C$13))-(Calculations!$O174/(Calculations!$C$13*Calculations!$C$13))*LN((Calculations!$C$8*(Calculations!$O174-Calculations!$C$13))/(Calculations!$O174*(Calculations!$C$8-Calculations!$C$13))))+'Reaction Information'!$J$29*10^-1*(Calculations!$M174-Calculations!$C$9)+'Reaction Information'!$K$29*10^2*LN((Calculations!$C$12+Calculations!$M174)/(Calculations!$C$12+Calculations!$C$9))+(1/(Calculations!$O174-Calculations!$C$13))*('Reaction Information'!$L$29*(Calculations!$M174-Calculations!$C$9)+'Reaction Information'!$M$29*10^4*LN((Calculations!$C$12+Calculations!$M174)/(Calculations!$C$12+Calculations!$C$9)))+calculateOmega(Calculations!M174,Calculations!N174,Calculations!Q174,'Reaction Information'!$C$29,'Reaction Information'!$P$29*10^5,'Reaction Information'!$Q$29)*((1/Calculations!$S174)-1)-'Reaction Information'!$P$29*10^5*((1/Calculations!$C$10)-1)+'Reaction Information'!$P$29*10^5*Calculations!$C$14*(Calculations!$O174-Calculations!$C$8))</f>
        <v>#N/A</v>
      </c>
      <c r="AK174" s="8" t="e">
        <f>IF(ISBLANK(Input!$AM$4),NA(),'Reaction Information'!$E$33-'Reaction Information'!$G$33*(Calculations!$O174-Calculations!$C$8)-'Reaction Information'!$N$33*(Calculations!$O174*LN(Calculations!$O174/Calculations!$C$8)-Calculations!$O174+Calculations!$C$8)-'Reaction Information'!$O$33*10^4*(((1/(Calculations!$O174-Calculations!$C$13))-(1/(Calculations!$C$8-Calculations!$C$13)))*((Calculations!$C$13-Calculations!$O174)/(Calculations!$C$13))-(Calculations!$O174/(Calculations!$C$13*Calculations!$C$13))*LN((Calculations!$C$8*(Calculations!$O174-Calculations!$C$13))/(Calculations!$O174*(Calculations!$C$8-Calculations!$C$13))))+'Reaction Information'!$J$33*10^-1*(Calculations!$M174-Calculations!$C$9)+'Reaction Information'!$K$33*10^2*LN((Calculations!$C$12+Calculations!$M174)/(Calculations!$C$12+Calculations!$C$9))+(1/(Calculations!$O174-Calculations!$C$13))*('Reaction Information'!$L$33*(Calculations!$M174-Calculations!$C$9)+'Reaction Information'!$M$33*10^4*LN((Calculations!$C$12+Calculations!$M174)/(Calculations!$C$12+Calculations!$C$9)))+calculateOmega(Calculations!M174,Calculations!N174,Calculations!Q174,'Reaction Information'!$C$33,'Reaction Information'!$P$33*10^5,'Reaction Information'!$Q$33)*((1/Calculations!$S174)-1)-'Reaction Information'!$P$33*10^5*((1/Calculations!$C$10)-1)+'Reaction Information'!$P$33*10^5*Calculations!$C$14*(Calculations!$O174-Calculations!$C$8))</f>
        <v>#N/A</v>
      </c>
      <c r="AL174" s="1">
        <f>Results!S176</f>
        <v>0</v>
      </c>
      <c r="AM174" s="1">
        <f>Results!T176</f>
        <v>0</v>
      </c>
      <c r="AN174" s="1">
        <f>Results!U176</f>
        <v>0</v>
      </c>
      <c r="AO174" s="1">
        <f>Results!V176</f>
        <v>0</v>
      </c>
      <c r="AP174" s="8" t="e">
        <f>IF(ISBLANK(Input!$BB$4),NA(),'Reaction Information'!$E$38-'Reaction Information'!$G$38*(Calculations!$O174-Calculations!$C$8)+'Reaction Information'!$I$38*(Calculations!$O174-Calculations!$C$8-Calculations!$O174*LN(Calculations!$O174/Calculations!$C$8))+'Reaction Information'!$J$38*0.001/2*(2*Calculations!$O174*Calculations!$C$8-Calculations!$O174^2-Calculations!$C$8^2) + 'Reaction Information'!$K$38*100000*(Calculations!$O174^2 + Calculations!$C$8^2 - 2*Calculations!$O174*Calculations!$C$8)/(2*Calculations!$O174*Calculations!$C$8^2))</f>
        <v>#N/A</v>
      </c>
      <c r="AQ174" s="8" t="e">
        <f>IF(ISBLANK(Input!$BE$4),NA(),'Reaction Information'!$E$42-'Reaction Information'!$G$42*(Calculations!$O174-Calculations!$C$8)+'Reaction Information'!$I$42*(Calculations!$O174-Calculations!$C$8-Calculations!$O174*LN(Calculations!$O174/Calculations!$C$8))+'Reaction Information'!$J$42*0.001/2*(2*Calculations!$O174*Calculations!$C$8-Calculations!$O174^2-Calculations!$C$8^2) + 'Reaction Information'!$K$42*100000*(Calculations!$O174^2 + Calculations!$C$8^2 - 2*Calculations!$O174*Calculations!$C$8)/(2*Calculations!$O174*Calculations!$C$8^2))</f>
        <v>#N/A</v>
      </c>
      <c r="AR174" s="8" t="e">
        <f>IF(AR$5="H2O", IF($D$24=3,IF(T174=0,NA(),T174),calculateGibbsOfWater(M174,N174,$D$24,$D$20,$D$19=3)),NA())</f>
        <v>#N/A</v>
      </c>
      <c r="AS174" s="8">
        <f>IF(ISBLANK(Input!$BK$4),NA(),'Reaction Information'!$E$46-'Reaction Information'!$G$46*(Calculations!O174-Calculations!$C$8)-'Reaction Information'!$N$46*(Calculations!O174*LN(Calculations!O174/Calculations!$C$8)-Calculations!O174+Calculations!$C$8)-'Reaction Information'!$O$46*10^4*(((1/(Calculations!O174-Calculations!$C$13))-(1/(Calculations!$C$8-Calculations!$C$13)))*((Calculations!$C$13-Calculations!O174)/(Calculations!$C$13))-(Calculations!O174/(Calculations!$C$13*Calculations!$C$13))*LN((Calculations!$C$8*(Calculations!O174-Calculations!$C$13))/(Calculations!O174*(Calculations!$C$8-Calculations!$C$13))))+'Reaction Information'!$J$46*10^-1*(Calculations!$M174-Calculations!$C$9)+'Reaction Information'!$K$46*10^2*LN((Calculations!$C$12+Calculations!$M174)/(Calculations!$C$12+Calculations!$C$9))+(1/(Calculations!O174-Calculations!$C$13))*('Reaction Information'!$L$46*(Calculations!$M174-Calculations!$C$9)+'Reaction Information'!$M$46*10^4*LN((Calculations!$C$12+Calculations!$M174)/(Calculations!$C$12+Calculations!$C$9)))+calculateOmega(Calculations!M174,Calculations!N174,Calculations!Q174,'Reaction Information'!$C$46,'Reaction Information'!$P$46*10^5,'Reaction Information'!$Q$46)*((1/Calculations!S174)-1)-'Reaction Information'!$P$46*10^5*((1/Calculations!$C$10)-1)+'Reaction Information'!$P$46*10^5*Calculations!$C$14*(Calculations!O174-Calculations!$C$8))</f>
        <v>0</v>
      </c>
      <c r="AT174" s="8">
        <f>IF(ISBLANK(Input!$BN$4),NA(),'Reaction Information'!$E$50-'Reaction Information'!$G$50*(Calculations!O174-Calculations!$C$8)-'Reaction Information'!$N$50*(Calculations!O174*LN(Calculations!O174/Calculations!$C$8)-Calculations!O174+Calculations!$C$8)-'Reaction Information'!$O$50*10^4*(((1/(Calculations!O174-Calculations!$C$13))-(1/(Calculations!$C$8-Calculations!$C$13)))*((Calculations!$C$13-Calculations!O174)/(Calculations!$C$13))-(Calculations!O174/(Calculations!$C$13*Calculations!$C$13))*LN((Calculations!$C$8*(Calculations!O174-Calculations!$C$13))/(Calculations!O174*(Calculations!$C$8-Calculations!$C$13))))+'Reaction Information'!$J$50*10^-1*(Calculations!$M174-Calculations!$C$9)+'Reaction Information'!$K$50*10^2*LN((Calculations!$C$12+Calculations!$M174)/(Calculations!$C$12+Calculations!$C$9))+(1/(Calculations!O174-Calculations!$C$13))*('Reaction Information'!$L$50*(Calculations!$M174-Calculations!$C$9)+'Reaction Information'!$M$50*10^4*LN((Calculations!$C$12+Calculations!$M174)/(Calculations!$C$12+Calculations!$C$9)))+calculateOmega(Calculations!M174,Calculations!N174,Calculations!Q174,'Reaction Information'!$C$50,'Reaction Information'!$P$50*10^5,'Reaction Information'!$Q$50)*((1/Calculations!S174)-1)-'Reaction Information'!$P$50*10^5*((1/Calculations!$C$10)-1)+'Reaction Information'!$P$50*10^5*Calculations!$C$14*(Calculations!O174-Calculations!$C$8))</f>
        <v>-108158.92530158596</v>
      </c>
      <c r="AU174" s="8" t="e">
        <f>IF(ISBLANK(Input!$BQ$4),NA(),'Reaction Information'!$E$54-'Reaction Information'!$G$54*(Calculations!$O174-Calculations!$C$8)-'Reaction Information'!$N$54*(Calculations!$O174*LN(Calculations!$O174/Calculations!$C$8)-Calculations!$O174+Calculations!$C$8)-'Reaction Information'!$O$54*10^4*(((1/(Calculations!$O174-Calculations!$C$13))-(1/(Calculations!$C$8-Calculations!$C$13)))*((Calculations!$C$13-Calculations!$O174)/(Calculations!$C$13))-(Calculations!$O174/(Calculations!$C$13*Calculations!$C$13))*LN((Calculations!$C$8*(Calculations!$O174-Calculations!$C$13))/(Calculations!$O174*(Calculations!$C$8-Calculations!$C$13))))+'Reaction Information'!$J$54*10^-1*(Calculations!$M174-Calculations!$C$9)+'Reaction Information'!$K$54*10^2*LN((Calculations!$C$12+Calculations!$M174)/(Calculations!$C$12+Calculations!$C$9))+(1/(Calculations!$O174-Calculations!$C$13))*('Reaction Information'!$L$54*(Calculations!$M174-Calculations!$C$9)+'Reaction Information'!$M$54*10^4*LN((Calculations!$C$12+Calculations!$M174)/(Calculations!$C$12+Calculations!$C$9)))+calculateOmega(Calculations!M174,Calculations!N174,Calculations!Q174,'Reaction Information'!$C$54,'Reaction Information'!$P$54*10^5,'Reaction Information'!$Q$54)*((1/Calculations!$S174)-1)-'Reaction Information'!$P$54*10^5*((1/Calculations!$C$10)-1)+'Reaction Information'!$P$54*10^5*Calculations!$C$14*(Calculations!$O174-Calculations!$C$8))</f>
        <v>#N/A</v>
      </c>
      <c r="AV174" s="8" t="e">
        <f>IF(ISBLANK(Input!$BT$4),NA(),'Reaction Information'!$E$58-'Reaction Information'!$G$58*(Calculations!$O174-Calculations!$C$8)-'Reaction Information'!$N$58*(Calculations!$O174*LN(Calculations!$O174/Calculations!$C$8)-Calculations!$O174+Calculations!$C$8)-'Reaction Information'!$O$58*10^4*(((1/(Calculations!$O174-Calculations!$C$13))-(1/(Calculations!$C$8-Calculations!$C$13)))*((Calculations!$C$13-Calculations!$O174)/(Calculations!$C$13))-(Calculations!$O174/(Calculations!$C$13*Calculations!$C$13))*LN((Calculations!$C$8*(Calculations!$O174-Calculations!$C$13))/(Calculations!$O174*(Calculations!$C$8-Calculations!$C$13))))+'Reaction Information'!$J$58*10^-1*(Calculations!$M174-Calculations!$C$9)+'Reaction Information'!$K$58*10^2*LN((Calculations!$C$12+Calculations!$M174)/(Calculations!$C$12+Calculations!$C$9))+(1/(Calculations!$O174-Calculations!$C$13))*('Reaction Information'!$L$58*(Calculations!$M174-Calculations!$C$9)+'Reaction Information'!$M$58*10^4*LN((Calculations!$C$12+Calculations!$M174)/(Calculations!$C$12+Calculations!$C$9)))+calculateOmega(Calculations!M174,Calculations!N174,Calculations!Q174,'Reaction Information'!$C$58,'Reaction Information'!$P$58*10^5,'Reaction Information'!$Q$58)*((1/Calculations!$S174)-1)-'Reaction Information'!$P$58*10^5*((1/Calculations!$C$10)-1)+'Reaction Information'!$P$58*10^5*Calculations!$C$14*(Calculations!$O174-Calculations!$C$8))</f>
        <v>#N/A</v>
      </c>
      <c r="AW174" s="8" t="e">
        <f>IF(ISBLANK(Input!$BW$4),NA(),'Reaction Information'!$E$62-'Reaction Information'!$G$62*(Calculations!$O174-Calculations!$C$8)-'Reaction Information'!$N$62*(Calculations!$O174*LN(Calculations!$O174/Calculations!$C$8)-Calculations!$O174+Calculations!$C$8)-'Reaction Information'!$O$62*10^4*(((1/(Calculations!$O174-Calculations!$C$13))-(1/(Calculations!$C$8-Calculations!$C$13)))*((Calculations!$C$13-Calculations!$O174)/(Calculations!$C$13))-(Calculations!$O174/(Calculations!$C$13*Calculations!$C$13))*LN((Calculations!$C$8*(Calculations!$O174-Calculations!$C$13))/(Calculations!$O174*(Calculations!$C$8-Calculations!$C$13))))+'Reaction Information'!$J$62*10^-1*(Calculations!$M174-Calculations!$C$9)+'Reaction Information'!$K$62*10^2*LN((Calculations!$C$12+Calculations!$M174)/(Calculations!$C$12+Calculations!$C$9))+(1/(Calculations!$O174-Calculations!$C$13))*('Reaction Information'!$L$62*(Calculations!$M174-Calculations!$C$9)+'Reaction Information'!$M$62*10^4*LN((Calculations!$C$12+Calculations!$M174)/(Calculations!$C$12+Calculations!$C$9)))+calculateOmega(Calculations!M174,Calculations!N174,Calculations!Q174,'Reaction Information'!$C$62,'Reaction Information'!$P$62*10^5,'Reaction Information'!$Q$62)*((1/Calculations!$S174)-1)-'Reaction Information'!$P$62*10^5*((1/Calculations!$C$10)-1)+'Reaction Information'!$P$62*10^5*Calculations!$C$14*(Calculations!$O174-Calculations!$C$8))</f>
        <v>#N/A</v>
      </c>
      <c r="AX174" s="8" t="e">
        <f>IF(ISBLANK(Input!$BZ$4),NA(),'Reaction Information'!$E$66-'Reaction Information'!$G$66*(Calculations!$O174-Calculations!$C$8)-'Reaction Information'!$N$66*(Calculations!$O174*LN(Calculations!$O174/Calculations!$C$8)-Calculations!$O174+Calculations!$C$8)-'Reaction Information'!$O$66*10^4*(((1/(Calculations!$O174-Calculations!$C$13))-(1/(Calculations!$C$8-Calculations!$C$13)))*((Calculations!$C$13-Calculations!$O174)/(Calculations!$C$13))-(Calculations!$O174/(Calculations!$C$13*Calculations!$C$13))*LN((Calculations!$C$8*(Calculations!$O174-Calculations!$C$13))/(Calculations!$O174*(Calculations!$C$8-Calculations!$C$13))))+'Reaction Information'!$J$66*10^-1*(Calculations!$M174-Calculations!$C$9)+'Reaction Information'!$K$66*10^2*LN((Calculations!$C$12+Calculations!$M174)/(Calculations!$C$12+Calculations!$C$9))+(1/(Calculations!$O174-Calculations!$C$13))*('Reaction Information'!$L$66*(Calculations!$M174-Calculations!$C$9)+'Reaction Information'!$M$66*10^4*LN((Calculations!$C$12+Calculations!$M174)/(Calculations!$C$12+Calculations!$C$9)))+calculateOmega(Calculations!M174,Calculations!N174,Calculations!Q174,'Reaction Information'!$C$66,'Reaction Information'!$P$66*10^5,'Reaction Information'!$Q$66)*((1/Calculations!$S174)-1)-'Reaction Information'!$P$66*10^5*((1/Calculations!$C$10)-1)+'Reaction Information'!$P$66*10^5*Calculations!$C$14*(Calculations!$O174-Calculations!$C$8))</f>
        <v>#N/A</v>
      </c>
      <c r="AY174" s="31">
        <f>(AL174*Input!$AO$4+AM174*Input!$AR$4+AN174*Input!$AU$4+AO174*Input!$AX$4+IF(ISNA(AP174),0,AP174*Input!$BA$4)+IF(ISNA(AQ174),0,AQ174*Input!$BD$4)+IF(ISNA(AR174),0,AR174*Input!$BG$4)+IF(ISNA(AS174),0,AS174*Input!$BJ$4)+IF(ISNA(AT174),0,AT174*Input!$BM$4)+IF(ISNA(AU174),0,AU174*Input!$BP$4)+IF(ISNA(AV174),0,AV174*Input!$BS$4)+IF(ISNA(AW174),0,AW174*Input!$BV$4)+IF(ISNA(AX174),0,AX174*Input!$BY$4))-(Y174*Input!$B$4+Z174*Input!$E$4+AA174*Input!$H$4+AB174*Input!$K$4+IF(ISNA(AC174),0,AC174*Input!$N$4)+IF(ISNA(AD174),0,AD174*Input!$Q$4)+IF(ISNA(AE174),0,AE174*Input!$T$4)+IF(ISNA(AF174),0,AF174*Input!$W$4)+IF(ISNA(AG174),0,AG174*Input!$Z$4)+IF(ISNA(AH174),0,AH174*Input!$AC$4)+IF(ISNA(AI174),0,AI174*Input!$AF$4)+IF(ISNA(AJ174),0,AJ174*Input!$AI$4)+IF(ISNA(AK174),0,AK174*Input!$AL$4))</f>
        <v>3261.716997111027</v>
      </c>
      <c r="AZ174" s="42">
        <f t="shared" si="54"/>
        <v>-0.98639249623077996</v>
      </c>
      <c r="BA174" s="1">
        <f t="shared" si="46"/>
        <v>450</v>
      </c>
      <c r="BB174" s="46">
        <f t="shared" si="47"/>
        <v>60000</v>
      </c>
      <c r="BC174" s="1"/>
      <c r="BD174" s="2">
        <f t="shared" si="48"/>
        <v>60000</v>
      </c>
      <c r="BE174" s="46">
        <f t="shared" si="49"/>
        <v>450</v>
      </c>
      <c r="BF174" s="1">
        <f>Results!AJ176</f>
        <v>0</v>
      </c>
      <c r="BG174" s="1">
        <f>Results!AK176</f>
        <v>0</v>
      </c>
      <c r="BH174" s="1">
        <f>Results!AL176</f>
        <v>0</v>
      </c>
      <c r="BI174" s="1">
        <f>Results!AM176</f>
        <v>0</v>
      </c>
      <c r="BJ174" s="1" t="e">
        <f>IF(OR(ISNA('Reaction Information'!$D$5), $N174 = "", $D$27 = FALSE, 'Reaction Information'!$D$5 = ""), NA(), 24.465)</f>
        <v>#N/A</v>
      </c>
      <c r="BK174" s="1" t="e">
        <f>IF(OR(ISNA('Reaction Information'!$D$9), $N174 = "", $D$27 = FALSE, 'Reaction Information'!$D$9 = ""), NA(), 24.465)</f>
        <v>#N/A</v>
      </c>
      <c r="BL174" s="8">
        <f t="shared" si="55"/>
        <v>12.134694419501812</v>
      </c>
      <c r="BM174" s="8">
        <f>IF(OR(ISBLANK(Input!$X$4),$D$27=FALSE),NA(),('Reaction Information'!$J$13/10+'Reaction Information'!$K$13*100/(Calculations!$C$12+Calculations!$M174)+('Reaction Information'!$L$13+'Reaction Information'!$M$13*10^4/(Calculations!$C$12+Calculations!$M174))/(Calculations!$O174-Calculations!$C$13) -calculateOmega(Calculations!$M174,Calculations!$N174,Calculations!$Q174,'Reaction Information'!$C$13,'Reaction Information'!$P$13*10^5,'Reaction Information'!$Q$13)*Calculations!$U174*10^-6 + (1/$S174 - 1)*calculate_domegadP(Calculations!$M174,Calculations!$N174,Calculations!$Q174,'Reaction Information'!$C$13,'Reaction Information'!$P$13*10^5,'Reaction Information'!$Q$13,$D$20,$D$19=3))*41.84)</f>
        <v>29.763240555807638</v>
      </c>
      <c r="BN174" s="8" t="e">
        <f>IF(OR(ISBLANK(Input!$AA$4),$D$27=FALSE),NA(),('Reaction Information'!$J$17/10+'Reaction Information'!$K$17*100/(Calculations!$C$12+Calculations!$M174)+('Reaction Information'!$L$17+'Reaction Information'!$M$17*10000/(Calculations!$C$12+Calculations!$M174))/(Calculations!$O174-Calculations!$C$13)-calculateOmega(Calculations!M174,Calculations!N174,Calculations!Q174,'Reaction Information'!$C$17,'Reaction Information'!$P$17*10^5,'Reaction Information'!$Q$17)*Calculations!$U174*10^-6 + (1/$S174 - 1)*calculate_domegadP(Calculations!M174,Calculations!N174,Calculations!Q174,'Reaction Information'!$C$17,'Reaction Information'!$P$17*10^5,'Reaction Information'!$Q$17,$D$20,$D$19=3))*41.84)</f>
        <v>#N/A</v>
      </c>
      <c r="BO174" s="8" t="e">
        <f>IF(OR(ISBLANK(Input!$AD$4),$D$27=FALSE),NA(),('Reaction Information'!$J$21/10+'Reaction Information'!$K$21*100/(Calculations!$C$12+Calculations!$M174)+('Reaction Information'!$L$21+'Reaction Information'!$M$21*10000/(Calculations!$C$12+Calculations!$M174))/(Calculations!$O174-Calculations!$C$13)-calculateOmega(Calculations!M174,Calculations!N174,Calculations!Q174,'Reaction Information'!$C$21,'Reaction Information'!$P$21*10^5,'Reaction Information'!$Q$21)*Calculations!$U174*10^-6 + (1/$S174 - 1)*calculate_domegadP(Calculations!M174,Calculations!N174,Calculations!Q174,'Reaction Information'!$C$21,'Reaction Information'!$P$21*10^5,'Reaction Information'!$Q$21,$D$20,$D$19=3))*41.84)</f>
        <v>#N/A</v>
      </c>
      <c r="BP174" s="8" t="e">
        <f>IF(OR(ISBLANK(Input!$AG$4),$D$27=FALSE),NA(),('Reaction Information'!$J$25/10+'Reaction Information'!$K$25*100/(Calculations!$C$12+Calculations!$M174)+('Reaction Information'!$L$25+'Reaction Information'!$M$25*10000/(Calculations!$C$12+Calculations!$M174))/(Calculations!$O174-Calculations!$C$13)-calculateOmega(Calculations!M174,Calculations!N174,Calculations!Q174,'Reaction Information'!$C$25,'Reaction Information'!$P$25*10^5,'Reaction Information'!$Q$25)*Calculations!$U174*10^-6 + (1/$S174 - 1)*calculate_domegadP(Calculations!M174,Calculations!N174,Calculations!Q174,'Reaction Information'!$C$25,'Reaction Information'!$P$25*10^5,'Reaction Information'!$Q$25,$D$20,$D$19=3))*41.84)</f>
        <v>#N/A</v>
      </c>
      <c r="BQ174" s="8" t="e">
        <f>IF(OR(ISBLANK(Input!$AJ$4),$D$27=FALSE),NA(),('Reaction Information'!$J$29/10+'Reaction Information'!$K$29*100/(Calculations!$C$12+Calculations!$M174)+('Reaction Information'!$L$29+'Reaction Information'!$M$29*10000/(Calculations!$C$12+Calculations!$M174))/(Calculations!$O174-Calculations!$C$13)-calculateOmega(Calculations!M174,Calculations!N174,Calculations!Q174,'Reaction Information'!$C$29,'Reaction Information'!$P$29*10^5,'Reaction Information'!$Q$29)*Calculations!$U174*10^-6 + (1/$S174 - 1)*calculate_domegadP(Calculations!M174,Calculations!N174,Calculations!Q174,'Reaction Information'!$C$29,'Reaction Information'!$P$29*10^5,'Reaction Information'!$Q$29,$D$20,$D$19=3))*41.84)</f>
        <v>#N/A</v>
      </c>
      <c r="BR174" s="8" t="e">
        <f>IF(OR(ISBLANK(Input!$AM$4),$D$27=FALSE),NA(),('Reaction Information'!$J$33/10+'Reaction Information'!$K$33*100/(Calculations!$C$12+Calculations!$M174)+('Reaction Information'!$L$33+'Reaction Information'!$M$33*10000/(Calculations!$C$12+Calculations!$M174))/(Calculations!$O174-Calculations!$C$13)-calculateOmega(Calculations!M174,Calculations!N174,Calculations!Q174,'Reaction Information'!$C$33,'Reaction Information'!$P$33*10^5,'Reaction Information'!$Q$33)*Calculations!$U174*10^-6 + (1/$S174 - 1)*calculate_domegadP(Calculations!M174,Calculations!N174,Calculations!Q174,'Reaction Information'!$C$33,'Reaction Information'!$P$33*10^5,'Reaction Information'!$Q$33,$D$20,$D$19=3))*41.84)</f>
        <v>#N/A</v>
      </c>
      <c r="BS174" s="1">
        <f>Results!AW176</f>
        <v>0</v>
      </c>
      <c r="BT174" s="1">
        <f>Results!AX176</f>
        <v>0</v>
      </c>
      <c r="BU174" s="1">
        <f>Results!AY176</f>
        <v>0</v>
      </c>
      <c r="BV174" s="1">
        <f>Results!AZ176</f>
        <v>0</v>
      </c>
      <c r="BW174" s="1" t="e">
        <f>IF(OR(ISNA('Reaction Information'!$D$38), $N174 = "", $D$27 = FALSE, 'Reaction Information'!$D$38 = ""), NA(), 24.465)</f>
        <v>#N/A</v>
      </c>
      <c r="BX174" s="1" t="e">
        <f>IF(OR(ISNA('Reaction Information'!$D$42), $N174 = "", $D$27 = FALSE, 'Reaction Information'!$D$42 = ""), NA(), 24.465)</f>
        <v>#N/A</v>
      </c>
      <c r="BY174" s="8" t="e">
        <f t="shared" si="56"/>
        <v>#N/A</v>
      </c>
      <c r="BZ174" s="8">
        <f>IF(OR(ISBLANK(Input!$BK$4),$D$27=FALSE),NA(),('Reaction Information'!$J$46/10+'Reaction Information'!$K$46*100/(Calculations!$C$12+Calculations!$M174)+('Reaction Information'!$L$46+'Reaction Information'!$M$46*10000/(Calculations!$C$12+Calculations!$M174))/(Calculations!$O174-Calculations!$C$13)-calculateOmega(Calculations!M174,Calculations!N174,Calculations!Q174,'Reaction Information'!$C$46,'Reaction Information'!$P$46*10^5,'Reaction Information'!$Q$46)*Calculations!$U174*10^-6 + (1/$S174 - 1)*calculate_domegadP(Calculations!M174,Calculations!N174,Calculations!Q174,'Reaction Information'!$C$46,'Reaction Information'!$P$46*10^5,'Reaction Information'!$Q$46,$D$20,$D$19=3))*41.84)</f>
        <v>0</v>
      </c>
      <c r="CA174" s="8">
        <f>IF(OR(ISBLANK(Input!$BN$4),$D$27=FALSE),NA(),('Reaction Information'!$J$50/10+'Reaction Information'!$K$50*100/(Calculations!$C$12+Calculations!$M174)+('Reaction Information'!$L$50+'Reaction Information'!$M$50*10000/(Calculations!$C$12+Calculations!$M174))/(Calculations!$O174-Calculations!$C$13)-calculateOmega(Calculations!M174,Calculations!N174,Calculations!Q174,'Reaction Information'!$C$50,'Reaction Information'!$P$50*10^5,'Reaction Information'!$Q$50)*Calculations!$U174*10^-6 + (1/$S174 - 1)*calculate_domegadP(Calculations!M174,Calculations!N174,Calculations!Q174,'Reaction Information'!$C$50,'Reaction Information'!$P$50*10^5,'Reaction Information'!$Q$50,$D$20,$D$19=3))*41.84)</f>
        <v>31.652666559277034</v>
      </c>
      <c r="CB174" s="8" t="e">
        <f>IF(OR(ISBLANK(Input!$BQ$4),$D$27=FALSE),NA(),('Reaction Information'!$J$54/10+'Reaction Information'!$K$54*100/(Calculations!$C$12+Calculations!$M174)+('Reaction Information'!$L$54+'Reaction Information'!$M$54*10000/(Calculations!$C$12+Calculations!$M174))/(Calculations!$O174-Calculations!$C$13)-calculateOmega(Calculations!M174,Calculations!N174,Calculations!Q174,'Reaction Information'!$C$54,'Reaction Information'!$P$54*10^5,'Reaction Information'!$Q$54)*Calculations!$U174*10^-6 + (1/$S174 - 1)*calculate_domegadP(Calculations!M174,Calculations!N174,Calculations!Q174,'Reaction Information'!$C$54,'Reaction Information'!$P$54*10^5,'Reaction Information'!$Q$54,$D$20,$D$19=3))*41.84)</f>
        <v>#N/A</v>
      </c>
      <c r="CC174" s="8" t="e">
        <f>IF(OR(ISBLANK(Input!$BT$4),$D$27=FALSE),NA(),('Reaction Information'!$J$58/10+'Reaction Information'!$K$58*100/(Calculations!$C$12+Calculations!$M174)+('Reaction Information'!$L$58+'Reaction Information'!$M$58*10000/(Calculations!$C$12+Calculations!$M174))/(Calculations!$O174-Calculations!$C$13)-calculateOmega(Calculations!M174,Calculations!N174,Calculations!Q174,'Reaction Information'!$C$58,'Reaction Information'!$P$58*10^5,'Reaction Information'!$Q$58)*Calculations!$U174*10^-6 + (1/$S174 - 1)*calculate_domegadP(Calculations!M174,Calculations!N174,Calculations!Q174,'Reaction Information'!$C$58,'Reaction Information'!$P$58*10^5,'Reaction Information'!$Q$58,$D$20,$D$19=3))*41.84)</f>
        <v>#N/A</v>
      </c>
      <c r="CD174" s="8" t="e">
        <f>IF(OR(ISBLANK(Input!$BW$4),$D$27=FALSE),NA(),('Reaction Information'!$J$62/10+'Reaction Information'!$K$62*100/(Calculations!$C$12+Calculations!$M174)+('Reaction Information'!$L$62+'Reaction Information'!$M$62*10000/(Calculations!$C$12+Calculations!$M174))/(Calculations!$O174-Calculations!$C$13)-calculateOmega(Calculations!M174,Calculations!N174,Calculations!Q174,'Reaction Information'!$C$62,'Reaction Information'!$P$62*10^5,'Reaction Information'!$Q$62)*Calculations!$U174*10^-6 + (1/$S174 - 1)*calculate_domegadP(Calculations!M174,Calculations!N174,Calculations!Q174,'Reaction Information'!$C$62,'Reaction Information'!$P$62*10^5,'Reaction Information'!$Q$62,$D$20,$D$19=3))*41.84)</f>
        <v>#N/A</v>
      </c>
      <c r="CE174" s="8" t="e">
        <f>IF(OR(ISBLANK(Input!$BZ$4),$D$27=FALSE),NA(),('Reaction Information'!$J$66/10+'Reaction Information'!$K$66*100/(Calculations!$C$12+Calculations!$M174)+('Reaction Information'!$L$66+'Reaction Information'!$M$66*10000/(Calculations!$C$12+Calculations!$M174))/(Calculations!$O174-Calculations!$C$13)-calculateOmega(Calculations!M174,Calculations!N174,Calculations!Q174,'Reaction Information'!$C$66,'Reaction Information'!$P$66*10^5,'Reaction Information'!$Q$66)*Calculations!$U174*10^-6 + (1/$S174 - 1)*calculate_domegadP(Calculations!M174,Calculations!N174,Calculations!Q174,'Reaction Information'!$C$66,'Reaction Information'!$P$66*10^5,'Reaction Information'!$Q$66,$D$20,$D$19=3))*41.84)</f>
        <v>#N/A</v>
      </c>
      <c r="CF174" s="31">
        <f>(BS174*Input!$AO$4+BT174*Input!$AR$4+BU174*Input!$AU$4+BV174*Input!$AX$4+IF(ISNA(BW174),0,BW174*Input!$BA$4)+IF(ISNA(BX174),0,BX174*Input!$BD$4)+IF(ISNA(BY174),0,BY174*Input!$BG$4)+IF(ISNA(BZ174),0,BZ174*Input!$BJ$4)+IF(ISNA(CA174),0,CA174*Input!$BM$4)+IF(ISNA(CB174),0,CB174*Input!$BP$4)+IF(ISNA(CC174),0,CC174*Input!$BS$4)+IF(ISNA(CD174),0,CD174*Input!$BV$4)+IF(ISNA(CE174),0,CE174*Input!$BY$4))-(BF174*Input!$B$4+BG174*Input!$E$4+BH174*Input!$H$4+BI174*Input!$K$4+IF(ISNA(BJ174),0,BJ174*Input!$N$4)+IF(ISNA(BK174),0,BK174*Input!$Q$4)+IF(ISNA(BL174),0,BL174*Input!$T$4)+IF(ISNA(BM174),0,BM174*Input!$W$4)+IF(ISNA(BN174),0,BN174*Input!$Z$4)+IF(ISNA(BO174),0,BO174*Input!$AC$4)+IF(ISNA(BP174),0,BP174*Input!$AF$4)+IF(ISNA(BQ174),0,BQ174*Input!$AI$4)+IF(ISNA(BR174),0,BR174*Input!$AL$4))</f>
        <v>-10.24526841603242</v>
      </c>
      <c r="CG174" s="1">
        <f t="shared" si="50"/>
        <v>450</v>
      </c>
      <c r="CH174" s="46">
        <f t="shared" si="51"/>
        <v>60000</v>
      </c>
      <c r="CI174" s="1"/>
    </row>
    <row r="175" spans="1:87" x14ac:dyDescent="0.2">
      <c r="A175" s="1"/>
      <c r="B175" s="1"/>
      <c r="C175" s="1"/>
      <c r="D175" s="1"/>
      <c r="E175" s="1"/>
      <c r="F175" s="2">
        <v>170</v>
      </c>
      <c r="G175" s="1" t="str">
        <f>IF(ISBLANK(Input!CB175), "", Input!CB175*1000)</f>
        <v/>
      </c>
      <c r="H175" s="1" t="str">
        <f>IF(ISBLANK(Input!CC175), "", Input!CC175)</f>
        <v/>
      </c>
      <c r="I175" s="1">
        <f>IF(Input!$CF$5 + Input!$CF$6*(FLOOR((Calculations!$F175-1)/(FLOOR((Input!$CF$12-Input!$CF$10)/Input!$CF$11,1)+1),1)) &gt; Input!$CF$7, "", (Input!$CF$5 + Input!$CF$6*(FLOOR((Calculations!$F175-1)/(FLOOR((Input!$CF$12-Input!$CF$10)/Input!$CF$11,1)+1),1)))*1000)</f>
        <v>60000</v>
      </c>
      <c r="J175" s="1">
        <f>IF(Calculations!I175 = "", "", Input!$CF$10 + Input!$CF$11*(Calculations!$F175-1) - (FLOOR((Input!$CF$12-Input!$CF$10)/Input!$CF$11,1)+1)*Input!$CF$11*FLOOR((Calculations!$F175-1)/(FLOOR((Input!$CF$12-Input!$CF$10)/Input!$CF$11,1)+1),1))</f>
        <v>500</v>
      </c>
      <c r="K175" s="8" t="str">
        <f t="shared" si="52"/>
        <v/>
      </c>
      <c r="L175" s="117" t="str">
        <f>IF(OR(Input!$CJ$5 + Input!$CJ$6*(Calculations!F175-1) &gt; Input!$CJ$7, Input!$CJ$5 + Input!$CJ$6*(Calculations!F175-1) &gt; 350), "", Input!$CJ$5 + Input!$CJ$6*(Calculations!F175-1))</f>
        <v/>
      </c>
      <c r="M175" s="1">
        <f t="shared" si="42"/>
        <v>60000</v>
      </c>
      <c r="N175" s="1">
        <f t="shared" si="43"/>
        <v>500</v>
      </c>
      <c r="O175" s="1">
        <f t="shared" si="53"/>
        <v>773.15</v>
      </c>
      <c r="P175" s="1" t="e">
        <f>IF(OR($D$20=3,AND($D$21=TRUE,M175&lt;1000)),INDEX('Water Density'!$C$6:$CX$120,MATCH(Calculations!N175,'Water Density'!$B$6:$B$120),MATCH(Calculations!M175/1000,'Water Density'!$C$5:$CX$5)),NA())</f>
        <v>#N/A</v>
      </c>
      <c r="Q175" s="182">
        <f>IF(OR($D$20=3,AND($D$21=TRUE,M175&lt;1000)), IF(P175&lt;&gt;0,P175,NA()), calculateDensity(M175,N175,$D$20,0.01,$D$19 = 3))</f>
        <v>1.471055242514014</v>
      </c>
      <c r="R175" s="1" t="e">
        <f>IF($D$22=5,INDEX('Dielectric Constant'!$C$6:$CX$120,MATCH(Calculations!N175,'Dielectric Constant'!$B$6:$B$120),MATCH(Calculations!M175/1000,'Dielectric Constant'!$C$5:$CX$5)),NA())</f>
        <v>#N/A</v>
      </c>
      <c r="S175" s="58">
        <f>IF($D$22=5, IF(R175&lt;&gt;0,R175,NA()), IF(AND($D$23,M175&lt;=5000,$D$19 &lt;&gt; 3),calculateEpsilon(Q175,N175,1,FALSE),calculateEpsilon(Q175,N175,$D$22,$D$19 = 3)))</f>
        <v>42.362838175721393</v>
      </c>
      <c r="T175" s="1" t="e">
        <f>IF($D$24=3,INDEX('Water Free Energy'!$C$6:$CX$120,MATCH(Calculations!N175,'Water Free Energy'!$B$6:$B$120),MATCH(Calculations!M175/1000,'Water Free Energy'!$C$5:$CX$5)),NA())</f>
        <v>#N/A</v>
      </c>
      <c r="U175" s="179">
        <f>IF($D$27,calculateQ(M175,N175,Q175,$D$20,$D$22,$D$19=3)*10^6,NA())</f>
        <v>8.7165802783714524E-2</v>
      </c>
      <c r="V175"/>
      <c r="W175" s="2">
        <f t="shared" si="44"/>
        <v>60000</v>
      </c>
      <c r="X175" s="1">
        <f t="shared" si="45"/>
        <v>500</v>
      </c>
      <c r="Y175" s="1">
        <f>Results!F177</f>
        <v>0</v>
      </c>
      <c r="Z175" s="1">
        <f>Results!G177</f>
        <v>0</v>
      </c>
      <c r="AA175" s="1">
        <f>Results!H177</f>
        <v>0</v>
      </c>
      <c r="AB175" s="1">
        <f>Results!I177</f>
        <v>0</v>
      </c>
      <c r="AC175" s="1" t="e">
        <f>IF(ISBLANK(Input!$O$4),NA(),'Reaction Information'!$E$5-'Reaction Information'!$G$5*(Calculations!$O175-Calculations!$C$8)+'Reaction Information'!$I$5*(Calculations!$O175-Calculations!$C$8-Calculations!$O175*LN(Calculations!$O175/Calculations!$C$8))+'Reaction Information'!$J$5*0.001/2*(2*Calculations!$O175*Calculations!$C$8-Calculations!$O175^2-Calculations!$C$8^2) + 'Reaction Information'!$K$5*100000*(Calculations!$O175^2 + Calculations!$C$8^2 - 2*Calculations!$O175*Calculations!$C$8)/(2*Calculations!$O175*Calculations!$C$8^2))</f>
        <v>#N/A</v>
      </c>
      <c r="AD175" s="8" t="e">
        <f>IF(ISBLANK(Input!$R$4),NA(),'Reaction Information'!$E$9-'Reaction Information'!$G$9*(Calculations!$O175-Calculations!$C$8)+'Reaction Information'!$I$9*(Calculations!$O175-Calculations!$C$8-Calculations!$O175*LN(Calculations!$O175/Calculations!$C$8))+'Reaction Information'!$J$9*0.001/2*(2*Calculations!$O175*Calculations!$C$8-Calculations!$O175^2-Calculations!$C$8^2) + 'Reaction Information'!$K$9*100000*(Calculations!$O175^2 + Calculations!$C$8^2 - 2*Calculations!$O175*Calculations!$C$8)/(2*Calculations!$O175*Calculations!$C$8^2))</f>
        <v>#N/A</v>
      </c>
      <c r="AE175" s="8">
        <f>IF(AE$5="H2O",IF($D$24=3,IF(T175=0,NA(),T175),calculateGibbsOfWater(M175,N175,$D$24,$D$20,$D$19=3)),NA())</f>
        <v>-47300.457417318379</v>
      </c>
      <c r="AF175" s="8">
        <f>IF(ISBLANK(Input!$X$4),NA(),'Reaction Information'!$E$13-'Reaction Information'!$G$13*(Calculations!O175-Calculations!$C$8)-'Reaction Information'!$N$13*(Calculations!O175*LN(Calculations!O175/Calculations!$C$8)-Calculations!O175+Calculations!$C$8)-'Reaction Information'!$O$13*10^4*(((1/(Calculations!O175-Calculations!$C$13))-(1/(Calculations!$C$8-Calculations!$C$13)))*((Calculations!$C$13-Calculations!O175)/(Calculations!$C$13))-(Calculations!O175/(Calculations!$C$13*Calculations!$C$13))*LN((Calculations!$C$8*(Calculations!O175-Calculations!$C$13))/(Calculations!O175*(Calculations!$C$8-Calculations!$C$13))))+'Reaction Information'!$J$13*10^-1*(Calculations!M175-Calculations!$C$9)+'Reaction Information'!$K$13*10^2*LN((Calculations!$C$12+Calculations!M175)/(Calculations!$C$12+Calculations!$C$9))+(1/(Calculations!O175-Calculations!$C$13))*('Reaction Information'!$L$13*(Calculations!M175-Calculations!$C$9)+'Reaction Information'!$M$13*10^4*LN((Calculations!$C$12+Calculations!M175)/(Calculations!$C$12+Calculations!$C$9)))+calculateOmega(Calculations!M175,Calculations!N175,Calculations!Q175,'Reaction Information'!$C$13,'Reaction Information'!$P$13*10^5,'Reaction Information'!$Q$13)*((1/Calculations!S175)-1)-'Reaction Information'!$P$13*10^5*((1/Calculations!$C$10)-1)+'Reaction Information'!$P$13*10^5*Calculations!$C$14*(Calculations!O175-Calculations!$C$8))</f>
        <v>-67530.524259202299</v>
      </c>
      <c r="AG175" s="8" t="e">
        <f>IF(ISBLANK(Input!$AA$4),NA(),'Reaction Information'!$E$17-'Reaction Information'!$G$17*(Calculations!$O175-Calculations!$C$8)-'Reaction Information'!$N$17*(Calculations!$O175*LN(Calculations!$O175/Calculations!$C$8)-Calculations!$O175+Calculations!$C$8)-'Reaction Information'!$O$17*10^4*(((1/(Calculations!$O175-Calculations!$C$13))-(1/(Calculations!$C$8-Calculations!$C$13)))*((Calculations!$C$13-Calculations!$O175)/(Calculations!$C$13))-(Calculations!$O175/(Calculations!$C$13*Calculations!$C$13))*LN((Calculations!$C$8*(Calculations!$O175-Calculations!$C$13))/(Calculations!$O175*(Calculations!$C$8-Calculations!$C$13))))+'Reaction Information'!$J$17*10^-1*(Calculations!$M175-Calculations!$C$9)+'Reaction Information'!$K$17*10^2*LN((Calculations!$C$12+Calculations!$M175)/(Calculations!$C$12+Calculations!$C$9))+(1/(Calculations!$O175-Calculations!$C$13))*('Reaction Information'!$L$17*(Calculations!$M175-Calculations!$C$9)+'Reaction Information'!$M$17*10^4*LN((Calculations!$C$12+Calculations!$M175)/(Calculations!$C$12+Calculations!$C$9)))+calculateOmega(Calculations!M175,Calculations!N175,Calculations!Q175,'Reaction Information'!$C$17,'Reaction Information'!$P$17*10^5,'Reaction Information'!$Q$17)*((1/Calculations!$S175)-1)-'Reaction Information'!$P$17*10^5*((1/Calculations!$C$10)-1)+'Reaction Information'!$P$17*10^5*Calculations!$C$14*(Calculations!$O175-Calculations!$C$8))</f>
        <v>#N/A</v>
      </c>
      <c r="AH175" s="8" t="e">
        <f>IF(ISBLANK(Input!$AD$4),NA(),'Reaction Information'!$E$21-'Reaction Information'!$G$21*(Calculations!$O175-Calculations!$C$8)-'Reaction Information'!$N$21*(Calculations!$O175*LN(Calculations!$O175/Calculations!$C$8)-Calculations!$O175+Calculations!$C$8)-'Reaction Information'!$O$21*10^4*(((1/(Calculations!$O175-Calculations!$C$13))-(1/(Calculations!$C$8-Calculations!$C$13)))*((Calculations!$C$13-Calculations!$O175)/(Calculations!$C$13))-(Calculations!$O175/(Calculations!$C$13*Calculations!$C$13))*LN((Calculations!$C$8*(Calculations!$O175-Calculations!$C$13))/(Calculations!$O175*(Calculations!$C$8-Calculations!$C$13))))+'Reaction Information'!$J$21*10^-1*(Calculations!$M175-Calculations!$C$9)+'Reaction Information'!$K$21*10^2*LN((Calculations!$C$12+Calculations!$M175)/(Calculations!$C$12+Calculations!$C$9))+(1/(Calculations!$O175-Calculations!$C$13))*('Reaction Information'!$L$21*(Calculations!$M175-Calculations!$C$9)+'Reaction Information'!$M$21*10^4*LN((Calculations!$C$12+Calculations!$M175)/(Calculations!$C$12+Calculations!$C$9)))+calculateOmega(Calculations!M175,Calculations!N175,Calculations!Q175,'Reaction Information'!$C$21,'Reaction Information'!$P$21*10^5,'Reaction Information'!$Q$21)*((1/Calculations!$S175)-1)-'Reaction Information'!$P$21*10^5*((1/Calculations!$C$10)-1)+'Reaction Information'!$P$21*10^5*Calculations!$C$14*(Calculations!$O175-Calculations!$C$8))</f>
        <v>#N/A</v>
      </c>
      <c r="AI175" s="8" t="e">
        <f>IF(ISBLANK(Input!$AG$4),NA(),'Reaction Information'!$E$25-'Reaction Information'!$G$25*(Calculations!$O175-Calculations!$C$8)-'Reaction Information'!$N$25*(Calculations!$O175*LN(Calculations!$O175/Calculations!$C$8)-Calculations!$O175+Calculations!$C$8)-'Reaction Information'!$O$25*10^4*(((1/(Calculations!$O175-Calculations!$C$13))-(1/(Calculations!$C$8-Calculations!$C$13)))*((Calculations!$C$13-Calculations!$O175)/(Calculations!$C$13))-(Calculations!$O175/(Calculations!$C$13*Calculations!$C$13))*LN((Calculations!$C$8*(Calculations!$O175-Calculations!$C$13))/(Calculations!$O175*(Calculations!$C$8-Calculations!$C$13))))+'Reaction Information'!$J$25*10^-1*(Calculations!$M175-Calculations!$C$9)+'Reaction Information'!$K$25*10^2*LN((Calculations!$C$12+Calculations!$M175)/(Calculations!$C$12+Calculations!$C$9))+(1/(Calculations!$O175-Calculations!$C$13))*('Reaction Information'!$L$25*(Calculations!$M175-Calculations!$C$9)+'Reaction Information'!$M$25*10^4*LN((Calculations!$C$12+Calculations!$M175)/(Calculations!$C$12+Calculations!$C$9)))+calculateOmega(Calculations!M175,Calculations!N175,Calculations!Q175,'Reaction Information'!$C$25,'Reaction Information'!$P$25*10^5,'Reaction Information'!$Q$25)*((1/Calculations!$S175)-1)-'Reaction Information'!$P$25*10^5*((1/Calculations!$C$10)-1)+'Reaction Information'!$P$25*10^5*Calculations!$C$14*(Calculations!$O175-Calculations!$C$8))</f>
        <v>#N/A</v>
      </c>
      <c r="AJ175" s="8" t="e">
        <f>IF(ISBLANK(Input!$AJ$4),NA(),'Reaction Information'!$E$29-'Reaction Information'!$G$29*(Calculations!$O175-Calculations!$C$8)-'Reaction Information'!$N$29*(Calculations!$O175*LN(Calculations!$O175/Calculations!$C$8)-Calculations!$O175+Calculations!$C$8)-'Reaction Information'!$O$29*10^4*(((1/(Calculations!$O175-Calculations!$C$13))-(1/(Calculations!$C$8-Calculations!$C$13)))*((Calculations!$C$13-Calculations!$O175)/(Calculations!$C$13))-(Calculations!$O175/(Calculations!$C$13*Calculations!$C$13))*LN((Calculations!$C$8*(Calculations!$O175-Calculations!$C$13))/(Calculations!$O175*(Calculations!$C$8-Calculations!$C$13))))+'Reaction Information'!$J$29*10^-1*(Calculations!$M175-Calculations!$C$9)+'Reaction Information'!$K$29*10^2*LN((Calculations!$C$12+Calculations!$M175)/(Calculations!$C$12+Calculations!$C$9))+(1/(Calculations!$O175-Calculations!$C$13))*('Reaction Information'!$L$29*(Calculations!$M175-Calculations!$C$9)+'Reaction Information'!$M$29*10^4*LN((Calculations!$C$12+Calculations!$M175)/(Calculations!$C$12+Calculations!$C$9)))+calculateOmega(Calculations!M175,Calculations!N175,Calculations!Q175,'Reaction Information'!$C$29,'Reaction Information'!$P$29*10^5,'Reaction Information'!$Q$29)*((1/Calculations!$S175)-1)-'Reaction Information'!$P$29*10^5*((1/Calculations!$C$10)-1)+'Reaction Information'!$P$29*10^5*Calculations!$C$14*(Calculations!$O175-Calculations!$C$8))</f>
        <v>#N/A</v>
      </c>
      <c r="AK175" s="8" t="e">
        <f>IF(ISBLANK(Input!$AM$4),NA(),'Reaction Information'!$E$33-'Reaction Information'!$G$33*(Calculations!$O175-Calculations!$C$8)-'Reaction Information'!$N$33*(Calculations!$O175*LN(Calculations!$O175/Calculations!$C$8)-Calculations!$O175+Calculations!$C$8)-'Reaction Information'!$O$33*10^4*(((1/(Calculations!$O175-Calculations!$C$13))-(1/(Calculations!$C$8-Calculations!$C$13)))*((Calculations!$C$13-Calculations!$O175)/(Calculations!$C$13))-(Calculations!$O175/(Calculations!$C$13*Calculations!$C$13))*LN((Calculations!$C$8*(Calculations!$O175-Calculations!$C$13))/(Calculations!$O175*(Calculations!$C$8-Calculations!$C$13))))+'Reaction Information'!$J$33*10^-1*(Calculations!$M175-Calculations!$C$9)+'Reaction Information'!$K$33*10^2*LN((Calculations!$C$12+Calculations!$M175)/(Calculations!$C$12+Calculations!$C$9))+(1/(Calculations!$O175-Calculations!$C$13))*('Reaction Information'!$L$33*(Calculations!$M175-Calculations!$C$9)+'Reaction Information'!$M$33*10^4*LN((Calculations!$C$12+Calculations!$M175)/(Calculations!$C$12+Calculations!$C$9)))+calculateOmega(Calculations!M175,Calculations!N175,Calculations!Q175,'Reaction Information'!$C$33,'Reaction Information'!$P$33*10^5,'Reaction Information'!$Q$33)*((1/Calculations!$S175)-1)-'Reaction Information'!$P$33*10^5*((1/Calculations!$C$10)-1)+'Reaction Information'!$P$33*10^5*Calculations!$C$14*(Calculations!$O175-Calculations!$C$8))</f>
        <v>#N/A</v>
      </c>
      <c r="AL175" s="1">
        <f>Results!S177</f>
        <v>0</v>
      </c>
      <c r="AM175" s="1">
        <f>Results!T177</f>
        <v>0</v>
      </c>
      <c r="AN175" s="1">
        <f>Results!U177</f>
        <v>0</v>
      </c>
      <c r="AO175" s="1">
        <f>Results!V177</f>
        <v>0</v>
      </c>
      <c r="AP175" s="8" t="e">
        <f>IF(ISBLANK(Input!$BB$4),NA(),'Reaction Information'!$E$38-'Reaction Information'!$G$38*(Calculations!$O175-Calculations!$C$8)+'Reaction Information'!$I$38*(Calculations!$O175-Calculations!$C$8-Calculations!$O175*LN(Calculations!$O175/Calculations!$C$8))+'Reaction Information'!$J$38*0.001/2*(2*Calculations!$O175*Calculations!$C$8-Calculations!$O175^2-Calculations!$C$8^2) + 'Reaction Information'!$K$38*100000*(Calculations!$O175^2 + Calculations!$C$8^2 - 2*Calculations!$O175*Calculations!$C$8)/(2*Calculations!$O175*Calculations!$C$8^2))</f>
        <v>#N/A</v>
      </c>
      <c r="AQ175" s="8" t="e">
        <f>IF(ISBLANK(Input!$BE$4),NA(),'Reaction Information'!$E$42-'Reaction Information'!$G$42*(Calculations!$O175-Calculations!$C$8)+'Reaction Information'!$I$42*(Calculations!$O175-Calculations!$C$8-Calculations!$O175*LN(Calculations!$O175/Calculations!$C$8))+'Reaction Information'!$J$42*0.001/2*(2*Calculations!$O175*Calculations!$C$8-Calculations!$O175^2-Calculations!$C$8^2) + 'Reaction Information'!$K$42*100000*(Calculations!$O175^2 + Calculations!$C$8^2 - 2*Calculations!$O175*Calculations!$C$8)/(2*Calculations!$O175*Calculations!$C$8^2))</f>
        <v>#N/A</v>
      </c>
      <c r="AR175" s="8" t="e">
        <f>IF(AR$5="H2O", IF($D$24=3,IF(T175=0,NA(),T175),calculateGibbsOfWater(M175,N175,$D$24,$D$20,$D$19=3)),NA())</f>
        <v>#N/A</v>
      </c>
      <c r="AS175" s="8">
        <f>IF(ISBLANK(Input!$BK$4),NA(),'Reaction Information'!$E$46-'Reaction Information'!$G$46*(Calculations!O175-Calculations!$C$8)-'Reaction Information'!$N$46*(Calculations!O175*LN(Calculations!O175/Calculations!$C$8)-Calculations!O175+Calculations!$C$8)-'Reaction Information'!$O$46*10^4*(((1/(Calculations!O175-Calculations!$C$13))-(1/(Calculations!$C$8-Calculations!$C$13)))*((Calculations!$C$13-Calculations!O175)/(Calculations!$C$13))-(Calculations!O175/(Calculations!$C$13*Calculations!$C$13))*LN((Calculations!$C$8*(Calculations!O175-Calculations!$C$13))/(Calculations!O175*(Calculations!$C$8-Calculations!$C$13))))+'Reaction Information'!$J$46*10^-1*(Calculations!$M175-Calculations!$C$9)+'Reaction Information'!$K$46*10^2*LN((Calculations!$C$12+Calculations!$M175)/(Calculations!$C$12+Calculations!$C$9))+(1/(Calculations!O175-Calculations!$C$13))*('Reaction Information'!$L$46*(Calculations!$M175-Calculations!$C$9)+'Reaction Information'!$M$46*10^4*LN((Calculations!$C$12+Calculations!$M175)/(Calculations!$C$12+Calculations!$C$9)))+calculateOmega(Calculations!M175,Calculations!N175,Calculations!Q175,'Reaction Information'!$C$46,'Reaction Information'!$P$46*10^5,'Reaction Information'!$Q$46)*((1/Calculations!S175)-1)-'Reaction Information'!$P$46*10^5*((1/Calculations!$C$10)-1)+'Reaction Information'!$P$46*10^5*Calculations!$C$14*(Calculations!O175-Calculations!$C$8))</f>
        <v>0</v>
      </c>
      <c r="AT175" s="8">
        <f>IF(ISBLANK(Input!$BN$4),NA(),'Reaction Information'!$E$50-'Reaction Information'!$G$50*(Calculations!O175-Calculations!$C$8)-'Reaction Information'!$N$50*(Calculations!O175*LN(Calculations!O175/Calculations!$C$8)-Calculations!O175+Calculations!$C$8)-'Reaction Information'!$O$50*10^4*(((1/(Calculations!O175-Calculations!$C$13))-(1/(Calculations!$C$8-Calculations!$C$13)))*((Calculations!$C$13-Calculations!O175)/(Calculations!$C$13))-(Calculations!O175/(Calculations!$C$13*Calculations!$C$13))*LN((Calculations!$C$8*(Calculations!O175-Calculations!$C$13))/(Calculations!O175*(Calculations!$C$8-Calculations!$C$13))))+'Reaction Information'!$J$50*10^-1*(Calculations!$M175-Calculations!$C$9)+'Reaction Information'!$K$50*10^2*LN((Calculations!$C$12+Calculations!$M175)/(Calculations!$C$12+Calculations!$C$9))+(1/(Calculations!O175-Calculations!$C$13))*('Reaction Information'!$L$50*(Calculations!$M175-Calculations!$C$9)+'Reaction Information'!$M$50*10^4*LN((Calculations!$C$12+Calculations!$M175)/(Calculations!$C$12+Calculations!$C$9)))+calculateOmega(Calculations!M175,Calculations!N175,Calculations!Q175,'Reaction Information'!$C$50,'Reaction Information'!$P$50*10^5,'Reaction Information'!$Q$50)*((1/Calculations!S175)-1)-'Reaction Information'!$P$50*10^5*((1/Calculations!$C$10)-1)+'Reaction Information'!$P$50*10^5*Calculations!$C$14*(Calculations!O175-Calculations!$C$8))</f>
        <v>-109860.11047675381</v>
      </c>
      <c r="AU175" s="8" t="e">
        <f>IF(ISBLANK(Input!$BQ$4),NA(),'Reaction Information'!$E$54-'Reaction Information'!$G$54*(Calculations!$O175-Calculations!$C$8)-'Reaction Information'!$N$54*(Calculations!$O175*LN(Calculations!$O175/Calculations!$C$8)-Calculations!$O175+Calculations!$C$8)-'Reaction Information'!$O$54*10^4*(((1/(Calculations!$O175-Calculations!$C$13))-(1/(Calculations!$C$8-Calculations!$C$13)))*((Calculations!$C$13-Calculations!$O175)/(Calculations!$C$13))-(Calculations!$O175/(Calculations!$C$13*Calculations!$C$13))*LN((Calculations!$C$8*(Calculations!$O175-Calculations!$C$13))/(Calculations!$O175*(Calculations!$C$8-Calculations!$C$13))))+'Reaction Information'!$J$54*10^-1*(Calculations!$M175-Calculations!$C$9)+'Reaction Information'!$K$54*10^2*LN((Calculations!$C$12+Calculations!$M175)/(Calculations!$C$12+Calculations!$C$9))+(1/(Calculations!$O175-Calculations!$C$13))*('Reaction Information'!$L$54*(Calculations!$M175-Calculations!$C$9)+'Reaction Information'!$M$54*10^4*LN((Calculations!$C$12+Calculations!$M175)/(Calculations!$C$12+Calculations!$C$9)))+calculateOmega(Calculations!M175,Calculations!N175,Calculations!Q175,'Reaction Information'!$C$54,'Reaction Information'!$P$54*10^5,'Reaction Information'!$Q$54)*((1/Calculations!$S175)-1)-'Reaction Information'!$P$54*10^5*((1/Calculations!$C$10)-1)+'Reaction Information'!$P$54*10^5*Calculations!$C$14*(Calculations!$O175-Calculations!$C$8))</f>
        <v>#N/A</v>
      </c>
      <c r="AV175" s="8" t="e">
        <f>IF(ISBLANK(Input!$BT$4),NA(),'Reaction Information'!$E$58-'Reaction Information'!$G$58*(Calculations!$O175-Calculations!$C$8)-'Reaction Information'!$N$58*(Calculations!$O175*LN(Calculations!$O175/Calculations!$C$8)-Calculations!$O175+Calculations!$C$8)-'Reaction Information'!$O$58*10^4*(((1/(Calculations!$O175-Calculations!$C$13))-(1/(Calculations!$C$8-Calculations!$C$13)))*((Calculations!$C$13-Calculations!$O175)/(Calculations!$C$13))-(Calculations!$O175/(Calculations!$C$13*Calculations!$C$13))*LN((Calculations!$C$8*(Calculations!$O175-Calculations!$C$13))/(Calculations!$O175*(Calculations!$C$8-Calculations!$C$13))))+'Reaction Information'!$J$58*10^-1*(Calculations!$M175-Calculations!$C$9)+'Reaction Information'!$K$58*10^2*LN((Calculations!$C$12+Calculations!$M175)/(Calculations!$C$12+Calculations!$C$9))+(1/(Calculations!$O175-Calculations!$C$13))*('Reaction Information'!$L$58*(Calculations!$M175-Calculations!$C$9)+'Reaction Information'!$M$58*10^4*LN((Calculations!$C$12+Calculations!$M175)/(Calculations!$C$12+Calculations!$C$9)))+calculateOmega(Calculations!M175,Calculations!N175,Calculations!Q175,'Reaction Information'!$C$58,'Reaction Information'!$P$58*10^5,'Reaction Information'!$Q$58)*((1/Calculations!$S175)-1)-'Reaction Information'!$P$58*10^5*((1/Calculations!$C$10)-1)+'Reaction Information'!$P$58*10^5*Calculations!$C$14*(Calculations!$O175-Calculations!$C$8))</f>
        <v>#N/A</v>
      </c>
      <c r="AW175" s="8" t="e">
        <f>IF(ISBLANK(Input!$BW$4),NA(),'Reaction Information'!$E$62-'Reaction Information'!$G$62*(Calculations!$O175-Calculations!$C$8)-'Reaction Information'!$N$62*(Calculations!$O175*LN(Calculations!$O175/Calculations!$C$8)-Calculations!$O175+Calculations!$C$8)-'Reaction Information'!$O$62*10^4*(((1/(Calculations!$O175-Calculations!$C$13))-(1/(Calculations!$C$8-Calculations!$C$13)))*((Calculations!$C$13-Calculations!$O175)/(Calculations!$C$13))-(Calculations!$O175/(Calculations!$C$13*Calculations!$C$13))*LN((Calculations!$C$8*(Calculations!$O175-Calculations!$C$13))/(Calculations!$O175*(Calculations!$C$8-Calculations!$C$13))))+'Reaction Information'!$J$62*10^-1*(Calculations!$M175-Calculations!$C$9)+'Reaction Information'!$K$62*10^2*LN((Calculations!$C$12+Calculations!$M175)/(Calculations!$C$12+Calculations!$C$9))+(1/(Calculations!$O175-Calculations!$C$13))*('Reaction Information'!$L$62*(Calculations!$M175-Calculations!$C$9)+'Reaction Information'!$M$62*10^4*LN((Calculations!$C$12+Calculations!$M175)/(Calculations!$C$12+Calculations!$C$9)))+calculateOmega(Calculations!M175,Calculations!N175,Calculations!Q175,'Reaction Information'!$C$62,'Reaction Information'!$P$62*10^5,'Reaction Information'!$Q$62)*((1/Calculations!$S175)-1)-'Reaction Information'!$P$62*10^5*((1/Calculations!$C$10)-1)+'Reaction Information'!$P$62*10^5*Calculations!$C$14*(Calculations!$O175-Calculations!$C$8))</f>
        <v>#N/A</v>
      </c>
      <c r="AX175" s="8" t="e">
        <f>IF(ISBLANK(Input!$BZ$4),NA(),'Reaction Information'!$E$66-'Reaction Information'!$G$66*(Calculations!$O175-Calculations!$C$8)-'Reaction Information'!$N$66*(Calculations!$O175*LN(Calculations!$O175/Calculations!$C$8)-Calculations!$O175+Calculations!$C$8)-'Reaction Information'!$O$66*10^4*(((1/(Calculations!$O175-Calculations!$C$13))-(1/(Calculations!$C$8-Calculations!$C$13)))*((Calculations!$C$13-Calculations!$O175)/(Calculations!$C$13))-(Calculations!$O175/(Calculations!$C$13*Calculations!$C$13))*LN((Calculations!$C$8*(Calculations!$O175-Calculations!$C$13))/(Calculations!$O175*(Calculations!$C$8-Calculations!$C$13))))+'Reaction Information'!$J$66*10^-1*(Calculations!$M175-Calculations!$C$9)+'Reaction Information'!$K$66*10^2*LN((Calculations!$C$12+Calculations!$M175)/(Calculations!$C$12+Calculations!$C$9))+(1/(Calculations!$O175-Calculations!$C$13))*('Reaction Information'!$L$66*(Calculations!$M175-Calculations!$C$9)+'Reaction Information'!$M$66*10^4*LN((Calculations!$C$12+Calculations!$M175)/(Calculations!$C$12+Calculations!$C$9)))+calculateOmega(Calculations!M175,Calculations!N175,Calculations!Q175,'Reaction Information'!$C$66,'Reaction Information'!$P$66*10^5,'Reaction Information'!$Q$66)*((1/Calculations!$S175)-1)-'Reaction Information'!$P$66*10^5*((1/Calculations!$C$10)-1)+'Reaction Information'!$P$66*10^5*Calculations!$C$14*(Calculations!$O175-Calculations!$C$8))</f>
        <v>#N/A</v>
      </c>
      <c r="AY175" s="31">
        <f>(AL175*Input!$AO$4+AM175*Input!$AR$4+AN175*Input!$AU$4+AO175*Input!$AX$4+IF(ISNA(AP175),0,AP175*Input!$BA$4)+IF(ISNA(AQ175),0,AQ175*Input!$BD$4)+IF(ISNA(AR175),0,AR175*Input!$BG$4)+IF(ISNA(AS175),0,AS175*Input!$BJ$4)+IF(ISNA(AT175),0,AT175*Input!$BM$4)+IF(ISNA(AU175),0,AU175*Input!$BP$4)+IF(ISNA(AV175),0,AV175*Input!$BS$4)+IF(ISNA(AW175),0,AW175*Input!$BV$4)+IF(ISNA(AX175),0,AX175*Input!$BY$4))-(Y175*Input!$B$4+Z175*Input!$E$4+AA175*Input!$H$4+AB175*Input!$K$4+IF(ISNA(AC175),0,AC175*Input!$N$4)+IF(ISNA(AD175),0,AD175*Input!$Q$4)+IF(ISNA(AE175),0,AE175*Input!$T$4)+IF(ISNA(AF175),0,AF175*Input!$W$4)+IF(ISNA(AG175),0,AG175*Input!$Z$4)+IF(ISNA(AH175),0,AH175*Input!$AC$4)+IF(ISNA(AI175),0,AI175*Input!$AF$4)+IF(ISNA(AJ175),0,AJ175*Input!$AI$4)+IF(ISNA(AK175),0,AK175*Input!$AL$4))</f>
        <v>4970.8711997668725</v>
      </c>
      <c r="AZ175" s="42">
        <f t="shared" si="54"/>
        <v>-1.406049543129259</v>
      </c>
      <c r="BA175" s="1">
        <f t="shared" si="46"/>
        <v>500</v>
      </c>
      <c r="BB175" s="46">
        <f t="shared" si="47"/>
        <v>60000</v>
      </c>
      <c r="BC175" s="1"/>
      <c r="BD175" s="2">
        <f t="shared" si="48"/>
        <v>60000</v>
      </c>
      <c r="BE175" s="46">
        <f t="shared" si="49"/>
        <v>500</v>
      </c>
      <c r="BF175" s="1">
        <f>Results!AJ177</f>
        <v>0</v>
      </c>
      <c r="BG175" s="1">
        <f>Results!AK177</f>
        <v>0</v>
      </c>
      <c r="BH175" s="1">
        <f>Results!AL177</f>
        <v>0</v>
      </c>
      <c r="BI175" s="1">
        <f>Results!AM177</f>
        <v>0</v>
      </c>
      <c r="BJ175" s="1" t="e">
        <f>IF(OR(ISNA('Reaction Information'!$D$5), $N175 = "", $D$27 = FALSE, 'Reaction Information'!$D$5 = ""), NA(), 24.465)</f>
        <v>#N/A</v>
      </c>
      <c r="BK175" s="1" t="e">
        <f>IF(OR(ISNA('Reaction Information'!$D$9), $N175 = "", $D$27 = FALSE, 'Reaction Information'!$D$9 = ""), NA(), 24.465)</f>
        <v>#N/A</v>
      </c>
      <c r="BL175" s="8">
        <f t="shared" si="55"/>
        <v>12.246501340909621</v>
      </c>
      <c r="BM175" s="8">
        <f>IF(OR(ISBLANK(Input!$X$4),$D$27=FALSE),NA(),('Reaction Information'!$J$13/10+'Reaction Information'!$K$13*100/(Calculations!$C$12+Calculations!$M175)+('Reaction Information'!$L$13+'Reaction Information'!$M$13*10^4/(Calculations!$C$12+Calculations!$M175))/(Calculations!$O175-Calculations!$C$13) -calculateOmega(Calculations!$M175,Calculations!$N175,Calculations!$Q175,'Reaction Information'!$C$13,'Reaction Information'!$P$13*10^5,'Reaction Information'!$Q$13)*Calculations!$U175*10^-6 + (1/$S175 - 1)*calculate_domegadP(Calculations!$M175,Calculations!$N175,Calculations!$Q175,'Reaction Information'!$C$13,'Reaction Information'!$P$13*10^5,'Reaction Information'!$Q$13,$D$20,$D$19=3))*41.84)</f>
        <v>29.766741610186379</v>
      </c>
      <c r="BN175" s="8" t="e">
        <f>IF(OR(ISBLANK(Input!$AA$4),$D$27=FALSE),NA(),('Reaction Information'!$J$17/10+'Reaction Information'!$K$17*100/(Calculations!$C$12+Calculations!$M175)+('Reaction Information'!$L$17+'Reaction Information'!$M$17*10000/(Calculations!$C$12+Calculations!$M175))/(Calculations!$O175-Calculations!$C$13)-calculateOmega(Calculations!M175,Calculations!N175,Calculations!Q175,'Reaction Information'!$C$17,'Reaction Information'!$P$17*10^5,'Reaction Information'!$Q$17)*Calculations!$U175*10^-6 + (1/$S175 - 1)*calculate_domegadP(Calculations!M175,Calculations!N175,Calculations!Q175,'Reaction Information'!$C$17,'Reaction Information'!$P$17*10^5,'Reaction Information'!$Q$17,$D$20,$D$19=3))*41.84)</f>
        <v>#N/A</v>
      </c>
      <c r="BO175" s="8" t="e">
        <f>IF(OR(ISBLANK(Input!$AD$4),$D$27=FALSE),NA(),('Reaction Information'!$J$21/10+'Reaction Information'!$K$21*100/(Calculations!$C$12+Calculations!$M175)+('Reaction Information'!$L$21+'Reaction Information'!$M$21*10000/(Calculations!$C$12+Calculations!$M175))/(Calculations!$O175-Calculations!$C$13)-calculateOmega(Calculations!M175,Calculations!N175,Calculations!Q175,'Reaction Information'!$C$21,'Reaction Information'!$P$21*10^5,'Reaction Information'!$Q$21)*Calculations!$U175*10^-6 + (1/$S175 - 1)*calculate_domegadP(Calculations!M175,Calculations!N175,Calculations!Q175,'Reaction Information'!$C$21,'Reaction Information'!$P$21*10^5,'Reaction Information'!$Q$21,$D$20,$D$19=3))*41.84)</f>
        <v>#N/A</v>
      </c>
      <c r="BP175" s="8" t="e">
        <f>IF(OR(ISBLANK(Input!$AG$4),$D$27=FALSE),NA(),('Reaction Information'!$J$25/10+'Reaction Information'!$K$25*100/(Calculations!$C$12+Calculations!$M175)+('Reaction Information'!$L$25+'Reaction Information'!$M$25*10000/(Calculations!$C$12+Calculations!$M175))/(Calculations!$O175-Calculations!$C$13)-calculateOmega(Calculations!M175,Calculations!N175,Calculations!Q175,'Reaction Information'!$C$25,'Reaction Information'!$P$25*10^5,'Reaction Information'!$Q$25)*Calculations!$U175*10^-6 + (1/$S175 - 1)*calculate_domegadP(Calculations!M175,Calculations!N175,Calculations!Q175,'Reaction Information'!$C$25,'Reaction Information'!$P$25*10^5,'Reaction Information'!$Q$25,$D$20,$D$19=3))*41.84)</f>
        <v>#N/A</v>
      </c>
      <c r="BQ175" s="8" t="e">
        <f>IF(OR(ISBLANK(Input!$AJ$4),$D$27=FALSE),NA(),('Reaction Information'!$J$29/10+'Reaction Information'!$K$29*100/(Calculations!$C$12+Calculations!$M175)+('Reaction Information'!$L$29+'Reaction Information'!$M$29*10000/(Calculations!$C$12+Calculations!$M175))/(Calculations!$O175-Calculations!$C$13)-calculateOmega(Calculations!M175,Calculations!N175,Calculations!Q175,'Reaction Information'!$C$29,'Reaction Information'!$P$29*10^5,'Reaction Information'!$Q$29)*Calculations!$U175*10^-6 + (1/$S175 - 1)*calculate_domegadP(Calculations!M175,Calculations!N175,Calculations!Q175,'Reaction Information'!$C$29,'Reaction Information'!$P$29*10^5,'Reaction Information'!$Q$29,$D$20,$D$19=3))*41.84)</f>
        <v>#N/A</v>
      </c>
      <c r="BR175" s="8" t="e">
        <f>IF(OR(ISBLANK(Input!$AM$4),$D$27=FALSE),NA(),('Reaction Information'!$J$33/10+'Reaction Information'!$K$33*100/(Calculations!$C$12+Calculations!$M175)+('Reaction Information'!$L$33+'Reaction Information'!$M$33*10000/(Calculations!$C$12+Calculations!$M175))/(Calculations!$O175-Calculations!$C$13)-calculateOmega(Calculations!M175,Calculations!N175,Calculations!Q175,'Reaction Information'!$C$33,'Reaction Information'!$P$33*10^5,'Reaction Information'!$Q$33)*Calculations!$U175*10^-6 + (1/$S175 - 1)*calculate_domegadP(Calculations!M175,Calculations!N175,Calculations!Q175,'Reaction Information'!$C$33,'Reaction Information'!$P$33*10^5,'Reaction Information'!$Q$33,$D$20,$D$19=3))*41.84)</f>
        <v>#N/A</v>
      </c>
      <c r="BS175" s="1">
        <f>Results!AW177</f>
        <v>0</v>
      </c>
      <c r="BT175" s="1">
        <f>Results!AX177</f>
        <v>0</v>
      </c>
      <c r="BU175" s="1">
        <f>Results!AY177</f>
        <v>0</v>
      </c>
      <c r="BV175" s="1">
        <f>Results!AZ177</f>
        <v>0</v>
      </c>
      <c r="BW175" s="1" t="e">
        <f>IF(OR(ISNA('Reaction Information'!$D$38), $N175 = "", $D$27 = FALSE, 'Reaction Information'!$D$38 = ""), NA(), 24.465)</f>
        <v>#N/A</v>
      </c>
      <c r="BX175" s="1" t="e">
        <f>IF(OR(ISNA('Reaction Information'!$D$42), $N175 = "", $D$27 = FALSE, 'Reaction Information'!$D$42 = ""), NA(), 24.465)</f>
        <v>#N/A</v>
      </c>
      <c r="BY175" s="8" t="e">
        <f t="shared" si="56"/>
        <v>#N/A</v>
      </c>
      <c r="BZ175" s="8">
        <f>IF(OR(ISBLANK(Input!$BK$4),$D$27=FALSE),NA(),('Reaction Information'!$J$46/10+'Reaction Information'!$K$46*100/(Calculations!$C$12+Calculations!$M175)+('Reaction Information'!$L$46+'Reaction Information'!$M$46*10000/(Calculations!$C$12+Calculations!$M175))/(Calculations!$O175-Calculations!$C$13)-calculateOmega(Calculations!M175,Calculations!N175,Calculations!Q175,'Reaction Information'!$C$46,'Reaction Information'!$P$46*10^5,'Reaction Information'!$Q$46)*Calculations!$U175*10^-6 + (1/$S175 - 1)*calculate_domegadP(Calculations!M175,Calculations!N175,Calculations!Q175,'Reaction Information'!$C$46,'Reaction Information'!$P$46*10^5,'Reaction Information'!$Q$46,$D$20,$D$19=3))*41.84)</f>
        <v>0</v>
      </c>
      <c r="CA175" s="8">
        <f>IF(OR(ISBLANK(Input!$BN$4),$D$27=FALSE),NA(),('Reaction Information'!$J$50/10+'Reaction Information'!$K$50*100/(Calculations!$C$12+Calculations!$M175)+('Reaction Information'!$L$50+'Reaction Information'!$M$50*10000/(Calculations!$C$12+Calculations!$M175))/(Calculations!$O175-Calculations!$C$13)-calculateOmega(Calculations!M175,Calculations!N175,Calculations!Q175,'Reaction Information'!$C$50,'Reaction Information'!$P$50*10^5,'Reaction Information'!$Q$50)*Calculations!$U175*10^-6 + (1/$S175 - 1)*calculate_domegadP(Calculations!M175,Calculations!N175,Calculations!Q175,'Reaction Information'!$C$50,'Reaction Information'!$P$50*10^5,'Reaction Information'!$Q$50,$D$20,$D$19=3))*41.84)</f>
        <v>31.616191044091462</v>
      </c>
      <c r="CB175" s="8" t="e">
        <f>IF(OR(ISBLANK(Input!$BQ$4),$D$27=FALSE),NA(),('Reaction Information'!$J$54/10+'Reaction Information'!$K$54*100/(Calculations!$C$12+Calculations!$M175)+('Reaction Information'!$L$54+'Reaction Information'!$M$54*10000/(Calculations!$C$12+Calculations!$M175))/(Calculations!$O175-Calculations!$C$13)-calculateOmega(Calculations!M175,Calculations!N175,Calculations!Q175,'Reaction Information'!$C$54,'Reaction Information'!$P$54*10^5,'Reaction Information'!$Q$54)*Calculations!$U175*10^-6 + (1/$S175 - 1)*calculate_domegadP(Calculations!M175,Calculations!N175,Calculations!Q175,'Reaction Information'!$C$54,'Reaction Information'!$P$54*10^5,'Reaction Information'!$Q$54,$D$20,$D$19=3))*41.84)</f>
        <v>#N/A</v>
      </c>
      <c r="CC175" s="8" t="e">
        <f>IF(OR(ISBLANK(Input!$BT$4),$D$27=FALSE),NA(),('Reaction Information'!$J$58/10+'Reaction Information'!$K$58*100/(Calculations!$C$12+Calculations!$M175)+('Reaction Information'!$L$58+'Reaction Information'!$M$58*10000/(Calculations!$C$12+Calculations!$M175))/(Calculations!$O175-Calculations!$C$13)-calculateOmega(Calculations!M175,Calculations!N175,Calculations!Q175,'Reaction Information'!$C$58,'Reaction Information'!$P$58*10^5,'Reaction Information'!$Q$58)*Calculations!$U175*10^-6 + (1/$S175 - 1)*calculate_domegadP(Calculations!M175,Calculations!N175,Calculations!Q175,'Reaction Information'!$C$58,'Reaction Information'!$P$58*10^5,'Reaction Information'!$Q$58,$D$20,$D$19=3))*41.84)</f>
        <v>#N/A</v>
      </c>
      <c r="CD175" s="8" t="e">
        <f>IF(OR(ISBLANK(Input!$BW$4),$D$27=FALSE),NA(),('Reaction Information'!$J$62/10+'Reaction Information'!$K$62*100/(Calculations!$C$12+Calculations!$M175)+('Reaction Information'!$L$62+'Reaction Information'!$M$62*10000/(Calculations!$C$12+Calculations!$M175))/(Calculations!$O175-Calculations!$C$13)-calculateOmega(Calculations!M175,Calculations!N175,Calculations!Q175,'Reaction Information'!$C$62,'Reaction Information'!$P$62*10^5,'Reaction Information'!$Q$62)*Calculations!$U175*10^-6 + (1/$S175 - 1)*calculate_domegadP(Calculations!M175,Calculations!N175,Calculations!Q175,'Reaction Information'!$C$62,'Reaction Information'!$P$62*10^5,'Reaction Information'!$Q$62,$D$20,$D$19=3))*41.84)</f>
        <v>#N/A</v>
      </c>
      <c r="CE175" s="8" t="e">
        <f>IF(OR(ISBLANK(Input!$BZ$4),$D$27=FALSE),NA(),('Reaction Information'!$J$66/10+'Reaction Information'!$K$66*100/(Calculations!$C$12+Calculations!$M175)+('Reaction Information'!$L$66+'Reaction Information'!$M$66*10000/(Calculations!$C$12+Calculations!$M175))/(Calculations!$O175-Calculations!$C$13)-calculateOmega(Calculations!M175,Calculations!N175,Calculations!Q175,'Reaction Information'!$C$66,'Reaction Information'!$P$66*10^5,'Reaction Information'!$Q$66)*Calculations!$U175*10^-6 + (1/$S175 - 1)*calculate_domegadP(Calculations!M175,Calculations!N175,Calculations!Q175,'Reaction Information'!$C$66,'Reaction Information'!$P$66*10^5,'Reaction Information'!$Q$66,$D$20,$D$19=3))*41.84)</f>
        <v>#N/A</v>
      </c>
      <c r="CF175" s="31">
        <f>(BS175*Input!$AO$4+BT175*Input!$AR$4+BU175*Input!$AU$4+BV175*Input!$AX$4+IF(ISNA(BW175),0,BW175*Input!$BA$4)+IF(ISNA(BX175),0,BX175*Input!$BD$4)+IF(ISNA(BY175),0,BY175*Input!$BG$4)+IF(ISNA(BZ175),0,BZ175*Input!$BJ$4)+IF(ISNA(CA175),0,CA175*Input!$BM$4)+IF(ISNA(CB175),0,CB175*Input!$BP$4)+IF(ISNA(CC175),0,CC175*Input!$BS$4)+IF(ISNA(CD175),0,CD175*Input!$BV$4)+IF(ISNA(CE175),0,CE175*Input!$BY$4))-(BF175*Input!$B$4+BG175*Input!$E$4+BH175*Input!$H$4+BI175*Input!$K$4+IF(ISNA(BJ175),0,BJ175*Input!$N$4)+IF(ISNA(BK175),0,BK175*Input!$Q$4)+IF(ISNA(BL175),0,BL175*Input!$T$4)+IF(ISNA(BM175),0,BM175*Input!$W$4)+IF(ISNA(BN175),0,BN175*Input!$Z$4)+IF(ISNA(BO175),0,BO175*Input!$AC$4)+IF(ISNA(BP175),0,BP175*Input!$AF$4)+IF(ISNA(BQ175),0,BQ175*Input!$AI$4)+IF(ISNA(BR175),0,BR175*Input!$AL$4))</f>
        <v>-10.397051907004542</v>
      </c>
      <c r="CG175" s="1">
        <f t="shared" si="50"/>
        <v>500</v>
      </c>
      <c r="CH175" s="46">
        <f t="shared" si="51"/>
        <v>60000</v>
      </c>
      <c r="CI175" s="1"/>
    </row>
    <row r="176" spans="1:87" x14ac:dyDescent="0.2">
      <c r="A176" s="1"/>
      <c r="B176" s="1"/>
      <c r="C176" s="1"/>
      <c r="D176" s="1"/>
      <c r="E176" s="1"/>
      <c r="F176" s="2">
        <v>171</v>
      </c>
      <c r="G176" s="1" t="str">
        <f>IF(ISBLANK(Input!CB176), "", Input!CB176*1000)</f>
        <v/>
      </c>
      <c r="H176" s="1" t="str">
        <f>IF(ISBLANK(Input!CC176), "", Input!CC176)</f>
        <v/>
      </c>
      <c r="I176" s="1">
        <f>IF(Input!$CF$5 + Input!$CF$6*(FLOOR((Calculations!$F176-1)/(FLOOR((Input!$CF$12-Input!$CF$10)/Input!$CF$11,1)+1),1)) &gt; Input!$CF$7, "", (Input!$CF$5 + Input!$CF$6*(FLOOR((Calculations!$F176-1)/(FLOOR((Input!$CF$12-Input!$CF$10)/Input!$CF$11,1)+1),1)))*1000)</f>
        <v>60000</v>
      </c>
      <c r="J176" s="1">
        <f>IF(Calculations!I176 = "", "", Input!$CF$10 + Input!$CF$11*(Calculations!$F176-1) - (FLOOR((Input!$CF$12-Input!$CF$10)/Input!$CF$11,1)+1)*Input!$CF$11*FLOOR((Calculations!$F176-1)/(FLOOR((Input!$CF$12-Input!$CF$10)/Input!$CF$11,1)+1),1))</f>
        <v>550</v>
      </c>
      <c r="K176" s="8" t="str">
        <f t="shared" si="52"/>
        <v/>
      </c>
      <c r="L176" s="117" t="str">
        <f>IF(OR(Input!$CJ$5 + Input!$CJ$6*(Calculations!F176-1) &gt; Input!$CJ$7, Input!$CJ$5 + Input!$CJ$6*(Calculations!F176-1) &gt; 350), "", Input!$CJ$5 + Input!$CJ$6*(Calculations!F176-1))</f>
        <v/>
      </c>
      <c r="M176" s="1">
        <f t="shared" si="42"/>
        <v>60000</v>
      </c>
      <c r="N176" s="1">
        <f t="shared" si="43"/>
        <v>550</v>
      </c>
      <c r="O176" s="1">
        <f t="shared" si="53"/>
        <v>823.15</v>
      </c>
      <c r="P176" s="1" t="e">
        <f>IF(OR($D$20=3,AND($D$21=TRUE,M176&lt;1000)),INDEX('Water Density'!$C$6:$CX$120,MATCH(Calculations!N176,'Water Density'!$B$6:$B$120),MATCH(Calculations!M176/1000,'Water Density'!$C$5:$CX$5)),NA())</f>
        <v>#N/A</v>
      </c>
      <c r="Q176" s="182">
        <f>IF(OR($D$20=3,AND($D$21=TRUE,M176&lt;1000)), IF(P176&lt;&gt;0,P176,NA()), calculateDensity(M176,N176,$D$20,0.01,$D$19 = 3))</f>
        <v>1.4578171038621663</v>
      </c>
      <c r="R176" s="1" t="e">
        <f>IF($D$22=5,INDEX('Dielectric Constant'!$C$6:$CX$120,MATCH(Calculations!N176,'Dielectric Constant'!$B$6:$B$120),MATCH(Calculations!M176/1000,'Dielectric Constant'!$C$5:$CX$5)),NA())</f>
        <v>#N/A</v>
      </c>
      <c r="S176" s="58">
        <f>IF($D$22=5, IF(R176&lt;&gt;0,R176,NA()), IF(AND($D$23,M176&lt;=5000,$D$19 &lt;&gt; 3),calculateEpsilon(Q176,N176,1,FALSE),calculateEpsilon(Q176,N176,$D$22,$D$19 = 3)))</f>
        <v>38.555875460961602</v>
      </c>
      <c r="T176" s="1" t="e">
        <f>IF($D$24=3,INDEX('Water Free Energy'!$C$6:$CX$120,MATCH(Calculations!N176,'Water Free Energy'!$B$6:$B$120),MATCH(Calculations!M176/1000,'Water Free Energy'!$C$5:$CX$5)),NA())</f>
        <v>#N/A</v>
      </c>
      <c r="U176" s="179">
        <f>IF($D$27,calculateQ(M176,N176,Q176,$D$20,$D$22,$D$19=3)*10^6,NA())</f>
        <v>9.3930056271431348E-2</v>
      </c>
      <c r="V176"/>
      <c r="W176" s="2">
        <f t="shared" si="44"/>
        <v>60000</v>
      </c>
      <c r="X176" s="1">
        <f t="shared" si="45"/>
        <v>550</v>
      </c>
      <c r="Y176" s="1">
        <f>Results!F178</f>
        <v>0</v>
      </c>
      <c r="Z176" s="1">
        <f>Results!G178</f>
        <v>0</v>
      </c>
      <c r="AA176" s="1">
        <f>Results!H178</f>
        <v>0</v>
      </c>
      <c r="AB176" s="1">
        <f>Results!I178</f>
        <v>0</v>
      </c>
      <c r="AC176" s="1" t="e">
        <f>IF(ISBLANK(Input!$O$4),NA(),'Reaction Information'!$E$5-'Reaction Information'!$G$5*(Calculations!$O176-Calculations!$C$8)+'Reaction Information'!$I$5*(Calculations!$O176-Calculations!$C$8-Calculations!$O176*LN(Calculations!$O176/Calculations!$C$8))+'Reaction Information'!$J$5*0.001/2*(2*Calculations!$O176*Calculations!$C$8-Calculations!$O176^2-Calculations!$C$8^2) + 'Reaction Information'!$K$5*100000*(Calculations!$O176^2 + Calculations!$C$8^2 - 2*Calculations!$O176*Calculations!$C$8)/(2*Calculations!$O176*Calculations!$C$8^2))</f>
        <v>#N/A</v>
      </c>
      <c r="AD176" s="8" t="e">
        <f>IF(ISBLANK(Input!$R$4),NA(),'Reaction Information'!$E$9-'Reaction Information'!$G$9*(Calculations!$O176-Calculations!$C$8)+'Reaction Information'!$I$9*(Calculations!$O176-Calculations!$C$8-Calculations!$O176*LN(Calculations!$O176/Calculations!$C$8))+'Reaction Information'!$J$9*0.001/2*(2*Calculations!$O176*Calculations!$C$8-Calculations!$O176^2-Calculations!$C$8^2) + 'Reaction Information'!$K$9*100000*(Calculations!$O176^2 + Calculations!$C$8^2 - 2*Calculations!$O176*Calculations!$C$8)/(2*Calculations!$O176*Calculations!$C$8^2))</f>
        <v>#N/A</v>
      </c>
      <c r="AE176" s="8">
        <f>IF(AE$5="H2O",IF($D$24=3,IF(T176=0,NA(),T176),calculateGibbsOfWater(M176,N176,$D$24,$D$20,$D$19=3)),NA())</f>
        <v>-48587.736976308515</v>
      </c>
      <c r="AF176" s="8">
        <f>IF(ISBLANK(Input!$X$4),NA(),'Reaction Information'!$E$13-'Reaction Information'!$G$13*(Calculations!O176-Calculations!$C$8)-'Reaction Information'!$N$13*(Calculations!O176*LN(Calculations!O176/Calculations!$C$8)-Calculations!O176+Calculations!$C$8)-'Reaction Information'!$O$13*10^4*(((1/(Calculations!O176-Calculations!$C$13))-(1/(Calculations!$C$8-Calculations!$C$13)))*((Calculations!$C$13-Calculations!O176)/(Calculations!$C$13))-(Calculations!O176/(Calculations!$C$13*Calculations!$C$13))*LN((Calculations!$C$8*(Calculations!O176-Calculations!$C$13))/(Calculations!O176*(Calculations!$C$8-Calculations!$C$13))))+'Reaction Information'!$J$13*10^-1*(Calculations!M176-Calculations!$C$9)+'Reaction Information'!$K$13*10^2*LN((Calculations!$C$12+Calculations!M176)/(Calculations!$C$12+Calculations!$C$9))+(1/(Calculations!O176-Calculations!$C$13))*('Reaction Information'!$L$13*(Calculations!M176-Calculations!$C$9)+'Reaction Information'!$M$13*10^4*LN((Calculations!$C$12+Calculations!M176)/(Calculations!$C$12+Calculations!$C$9)))+calculateOmega(Calculations!M176,Calculations!N176,Calculations!Q176,'Reaction Information'!$C$13,'Reaction Information'!$P$13*10^5,'Reaction Information'!$Q$13)*((1/Calculations!S176)-1)-'Reaction Information'!$P$13*10^5*((1/Calculations!$C$10)-1)+'Reaction Information'!$P$13*10^5*Calculations!$C$14*(Calculations!O176-Calculations!$C$8))</f>
        <v>-69722.624422307417</v>
      </c>
      <c r="AG176" s="8" t="e">
        <f>IF(ISBLANK(Input!$AA$4),NA(),'Reaction Information'!$E$17-'Reaction Information'!$G$17*(Calculations!$O176-Calculations!$C$8)-'Reaction Information'!$N$17*(Calculations!$O176*LN(Calculations!$O176/Calculations!$C$8)-Calculations!$O176+Calculations!$C$8)-'Reaction Information'!$O$17*10^4*(((1/(Calculations!$O176-Calculations!$C$13))-(1/(Calculations!$C$8-Calculations!$C$13)))*((Calculations!$C$13-Calculations!$O176)/(Calculations!$C$13))-(Calculations!$O176/(Calculations!$C$13*Calculations!$C$13))*LN((Calculations!$C$8*(Calculations!$O176-Calculations!$C$13))/(Calculations!$O176*(Calculations!$C$8-Calculations!$C$13))))+'Reaction Information'!$J$17*10^-1*(Calculations!$M176-Calculations!$C$9)+'Reaction Information'!$K$17*10^2*LN((Calculations!$C$12+Calculations!$M176)/(Calculations!$C$12+Calculations!$C$9))+(1/(Calculations!$O176-Calculations!$C$13))*('Reaction Information'!$L$17*(Calculations!$M176-Calculations!$C$9)+'Reaction Information'!$M$17*10^4*LN((Calculations!$C$12+Calculations!$M176)/(Calculations!$C$12+Calculations!$C$9)))+calculateOmega(Calculations!M176,Calculations!N176,Calculations!Q176,'Reaction Information'!$C$17,'Reaction Information'!$P$17*10^5,'Reaction Information'!$Q$17)*((1/Calculations!$S176)-1)-'Reaction Information'!$P$17*10^5*((1/Calculations!$C$10)-1)+'Reaction Information'!$P$17*10^5*Calculations!$C$14*(Calculations!$O176-Calculations!$C$8))</f>
        <v>#N/A</v>
      </c>
      <c r="AH176" s="8" t="e">
        <f>IF(ISBLANK(Input!$AD$4),NA(),'Reaction Information'!$E$21-'Reaction Information'!$G$21*(Calculations!$O176-Calculations!$C$8)-'Reaction Information'!$N$21*(Calculations!$O176*LN(Calculations!$O176/Calculations!$C$8)-Calculations!$O176+Calculations!$C$8)-'Reaction Information'!$O$21*10^4*(((1/(Calculations!$O176-Calculations!$C$13))-(1/(Calculations!$C$8-Calculations!$C$13)))*((Calculations!$C$13-Calculations!$O176)/(Calculations!$C$13))-(Calculations!$O176/(Calculations!$C$13*Calculations!$C$13))*LN((Calculations!$C$8*(Calculations!$O176-Calculations!$C$13))/(Calculations!$O176*(Calculations!$C$8-Calculations!$C$13))))+'Reaction Information'!$J$21*10^-1*(Calculations!$M176-Calculations!$C$9)+'Reaction Information'!$K$21*10^2*LN((Calculations!$C$12+Calculations!$M176)/(Calculations!$C$12+Calculations!$C$9))+(1/(Calculations!$O176-Calculations!$C$13))*('Reaction Information'!$L$21*(Calculations!$M176-Calculations!$C$9)+'Reaction Information'!$M$21*10^4*LN((Calculations!$C$12+Calculations!$M176)/(Calculations!$C$12+Calculations!$C$9)))+calculateOmega(Calculations!M176,Calculations!N176,Calculations!Q176,'Reaction Information'!$C$21,'Reaction Information'!$P$21*10^5,'Reaction Information'!$Q$21)*((1/Calculations!$S176)-1)-'Reaction Information'!$P$21*10^5*((1/Calculations!$C$10)-1)+'Reaction Information'!$P$21*10^5*Calculations!$C$14*(Calculations!$O176-Calculations!$C$8))</f>
        <v>#N/A</v>
      </c>
      <c r="AI176" s="8" t="e">
        <f>IF(ISBLANK(Input!$AG$4),NA(),'Reaction Information'!$E$25-'Reaction Information'!$G$25*(Calculations!$O176-Calculations!$C$8)-'Reaction Information'!$N$25*(Calculations!$O176*LN(Calculations!$O176/Calculations!$C$8)-Calculations!$O176+Calculations!$C$8)-'Reaction Information'!$O$25*10^4*(((1/(Calculations!$O176-Calculations!$C$13))-(1/(Calculations!$C$8-Calculations!$C$13)))*((Calculations!$C$13-Calculations!$O176)/(Calculations!$C$13))-(Calculations!$O176/(Calculations!$C$13*Calculations!$C$13))*LN((Calculations!$C$8*(Calculations!$O176-Calculations!$C$13))/(Calculations!$O176*(Calculations!$C$8-Calculations!$C$13))))+'Reaction Information'!$J$25*10^-1*(Calculations!$M176-Calculations!$C$9)+'Reaction Information'!$K$25*10^2*LN((Calculations!$C$12+Calculations!$M176)/(Calculations!$C$12+Calculations!$C$9))+(1/(Calculations!$O176-Calculations!$C$13))*('Reaction Information'!$L$25*(Calculations!$M176-Calculations!$C$9)+'Reaction Information'!$M$25*10^4*LN((Calculations!$C$12+Calculations!$M176)/(Calculations!$C$12+Calculations!$C$9)))+calculateOmega(Calculations!M176,Calculations!N176,Calculations!Q176,'Reaction Information'!$C$25,'Reaction Information'!$P$25*10^5,'Reaction Information'!$Q$25)*((1/Calculations!$S176)-1)-'Reaction Information'!$P$25*10^5*((1/Calculations!$C$10)-1)+'Reaction Information'!$P$25*10^5*Calculations!$C$14*(Calculations!$O176-Calculations!$C$8))</f>
        <v>#N/A</v>
      </c>
      <c r="AJ176" s="8" t="e">
        <f>IF(ISBLANK(Input!$AJ$4),NA(),'Reaction Information'!$E$29-'Reaction Information'!$G$29*(Calculations!$O176-Calculations!$C$8)-'Reaction Information'!$N$29*(Calculations!$O176*LN(Calculations!$O176/Calculations!$C$8)-Calculations!$O176+Calculations!$C$8)-'Reaction Information'!$O$29*10^4*(((1/(Calculations!$O176-Calculations!$C$13))-(1/(Calculations!$C$8-Calculations!$C$13)))*((Calculations!$C$13-Calculations!$O176)/(Calculations!$C$13))-(Calculations!$O176/(Calculations!$C$13*Calculations!$C$13))*LN((Calculations!$C$8*(Calculations!$O176-Calculations!$C$13))/(Calculations!$O176*(Calculations!$C$8-Calculations!$C$13))))+'Reaction Information'!$J$29*10^-1*(Calculations!$M176-Calculations!$C$9)+'Reaction Information'!$K$29*10^2*LN((Calculations!$C$12+Calculations!$M176)/(Calculations!$C$12+Calculations!$C$9))+(1/(Calculations!$O176-Calculations!$C$13))*('Reaction Information'!$L$29*(Calculations!$M176-Calculations!$C$9)+'Reaction Information'!$M$29*10^4*LN((Calculations!$C$12+Calculations!$M176)/(Calculations!$C$12+Calculations!$C$9)))+calculateOmega(Calculations!M176,Calculations!N176,Calculations!Q176,'Reaction Information'!$C$29,'Reaction Information'!$P$29*10^5,'Reaction Information'!$Q$29)*((1/Calculations!$S176)-1)-'Reaction Information'!$P$29*10^5*((1/Calculations!$C$10)-1)+'Reaction Information'!$P$29*10^5*Calculations!$C$14*(Calculations!$O176-Calculations!$C$8))</f>
        <v>#N/A</v>
      </c>
      <c r="AK176" s="8" t="e">
        <f>IF(ISBLANK(Input!$AM$4),NA(),'Reaction Information'!$E$33-'Reaction Information'!$G$33*(Calculations!$O176-Calculations!$C$8)-'Reaction Information'!$N$33*(Calculations!$O176*LN(Calculations!$O176/Calculations!$C$8)-Calculations!$O176+Calculations!$C$8)-'Reaction Information'!$O$33*10^4*(((1/(Calculations!$O176-Calculations!$C$13))-(1/(Calculations!$C$8-Calculations!$C$13)))*((Calculations!$C$13-Calculations!$O176)/(Calculations!$C$13))-(Calculations!$O176/(Calculations!$C$13*Calculations!$C$13))*LN((Calculations!$C$8*(Calculations!$O176-Calculations!$C$13))/(Calculations!$O176*(Calculations!$C$8-Calculations!$C$13))))+'Reaction Information'!$J$33*10^-1*(Calculations!$M176-Calculations!$C$9)+'Reaction Information'!$K$33*10^2*LN((Calculations!$C$12+Calculations!$M176)/(Calculations!$C$12+Calculations!$C$9))+(1/(Calculations!$O176-Calculations!$C$13))*('Reaction Information'!$L$33*(Calculations!$M176-Calculations!$C$9)+'Reaction Information'!$M$33*10^4*LN((Calculations!$C$12+Calculations!$M176)/(Calculations!$C$12+Calculations!$C$9)))+calculateOmega(Calculations!M176,Calculations!N176,Calculations!Q176,'Reaction Information'!$C$33,'Reaction Information'!$P$33*10^5,'Reaction Information'!$Q$33)*((1/Calculations!$S176)-1)-'Reaction Information'!$P$33*10^5*((1/Calculations!$C$10)-1)+'Reaction Information'!$P$33*10^5*Calculations!$C$14*(Calculations!$O176-Calculations!$C$8))</f>
        <v>#N/A</v>
      </c>
      <c r="AL176" s="1">
        <f>Results!S178</f>
        <v>0</v>
      </c>
      <c r="AM176" s="1">
        <f>Results!T178</f>
        <v>0</v>
      </c>
      <c r="AN176" s="1">
        <f>Results!U178</f>
        <v>0</v>
      </c>
      <c r="AO176" s="1">
        <f>Results!V178</f>
        <v>0</v>
      </c>
      <c r="AP176" s="8" t="e">
        <f>IF(ISBLANK(Input!$BB$4),NA(),'Reaction Information'!$E$38-'Reaction Information'!$G$38*(Calculations!$O176-Calculations!$C$8)+'Reaction Information'!$I$38*(Calculations!$O176-Calculations!$C$8-Calculations!$O176*LN(Calculations!$O176/Calculations!$C$8))+'Reaction Information'!$J$38*0.001/2*(2*Calculations!$O176*Calculations!$C$8-Calculations!$O176^2-Calculations!$C$8^2) + 'Reaction Information'!$K$38*100000*(Calculations!$O176^2 + Calculations!$C$8^2 - 2*Calculations!$O176*Calculations!$C$8)/(2*Calculations!$O176*Calculations!$C$8^2))</f>
        <v>#N/A</v>
      </c>
      <c r="AQ176" s="8" t="e">
        <f>IF(ISBLANK(Input!$BE$4),NA(),'Reaction Information'!$E$42-'Reaction Information'!$G$42*(Calculations!$O176-Calculations!$C$8)+'Reaction Information'!$I$42*(Calculations!$O176-Calculations!$C$8-Calculations!$O176*LN(Calculations!$O176/Calculations!$C$8))+'Reaction Information'!$J$42*0.001/2*(2*Calculations!$O176*Calculations!$C$8-Calculations!$O176^2-Calculations!$C$8^2) + 'Reaction Information'!$K$42*100000*(Calculations!$O176^2 + Calculations!$C$8^2 - 2*Calculations!$O176*Calculations!$C$8)/(2*Calculations!$O176*Calculations!$C$8^2))</f>
        <v>#N/A</v>
      </c>
      <c r="AR176" s="8" t="e">
        <f>IF(AR$5="H2O", IF($D$24=3,IF(T176=0,NA(),T176),calculateGibbsOfWater(M176,N176,$D$24,$D$20,$D$19=3)),NA())</f>
        <v>#N/A</v>
      </c>
      <c r="AS176" s="8">
        <f>IF(ISBLANK(Input!$BK$4),NA(),'Reaction Information'!$E$46-'Reaction Information'!$G$46*(Calculations!O176-Calculations!$C$8)-'Reaction Information'!$N$46*(Calculations!O176*LN(Calculations!O176/Calculations!$C$8)-Calculations!O176+Calculations!$C$8)-'Reaction Information'!$O$46*10^4*(((1/(Calculations!O176-Calculations!$C$13))-(1/(Calculations!$C$8-Calculations!$C$13)))*((Calculations!$C$13-Calculations!O176)/(Calculations!$C$13))-(Calculations!O176/(Calculations!$C$13*Calculations!$C$13))*LN((Calculations!$C$8*(Calculations!O176-Calculations!$C$13))/(Calculations!O176*(Calculations!$C$8-Calculations!$C$13))))+'Reaction Information'!$J$46*10^-1*(Calculations!$M176-Calculations!$C$9)+'Reaction Information'!$K$46*10^2*LN((Calculations!$C$12+Calculations!$M176)/(Calculations!$C$12+Calculations!$C$9))+(1/(Calculations!O176-Calculations!$C$13))*('Reaction Information'!$L$46*(Calculations!$M176-Calculations!$C$9)+'Reaction Information'!$M$46*10^4*LN((Calculations!$C$12+Calculations!$M176)/(Calculations!$C$12+Calculations!$C$9)))+calculateOmega(Calculations!M176,Calculations!N176,Calculations!Q176,'Reaction Information'!$C$46,'Reaction Information'!$P$46*10^5,'Reaction Information'!$Q$46)*((1/Calculations!S176)-1)-'Reaction Information'!$P$46*10^5*((1/Calculations!$C$10)-1)+'Reaction Information'!$P$46*10^5*Calculations!$C$14*(Calculations!O176-Calculations!$C$8))</f>
        <v>0</v>
      </c>
      <c r="AT176" s="8">
        <f>IF(ISBLANK(Input!$BN$4),NA(),'Reaction Information'!$E$50-'Reaction Information'!$G$50*(Calculations!O176-Calculations!$C$8)-'Reaction Information'!$N$50*(Calculations!O176*LN(Calculations!O176/Calculations!$C$8)-Calculations!O176+Calculations!$C$8)-'Reaction Information'!$O$50*10^4*(((1/(Calculations!O176-Calculations!$C$13))-(1/(Calculations!$C$8-Calculations!$C$13)))*((Calculations!$C$13-Calculations!O176)/(Calculations!$C$13))-(Calculations!O176/(Calculations!$C$13*Calculations!$C$13))*LN((Calculations!$C$8*(Calculations!O176-Calculations!$C$13))/(Calculations!O176*(Calculations!$C$8-Calculations!$C$13))))+'Reaction Information'!$J$50*10^-1*(Calculations!$M176-Calculations!$C$9)+'Reaction Information'!$K$50*10^2*LN((Calculations!$C$12+Calculations!$M176)/(Calculations!$C$12+Calculations!$C$9))+(1/(Calculations!O176-Calculations!$C$13))*('Reaction Information'!$L$50*(Calculations!$M176-Calculations!$C$9)+'Reaction Information'!$M$50*10^4*LN((Calculations!$C$12+Calculations!$M176)/(Calculations!$C$12+Calculations!$C$9)))+calculateOmega(Calculations!M176,Calculations!N176,Calculations!Q176,'Reaction Information'!$C$50,'Reaction Information'!$P$50*10^5,'Reaction Information'!$Q$50)*((1/Calculations!S176)-1)-'Reaction Information'!$P$50*10^5*((1/Calculations!$C$10)-1)+'Reaction Information'!$P$50*10^5*Calculations!$C$14*(Calculations!O176-Calculations!$C$8))</f>
        <v>-111578.63866179973</v>
      </c>
      <c r="AU176" s="8" t="e">
        <f>IF(ISBLANK(Input!$BQ$4),NA(),'Reaction Information'!$E$54-'Reaction Information'!$G$54*(Calculations!$O176-Calculations!$C$8)-'Reaction Information'!$N$54*(Calculations!$O176*LN(Calculations!$O176/Calculations!$C$8)-Calculations!$O176+Calculations!$C$8)-'Reaction Information'!$O$54*10^4*(((1/(Calculations!$O176-Calculations!$C$13))-(1/(Calculations!$C$8-Calculations!$C$13)))*((Calculations!$C$13-Calculations!$O176)/(Calculations!$C$13))-(Calculations!$O176/(Calculations!$C$13*Calculations!$C$13))*LN((Calculations!$C$8*(Calculations!$O176-Calculations!$C$13))/(Calculations!$O176*(Calculations!$C$8-Calculations!$C$13))))+'Reaction Information'!$J$54*10^-1*(Calculations!$M176-Calculations!$C$9)+'Reaction Information'!$K$54*10^2*LN((Calculations!$C$12+Calculations!$M176)/(Calculations!$C$12+Calculations!$C$9))+(1/(Calculations!$O176-Calculations!$C$13))*('Reaction Information'!$L$54*(Calculations!$M176-Calculations!$C$9)+'Reaction Information'!$M$54*10^4*LN((Calculations!$C$12+Calculations!$M176)/(Calculations!$C$12+Calculations!$C$9)))+calculateOmega(Calculations!M176,Calculations!N176,Calculations!Q176,'Reaction Information'!$C$54,'Reaction Information'!$P$54*10^5,'Reaction Information'!$Q$54)*((1/Calculations!$S176)-1)-'Reaction Information'!$P$54*10^5*((1/Calculations!$C$10)-1)+'Reaction Information'!$P$54*10^5*Calculations!$C$14*(Calculations!$O176-Calculations!$C$8))</f>
        <v>#N/A</v>
      </c>
      <c r="AV176" s="8" t="e">
        <f>IF(ISBLANK(Input!$BT$4),NA(),'Reaction Information'!$E$58-'Reaction Information'!$G$58*(Calculations!$O176-Calculations!$C$8)-'Reaction Information'!$N$58*(Calculations!$O176*LN(Calculations!$O176/Calculations!$C$8)-Calculations!$O176+Calculations!$C$8)-'Reaction Information'!$O$58*10^4*(((1/(Calculations!$O176-Calculations!$C$13))-(1/(Calculations!$C$8-Calculations!$C$13)))*((Calculations!$C$13-Calculations!$O176)/(Calculations!$C$13))-(Calculations!$O176/(Calculations!$C$13*Calculations!$C$13))*LN((Calculations!$C$8*(Calculations!$O176-Calculations!$C$13))/(Calculations!$O176*(Calculations!$C$8-Calculations!$C$13))))+'Reaction Information'!$J$58*10^-1*(Calculations!$M176-Calculations!$C$9)+'Reaction Information'!$K$58*10^2*LN((Calculations!$C$12+Calculations!$M176)/(Calculations!$C$12+Calculations!$C$9))+(1/(Calculations!$O176-Calculations!$C$13))*('Reaction Information'!$L$58*(Calculations!$M176-Calculations!$C$9)+'Reaction Information'!$M$58*10^4*LN((Calculations!$C$12+Calculations!$M176)/(Calculations!$C$12+Calculations!$C$9)))+calculateOmega(Calculations!M176,Calculations!N176,Calculations!Q176,'Reaction Information'!$C$58,'Reaction Information'!$P$58*10^5,'Reaction Information'!$Q$58)*((1/Calculations!$S176)-1)-'Reaction Information'!$P$58*10^5*((1/Calculations!$C$10)-1)+'Reaction Information'!$P$58*10^5*Calculations!$C$14*(Calculations!$O176-Calculations!$C$8))</f>
        <v>#N/A</v>
      </c>
      <c r="AW176" s="8" t="e">
        <f>IF(ISBLANK(Input!$BW$4),NA(),'Reaction Information'!$E$62-'Reaction Information'!$G$62*(Calculations!$O176-Calculations!$C$8)-'Reaction Information'!$N$62*(Calculations!$O176*LN(Calculations!$O176/Calculations!$C$8)-Calculations!$O176+Calculations!$C$8)-'Reaction Information'!$O$62*10^4*(((1/(Calculations!$O176-Calculations!$C$13))-(1/(Calculations!$C$8-Calculations!$C$13)))*((Calculations!$C$13-Calculations!$O176)/(Calculations!$C$13))-(Calculations!$O176/(Calculations!$C$13*Calculations!$C$13))*LN((Calculations!$C$8*(Calculations!$O176-Calculations!$C$13))/(Calculations!$O176*(Calculations!$C$8-Calculations!$C$13))))+'Reaction Information'!$J$62*10^-1*(Calculations!$M176-Calculations!$C$9)+'Reaction Information'!$K$62*10^2*LN((Calculations!$C$12+Calculations!$M176)/(Calculations!$C$12+Calculations!$C$9))+(1/(Calculations!$O176-Calculations!$C$13))*('Reaction Information'!$L$62*(Calculations!$M176-Calculations!$C$9)+'Reaction Information'!$M$62*10^4*LN((Calculations!$C$12+Calculations!$M176)/(Calculations!$C$12+Calculations!$C$9)))+calculateOmega(Calculations!M176,Calculations!N176,Calculations!Q176,'Reaction Information'!$C$62,'Reaction Information'!$P$62*10^5,'Reaction Information'!$Q$62)*((1/Calculations!$S176)-1)-'Reaction Information'!$P$62*10^5*((1/Calculations!$C$10)-1)+'Reaction Information'!$P$62*10^5*Calculations!$C$14*(Calculations!$O176-Calculations!$C$8))</f>
        <v>#N/A</v>
      </c>
      <c r="AX176" s="8" t="e">
        <f>IF(ISBLANK(Input!$BZ$4),NA(),'Reaction Information'!$E$66-'Reaction Information'!$G$66*(Calculations!$O176-Calculations!$C$8)-'Reaction Information'!$N$66*(Calculations!$O176*LN(Calculations!$O176/Calculations!$C$8)-Calculations!$O176+Calculations!$C$8)-'Reaction Information'!$O$66*10^4*(((1/(Calculations!$O176-Calculations!$C$13))-(1/(Calculations!$C$8-Calculations!$C$13)))*((Calculations!$C$13-Calculations!$O176)/(Calculations!$C$13))-(Calculations!$O176/(Calculations!$C$13*Calculations!$C$13))*LN((Calculations!$C$8*(Calculations!$O176-Calculations!$C$13))/(Calculations!$O176*(Calculations!$C$8-Calculations!$C$13))))+'Reaction Information'!$J$66*10^-1*(Calculations!$M176-Calculations!$C$9)+'Reaction Information'!$K$66*10^2*LN((Calculations!$C$12+Calculations!$M176)/(Calculations!$C$12+Calculations!$C$9))+(1/(Calculations!$O176-Calculations!$C$13))*('Reaction Information'!$L$66*(Calculations!$M176-Calculations!$C$9)+'Reaction Information'!$M$66*10^4*LN((Calculations!$C$12+Calculations!$M176)/(Calculations!$C$12+Calculations!$C$9)))+calculateOmega(Calculations!M176,Calculations!N176,Calculations!Q176,'Reaction Information'!$C$66,'Reaction Information'!$P$66*10^5,'Reaction Information'!$Q$66)*((1/Calculations!$S176)-1)-'Reaction Information'!$P$66*10^5*((1/Calculations!$C$10)-1)+'Reaction Information'!$P$66*10^5*Calculations!$C$14*(Calculations!$O176-Calculations!$C$8))</f>
        <v>#N/A</v>
      </c>
      <c r="AY176" s="31">
        <f>(AL176*Input!$AO$4+AM176*Input!$AR$4+AN176*Input!$AU$4+AO176*Input!$AX$4+IF(ISNA(AP176),0,AP176*Input!$BA$4)+IF(ISNA(AQ176),0,AQ176*Input!$BD$4)+IF(ISNA(AR176),0,AR176*Input!$BG$4)+IF(ISNA(AS176),0,AS176*Input!$BJ$4)+IF(ISNA(AT176),0,AT176*Input!$BM$4)+IF(ISNA(AU176),0,AU176*Input!$BP$4)+IF(ISNA(AV176),0,AV176*Input!$BS$4)+IF(ISNA(AW176),0,AW176*Input!$BV$4)+IF(ISNA(AX176),0,AX176*Input!$BY$4))-(Y176*Input!$B$4+Z176*Input!$E$4+AA176*Input!$H$4+AB176*Input!$K$4+IF(ISNA(AC176),0,AC176*Input!$N$4)+IF(ISNA(AD176),0,AD176*Input!$Q$4)+IF(ISNA(AE176),0,AE176*Input!$T$4)+IF(ISNA(AF176),0,AF176*Input!$W$4)+IF(ISNA(AG176),0,AG176*Input!$Z$4)+IF(ISNA(AH176),0,AH176*Input!$AC$4)+IF(ISNA(AI176),0,AI176*Input!$AF$4)+IF(ISNA(AJ176),0,AJ176*Input!$AI$4)+IF(ISNA(AK176),0,AK176*Input!$AL$4))</f>
        <v>6731.7227368161984</v>
      </c>
      <c r="AZ176" s="42">
        <f t="shared" si="54"/>
        <v>-1.7884595052165131</v>
      </c>
      <c r="BA176" s="1">
        <f t="shared" si="46"/>
        <v>550</v>
      </c>
      <c r="BB176" s="46">
        <f t="shared" si="47"/>
        <v>60000</v>
      </c>
      <c r="BC176" s="1"/>
      <c r="BD176" s="2">
        <f t="shared" si="48"/>
        <v>60000</v>
      </c>
      <c r="BE176" s="46">
        <f t="shared" si="49"/>
        <v>550</v>
      </c>
      <c r="BF176" s="1">
        <f>Results!AJ178</f>
        <v>0</v>
      </c>
      <c r="BG176" s="1">
        <f>Results!AK178</f>
        <v>0</v>
      </c>
      <c r="BH176" s="1">
        <f>Results!AL178</f>
        <v>0</v>
      </c>
      <c r="BI176" s="1">
        <f>Results!AM178</f>
        <v>0</v>
      </c>
      <c r="BJ176" s="1" t="e">
        <f>IF(OR(ISNA('Reaction Information'!$D$5), $N176 = "", $D$27 = FALSE, 'Reaction Information'!$D$5 = ""), NA(), 24.465)</f>
        <v>#N/A</v>
      </c>
      <c r="BK176" s="1" t="e">
        <f>IF(OR(ISNA('Reaction Information'!$D$9), $N176 = "", $D$27 = FALSE, 'Reaction Information'!$D$9 = ""), NA(), 24.465)</f>
        <v>#N/A</v>
      </c>
      <c r="BL176" s="8">
        <f t="shared" si="55"/>
        <v>12.357709312280994</v>
      </c>
      <c r="BM176" s="8">
        <f>IF(OR(ISBLANK(Input!$X$4),$D$27=FALSE),NA(),('Reaction Information'!$J$13/10+'Reaction Information'!$K$13*100/(Calculations!$C$12+Calculations!$M176)+('Reaction Information'!$L$13+'Reaction Information'!$M$13*10^4/(Calculations!$C$12+Calculations!$M176))/(Calculations!$O176-Calculations!$C$13) -calculateOmega(Calculations!$M176,Calculations!$N176,Calculations!$Q176,'Reaction Information'!$C$13,'Reaction Information'!$P$13*10^5,'Reaction Information'!$Q$13)*Calculations!$U176*10^-6 + (1/$S176 - 1)*calculate_domegadP(Calculations!$M176,Calculations!$N176,Calculations!$Q176,'Reaction Information'!$C$13,'Reaction Information'!$P$13*10^5,'Reaction Information'!$Q$13,$D$20,$D$19=3))*41.84)</f>
        <v>29.773834938698233</v>
      </c>
      <c r="BN176" s="8" t="e">
        <f>IF(OR(ISBLANK(Input!$AA$4),$D$27=FALSE),NA(),('Reaction Information'!$J$17/10+'Reaction Information'!$K$17*100/(Calculations!$C$12+Calculations!$M176)+('Reaction Information'!$L$17+'Reaction Information'!$M$17*10000/(Calculations!$C$12+Calculations!$M176))/(Calculations!$O176-Calculations!$C$13)-calculateOmega(Calculations!M176,Calculations!N176,Calculations!Q176,'Reaction Information'!$C$17,'Reaction Information'!$P$17*10^5,'Reaction Information'!$Q$17)*Calculations!$U176*10^-6 + (1/$S176 - 1)*calculate_domegadP(Calculations!M176,Calculations!N176,Calculations!Q176,'Reaction Information'!$C$17,'Reaction Information'!$P$17*10^5,'Reaction Information'!$Q$17,$D$20,$D$19=3))*41.84)</f>
        <v>#N/A</v>
      </c>
      <c r="BO176" s="8" t="e">
        <f>IF(OR(ISBLANK(Input!$AD$4),$D$27=FALSE),NA(),('Reaction Information'!$J$21/10+'Reaction Information'!$K$21*100/(Calculations!$C$12+Calculations!$M176)+('Reaction Information'!$L$21+'Reaction Information'!$M$21*10000/(Calculations!$C$12+Calculations!$M176))/(Calculations!$O176-Calculations!$C$13)-calculateOmega(Calculations!M176,Calculations!N176,Calculations!Q176,'Reaction Information'!$C$21,'Reaction Information'!$P$21*10^5,'Reaction Information'!$Q$21)*Calculations!$U176*10^-6 + (1/$S176 - 1)*calculate_domegadP(Calculations!M176,Calculations!N176,Calculations!Q176,'Reaction Information'!$C$21,'Reaction Information'!$P$21*10^5,'Reaction Information'!$Q$21,$D$20,$D$19=3))*41.84)</f>
        <v>#N/A</v>
      </c>
      <c r="BP176" s="8" t="e">
        <f>IF(OR(ISBLANK(Input!$AG$4),$D$27=FALSE),NA(),('Reaction Information'!$J$25/10+'Reaction Information'!$K$25*100/(Calculations!$C$12+Calculations!$M176)+('Reaction Information'!$L$25+'Reaction Information'!$M$25*10000/(Calculations!$C$12+Calculations!$M176))/(Calculations!$O176-Calculations!$C$13)-calculateOmega(Calculations!M176,Calculations!N176,Calculations!Q176,'Reaction Information'!$C$25,'Reaction Information'!$P$25*10^5,'Reaction Information'!$Q$25)*Calculations!$U176*10^-6 + (1/$S176 - 1)*calculate_domegadP(Calculations!M176,Calculations!N176,Calculations!Q176,'Reaction Information'!$C$25,'Reaction Information'!$P$25*10^5,'Reaction Information'!$Q$25,$D$20,$D$19=3))*41.84)</f>
        <v>#N/A</v>
      </c>
      <c r="BQ176" s="8" t="e">
        <f>IF(OR(ISBLANK(Input!$AJ$4),$D$27=FALSE),NA(),('Reaction Information'!$J$29/10+'Reaction Information'!$K$29*100/(Calculations!$C$12+Calculations!$M176)+('Reaction Information'!$L$29+'Reaction Information'!$M$29*10000/(Calculations!$C$12+Calculations!$M176))/(Calculations!$O176-Calculations!$C$13)-calculateOmega(Calculations!M176,Calculations!N176,Calculations!Q176,'Reaction Information'!$C$29,'Reaction Information'!$P$29*10^5,'Reaction Information'!$Q$29)*Calculations!$U176*10^-6 + (1/$S176 - 1)*calculate_domegadP(Calculations!M176,Calculations!N176,Calculations!Q176,'Reaction Information'!$C$29,'Reaction Information'!$P$29*10^5,'Reaction Information'!$Q$29,$D$20,$D$19=3))*41.84)</f>
        <v>#N/A</v>
      </c>
      <c r="BR176" s="8" t="e">
        <f>IF(OR(ISBLANK(Input!$AM$4),$D$27=FALSE),NA(),('Reaction Information'!$J$33/10+'Reaction Information'!$K$33*100/(Calculations!$C$12+Calculations!$M176)+('Reaction Information'!$L$33+'Reaction Information'!$M$33*10000/(Calculations!$C$12+Calculations!$M176))/(Calculations!$O176-Calculations!$C$13)-calculateOmega(Calculations!M176,Calculations!N176,Calculations!Q176,'Reaction Information'!$C$33,'Reaction Information'!$P$33*10^5,'Reaction Information'!$Q$33)*Calculations!$U176*10^-6 + (1/$S176 - 1)*calculate_domegadP(Calculations!M176,Calculations!N176,Calculations!Q176,'Reaction Information'!$C$33,'Reaction Information'!$P$33*10^5,'Reaction Information'!$Q$33,$D$20,$D$19=3))*41.84)</f>
        <v>#N/A</v>
      </c>
      <c r="BS176" s="1">
        <f>Results!AW178</f>
        <v>0</v>
      </c>
      <c r="BT176" s="1">
        <f>Results!AX178</f>
        <v>0</v>
      </c>
      <c r="BU176" s="1">
        <f>Results!AY178</f>
        <v>0</v>
      </c>
      <c r="BV176" s="1">
        <f>Results!AZ178</f>
        <v>0</v>
      </c>
      <c r="BW176" s="1" t="e">
        <f>IF(OR(ISNA('Reaction Information'!$D$38), $N176 = "", $D$27 = FALSE, 'Reaction Information'!$D$38 = ""), NA(), 24.465)</f>
        <v>#N/A</v>
      </c>
      <c r="BX176" s="1" t="e">
        <f>IF(OR(ISNA('Reaction Information'!$D$42), $N176 = "", $D$27 = FALSE, 'Reaction Information'!$D$42 = ""), NA(), 24.465)</f>
        <v>#N/A</v>
      </c>
      <c r="BY176" s="8" t="e">
        <f t="shared" si="56"/>
        <v>#N/A</v>
      </c>
      <c r="BZ176" s="8">
        <f>IF(OR(ISBLANK(Input!$BK$4),$D$27=FALSE),NA(),('Reaction Information'!$J$46/10+'Reaction Information'!$K$46*100/(Calculations!$C$12+Calculations!$M176)+('Reaction Information'!$L$46+'Reaction Information'!$M$46*10000/(Calculations!$C$12+Calculations!$M176))/(Calculations!$O176-Calculations!$C$13)-calculateOmega(Calculations!M176,Calculations!N176,Calculations!Q176,'Reaction Information'!$C$46,'Reaction Information'!$P$46*10^5,'Reaction Information'!$Q$46)*Calculations!$U176*10^-6 + (1/$S176 - 1)*calculate_domegadP(Calculations!M176,Calculations!N176,Calculations!Q176,'Reaction Information'!$C$46,'Reaction Information'!$P$46*10^5,'Reaction Information'!$Q$46,$D$20,$D$19=3))*41.84)</f>
        <v>0</v>
      </c>
      <c r="CA176" s="8">
        <f>IF(OR(ISBLANK(Input!$BN$4),$D$27=FALSE),NA(),('Reaction Information'!$J$50/10+'Reaction Information'!$K$50*100/(Calculations!$C$12+Calculations!$M176)+('Reaction Information'!$L$50+'Reaction Information'!$M$50*10000/(Calculations!$C$12+Calculations!$M176))/(Calculations!$O176-Calculations!$C$13)-calculateOmega(Calculations!M176,Calculations!N176,Calculations!Q176,'Reaction Information'!$C$50,'Reaction Information'!$P$50*10^5,'Reaction Information'!$Q$50)*Calculations!$U176*10^-6 + (1/$S176 - 1)*calculate_domegadP(Calculations!M176,Calculations!N176,Calculations!Q176,'Reaction Information'!$C$50,'Reaction Information'!$P$50*10^5,'Reaction Information'!$Q$50,$D$20,$D$19=3))*41.84)</f>
        <v>31.5791904731961</v>
      </c>
      <c r="CB176" s="8" t="e">
        <f>IF(OR(ISBLANK(Input!$BQ$4),$D$27=FALSE),NA(),('Reaction Information'!$J$54/10+'Reaction Information'!$K$54*100/(Calculations!$C$12+Calculations!$M176)+('Reaction Information'!$L$54+'Reaction Information'!$M$54*10000/(Calculations!$C$12+Calculations!$M176))/(Calculations!$O176-Calculations!$C$13)-calculateOmega(Calculations!M176,Calculations!N176,Calculations!Q176,'Reaction Information'!$C$54,'Reaction Information'!$P$54*10^5,'Reaction Information'!$Q$54)*Calculations!$U176*10^-6 + (1/$S176 - 1)*calculate_domegadP(Calculations!M176,Calculations!N176,Calculations!Q176,'Reaction Information'!$C$54,'Reaction Information'!$P$54*10^5,'Reaction Information'!$Q$54,$D$20,$D$19=3))*41.84)</f>
        <v>#N/A</v>
      </c>
      <c r="CC176" s="8" t="e">
        <f>IF(OR(ISBLANK(Input!$BT$4),$D$27=FALSE),NA(),('Reaction Information'!$J$58/10+'Reaction Information'!$K$58*100/(Calculations!$C$12+Calculations!$M176)+('Reaction Information'!$L$58+'Reaction Information'!$M$58*10000/(Calculations!$C$12+Calculations!$M176))/(Calculations!$O176-Calculations!$C$13)-calculateOmega(Calculations!M176,Calculations!N176,Calculations!Q176,'Reaction Information'!$C$58,'Reaction Information'!$P$58*10^5,'Reaction Information'!$Q$58)*Calculations!$U176*10^-6 + (1/$S176 - 1)*calculate_domegadP(Calculations!M176,Calculations!N176,Calculations!Q176,'Reaction Information'!$C$58,'Reaction Information'!$P$58*10^5,'Reaction Information'!$Q$58,$D$20,$D$19=3))*41.84)</f>
        <v>#N/A</v>
      </c>
      <c r="CD176" s="8" t="e">
        <f>IF(OR(ISBLANK(Input!$BW$4),$D$27=FALSE),NA(),('Reaction Information'!$J$62/10+'Reaction Information'!$K$62*100/(Calculations!$C$12+Calculations!$M176)+('Reaction Information'!$L$62+'Reaction Information'!$M$62*10000/(Calculations!$C$12+Calculations!$M176))/(Calculations!$O176-Calculations!$C$13)-calculateOmega(Calculations!M176,Calculations!N176,Calculations!Q176,'Reaction Information'!$C$62,'Reaction Information'!$P$62*10^5,'Reaction Information'!$Q$62)*Calculations!$U176*10^-6 + (1/$S176 - 1)*calculate_domegadP(Calculations!M176,Calculations!N176,Calculations!Q176,'Reaction Information'!$C$62,'Reaction Information'!$P$62*10^5,'Reaction Information'!$Q$62,$D$20,$D$19=3))*41.84)</f>
        <v>#N/A</v>
      </c>
      <c r="CE176" s="8" t="e">
        <f>IF(OR(ISBLANK(Input!$BZ$4),$D$27=FALSE),NA(),('Reaction Information'!$J$66/10+'Reaction Information'!$K$66*100/(Calculations!$C$12+Calculations!$M176)+('Reaction Information'!$L$66+'Reaction Information'!$M$66*10000/(Calculations!$C$12+Calculations!$M176))/(Calculations!$O176-Calculations!$C$13)-calculateOmega(Calculations!M176,Calculations!N176,Calculations!Q176,'Reaction Information'!$C$66,'Reaction Information'!$P$66*10^5,'Reaction Information'!$Q$66)*Calculations!$U176*10^-6 + (1/$S176 - 1)*calculate_domegadP(Calculations!M176,Calculations!N176,Calculations!Q176,'Reaction Information'!$C$66,'Reaction Information'!$P$66*10^5,'Reaction Information'!$Q$66,$D$20,$D$19=3))*41.84)</f>
        <v>#N/A</v>
      </c>
      <c r="CF176" s="31">
        <f>(BS176*Input!$AO$4+BT176*Input!$AR$4+BU176*Input!$AU$4+BV176*Input!$AX$4+IF(ISNA(BW176),0,BW176*Input!$BA$4)+IF(ISNA(BX176),0,BX176*Input!$BD$4)+IF(ISNA(BY176),0,BY176*Input!$BG$4)+IF(ISNA(BZ176),0,BZ176*Input!$BJ$4)+IF(ISNA(CA176),0,CA176*Input!$BM$4)+IF(ISNA(CB176),0,CB176*Input!$BP$4)+IF(ISNA(CC176),0,CC176*Input!$BS$4)+IF(ISNA(CD176),0,CD176*Input!$BV$4)+IF(ISNA(CE176),0,CE176*Input!$BY$4))-(BF176*Input!$B$4+BG176*Input!$E$4+BH176*Input!$H$4+BI176*Input!$K$4+IF(ISNA(BJ176),0,BJ176*Input!$N$4)+IF(ISNA(BK176),0,BK176*Input!$Q$4)+IF(ISNA(BL176),0,BL176*Input!$T$4)+IF(ISNA(BM176),0,BM176*Input!$W$4)+IF(ISNA(BN176),0,BN176*Input!$Z$4)+IF(ISNA(BO176),0,BO176*Input!$AC$4)+IF(ISNA(BP176),0,BP176*Input!$AF$4)+IF(ISNA(BQ176),0,BQ176*Input!$AI$4)+IF(ISNA(BR176),0,BR176*Input!$AL$4))</f>
        <v>-10.552353777783125</v>
      </c>
      <c r="CG176" s="1">
        <f t="shared" si="50"/>
        <v>550</v>
      </c>
      <c r="CH176" s="46">
        <f t="shared" si="51"/>
        <v>60000</v>
      </c>
      <c r="CI176" s="1"/>
    </row>
    <row r="177" spans="1:87" x14ac:dyDescent="0.2">
      <c r="A177" s="1"/>
      <c r="B177" s="1"/>
      <c r="C177" s="1"/>
      <c r="D177" s="1"/>
      <c r="E177" s="1"/>
      <c r="F177" s="2">
        <v>172</v>
      </c>
      <c r="G177" s="1" t="str">
        <f>IF(ISBLANK(Input!CB177), "", Input!CB177*1000)</f>
        <v/>
      </c>
      <c r="H177" s="1" t="str">
        <f>IF(ISBLANK(Input!CC177), "", Input!CC177)</f>
        <v/>
      </c>
      <c r="I177" s="1">
        <f>IF(Input!$CF$5 + Input!$CF$6*(FLOOR((Calculations!$F177-1)/(FLOOR((Input!$CF$12-Input!$CF$10)/Input!$CF$11,1)+1),1)) &gt; Input!$CF$7, "", (Input!$CF$5 + Input!$CF$6*(FLOOR((Calculations!$F177-1)/(FLOOR((Input!$CF$12-Input!$CF$10)/Input!$CF$11,1)+1),1)))*1000)</f>
        <v>60000</v>
      </c>
      <c r="J177" s="1">
        <f>IF(Calculations!I177 = "", "", Input!$CF$10 + Input!$CF$11*(Calculations!$F177-1) - (FLOOR((Input!$CF$12-Input!$CF$10)/Input!$CF$11,1)+1)*Input!$CF$11*FLOOR((Calculations!$F177-1)/(FLOOR((Input!$CF$12-Input!$CF$10)/Input!$CF$11,1)+1),1))</f>
        <v>600</v>
      </c>
      <c r="K177" s="8" t="str">
        <f t="shared" si="52"/>
        <v/>
      </c>
      <c r="L177" s="117" t="str">
        <f>IF(OR(Input!$CJ$5 + Input!$CJ$6*(Calculations!F177-1) &gt; Input!$CJ$7, Input!$CJ$5 + Input!$CJ$6*(Calculations!F177-1) &gt; 350), "", Input!$CJ$5 + Input!$CJ$6*(Calculations!F177-1))</f>
        <v/>
      </c>
      <c r="M177" s="1">
        <f t="shared" si="42"/>
        <v>60000</v>
      </c>
      <c r="N177" s="1">
        <f t="shared" si="43"/>
        <v>600</v>
      </c>
      <c r="O177" s="1">
        <f t="shared" si="53"/>
        <v>873.15</v>
      </c>
      <c r="P177" s="1" t="e">
        <f>IF(OR($D$20=3,AND($D$21=TRUE,M177&lt;1000)),INDEX('Water Density'!$C$6:$CX$120,MATCH(Calculations!N177,'Water Density'!$B$6:$B$120),MATCH(Calculations!M177/1000,'Water Density'!$C$5:$CX$5)),NA())</f>
        <v>#N/A</v>
      </c>
      <c r="Q177" s="182">
        <f>IF(OR($D$20=3,AND($D$21=TRUE,M177&lt;1000)), IF(P177&lt;&gt;0,P177,NA()), calculateDensity(M177,N177,$D$20,0.01,$D$19 = 3))</f>
        <v>1.4448348171246053</v>
      </c>
      <c r="R177" s="1" t="e">
        <f>IF($D$22=5,INDEX('Dielectric Constant'!$C$6:$CX$120,MATCH(Calculations!N177,'Dielectric Constant'!$B$6:$B$120),MATCH(Calculations!M177/1000,'Dielectric Constant'!$C$5:$CX$5)),NA())</f>
        <v>#N/A</v>
      </c>
      <c r="S177" s="58">
        <f>IF($D$22=5, IF(R177&lt;&gt;0,R177,NA()), IF(AND($D$23,M177&lt;=5000,$D$19 &lt;&gt; 3),calculateEpsilon(Q177,N177,1,FALSE),calculateEpsilon(Q177,N177,$D$22,$D$19 = 3)))</f>
        <v>35.173309747635777</v>
      </c>
      <c r="T177" s="1" t="e">
        <f>IF($D$24=3,INDEX('Water Free Energy'!$C$6:$CX$120,MATCH(Calculations!N177,'Water Free Energy'!$B$6:$B$120),MATCH(Calculations!M177/1000,'Water Free Energy'!$C$5:$CX$5)),NA())</f>
        <v>#N/A</v>
      </c>
      <c r="U177" s="179">
        <f>IF($D$27,calculateQ(M177,N177,Q177,$D$20,$D$22,$D$19=3)*10^6,NA())</f>
        <v>0.10081338937941285</v>
      </c>
      <c r="V177"/>
      <c r="W177" s="2">
        <f t="shared" si="44"/>
        <v>60000</v>
      </c>
      <c r="X177" s="1">
        <f t="shared" si="45"/>
        <v>600</v>
      </c>
      <c r="Y177" s="1">
        <f>Results!F179</f>
        <v>0</v>
      </c>
      <c r="Z177" s="1">
        <f>Results!G179</f>
        <v>0</v>
      </c>
      <c r="AA177" s="1">
        <f>Results!H179</f>
        <v>0</v>
      </c>
      <c r="AB177" s="1">
        <f>Results!I179</f>
        <v>0</v>
      </c>
      <c r="AC177" s="1" t="e">
        <f>IF(ISBLANK(Input!$O$4),NA(),'Reaction Information'!$E$5-'Reaction Information'!$G$5*(Calculations!$O177-Calculations!$C$8)+'Reaction Information'!$I$5*(Calculations!$O177-Calculations!$C$8-Calculations!$O177*LN(Calculations!$O177/Calculations!$C$8))+'Reaction Information'!$J$5*0.001/2*(2*Calculations!$O177*Calculations!$C$8-Calculations!$O177^2-Calculations!$C$8^2) + 'Reaction Information'!$K$5*100000*(Calculations!$O177^2 + Calculations!$C$8^2 - 2*Calculations!$O177*Calculations!$C$8)/(2*Calculations!$O177*Calculations!$C$8^2))</f>
        <v>#N/A</v>
      </c>
      <c r="AD177" s="8" t="e">
        <f>IF(ISBLANK(Input!$R$4),NA(),'Reaction Information'!$E$9-'Reaction Information'!$G$9*(Calculations!$O177-Calculations!$C$8)+'Reaction Information'!$I$9*(Calculations!$O177-Calculations!$C$8-Calculations!$O177*LN(Calculations!$O177/Calculations!$C$8))+'Reaction Information'!$J$9*0.001/2*(2*Calculations!$O177*Calculations!$C$8-Calculations!$O177^2-Calculations!$C$8^2) + 'Reaction Information'!$K$9*100000*(Calculations!$O177^2 + Calculations!$C$8^2 - 2*Calculations!$O177*Calculations!$C$8)/(2*Calculations!$O177*Calculations!$C$8^2))</f>
        <v>#N/A</v>
      </c>
      <c r="AE177" s="8">
        <f>IF(AE$5="H2O",IF($D$24=3,IF(T177=0,NA(),T177),calculateGibbsOfWater(M177,N177,$D$24,$D$20,$D$19=3)),NA())</f>
        <v>-49913.725745682284</v>
      </c>
      <c r="AF177" s="8">
        <f>IF(ISBLANK(Input!$X$4),NA(),'Reaction Information'!$E$13-'Reaction Information'!$G$13*(Calculations!O177-Calculations!$C$8)-'Reaction Information'!$N$13*(Calculations!O177*LN(Calculations!O177/Calculations!$C$8)-Calculations!O177+Calculations!$C$8)-'Reaction Information'!$O$13*10^4*(((1/(Calculations!O177-Calculations!$C$13))-(1/(Calculations!$C$8-Calculations!$C$13)))*((Calculations!$C$13-Calculations!O177)/(Calculations!$C$13))-(Calculations!O177/(Calculations!$C$13*Calculations!$C$13))*LN((Calculations!$C$8*(Calculations!O177-Calculations!$C$13))/(Calculations!O177*(Calculations!$C$8-Calculations!$C$13))))+'Reaction Information'!$J$13*10^-1*(Calculations!M177-Calculations!$C$9)+'Reaction Information'!$K$13*10^2*LN((Calculations!$C$12+Calculations!M177)/(Calculations!$C$12+Calculations!$C$9))+(1/(Calculations!O177-Calculations!$C$13))*('Reaction Information'!$L$13*(Calculations!M177-Calculations!$C$9)+'Reaction Information'!$M$13*10^4*LN((Calculations!$C$12+Calculations!M177)/(Calculations!$C$12+Calculations!$C$9)))+calculateOmega(Calculations!M177,Calculations!N177,Calculations!Q177,'Reaction Information'!$C$13,'Reaction Information'!$P$13*10^5,'Reaction Information'!$Q$13)*((1/Calculations!S177)-1)-'Reaction Information'!$P$13*10^5*((1/Calculations!$C$10)-1)+'Reaction Information'!$P$13*10^5*Calculations!$C$14*(Calculations!O177-Calculations!$C$8))</f>
        <v>-71952.350143730437</v>
      </c>
      <c r="AG177" s="8" t="e">
        <f>IF(ISBLANK(Input!$AA$4),NA(),'Reaction Information'!$E$17-'Reaction Information'!$G$17*(Calculations!$O177-Calculations!$C$8)-'Reaction Information'!$N$17*(Calculations!$O177*LN(Calculations!$O177/Calculations!$C$8)-Calculations!$O177+Calculations!$C$8)-'Reaction Information'!$O$17*10^4*(((1/(Calculations!$O177-Calculations!$C$13))-(1/(Calculations!$C$8-Calculations!$C$13)))*((Calculations!$C$13-Calculations!$O177)/(Calculations!$C$13))-(Calculations!$O177/(Calculations!$C$13*Calculations!$C$13))*LN((Calculations!$C$8*(Calculations!$O177-Calculations!$C$13))/(Calculations!$O177*(Calculations!$C$8-Calculations!$C$13))))+'Reaction Information'!$J$17*10^-1*(Calculations!$M177-Calculations!$C$9)+'Reaction Information'!$K$17*10^2*LN((Calculations!$C$12+Calculations!$M177)/(Calculations!$C$12+Calculations!$C$9))+(1/(Calculations!$O177-Calculations!$C$13))*('Reaction Information'!$L$17*(Calculations!$M177-Calculations!$C$9)+'Reaction Information'!$M$17*10^4*LN((Calculations!$C$12+Calculations!$M177)/(Calculations!$C$12+Calculations!$C$9)))+calculateOmega(Calculations!M177,Calculations!N177,Calculations!Q177,'Reaction Information'!$C$17,'Reaction Information'!$P$17*10^5,'Reaction Information'!$Q$17)*((1/Calculations!$S177)-1)-'Reaction Information'!$P$17*10^5*((1/Calculations!$C$10)-1)+'Reaction Information'!$P$17*10^5*Calculations!$C$14*(Calculations!$O177-Calculations!$C$8))</f>
        <v>#N/A</v>
      </c>
      <c r="AH177" s="8" t="e">
        <f>IF(ISBLANK(Input!$AD$4),NA(),'Reaction Information'!$E$21-'Reaction Information'!$G$21*(Calculations!$O177-Calculations!$C$8)-'Reaction Information'!$N$21*(Calculations!$O177*LN(Calculations!$O177/Calculations!$C$8)-Calculations!$O177+Calculations!$C$8)-'Reaction Information'!$O$21*10^4*(((1/(Calculations!$O177-Calculations!$C$13))-(1/(Calculations!$C$8-Calculations!$C$13)))*((Calculations!$C$13-Calculations!$O177)/(Calculations!$C$13))-(Calculations!$O177/(Calculations!$C$13*Calculations!$C$13))*LN((Calculations!$C$8*(Calculations!$O177-Calculations!$C$13))/(Calculations!$O177*(Calculations!$C$8-Calculations!$C$13))))+'Reaction Information'!$J$21*10^-1*(Calculations!$M177-Calculations!$C$9)+'Reaction Information'!$K$21*10^2*LN((Calculations!$C$12+Calculations!$M177)/(Calculations!$C$12+Calculations!$C$9))+(1/(Calculations!$O177-Calculations!$C$13))*('Reaction Information'!$L$21*(Calculations!$M177-Calculations!$C$9)+'Reaction Information'!$M$21*10^4*LN((Calculations!$C$12+Calculations!$M177)/(Calculations!$C$12+Calculations!$C$9)))+calculateOmega(Calculations!M177,Calculations!N177,Calculations!Q177,'Reaction Information'!$C$21,'Reaction Information'!$P$21*10^5,'Reaction Information'!$Q$21)*((1/Calculations!$S177)-1)-'Reaction Information'!$P$21*10^5*((1/Calculations!$C$10)-1)+'Reaction Information'!$P$21*10^5*Calculations!$C$14*(Calculations!$O177-Calculations!$C$8))</f>
        <v>#N/A</v>
      </c>
      <c r="AI177" s="8" t="e">
        <f>IF(ISBLANK(Input!$AG$4),NA(),'Reaction Information'!$E$25-'Reaction Information'!$G$25*(Calculations!$O177-Calculations!$C$8)-'Reaction Information'!$N$25*(Calculations!$O177*LN(Calculations!$O177/Calculations!$C$8)-Calculations!$O177+Calculations!$C$8)-'Reaction Information'!$O$25*10^4*(((1/(Calculations!$O177-Calculations!$C$13))-(1/(Calculations!$C$8-Calculations!$C$13)))*((Calculations!$C$13-Calculations!$O177)/(Calculations!$C$13))-(Calculations!$O177/(Calculations!$C$13*Calculations!$C$13))*LN((Calculations!$C$8*(Calculations!$O177-Calculations!$C$13))/(Calculations!$O177*(Calculations!$C$8-Calculations!$C$13))))+'Reaction Information'!$J$25*10^-1*(Calculations!$M177-Calculations!$C$9)+'Reaction Information'!$K$25*10^2*LN((Calculations!$C$12+Calculations!$M177)/(Calculations!$C$12+Calculations!$C$9))+(1/(Calculations!$O177-Calculations!$C$13))*('Reaction Information'!$L$25*(Calculations!$M177-Calculations!$C$9)+'Reaction Information'!$M$25*10^4*LN((Calculations!$C$12+Calculations!$M177)/(Calculations!$C$12+Calculations!$C$9)))+calculateOmega(Calculations!M177,Calculations!N177,Calculations!Q177,'Reaction Information'!$C$25,'Reaction Information'!$P$25*10^5,'Reaction Information'!$Q$25)*((1/Calculations!$S177)-1)-'Reaction Information'!$P$25*10^5*((1/Calculations!$C$10)-1)+'Reaction Information'!$P$25*10^5*Calculations!$C$14*(Calculations!$O177-Calculations!$C$8))</f>
        <v>#N/A</v>
      </c>
      <c r="AJ177" s="8" t="e">
        <f>IF(ISBLANK(Input!$AJ$4),NA(),'Reaction Information'!$E$29-'Reaction Information'!$G$29*(Calculations!$O177-Calculations!$C$8)-'Reaction Information'!$N$29*(Calculations!$O177*LN(Calculations!$O177/Calculations!$C$8)-Calculations!$O177+Calculations!$C$8)-'Reaction Information'!$O$29*10^4*(((1/(Calculations!$O177-Calculations!$C$13))-(1/(Calculations!$C$8-Calculations!$C$13)))*((Calculations!$C$13-Calculations!$O177)/(Calculations!$C$13))-(Calculations!$O177/(Calculations!$C$13*Calculations!$C$13))*LN((Calculations!$C$8*(Calculations!$O177-Calculations!$C$13))/(Calculations!$O177*(Calculations!$C$8-Calculations!$C$13))))+'Reaction Information'!$J$29*10^-1*(Calculations!$M177-Calculations!$C$9)+'Reaction Information'!$K$29*10^2*LN((Calculations!$C$12+Calculations!$M177)/(Calculations!$C$12+Calculations!$C$9))+(1/(Calculations!$O177-Calculations!$C$13))*('Reaction Information'!$L$29*(Calculations!$M177-Calculations!$C$9)+'Reaction Information'!$M$29*10^4*LN((Calculations!$C$12+Calculations!$M177)/(Calculations!$C$12+Calculations!$C$9)))+calculateOmega(Calculations!M177,Calculations!N177,Calculations!Q177,'Reaction Information'!$C$29,'Reaction Information'!$P$29*10^5,'Reaction Information'!$Q$29)*((1/Calculations!$S177)-1)-'Reaction Information'!$P$29*10^5*((1/Calculations!$C$10)-1)+'Reaction Information'!$P$29*10^5*Calculations!$C$14*(Calculations!$O177-Calculations!$C$8))</f>
        <v>#N/A</v>
      </c>
      <c r="AK177" s="8" t="e">
        <f>IF(ISBLANK(Input!$AM$4),NA(),'Reaction Information'!$E$33-'Reaction Information'!$G$33*(Calculations!$O177-Calculations!$C$8)-'Reaction Information'!$N$33*(Calculations!$O177*LN(Calculations!$O177/Calculations!$C$8)-Calculations!$O177+Calculations!$C$8)-'Reaction Information'!$O$33*10^4*(((1/(Calculations!$O177-Calculations!$C$13))-(1/(Calculations!$C$8-Calculations!$C$13)))*((Calculations!$C$13-Calculations!$O177)/(Calculations!$C$13))-(Calculations!$O177/(Calculations!$C$13*Calculations!$C$13))*LN((Calculations!$C$8*(Calculations!$O177-Calculations!$C$13))/(Calculations!$O177*(Calculations!$C$8-Calculations!$C$13))))+'Reaction Information'!$J$33*10^-1*(Calculations!$M177-Calculations!$C$9)+'Reaction Information'!$K$33*10^2*LN((Calculations!$C$12+Calculations!$M177)/(Calculations!$C$12+Calculations!$C$9))+(1/(Calculations!$O177-Calculations!$C$13))*('Reaction Information'!$L$33*(Calculations!$M177-Calculations!$C$9)+'Reaction Information'!$M$33*10^4*LN((Calculations!$C$12+Calculations!$M177)/(Calculations!$C$12+Calculations!$C$9)))+calculateOmega(Calculations!M177,Calculations!N177,Calculations!Q177,'Reaction Information'!$C$33,'Reaction Information'!$P$33*10^5,'Reaction Information'!$Q$33)*((1/Calculations!$S177)-1)-'Reaction Information'!$P$33*10^5*((1/Calculations!$C$10)-1)+'Reaction Information'!$P$33*10^5*Calculations!$C$14*(Calculations!$O177-Calculations!$C$8))</f>
        <v>#N/A</v>
      </c>
      <c r="AL177" s="1">
        <f>Results!S179</f>
        <v>0</v>
      </c>
      <c r="AM177" s="1">
        <f>Results!T179</f>
        <v>0</v>
      </c>
      <c r="AN177" s="1">
        <f>Results!U179</f>
        <v>0</v>
      </c>
      <c r="AO177" s="1">
        <f>Results!V179</f>
        <v>0</v>
      </c>
      <c r="AP177" s="8" t="e">
        <f>IF(ISBLANK(Input!$BB$4),NA(),'Reaction Information'!$E$38-'Reaction Information'!$G$38*(Calculations!$O177-Calculations!$C$8)+'Reaction Information'!$I$38*(Calculations!$O177-Calculations!$C$8-Calculations!$O177*LN(Calculations!$O177/Calculations!$C$8))+'Reaction Information'!$J$38*0.001/2*(2*Calculations!$O177*Calculations!$C$8-Calculations!$O177^2-Calculations!$C$8^2) + 'Reaction Information'!$K$38*100000*(Calculations!$O177^2 + Calculations!$C$8^2 - 2*Calculations!$O177*Calculations!$C$8)/(2*Calculations!$O177*Calculations!$C$8^2))</f>
        <v>#N/A</v>
      </c>
      <c r="AQ177" s="8" t="e">
        <f>IF(ISBLANK(Input!$BE$4),NA(),'Reaction Information'!$E$42-'Reaction Information'!$G$42*(Calculations!$O177-Calculations!$C$8)+'Reaction Information'!$I$42*(Calculations!$O177-Calculations!$C$8-Calculations!$O177*LN(Calculations!$O177/Calculations!$C$8))+'Reaction Information'!$J$42*0.001/2*(2*Calculations!$O177*Calculations!$C$8-Calculations!$O177^2-Calculations!$C$8^2) + 'Reaction Information'!$K$42*100000*(Calculations!$O177^2 + Calculations!$C$8^2 - 2*Calculations!$O177*Calculations!$C$8)/(2*Calculations!$O177*Calculations!$C$8^2))</f>
        <v>#N/A</v>
      </c>
      <c r="AR177" s="8" t="e">
        <f>IF(AR$5="H2O", IF($D$24=3,IF(T177=0,NA(),T177),calculateGibbsOfWater(M177,N177,$D$24,$D$20,$D$19=3)),NA())</f>
        <v>#N/A</v>
      </c>
      <c r="AS177" s="8">
        <f>IF(ISBLANK(Input!$BK$4),NA(),'Reaction Information'!$E$46-'Reaction Information'!$G$46*(Calculations!O177-Calculations!$C$8)-'Reaction Information'!$N$46*(Calculations!O177*LN(Calculations!O177/Calculations!$C$8)-Calculations!O177+Calculations!$C$8)-'Reaction Information'!$O$46*10^4*(((1/(Calculations!O177-Calculations!$C$13))-(1/(Calculations!$C$8-Calculations!$C$13)))*((Calculations!$C$13-Calculations!O177)/(Calculations!$C$13))-(Calculations!O177/(Calculations!$C$13*Calculations!$C$13))*LN((Calculations!$C$8*(Calculations!O177-Calculations!$C$13))/(Calculations!O177*(Calculations!$C$8-Calculations!$C$13))))+'Reaction Information'!$J$46*10^-1*(Calculations!$M177-Calculations!$C$9)+'Reaction Information'!$K$46*10^2*LN((Calculations!$C$12+Calculations!$M177)/(Calculations!$C$12+Calculations!$C$9))+(1/(Calculations!O177-Calculations!$C$13))*('Reaction Information'!$L$46*(Calculations!$M177-Calculations!$C$9)+'Reaction Information'!$M$46*10^4*LN((Calculations!$C$12+Calculations!$M177)/(Calculations!$C$12+Calculations!$C$9)))+calculateOmega(Calculations!M177,Calculations!N177,Calculations!Q177,'Reaction Information'!$C$46,'Reaction Information'!$P$46*10^5,'Reaction Information'!$Q$46)*((1/Calculations!S177)-1)-'Reaction Information'!$P$46*10^5*((1/Calculations!$C$10)-1)+'Reaction Information'!$P$46*10^5*Calculations!$C$14*(Calculations!O177-Calculations!$C$8))</f>
        <v>0</v>
      </c>
      <c r="AT177" s="8">
        <f>IF(ISBLANK(Input!$BN$4),NA(),'Reaction Information'!$E$50-'Reaction Information'!$G$50*(Calculations!O177-Calculations!$C$8)-'Reaction Information'!$N$50*(Calculations!O177*LN(Calculations!O177/Calculations!$C$8)-Calculations!O177+Calculations!$C$8)-'Reaction Information'!$O$50*10^4*(((1/(Calculations!O177-Calculations!$C$13))-(1/(Calculations!$C$8-Calculations!$C$13)))*((Calculations!$C$13-Calculations!O177)/(Calculations!$C$13))-(Calculations!O177/(Calculations!$C$13*Calculations!$C$13))*LN((Calculations!$C$8*(Calculations!O177-Calculations!$C$13))/(Calculations!O177*(Calculations!$C$8-Calculations!$C$13))))+'Reaction Information'!$J$50*10^-1*(Calculations!$M177-Calculations!$C$9)+'Reaction Information'!$K$50*10^2*LN((Calculations!$C$12+Calculations!$M177)/(Calculations!$C$12+Calculations!$C$9))+(1/(Calculations!O177-Calculations!$C$13))*('Reaction Information'!$L$50*(Calculations!$M177-Calculations!$C$9)+'Reaction Information'!$M$50*10^4*LN((Calculations!$C$12+Calculations!$M177)/(Calculations!$C$12+Calculations!$C$9)))+calculateOmega(Calculations!M177,Calculations!N177,Calculations!Q177,'Reaction Information'!$C$50,'Reaction Information'!$P$50*10^5,'Reaction Information'!$Q$50)*((1/Calculations!S177)-1)-'Reaction Information'!$P$50*10^5*((1/Calculations!$C$10)-1)+'Reaction Information'!$P$50*10^5*Calculations!$C$14*(Calculations!O177-Calculations!$C$8))</f>
        <v>-113310.73544374955</v>
      </c>
      <c r="AU177" s="8" t="e">
        <f>IF(ISBLANK(Input!$BQ$4),NA(),'Reaction Information'!$E$54-'Reaction Information'!$G$54*(Calculations!$O177-Calculations!$C$8)-'Reaction Information'!$N$54*(Calculations!$O177*LN(Calculations!$O177/Calculations!$C$8)-Calculations!$O177+Calculations!$C$8)-'Reaction Information'!$O$54*10^4*(((1/(Calculations!$O177-Calculations!$C$13))-(1/(Calculations!$C$8-Calculations!$C$13)))*((Calculations!$C$13-Calculations!$O177)/(Calculations!$C$13))-(Calculations!$O177/(Calculations!$C$13*Calculations!$C$13))*LN((Calculations!$C$8*(Calculations!$O177-Calculations!$C$13))/(Calculations!$O177*(Calculations!$C$8-Calculations!$C$13))))+'Reaction Information'!$J$54*10^-1*(Calculations!$M177-Calculations!$C$9)+'Reaction Information'!$K$54*10^2*LN((Calculations!$C$12+Calculations!$M177)/(Calculations!$C$12+Calculations!$C$9))+(1/(Calculations!$O177-Calculations!$C$13))*('Reaction Information'!$L$54*(Calculations!$M177-Calculations!$C$9)+'Reaction Information'!$M$54*10^4*LN((Calculations!$C$12+Calculations!$M177)/(Calculations!$C$12+Calculations!$C$9)))+calculateOmega(Calculations!M177,Calculations!N177,Calculations!Q177,'Reaction Information'!$C$54,'Reaction Information'!$P$54*10^5,'Reaction Information'!$Q$54)*((1/Calculations!$S177)-1)-'Reaction Information'!$P$54*10^5*((1/Calculations!$C$10)-1)+'Reaction Information'!$P$54*10^5*Calculations!$C$14*(Calculations!$O177-Calculations!$C$8))</f>
        <v>#N/A</v>
      </c>
      <c r="AV177" s="8" t="e">
        <f>IF(ISBLANK(Input!$BT$4),NA(),'Reaction Information'!$E$58-'Reaction Information'!$G$58*(Calculations!$O177-Calculations!$C$8)-'Reaction Information'!$N$58*(Calculations!$O177*LN(Calculations!$O177/Calculations!$C$8)-Calculations!$O177+Calculations!$C$8)-'Reaction Information'!$O$58*10^4*(((1/(Calculations!$O177-Calculations!$C$13))-(1/(Calculations!$C$8-Calculations!$C$13)))*((Calculations!$C$13-Calculations!$O177)/(Calculations!$C$13))-(Calculations!$O177/(Calculations!$C$13*Calculations!$C$13))*LN((Calculations!$C$8*(Calculations!$O177-Calculations!$C$13))/(Calculations!$O177*(Calculations!$C$8-Calculations!$C$13))))+'Reaction Information'!$J$58*10^-1*(Calculations!$M177-Calculations!$C$9)+'Reaction Information'!$K$58*10^2*LN((Calculations!$C$12+Calculations!$M177)/(Calculations!$C$12+Calculations!$C$9))+(1/(Calculations!$O177-Calculations!$C$13))*('Reaction Information'!$L$58*(Calculations!$M177-Calculations!$C$9)+'Reaction Information'!$M$58*10^4*LN((Calculations!$C$12+Calculations!$M177)/(Calculations!$C$12+Calculations!$C$9)))+calculateOmega(Calculations!M177,Calculations!N177,Calculations!Q177,'Reaction Information'!$C$58,'Reaction Information'!$P$58*10^5,'Reaction Information'!$Q$58)*((1/Calculations!$S177)-1)-'Reaction Information'!$P$58*10^5*((1/Calculations!$C$10)-1)+'Reaction Information'!$P$58*10^5*Calculations!$C$14*(Calculations!$O177-Calculations!$C$8))</f>
        <v>#N/A</v>
      </c>
      <c r="AW177" s="8" t="e">
        <f>IF(ISBLANK(Input!$BW$4),NA(),'Reaction Information'!$E$62-'Reaction Information'!$G$62*(Calculations!$O177-Calculations!$C$8)-'Reaction Information'!$N$62*(Calculations!$O177*LN(Calculations!$O177/Calculations!$C$8)-Calculations!$O177+Calculations!$C$8)-'Reaction Information'!$O$62*10^4*(((1/(Calculations!$O177-Calculations!$C$13))-(1/(Calculations!$C$8-Calculations!$C$13)))*((Calculations!$C$13-Calculations!$O177)/(Calculations!$C$13))-(Calculations!$O177/(Calculations!$C$13*Calculations!$C$13))*LN((Calculations!$C$8*(Calculations!$O177-Calculations!$C$13))/(Calculations!$O177*(Calculations!$C$8-Calculations!$C$13))))+'Reaction Information'!$J$62*10^-1*(Calculations!$M177-Calculations!$C$9)+'Reaction Information'!$K$62*10^2*LN((Calculations!$C$12+Calculations!$M177)/(Calculations!$C$12+Calculations!$C$9))+(1/(Calculations!$O177-Calculations!$C$13))*('Reaction Information'!$L$62*(Calculations!$M177-Calculations!$C$9)+'Reaction Information'!$M$62*10^4*LN((Calculations!$C$12+Calculations!$M177)/(Calculations!$C$12+Calculations!$C$9)))+calculateOmega(Calculations!M177,Calculations!N177,Calculations!Q177,'Reaction Information'!$C$62,'Reaction Information'!$P$62*10^5,'Reaction Information'!$Q$62)*((1/Calculations!$S177)-1)-'Reaction Information'!$P$62*10^5*((1/Calculations!$C$10)-1)+'Reaction Information'!$P$62*10^5*Calculations!$C$14*(Calculations!$O177-Calculations!$C$8))</f>
        <v>#N/A</v>
      </c>
      <c r="AX177" s="8" t="e">
        <f>IF(ISBLANK(Input!$BZ$4),NA(),'Reaction Information'!$E$66-'Reaction Information'!$G$66*(Calculations!$O177-Calculations!$C$8)-'Reaction Information'!$N$66*(Calculations!$O177*LN(Calculations!$O177/Calculations!$C$8)-Calculations!$O177+Calculations!$C$8)-'Reaction Information'!$O$66*10^4*(((1/(Calculations!$O177-Calculations!$C$13))-(1/(Calculations!$C$8-Calculations!$C$13)))*((Calculations!$C$13-Calculations!$O177)/(Calculations!$C$13))-(Calculations!$O177/(Calculations!$C$13*Calculations!$C$13))*LN((Calculations!$C$8*(Calculations!$O177-Calculations!$C$13))/(Calculations!$O177*(Calculations!$C$8-Calculations!$C$13))))+'Reaction Information'!$J$66*10^-1*(Calculations!$M177-Calculations!$C$9)+'Reaction Information'!$K$66*10^2*LN((Calculations!$C$12+Calculations!$M177)/(Calculations!$C$12+Calculations!$C$9))+(1/(Calculations!$O177-Calculations!$C$13))*('Reaction Information'!$L$66*(Calculations!$M177-Calculations!$C$9)+'Reaction Information'!$M$66*10^4*LN((Calculations!$C$12+Calculations!$M177)/(Calculations!$C$12+Calculations!$C$9)))+calculateOmega(Calculations!M177,Calculations!N177,Calculations!Q177,'Reaction Information'!$C$66,'Reaction Information'!$P$66*10^5,'Reaction Information'!$Q$66)*((1/Calculations!$S177)-1)-'Reaction Information'!$P$66*10^5*((1/Calculations!$C$10)-1)+'Reaction Information'!$P$66*10^5*Calculations!$C$14*(Calculations!$O177-Calculations!$C$8))</f>
        <v>#N/A</v>
      </c>
      <c r="AY177" s="31">
        <f>(AL177*Input!$AO$4+AM177*Input!$AR$4+AN177*Input!$AU$4+AO177*Input!$AX$4+IF(ISNA(AP177),0,AP177*Input!$BA$4)+IF(ISNA(AQ177),0,AQ177*Input!$BD$4)+IF(ISNA(AR177),0,AR177*Input!$BG$4)+IF(ISNA(AS177),0,AS177*Input!$BJ$4)+IF(ISNA(AT177),0,AT177*Input!$BM$4)+IF(ISNA(AU177),0,AU177*Input!$BP$4)+IF(ISNA(AV177),0,AV177*Input!$BS$4)+IF(ISNA(AW177),0,AW177*Input!$BV$4)+IF(ISNA(AX177),0,AX177*Input!$BY$4))-(Y177*Input!$B$4+Z177*Input!$E$4+AA177*Input!$H$4+AB177*Input!$K$4+IF(ISNA(AC177),0,AC177*Input!$N$4)+IF(ISNA(AD177),0,AD177*Input!$Q$4)+IF(ISNA(AE177),0,AE177*Input!$T$4)+IF(ISNA(AF177),0,AF177*Input!$W$4)+IF(ISNA(AG177),0,AG177*Input!$Z$4)+IF(ISNA(AH177),0,AH177*Input!$AC$4)+IF(ISNA(AI177),0,AI177*Input!$AF$4)+IF(ISNA(AJ177),0,AJ177*Input!$AI$4)+IF(ISNA(AK177),0,AK177*Input!$AL$4))</f>
        <v>8555.3404456631688</v>
      </c>
      <c r="AZ177" s="42">
        <f t="shared" si="54"/>
        <v>-2.1427934564322881</v>
      </c>
      <c r="BA177" s="1">
        <f t="shared" si="46"/>
        <v>600</v>
      </c>
      <c r="BB177" s="46">
        <f t="shared" si="47"/>
        <v>60000</v>
      </c>
      <c r="BC177" s="1"/>
      <c r="BD177" s="2">
        <f t="shared" si="48"/>
        <v>60000</v>
      </c>
      <c r="BE177" s="46">
        <f t="shared" si="49"/>
        <v>600</v>
      </c>
      <c r="BF177" s="1">
        <f>Results!AJ179</f>
        <v>0</v>
      </c>
      <c r="BG177" s="1">
        <f>Results!AK179</f>
        <v>0</v>
      </c>
      <c r="BH177" s="1">
        <f>Results!AL179</f>
        <v>0</v>
      </c>
      <c r="BI177" s="1">
        <f>Results!AM179</f>
        <v>0</v>
      </c>
      <c r="BJ177" s="1" t="e">
        <f>IF(OR(ISNA('Reaction Information'!$D$5), $N177 = "", $D$27 = FALSE, 'Reaction Information'!$D$5 = ""), NA(), 24.465)</f>
        <v>#N/A</v>
      </c>
      <c r="BK177" s="1" t="e">
        <f>IF(OR(ISNA('Reaction Information'!$D$9), $N177 = "", $D$27 = FALSE, 'Reaction Information'!$D$9 = ""), NA(), 24.465)</f>
        <v>#N/A</v>
      </c>
      <c r="BL177" s="8">
        <f t="shared" si="55"/>
        <v>12.468747144294717</v>
      </c>
      <c r="BM177" s="8">
        <f>IF(OR(ISBLANK(Input!$X$4),$D$27=FALSE),NA(),('Reaction Information'!$J$13/10+'Reaction Information'!$K$13*100/(Calculations!$C$12+Calculations!$M177)+('Reaction Information'!$L$13+'Reaction Information'!$M$13*10^4/(Calculations!$C$12+Calculations!$M177))/(Calculations!$O177-Calculations!$C$13) -calculateOmega(Calculations!$M177,Calculations!$N177,Calculations!$Q177,'Reaction Information'!$C$13,'Reaction Information'!$P$13*10^5,'Reaction Information'!$Q$13)*Calculations!$U177*10^-6 + (1/$S177 - 1)*calculate_domegadP(Calculations!$M177,Calculations!$N177,Calculations!$Q177,'Reaction Information'!$C$13,'Reaction Information'!$P$13*10^5,'Reaction Information'!$Q$13,$D$20,$D$19=3))*41.84)</f>
        <v>29.78373682970782</v>
      </c>
      <c r="BN177" s="8" t="e">
        <f>IF(OR(ISBLANK(Input!$AA$4),$D$27=FALSE),NA(),('Reaction Information'!$J$17/10+'Reaction Information'!$K$17*100/(Calculations!$C$12+Calculations!$M177)+('Reaction Information'!$L$17+'Reaction Information'!$M$17*10000/(Calculations!$C$12+Calculations!$M177))/(Calculations!$O177-Calculations!$C$13)-calculateOmega(Calculations!M177,Calculations!N177,Calculations!Q177,'Reaction Information'!$C$17,'Reaction Information'!$P$17*10^5,'Reaction Information'!$Q$17)*Calculations!$U177*10^-6 + (1/$S177 - 1)*calculate_domegadP(Calculations!M177,Calculations!N177,Calculations!Q177,'Reaction Information'!$C$17,'Reaction Information'!$P$17*10^5,'Reaction Information'!$Q$17,$D$20,$D$19=3))*41.84)</f>
        <v>#N/A</v>
      </c>
      <c r="BO177" s="8" t="e">
        <f>IF(OR(ISBLANK(Input!$AD$4),$D$27=FALSE),NA(),('Reaction Information'!$J$21/10+'Reaction Information'!$K$21*100/(Calculations!$C$12+Calculations!$M177)+('Reaction Information'!$L$21+'Reaction Information'!$M$21*10000/(Calculations!$C$12+Calculations!$M177))/(Calculations!$O177-Calculations!$C$13)-calculateOmega(Calculations!M177,Calculations!N177,Calculations!Q177,'Reaction Information'!$C$21,'Reaction Information'!$P$21*10^5,'Reaction Information'!$Q$21)*Calculations!$U177*10^-6 + (1/$S177 - 1)*calculate_domegadP(Calculations!M177,Calculations!N177,Calculations!Q177,'Reaction Information'!$C$21,'Reaction Information'!$P$21*10^5,'Reaction Information'!$Q$21,$D$20,$D$19=3))*41.84)</f>
        <v>#N/A</v>
      </c>
      <c r="BP177" s="8" t="e">
        <f>IF(OR(ISBLANK(Input!$AG$4),$D$27=FALSE),NA(),('Reaction Information'!$J$25/10+'Reaction Information'!$K$25*100/(Calculations!$C$12+Calculations!$M177)+('Reaction Information'!$L$25+'Reaction Information'!$M$25*10000/(Calculations!$C$12+Calculations!$M177))/(Calculations!$O177-Calculations!$C$13)-calculateOmega(Calculations!M177,Calculations!N177,Calculations!Q177,'Reaction Information'!$C$25,'Reaction Information'!$P$25*10^5,'Reaction Information'!$Q$25)*Calculations!$U177*10^-6 + (1/$S177 - 1)*calculate_domegadP(Calculations!M177,Calculations!N177,Calculations!Q177,'Reaction Information'!$C$25,'Reaction Information'!$P$25*10^5,'Reaction Information'!$Q$25,$D$20,$D$19=3))*41.84)</f>
        <v>#N/A</v>
      </c>
      <c r="BQ177" s="8" t="e">
        <f>IF(OR(ISBLANK(Input!$AJ$4),$D$27=FALSE),NA(),('Reaction Information'!$J$29/10+'Reaction Information'!$K$29*100/(Calculations!$C$12+Calculations!$M177)+('Reaction Information'!$L$29+'Reaction Information'!$M$29*10000/(Calculations!$C$12+Calculations!$M177))/(Calculations!$O177-Calculations!$C$13)-calculateOmega(Calculations!M177,Calculations!N177,Calculations!Q177,'Reaction Information'!$C$29,'Reaction Information'!$P$29*10^5,'Reaction Information'!$Q$29)*Calculations!$U177*10^-6 + (1/$S177 - 1)*calculate_domegadP(Calculations!M177,Calculations!N177,Calculations!Q177,'Reaction Information'!$C$29,'Reaction Information'!$P$29*10^5,'Reaction Information'!$Q$29,$D$20,$D$19=3))*41.84)</f>
        <v>#N/A</v>
      </c>
      <c r="BR177" s="8" t="e">
        <f>IF(OR(ISBLANK(Input!$AM$4),$D$27=FALSE),NA(),('Reaction Information'!$J$33/10+'Reaction Information'!$K$33*100/(Calculations!$C$12+Calculations!$M177)+('Reaction Information'!$L$33+'Reaction Information'!$M$33*10000/(Calculations!$C$12+Calculations!$M177))/(Calculations!$O177-Calculations!$C$13)-calculateOmega(Calculations!M177,Calculations!N177,Calculations!Q177,'Reaction Information'!$C$33,'Reaction Information'!$P$33*10^5,'Reaction Information'!$Q$33)*Calculations!$U177*10^-6 + (1/$S177 - 1)*calculate_domegadP(Calculations!M177,Calculations!N177,Calculations!Q177,'Reaction Information'!$C$33,'Reaction Information'!$P$33*10^5,'Reaction Information'!$Q$33,$D$20,$D$19=3))*41.84)</f>
        <v>#N/A</v>
      </c>
      <c r="BS177" s="1">
        <f>Results!AW179</f>
        <v>0</v>
      </c>
      <c r="BT177" s="1">
        <f>Results!AX179</f>
        <v>0</v>
      </c>
      <c r="BU177" s="1">
        <f>Results!AY179</f>
        <v>0</v>
      </c>
      <c r="BV177" s="1">
        <f>Results!AZ179</f>
        <v>0</v>
      </c>
      <c r="BW177" s="1" t="e">
        <f>IF(OR(ISNA('Reaction Information'!$D$38), $N177 = "", $D$27 = FALSE, 'Reaction Information'!$D$38 = ""), NA(), 24.465)</f>
        <v>#N/A</v>
      </c>
      <c r="BX177" s="1" t="e">
        <f>IF(OR(ISNA('Reaction Information'!$D$42), $N177 = "", $D$27 = FALSE, 'Reaction Information'!$D$42 = ""), NA(), 24.465)</f>
        <v>#N/A</v>
      </c>
      <c r="BY177" s="8" t="e">
        <f t="shared" si="56"/>
        <v>#N/A</v>
      </c>
      <c r="BZ177" s="8">
        <f>IF(OR(ISBLANK(Input!$BK$4),$D$27=FALSE),NA(),('Reaction Information'!$J$46/10+'Reaction Information'!$K$46*100/(Calculations!$C$12+Calculations!$M177)+('Reaction Information'!$L$46+'Reaction Information'!$M$46*10000/(Calculations!$C$12+Calculations!$M177))/(Calculations!$O177-Calculations!$C$13)-calculateOmega(Calculations!M177,Calculations!N177,Calculations!Q177,'Reaction Information'!$C$46,'Reaction Information'!$P$46*10^5,'Reaction Information'!$Q$46)*Calculations!$U177*10^-6 + (1/$S177 - 1)*calculate_domegadP(Calculations!M177,Calculations!N177,Calculations!Q177,'Reaction Information'!$C$46,'Reaction Information'!$P$46*10^5,'Reaction Information'!$Q$46,$D$20,$D$19=3))*41.84)</f>
        <v>0</v>
      </c>
      <c r="CA177" s="8">
        <f>IF(OR(ISBLANK(Input!$BN$4),$D$27=FALSE),NA(),('Reaction Information'!$J$50/10+'Reaction Information'!$K$50*100/(Calculations!$C$12+Calculations!$M177)+('Reaction Information'!$L$50+'Reaction Information'!$M$50*10000/(Calculations!$C$12+Calculations!$M177))/(Calculations!$O177-Calculations!$C$13)-calculateOmega(Calculations!M177,Calculations!N177,Calculations!Q177,'Reaction Information'!$C$50,'Reaction Information'!$P$50*10^5,'Reaction Information'!$Q$50)*Calculations!$U177*10^-6 + (1/$S177 - 1)*calculate_domegadP(Calculations!M177,Calculations!N177,Calculations!Q177,'Reaction Information'!$C$50,'Reaction Information'!$P$50*10^5,'Reaction Information'!$Q$50,$D$20,$D$19=3))*41.84)</f>
        <v>31.54170494480157</v>
      </c>
      <c r="CB177" s="8" t="e">
        <f>IF(OR(ISBLANK(Input!$BQ$4),$D$27=FALSE),NA(),('Reaction Information'!$J$54/10+'Reaction Information'!$K$54*100/(Calculations!$C$12+Calculations!$M177)+('Reaction Information'!$L$54+'Reaction Information'!$M$54*10000/(Calculations!$C$12+Calculations!$M177))/(Calculations!$O177-Calculations!$C$13)-calculateOmega(Calculations!M177,Calculations!N177,Calculations!Q177,'Reaction Information'!$C$54,'Reaction Information'!$P$54*10^5,'Reaction Information'!$Q$54)*Calculations!$U177*10^-6 + (1/$S177 - 1)*calculate_domegadP(Calculations!M177,Calculations!N177,Calculations!Q177,'Reaction Information'!$C$54,'Reaction Information'!$P$54*10^5,'Reaction Information'!$Q$54,$D$20,$D$19=3))*41.84)</f>
        <v>#N/A</v>
      </c>
      <c r="CC177" s="8" t="e">
        <f>IF(OR(ISBLANK(Input!$BT$4),$D$27=FALSE),NA(),('Reaction Information'!$J$58/10+'Reaction Information'!$K$58*100/(Calculations!$C$12+Calculations!$M177)+('Reaction Information'!$L$58+'Reaction Information'!$M$58*10000/(Calculations!$C$12+Calculations!$M177))/(Calculations!$O177-Calculations!$C$13)-calculateOmega(Calculations!M177,Calculations!N177,Calculations!Q177,'Reaction Information'!$C$58,'Reaction Information'!$P$58*10^5,'Reaction Information'!$Q$58)*Calculations!$U177*10^-6 + (1/$S177 - 1)*calculate_domegadP(Calculations!M177,Calculations!N177,Calculations!Q177,'Reaction Information'!$C$58,'Reaction Information'!$P$58*10^5,'Reaction Information'!$Q$58,$D$20,$D$19=3))*41.84)</f>
        <v>#N/A</v>
      </c>
      <c r="CD177" s="8" t="e">
        <f>IF(OR(ISBLANK(Input!$BW$4),$D$27=FALSE),NA(),('Reaction Information'!$J$62/10+'Reaction Information'!$K$62*100/(Calculations!$C$12+Calculations!$M177)+('Reaction Information'!$L$62+'Reaction Information'!$M$62*10000/(Calculations!$C$12+Calculations!$M177))/(Calculations!$O177-Calculations!$C$13)-calculateOmega(Calculations!M177,Calculations!N177,Calculations!Q177,'Reaction Information'!$C$62,'Reaction Information'!$P$62*10^5,'Reaction Information'!$Q$62)*Calculations!$U177*10^-6 + (1/$S177 - 1)*calculate_domegadP(Calculations!M177,Calculations!N177,Calculations!Q177,'Reaction Information'!$C$62,'Reaction Information'!$P$62*10^5,'Reaction Information'!$Q$62,$D$20,$D$19=3))*41.84)</f>
        <v>#N/A</v>
      </c>
      <c r="CE177" s="8" t="e">
        <f>IF(OR(ISBLANK(Input!$BZ$4),$D$27=FALSE),NA(),('Reaction Information'!$J$66/10+'Reaction Information'!$K$66*100/(Calculations!$C$12+Calculations!$M177)+('Reaction Information'!$L$66+'Reaction Information'!$M$66*10000/(Calculations!$C$12+Calculations!$M177))/(Calculations!$O177-Calculations!$C$13)-calculateOmega(Calculations!M177,Calculations!N177,Calculations!Q177,'Reaction Information'!$C$66,'Reaction Information'!$P$66*10^5,'Reaction Information'!$Q$66)*Calculations!$U177*10^-6 + (1/$S177 - 1)*calculate_domegadP(Calculations!M177,Calculations!N177,Calculations!Q177,'Reaction Information'!$C$66,'Reaction Information'!$P$66*10^5,'Reaction Information'!$Q$66,$D$20,$D$19=3))*41.84)</f>
        <v>#N/A</v>
      </c>
      <c r="CF177" s="31">
        <f>(BS177*Input!$AO$4+BT177*Input!$AR$4+BU177*Input!$AU$4+BV177*Input!$AX$4+IF(ISNA(BW177),0,BW177*Input!$BA$4)+IF(ISNA(BX177),0,BX177*Input!$BD$4)+IF(ISNA(BY177),0,BY177*Input!$BG$4)+IF(ISNA(BZ177),0,BZ177*Input!$BJ$4)+IF(ISNA(CA177),0,CA177*Input!$BM$4)+IF(ISNA(CB177),0,CB177*Input!$BP$4)+IF(ISNA(CC177),0,CC177*Input!$BS$4)+IF(ISNA(CD177),0,CD177*Input!$BV$4)+IF(ISNA(CE177),0,CE177*Input!$BY$4))-(BF177*Input!$B$4+BG177*Input!$E$4+BH177*Input!$H$4+BI177*Input!$K$4+IF(ISNA(BJ177),0,BJ177*Input!$N$4)+IF(ISNA(BK177),0,BK177*Input!$Q$4)+IF(ISNA(BL177),0,BL177*Input!$T$4)+IF(ISNA(BM177),0,BM177*Input!$W$4)+IF(ISNA(BN177),0,BN177*Input!$Z$4)+IF(ISNA(BO177),0,BO177*Input!$AC$4)+IF(ISNA(BP177),0,BP177*Input!$AF$4)+IF(ISNA(BQ177),0,BQ177*Input!$AI$4)+IF(ISNA(BR177),0,BR177*Input!$AL$4))</f>
        <v>-10.710779029200967</v>
      </c>
      <c r="CG177" s="1">
        <f t="shared" si="50"/>
        <v>600</v>
      </c>
      <c r="CH177" s="46">
        <f t="shared" si="51"/>
        <v>60000</v>
      </c>
      <c r="CI177" s="1"/>
    </row>
    <row r="178" spans="1:87" x14ac:dyDescent="0.2">
      <c r="A178" s="1"/>
      <c r="B178" s="1"/>
      <c r="C178" s="1"/>
      <c r="D178" s="1"/>
      <c r="E178" s="1"/>
      <c r="F178" s="2">
        <v>173</v>
      </c>
      <c r="G178" s="1" t="str">
        <f>IF(ISBLANK(Input!CB178), "", Input!CB178*1000)</f>
        <v/>
      </c>
      <c r="H178" s="1" t="str">
        <f>IF(ISBLANK(Input!CC178), "", Input!CC178)</f>
        <v/>
      </c>
      <c r="I178" s="1">
        <f>IF(Input!$CF$5 + Input!$CF$6*(FLOOR((Calculations!$F178-1)/(FLOOR((Input!$CF$12-Input!$CF$10)/Input!$CF$11,1)+1),1)) &gt; Input!$CF$7, "", (Input!$CF$5 + Input!$CF$6*(FLOOR((Calculations!$F178-1)/(FLOOR((Input!$CF$12-Input!$CF$10)/Input!$CF$11,1)+1),1)))*1000)</f>
        <v>60000</v>
      </c>
      <c r="J178" s="1">
        <f>IF(Calculations!I178 = "", "", Input!$CF$10 + Input!$CF$11*(Calculations!$F178-1) - (FLOOR((Input!$CF$12-Input!$CF$10)/Input!$CF$11,1)+1)*Input!$CF$11*FLOOR((Calculations!$F178-1)/(FLOOR((Input!$CF$12-Input!$CF$10)/Input!$CF$11,1)+1),1))</f>
        <v>650</v>
      </c>
      <c r="K178" s="8" t="str">
        <f t="shared" si="52"/>
        <v/>
      </c>
      <c r="L178" s="117" t="str">
        <f>IF(OR(Input!$CJ$5 + Input!$CJ$6*(Calculations!F178-1) &gt; Input!$CJ$7, Input!$CJ$5 + Input!$CJ$6*(Calculations!F178-1) &gt; 350), "", Input!$CJ$5 + Input!$CJ$6*(Calculations!F178-1))</f>
        <v/>
      </c>
      <c r="M178" s="1">
        <f t="shared" si="42"/>
        <v>60000</v>
      </c>
      <c r="N178" s="1">
        <f t="shared" si="43"/>
        <v>650</v>
      </c>
      <c r="O178" s="1">
        <f t="shared" si="53"/>
        <v>923.15</v>
      </c>
      <c r="P178" s="1" t="e">
        <f>IF(OR($D$20=3,AND($D$21=TRUE,M178&lt;1000)),INDEX('Water Density'!$C$6:$CX$120,MATCH(Calculations!N178,'Water Density'!$B$6:$B$120),MATCH(Calculations!M178/1000,'Water Density'!$C$5:$CX$5)),NA())</f>
        <v>#N/A</v>
      </c>
      <c r="Q178" s="182">
        <f>IF(OR($D$20=3,AND($D$21=TRUE,M178&lt;1000)), IF(P178&lt;&gt;0,P178,NA()), calculateDensity(M178,N178,$D$20,0.01,$D$19 = 3))</f>
        <v>1.4320802192193267</v>
      </c>
      <c r="R178" s="1" t="e">
        <f>IF($D$22=5,INDEX('Dielectric Constant'!$C$6:$CX$120,MATCH(Calculations!N178,'Dielectric Constant'!$B$6:$B$120),MATCH(Calculations!M178/1000,'Dielectric Constant'!$C$5:$CX$5)),NA())</f>
        <v>#N/A</v>
      </c>
      <c r="S178" s="58">
        <f>IF($D$22=5, IF(R178&lt;&gt;0,R178,NA()), IF(AND($D$23,M178&lt;=5000,$D$19 &lt;&gt; 3),calculateEpsilon(Q178,N178,1,FALSE),calculateEpsilon(Q178,N178,$D$22,$D$19 = 3)))</f>
        <v>32.156267509764618</v>
      </c>
      <c r="T178" s="1" t="e">
        <f>IF($D$24=3,INDEX('Water Free Energy'!$C$6:$CX$120,MATCH(Calculations!N178,'Water Free Energy'!$B$6:$B$120),MATCH(Calculations!M178/1000,'Water Free Energy'!$C$5:$CX$5)),NA())</f>
        <v>#N/A</v>
      </c>
      <c r="U178" s="179">
        <f>IF($D$27,calculateQ(M178,N178,Q178,$D$20,$D$22,$D$19=3)*10^6,NA())</f>
        <v>0.10780000082886297</v>
      </c>
      <c r="V178"/>
      <c r="W178" s="2">
        <f t="shared" si="44"/>
        <v>60000</v>
      </c>
      <c r="X178" s="1">
        <f t="shared" si="45"/>
        <v>650</v>
      </c>
      <c r="Y178" s="1">
        <f>Results!F180</f>
        <v>0</v>
      </c>
      <c r="Z178" s="1">
        <f>Results!G180</f>
        <v>0</v>
      </c>
      <c r="AA178" s="1">
        <f>Results!H180</f>
        <v>0</v>
      </c>
      <c r="AB178" s="1">
        <f>Results!I180</f>
        <v>0</v>
      </c>
      <c r="AC178" s="1" t="e">
        <f>IF(ISBLANK(Input!$O$4),NA(),'Reaction Information'!$E$5-'Reaction Information'!$G$5*(Calculations!$O178-Calculations!$C$8)+'Reaction Information'!$I$5*(Calculations!$O178-Calculations!$C$8-Calculations!$O178*LN(Calculations!$O178/Calculations!$C$8))+'Reaction Information'!$J$5*0.001/2*(2*Calculations!$O178*Calculations!$C$8-Calculations!$O178^2-Calculations!$C$8^2) + 'Reaction Information'!$K$5*100000*(Calculations!$O178^2 + Calculations!$C$8^2 - 2*Calculations!$O178*Calculations!$C$8)/(2*Calculations!$O178*Calculations!$C$8^2))</f>
        <v>#N/A</v>
      </c>
      <c r="AD178" s="8" t="e">
        <f>IF(ISBLANK(Input!$R$4),NA(),'Reaction Information'!$E$9-'Reaction Information'!$G$9*(Calculations!$O178-Calculations!$C$8)+'Reaction Information'!$I$9*(Calculations!$O178-Calculations!$C$8-Calculations!$O178*LN(Calculations!$O178/Calculations!$C$8))+'Reaction Information'!$J$9*0.001/2*(2*Calculations!$O178*Calculations!$C$8-Calculations!$O178^2-Calculations!$C$8^2) + 'Reaction Information'!$K$9*100000*(Calculations!$O178^2 + Calculations!$C$8^2 - 2*Calculations!$O178*Calculations!$C$8)/(2*Calculations!$O178*Calculations!$C$8^2))</f>
        <v>#N/A</v>
      </c>
      <c r="AE178" s="8">
        <f>IF(AE$5="H2O",IF($D$24=3,IF(T178=0,NA(),T178),calculateGibbsOfWater(M178,N178,$D$24,$D$20,$D$19=3)),NA())</f>
        <v>-51283.010604744071</v>
      </c>
      <c r="AF178" s="8">
        <f>IF(ISBLANK(Input!$X$4),NA(),'Reaction Information'!$E$13-'Reaction Information'!$G$13*(Calculations!O178-Calculations!$C$8)-'Reaction Information'!$N$13*(Calculations!O178*LN(Calculations!O178/Calculations!$C$8)-Calculations!O178+Calculations!$C$8)-'Reaction Information'!$O$13*10^4*(((1/(Calculations!O178-Calculations!$C$13))-(1/(Calculations!$C$8-Calculations!$C$13)))*((Calculations!$C$13-Calculations!O178)/(Calculations!$C$13))-(Calculations!O178/(Calculations!$C$13*Calculations!$C$13))*LN((Calculations!$C$8*(Calculations!O178-Calculations!$C$13))/(Calculations!O178*(Calculations!$C$8-Calculations!$C$13))))+'Reaction Information'!$J$13*10^-1*(Calculations!M178-Calculations!$C$9)+'Reaction Information'!$K$13*10^2*LN((Calculations!$C$12+Calculations!M178)/(Calculations!$C$12+Calculations!$C$9))+(1/(Calculations!O178-Calculations!$C$13))*('Reaction Information'!$L$13*(Calculations!M178-Calculations!$C$9)+'Reaction Information'!$M$13*10^4*LN((Calculations!$C$12+Calculations!M178)/(Calculations!$C$12+Calculations!$C$9)))+calculateOmega(Calculations!M178,Calculations!N178,Calculations!Q178,'Reaction Information'!$C$13,'Reaction Information'!$P$13*10^5,'Reaction Information'!$Q$13)*((1/Calculations!S178)-1)-'Reaction Information'!$P$13*10^5*((1/Calculations!$C$10)-1)+'Reaction Information'!$P$13*10^5*Calculations!$C$14*(Calculations!O178-Calculations!$C$8))</f>
        <v>-74219.3748055615</v>
      </c>
      <c r="AG178" s="8" t="e">
        <f>IF(ISBLANK(Input!$AA$4),NA(),'Reaction Information'!$E$17-'Reaction Information'!$G$17*(Calculations!$O178-Calculations!$C$8)-'Reaction Information'!$N$17*(Calculations!$O178*LN(Calculations!$O178/Calculations!$C$8)-Calculations!$O178+Calculations!$C$8)-'Reaction Information'!$O$17*10^4*(((1/(Calculations!$O178-Calculations!$C$13))-(1/(Calculations!$C$8-Calculations!$C$13)))*((Calculations!$C$13-Calculations!$O178)/(Calculations!$C$13))-(Calculations!$O178/(Calculations!$C$13*Calculations!$C$13))*LN((Calculations!$C$8*(Calculations!$O178-Calculations!$C$13))/(Calculations!$O178*(Calculations!$C$8-Calculations!$C$13))))+'Reaction Information'!$J$17*10^-1*(Calculations!$M178-Calculations!$C$9)+'Reaction Information'!$K$17*10^2*LN((Calculations!$C$12+Calculations!$M178)/(Calculations!$C$12+Calculations!$C$9))+(1/(Calculations!$O178-Calculations!$C$13))*('Reaction Information'!$L$17*(Calculations!$M178-Calculations!$C$9)+'Reaction Information'!$M$17*10^4*LN((Calculations!$C$12+Calculations!$M178)/(Calculations!$C$12+Calculations!$C$9)))+calculateOmega(Calculations!M178,Calculations!N178,Calculations!Q178,'Reaction Information'!$C$17,'Reaction Information'!$P$17*10^5,'Reaction Information'!$Q$17)*((1/Calculations!$S178)-1)-'Reaction Information'!$P$17*10^5*((1/Calculations!$C$10)-1)+'Reaction Information'!$P$17*10^5*Calculations!$C$14*(Calculations!$O178-Calculations!$C$8))</f>
        <v>#N/A</v>
      </c>
      <c r="AH178" s="8" t="e">
        <f>IF(ISBLANK(Input!$AD$4),NA(),'Reaction Information'!$E$21-'Reaction Information'!$G$21*(Calculations!$O178-Calculations!$C$8)-'Reaction Information'!$N$21*(Calculations!$O178*LN(Calculations!$O178/Calculations!$C$8)-Calculations!$O178+Calculations!$C$8)-'Reaction Information'!$O$21*10^4*(((1/(Calculations!$O178-Calculations!$C$13))-(1/(Calculations!$C$8-Calculations!$C$13)))*((Calculations!$C$13-Calculations!$O178)/(Calculations!$C$13))-(Calculations!$O178/(Calculations!$C$13*Calculations!$C$13))*LN((Calculations!$C$8*(Calculations!$O178-Calculations!$C$13))/(Calculations!$O178*(Calculations!$C$8-Calculations!$C$13))))+'Reaction Information'!$J$21*10^-1*(Calculations!$M178-Calculations!$C$9)+'Reaction Information'!$K$21*10^2*LN((Calculations!$C$12+Calculations!$M178)/(Calculations!$C$12+Calculations!$C$9))+(1/(Calculations!$O178-Calculations!$C$13))*('Reaction Information'!$L$21*(Calculations!$M178-Calculations!$C$9)+'Reaction Information'!$M$21*10^4*LN((Calculations!$C$12+Calculations!$M178)/(Calculations!$C$12+Calculations!$C$9)))+calculateOmega(Calculations!M178,Calculations!N178,Calculations!Q178,'Reaction Information'!$C$21,'Reaction Information'!$P$21*10^5,'Reaction Information'!$Q$21)*((1/Calculations!$S178)-1)-'Reaction Information'!$P$21*10^5*((1/Calculations!$C$10)-1)+'Reaction Information'!$P$21*10^5*Calculations!$C$14*(Calculations!$O178-Calculations!$C$8))</f>
        <v>#N/A</v>
      </c>
      <c r="AI178" s="8" t="e">
        <f>IF(ISBLANK(Input!$AG$4),NA(),'Reaction Information'!$E$25-'Reaction Information'!$G$25*(Calculations!$O178-Calculations!$C$8)-'Reaction Information'!$N$25*(Calculations!$O178*LN(Calculations!$O178/Calculations!$C$8)-Calculations!$O178+Calculations!$C$8)-'Reaction Information'!$O$25*10^4*(((1/(Calculations!$O178-Calculations!$C$13))-(1/(Calculations!$C$8-Calculations!$C$13)))*((Calculations!$C$13-Calculations!$O178)/(Calculations!$C$13))-(Calculations!$O178/(Calculations!$C$13*Calculations!$C$13))*LN((Calculations!$C$8*(Calculations!$O178-Calculations!$C$13))/(Calculations!$O178*(Calculations!$C$8-Calculations!$C$13))))+'Reaction Information'!$J$25*10^-1*(Calculations!$M178-Calculations!$C$9)+'Reaction Information'!$K$25*10^2*LN((Calculations!$C$12+Calculations!$M178)/(Calculations!$C$12+Calculations!$C$9))+(1/(Calculations!$O178-Calculations!$C$13))*('Reaction Information'!$L$25*(Calculations!$M178-Calculations!$C$9)+'Reaction Information'!$M$25*10^4*LN((Calculations!$C$12+Calculations!$M178)/(Calculations!$C$12+Calculations!$C$9)))+calculateOmega(Calculations!M178,Calculations!N178,Calculations!Q178,'Reaction Information'!$C$25,'Reaction Information'!$P$25*10^5,'Reaction Information'!$Q$25)*((1/Calculations!$S178)-1)-'Reaction Information'!$P$25*10^5*((1/Calculations!$C$10)-1)+'Reaction Information'!$P$25*10^5*Calculations!$C$14*(Calculations!$O178-Calculations!$C$8))</f>
        <v>#N/A</v>
      </c>
      <c r="AJ178" s="8" t="e">
        <f>IF(ISBLANK(Input!$AJ$4),NA(),'Reaction Information'!$E$29-'Reaction Information'!$G$29*(Calculations!$O178-Calculations!$C$8)-'Reaction Information'!$N$29*(Calculations!$O178*LN(Calculations!$O178/Calculations!$C$8)-Calculations!$O178+Calculations!$C$8)-'Reaction Information'!$O$29*10^4*(((1/(Calculations!$O178-Calculations!$C$13))-(1/(Calculations!$C$8-Calculations!$C$13)))*((Calculations!$C$13-Calculations!$O178)/(Calculations!$C$13))-(Calculations!$O178/(Calculations!$C$13*Calculations!$C$13))*LN((Calculations!$C$8*(Calculations!$O178-Calculations!$C$13))/(Calculations!$O178*(Calculations!$C$8-Calculations!$C$13))))+'Reaction Information'!$J$29*10^-1*(Calculations!$M178-Calculations!$C$9)+'Reaction Information'!$K$29*10^2*LN((Calculations!$C$12+Calculations!$M178)/(Calculations!$C$12+Calculations!$C$9))+(1/(Calculations!$O178-Calculations!$C$13))*('Reaction Information'!$L$29*(Calculations!$M178-Calculations!$C$9)+'Reaction Information'!$M$29*10^4*LN((Calculations!$C$12+Calculations!$M178)/(Calculations!$C$12+Calculations!$C$9)))+calculateOmega(Calculations!M178,Calculations!N178,Calculations!Q178,'Reaction Information'!$C$29,'Reaction Information'!$P$29*10^5,'Reaction Information'!$Q$29)*((1/Calculations!$S178)-1)-'Reaction Information'!$P$29*10^5*((1/Calculations!$C$10)-1)+'Reaction Information'!$P$29*10^5*Calculations!$C$14*(Calculations!$O178-Calculations!$C$8))</f>
        <v>#N/A</v>
      </c>
      <c r="AK178" s="8" t="e">
        <f>IF(ISBLANK(Input!$AM$4),NA(),'Reaction Information'!$E$33-'Reaction Information'!$G$33*(Calculations!$O178-Calculations!$C$8)-'Reaction Information'!$N$33*(Calculations!$O178*LN(Calculations!$O178/Calculations!$C$8)-Calculations!$O178+Calculations!$C$8)-'Reaction Information'!$O$33*10^4*(((1/(Calculations!$O178-Calculations!$C$13))-(1/(Calculations!$C$8-Calculations!$C$13)))*((Calculations!$C$13-Calculations!$O178)/(Calculations!$C$13))-(Calculations!$O178/(Calculations!$C$13*Calculations!$C$13))*LN((Calculations!$C$8*(Calculations!$O178-Calculations!$C$13))/(Calculations!$O178*(Calculations!$C$8-Calculations!$C$13))))+'Reaction Information'!$J$33*10^-1*(Calculations!$M178-Calculations!$C$9)+'Reaction Information'!$K$33*10^2*LN((Calculations!$C$12+Calculations!$M178)/(Calculations!$C$12+Calculations!$C$9))+(1/(Calculations!$O178-Calculations!$C$13))*('Reaction Information'!$L$33*(Calculations!$M178-Calculations!$C$9)+'Reaction Information'!$M$33*10^4*LN((Calculations!$C$12+Calculations!$M178)/(Calculations!$C$12+Calculations!$C$9)))+calculateOmega(Calculations!M178,Calculations!N178,Calculations!Q178,'Reaction Information'!$C$33,'Reaction Information'!$P$33*10^5,'Reaction Information'!$Q$33)*((1/Calculations!$S178)-1)-'Reaction Information'!$P$33*10^5*((1/Calculations!$C$10)-1)+'Reaction Information'!$P$33*10^5*Calculations!$C$14*(Calculations!$O178-Calculations!$C$8))</f>
        <v>#N/A</v>
      </c>
      <c r="AL178" s="1">
        <f>Results!S180</f>
        <v>0</v>
      </c>
      <c r="AM178" s="1">
        <f>Results!T180</f>
        <v>0</v>
      </c>
      <c r="AN178" s="1">
        <f>Results!U180</f>
        <v>0</v>
      </c>
      <c r="AO178" s="1">
        <f>Results!V180</f>
        <v>0</v>
      </c>
      <c r="AP178" s="8" t="e">
        <f>IF(ISBLANK(Input!$BB$4),NA(),'Reaction Information'!$E$38-'Reaction Information'!$G$38*(Calculations!$O178-Calculations!$C$8)+'Reaction Information'!$I$38*(Calculations!$O178-Calculations!$C$8-Calculations!$O178*LN(Calculations!$O178/Calculations!$C$8))+'Reaction Information'!$J$38*0.001/2*(2*Calculations!$O178*Calculations!$C$8-Calculations!$O178^2-Calculations!$C$8^2) + 'Reaction Information'!$K$38*100000*(Calculations!$O178^2 + Calculations!$C$8^2 - 2*Calculations!$O178*Calculations!$C$8)/(2*Calculations!$O178*Calculations!$C$8^2))</f>
        <v>#N/A</v>
      </c>
      <c r="AQ178" s="8" t="e">
        <f>IF(ISBLANK(Input!$BE$4),NA(),'Reaction Information'!$E$42-'Reaction Information'!$G$42*(Calculations!$O178-Calculations!$C$8)+'Reaction Information'!$I$42*(Calculations!$O178-Calculations!$C$8-Calculations!$O178*LN(Calculations!$O178/Calculations!$C$8))+'Reaction Information'!$J$42*0.001/2*(2*Calculations!$O178*Calculations!$C$8-Calculations!$O178^2-Calculations!$C$8^2) + 'Reaction Information'!$K$42*100000*(Calculations!$O178^2 + Calculations!$C$8^2 - 2*Calculations!$O178*Calculations!$C$8)/(2*Calculations!$O178*Calculations!$C$8^2))</f>
        <v>#N/A</v>
      </c>
      <c r="AR178" s="8" t="e">
        <f>IF(AR$5="H2O", IF($D$24=3,IF(T178=0,NA(),T178),calculateGibbsOfWater(M178,N178,$D$24,$D$20,$D$19=3)),NA())</f>
        <v>#N/A</v>
      </c>
      <c r="AS178" s="8">
        <f>IF(ISBLANK(Input!$BK$4),NA(),'Reaction Information'!$E$46-'Reaction Information'!$G$46*(Calculations!O178-Calculations!$C$8)-'Reaction Information'!$N$46*(Calculations!O178*LN(Calculations!O178/Calculations!$C$8)-Calculations!O178+Calculations!$C$8)-'Reaction Information'!$O$46*10^4*(((1/(Calculations!O178-Calculations!$C$13))-(1/(Calculations!$C$8-Calculations!$C$13)))*((Calculations!$C$13-Calculations!O178)/(Calculations!$C$13))-(Calculations!O178/(Calculations!$C$13*Calculations!$C$13))*LN((Calculations!$C$8*(Calculations!O178-Calculations!$C$13))/(Calculations!O178*(Calculations!$C$8-Calculations!$C$13))))+'Reaction Information'!$J$46*10^-1*(Calculations!$M178-Calculations!$C$9)+'Reaction Information'!$K$46*10^2*LN((Calculations!$C$12+Calculations!$M178)/(Calculations!$C$12+Calculations!$C$9))+(1/(Calculations!O178-Calculations!$C$13))*('Reaction Information'!$L$46*(Calculations!$M178-Calculations!$C$9)+'Reaction Information'!$M$46*10^4*LN((Calculations!$C$12+Calculations!$M178)/(Calculations!$C$12+Calculations!$C$9)))+calculateOmega(Calculations!M178,Calculations!N178,Calculations!Q178,'Reaction Information'!$C$46,'Reaction Information'!$P$46*10^5,'Reaction Information'!$Q$46)*((1/Calculations!S178)-1)-'Reaction Information'!$P$46*10^5*((1/Calculations!$C$10)-1)+'Reaction Information'!$P$46*10^5*Calculations!$C$14*(Calculations!O178-Calculations!$C$8))</f>
        <v>0</v>
      </c>
      <c r="AT178" s="8">
        <f>IF(ISBLANK(Input!$BN$4),NA(),'Reaction Information'!$E$50-'Reaction Information'!$G$50*(Calculations!O178-Calculations!$C$8)-'Reaction Information'!$N$50*(Calculations!O178*LN(Calculations!O178/Calculations!$C$8)-Calculations!O178+Calculations!$C$8)-'Reaction Information'!$O$50*10^4*(((1/(Calculations!O178-Calculations!$C$13))-(1/(Calculations!$C$8-Calculations!$C$13)))*((Calculations!$C$13-Calculations!O178)/(Calculations!$C$13))-(Calculations!O178/(Calculations!$C$13*Calculations!$C$13))*LN((Calculations!$C$8*(Calculations!O178-Calculations!$C$13))/(Calculations!O178*(Calculations!$C$8-Calculations!$C$13))))+'Reaction Information'!$J$50*10^-1*(Calculations!$M178-Calculations!$C$9)+'Reaction Information'!$K$50*10^2*LN((Calculations!$C$12+Calculations!$M178)/(Calculations!$C$12+Calculations!$C$9))+(1/(Calculations!O178-Calculations!$C$13))*('Reaction Information'!$L$50*(Calculations!$M178-Calculations!$C$9)+'Reaction Information'!$M$50*10^4*LN((Calculations!$C$12+Calculations!$M178)/(Calculations!$C$12+Calculations!$C$9)))+calculateOmega(Calculations!M178,Calculations!N178,Calculations!Q178,'Reaction Information'!$C$50,'Reaction Information'!$P$50*10^5,'Reaction Information'!$Q$50)*((1/Calculations!S178)-1)-'Reaction Information'!$P$50*10^5*((1/Calculations!$C$10)-1)+'Reaction Information'!$P$50*10^5*Calculations!$C$14*(Calculations!O178-Calculations!$C$8))</f>
        <v>-115053.03123777994</v>
      </c>
      <c r="AU178" s="8" t="e">
        <f>IF(ISBLANK(Input!$BQ$4),NA(),'Reaction Information'!$E$54-'Reaction Information'!$G$54*(Calculations!$O178-Calculations!$C$8)-'Reaction Information'!$N$54*(Calculations!$O178*LN(Calculations!$O178/Calculations!$C$8)-Calculations!$O178+Calculations!$C$8)-'Reaction Information'!$O$54*10^4*(((1/(Calculations!$O178-Calculations!$C$13))-(1/(Calculations!$C$8-Calculations!$C$13)))*((Calculations!$C$13-Calculations!$O178)/(Calculations!$C$13))-(Calculations!$O178/(Calculations!$C$13*Calculations!$C$13))*LN((Calculations!$C$8*(Calculations!$O178-Calculations!$C$13))/(Calculations!$O178*(Calculations!$C$8-Calculations!$C$13))))+'Reaction Information'!$J$54*10^-1*(Calculations!$M178-Calculations!$C$9)+'Reaction Information'!$K$54*10^2*LN((Calculations!$C$12+Calculations!$M178)/(Calculations!$C$12+Calculations!$C$9))+(1/(Calculations!$O178-Calculations!$C$13))*('Reaction Information'!$L$54*(Calculations!$M178-Calculations!$C$9)+'Reaction Information'!$M$54*10^4*LN((Calculations!$C$12+Calculations!$M178)/(Calculations!$C$12+Calculations!$C$9)))+calculateOmega(Calculations!M178,Calculations!N178,Calculations!Q178,'Reaction Information'!$C$54,'Reaction Information'!$P$54*10^5,'Reaction Information'!$Q$54)*((1/Calculations!$S178)-1)-'Reaction Information'!$P$54*10^5*((1/Calculations!$C$10)-1)+'Reaction Information'!$P$54*10^5*Calculations!$C$14*(Calculations!$O178-Calculations!$C$8))</f>
        <v>#N/A</v>
      </c>
      <c r="AV178" s="8" t="e">
        <f>IF(ISBLANK(Input!$BT$4),NA(),'Reaction Information'!$E$58-'Reaction Information'!$G$58*(Calculations!$O178-Calculations!$C$8)-'Reaction Information'!$N$58*(Calculations!$O178*LN(Calculations!$O178/Calculations!$C$8)-Calculations!$O178+Calculations!$C$8)-'Reaction Information'!$O$58*10^4*(((1/(Calculations!$O178-Calculations!$C$13))-(1/(Calculations!$C$8-Calculations!$C$13)))*((Calculations!$C$13-Calculations!$O178)/(Calculations!$C$13))-(Calculations!$O178/(Calculations!$C$13*Calculations!$C$13))*LN((Calculations!$C$8*(Calculations!$O178-Calculations!$C$13))/(Calculations!$O178*(Calculations!$C$8-Calculations!$C$13))))+'Reaction Information'!$J$58*10^-1*(Calculations!$M178-Calculations!$C$9)+'Reaction Information'!$K$58*10^2*LN((Calculations!$C$12+Calculations!$M178)/(Calculations!$C$12+Calculations!$C$9))+(1/(Calculations!$O178-Calculations!$C$13))*('Reaction Information'!$L$58*(Calculations!$M178-Calculations!$C$9)+'Reaction Information'!$M$58*10^4*LN((Calculations!$C$12+Calculations!$M178)/(Calculations!$C$12+Calculations!$C$9)))+calculateOmega(Calculations!M178,Calculations!N178,Calculations!Q178,'Reaction Information'!$C$58,'Reaction Information'!$P$58*10^5,'Reaction Information'!$Q$58)*((1/Calculations!$S178)-1)-'Reaction Information'!$P$58*10^5*((1/Calculations!$C$10)-1)+'Reaction Information'!$P$58*10^5*Calculations!$C$14*(Calculations!$O178-Calculations!$C$8))</f>
        <v>#N/A</v>
      </c>
      <c r="AW178" s="8" t="e">
        <f>IF(ISBLANK(Input!$BW$4),NA(),'Reaction Information'!$E$62-'Reaction Information'!$G$62*(Calculations!$O178-Calculations!$C$8)-'Reaction Information'!$N$62*(Calculations!$O178*LN(Calculations!$O178/Calculations!$C$8)-Calculations!$O178+Calculations!$C$8)-'Reaction Information'!$O$62*10^4*(((1/(Calculations!$O178-Calculations!$C$13))-(1/(Calculations!$C$8-Calculations!$C$13)))*((Calculations!$C$13-Calculations!$O178)/(Calculations!$C$13))-(Calculations!$O178/(Calculations!$C$13*Calculations!$C$13))*LN((Calculations!$C$8*(Calculations!$O178-Calculations!$C$13))/(Calculations!$O178*(Calculations!$C$8-Calculations!$C$13))))+'Reaction Information'!$J$62*10^-1*(Calculations!$M178-Calculations!$C$9)+'Reaction Information'!$K$62*10^2*LN((Calculations!$C$12+Calculations!$M178)/(Calculations!$C$12+Calculations!$C$9))+(1/(Calculations!$O178-Calculations!$C$13))*('Reaction Information'!$L$62*(Calculations!$M178-Calculations!$C$9)+'Reaction Information'!$M$62*10^4*LN((Calculations!$C$12+Calculations!$M178)/(Calculations!$C$12+Calculations!$C$9)))+calculateOmega(Calculations!M178,Calculations!N178,Calculations!Q178,'Reaction Information'!$C$62,'Reaction Information'!$P$62*10^5,'Reaction Information'!$Q$62)*((1/Calculations!$S178)-1)-'Reaction Information'!$P$62*10^5*((1/Calculations!$C$10)-1)+'Reaction Information'!$P$62*10^5*Calculations!$C$14*(Calculations!$O178-Calculations!$C$8))</f>
        <v>#N/A</v>
      </c>
      <c r="AX178" s="8" t="e">
        <f>IF(ISBLANK(Input!$BZ$4),NA(),'Reaction Information'!$E$66-'Reaction Information'!$G$66*(Calculations!$O178-Calculations!$C$8)-'Reaction Information'!$N$66*(Calculations!$O178*LN(Calculations!$O178/Calculations!$C$8)-Calculations!$O178+Calculations!$C$8)-'Reaction Information'!$O$66*10^4*(((1/(Calculations!$O178-Calculations!$C$13))-(1/(Calculations!$C$8-Calculations!$C$13)))*((Calculations!$C$13-Calculations!$O178)/(Calculations!$C$13))-(Calculations!$O178/(Calculations!$C$13*Calculations!$C$13))*LN((Calculations!$C$8*(Calculations!$O178-Calculations!$C$13))/(Calculations!$O178*(Calculations!$C$8-Calculations!$C$13))))+'Reaction Information'!$J$66*10^-1*(Calculations!$M178-Calculations!$C$9)+'Reaction Information'!$K$66*10^2*LN((Calculations!$C$12+Calculations!$M178)/(Calculations!$C$12+Calculations!$C$9))+(1/(Calculations!$O178-Calculations!$C$13))*('Reaction Information'!$L$66*(Calculations!$M178-Calculations!$C$9)+'Reaction Information'!$M$66*10^4*LN((Calculations!$C$12+Calculations!$M178)/(Calculations!$C$12+Calculations!$C$9)))+calculateOmega(Calculations!M178,Calculations!N178,Calculations!Q178,'Reaction Information'!$C$66,'Reaction Information'!$P$66*10^5,'Reaction Information'!$Q$66)*((1/Calculations!$S178)-1)-'Reaction Information'!$P$66*10^5*((1/Calculations!$C$10)-1)+'Reaction Information'!$P$66*10^5*Calculations!$C$14*(Calculations!$O178-Calculations!$C$8))</f>
        <v>#N/A</v>
      </c>
      <c r="AY178" s="31">
        <f>(AL178*Input!$AO$4+AM178*Input!$AR$4+AN178*Input!$AU$4+AO178*Input!$AX$4+IF(ISNA(AP178),0,AP178*Input!$BA$4)+IF(ISNA(AQ178),0,AQ178*Input!$BD$4)+IF(ISNA(AR178),0,AR178*Input!$BG$4)+IF(ISNA(AS178),0,AS178*Input!$BJ$4)+IF(ISNA(AT178),0,AT178*Input!$BM$4)+IF(ISNA(AU178),0,AU178*Input!$BP$4)+IF(ISNA(AV178),0,AV178*Input!$BS$4)+IF(ISNA(AW178),0,AW178*Input!$BV$4)+IF(ISNA(AX178),0,AX178*Input!$BY$4))-(Y178*Input!$B$4+Z178*Input!$E$4+AA178*Input!$H$4+AB178*Input!$K$4+IF(ISNA(AC178),0,AC178*Input!$N$4)+IF(ISNA(AD178),0,AD178*Input!$Q$4)+IF(ISNA(AE178),0,AE178*Input!$T$4)+IF(ISNA(AF178),0,AF178*Input!$W$4)+IF(ISNA(AG178),0,AG178*Input!$Z$4)+IF(ISNA(AH178),0,AH178*Input!$AC$4)+IF(ISNA(AI178),0,AI178*Input!$AF$4)+IF(ISNA(AJ178),0,AJ178*Input!$AI$4)+IF(ISNA(AK178),0,AK178*Input!$AL$4))</f>
        <v>10449.354172525636</v>
      </c>
      <c r="AZ178" s="42">
        <f t="shared" si="54"/>
        <v>-2.4754208752255846</v>
      </c>
      <c r="BA178" s="1">
        <f t="shared" si="46"/>
        <v>650</v>
      </c>
      <c r="BB178" s="46">
        <f t="shared" si="47"/>
        <v>60000</v>
      </c>
      <c r="BC178" s="1"/>
      <c r="BD178" s="2">
        <f t="shared" si="48"/>
        <v>60000</v>
      </c>
      <c r="BE178" s="46">
        <f t="shared" si="49"/>
        <v>650</v>
      </c>
      <c r="BF178" s="1">
        <f>Results!AJ180</f>
        <v>0</v>
      </c>
      <c r="BG178" s="1">
        <f>Results!AK180</f>
        <v>0</v>
      </c>
      <c r="BH178" s="1">
        <f>Results!AL180</f>
        <v>0</v>
      </c>
      <c r="BI178" s="1">
        <f>Results!AM180</f>
        <v>0</v>
      </c>
      <c r="BJ178" s="1" t="e">
        <f>IF(OR(ISNA('Reaction Information'!$D$5), $N178 = "", $D$27 = FALSE, 'Reaction Information'!$D$5 = ""), NA(), 24.465)</f>
        <v>#N/A</v>
      </c>
      <c r="BK178" s="1" t="e">
        <f>IF(OR(ISNA('Reaction Information'!$D$9), $N178 = "", $D$27 = FALSE, 'Reaction Information'!$D$9 = ""), NA(), 24.465)</f>
        <v>#N/A</v>
      </c>
      <c r="BL178" s="8">
        <f t="shared" si="55"/>
        <v>12.579798085487637</v>
      </c>
      <c r="BM178" s="8">
        <f>IF(OR(ISBLANK(Input!$X$4),$D$27=FALSE),NA(),('Reaction Information'!$J$13/10+'Reaction Information'!$K$13*100/(Calculations!$C$12+Calculations!$M178)+('Reaction Information'!$L$13+'Reaction Information'!$M$13*10^4/(Calculations!$C$12+Calculations!$M178))/(Calculations!$O178-Calculations!$C$13) -calculateOmega(Calculations!$M178,Calculations!$N178,Calculations!$Q178,'Reaction Information'!$C$13,'Reaction Information'!$P$13*10^5,'Reaction Information'!$Q$13)*Calculations!$U178*10^-6 + (1/$S178 - 1)*calculate_domegadP(Calculations!$M178,Calculations!$N178,Calculations!$Q178,'Reaction Information'!$C$13,'Reaction Information'!$P$13*10^5,'Reaction Information'!$Q$13,$D$20,$D$19=3))*41.84)</f>
        <v>29.795874366016704</v>
      </c>
      <c r="BN178" s="8" t="e">
        <f>IF(OR(ISBLANK(Input!$AA$4),$D$27=FALSE),NA(),('Reaction Information'!$J$17/10+'Reaction Information'!$K$17*100/(Calculations!$C$12+Calculations!$M178)+('Reaction Information'!$L$17+'Reaction Information'!$M$17*10000/(Calculations!$C$12+Calculations!$M178))/(Calculations!$O178-Calculations!$C$13)-calculateOmega(Calculations!M178,Calculations!N178,Calculations!Q178,'Reaction Information'!$C$17,'Reaction Information'!$P$17*10^5,'Reaction Information'!$Q$17)*Calculations!$U178*10^-6 + (1/$S178 - 1)*calculate_domegadP(Calculations!M178,Calculations!N178,Calculations!Q178,'Reaction Information'!$C$17,'Reaction Information'!$P$17*10^5,'Reaction Information'!$Q$17,$D$20,$D$19=3))*41.84)</f>
        <v>#N/A</v>
      </c>
      <c r="BO178" s="8" t="e">
        <f>IF(OR(ISBLANK(Input!$AD$4),$D$27=FALSE),NA(),('Reaction Information'!$J$21/10+'Reaction Information'!$K$21*100/(Calculations!$C$12+Calculations!$M178)+('Reaction Information'!$L$21+'Reaction Information'!$M$21*10000/(Calculations!$C$12+Calculations!$M178))/(Calculations!$O178-Calculations!$C$13)-calculateOmega(Calculations!M178,Calculations!N178,Calculations!Q178,'Reaction Information'!$C$21,'Reaction Information'!$P$21*10^5,'Reaction Information'!$Q$21)*Calculations!$U178*10^-6 + (1/$S178 - 1)*calculate_domegadP(Calculations!M178,Calculations!N178,Calculations!Q178,'Reaction Information'!$C$21,'Reaction Information'!$P$21*10^5,'Reaction Information'!$Q$21,$D$20,$D$19=3))*41.84)</f>
        <v>#N/A</v>
      </c>
      <c r="BP178" s="8" t="e">
        <f>IF(OR(ISBLANK(Input!$AG$4),$D$27=FALSE),NA(),('Reaction Information'!$J$25/10+'Reaction Information'!$K$25*100/(Calculations!$C$12+Calculations!$M178)+('Reaction Information'!$L$25+'Reaction Information'!$M$25*10000/(Calculations!$C$12+Calculations!$M178))/(Calculations!$O178-Calculations!$C$13)-calculateOmega(Calculations!M178,Calculations!N178,Calculations!Q178,'Reaction Information'!$C$25,'Reaction Information'!$P$25*10^5,'Reaction Information'!$Q$25)*Calculations!$U178*10^-6 + (1/$S178 - 1)*calculate_domegadP(Calculations!M178,Calculations!N178,Calculations!Q178,'Reaction Information'!$C$25,'Reaction Information'!$P$25*10^5,'Reaction Information'!$Q$25,$D$20,$D$19=3))*41.84)</f>
        <v>#N/A</v>
      </c>
      <c r="BQ178" s="8" t="e">
        <f>IF(OR(ISBLANK(Input!$AJ$4),$D$27=FALSE),NA(),('Reaction Information'!$J$29/10+'Reaction Information'!$K$29*100/(Calculations!$C$12+Calculations!$M178)+('Reaction Information'!$L$29+'Reaction Information'!$M$29*10000/(Calculations!$C$12+Calculations!$M178))/(Calculations!$O178-Calculations!$C$13)-calculateOmega(Calculations!M178,Calculations!N178,Calculations!Q178,'Reaction Information'!$C$29,'Reaction Information'!$P$29*10^5,'Reaction Information'!$Q$29)*Calculations!$U178*10^-6 + (1/$S178 - 1)*calculate_domegadP(Calculations!M178,Calculations!N178,Calculations!Q178,'Reaction Information'!$C$29,'Reaction Information'!$P$29*10^5,'Reaction Information'!$Q$29,$D$20,$D$19=3))*41.84)</f>
        <v>#N/A</v>
      </c>
      <c r="BR178" s="8" t="e">
        <f>IF(OR(ISBLANK(Input!$AM$4),$D$27=FALSE),NA(),('Reaction Information'!$J$33/10+'Reaction Information'!$K$33*100/(Calculations!$C$12+Calculations!$M178)+('Reaction Information'!$L$33+'Reaction Information'!$M$33*10000/(Calculations!$C$12+Calculations!$M178))/(Calculations!$O178-Calculations!$C$13)-calculateOmega(Calculations!M178,Calculations!N178,Calculations!Q178,'Reaction Information'!$C$33,'Reaction Information'!$P$33*10^5,'Reaction Information'!$Q$33)*Calculations!$U178*10^-6 + (1/$S178 - 1)*calculate_domegadP(Calculations!M178,Calculations!N178,Calculations!Q178,'Reaction Information'!$C$33,'Reaction Information'!$P$33*10^5,'Reaction Information'!$Q$33,$D$20,$D$19=3))*41.84)</f>
        <v>#N/A</v>
      </c>
      <c r="BS178" s="1">
        <f>Results!AW180</f>
        <v>0</v>
      </c>
      <c r="BT178" s="1">
        <f>Results!AX180</f>
        <v>0</v>
      </c>
      <c r="BU178" s="1">
        <f>Results!AY180</f>
        <v>0</v>
      </c>
      <c r="BV178" s="1">
        <f>Results!AZ180</f>
        <v>0</v>
      </c>
      <c r="BW178" s="1" t="e">
        <f>IF(OR(ISNA('Reaction Information'!$D$38), $N178 = "", $D$27 = FALSE, 'Reaction Information'!$D$38 = ""), NA(), 24.465)</f>
        <v>#N/A</v>
      </c>
      <c r="BX178" s="1" t="e">
        <f>IF(OR(ISNA('Reaction Information'!$D$42), $N178 = "", $D$27 = FALSE, 'Reaction Information'!$D$42 = ""), NA(), 24.465)</f>
        <v>#N/A</v>
      </c>
      <c r="BY178" s="8" t="e">
        <f t="shared" si="56"/>
        <v>#N/A</v>
      </c>
      <c r="BZ178" s="8">
        <f>IF(OR(ISBLANK(Input!$BK$4),$D$27=FALSE),NA(),('Reaction Information'!$J$46/10+'Reaction Information'!$K$46*100/(Calculations!$C$12+Calculations!$M178)+('Reaction Information'!$L$46+'Reaction Information'!$M$46*10000/(Calculations!$C$12+Calculations!$M178))/(Calculations!$O178-Calculations!$C$13)-calculateOmega(Calculations!M178,Calculations!N178,Calculations!Q178,'Reaction Information'!$C$46,'Reaction Information'!$P$46*10^5,'Reaction Information'!$Q$46)*Calculations!$U178*10^-6 + (1/$S178 - 1)*calculate_domegadP(Calculations!M178,Calculations!N178,Calculations!Q178,'Reaction Information'!$C$46,'Reaction Information'!$P$46*10^5,'Reaction Information'!$Q$46,$D$20,$D$19=3))*41.84)</f>
        <v>0</v>
      </c>
      <c r="CA178" s="8">
        <f>IF(OR(ISBLANK(Input!$BN$4),$D$27=FALSE),NA(),('Reaction Information'!$J$50/10+'Reaction Information'!$K$50*100/(Calculations!$C$12+Calculations!$M178)+('Reaction Information'!$L$50+'Reaction Information'!$M$50*10000/(Calculations!$C$12+Calculations!$M178))/(Calculations!$O178-Calculations!$C$13)-calculateOmega(Calculations!M178,Calculations!N178,Calculations!Q178,'Reaction Information'!$C$50,'Reaction Information'!$P$50*10^5,'Reaction Information'!$Q$50)*Calculations!$U178*10^-6 + (1/$S178 - 1)*calculate_domegadP(Calculations!M178,Calculations!N178,Calculations!Q178,'Reaction Information'!$C$50,'Reaction Information'!$P$50*10^5,'Reaction Information'!$Q$50,$D$20,$D$19=3))*41.84)</f>
        <v>31.50378639424693</v>
      </c>
      <c r="CB178" s="8" t="e">
        <f>IF(OR(ISBLANK(Input!$BQ$4),$D$27=FALSE),NA(),('Reaction Information'!$J$54/10+'Reaction Information'!$K$54*100/(Calculations!$C$12+Calculations!$M178)+('Reaction Information'!$L$54+'Reaction Information'!$M$54*10000/(Calculations!$C$12+Calculations!$M178))/(Calculations!$O178-Calculations!$C$13)-calculateOmega(Calculations!M178,Calculations!N178,Calculations!Q178,'Reaction Information'!$C$54,'Reaction Information'!$P$54*10^5,'Reaction Information'!$Q$54)*Calculations!$U178*10^-6 + (1/$S178 - 1)*calculate_domegadP(Calculations!M178,Calculations!N178,Calculations!Q178,'Reaction Information'!$C$54,'Reaction Information'!$P$54*10^5,'Reaction Information'!$Q$54,$D$20,$D$19=3))*41.84)</f>
        <v>#N/A</v>
      </c>
      <c r="CC178" s="8" t="e">
        <f>IF(OR(ISBLANK(Input!$BT$4),$D$27=FALSE),NA(),('Reaction Information'!$J$58/10+'Reaction Information'!$K$58*100/(Calculations!$C$12+Calculations!$M178)+('Reaction Information'!$L$58+'Reaction Information'!$M$58*10000/(Calculations!$C$12+Calculations!$M178))/(Calculations!$O178-Calculations!$C$13)-calculateOmega(Calculations!M178,Calculations!N178,Calculations!Q178,'Reaction Information'!$C$58,'Reaction Information'!$P$58*10^5,'Reaction Information'!$Q$58)*Calculations!$U178*10^-6 + (1/$S178 - 1)*calculate_domegadP(Calculations!M178,Calculations!N178,Calculations!Q178,'Reaction Information'!$C$58,'Reaction Information'!$P$58*10^5,'Reaction Information'!$Q$58,$D$20,$D$19=3))*41.84)</f>
        <v>#N/A</v>
      </c>
      <c r="CD178" s="8" t="e">
        <f>IF(OR(ISBLANK(Input!$BW$4),$D$27=FALSE),NA(),('Reaction Information'!$J$62/10+'Reaction Information'!$K$62*100/(Calculations!$C$12+Calculations!$M178)+('Reaction Information'!$L$62+'Reaction Information'!$M$62*10000/(Calculations!$C$12+Calculations!$M178))/(Calculations!$O178-Calculations!$C$13)-calculateOmega(Calculations!M178,Calculations!N178,Calculations!Q178,'Reaction Information'!$C$62,'Reaction Information'!$P$62*10^5,'Reaction Information'!$Q$62)*Calculations!$U178*10^-6 + (1/$S178 - 1)*calculate_domegadP(Calculations!M178,Calculations!N178,Calculations!Q178,'Reaction Information'!$C$62,'Reaction Information'!$P$62*10^5,'Reaction Information'!$Q$62,$D$20,$D$19=3))*41.84)</f>
        <v>#N/A</v>
      </c>
      <c r="CE178" s="8" t="e">
        <f>IF(OR(ISBLANK(Input!$BZ$4),$D$27=FALSE),NA(),('Reaction Information'!$J$66/10+'Reaction Information'!$K$66*100/(Calculations!$C$12+Calculations!$M178)+('Reaction Information'!$L$66+'Reaction Information'!$M$66*10000/(Calculations!$C$12+Calculations!$M178))/(Calculations!$O178-Calculations!$C$13)-calculateOmega(Calculations!M178,Calculations!N178,Calculations!Q178,'Reaction Information'!$C$66,'Reaction Information'!$P$66*10^5,'Reaction Information'!$Q$66)*Calculations!$U178*10^-6 + (1/$S178 - 1)*calculate_domegadP(Calculations!M178,Calculations!N178,Calculations!Q178,'Reaction Information'!$C$66,'Reaction Information'!$P$66*10^5,'Reaction Information'!$Q$66,$D$20,$D$19=3))*41.84)</f>
        <v>#N/A</v>
      </c>
      <c r="CF178" s="31">
        <f>(BS178*Input!$AO$4+BT178*Input!$AR$4+BU178*Input!$AU$4+BV178*Input!$AX$4+IF(ISNA(BW178),0,BW178*Input!$BA$4)+IF(ISNA(BX178),0,BX178*Input!$BD$4)+IF(ISNA(BY178),0,BY178*Input!$BG$4)+IF(ISNA(BZ178),0,BZ178*Input!$BJ$4)+IF(ISNA(CA178),0,CA178*Input!$BM$4)+IF(ISNA(CB178),0,CB178*Input!$BP$4)+IF(ISNA(CC178),0,CC178*Input!$BS$4)+IF(ISNA(CD178),0,CD178*Input!$BV$4)+IF(ISNA(CE178),0,CE178*Input!$BY$4))-(BF178*Input!$B$4+BG178*Input!$E$4+BH178*Input!$H$4+BI178*Input!$K$4+IF(ISNA(BJ178),0,BJ178*Input!$N$4)+IF(ISNA(BK178),0,BK178*Input!$Q$4)+IF(ISNA(BL178),0,BL178*Input!$T$4)+IF(ISNA(BM178),0,BM178*Input!$W$4)+IF(ISNA(BN178),0,BN178*Input!$Z$4)+IF(ISNA(BO178),0,BO178*Input!$AC$4)+IF(ISNA(BP178),0,BP178*Input!$AF$4)+IF(ISNA(BQ178),0,BQ178*Input!$AI$4)+IF(ISNA(BR178),0,BR178*Input!$AL$4))</f>
        <v>-10.871886057257413</v>
      </c>
      <c r="CG178" s="1">
        <f t="shared" si="50"/>
        <v>650</v>
      </c>
      <c r="CH178" s="46">
        <f t="shared" si="51"/>
        <v>60000</v>
      </c>
      <c r="CI178" s="1"/>
    </row>
    <row r="179" spans="1:87" x14ac:dyDescent="0.2">
      <c r="A179" s="1"/>
      <c r="B179" s="1"/>
      <c r="C179" s="1"/>
      <c r="D179" s="1"/>
      <c r="E179" s="1"/>
      <c r="F179" s="2">
        <v>174</v>
      </c>
      <c r="G179" s="1" t="str">
        <f>IF(ISBLANK(Input!CB179), "", Input!CB179*1000)</f>
        <v/>
      </c>
      <c r="H179" s="1" t="str">
        <f>IF(ISBLANK(Input!CC179), "", Input!CC179)</f>
        <v/>
      </c>
      <c r="I179" s="1">
        <f>IF(Input!$CF$5 + Input!$CF$6*(FLOOR((Calculations!$F179-1)/(FLOOR((Input!$CF$12-Input!$CF$10)/Input!$CF$11,1)+1),1)) &gt; Input!$CF$7, "", (Input!$CF$5 + Input!$CF$6*(FLOOR((Calculations!$F179-1)/(FLOOR((Input!$CF$12-Input!$CF$10)/Input!$CF$11,1)+1),1)))*1000)</f>
        <v>60000</v>
      </c>
      <c r="J179" s="1">
        <f>IF(Calculations!I179 = "", "", Input!$CF$10 + Input!$CF$11*(Calculations!$F179-1) - (FLOOR((Input!$CF$12-Input!$CF$10)/Input!$CF$11,1)+1)*Input!$CF$11*FLOOR((Calculations!$F179-1)/(FLOOR((Input!$CF$12-Input!$CF$10)/Input!$CF$11,1)+1),1))</f>
        <v>700</v>
      </c>
      <c r="K179" s="8" t="str">
        <f t="shared" si="52"/>
        <v/>
      </c>
      <c r="L179" s="117" t="str">
        <f>IF(OR(Input!$CJ$5 + Input!$CJ$6*(Calculations!F179-1) &gt; Input!$CJ$7, Input!$CJ$5 + Input!$CJ$6*(Calculations!F179-1) &gt; 350), "", Input!$CJ$5 + Input!$CJ$6*(Calculations!F179-1))</f>
        <v/>
      </c>
      <c r="M179" s="1">
        <f t="shared" si="42"/>
        <v>60000</v>
      </c>
      <c r="N179" s="1">
        <f t="shared" si="43"/>
        <v>700</v>
      </c>
      <c r="O179" s="1">
        <f t="shared" si="53"/>
        <v>973.15</v>
      </c>
      <c r="P179" s="1" t="e">
        <f>IF(OR($D$20=3,AND($D$21=TRUE,M179&lt;1000)),INDEX('Water Density'!$C$6:$CX$120,MATCH(Calculations!N179,'Water Density'!$B$6:$B$120),MATCH(Calculations!M179/1000,'Water Density'!$C$5:$CX$5)),NA())</f>
        <v>#N/A</v>
      </c>
      <c r="Q179" s="182">
        <f>IF(OR($D$20=3,AND($D$21=TRUE,M179&lt;1000)), IF(P179&lt;&gt;0,P179,NA()), calculateDensity(M179,N179,$D$20,0.01,$D$19 = 3))</f>
        <v>1.4195422088256477</v>
      </c>
      <c r="R179" s="1" t="e">
        <f>IF($D$22=5,INDEX('Dielectric Constant'!$C$6:$CX$120,MATCH(Calculations!N179,'Dielectric Constant'!$B$6:$B$120),MATCH(Calculations!M179/1000,'Dielectric Constant'!$C$5:$CX$5)),NA())</f>
        <v>#N/A</v>
      </c>
      <c r="S179" s="58">
        <f>IF($D$22=5, IF(R179&lt;&gt;0,R179,NA()), IF(AND($D$23,M179&lt;=5000,$D$19 &lt;&gt; 3),calculateEpsilon(Q179,N179,1,FALSE),calculateEpsilon(Q179,N179,$D$22,$D$19 = 3)))</f>
        <v>29.456617061742197</v>
      </c>
      <c r="T179" s="1" t="e">
        <f>IF($D$24=3,INDEX('Water Free Energy'!$C$6:$CX$120,MATCH(Calculations!N179,'Water Free Energy'!$B$6:$B$120),MATCH(Calculations!M179/1000,'Water Free Energy'!$C$5:$CX$5)),NA())</f>
        <v>#N/A</v>
      </c>
      <c r="U179" s="179">
        <f>IF($D$27,calculateQ(M179,N179,Q179,$D$20,$D$22,$D$19=3)*10^6,NA())</f>
        <v>0.11487343752364697</v>
      </c>
      <c r="V179"/>
      <c r="W179" s="2">
        <f t="shared" si="44"/>
        <v>60000</v>
      </c>
      <c r="X179" s="1">
        <f t="shared" si="45"/>
        <v>700</v>
      </c>
      <c r="Y179" s="1">
        <f>Results!F181</f>
        <v>0</v>
      </c>
      <c r="Z179" s="1">
        <f>Results!G181</f>
        <v>0</v>
      </c>
      <c r="AA179" s="1">
        <f>Results!H181</f>
        <v>0</v>
      </c>
      <c r="AB179" s="1">
        <f>Results!I181</f>
        <v>0</v>
      </c>
      <c r="AC179" s="1" t="e">
        <f>IF(ISBLANK(Input!$O$4),NA(),'Reaction Information'!$E$5-'Reaction Information'!$G$5*(Calculations!$O179-Calculations!$C$8)+'Reaction Information'!$I$5*(Calculations!$O179-Calculations!$C$8-Calculations!$O179*LN(Calculations!$O179/Calculations!$C$8))+'Reaction Information'!$J$5*0.001/2*(2*Calculations!$O179*Calculations!$C$8-Calculations!$O179^2-Calculations!$C$8^2) + 'Reaction Information'!$K$5*100000*(Calculations!$O179^2 + Calculations!$C$8^2 - 2*Calculations!$O179*Calculations!$C$8)/(2*Calculations!$O179*Calculations!$C$8^2))</f>
        <v>#N/A</v>
      </c>
      <c r="AD179" s="8" t="e">
        <f>IF(ISBLANK(Input!$R$4),NA(),'Reaction Information'!$E$9-'Reaction Information'!$G$9*(Calculations!$O179-Calculations!$C$8)+'Reaction Information'!$I$9*(Calculations!$O179-Calculations!$C$8-Calculations!$O179*LN(Calculations!$O179/Calculations!$C$8))+'Reaction Information'!$J$9*0.001/2*(2*Calculations!$O179*Calculations!$C$8-Calculations!$O179^2-Calculations!$C$8^2) + 'Reaction Information'!$K$9*100000*(Calculations!$O179^2 + Calculations!$C$8^2 - 2*Calculations!$O179*Calculations!$C$8)/(2*Calculations!$O179*Calculations!$C$8^2))</f>
        <v>#N/A</v>
      </c>
      <c r="AE179" s="8">
        <f>IF(AE$5="H2O",IF($D$24=3,IF(T179=0,NA(),T179),calculateGibbsOfWater(M179,N179,$D$24,$D$20,$D$19=3)),NA())</f>
        <v>-52689.220103081818</v>
      </c>
      <c r="AF179" s="8">
        <f>IF(ISBLANK(Input!$X$4),NA(),'Reaction Information'!$E$13-'Reaction Information'!$G$13*(Calculations!O179-Calculations!$C$8)-'Reaction Information'!$N$13*(Calculations!O179*LN(Calculations!O179/Calculations!$C$8)-Calculations!O179+Calculations!$C$8)-'Reaction Information'!$O$13*10^4*(((1/(Calculations!O179-Calculations!$C$13))-(1/(Calculations!$C$8-Calculations!$C$13)))*((Calculations!$C$13-Calculations!O179)/(Calculations!$C$13))-(Calculations!O179/(Calculations!$C$13*Calculations!$C$13))*LN((Calculations!$C$8*(Calculations!O179-Calculations!$C$13))/(Calculations!O179*(Calculations!$C$8-Calculations!$C$13))))+'Reaction Information'!$J$13*10^-1*(Calculations!M179-Calculations!$C$9)+'Reaction Information'!$K$13*10^2*LN((Calculations!$C$12+Calculations!M179)/(Calculations!$C$12+Calculations!$C$9))+(1/(Calculations!O179-Calculations!$C$13))*('Reaction Information'!$L$13*(Calculations!M179-Calculations!$C$9)+'Reaction Information'!$M$13*10^4*LN((Calculations!$C$12+Calculations!M179)/(Calculations!$C$12+Calculations!$C$9)))+calculateOmega(Calculations!M179,Calculations!N179,Calculations!Q179,'Reaction Information'!$C$13,'Reaction Information'!$P$13*10^5,'Reaction Information'!$Q$13)*((1/Calculations!S179)-1)-'Reaction Information'!$P$13*10^5*((1/Calculations!$C$10)-1)+'Reaction Information'!$P$13*10^5*Calculations!$C$14*(Calculations!O179-Calculations!$C$8))</f>
        <v>-76523.396758386341</v>
      </c>
      <c r="AG179" s="8" t="e">
        <f>IF(ISBLANK(Input!$AA$4),NA(),'Reaction Information'!$E$17-'Reaction Information'!$G$17*(Calculations!$O179-Calculations!$C$8)-'Reaction Information'!$N$17*(Calculations!$O179*LN(Calculations!$O179/Calculations!$C$8)-Calculations!$O179+Calculations!$C$8)-'Reaction Information'!$O$17*10^4*(((1/(Calculations!$O179-Calculations!$C$13))-(1/(Calculations!$C$8-Calculations!$C$13)))*((Calculations!$C$13-Calculations!$O179)/(Calculations!$C$13))-(Calculations!$O179/(Calculations!$C$13*Calculations!$C$13))*LN((Calculations!$C$8*(Calculations!$O179-Calculations!$C$13))/(Calculations!$O179*(Calculations!$C$8-Calculations!$C$13))))+'Reaction Information'!$J$17*10^-1*(Calculations!$M179-Calculations!$C$9)+'Reaction Information'!$K$17*10^2*LN((Calculations!$C$12+Calculations!$M179)/(Calculations!$C$12+Calculations!$C$9))+(1/(Calculations!$O179-Calculations!$C$13))*('Reaction Information'!$L$17*(Calculations!$M179-Calculations!$C$9)+'Reaction Information'!$M$17*10^4*LN((Calculations!$C$12+Calculations!$M179)/(Calculations!$C$12+Calculations!$C$9)))+calculateOmega(Calculations!M179,Calculations!N179,Calculations!Q179,'Reaction Information'!$C$17,'Reaction Information'!$P$17*10^5,'Reaction Information'!$Q$17)*((1/Calculations!$S179)-1)-'Reaction Information'!$P$17*10^5*((1/Calculations!$C$10)-1)+'Reaction Information'!$P$17*10^5*Calculations!$C$14*(Calculations!$O179-Calculations!$C$8))</f>
        <v>#N/A</v>
      </c>
      <c r="AH179" s="8" t="e">
        <f>IF(ISBLANK(Input!$AD$4),NA(),'Reaction Information'!$E$21-'Reaction Information'!$G$21*(Calculations!$O179-Calculations!$C$8)-'Reaction Information'!$N$21*(Calculations!$O179*LN(Calculations!$O179/Calculations!$C$8)-Calculations!$O179+Calculations!$C$8)-'Reaction Information'!$O$21*10^4*(((1/(Calculations!$O179-Calculations!$C$13))-(1/(Calculations!$C$8-Calculations!$C$13)))*((Calculations!$C$13-Calculations!$O179)/(Calculations!$C$13))-(Calculations!$O179/(Calculations!$C$13*Calculations!$C$13))*LN((Calculations!$C$8*(Calculations!$O179-Calculations!$C$13))/(Calculations!$O179*(Calculations!$C$8-Calculations!$C$13))))+'Reaction Information'!$J$21*10^-1*(Calculations!$M179-Calculations!$C$9)+'Reaction Information'!$K$21*10^2*LN((Calculations!$C$12+Calculations!$M179)/(Calculations!$C$12+Calculations!$C$9))+(1/(Calculations!$O179-Calculations!$C$13))*('Reaction Information'!$L$21*(Calculations!$M179-Calculations!$C$9)+'Reaction Information'!$M$21*10^4*LN((Calculations!$C$12+Calculations!$M179)/(Calculations!$C$12+Calculations!$C$9)))+calculateOmega(Calculations!M179,Calculations!N179,Calculations!Q179,'Reaction Information'!$C$21,'Reaction Information'!$P$21*10^5,'Reaction Information'!$Q$21)*((1/Calculations!$S179)-1)-'Reaction Information'!$P$21*10^5*((1/Calculations!$C$10)-1)+'Reaction Information'!$P$21*10^5*Calculations!$C$14*(Calculations!$O179-Calculations!$C$8))</f>
        <v>#N/A</v>
      </c>
      <c r="AI179" s="8" t="e">
        <f>IF(ISBLANK(Input!$AG$4),NA(),'Reaction Information'!$E$25-'Reaction Information'!$G$25*(Calculations!$O179-Calculations!$C$8)-'Reaction Information'!$N$25*(Calculations!$O179*LN(Calculations!$O179/Calculations!$C$8)-Calculations!$O179+Calculations!$C$8)-'Reaction Information'!$O$25*10^4*(((1/(Calculations!$O179-Calculations!$C$13))-(1/(Calculations!$C$8-Calculations!$C$13)))*((Calculations!$C$13-Calculations!$O179)/(Calculations!$C$13))-(Calculations!$O179/(Calculations!$C$13*Calculations!$C$13))*LN((Calculations!$C$8*(Calculations!$O179-Calculations!$C$13))/(Calculations!$O179*(Calculations!$C$8-Calculations!$C$13))))+'Reaction Information'!$J$25*10^-1*(Calculations!$M179-Calculations!$C$9)+'Reaction Information'!$K$25*10^2*LN((Calculations!$C$12+Calculations!$M179)/(Calculations!$C$12+Calculations!$C$9))+(1/(Calculations!$O179-Calculations!$C$13))*('Reaction Information'!$L$25*(Calculations!$M179-Calculations!$C$9)+'Reaction Information'!$M$25*10^4*LN((Calculations!$C$12+Calculations!$M179)/(Calculations!$C$12+Calculations!$C$9)))+calculateOmega(Calculations!M179,Calculations!N179,Calculations!Q179,'Reaction Information'!$C$25,'Reaction Information'!$P$25*10^5,'Reaction Information'!$Q$25)*((1/Calculations!$S179)-1)-'Reaction Information'!$P$25*10^5*((1/Calculations!$C$10)-1)+'Reaction Information'!$P$25*10^5*Calculations!$C$14*(Calculations!$O179-Calculations!$C$8))</f>
        <v>#N/A</v>
      </c>
      <c r="AJ179" s="8" t="e">
        <f>IF(ISBLANK(Input!$AJ$4),NA(),'Reaction Information'!$E$29-'Reaction Information'!$G$29*(Calculations!$O179-Calculations!$C$8)-'Reaction Information'!$N$29*(Calculations!$O179*LN(Calculations!$O179/Calculations!$C$8)-Calculations!$O179+Calculations!$C$8)-'Reaction Information'!$O$29*10^4*(((1/(Calculations!$O179-Calculations!$C$13))-(1/(Calculations!$C$8-Calculations!$C$13)))*((Calculations!$C$13-Calculations!$O179)/(Calculations!$C$13))-(Calculations!$O179/(Calculations!$C$13*Calculations!$C$13))*LN((Calculations!$C$8*(Calculations!$O179-Calculations!$C$13))/(Calculations!$O179*(Calculations!$C$8-Calculations!$C$13))))+'Reaction Information'!$J$29*10^-1*(Calculations!$M179-Calculations!$C$9)+'Reaction Information'!$K$29*10^2*LN((Calculations!$C$12+Calculations!$M179)/(Calculations!$C$12+Calculations!$C$9))+(1/(Calculations!$O179-Calculations!$C$13))*('Reaction Information'!$L$29*(Calculations!$M179-Calculations!$C$9)+'Reaction Information'!$M$29*10^4*LN((Calculations!$C$12+Calculations!$M179)/(Calculations!$C$12+Calculations!$C$9)))+calculateOmega(Calculations!M179,Calculations!N179,Calculations!Q179,'Reaction Information'!$C$29,'Reaction Information'!$P$29*10^5,'Reaction Information'!$Q$29)*((1/Calculations!$S179)-1)-'Reaction Information'!$P$29*10^5*((1/Calculations!$C$10)-1)+'Reaction Information'!$P$29*10^5*Calculations!$C$14*(Calculations!$O179-Calculations!$C$8))</f>
        <v>#N/A</v>
      </c>
      <c r="AK179" s="8" t="e">
        <f>IF(ISBLANK(Input!$AM$4),NA(),'Reaction Information'!$E$33-'Reaction Information'!$G$33*(Calculations!$O179-Calculations!$C$8)-'Reaction Information'!$N$33*(Calculations!$O179*LN(Calculations!$O179/Calculations!$C$8)-Calculations!$O179+Calculations!$C$8)-'Reaction Information'!$O$33*10^4*(((1/(Calculations!$O179-Calculations!$C$13))-(1/(Calculations!$C$8-Calculations!$C$13)))*((Calculations!$C$13-Calculations!$O179)/(Calculations!$C$13))-(Calculations!$O179/(Calculations!$C$13*Calculations!$C$13))*LN((Calculations!$C$8*(Calculations!$O179-Calculations!$C$13))/(Calculations!$O179*(Calculations!$C$8-Calculations!$C$13))))+'Reaction Information'!$J$33*10^-1*(Calculations!$M179-Calculations!$C$9)+'Reaction Information'!$K$33*10^2*LN((Calculations!$C$12+Calculations!$M179)/(Calculations!$C$12+Calculations!$C$9))+(1/(Calculations!$O179-Calculations!$C$13))*('Reaction Information'!$L$33*(Calculations!$M179-Calculations!$C$9)+'Reaction Information'!$M$33*10^4*LN((Calculations!$C$12+Calculations!$M179)/(Calculations!$C$12+Calculations!$C$9)))+calculateOmega(Calculations!M179,Calculations!N179,Calculations!Q179,'Reaction Information'!$C$33,'Reaction Information'!$P$33*10^5,'Reaction Information'!$Q$33)*((1/Calculations!$S179)-1)-'Reaction Information'!$P$33*10^5*((1/Calculations!$C$10)-1)+'Reaction Information'!$P$33*10^5*Calculations!$C$14*(Calculations!$O179-Calculations!$C$8))</f>
        <v>#N/A</v>
      </c>
      <c r="AL179" s="1">
        <f>Results!S181</f>
        <v>0</v>
      </c>
      <c r="AM179" s="1">
        <f>Results!T181</f>
        <v>0</v>
      </c>
      <c r="AN179" s="1">
        <f>Results!U181</f>
        <v>0</v>
      </c>
      <c r="AO179" s="1">
        <f>Results!V181</f>
        <v>0</v>
      </c>
      <c r="AP179" s="8" t="e">
        <f>IF(ISBLANK(Input!$BB$4),NA(),'Reaction Information'!$E$38-'Reaction Information'!$G$38*(Calculations!$O179-Calculations!$C$8)+'Reaction Information'!$I$38*(Calculations!$O179-Calculations!$C$8-Calculations!$O179*LN(Calculations!$O179/Calculations!$C$8))+'Reaction Information'!$J$38*0.001/2*(2*Calculations!$O179*Calculations!$C$8-Calculations!$O179^2-Calculations!$C$8^2) + 'Reaction Information'!$K$38*100000*(Calculations!$O179^2 + Calculations!$C$8^2 - 2*Calculations!$O179*Calculations!$C$8)/(2*Calculations!$O179*Calculations!$C$8^2))</f>
        <v>#N/A</v>
      </c>
      <c r="AQ179" s="8" t="e">
        <f>IF(ISBLANK(Input!$BE$4),NA(),'Reaction Information'!$E$42-'Reaction Information'!$G$42*(Calculations!$O179-Calculations!$C$8)+'Reaction Information'!$I$42*(Calculations!$O179-Calculations!$C$8-Calculations!$O179*LN(Calculations!$O179/Calculations!$C$8))+'Reaction Information'!$J$42*0.001/2*(2*Calculations!$O179*Calculations!$C$8-Calculations!$O179^2-Calculations!$C$8^2) + 'Reaction Information'!$K$42*100000*(Calculations!$O179^2 + Calculations!$C$8^2 - 2*Calculations!$O179*Calculations!$C$8)/(2*Calculations!$O179*Calculations!$C$8^2))</f>
        <v>#N/A</v>
      </c>
      <c r="AR179" s="8" t="e">
        <f>IF(AR$5="H2O", IF($D$24=3,IF(T179=0,NA(),T179),calculateGibbsOfWater(M179,N179,$D$24,$D$20,$D$19=3)),NA())</f>
        <v>#N/A</v>
      </c>
      <c r="AS179" s="8">
        <f>IF(ISBLANK(Input!$BK$4),NA(),'Reaction Information'!$E$46-'Reaction Information'!$G$46*(Calculations!O179-Calculations!$C$8)-'Reaction Information'!$N$46*(Calculations!O179*LN(Calculations!O179/Calculations!$C$8)-Calculations!O179+Calculations!$C$8)-'Reaction Information'!$O$46*10^4*(((1/(Calculations!O179-Calculations!$C$13))-(1/(Calculations!$C$8-Calculations!$C$13)))*((Calculations!$C$13-Calculations!O179)/(Calculations!$C$13))-(Calculations!O179/(Calculations!$C$13*Calculations!$C$13))*LN((Calculations!$C$8*(Calculations!O179-Calculations!$C$13))/(Calculations!O179*(Calculations!$C$8-Calculations!$C$13))))+'Reaction Information'!$J$46*10^-1*(Calculations!$M179-Calculations!$C$9)+'Reaction Information'!$K$46*10^2*LN((Calculations!$C$12+Calculations!$M179)/(Calculations!$C$12+Calculations!$C$9))+(1/(Calculations!O179-Calculations!$C$13))*('Reaction Information'!$L$46*(Calculations!$M179-Calculations!$C$9)+'Reaction Information'!$M$46*10^4*LN((Calculations!$C$12+Calculations!$M179)/(Calculations!$C$12+Calculations!$C$9)))+calculateOmega(Calculations!M179,Calculations!N179,Calculations!Q179,'Reaction Information'!$C$46,'Reaction Information'!$P$46*10^5,'Reaction Information'!$Q$46)*((1/Calculations!S179)-1)-'Reaction Information'!$P$46*10^5*((1/Calculations!$C$10)-1)+'Reaction Information'!$P$46*10^5*Calculations!$C$14*(Calculations!O179-Calculations!$C$8))</f>
        <v>0</v>
      </c>
      <c r="AT179" s="8">
        <f>IF(ISBLANK(Input!$BN$4),NA(),'Reaction Information'!$E$50-'Reaction Information'!$G$50*(Calculations!O179-Calculations!$C$8)-'Reaction Information'!$N$50*(Calculations!O179*LN(Calculations!O179/Calculations!$C$8)-Calculations!O179+Calculations!$C$8)-'Reaction Information'!$O$50*10^4*(((1/(Calculations!O179-Calculations!$C$13))-(1/(Calculations!$C$8-Calculations!$C$13)))*((Calculations!$C$13-Calculations!O179)/(Calculations!$C$13))-(Calculations!O179/(Calculations!$C$13*Calculations!$C$13))*LN((Calculations!$C$8*(Calculations!O179-Calculations!$C$13))/(Calculations!O179*(Calculations!$C$8-Calculations!$C$13))))+'Reaction Information'!$J$50*10^-1*(Calculations!$M179-Calculations!$C$9)+'Reaction Information'!$K$50*10^2*LN((Calculations!$C$12+Calculations!$M179)/(Calculations!$C$12+Calculations!$C$9))+(1/(Calculations!O179-Calculations!$C$13))*('Reaction Information'!$L$50*(Calculations!$M179-Calculations!$C$9)+'Reaction Information'!$M$50*10^4*LN((Calculations!$C$12+Calculations!$M179)/(Calculations!$C$12+Calculations!$C$9)))+calculateOmega(Calculations!M179,Calculations!N179,Calculations!Q179,'Reaction Information'!$C$50,'Reaction Information'!$P$50*10^5,'Reaction Information'!$Q$50)*((1/Calculations!S179)-1)-'Reaction Information'!$P$50*10^5*((1/Calculations!$C$10)-1)+'Reaction Information'!$P$50*10^5*Calculations!$C$14*(Calculations!O179-Calculations!$C$8))</f>
        <v>-116802.46943960224</v>
      </c>
      <c r="AU179" s="8" t="e">
        <f>IF(ISBLANK(Input!$BQ$4),NA(),'Reaction Information'!$E$54-'Reaction Information'!$G$54*(Calculations!$O179-Calculations!$C$8)-'Reaction Information'!$N$54*(Calculations!$O179*LN(Calculations!$O179/Calculations!$C$8)-Calculations!$O179+Calculations!$C$8)-'Reaction Information'!$O$54*10^4*(((1/(Calculations!$O179-Calculations!$C$13))-(1/(Calculations!$C$8-Calculations!$C$13)))*((Calculations!$C$13-Calculations!$O179)/(Calculations!$C$13))-(Calculations!$O179/(Calculations!$C$13*Calculations!$C$13))*LN((Calculations!$C$8*(Calculations!$O179-Calculations!$C$13))/(Calculations!$O179*(Calculations!$C$8-Calculations!$C$13))))+'Reaction Information'!$J$54*10^-1*(Calculations!$M179-Calculations!$C$9)+'Reaction Information'!$K$54*10^2*LN((Calculations!$C$12+Calculations!$M179)/(Calculations!$C$12+Calculations!$C$9))+(1/(Calculations!$O179-Calculations!$C$13))*('Reaction Information'!$L$54*(Calculations!$M179-Calculations!$C$9)+'Reaction Information'!$M$54*10^4*LN((Calculations!$C$12+Calculations!$M179)/(Calculations!$C$12+Calculations!$C$9)))+calculateOmega(Calculations!M179,Calculations!N179,Calculations!Q179,'Reaction Information'!$C$54,'Reaction Information'!$P$54*10^5,'Reaction Information'!$Q$54)*((1/Calculations!$S179)-1)-'Reaction Information'!$P$54*10^5*((1/Calculations!$C$10)-1)+'Reaction Information'!$P$54*10^5*Calculations!$C$14*(Calculations!$O179-Calculations!$C$8))</f>
        <v>#N/A</v>
      </c>
      <c r="AV179" s="8" t="e">
        <f>IF(ISBLANK(Input!$BT$4),NA(),'Reaction Information'!$E$58-'Reaction Information'!$G$58*(Calculations!$O179-Calculations!$C$8)-'Reaction Information'!$N$58*(Calculations!$O179*LN(Calculations!$O179/Calculations!$C$8)-Calculations!$O179+Calculations!$C$8)-'Reaction Information'!$O$58*10^4*(((1/(Calculations!$O179-Calculations!$C$13))-(1/(Calculations!$C$8-Calculations!$C$13)))*((Calculations!$C$13-Calculations!$O179)/(Calculations!$C$13))-(Calculations!$O179/(Calculations!$C$13*Calculations!$C$13))*LN((Calculations!$C$8*(Calculations!$O179-Calculations!$C$13))/(Calculations!$O179*(Calculations!$C$8-Calculations!$C$13))))+'Reaction Information'!$J$58*10^-1*(Calculations!$M179-Calculations!$C$9)+'Reaction Information'!$K$58*10^2*LN((Calculations!$C$12+Calculations!$M179)/(Calculations!$C$12+Calculations!$C$9))+(1/(Calculations!$O179-Calculations!$C$13))*('Reaction Information'!$L$58*(Calculations!$M179-Calculations!$C$9)+'Reaction Information'!$M$58*10^4*LN((Calculations!$C$12+Calculations!$M179)/(Calculations!$C$12+Calculations!$C$9)))+calculateOmega(Calculations!M179,Calculations!N179,Calculations!Q179,'Reaction Information'!$C$58,'Reaction Information'!$P$58*10^5,'Reaction Information'!$Q$58)*((1/Calculations!$S179)-1)-'Reaction Information'!$P$58*10^5*((1/Calculations!$C$10)-1)+'Reaction Information'!$P$58*10^5*Calculations!$C$14*(Calculations!$O179-Calculations!$C$8))</f>
        <v>#N/A</v>
      </c>
      <c r="AW179" s="8" t="e">
        <f>IF(ISBLANK(Input!$BW$4),NA(),'Reaction Information'!$E$62-'Reaction Information'!$G$62*(Calculations!$O179-Calculations!$C$8)-'Reaction Information'!$N$62*(Calculations!$O179*LN(Calculations!$O179/Calculations!$C$8)-Calculations!$O179+Calculations!$C$8)-'Reaction Information'!$O$62*10^4*(((1/(Calculations!$O179-Calculations!$C$13))-(1/(Calculations!$C$8-Calculations!$C$13)))*((Calculations!$C$13-Calculations!$O179)/(Calculations!$C$13))-(Calculations!$O179/(Calculations!$C$13*Calculations!$C$13))*LN((Calculations!$C$8*(Calculations!$O179-Calculations!$C$13))/(Calculations!$O179*(Calculations!$C$8-Calculations!$C$13))))+'Reaction Information'!$J$62*10^-1*(Calculations!$M179-Calculations!$C$9)+'Reaction Information'!$K$62*10^2*LN((Calculations!$C$12+Calculations!$M179)/(Calculations!$C$12+Calculations!$C$9))+(1/(Calculations!$O179-Calculations!$C$13))*('Reaction Information'!$L$62*(Calculations!$M179-Calculations!$C$9)+'Reaction Information'!$M$62*10^4*LN((Calculations!$C$12+Calculations!$M179)/(Calculations!$C$12+Calculations!$C$9)))+calculateOmega(Calculations!M179,Calculations!N179,Calculations!Q179,'Reaction Information'!$C$62,'Reaction Information'!$P$62*10^5,'Reaction Information'!$Q$62)*((1/Calculations!$S179)-1)-'Reaction Information'!$P$62*10^5*((1/Calculations!$C$10)-1)+'Reaction Information'!$P$62*10^5*Calculations!$C$14*(Calculations!$O179-Calculations!$C$8))</f>
        <v>#N/A</v>
      </c>
      <c r="AX179" s="8" t="e">
        <f>IF(ISBLANK(Input!$BZ$4),NA(),'Reaction Information'!$E$66-'Reaction Information'!$G$66*(Calculations!$O179-Calculations!$C$8)-'Reaction Information'!$N$66*(Calculations!$O179*LN(Calculations!$O179/Calculations!$C$8)-Calculations!$O179+Calculations!$C$8)-'Reaction Information'!$O$66*10^4*(((1/(Calculations!$O179-Calculations!$C$13))-(1/(Calculations!$C$8-Calculations!$C$13)))*((Calculations!$C$13-Calculations!$O179)/(Calculations!$C$13))-(Calculations!$O179/(Calculations!$C$13*Calculations!$C$13))*LN((Calculations!$C$8*(Calculations!$O179-Calculations!$C$13))/(Calculations!$O179*(Calculations!$C$8-Calculations!$C$13))))+'Reaction Information'!$J$66*10^-1*(Calculations!$M179-Calculations!$C$9)+'Reaction Information'!$K$66*10^2*LN((Calculations!$C$12+Calculations!$M179)/(Calculations!$C$12+Calculations!$C$9))+(1/(Calculations!$O179-Calculations!$C$13))*('Reaction Information'!$L$66*(Calculations!$M179-Calculations!$C$9)+'Reaction Information'!$M$66*10^4*LN((Calculations!$C$12+Calculations!$M179)/(Calculations!$C$12+Calculations!$C$9)))+calculateOmega(Calculations!M179,Calculations!N179,Calculations!Q179,'Reaction Information'!$C$66,'Reaction Information'!$P$66*10^5,'Reaction Information'!$Q$66)*((1/Calculations!$S179)-1)-'Reaction Information'!$P$66*10^5*((1/Calculations!$C$10)-1)+'Reaction Information'!$P$66*10^5*Calculations!$C$14*(Calculations!$O179-Calculations!$C$8))</f>
        <v>#N/A</v>
      </c>
      <c r="AY179" s="31">
        <f>(AL179*Input!$AO$4+AM179*Input!$AR$4+AN179*Input!$AU$4+AO179*Input!$AX$4+IF(ISNA(AP179),0,AP179*Input!$BA$4)+IF(ISNA(AQ179),0,AQ179*Input!$BD$4)+IF(ISNA(AR179),0,AR179*Input!$BG$4)+IF(ISNA(AS179),0,AS179*Input!$BJ$4)+IF(ISNA(AT179),0,AT179*Input!$BM$4)+IF(ISNA(AU179),0,AU179*Input!$BP$4)+IF(ISNA(AV179),0,AV179*Input!$BS$4)+IF(ISNA(AW179),0,AW179*Input!$BV$4)+IF(ISNA(AX179),0,AX179*Input!$BY$4))-(Y179*Input!$B$4+Z179*Input!$E$4+AA179*Input!$H$4+AB179*Input!$K$4+IF(ISNA(AC179),0,AC179*Input!$N$4)+IF(ISNA(AD179),0,AD179*Input!$Q$4)+IF(ISNA(AE179),0,AE179*Input!$T$4)+IF(ISNA(AF179),0,AF179*Input!$W$4)+IF(ISNA(AG179),0,AG179*Input!$Z$4)+IF(ISNA(AH179),0,AH179*Input!$AC$4)+IF(ISNA(AI179),0,AI179*Input!$AF$4)+IF(ISNA(AJ179),0,AJ179*Input!$AI$4)+IF(ISNA(AK179),0,AK179*Input!$AL$4))</f>
        <v>12410.147421865913</v>
      </c>
      <c r="AZ179" s="42">
        <f t="shared" si="54"/>
        <v>-2.7888748583274805</v>
      </c>
      <c r="BA179" s="1">
        <f t="shared" si="46"/>
        <v>700</v>
      </c>
      <c r="BB179" s="46">
        <f t="shared" si="47"/>
        <v>60000</v>
      </c>
      <c r="BC179" s="1"/>
      <c r="BD179" s="2">
        <f t="shared" si="48"/>
        <v>60000</v>
      </c>
      <c r="BE179" s="46">
        <f t="shared" si="49"/>
        <v>700</v>
      </c>
      <c r="BF179" s="1">
        <f>Results!AJ181</f>
        <v>0</v>
      </c>
      <c r="BG179" s="1">
        <f>Results!AK181</f>
        <v>0</v>
      </c>
      <c r="BH179" s="1">
        <f>Results!AL181</f>
        <v>0</v>
      </c>
      <c r="BI179" s="1">
        <f>Results!AM181</f>
        <v>0</v>
      </c>
      <c r="BJ179" s="1" t="e">
        <f>IF(OR(ISNA('Reaction Information'!$D$5), $N179 = "", $D$27 = FALSE, 'Reaction Information'!$D$5 = ""), NA(), 24.465)</f>
        <v>#N/A</v>
      </c>
      <c r="BK179" s="1" t="e">
        <f>IF(OR(ISNA('Reaction Information'!$D$9), $N179 = "", $D$27 = FALSE, 'Reaction Information'!$D$9 = ""), NA(), 24.465)</f>
        <v>#N/A</v>
      </c>
      <c r="BL179" s="8">
        <f t="shared" si="55"/>
        <v>12.69090829986915</v>
      </c>
      <c r="BM179" s="8">
        <f>IF(OR(ISBLANK(Input!$X$4),$D$27=FALSE),NA(),('Reaction Information'!$J$13/10+'Reaction Information'!$K$13*100/(Calculations!$C$12+Calculations!$M179)+('Reaction Information'!$L$13+'Reaction Information'!$M$13*10^4/(Calculations!$C$12+Calculations!$M179))/(Calculations!$O179-Calculations!$C$13) -calculateOmega(Calculations!$M179,Calculations!$N179,Calculations!$Q179,'Reaction Information'!$C$13,'Reaction Information'!$P$13*10^5,'Reaction Information'!$Q$13)*Calculations!$U179*10^-6 + (1/$S179 - 1)*calculate_domegadP(Calculations!$M179,Calculations!$N179,Calculations!$Q179,'Reaction Information'!$C$13,'Reaction Information'!$P$13*10^5,'Reaction Information'!$Q$13,$D$20,$D$19=3))*41.84)</f>
        <v>29.809812025166984</v>
      </c>
      <c r="BN179" s="8" t="e">
        <f>IF(OR(ISBLANK(Input!$AA$4),$D$27=FALSE),NA(),('Reaction Information'!$J$17/10+'Reaction Information'!$K$17*100/(Calculations!$C$12+Calculations!$M179)+('Reaction Information'!$L$17+'Reaction Information'!$M$17*10000/(Calculations!$C$12+Calculations!$M179))/(Calculations!$O179-Calculations!$C$13)-calculateOmega(Calculations!M179,Calculations!N179,Calculations!Q179,'Reaction Information'!$C$17,'Reaction Information'!$P$17*10^5,'Reaction Information'!$Q$17)*Calculations!$U179*10^-6 + (1/$S179 - 1)*calculate_domegadP(Calculations!M179,Calculations!N179,Calculations!Q179,'Reaction Information'!$C$17,'Reaction Information'!$P$17*10^5,'Reaction Information'!$Q$17,$D$20,$D$19=3))*41.84)</f>
        <v>#N/A</v>
      </c>
      <c r="BO179" s="8" t="e">
        <f>IF(OR(ISBLANK(Input!$AD$4),$D$27=FALSE),NA(),('Reaction Information'!$J$21/10+'Reaction Information'!$K$21*100/(Calculations!$C$12+Calculations!$M179)+('Reaction Information'!$L$21+'Reaction Information'!$M$21*10000/(Calculations!$C$12+Calculations!$M179))/(Calculations!$O179-Calculations!$C$13)-calculateOmega(Calculations!M179,Calculations!N179,Calculations!Q179,'Reaction Information'!$C$21,'Reaction Information'!$P$21*10^5,'Reaction Information'!$Q$21)*Calculations!$U179*10^-6 + (1/$S179 - 1)*calculate_domegadP(Calculations!M179,Calculations!N179,Calculations!Q179,'Reaction Information'!$C$21,'Reaction Information'!$P$21*10^5,'Reaction Information'!$Q$21,$D$20,$D$19=3))*41.84)</f>
        <v>#N/A</v>
      </c>
      <c r="BP179" s="8" t="e">
        <f>IF(OR(ISBLANK(Input!$AG$4),$D$27=FALSE),NA(),('Reaction Information'!$J$25/10+'Reaction Information'!$K$25*100/(Calculations!$C$12+Calculations!$M179)+('Reaction Information'!$L$25+'Reaction Information'!$M$25*10000/(Calculations!$C$12+Calculations!$M179))/(Calculations!$O179-Calculations!$C$13)-calculateOmega(Calculations!M179,Calculations!N179,Calculations!Q179,'Reaction Information'!$C$25,'Reaction Information'!$P$25*10^5,'Reaction Information'!$Q$25)*Calculations!$U179*10^-6 + (1/$S179 - 1)*calculate_domegadP(Calculations!M179,Calculations!N179,Calculations!Q179,'Reaction Information'!$C$25,'Reaction Information'!$P$25*10^5,'Reaction Information'!$Q$25,$D$20,$D$19=3))*41.84)</f>
        <v>#N/A</v>
      </c>
      <c r="BQ179" s="8" t="e">
        <f>IF(OR(ISBLANK(Input!$AJ$4),$D$27=FALSE),NA(),('Reaction Information'!$J$29/10+'Reaction Information'!$K$29*100/(Calculations!$C$12+Calculations!$M179)+('Reaction Information'!$L$29+'Reaction Information'!$M$29*10000/(Calculations!$C$12+Calculations!$M179))/(Calculations!$O179-Calculations!$C$13)-calculateOmega(Calculations!M179,Calculations!N179,Calculations!Q179,'Reaction Information'!$C$29,'Reaction Information'!$P$29*10^5,'Reaction Information'!$Q$29)*Calculations!$U179*10^-6 + (1/$S179 - 1)*calculate_domegadP(Calculations!M179,Calculations!N179,Calculations!Q179,'Reaction Information'!$C$29,'Reaction Information'!$P$29*10^5,'Reaction Information'!$Q$29,$D$20,$D$19=3))*41.84)</f>
        <v>#N/A</v>
      </c>
      <c r="BR179" s="8" t="e">
        <f>IF(OR(ISBLANK(Input!$AM$4),$D$27=FALSE),NA(),('Reaction Information'!$J$33/10+'Reaction Information'!$K$33*100/(Calculations!$C$12+Calculations!$M179)+('Reaction Information'!$L$33+'Reaction Information'!$M$33*10000/(Calculations!$C$12+Calculations!$M179))/(Calculations!$O179-Calculations!$C$13)-calculateOmega(Calculations!M179,Calculations!N179,Calculations!Q179,'Reaction Information'!$C$33,'Reaction Information'!$P$33*10^5,'Reaction Information'!$Q$33)*Calculations!$U179*10^-6 + (1/$S179 - 1)*calculate_domegadP(Calculations!M179,Calculations!N179,Calculations!Q179,'Reaction Information'!$C$33,'Reaction Information'!$P$33*10^5,'Reaction Information'!$Q$33,$D$20,$D$19=3))*41.84)</f>
        <v>#N/A</v>
      </c>
      <c r="BS179" s="1">
        <f>Results!AW181</f>
        <v>0</v>
      </c>
      <c r="BT179" s="1">
        <f>Results!AX181</f>
        <v>0</v>
      </c>
      <c r="BU179" s="1">
        <f>Results!AY181</f>
        <v>0</v>
      </c>
      <c r="BV179" s="1">
        <f>Results!AZ181</f>
        <v>0</v>
      </c>
      <c r="BW179" s="1" t="e">
        <f>IF(OR(ISNA('Reaction Information'!$D$38), $N179 = "", $D$27 = FALSE, 'Reaction Information'!$D$38 = ""), NA(), 24.465)</f>
        <v>#N/A</v>
      </c>
      <c r="BX179" s="1" t="e">
        <f>IF(OR(ISNA('Reaction Information'!$D$42), $N179 = "", $D$27 = FALSE, 'Reaction Information'!$D$42 = ""), NA(), 24.465)</f>
        <v>#N/A</v>
      </c>
      <c r="BY179" s="8" t="e">
        <f t="shared" si="56"/>
        <v>#N/A</v>
      </c>
      <c r="BZ179" s="8">
        <f>IF(OR(ISBLANK(Input!$BK$4),$D$27=FALSE),NA(),('Reaction Information'!$J$46/10+'Reaction Information'!$K$46*100/(Calculations!$C$12+Calculations!$M179)+('Reaction Information'!$L$46+'Reaction Information'!$M$46*10000/(Calculations!$C$12+Calculations!$M179))/(Calculations!$O179-Calculations!$C$13)-calculateOmega(Calculations!M179,Calculations!N179,Calculations!Q179,'Reaction Information'!$C$46,'Reaction Information'!$P$46*10^5,'Reaction Information'!$Q$46)*Calculations!$U179*10^-6 + (1/$S179 - 1)*calculate_domegadP(Calculations!M179,Calculations!N179,Calculations!Q179,'Reaction Information'!$C$46,'Reaction Information'!$P$46*10^5,'Reaction Information'!$Q$46,$D$20,$D$19=3))*41.84)</f>
        <v>0</v>
      </c>
      <c r="CA179" s="8">
        <f>IF(OR(ISBLANK(Input!$BN$4),$D$27=FALSE),NA(),('Reaction Information'!$J$50/10+'Reaction Information'!$K$50*100/(Calculations!$C$12+Calculations!$M179)+('Reaction Information'!$L$50+'Reaction Information'!$M$50*10000/(Calculations!$C$12+Calculations!$M179))/(Calculations!$O179-Calculations!$C$13)-calculateOmega(Calculations!M179,Calculations!N179,Calculations!Q179,'Reaction Information'!$C$50,'Reaction Information'!$P$50*10^5,'Reaction Information'!$Q$50)*Calculations!$U179*10^-6 + (1/$S179 - 1)*calculate_domegadP(Calculations!M179,Calculations!N179,Calculations!Q179,'Reaction Information'!$C$50,'Reaction Information'!$P$50*10^5,'Reaction Information'!$Q$50,$D$20,$D$19=3))*41.84)</f>
        <v>31.465498884260121</v>
      </c>
      <c r="CB179" s="8" t="e">
        <f>IF(OR(ISBLANK(Input!$BQ$4),$D$27=FALSE),NA(),('Reaction Information'!$J$54/10+'Reaction Information'!$K$54*100/(Calculations!$C$12+Calculations!$M179)+('Reaction Information'!$L$54+'Reaction Information'!$M$54*10000/(Calculations!$C$12+Calculations!$M179))/(Calculations!$O179-Calculations!$C$13)-calculateOmega(Calculations!M179,Calculations!N179,Calculations!Q179,'Reaction Information'!$C$54,'Reaction Information'!$P$54*10^5,'Reaction Information'!$Q$54)*Calculations!$U179*10^-6 + (1/$S179 - 1)*calculate_domegadP(Calculations!M179,Calculations!N179,Calculations!Q179,'Reaction Information'!$C$54,'Reaction Information'!$P$54*10^5,'Reaction Information'!$Q$54,$D$20,$D$19=3))*41.84)</f>
        <v>#N/A</v>
      </c>
      <c r="CC179" s="8" t="e">
        <f>IF(OR(ISBLANK(Input!$BT$4),$D$27=FALSE),NA(),('Reaction Information'!$J$58/10+'Reaction Information'!$K$58*100/(Calculations!$C$12+Calculations!$M179)+('Reaction Information'!$L$58+'Reaction Information'!$M$58*10000/(Calculations!$C$12+Calculations!$M179))/(Calculations!$O179-Calculations!$C$13)-calculateOmega(Calculations!M179,Calculations!N179,Calculations!Q179,'Reaction Information'!$C$58,'Reaction Information'!$P$58*10^5,'Reaction Information'!$Q$58)*Calculations!$U179*10^-6 + (1/$S179 - 1)*calculate_domegadP(Calculations!M179,Calculations!N179,Calculations!Q179,'Reaction Information'!$C$58,'Reaction Information'!$P$58*10^5,'Reaction Information'!$Q$58,$D$20,$D$19=3))*41.84)</f>
        <v>#N/A</v>
      </c>
      <c r="CD179" s="8" t="e">
        <f>IF(OR(ISBLANK(Input!$BW$4),$D$27=FALSE),NA(),('Reaction Information'!$J$62/10+'Reaction Information'!$K$62*100/(Calculations!$C$12+Calculations!$M179)+('Reaction Information'!$L$62+'Reaction Information'!$M$62*10000/(Calculations!$C$12+Calculations!$M179))/(Calculations!$O179-Calculations!$C$13)-calculateOmega(Calculations!M179,Calculations!N179,Calculations!Q179,'Reaction Information'!$C$62,'Reaction Information'!$P$62*10^5,'Reaction Information'!$Q$62)*Calculations!$U179*10^-6 + (1/$S179 - 1)*calculate_domegadP(Calculations!M179,Calculations!N179,Calculations!Q179,'Reaction Information'!$C$62,'Reaction Information'!$P$62*10^5,'Reaction Information'!$Q$62,$D$20,$D$19=3))*41.84)</f>
        <v>#N/A</v>
      </c>
      <c r="CE179" s="8" t="e">
        <f>IF(OR(ISBLANK(Input!$BZ$4),$D$27=FALSE),NA(),('Reaction Information'!$J$66/10+'Reaction Information'!$K$66*100/(Calculations!$C$12+Calculations!$M179)+('Reaction Information'!$L$66+'Reaction Information'!$M$66*10000/(Calculations!$C$12+Calculations!$M179))/(Calculations!$O179-Calculations!$C$13)-calculateOmega(Calculations!M179,Calculations!N179,Calculations!Q179,'Reaction Information'!$C$66,'Reaction Information'!$P$66*10^5,'Reaction Information'!$Q$66)*Calculations!$U179*10^-6 + (1/$S179 - 1)*calculate_domegadP(Calculations!M179,Calculations!N179,Calculations!Q179,'Reaction Information'!$C$66,'Reaction Information'!$P$66*10^5,'Reaction Information'!$Q$66,$D$20,$D$19=3))*41.84)</f>
        <v>#N/A</v>
      </c>
      <c r="CF179" s="31">
        <f>(BS179*Input!$AO$4+BT179*Input!$AR$4+BU179*Input!$AU$4+BV179*Input!$AX$4+IF(ISNA(BW179),0,BW179*Input!$BA$4)+IF(ISNA(BX179),0,BX179*Input!$BD$4)+IF(ISNA(BY179),0,BY179*Input!$BG$4)+IF(ISNA(BZ179),0,BZ179*Input!$BJ$4)+IF(ISNA(CA179),0,CA179*Input!$BM$4)+IF(ISNA(CB179),0,CB179*Input!$BP$4)+IF(ISNA(CC179),0,CC179*Input!$BS$4)+IF(ISNA(CD179),0,CD179*Input!$BV$4)+IF(ISNA(CE179),0,CE179*Input!$BY$4))-(BF179*Input!$B$4+BG179*Input!$E$4+BH179*Input!$H$4+BI179*Input!$K$4+IF(ISNA(BJ179),0,BJ179*Input!$N$4)+IF(ISNA(BK179),0,BK179*Input!$Q$4)+IF(ISNA(BL179),0,BL179*Input!$T$4)+IF(ISNA(BM179),0,BM179*Input!$W$4)+IF(ISNA(BN179),0,BN179*Input!$Z$4)+IF(ISNA(BO179),0,BO179*Input!$AC$4)+IF(ISNA(BP179),0,BP179*Input!$AF$4)+IF(ISNA(BQ179),0,BQ179*Input!$AI$4)+IF(ISNA(BR179),0,BR179*Input!$AL$4))</f>
        <v>-11.035221440776013</v>
      </c>
      <c r="CG179" s="1">
        <f t="shared" si="50"/>
        <v>700</v>
      </c>
      <c r="CH179" s="46">
        <f t="shared" si="51"/>
        <v>60000</v>
      </c>
      <c r="CI179" s="1"/>
    </row>
    <row r="180" spans="1:87" x14ac:dyDescent="0.2">
      <c r="A180" s="1"/>
      <c r="B180" s="1"/>
      <c r="C180" s="1"/>
      <c r="D180" s="1"/>
      <c r="E180" s="1"/>
      <c r="F180" s="2">
        <v>175</v>
      </c>
      <c r="G180" s="1" t="str">
        <f>IF(ISBLANK(Input!CB180), "", Input!CB180*1000)</f>
        <v/>
      </c>
      <c r="H180" s="1" t="str">
        <f>IF(ISBLANK(Input!CC180), "", Input!CC180)</f>
        <v/>
      </c>
      <c r="I180" s="1">
        <f>IF(Input!$CF$5 + Input!$CF$6*(FLOOR((Calculations!$F180-1)/(FLOOR((Input!$CF$12-Input!$CF$10)/Input!$CF$11,1)+1),1)) &gt; Input!$CF$7, "", (Input!$CF$5 + Input!$CF$6*(FLOOR((Calculations!$F180-1)/(FLOOR((Input!$CF$12-Input!$CF$10)/Input!$CF$11,1)+1),1)))*1000)</f>
        <v>60000</v>
      </c>
      <c r="J180" s="1">
        <f>IF(Calculations!I180 = "", "", Input!$CF$10 + Input!$CF$11*(Calculations!$F180-1) - (FLOOR((Input!$CF$12-Input!$CF$10)/Input!$CF$11,1)+1)*Input!$CF$11*FLOOR((Calculations!$F180-1)/(FLOOR((Input!$CF$12-Input!$CF$10)/Input!$CF$11,1)+1),1))</f>
        <v>750</v>
      </c>
      <c r="K180" s="8" t="str">
        <f t="shared" si="52"/>
        <v/>
      </c>
      <c r="L180" s="117" t="str">
        <f>IF(OR(Input!$CJ$5 + Input!$CJ$6*(Calculations!F180-1) &gt; Input!$CJ$7, Input!$CJ$5 + Input!$CJ$6*(Calculations!F180-1) &gt; 350), "", Input!$CJ$5 + Input!$CJ$6*(Calculations!F180-1))</f>
        <v/>
      </c>
      <c r="M180" s="1">
        <f t="shared" si="42"/>
        <v>60000</v>
      </c>
      <c r="N180" s="1">
        <f t="shared" si="43"/>
        <v>750</v>
      </c>
      <c r="O180" s="1">
        <f t="shared" si="53"/>
        <v>1023.15</v>
      </c>
      <c r="P180" s="1" t="e">
        <f>IF(OR($D$20=3,AND($D$21=TRUE,M180&lt;1000)),INDEX('Water Density'!$C$6:$CX$120,MATCH(Calculations!N180,'Water Density'!$B$6:$B$120),MATCH(Calculations!M180/1000,'Water Density'!$C$5:$CX$5)),NA())</f>
        <v>#N/A</v>
      </c>
      <c r="Q180" s="182">
        <f>IF(OR($D$20=3,AND($D$21=TRUE,M180&lt;1000)), IF(P180&lt;&gt;0,P180,NA()), calculateDensity(M180,N180,$D$20,0.01,$D$19 = 3))</f>
        <v>1.4072186252838375</v>
      </c>
      <c r="R180" s="1" t="e">
        <f>IF($D$22=5,INDEX('Dielectric Constant'!$C$6:$CX$120,MATCH(Calculations!N180,'Dielectric Constant'!$B$6:$B$120),MATCH(Calculations!M180/1000,'Dielectric Constant'!$C$5:$CX$5)),NA())</f>
        <v>#N/A</v>
      </c>
      <c r="S180" s="58">
        <f>IF($D$22=5, IF(R180&lt;&gt;0,R180,NA()), IF(AND($D$23,M180&lt;=5000,$D$19 &lt;&gt; 3),calculateEpsilon(Q180,N180,1,FALSE),calculateEpsilon(Q180,N180,$D$22,$D$19 = 3)))</f>
        <v>27.034305424543483</v>
      </c>
      <c r="T180" s="1" t="e">
        <f>IF($D$24=3,INDEX('Water Free Energy'!$C$6:$CX$120,MATCH(Calculations!N180,'Water Free Energy'!$B$6:$B$120),MATCH(Calculations!M180/1000,'Water Free Energy'!$C$5:$CX$5)),NA())</f>
        <v>#N/A</v>
      </c>
      <c r="U180" s="179">
        <f>IF($D$27,calculateQ(M180,N180,Q180,$D$20,$D$22,$D$19=3)*10^6,NA())</f>
        <v>0.12201595990025967</v>
      </c>
      <c r="V180"/>
      <c r="W180" s="2">
        <f t="shared" si="44"/>
        <v>60000</v>
      </c>
      <c r="X180" s="1">
        <f t="shared" si="45"/>
        <v>750</v>
      </c>
      <c r="Y180" s="1">
        <f>Results!F182</f>
        <v>0</v>
      </c>
      <c r="Z180" s="1">
        <f>Results!G182</f>
        <v>0</v>
      </c>
      <c r="AA180" s="1">
        <f>Results!H182</f>
        <v>0</v>
      </c>
      <c r="AB180" s="1">
        <f>Results!I182</f>
        <v>0</v>
      </c>
      <c r="AC180" s="1" t="e">
        <f>IF(ISBLANK(Input!$O$4),NA(),'Reaction Information'!$E$5-'Reaction Information'!$G$5*(Calculations!$O180-Calculations!$C$8)+'Reaction Information'!$I$5*(Calculations!$O180-Calculations!$C$8-Calculations!$O180*LN(Calculations!$O180/Calculations!$C$8))+'Reaction Information'!$J$5*0.001/2*(2*Calculations!$O180*Calculations!$C$8-Calculations!$O180^2-Calculations!$C$8^2) + 'Reaction Information'!$K$5*100000*(Calculations!$O180^2 + Calculations!$C$8^2 - 2*Calculations!$O180*Calculations!$C$8)/(2*Calculations!$O180*Calculations!$C$8^2))</f>
        <v>#N/A</v>
      </c>
      <c r="AD180" s="8" t="e">
        <f>IF(ISBLANK(Input!$R$4),NA(),'Reaction Information'!$E$9-'Reaction Information'!$G$9*(Calculations!$O180-Calculations!$C$8)+'Reaction Information'!$I$9*(Calculations!$O180-Calculations!$C$8-Calculations!$O180*LN(Calculations!$O180/Calculations!$C$8))+'Reaction Information'!$J$9*0.001/2*(2*Calculations!$O180*Calculations!$C$8-Calculations!$O180^2-Calculations!$C$8^2) + 'Reaction Information'!$K$9*100000*(Calculations!$O180^2 + Calculations!$C$8^2 - 2*Calculations!$O180*Calculations!$C$8)/(2*Calculations!$O180*Calculations!$C$8^2))</f>
        <v>#N/A</v>
      </c>
      <c r="AE180" s="8">
        <f>IF(AE$5="H2O",IF($D$24=3,IF(T180=0,NA(),T180),calculateGibbsOfWater(M180,N180,$D$24,$D$20,$D$19=3)),NA())</f>
        <v>-54123.91918718446</v>
      </c>
      <c r="AF180" s="8">
        <f>IF(ISBLANK(Input!$X$4),NA(),'Reaction Information'!$E$13-'Reaction Information'!$G$13*(Calculations!O180-Calculations!$C$8)-'Reaction Information'!$N$13*(Calculations!O180*LN(Calculations!O180/Calculations!$C$8)-Calculations!O180+Calculations!$C$8)-'Reaction Information'!$O$13*10^4*(((1/(Calculations!O180-Calculations!$C$13))-(1/(Calculations!$C$8-Calculations!$C$13)))*((Calculations!$C$13-Calculations!O180)/(Calculations!$C$13))-(Calculations!O180/(Calculations!$C$13*Calculations!$C$13))*LN((Calculations!$C$8*(Calculations!O180-Calculations!$C$13))/(Calculations!O180*(Calculations!$C$8-Calculations!$C$13))))+'Reaction Information'!$J$13*10^-1*(Calculations!M180-Calculations!$C$9)+'Reaction Information'!$K$13*10^2*LN((Calculations!$C$12+Calculations!M180)/(Calculations!$C$12+Calculations!$C$9))+(1/(Calculations!O180-Calculations!$C$13))*('Reaction Information'!$L$13*(Calculations!M180-Calculations!$C$9)+'Reaction Information'!$M$13*10^4*LN((Calculations!$C$12+Calculations!M180)/(Calculations!$C$12+Calculations!$C$9)))+calculateOmega(Calculations!M180,Calculations!N180,Calculations!Q180,'Reaction Information'!$C$13,'Reaction Information'!$P$13*10^5,'Reaction Information'!$Q$13)*((1/Calculations!S180)-1)-'Reaction Information'!$P$13*10^5*((1/Calculations!$C$10)-1)+'Reaction Information'!$P$13*10^5*Calculations!$C$14*(Calculations!O180-Calculations!$C$8))</f>
        <v>-78864.156493339862</v>
      </c>
      <c r="AG180" s="8" t="e">
        <f>IF(ISBLANK(Input!$AA$4),NA(),'Reaction Information'!$E$17-'Reaction Information'!$G$17*(Calculations!$O180-Calculations!$C$8)-'Reaction Information'!$N$17*(Calculations!$O180*LN(Calculations!$O180/Calculations!$C$8)-Calculations!$O180+Calculations!$C$8)-'Reaction Information'!$O$17*10^4*(((1/(Calculations!$O180-Calculations!$C$13))-(1/(Calculations!$C$8-Calculations!$C$13)))*((Calculations!$C$13-Calculations!$O180)/(Calculations!$C$13))-(Calculations!$O180/(Calculations!$C$13*Calculations!$C$13))*LN((Calculations!$C$8*(Calculations!$O180-Calculations!$C$13))/(Calculations!$O180*(Calculations!$C$8-Calculations!$C$13))))+'Reaction Information'!$J$17*10^-1*(Calculations!$M180-Calculations!$C$9)+'Reaction Information'!$K$17*10^2*LN((Calculations!$C$12+Calculations!$M180)/(Calculations!$C$12+Calculations!$C$9))+(1/(Calculations!$O180-Calculations!$C$13))*('Reaction Information'!$L$17*(Calculations!$M180-Calculations!$C$9)+'Reaction Information'!$M$17*10^4*LN((Calculations!$C$12+Calculations!$M180)/(Calculations!$C$12+Calculations!$C$9)))+calculateOmega(Calculations!M180,Calculations!N180,Calculations!Q180,'Reaction Information'!$C$17,'Reaction Information'!$P$17*10^5,'Reaction Information'!$Q$17)*((1/Calculations!$S180)-1)-'Reaction Information'!$P$17*10^5*((1/Calculations!$C$10)-1)+'Reaction Information'!$P$17*10^5*Calculations!$C$14*(Calculations!$O180-Calculations!$C$8))</f>
        <v>#N/A</v>
      </c>
      <c r="AH180" s="8" t="e">
        <f>IF(ISBLANK(Input!$AD$4),NA(),'Reaction Information'!$E$21-'Reaction Information'!$G$21*(Calculations!$O180-Calculations!$C$8)-'Reaction Information'!$N$21*(Calculations!$O180*LN(Calculations!$O180/Calculations!$C$8)-Calculations!$O180+Calculations!$C$8)-'Reaction Information'!$O$21*10^4*(((1/(Calculations!$O180-Calculations!$C$13))-(1/(Calculations!$C$8-Calculations!$C$13)))*((Calculations!$C$13-Calculations!$O180)/(Calculations!$C$13))-(Calculations!$O180/(Calculations!$C$13*Calculations!$C$13))*LN((Calculations!$C$8*(Calculations!$O180-Calculations!$C$13))/(Calculations!$O180*(Calculations!$C$8-Calculations!$C$13))))+'Reaction Information'!$J$21*10^-1*(Calculations!$M180-Calculations!$C$9)+'Reaction Information'!$K$21*10^2*LN((Calculations!$C$12+Calculations!$M180)/(Calculations!$C$12+Calculations!$C$9))+(1/(Calculations!$O180-Calculations!$C$13))*('Reaction Information'!$L$21*(Calculations!$M180-Calculations!$C$9)+'Reaction Information'!$M$21*10^4*LN((Calculations!$C$12+Calculations!$M180)/(Calculations!$C$12+Calculations!$C$9)))+calculateOmega(Calculations!M180,Calculations!N180,Calculations!Q180,'Reaction Information'!$C$21,'Reaction Information'!$P$21*10^5,'Reaction Information'!$Q$21)*((1/Calculations!$S180)-1)-'Reaction Information'!$P$21*10^5*((1/Calculations!$C$10)-1)+'Reaction Information'!$P$21*10^5*Calculations!$C$14*(Calculations!$O180-Calculations!$C$8))</f>
        <v>#N/A</v>
      </c>
      <c r="AI180" s="8" t="e">
        <f>IF(ISBLANK(Input!$AG$4),NA(),'Reaction Information'!$E$25-'Reaction Information'!$G$25*(Calculations!$O180-Calculations!$C$8)-'Reaction Information'!$N$25*(Calculations!$O180*LN(Calculations!$O180/Calculations!$C$8)-Calculations!$O180+Calculations!$C$8)-'Reaction Information'!$O$25*10^4*(((1/(Calculations!$O180-Calculations!$C$13))-(1/(Calculations!$C$8-Calculations!$C$13)))*((Calculations!$C$13-Calculations!$O180)/(Calculations!$C$13))-(Calculations!$O180/(Calculations!$C$13*Calculations!$C$13))*LN((Calculations!$C$8*(Calculations!$O180-Calculations!$C$13))/(Calculations!$O180*(Calculations!$C$8-Calculations!$C$13))))+'Reaction Information'!$J$25*10^-1*(Calculations!$M180-Calculations!$C$9)+'Reaction Information'!$K$25*10^2*LN((Calculations!$C$12+Calculations!$M180)/(Calculations!$C$12+Calculations!$C$9))+(1/(Calculations!$O180-Calculations!$C$13))*('Reaction Information'!$L$25*(Calculations!$M180-Calculations!$C$9)+'Reaction Information'!$M$25*10^4*LN((Calculations!$C$12+Calculations!$M180)/(Calculations!$C$12+Calculations!$C$9)))+calculateOmega(Calculations!M180,Calculations!N180,Calculations!Q180,'Reaction Information'!$C$25,'Reaction Information'!$P$25*10^5,'Reaction Information'!$Q$25)*((1/Calculations!$S180)-1)-'Reaction Information'!$P$25*10^5*((1/Calculations!$C$10)-1)+'Reaction Information'!$P$25*10^5*Calculations!$C$14*(Calculations!$O180-Calculations!$C$8))</f>
        <v>#N/A</v>
      </c>
      <c r="AJ180" s="8" t="e">
        <f>IF(ISBLANK(Input!$AJ$4),NA(),'Reaction Information'!$E$29-'Reaction Information'!$G$29*(Calculations!$O180-Calculations!$C$8)-'Reaction Information'!$N$29*(Calculations!$O180*LN(Calculations!$O180/Calculations!$C$8)-Calculations!$O180+Calculations!$C$8)-'Reaction Information'!$O$29*10^4*(((1/(Calculations!$O180-Calculations!$C$13))-(1/(Calculations!$C$8-Calculations!$C$13)))*((Calculations!$C$13-Calculations!$O180)/(Calculations!$C$13))-(Calculations!$O180/(Calculations!$C$13*Calculations!$C$13))*LN((Calculations!$C$8*(Calculations!$O180-Calculations!$C$13))/(Calculations!$O180*(Calculations!$C$8-Calculations!$C$13))))+'Reaction Information'!$J$29*10^-1*(Calculations!$M180-Calculations!$C$9)+'Reaction Information'!$K$29*10^2*LN((Calculations!$C$12+Calculations!$M180)/(Calculations!$C$12+Calculations!$C$9))+(1/(Calculations!$O180-Calculations!$C$13))*('Reaction Information'!$L$29*(Calculations!$M180-Calculations!$C$9)+'Reaction Information'!$M$29*10^4*LN((Calculations!$C$12+Calculations!$M180)/(Calculations!$C$12+Calculations!$C$9)))+calculateOmega(Calculations!M180,Calculations!N180,Calculations!Q180,'Reaction Information'!$C$29,'Reaction Information'!$P$29*10^5,'Reaction Information'!$Q$29)*((1/Calculations!$S180)-1)-'Reaction Information'!$P$29*10^5*((1/Calculations!$C$10)-1)+'Reaction Information'!$P$29*10^5*Calculations!$C$14*(Calculations!$O180-Calculations!$C$8))</f>
        <v>#N/A</v>
      </c>
      <c r="AK180" s="8" t="e">
        <f>IF(ISBLANK(Input!$AM$4),NA(),'Reaction Information'!$E$33-'Reaction Information'!$G$33*(Calculations!$O180-Calculations!$C$8)-'Reaction Information'!$N$33*(Calculations!$O180*LN(Calculations!$O180/Calculations!$C$8)-Calculations!$O180+Calculations!$C$8)-'Reaction Information'!$O$33*10^4*(((1/(Calculations!$O180-Calculations!$C$13))-(1/(Calculations!$C$8-Calculations!$C$13)))*((Calculations!$C$13-Calculations!$O180)/(Calculations!$C$13))-(Calculations!$O180/(Calculations!$C$13*Calculations!$C$13))*LN((Calculations!$C$8*(Calculations!$O180-Calculations!$C$13))/(Calculations!$O180*(Calculations!$C$8-Calculations!$C$13))))+'Reaction Information'!$J$33*10^-1*(Calculations!$M180-Calculations!$C$9)+'Reaction Information'!$K$33*10^2*LN((Calculations!$C$12+Calculations!$M180)/(Calculations!$C$12+Calculations!$C$9))+(1/(Calculations!$O180-Calculations!$C$13))*('Reaction Information'!$L$33*(Calculations!$M180-Calculations!$C$9)+'Reaction Information'!$M$33*10^4*LN((Calculations!$C$12+Calculations!$M180)/(Calculations!$C$12+Calculations!$C$9)))+calculateOmega(Calculations!M180,Calculations!N180,Calculations!Q180,'Reaction Information'!$C$33,'Reaction Information'!$P$33*10^5,'Reaction Information'!$Q$33)*((1/Calculations!$S180)-1)-'Reaction Information'!$P$33*10^5*((1/Calculations!$C$10)-1)+'Reaction Information'!$P$33*10^5*Calculations!$C$14*(Calculations!$O180-Calculations!$C$8))</f>
        <v>#N/A</v>
      </c>
      <c r="AL180" s="1">
        <f>Results!S182</f>
        <v>0</v>
      </c>
      <c r="AM180" s="1">
        <f>Results!T182</f>
        <v>0</v>
      </c>
      <c r="AN180" s="1">
        <f>Results!U182</f>
        <v>0</v>
      </c>
      <c r="AO180" s="1">
        <f>Results!V182</f>
        <v>0</v>
      </c>
      <c r="AP180" s="8" t="e">
        <f>IF(ISBLANK(Input!$BB$4),NA(),'Reaction Information'!$E$38-'Reaction Information'!$G$38*(Calculations!$O180-Calculations!$C$8)+'Reaction Information'!$I$38*(Calculations!$O180-Calculations!$C$8-Calculations!$O180*LN(Calculations!$O180/Calculations!$C$8))+'Reaction Information'!$J$38*0.001/2*(2*Calculations!$O180*Calculations!$C$8-Calculations!$O180^2-Calculations!$C$8^2) + 'Reaction Information'!$K$38*100000*(Calculations!$O180^2 + Calculations!$C$8^2 - 2*Calculations!$O180*Calculations!$C$8)/(2*Calculations!$O180*Calculations!$C$8^2))</f>
        <v>#N/A</v>
      </c>
      <c r="AQ180" s="8" t="e">
        <f>IF(ISBLANK(Input!$BE$4),NA(),'Reaction Information'!$E$42-'Reaction Information'!$G$42*(Calculations!$O180-Calculations!$C$8)+'Reaction Information'!$I$42*(Calculations!$O180-Calculations!$C$8-Calculations!$O180*LN(Calculations!$O180/Calculations!$C$8))+'Reaction Information'!$J$42*0.001/2*(2*Calculations!$O180*Calculations!$C$8-Calculations!$O180^2-Calculations!$C$8^2) + 'Reaction Information'!$K$42*100000*(Calculations!$O180^2 + Calculations!$C$8^2 - 2*Calculations!$O180*Calculations!$C$8)/(2*Calculations!$O180*Calculations!$C$8^2))</f>
        <v>#N/A</v>
      </c>
      <c r="AR180" s="8" t="e">
        <f>IF(AR$5="H2O", IF($D$24=3,IF(T180=0,NA(),T180),calculateGibbsOfWater(M180,N180,$D$24,$D$20,$D$19=3)),NA())</f>
        <v>#N/A</v>
      </c>
      <c r="AS180" s="8">
        <f>IF(ISBLANK(Input!$BK$4),NA(),'Reaction Information'!$E$46-'Reaction Information'!$G$46*(Calculations!O180-Calculations!$C$8)-'Reaction Information'!$N$46*(Calculations!O180*LN(Calculations!O180/Calculations!$C$8)-Calculations!O180+Calculations!$C$8)-'Reaction Information'!$O$46*10^4*(((1/(Calculations!O180-Calculations!$C$13))-(1/(Calculations!$C$8-Calculations!$C$13)))*((Calculations!$C$13-Calculations!O180)/(Calculations!$C$13))-(Calculations!O180/(Calculations!$C$13*Calculations!$C$13))*LN((Calculations!$C$8*(Calculations!O180-Calculations!$C$13))/(Calculations!O180*(Calculations!$C$8-Calculations!$C$13))))+'Reaction Information'!$J$46*10^-1*(Calculations!$M180-Calculations!$C$9)+'Reaction Information'!$K$46*10^2*LN((Calculations!$C$12+Calculations!$M180)/(Calculations!$C$12+Calculations!$C$9))+(1/(Calculations!O180-Calculations!$C$13))*('Reaction Information'!$L$46*(Calculations!$M180-Calculations!$C$9)+'Reaction Information'!$M$46*10^4*LN((Calculations!$C$12+Calculations!$M180)/(Calculations!$C$12+Calculations!$C$9)))+calculateOmega(Calculations!M180,Calculations!N180,Calculations!Q180,'Reaction Information'!$C$46,'Reaction Information'!$P$46*10^5,'Reaction Information'!$Q$46)*((1/Calculations!S180)-1)-'Reaction Information'!$P$46*10^5*((1/Calculations!$C$10)-1)+'Reaction Information'!$P$46*10^5*Calculations!$C$14*(Calculations!O180-Calculations!$C$8))</f>
        <v>0</v>
      </c>
      <c r="AT180" s="8">
        <f>IF(ISBLANK(Input!$BN$4),NA(),'Reaction Information'!$E$50-'Reaction Information'!$G$50*(Calculations!O180-Calculations!$C$8)-'Reaction Information'!$N$50*(Calculations!O180*LN(Calculations!O180/Calculations!$C$8)-Calculations!O180+Calculations!$C$8)-'Reaction Information'!$O$50*10^4*(((1/(Calculations!O180-Calculations!$C$13))-(1/(Calculations!$C$8-Calculations!$C$13)))*((Calculations!$C$13-Calculations!O180)/(Calculations!$C$13))-(Calculations!O180/(Calculations!$C$13*Calculations!$C$13))*LN((Calculations!$C$8*(Calculations!O180-Calculations!$C$13))/(Calculations!O180*(Calculations!$C$8-Calculations!$C$13))))+'Reaction Information'!$J$50*10^-1*(Calculations!$M180-Calculations!$C$9)+'Reaction Information'!$K$50*10^2*LN((Calculations!$C$12+Calculations!$M180)/(Calculations!$C$12+Calculations!$C$9))+(1/(Calculations!O180-Calculations!$C$13))*('Reaction Information'!$L$50*(Calculations!$M180-Calculations!$C$9)+'Reaction Information'!$M$50*10^4*LN((Calculations!$C$12+Calculations!$M180)/(Calculations!$C$12+Calculations!$C$9)))+calculateOmega(Calculations!M180,Calculations!N180,Calculations!Q180,'Reaction Information'!$C$50,'Reaction Information'!$P$50*10^5,'Reaction Information'!$Q$50)*((1/Calculations!S180)-1)-'Reaction Information'!$P$50*10^5*((1/Calculations!$C$10)-1)+'Reaction Information'!$P$50*10^5*Calculations!$C$14*(Calculations!O180-Calculations!$C$8))</f>
        <v>-118556.24305562917</v>
      </c>
      <c r="AU180" s="8" t="e">
        <f>IF(ISBLANK(Input!$BQ$4),NA(),'Reaction Information'!$E$54-'Reaction Information'!$G$54*(Calculations!$O180-Calculations!$C$8)-'Reaction Information'!$N$54*(Calculations!$O180*LN(Calculations!$O180/Calculations!$C$8)-Calculations!$O180+Calculations!$C$8)-'Reaction Information'!$O$54*10^4*(((1/(Calculations!$O180-Calculations!$C$13))-(1/(Calculations!$C$8-Calculations!$C$13)))*((Calculations!$C$13-Calculations!$O180)/(Calculations!$C$13))-(Calculations!$O180/(Calculations!$C$13*Calculations!$C$13))*LN((Calculations!$C$8*(Calculations!$O180-Calculations!$C$13))/(Calculations!$O180*(Calculations!$C$8-Calculations!$C$13))))+'Reaction Information'!$J$54*10^-1*(Calculations!$M180-Calculations!$C$9)+'Reaction Information'!$K$54*10^2*LN((Calculations!$C$12+Calculations!$M180)/(Calculations!$C$12+Calculations!$C$9))+(1/(Calculations!$O180-Calculations!$C$13))*('Reaction Information'!$L$54*(Calculations!$M180-Calculations!$C$9)+'Reaction Information'!$M$54*10^4*LN((Calculations!$C$12+Calculations!$M180)/(Calculations!$C$12+Calculations!$C$9)))+calculateOmega(Calculations!M180,Calculations!N180,Calculations!Q180,'Reaction Information'!$C$54,'Reaction Information'!$P$54*10^5,'Reaction Information'!$Q$54)*((1/Calculations!$S180)-1)-'Reaction Information'!$P$54*10^5*((1/Calculations!$C$10)-1)+'Reaction Information'!$P$54*10^5*Calculations!$C$14*(Calculations!$O180-Calculations!$C$8))</f>
        <v>#N/A</v>
      </c>
      <c r="AV180" s="8" t="e">
        <f>IF(ISBLANK(Input!$BT$4),NA(),'Reaction Information'!$E$58-'Reaction Information'!$G$58*(Calculations!$O180-Calculations!$C$8)-'Reaction Information'!$N$58*(Calculations!$O180*LN(Calculations!$O180/Calculations!$C$8)-Calculations!$O180+Calculations!$C$8)-'Reaction Information'!$O$58*10^4*(((1/(Calculations!$O180-Calculations!$C$13))-(1/(Calculations!$C$8-Calculations!$C$13)))*((Calculations!$C$13-Calculations!$O180)/(Calculations!$C$13))-(Calculations!$O180/(Calculations!$C$13*Calculations!$C$13))*LN((Calculations!$C$8*(Calculations!$O180-Calculations!$C$13))/(Calculations!$O180*(Calculations!$C$8-Calculations!$C$13))))+'Reaction Information'!$J$58*10^-1*(Calculations!$M180-Calculations!$C$9)+'Reaction Information'!$K$58*10^2*LN((Calculations!$C$12+Calculations!$M180)/(Calculations!$C$12+Calculations!$C$9))+(1/(Calculations!$O180-Calculations!$C$13))*('Reaction Information'!$L$58*(Calculations!$M180-Calculations!$C$9)+'Reaction Information'!$M$58*10^4*LN((Calculations!$C$12+Calculations!$M180)/(Calculations!$C$12+Calculations!$C$9)))+calculateOmega(Calculations!M180,Calculations!N180,Calculations!Q180,'Reaction Information'!$C$58,'Reaction Information'!$P$58*10^5,'Reaction Information'!$Q$58)*((1/Calculations!$S180)-1)-'Reaction Information'!$P$58*10^5*((1/Calculations!$C$10)-1)+'Reaction Information'!$P$58*10^5*Calculations!$C$14*(Calculations!$O180-Calculations!$C$8))</f>
        <v>#N/A</v>
      </c>
      <c r="AW180" s="8" t="e">
        <f>IF(ISBLANK(Input!$BW$4),NA(),'Reaction Information'!$E$62-'Reaction Information'!$G$62*(Calculations!$O180-Calculations!$C$8)-'Reaction Information'!$N$62*(Calculations!$O180*LN(Calculations!$O180/Calculations!$C$8)-Calculations!$O180+Calculations!$C$8)-'Reaction Information'!$O$62*10^4*(((1/(Calculations!$O180-Calculations!$C$13))-(1/(Calculations!$C$8-Calculations!$C$13)))*((Calculations!$C$13-Calculations!$O180)/(Calculations!$C$13))-(Calculations!$O180/(Calculations!$C$13*Calculations!$C$13))*LN((Calculations!$C$8*(Calculations!$O180-Calculations!$C$13))/(Calculations!$O180*(Calculations!$C$8-Calculations!$C$13))))+'Reaction Information'!$J$62*10^-1*(Calculations!$M180-Calculations!$C$9)+'Reaction Information'!$K$62*10^2*LN((Calculations!$C$12+Calculations!$M180)/(Calculations!$C$12+Calculations!$C$9))+(1/(Calculations!$O180-Calculations!$C$13))*('Reaction Information'!$L$62*(Calculations!$M180-Calculations!$C$9)+'Reaction Information'!$M$62*10^4*LN((Calculations!$C$12+Calculations!$M180)/(Calculations!$C$12+Calculations!$C$9)))+calculateOmega(Calculations!M180,Calculations!N180,Calculations!Q180,'Reaction Information'!$C$62,'Reaction Information'!$P$62*10^5,'Reaction Information'!$Q$62)*((1/Calculations!$S180)-1)-'Reaction Information'!$P$62*10^5*((1/Calculations!$C$10)-1)+'Reaction Information'!$P$62*10^5*Calculations!$C$14*(Calculations!$O180-Calculations!$C$8))</f>
        <v>#N/A</v>
      </c>
      <c r="AX180" s="8" t="e">
        <f>IF(ISBLANK(Input!$BZ$4),NA(),'Reaction Information'!$E$66-'Reaction Information'!$G$66*(Calculations!$O180-Calculations!$C$8)-'Reaction Information'!$N$66*(Calculations!$O180*LN(Calculations!$O180/Calculations!$C$8)-Calculations!$O180+Calculations!$C$8)-'Reaction Information'!$O$66*10^4*(((1/(Calculations!$O180-Calculations!$C$13))-(1/(Calculations!$C$8-Calculations!$C$13)))*((Calculations!$C$13-Calculations!$O180)/(Calculations!$C$13))-(Calculations!$O180/(Calculations!$C$13*Calculations!$C$13))*LN((Calculations!$C$8*(Calculations!$O180-Calculations!$C$13))/(Calculations!$O180*(Calculations!$C$8-Calculations!$C$13))))+'Reaction Information'!$J$66*10^-1*(Calculations!$M180-Calculations!$C$9)+'Reaction Information'!$K$66*10^2*LN((Calculations!$C$12+Calculations!$M180)/(Calculations!$C$12+Calculations!$C$9))+(1/(Calculations!$O180-Calculations!$C$13))*('Reaction Information'!$L$66*(Calculations!$M180-Calculations!$C$9)+'Reaction Information'!$M$66*10^4*LN((Calculations!$C$12+Calculations!$M180)/(Calculations!$C$12+Calculations!$C$9)))+calculateOmega(Calculations!M180,Calculations!N180,Calculations!Q180,'Reaction Information'!$C$66,'Reaction Information'!$P$66*10^5,'Reaction Information'!$Q$66)*((1/Calculations!$S180)-1)-'Reaction Information'!$P$66*10^5*((1/Calculations!$C$10)-1)+'Reaction Information'!$P$66*10^5*Calculations!$C$14*(Calculations!$O180-Calculations!$C$8))</f>
        <v>#N/A</v>
      </c>
      <c r="AY180" s="31">
        <f>(AL180*Input!$AO$4+AM180*Input!$AR$4+AN180*Input!$AU$4+AO180*Input!$AX$4+IF(ISNA(AP180),0,AP180*Input!$BA$4)+IF(ISNA(AQ180),0,AQ180*Input!$BD$4)+IF(ISNA(AR180),0,AR180*Input!$BG$4)+IF(ISNA(AS180),0,AS180*Input!$BJ$4)+IF(ISNA(AT180),0,AT180*Input!$BM$4)+IF(ISNA(AU180),0,AU180*Input!$BP$4)+IF(ISNA(AV180),0,AV180*Input!$BS$4)+IF(ISNA(AW180),0,AW180*Input!$BV$4)+IF(ISNA(AX180),0,AX180*Input!$BY$4))-(Y180*Input!$B$4+Z180*Input!$E$4+AA180*Input!$H$4+AB180*Input!$K$4+IF(ISNA(AC180),0,AC180*Input!$N$4)+IF(ISNA(AD180),0,AD180*Input!$Q$4)+IF(ISNA(AE180),0,AE180*Input!$T$4)+IF(ISNA(AF180),0,AF180*Input!$W$4)+IF(ISNA(AG180),0,AG180*Input!$Z$4)+IF(ISNA(AH180),0,AH180*Input!$AC$4)+IF(ISNA(AI180),0,AI180*Input!$AF$4)+IF(ISNA(AJ180),0,AJ180*Input!$AI$4)+IF(ISNA(AK180),0,AK180*Input!$AL$4))</f>
        <v>14431.832624895149</v>
      </c>
      <c r="AZ180" s="42">
        <f t="shared" si="54"/>
        <v>-3.0847079192427542</v>
      </c>
      <c r="BA180" s="1">
        <f t="shared" si="46"/>
        <v>750</v>
      </c>
      <c r="BB180" s="46">
        <f t="shared" si="47"/>
        <v>60000</v>
      </c>
      <c r="BC180" s="1"/>
      <c r="BD180" s="2">
        <f t="shared" si="48"/>
        <v>60000</v>
      </c>
      <c r="BE180" s="46">
        <f t="shared" si="49"/>
        <v>750</v>
      </c>
      <c r="BF180" s="1">
        <f>Results!AJ182</f>
        <v>0</v>
      </c>
      <c r="BG180" s="1">
        <f>Results!AK182</f>
        <v>0</v>
      </c>
      <c r="BH180" s="1">
        <f>Results!AL182</f>
        <v>0</v>
      </c>
      <c r="BI180" s="1">
        <f>Results!AM182</f>
        <v>0</v>
      </c>
      <c r="BJ180" s="1" t="e">
        <f>IF(OR(ISNA('Reaction Information'!$D$5), $N180 = "", $D$27 = FALSE, 'Reaction Information'!$D$5 = ""), NA(), 24.465)</f>
        <v>#N/A</v>
      </c>
      <c r="BK180" s="1" t="e">
        <f>IF(OR(ISNA('Reaction Information'!$D$9), $N180 = "", $D$27 = FALSE, 'Reaction Information'!$D$9 = ""), NA(), 24.465)</f>
        <v>#N/A</v>
      </c>
      <c r="BL180" s="8">
        <f t="shared" si="55"/>
        <v>12.802047724721026</v>
      </c>
      <c r="BM180" s="8">
        <f>IF(OR(ISBLANK(Input!$X$4),$D$27=FALSE),NA(),('Reaction Information'!$J$13/10+'Reaction Information'!$K$13*100/(Calculations!$C$12+Calculations!$M180)+('Reaction Information'!$L$13+'Reaction Information'!$M$13*10^4/(Calculations!$C$12+Calculations!$M180))/(Calculations!$O180-Calculations!$C$13) -calculateOmega(Calculations!$M180,Calculations!$N180,Calculations!$Q180,'Reaction Information'!$C$13,'Reaction Information'!$P$13*10^5,'Reaction Information'!$Q$13)*Calculations!$U180*10^-6 + (1/$S180 - 1)*calculate_domegadP(Calculations!$M180,Calculations!$N180,Calculations!$Q180,'Reaction Information'!$C$13,'Reaction Information'!$P$13*10^5,'Reaction Information'!$Q$13,$D$20,$D$19=3))*41.84)</f>
        <v>29.825205671438436</v>
      </c>
      <c r="BN180" s="8" t="e">
        <f>IF(OR(ISBLANK(Input!$AA$4),$D$27=FALSE),NA(),('Reaction Information'!$J$17/10+'Reaction Information'!$K$17*100/(Calculations!$C$12+Calculations!$M180)+('Reaction Information'!$L$17+'Reaction Information'!$M$17*10000/(Calculations!$C$12+Calculations!$M180))/(Calculations!$O180-Calculations!$C$13)-calculateOmega(Calculations!M180,Calculations!N180,Calculations!Q180,'Reaction Information'!$C$17,'Reaction Information'!$P$17*10^5,'Reaction Information'!$Q$17)*Calculations!$U180*10^-6 + (1/$S180 - 1)*calculate_domegadP(Calculations!M180,Calculations!N180,Calculations!Q180,'Reaction Information'!$C$17,'Reaction Information'!$P$17*10^5,'Reaction Information'!$Q$17,$D$20,$D$19=3))*41.84)</f>
        <v>#N/A</v>
      </c>
      <c r="BO180" s="8" t="e">
        <f>IF(OR(ISBLANK(Input!$AD$4),$D$27=FALSE),NA(),('Reaction Information'!$J$21/10+'Reaction Information'!$K$21*100/(Calculations!$C$12+Calculations!$M180)+('Reaction Information'!$L$21+'Reaction Information'!$M$21*10000/(Calculations!$C$12+Calculations!$M180))/(Calculations!$O180-Calculations!$C$13)-calculateOmega(Calculations!M180,Calculations!N180,Calculations!Q180,'Reaction Information'!$C$21,'Reaction Information'!$P$21*10^5,'Reaction Information'!$Q$21)*Calculations!$U180*10^-6 + (1/$S180 - 1)*calculate_domegadP(Calculations!M180,Calculations!N180,Calculations!Q180,'Reaction Information'!$C$21,'Reaction Information'!$P$21*10^5,'Reaction Information'!$Q$21,$D$20,$D$19=3))*41.84)</f>
        <v>#N/A</v>
      </c>
      <c r="BP180" s="8" t="e">
        <f>IF(OR(ISBLANK(Input!$AG$4),$D$27=FALSE),NA(),('Reaction Information'!$J$25/10+'Reaction Information'!$K$25*100/(Calculations!$C$12+Calculations!$M180)+('Reaction Information'!$L$25+'Reaction Information'!$M$25*10000/(Calculations!$C$12+Calculations!$M180))/(Calculations!$O180-Calculations!$C$13)-calculateOmega(Calculations!M180,Calculations!N180,Calculations!Q180,'Reaction Information'!$C$25,'Reaction Information'!$P$25*10^5,'Reaction Information'!$Q$25)*Calculations!$U180*10^-6 + (1/$S180 - 1)*calculate_domegadP(Calculations!M180,Calculations!N180,Calculations!Q180,'Reaction Information'!$C$25,'Reaction Information'!$P$25*10^5,'Reaction Information'!$Q$25,$D$20,$D$19=3))*41.84)</f>
        <v>#N/A</v>
      </c>
      <c r="BQ180" s="8" t="e">
        <f>IF(OR(ISBLANK(Input!$AJ$4),$D$27=FALSE),NA(),('Reaction Information'!$J$29/10+'Reaction Information'!$K$29*100/(Calculations!$C$12+Calculations!$M180)+('Reaction Information'!$L$29+'Reaction Information'!$M$29*10000/(Calculations!$C$12+Calculations!$M180))/(Calculations!$O180-Calculations!$C$13)-calculateOmega(Calculations!M180,Calculations!N180,Calculations!Q180,'Reaction Information'!$C$29,'Reaction Information'!$P$29*10^5,'Reaction Information'!$Q$29)*Calculations!$U180*10^-6 + (1/$S180 - 1)*calculate_domegadP(Calculations!M180,Calculations!N180,Calculations!Q180,'Reaction Information'!$C$29,'Reaction Information'!$P$29*10^5,'Reaction Information'!$Q$29,$D$20,$D$19=3))*41.84)</f>
        <v>#N/A</v>
      </c>
      <c r="BR180" s="8" t="e">
        <f>IF(OR(ISBLANK(Input!$AM$4),$D$27=FALSE),NA(),('Reaction Information'!$J$33/10+'Reaction Information'!$K$33*100/(Calculations!$C$12+Calculations!$M180)+('Reaction Information'!$L$33+'Reaction Information'!$M$33*10000/(Calculations!$C$12+Calculations!$M180))/(Calculations!$O180-Calculations!$C$13)-calculateOmega(Calculations!M180,Calculations!N180,Calculations!Q180,'Reaction Information'!$C$33,'Reaction Information'!$P$33*10^5,'Reaction Information'!$Q$33)*Calculations!$U180*10^-6 + (1/$S180 - 1)*calculate_domegadP(Calculations!M180,Calculations!N180,Calculations!Q180,'Reaction Information'!$C$33,'Reaction Information'!$P$33*10^5,'Reaction Information'!$Q$33,$D$20,$D$19=3))*41.84)</f>
        <v>#N/A</v>
      </c>
      <c r="BS180" s="1">
        <f>Results!AW182</f>
        <v>0</v>
      </c>
      <c r="BT180" s="1">
        <f>Results!AX182</f>
        <v>0</v>
      </c>
      <c r="BU180" s="1">
        <f>Results!AY182</f>
        <v>0</v>
      </c>
      <c r="BV180" s="1">
        <f>Results!AZ182</f>
        <v>0</v>
      </c>
      <c r="BW180" s="1" t="e">
        <f>IF(OR(ISNA('Reaction Information'!$D$38), $N180 = "", $D$27 = FALSE, 'Reaction Information'!$D$38 = ""), NA(), 24.465)</f>
        <v>#N/A</v>
      </c>
      <c r="BX180" s="1" t="e">
        <f>IF(OR(ISNA('Reaction Information'!$D$42), $N180 = "", $D$27 = FALSE, 'Reaction Information'!$D$42 = ""), NA(), 24.465)</f>
        <v>#N/A</v>
      </c>
      <c r="BY180" s="8" t="e">
        <f t="shared" si="56"/>
        <v>#N/A</v>
      </c>
      <c r="BZ180" s="8">
        <f>IF(OR(ISBLANK(Input!$BK$4),$D$27=FALSE),NA(),('Reaction Information'!$J$46/10+'Reaction Information'!$K$46*100/(Calculations!$C$12+Calculations!$M180)+('Reaction Information'!$L$46+'Reaction Information'!$M$46*10000/(Calculations!$C$12+Calculations!$M180))/(Calculations!$O180-Calculations!$C$13)-calculateOmega(Calculations!M180,Calculations!N180,Calculations!Q180,'Reaction Information'!$C$46,'Reaction Information'!$P$46*10^5,'Reaction Information'!$Q$46)*Calculations!$U180*10^-6 + (1/$S180 - 1)*calculate_domegadP(Calculations!M180,Calculations!N180,Calculations!Q180,'Reaction Information'!$C$46,'Reaction Information'!$P$46*10^5,'Reaction Information'!$Q$46,$D$20,$D$19=3))*41.84)</f>
        <v>0</v>
      </c>
      <c r="CA180" s="8">
        <f>IF(OR(ISBLANK(Input!$BN$4),$D$27=FALSE),NA(),('Reaction Information'!$J$50/10+'Reaction Information'!$K$50*100/(Calculations!$C$12+Calculations!$M180)+('Reaction Information'!$L$50+'Reaction Information'!$M$50*10000/(Calculations!$C$12+Calculations!$M180))/(Calculations!$O180-Calculations!$C$13)-calculateOmega(Calculations!M180,Calculations!N180,Calculations!Q180,'Reaction Information'!$C$50,'Reaction Information'!$P$50*10^5,'Reaction Information'!$Q$50)*Calculations!$U180*10^-6 + (1/$S180 - 1)*calculate_domegadP(Calculations!M180,Calculations!N180,Calculations!Q180,'Reaction Information'!$C$50,'Reaction Information'!$P$50*10^5,'Reaction Information'!$Q$50,$D$20,$D$19=3))*41.84)</f>
        <v>31.42691926491343</v>
      </c>
      <c r="CB180" s="8" t="e">
        <f>IF(OR(ISBLANK(Input!$BQ$4),$D$27=FALSE),NA(),('Reaction Information'!$J$54/10+'Reaction Information'!$K$54*100/(Calculations!$C$12+Calculations!$M180)+('Reaction Information'!$L$54+'Reaction Information'!$M$54*10000/(Calculations!$C$12+Calculations!$M180))/(Calculations!$O180-Calculations!$C$13)-calculateOmega(Calculations!M180,Calculations!N180,Calculations!Q180,'Reaction Information'!$C$54,'Reaction Information'!$P$54*10^5,'Reaction Information'!$Q$54)*Calculations!$U180*10^-6 + (1/$S180 - 1)*calculate_domegadP(Calculations!M180,Calculations!N180,Calculations!Q180,'Reaction Information'!$C$54,'Reaction Information'!$P$54*10^5,'Reaction Information'!$Q$54,$D$20,$D$19=3))*41.84)</f>
        <v>#N/A</v>
      </c>
      <c r="CC180" s="8" t="e">
        <f>IF(OR(ISBLANK(Input!$BT$4),$D$27=FALSE),NA(),('Reaction Information'!$J$58/10+'Reaction Information'!$K$58*100/(Calculations!$C$12+Calculations!$M180)+('Reaction Information'!$L$58+'Reaction Information'!$M$58*10000/(Calculations!$C$12+Calculations!$M180))/(Calculations!$O180-Calculations!$C$13)-calculateOmega(Calculations!M180,Calculations!N180,Calculations!Q180,'Reaction Information'!$C$58,'Reaction Information'!$P$58*10^5,'Reaction Information'!$Q$58)*Calculations!$U180*10^-6 + (1/$S180 - 1)*calculate_domegadP(Calculations!M180,Calculations!N180,Calculations!Q180,'Reaction Information'!$C$58,'Reaction Information'!$P$58*10^5,'Reaction Information'!$Q$58,$D$20,$D$19=3))*41.84)</f>
        <v>#N/A</v>
      </c>
      <c r="CD180" s="8" t="e">
        <f>IF(OR(ISBLANK(Input!$BW$4),$D$27=FALSE),NA(),('Reaction Information'!$J$62/10+'Reaction Information'!$K$62*100/(Calculations!$C$12+Calculations!$M180)+('Reaction Information'!$L$62+'Reaction Information'!$M$62*10000/(Calculations!$C$12+Calculations!$M180))/(Calculations!$O180-Calculations!$C$13)-calculateOmega(Calculations!M180,Calculations!N180,Calculations!Q180,'Reaction Information'!$C$62,'Reaction Information'!$P$62*10^5,'Reaction Information'!$Q$62)*Calculations!$U180*10^-6 + (1/$S180 - 1)*calculate_domegadP(Calculations!M180,Calculations!N180,Calculations!Q180,'Reaction Information'!$C$62,'Reaction Information'!$P$62*10^5,'Reaction Information'!$Q$62,$D$20,$D$19=3))*41.84)</f>
        <v>#N/A</v>
      </c>
      <c r="CE180" s="8" t="e">
        <f>IF(OR(ISBLANK(Input!$BZ$4),$D$27=FALSE),NA(),('Reaction Information'!$J$66/10+'Reaction Information'!$K$66*100/(Calculations!$C$12+Calculations!$M180)+('Reaction Information'!$L$66+'Reaction Information'!$M$66*10000/(Calculations!$C$12+Calculations!$M180))/(Calculations!$O180-Calculations!$C$13)-calculateOmega(Calculations!M180,Calculations!N180,Calculations!Q180,'Reaction Information'!$C$66,'Reaction Information'!$P$66*10^5,'Reaction Information'!$Q$66)*Calculations!$U180*10^-6 + (1/$S180 - 1)*calculate_domegadP(Calculations!M180,Calculations!N180,Calculations!Q180,'Reaction Information'!$C$66,'Reaction Information'!$P$66*10^5,'Reaction Information'!$Q$66,$D$20,$D$19=3))*41.84)</f>
        <v>#N/A</v>
      </c>
      <c r="CF180" s="31">
        <f>(BS180*Input!$AO$4+BT180*Input!$AR$4+BU180*Input!$AU$4+BV180*Input!$AX$4+IF(ISNA(BW180),0,BW180*Input!$BA$4)+IF(ISNA(BX180),0,BX180*Input!$BD$4)+IF(ISNA(BY180),0,BY180*Input!$BG$4)+IF(ISNA(BZ180),0,BZ180*Input!$BJ$4)+IF(ISNA(CA180),0,CA180*Input!$BM$4)+IF(ISNA(CB180),0,CB180*Input!$BP$4)+IF(ISNA(CC180),0,CC180*Input!$BS$4)+IF(ISNA(CD180),0,CD180*Input!$BV$4)+IF(ISNA(CE180),0,CE180*Input!$BY$4))-(BF180*Input!$B$4+BG180*Input!$E$4+BH180*Input!$H$4+BI180*Input!$K$4+IF(ISNA(BJ180),0,BJ180*Input!$N$4)+IF(ISNA(BK180),0,BK180*Input!$Q$4)+IF(ISNA(BL180),0,BL180*Input!$T$4)+IF(ISNA(BM180),0,BM180*Input!$W$4)+IF(ISNA(BN180),0,BN180*Input!$Z$4)+IF(ISNA(BO180),0,BO180*Input!$AC$4)+IF(ISNA(BP180),0,BP180*Input!$AF$4)+IF(ISNA(BQ180),0,BQ180*Input!$AI$4)+IF(ISNA(BR180),0,BR180*Input!$AL$4))</f>
        <v>-11.200334131246031</v>
      </c>
      <c r="CG180" s="1">
        <f t="shared" si="50"/>
        <v>750</v>
      </c>
      <c r="CH180" s="46">
        <f t="shared" si="51"/>
        <v>60000</v>
      </c>
      <c r="CI180" s="1"/>
    </row>
    <row r="181" spans="1:87" x14ac:dyDescent="0.2">
      <c r="A181" s="1"/>
      <c r="B181" s="1"/>
      <c r="C181" s="1"/>
      <c r="D181" s="1"/>
      <c r="E181" s="1"/>
      <c r="F181" s="2">
        <v>176</v>
      </c>
      <c r="G181" s="1" t="str">
        <f>IF(ISBLANK(Input!CB181), "", Input!CB181*1000)</f>
        <v/>
      </c>
      <c r="H181" s="1" t="str">
        <f>IF(ISBLANK(Input!CC181), "", Input!CC181)</f>
        <v/>
      </c>
      <c r="I181" s="1">
        <f>IF(Input!$CF$5 + Input!$CF$6*(FLOOR((Calculations!$F181-1)/(FLOOR((Input!$CF$12-Input!$CF$10)/Input!$CF$11,1)+1),1)) &gt; Input!$CF$7, "", (Input!$CF$5 + Input!$CF$6*(FLOOR((Calculations!$F181-1)/(FLOOR((Input!$CF$12-Input!$CF$10)/Input!$CF$11,1)+1),1)))*1000)</f>
        <v>60000</v>
      </c>
      <c r="J181" s="1">
        <f>IF(Calculations!I181 = "", "", Input!$CF$10 + Input!$CF$11*(Calculations!$F181-1) - (FLOOR((Input!$CF$12-Input!$CF$10)/Input!$CF$11,1)+1)*Input!$CF$11*FLOOR((Calculations!$F181-1)/(FLOOR((Input!$CF$12-Input!$CF$10)/Input!$CF$11,1)+1),1))</f>
        <v>800</v>
      </c>
      <c r="K181" s="8" t="str">
        <f t="shared" si="52"/>
        <v/>
      </c>
      <c r="L181" s="117" t="str">
        <f>IF(OR(Input!$CJ$5 + Input!$CJ$6*(Calculations!F181-1) &gt; Input!$CJ$7, Input!$CJ$5 + Input!$CJ$6*(Calculations!F181-1) &gt; 350), "", Input!$CJ$5 + Input!$CJ$6*(Calculations!F181-1))</f>
        <v/>
      </c>
      <c r="M181" s="1">
        <f t="shared" si="42"/>
        <v>60000</v>
      </c>
      <c r="N181" s="1">
        <f t="shared" si="43"/>
        <v>800</v>
      </c>
      <c r="O181" s="1">
        <f t="shared" si="53"/>
        <v>1073.1500000000001</v>
      </c>
      <c r="P181" s="1" t="e">
        <f>IF(OR($D$20=3,AND($D$21=TRUE,M181&lt;1000)),INDEX('Water Density'!$C$6:$CX$120,MATCH(Calculations!N181,'Water Density'!$B$6:$B$120),MATCH(Calculations!M181/1000,'Water Density'!$C$5:$CX$5)),NA())</f>
        <v>#N/A</v>
      </c>
      <c r="Q181" s="182">
        <f>IF(OR($D$20=3,AND($D$21=TRUE,M181&lt;1000)), IF(P181&lt;&gt;0,P181,NA()), calculateDensity(M181,N181,$D$20,0.01,$D$19 = 3))</f>
        <v>1.3951117782646416</v>
      </c>
      <c r="R181" s="1" t="e">
        <f>IF($D$22=5,INDEX('Dielectric Constant'!$C$6:$CX$120,MATCH(Calculations!N181,'Dielectric Constant'!$B$6:$B$120),MATCH(Calculations!M181/1000,'Dielectric Constant'!$C$5:$CX$5)),NA())</f>
        <v>#N/A</v>
      </c>
      <c r="S181" s="58">
        <f>IF($D$22=5, IF(R181&lt;&gt;0,R181,NA()), IF(AND($D$23,M181&lt;=5000,$D$19 &lt;&gt; 3),calculateEpsilon(Q181,N181,1,FALSE),calculateEpsilon(Q181,N181,$D$22,$D$19 = 3)))</f>
        <v>24.855551001360578</v>
      </c>
      <c r="T181" s="1" t="e">
        <f>IF($D$24=3,INDEX('Water Free Energy'!$C$6:$CX$120,MATCH(Calculations!N181,'Water Free Energy'!$B$6:$B$120),MATCH(Calculations!M181/1000,'Water Free Energy'!$C$5:$CX$5)),NA())</f>
        <v>#N/A</v>
      </c>
      <c r="U181" s="179">
        <f>IF($D$27,calculateQ(M181,N181,Q181,$D$20,$D$22,$D$19=3)*10^6,NA())</f>
        <v>0.12920803115976348</v>
      </c>
      <c r="V181"/>
      <c r="W181" s="2">
        <f t="shared" si="44"/>
        <v>60000</v>
      </c>
      <c r="X181" s="1">
        <f t="shared" si="45"/>
        <v>800</v>
      </c>
      <c r="Y181" s="1">
        <f>Results!F183</f>
        <v>0</v>
      </c>
      <c r="Z181" s="1">
        <f>Results!G183</f>
        <v>0</v>
      </c>
      <c r="AA181" s="1">
        <f>Results!H183</f>
        <v>0</v>
      </c>
      <c r="AB181" s="1">
        <f>Results!I183</f>
        <v>0</v>
      </c>
      <c r="AC181" s="1" t="e">
        <f>IF(ISBLANK(Input!$O$4),NA(),'Reaction Information'!$E$5-'Reaction Information'!$G$5*(Calculations!$O181-Calculations!$C$8)+'Reaction Information'!$I$5*(Calculations!$O181-Calculations!$C$8-Calculations!$O181*LN(Calculations!$O181/Calculations!$C$8))+'Reaction Information'!$J$5*0.001/2*(2*Calculations!$O181*Calculations!$C$8-Calculations!$O181^2-Calculations!$C$8^2) + 'Reaction Information'!$K$5*100000*(Calculations!$O181^2 + Calculations!$C$8^2 - 2*Calculations!$O181*Calculations!$C$8)/(2*Calculations!$O181*Calculations!$C$8^2))</f>
        <v>#N/A</v>
      </c>
      <c r="AD181" s="8" t="e">
        <f>IF(ISBLANK(Input!$R$4),NA(),'Reaction Information'!$E$9-'Reaction Information'!$G$9*(Calculations!$O181-Calculations!$C$8)+'Reaction Information'!$I$9*(Calculations!$O181-Calculations!$C$8-Calculations!$O181*LN(Calculations!$O181/Calculations!$C$8))+'Reaction Information'!$J$9*0.001/2*(2*Calculations!$O181*Calculations!$C$8-Calculations!$O181^2-Calculations!$C$8^2) + 'Reaction Information'!$K$9*100000*(Calculations!$O181^2 + Calculations!$C$8^2 - 2*Calculations!$O181*Calculations!$C$8)/(2*Calculations!$O181*Calculations!$C$8^2))</f>
        <v>#N/A</v>
      </c>
      <c r="AE181" s="8">
        <f>IF(AE$5="H2O",IF($D$24=3,IF(T181=0,NA(),T181),calculateGibbsOfWater(M181,N181,$D$24,$D$20,$D$19=3)),NA())</f>
        <v>-55620.455469642169</v>
      </c>
      <c r="AF181" s="8">
        <f>IF(ISBLANK(Input!$X$4),NA(),'Reaction Information'!$E$13-'Reaction Information'!$G$13*(Calculations!O181-Calculations!$C$8)-'Reaction Information'!$N$13*(Calculations!O181*LN(Calculations!O181/Calculations!$C$8)-Calculations!O181+Calculations!$C$8)-'Reaction Information'!$O$13*10^4*(((1/(Calculations!O181-Calculations!$C$13))-(1/(Calculations!$C$8-Calculations!$C$13)))*((Calculations!$C$13-Calculations!O181)/(Calculations!$C$13))-(Calculations!O181/(Calculations!$C$13*Calculations!$C$13))*LN((Calculations!$C$8*(Calculations!O181-Calculations!$C$13))/(Calculations!O181*(Calculations!$C$8-Calculations!$C$13))))+'Reaction Information'!$J$13*10^-1*(Calculations!M181-Calculations!$C$9)+'Reaction Information'!$K$13*10^2*LN((Calculations!$C$12+Calculations!M181)/(Calculations!$C$12+Calculations!$C$9))+(1/(Calculations!O181-Calculations!$C$13))*('Reaction Information'!$L$13*(Calculations!M181-Calculations!$C$9)+'Reaction Information'!$M$13*10^4*LN((Calculations!$C$12+Calculations!M181)/(Calculations!$C$12+Calculations!$C$9)))+calculateOmega(Calculations!M181,Calculations!N181,Calculations!Q181,'Reaction Information'!$C$13,'Reaction Information'!$P$13*10^5,'Reaction Information'!$Q$13)*((1/Calculations!S181)-1)-'Reaction Information'!$P$13*10^5*((1/Calculations!$C$10)-1)+'Reaction Information'!$P$13*10^5*Calculations!$C$14*(Calculations!O181-Calculations!$C$8))</f>
        <v>-81241.443042912535</v>
      </c>
      <c r="AG181" s="8" t="e">
        <f>IF(ISBLANK(Input!$AA$4),NA(),'Reaction Information'!$E$17-'Reaction Information'!$G$17*(Calculations!$O181-Calculations!$C$8)-'Reaction Information'!$N$17*(Calculations!$O181*LN(Calculations!$O181/Calculations!$C$8)-Calculations!$O181+Calculations!$C$8)-'Reaction Information'!$O$17*10^4*(((1/(Calculations!$O181-Calculations!$C$13))-(1/(Calculations!$C$8-Calculations!$C$13)))*((Calculations!$C$13-Calculations!$O181)/(Calculations!$C$13))-(Calculations!$O181/(Calculations!$C$13*Calculations!$C$13))*LN((Calculations!$C$8*(Calculations!$O181-Calculations!$C$13))/(Calculations!$O181*(Calculations!$C$8-Calculations!$C$13))))+'Reaction Information'!$J$17*10^-1*(Calculations!$M181-Calculations!$C$9)+'Reaction Information'!$K$17*10^2*LN((Calculations!$C$12+Calculations!$M181)/(Calculations!$C$12+Calculations!$C$9))+(1/(Calculations!$O181-Calculations!$C$13))*('Reaction Information'!$L$17*(Calculations!$M181-Calculations!$C$9)+'Reaction Information'!$M$17*10^4*LN((Calculations!$C$12+Calculations!$M181)/(Calculations!$C$12+Calculations!$C$9)))+calculateOmega(Calculations!M181,Calculations!N181,Calculations!Q181,'Reaction Information'!$C$17,'Reaction Information'!$P$17*10^5,'Reaction Information'!$Q$17)*((1/Calculations!$S181)-1)-'Reaction Information'!$P$17*10^5*((1/Calculations!$C$10)-1)+'Reaction Information'!$P$17*10^5*Calculations!$C$14*(Calculations!$O181-Calculations!$C$8))</f>
        <v>#N/A</v>
      </c>
      <c r="AH181" s="8" t="e">
        <f>IF(ISBLANK(Input!$AD$4),NA(),'Reaction Information'!$E$21-'Reaction Information'!$G$21*(Calculations!$O181-Calculations!$C$8)-'Reaction Information'!$N$21*(Calculations!$O181*LN(Calculations!$O181/Calculations!$C$8)-Calculations!$O181+Calculations!$C$8)-'Reaction Information'!$O$21*10^4*(((1/(Calculations!$O181-Calculations!$C$13))-(1/(Calculations!$C$8-Calculations!$C$13)))*((Calculations!$C$13-Calculations!$O181)/(Calculations!$C$13))-(Calculations!$O181/(Calculations!$C$13*Calculations!$C$13))*LN((Calculations!$C$8*(Calculations!$O181-Calculations!$C$13))/(Calculations!$O181*(Calculations!$C$8-Calculations!$C$13))))+'Reaction Information'!$J$21*10^-1*(Calculations!$M181-Calculations!$C$9)+'Reaction Information'!$K$21*10^2*LN((Calculations!$C$12+Calculations!$M181)/(Calculations!$C$12+Calculations!$C$9))+(1/(Calculations!$O181-Calculations!$C$13))*('Reaction Information'!$L$21*(Calculations!$M181-Calculations!$C$9)+'Reaction Information'!$M$21*10^4*LN((Calculations!$C$12+Calculations!$M181)/(Calculations!$C$12+Calculations!$C$9)))+calculateOmega(Calculations!M181,Calculations!N181,Calculations!Q181,'Reaction Information'!$C$21,'Reaction Information'!$P$21*10^5,'Reaction Information'!$Q$21)*((1/Calculations!$S181)-1)-'Reaction Information'!$P$21*10^5*((1/Calculations!$C$10)-1)+'Reaction Information'!$P$21*10^5*Calculations!$C$14*(Calculations!$O181-Calculations!$C$8))</f>
        <v>#N/A</v>
      </c>
      <c r="AI181" s="8" t="e">
        <f>IF(ISBLANK(Input!$AG$4),NA(),'Reaction Information'!$E$25-'Reaction Information'!$G$25*(Calculations!$O181-Calculations!$C$8)-'Reaction Information'!$N$25*(Calculations!$O181*LN(Calculations!$O181/Calculations!$C$8)-Calculations!$O181+Calculations!$C$8)-'Reaction Information'!$O$25*10^4*(((1/(Calculations!$O181-Calculations!$C$13))-(1/(Calculations!$C$8-Calculations!$C$13)))*((Calculations!$C$13-Calculations!$O181)/(Calculations!$C$13))-(Calculations!$O181/(Calculations!$C$13*Calculations!$C$13))*LN((Calculations!$C$8*(Calculations!$O181-Calculations!$C$13))/(Calculations!$O181*(Calculations!$C$8-Calculations!$C$13))))+'Reaction Information'!$J$25*10^-1*(Calculations!$M181-Calculations!$C$9)+'Reaction Information'!$K$25*10^2*LN((Calculations!$C$12+Calculations!$M181)/(Calculations!$C$12+Calculations!$C$9))+(1/(Calculations!$O181-Calculations!$C$13))*('Reaction Information'!$L$25*(Calculations!$M181-Calculations!$C$9)+'Reaction Information'!$M$25*10^4*LN((Calculations!$C$12+Calculations!$M181)/(Calculations!$C$12+Calculations!$C$9)))+calculateOmega(Calculations!M181,Calculations!N181,Calculations!Q181,'Reaction Information'!$C$25,'Reaction Information'!$P$25*10^5,'Reaction Information'!$Q$25)*((1/Calculations!$S181)-1)-'Reaction Information'!$P$25*10^5*((1/Calculations!$C$10)-1)+'Reaction Information'!$P$25*10^5*Calculations!$C$14*(Calculations!$O181-Calculations!$C$8))</f>
        <v>#N/A</v>
      </c>
      <c r="AJ181" s="8" t="e">
        <f>IF(ISBLANK(Input!$AJ$4),NA(),'Reaction Information'!$E$29-'Reaction Information'!$G$29*(Calculations!$O181-Calculations!$C$8)-'Reaction Information'!$N$29*(Calculations!$O181*LN(Calculations!$O181/Calculations!$C$8)-Calculations!$O181+Calculations!$C$8)-'Reaction Information'!$O$29*10^4*(((1/(Calculations!$O181-Calculations!$C$13))-(1/(Calculations!$C$8-Calculations!$C$13)))*((Calculations!$C$13-Calculations!$O181)/(Calculations!$C$13))-(Calculations!$O181/(Calculations!$C$13*Calculations!$C$13))*LN((Calculations!$C$8*(Calculations!$O181-Calculations!$C$13))/(Calculations!$O181*(Calculations!$C$8-Calculations!$C$13))))+'Reaction Information'!$J$29*10^-1*(Calculations!$M181-Calculations!$C$9)+'Reaction Information'!$K$29*10^2*LN((Calculations!$C$12+Calculations!$M181)/(Calculations!$C$12+Calculations!$C$9))+(1/(Calculations!$O181-Calculations!$C$13))*('Reaction Information'!$L$29*(Calculations!$M181-Calculations!$C$9)+'Reaction Information'!$M$29*10^4*LN((Calculations!$C$12+Calculations!$M181)/(Calculations!$C$12+Calculations!$C$9)))+calculateOmega(Calculations!M181,Calculations!N181,Calculations!Q181,'Reaction Information'!$C$29,'Reaction Information'!$P$29*10^5,'Reaction Information'!$Q$29)*((1/Calculations!$S181)-1)-'Reaction Information'!$P$29*10^5*((1/Calculations!$C$10)-1)+'Reaction Information'!$P$29*10^5*Calculations!$C$14*(Calculations!$O181-Calculations!$C$8))</f>
        <v>#N/A</v>
      </c>
      <c r="AK181" s="8" t="e">
        <f>IF(ISBLANK(Input!$AM$4),NA(),'Reaction Information'!$E$33-'Reaction Information'!$G$33*(Calculations!$O181-Calculations!$C$8)-'Reaction Information'!$N$33*(Calculations!$O181*LN(Calculations!$O181/Calculations!$C$8)-Calculations!$O181+Calculations!$C$8)-'Reaction Information'!$O$33*10^4*(((1/(Calculations!$O181-Calculations!$C$13))-(1/(Calculations!$C$8-Calculations!$C$13)))*((Calculations!$C$13-Calculations!$O181)/(Calculations!$C$13))-(Calculations!$O181/(Calculations!$C$13*Calculations!$C$13))*LN((Calculations!$C$8*(Calculations!$O181-Calculations!$C$13))/(Calculations!$O181*(Calculations!$C$8-Calculations!$C$13))))+'Reaction Information'!$J$33*10^-1*(Calculations!$M181-Calculations!$C$9)+'Reaction Information'!$K$33*10^2*LN((Calculations!$C$12+Calculations!$M181)/(Calculations!$C$12+Calculations!$C$9))+(1/(Calculations!$O181-Calculations!$C$13))*('Reaction Information'!$L$33*(Calculations!$M181-Calculations!$C$9)+'Reaction Information'!$M$33*10^4*LN((Calculations!$C$12+Calculations!$M181)/(Calculations!$C$12+Calculations!$C$9)))+calculateOmega(Calculations!M181,Calculations!N181,Calculations!Q181,'Reaction Information'!$C$33,'Reaction Information'!$P$33*10^5,'Reaction Information'!$Q$33)*((1/Calculations!$S181)-1)-'Reaction Information'!$P$33*10^5*((1/Calculations!$C$10)-1)+'Reaction Information'!$P$33*10^5*Calculations!$C$14*(Calculations!$O181-Calculations!$C$8))</f>
        <v>#N/A</v>
      </c>
      <c r="AL181" s="1">
        <f>Results!S183</f>
        <v>0</v>
      </c>
      <c r="AM181" s="1">
        <f>Results!T183</f>
        <v>0</v>
      </c>
      <c r="AN181" s="1">
        <f>Results!U183</f>
        <v>0</v>
      </c>
      <c r="AO181" s="1">
        <f>Results!V183</f>
        <v>0</v>
      </c>
      <c r="AP181" s="8" t="e">
        <f>IF(ISBLANK(Input!$BB$4),NA(),'Reaction Information'!$E$38-'Reaction Information'!$G$38*(Calculations!$O181-Calculations!$C$8)+'Reaction Information'!$I$38*(Calculations!$O181-Calculations!$C$8-Calculations!$O181*LN(Calculations!$O181/Calculations!$C$8))+'Reaction Information'!$J$38*0.001/2*(2*Calculations!$O181*Calculations!$C$8-Calculations!$O181^2-Calculations!$C$8^2) + 'Reaction Information'!$K$38*100000*(Calculations!$O181^2 + Calculations!$C$8^2 - 2*Calculations!$O181*Calculations!$C$8)/(2*Calculations!$O181*Calculations!$C$8^2))</f>
        <v>#N/A</v>
      </c>
      <c r="AQ181" s="8" t="e">
        <f>IF(ISBLANK(Input!$BE$4),NA(),'Reaction Information'!$E$42-'Reaction Information'!$G$42*(Calculations!$O181-Calculations!$C$8)+'Reaction Information'!$I$42*(Calculations!$O181-Calculations!$C$8-Calculations!$O181*LN(Calculations!$O181/Calculations!$C$8))+'Reaction Information'!$J$42*0.001/2*(2*Calculations!$O181*Calculations!$C$8-Calculations!$O181^2-Calculations!$C$8^2) + 'Reaction Information'!$K$42*100000*(Calculations!$O181^2 + Calculations!$C$8^2 - 2*Calculations!$O181*Calculations!$C$8)/(2*Calculations!$O181*Calculations!$C$8^2))</f>
        <v>#N/A</v>
      </c>
      <c r="AR181" s="8" t="e">
        <f>IF(AR$5="H2O", IF($D$24=3,IF(T181=0,NA(),T181),calculateGibbsOfWater(M181,N181,$D$24,$D$20,$D$19=3)),NA())</f>
        <v>#N/A</v>
      </c>
      <c r="AS181" s="8">
        <f>IF(ISBLANK(Input!$BK$4),NA(),'Reaction Information'!$E$46-'Reaction Information'!$G$46*(Calculations!O181-Calculations!$C$8)-'Reaction Information'!$N$46*(Calculations!O181*LN(Calculations!O181/Calculations!$C$8)-Calculations!O181+Calculations!$C$8)-'Reaction Information'!$O$46*10^4*(((1/(Calculations!O181-Calculations!$C$13))-(1/(Calculations!$C$8-Calculations!$C$13)))*((Calculations!$C$13-Calculations!O181)/(Calculations!$C$13))-(Calculations!O181/(Calculations!$C$13*Calculations!$C$13))*LN((Calculations!$C$8*(Calculations!O181-Calculations!$C$13))/(Calculations!O181*(Calculations!$C$8-Calculations!$C$13))))+'Reaction Information'!$J$46*10^-1*(Calculations!$M181-Calculations!$C$9)+'Reaction Information'!$K$46*10^2*LN((Calculations!$C$12+Calculations!$M181)/(Calculations!$C$12+Calculations!$C$9))+(1/(Calculations!O181-Calculations!$C$13))*('Reaction Information'!$L$46*(Calculations!$M181-Calculations!$C$9)+'Reaction Information'!$M$46*10^4*LN((Calculations!$C$12+Calculations!$M181)/(Calculations!$C$12+Calculations!$C$9)))+calculateOmega(Calculations!M181,Calculations!N181,Calculations!Q181,'Reaction Information'!$C$46,'Reaction Information'!$P$46*10^5,'Reaction Information'!$Q$46)*((1/Calculations!S181)-1)-'Reaction Information'!$P$46*10^5*((1/Calculations!$C$10)-1)+'Reaction Information'!$P$46*10^5*Calculations!$C$14*(Calculations!O181-Calculations!$C$8))</f>
        <v>0</v>
      </c>
      <c r="AT181" s="8">
        <f>IF(ISBLANK(Input!$BN$4),NA(),'Reaction Information'!$E$50-'Reaction Information'!$G$50*(Calculations!O181-Calculations!$C$8)-'Reaction Information'!$N$50*(Calculations!O181*LN(Calculations!O181/Calculations!$C$8)-Calculations!O181+Calculations!$C$8)-'Reaction Information'!$O$50*10^4*(((1/(Calculations!O181-Calculations!$C$13))-(1/(Calculations!$C$8-Calculations!$C$13)))*((Calculations!$C$13-Calculations!O181)/(Calculations!$C$13))-(Calculations!O181/(Calculations!$C$13*Calculations!$C$13))*LN((Calculations!$C$8*(Calculations!O181-Calculations!$C$13))/(Calculations!O181*(Calculations!$C$8-Calculations!$C$13))))+'Reaction Information'!$J$50*10^-1*(Calculations!$M181-Calculations!$C$9)+'Reaction Information'!$K$50*10^2*LN((Calculations!$C$12+Calculations!$M181)/(Calculations!$C$12+Calculations!$C$9))+(1/(Calculations!O181-Calculations!$C$13))*('Reaction Information'!$L$50*(Calculations!$M181-Calculations!$C$9)+'Reaction Information'!$M$50*10^4*LN((Calculations!$C$12+Calculations!$M181)/(Calculations!$C$12+Calculations!$C$9)))+calculateOmega(Calculations!M181,Calculations!N181,Calculations!Q181,'Reaction Information'!$C$50,'Reaction Information'!$P$50*10^5,'Reaction Information'!$Q$50)*((1/Calculations!S181)-1)-'Reaction Information'!$P$50*10^5*((1/Calculations!$C$10)-1)+'Reaction Information'!$P$50*10^5*Calculations!$C$14*(Calculations!O181-Calculations!$C$8))</f>
        <v>-120311.74981540069</v>
      </c>
      <c r="AU181" s="8" t="e">
        <f>IF(ISBLANK(Input!$BQ$4),NA(),'Reaction Information'!$E$54-'Reaction Information'!$G$54*(Calculations!$O181-Calculations!$C$8)-'Reaction Information'!$N$54*(Calculations!$O181*LN(Calculations!$O181/Calculations!$C$8)-Calculations!$O181+Calculations!$C$8)-'Reaction Information'!$O$54*10^4*(((1/(Calculations!$O181-Calculations!$C$13))-(1/(Calculations!$C$8-Calculations!$C$13)))*((Calculations!$C$13-Calculations!$O181)/(Calculations!$C$13))-(Calculations!$O181/(Calculations!$C$13*Calculations!$C$13))*LN((Calculations!$C$8*(Calculations!$O181-Calculations!$C$13))/(Calculations!$O181*(Calculations!$C$8-Calculations!$C$13))))+'Reaction Information'!$J$54*10^-1*(Calculations!$M181-Calculations!$C$9)+'Reaction Information'!$K$54*10^2*LN((Calculations!$C$12+Calculations!$M181)/(Calculations!$C$12+Calculations!$C$9))+(1/(Calculations!$O181-Calculations!$C$13))*('Reaction Information'!$L$54*(Calculations!$M181-Calculations!$C$9)+'Reaction Information'!$M$54*10^4*LN((Calculations!$C$12+Calculations!$M181)/(Calculations!$C$12+Calculations!$C$9)))+calculateOmega(Calculations!M181,Calculations!N181,Calculations!Q181,'Reaction Information'!$C$54,'Reaction Information'!$P$54*10^5,'Reaction Information'!$Q$54)*((1/Calculations!$S181)-1)-'Reaction Information'!$P$54*10^5*((1/Calculations!$C$10)-1)+'Reaction Information'!$P$54*10^5*Calculations!$C$14*(Calculations!$O181-Calculations!$C$8))</f>
        <v>#N/A</v>
      </c>
      <c r="AV181" s="8" t="e">
        <f>IF(ISBLANK(Input!$BT$4),NA(),'Reaction Information'!$E$58-'Reaction Information'!$G$58*(Calculations!$O181-Calculations!$C$8)-'Reaction Information'!$N$58*(Calculations!$O181*LN(Calculations!$O181/Calculations!$C$8)-Calculations!$O181+Calculations!$C$8)-'Reaction Information'!$O$58*10^4*(((1/(Calculations!$O181-Calculations!$C$13))-(1/(Calculations!$C$8-Calculations!$C$13)))*((Calculations!$C$13-Calculations!$O181)/(Calculations!$C$13))-(Calculations!$O181/(Calculations!$C$13*Calculations!$C$13))*LN((Calculations!$C$8*(Calculations!$O181-Calculations!$C$13))/(Calculations!$O181*(Calculations!$C$8-Calculations!$C$13))))+'Reaction Information'!$J$58*10^-1*(Calculations!$M181-Calculations!$C$9)+'Reaction Information'!$K$58*10^2*LN((Calculations!$C$12+Calculations!$M181)/(Calculations!$C$12+Calculations!$C$9))+(1/(Calculations!$O181-Calculations!$C$13))*('Reaction Information'!$L$58*(Calculations!$M181-Calculations!$C$9)+'Reaction Information'!$M$58*10^4*LN((Calculations!$C$12+Calculations!$M181)/(Calculations!$C$12+Calculations!$C$9)))+calculateOmega(Calculations!M181,Calculations!N181,Calculations!Q181,'Reaction Information'!$C$58,'Reaction Information'!$P$58*10^5,'Reaction Information'!$Q$58)*((1/Calculations!$S181)-1)-'Reaction Information'!$P$58*10^5*((1/Calculations!$C$10)-1)+'Reaction Information'!$P$58*10^5*Calculations!$C$14*(Calculations!$O181-Calculations!$C$8))</f>
        <v>#N/A</v>
      </c>
      <c r="AW181" s="8" t="e">
        <f>IF(ISBLANK(Input!$BW$4),NA(),'Reaction Information'!$E$62-'Reaction Information'!$G$62*(Calculations!$O181-Calculations!$C$8)-'Reaction Information'!$N$62*(Calculations!$O181*LN(Calculations!$O181/Calculations!$C$8)-Calculations!$O181+Calculations!$C$8)-'Reaction Information'!$O$62*10^4*(((1/(Calculations!$O181-Calculations!$C$13))-(1/(Calculations!$C$8-Calculations!$C$13)))*((Calculations!$C$13-Calculations!$O181)/(Calculations!$C$13))-(Calculations!$O181/(Calculations!$C$13*Calculations!$C$13))*LN((Calculations!$C$8*(Calculations!$O181-Calculations!$C$13))/(Calculations!$O181*(Calculations!$C$8-Calculations!$C$13))))+'Reaction Information'!$J$62*10^-1*(Calculations!$M181-Calculations!$C$9)+'Reaction Information'!$K$62*10^2*LN((Calculations!$C$12+Calculations!$M181)/(Calculations!$C$12+Calculations!$C$9))+(1/(Calculations!$O181-Calculations!$C$13))*('Reaction Information'!$L$62*(Calculations!$M181-Calculations!$C$9)+'Reaction Information'!$M$62*10^4*LN((Calculations!$C$12+Calculations!$M181)/(Calculations!$C$12+Calculations!$C$9)))+calculateOmega(Calculations!M181,Calculations!N181,Calculations!Q181,'Reaction Information'!$C$62,'Reaction Information'!$P$62*10^5,'Reaction Information'!$Q$62)*((1/Calculations!$S181)-1)-'Reaction Information'!$P$62*10^5*((1/Calculations!$C$10)-1)+'Reaction Information'!$P$62*10^5*Calculations!$C$14*(Calculations!$O181-Calculations!$C$8))</f>
        <v>#N/A</v>
      </c>
      <c r="AX181" s="8" t="e">
        <f>IF(ISBLANK(Input!$BZ$4),NA(),'Reaction Information'!$E$66-'Reaction Information'!$G$66*(Calculations!$O181-Calculations!$C$8)-'Reaction Information'!$N$66*(Calculations!$O181*LN(Calculations!$O181/Calculations!$C$8)-Calculations!$O181+Calculations!$C$8)-'Reaction Information'!$O$66*10^4*(((1/(Calculations!$O181-Calculations!$C$13))-(1/(Calculations!$C$8-Calculations!$C$13)))*((Calculations!$C$13-Calculations!$O181)/(Calculations!$C$13))-(Calculations!$O181/(Calculations!$C$13*Calculations!$C$13))*LN((Calculations!$C$8*(Calculations!$O181-Calculations!$C$13))/(Calculations!$O181*(Calculations!$C$8-Calculations!$C$13))))+'Reaction Information'!$J$66*10^-1*(Calculations!$M181-Calculations!$C$9)+'Reaction Information'!$K$66*10^2*LN((Calculations!$C$12+Calculations!$M181)/(Calculations!$C$12+Calculations!$C$9))+(1/(Calculations!$O181-Calculations!$C$13))*('Reaction Information'!$L$66*(Calculations!$M181-Calculations!$C$9)+'Reaction Information'!$M$66*10^4*LN((Calculations!$C$12+Calculations!$M181)/(Calculations!$C$12+Calculations!$C$9)))+calculateOmega(Calculations!M181,Calculations!N181,Calculations!Q181,'Reaction Information'!$C$66,'Reaction Information'!$P$66*10^5,'Reaction Information'!$Q$66)*((1/Calculations!$S181)-1)-'Reaction Information'!$P$66*10^5*((1/Calculations!$C$10)-1)+'Reaction Information'!$P$66*10^5*Calculations!$C$14*(Calculations!$O181-Calculations!$C$8))</f>
        <v>#N/A</v>
      </c>
      <c r="AY181" s="31">
        <f>(AL181*Input!$AO$4+AM181*Input!$AR$4+AN181*Input!$AU$4+AO181*Input!$AX$4+IF(ISNA(AP181),0,AP181*Input!$BA$4)+IF(ISNA(AQ181),0,AQ181*Input!$BD$4)+IF(ISNA(AR181),0,AR181*Input!$BG$4)+IF(ISNA(AS181),0,AS181*Input!$BJ$4)+IF(ISNA(AT181),0,AT181*Input!$BM$4)+IF(ISNA(AU181),0,AU181*Input!$BP$4)+IF(ISNA(AV181),0,AV181*Input!$BS$4)+IF(ISNA(AW181),0,AW181*Input!$BV$4)+IF(ISNA(AX181),0,AX181*Input!$BY$4))-(Y181*Input!$B$4+Z181*Input!$E$4+AA181*Input!$H$4+AB181*Input!$K$4+IF(ISNA(AC181),0,AC181*Input!$N$4)+IF(ISNA(AD181),0,AD181*Input!$Q$4)+IF(ISNA(AE181),0,AE181*Input!$T$4)+IF(ISNA(AF181),0,AF181*Input!$W$4)+IF(ISNA(AG181),0,AG181*Input!$Z$4)+IF(ISNA(AH181),0,AH181*Input!$AC$4)+IF(ISNA(AI181),0,AI181*Input!$AF$4)+IF(ISNA(AJ181),0,AJ181*Input!$AI$4)+IF(ISNA(AK181),0,AK181*Input!$AL$4))</f>
        <v>16550.148697154014</v>
      </c>
      <c r="AZ181" s="42">
        <f t="shared" si="54"/>
        <v>-3.3726660718919121</v>
      </c>
      <c r="BA181" s="1">
        <f t="shared" si="46"/>
        <v>800</v>
      </c>
      <c r="BB181" s="46">
        <f t="shared" si="47"/>
        <v>60000</v>
      </c>
      <c r="BC181" s="1"/>
      <c r="BD181" s="2">
        <f t="shared" si="48"/>
        <v>60000</v>
      </c>
      <c r="BE181" s="46">
        <f t="shared" si="49"/>
        <v>800</v>
      </c>
      <c r="BF181" s="1">
        <f>Results!AJ183</f>
        <v>0</v>
      </c>
      <c r="BG181" s="1">
        <f>Results!AK183</f>
        <v>0</v>
      </c>
      <c r="BH181" s="1">
        <f>Results!AL183</f>
        <v>0</v>
      </c>
      <c r="BI181" s="1">
        <f>Results!AM183</f>
        <v>0</v>
      </c>
      <c r="BJ181" s="1" t="e">
        <f>IF(OR(ISNA('Reaction Information'!$D$5), $N181 = "", $D$27 = FALSE, 'Reaction Information'!$D$5 = ""), NA(), 24.465)</f>
        <v>#N/A</v>
      </c>
      <c r="BK181" s="1" t="e">
        <f>IF(OR(ISNA('Reaction Information'!$D$9), $N181 = "", $D$27 = FALSE, 'Reaction Information'!$D$9 = ""), NA(), 24.465)</f>
        <v>#N/A</v>
      </c>
      <c r="BL181" s="8">
        <f t="shared" si="55"/>
        <v>12.913144509760311</v>
      </c>
      <c r="BM181" s="8">
        <f>IF(OR(ISBLANK(Input!$X$4),$D$27=FALSE),NA(),('Reaction Information'!$J$13/10+'Reaction Information'!$K$13*100/(Calculations!$C$12+Calculations!$M181)+('Reaction Information'!$L$13+'Reaction Information'!$M$13*10^4/(Calculations!$C$12+Calculations!$M181))/(Calculations!$O181-Calculations!$C$13) -calculateOmega(Calculations!$M181,Calculations!$N181,Calculations!$Q181,'Reaction Information'!$C$13,'Reaction Information'!$P$13*10^5,'Reaction Information'!$Q$13)*Calculations!$U181*10^-6 + (1/$S181 - 1)*calculate_domegadP(Calculations!$M181,Calculations!$N181,Calculations!$Q181,'Reaction Information'!$C$13,'Reaction Information'!$P$13*10^5,'Reaction Information'!$Q$13,$D$20,$D$19=3))*41.84)</f>
        <v>29.841772539750757</v>
      </c>
      <c r="BN181" s="8" t="e">
        <f>IF(OR(ISBLANK(Input!$AA$4),$D$27=FALSE),NA(),('Reaction Information'!$J$17/10+'Reaction Information'!$K$17*100/(Calculations!$C$12+Calculations!$M181)+('Reaction Information'!$L$17+'Reaction Information'!$M$17*10000/(Calculations!$C$12+Calculations!$M181))/(Calculations!$O181-Calculations!$C$13)-calculateOmega(Calculations!M181,Calculations!N181,Calculations!Q181,'Reaction Information'!$C$17,'Reaction Information'!$P$17*10^5,'Reaction Information'!$Q$17)*Calculations!$U181*10^-6 + (1/$S181 - 1)*calculate_domegadP(Calculations!M181,Calculations!N181,Calculations!Q181,'Reaction Information'!$C$17,'Reaction Information'!$P$17*10^5,'Reaction Information'!$Q$17,$D$20,$D$19=3))*41.84)</f>
        <v>#N/A</v>
      </c>
      <c r="BO181" s="8" t="e">
        <f>IF(OR(ISBLANK(Input!$AD$4),$D$27=FALSE),NA(),('Reaction Information'!$J$21/10+'Reaction Information'!$K$21*100/(Calculations!$C$12+Calculations!$M181)+('Reaction Information'!$L$21+'Reaction Information'!$M$21*10000/(Calculations!$C$12+Calculations!$M181))/(Calculations!$O181-Calculations!$C$13)-calculateOmega(Calculations!M181,Calculations!N181,Calculations!Q181,'Reaction Information'!$C$21,'Reaction Information'!$P$21*10^5,'Reaction Information'!$Q$21)*Calculations!$U181*10^-6 + (1/$S181 - 1)*calculate_domegadP(Calculations!M181,Calculations!N181,Calculations!Q181,'Reaction Information'!$C$21,'Reaction Information'!$P$21*10^5,'Reaction Information'!$Q$21,$D$20,$D$19=3))*41.84)</f>
        <v>#N/A</v>
      </c>
      <c r="BP181" s="8" t="e">
        <f>IF(OR(ISBLANK(Input!$AG$4),$D$27=FALSE),NA(),('Reaction Information'!$J$25/10+'Reaction Information'!$K$25*100/(Calculations!$C$12+Calculations!$M181)+('Reaction Information'!$L$25+'Reaction Information'!$M$25*10000/(Calculations!$C$12+Calculations!$M181))/(Calculations!$O181-Calculations!$C$13)-calculateOmega(Calculations!M181,Calculations!N181,Calculations!Q181,'Reaction Information'!$C$25,'Reaction Information'!$P$25*10^5,'Reaction Information'!$Q$25)*Calculations!$U181*10^-6 + (1/$S181 - 1)*calculate_domegadP(Calculations!M181,Calculations!N181,Calculations!Q181,'Reaction Information'!$C$25,'Reaction Information'!$P$25*10^5,'Reaction Information'!$Q$25,$D$20,$D$19=3))*41.84)</f>
        <v>#N/A</v>
      </c>
      <c r="BQ181" s="8" t="e">
        <f>IF(OR(ISBLANK(Input!$AJ$4),$D$27=FALSE),NA(),('Reaction Information'!$J$29/10+'Reaction Information'!$K$29*100/(Calculations!$C$12+Calculations!$M181)+('Reaction Information'!$L$29+'Reaction Information'!$M$29*10000/(Calculations!$C$12+Calculations!$M181))/(Calculations!$O181-Calculations!$C$13)-calculateOmega(Calculations!M181,Calculations!N181,Calculations!Q181,'Reaction Information'!$C$29,'Reaction Information'!$P$29*10^5,'Reaction Information'!$Q$29)*Calculations!$U181*10^-6 + (1/$S181 - 1)*calculate_domegadP(Calculations!M181,Calculations!N181,Calculations!Q181,'Reaction Information'!$C$29,'Reaction Information'!$P$29*10^5,'Reaction Information'!$Q$29,$D$20,$D$19=3))*41.84)</f>
        <v>#N/A</v>
      </c>
      <c r="BR181" s="8" t="e">
        <f>IF(OR(ISBLANK(Input!$AM$4),$D$27=FALSE),NA(),('Reaction Information'!$J$33/10+'Reaction Information'!$K$33*100/(Calculations!$C$12+Calculations!$M181)+('Reaction Information'!$L$33+'Reaction Information'!$M$33*10000/(Calculations!$C$12+Calculations!$M181))/(Calculations!$O181-Calculations!$C$13)-calculateOmega(Calculations!M181,Calculations!N181,Calculations!Q181,'Reaction Information'!$C$33,'Reaction Information'!$P$33*10^5,'Reaction Information'!$Q$33)*Calculations!$U181*10^-6 + (1/$S181 - 1)*calculate_domegadP(Calculations!M181,Calculations!N181,Calculations!Q181,'Reaction Information'!$C$33,'Reaction Information'!$P$33*10^5,'Reaction Information'!$Q$33,$D$20,$D$19=3))*41.84)</f>
        <v>#N/A</v>
      </c>
      <c r="BS181" s="1">
        <f>Results!AW183</f>
        <v>0</v>
      </c>
      <c r="BT181" s="1">
        <f>Results!AX183</f>
        <v>0</v>
      </c>
      <c r="BU181" s="1">
        <f>Results!AY183</f>
        <v>0</v>
      </c>
      <c r="BV181" s="1">
        <f>Results!AZ183</f>
        <v>0</v>
      </c>
      <c r="BW181" s="1" t="e">
        <f>IF(OR(ISNA('Reaction Information'!$D$38), $N181 = "", $D$27 = FALSE, 'Reaction Information'!$D$38 = ""), NA(), 24.465)</f>
        <v>#N/A</v>
      </c>
      <c r="BX181" s="1" t="e">
        <f>IF(OR(ISNA('Reaction Information'!$D$42), $N181 = "", $D$27 = FALSE, 'Reaction Information'!$D$42 = ""), NA(), 24.465)</f>
        <v>#N/A</v>
      </c>
      <c r="BY181" s="8" t="e">
        <f t="shared" si="56"/>
        <v>#N/A</v>
      </c>
      <c r="BZ181" s="8">
        <f>IF(OR(ISBLANK(Input!$BK$4),$D$27=FALSE),NA(),('Reaction Information'!$J$46/10+'Reaction Information'!$K$46*100/(Calculations!$C$12+Calculations!$M181)+('Reaction Information'!$L$46+'Reaction Information'!$M$46*10000/(Calculations!$C$12+Calculations!$M181))/(Calculations!$O181-Calculations!$C$13)-calculateOmega(Calculations!M181,Calculations!N181,Calculations!Q181,'Reaction Information'!$C$46,'Reaction Information'!$P$46*10^5,'Reaction Information'!$Q$46)*Calculations!$U181*10^-6 + (1/$S181 - 1)*calculate_domegadP(Calculations!M181,Calculations!N181,Calculations!Q181,'Reaction Information'!$C$46,'Reaction Information'!$P$46*10^5,'Reaction Information'!$Q$46,$D$20,$D$19=3))*41.84)</f>
        <v>0</v>
      </c>
      <c r="CA181" s="8">
        <f>IF(OR(ISBLANK(Input!$BN$4),$D$27=FALSE),NA(),('Reaction Information'!$J$50/10+'Reaction Information'!$K$50*100/(Calculations!$C$12+Calculations!$M181)+('Reaction Information'!$L$50+'Reaction Information'!$M$50*10000/(Calculations!$C$12+Calculations!$M181))/(Calculations!$O181-Calculations!$C$13)-calculateOmega(Calculations!M181,Calculations!N181,Calculations!Q181,'Reaction Information'!$C$50,'Reaction Information'!$P$50*10^5,'Reaction Information'!$Q$50)*Calculations!$U181*10^-6 + (1/$S181 - 1)*calculate_domegadP(Calculations!M181,Calculations!N181,Calculations!Q181,'Reaction Information'!$C$50,'Reaction Information'!$P$50*10^5,'Reaction Information'!$Q$50,$D$20,$D$19=3))*41.84)</f>
        <v>31.388138139511035</v>
      </c>
      <c r="CB181" s="8" t="e">
        <f>IF(OR(ISBLANK(Input!$BQ$4),$D$27=FALSE),NA(),('Reaction Information'!$J$54/10+'Reaction Information'!$K$54*100/(Calculations!$C$12+Calculations!$M181)+('Reaction Information'!$L$54+'Reaction Information'!$M$54*10000/(Calculations!$C$12+Calculations!$M181))/(Calculations!$O181-Calculations!$C$13)-calculateOmega(Calculations!M181,Calculations!N181,Calculations!Q181,'Reaction Information'!$C$54,'Reaction Information'!$P$54*10^5,'Reaction Information'!$Q$54)*Calculations!$U181*10^-6 + (1/$S181 - 1)*calculate_domegadP(Calculations!M181,Calculations!N181,Calculations!Q181,'Reaction Information'!$C$54,'Reaction Information'!$P$54*10^5,'Reaction Information'!$Q$54,$D$20,$D$19=3))*41.84)</f>
        <v>#N/A</v>
      </c>
      <c r="CC181" s="8" t="e">
        <f>IF(OR(ISBLANK(Input!$BT$4),$D$27=FALSE),NA(),('Reaction Information'!$J$58/10+'Reaction Information'!$K$58*100/(Calculations!$C$12+Calculations!$M181)+('Reaction Information'!$L$58+'Reaction Information'!$M$58*10000/(Calculations!$C$12+Calculations!$M181))/(Calculations!$O181-Calculations!$C$13)-calculateOmega(Calculations!M181,Calculations!N181,Calculations!Q181,'Reaction Information'!$C$58,'Reaction Information'!$P$58*10^5,'Reaction Information'!$Q$58)*Calculations!$U181*10^-6 + (1/$S181 - 1)*calculate_domegadP(Calculations!M181,Calculations!N181,Calculations!Q181,'Reaction Information'!$C$58,'Reaction Information'!$P$58*10^5,'Reaction Information'!$Q$58,$D$20,$D$19=3))*41.84)</f>
        <v>#N/A</v>
      </c>
      <c r="CD181" s="8" t="e">
        <f>IF(OR(ISBLANK(Input!$BW$4),$D$27=FALSE),NA(),('Reaction Information'!$J$62/10+'Reaction Information'!$K$62*100/(Calculations!$C$12+Calculations!$M181)+('Reaction Information'!$L$62+'Reaction Information'!$M$62*10000/(Calculations!$C$12+Calculations!$M181))/(Calculations!$O181-Calculations!$C$13)-calculateOmega(Calculations!M181,Calculations!N181,Calculations!Q181,'Reaction Information'!$C$62,'Reaction Information'!$P$62*10^5,'Reaction Information'!$Q$62)*Calculations!$U181*10^-6 + (1/$S181 - 1)*calculate_domegadP(Calculations!M181,Calculations!N181,Calculations!Q181,'Reaction Information'!$C$62,'Reaction Information'!$P$62*10^5,'Reaction Information'!$Q$62,$D$20,$D$19=3))*41.84)</f>
        <v>#N/A</v>
      </c>
      <c r="CE181" s="8" t="e">
        <f>IF(OR(ISBLANK(Input!$BZ$4),$D$27=FALSE),NA(),('Reaction Information'!$J$66/10+'Reaction Information'!$K$66*100/(Calculations!$C$12+Calculations!$M181)+('Reaction Information'!$L$66+'Reaction Information'!$M$66*10000/(Calculations!$C$12+Calculations!$M181))/(Calculations!$O181-Calculations!$C$13)-calculateOmega(Calculations!M181,Calculations!N181,Calculations!Q181,'Reaction Information'!$C$66,'Reaction Information'!$P$66*10^5,'Reaction Information'!$Q$66)*Calculations!$U181*10^-6 + (1/$S181 - 1)*calculate_domegadP(Calculations!M181,Calculations!N181,Calculations!Q181,'Reaction Information'!$C$66,'Reaction Information'!$P$66*10^5,'Reaction Information'!$Q$66,$D$20,$D$19=3))*41.84)</f>
        <v>#N/A</v>
      </c>
      <c r="CF181" s="31">
        <f>(BS181*Input!$AO$4+BT181*Input!$AR$4+BU181*Input!$AU$4+BV181*Input!$AX$4+IF(ISNA(BW181),0,BW181*Input!$BA$4)+IF(ISNA(BX181),0,BX181*Input!$BD$4)+IF(ISNA(BY181),0,BY181*Input!$BG$4)+IF(ISNA(BZ181),0,BZ181*Input!$BJ$4)+IF(ISNA(CA181),0,CA181*Input!$BM$4)+IF(ISNA(CB181),0,CB181*Input!$BP$4)+IF(ISNA(CC181),0,CC181*Input!$BS$4)+IF(ISNA(CD181),0,CD181*Input!$BV$4)+IF(ISNA(CE181),0,CE181*Input!$BY$4))-(BF181*Input!$B$4+BG181*Input!$E$4+BH181*Input!$H$4+BI181*Input!$K$4+IF(ISNA(BJ181),0,BJ181*Input!$N$4)+IF(ISNA(BK181),0,BK181*Input!$Q$4)+IF(ISNA(BL181),0,BL181*Input!$T$4)+IF(ISNA(BM181),0,BM181*Input!$W$4)+IF(ISNA(BN181),0,BN181*Input!$Z$4)+IF(ISNA(BO181),0,BO181*Input!$AC$4)+IF(ISNA(BP181),0,BP181*Input!$AF$4)+IF(ISNA(BQ181),0,BQ181*Input!$AI$4)+IF(ISNA(BR181),0,BR181*Input!$AL$4))</f>
        <v>-11.366778910000029</v>
      </c>
      <c r="CG181" s="1">
        <f t="shared" si="50"/>
        <v>800</v>
      </c>
      <c r="CH181" s="46">
        <f t="shared" si="51"/>
        <v>60000</v>
      </c>
      <c r="CI181" s="1"/>
    </row>
    <row r="182" spans="1:87" x14ac:dyDescent="0.2">
      <c r="A182" s="1"/>
      <c r="B182" s="1"/>
      <c r="C182" s="1"/>
      <c r="D182" s="1"/>
      <c r="E182" s="1"/>
      <c r="F182" s="2">
        <v>177</v>
      </c>
      <c r="G182" s="1" t="str">
        <f>IF(ISBLANK(Input!CB182), "", Input!CB182*1000)</f>
        <v/>
      </c>
      <c r="H182" s="1" t="str">
        <f>IF(ISBLANK(Input!CC182), "", Input!CC182)</f>
        <v/>
      </c>
      <c r="I182" s="1">
        <f>IF(Input!$CF$5 + Input!$CF$6*(FLOOR((Calculations!$F182-1)/(FLOOR((Input!$CF$12-Input!$CF$10)/Input!$CF$11,1)+1),1)) &gt; Input!$CF$7, "", (Input!$CF$5 + Input!$CF$6*(FLOOR((Calculations!$F182-1)/(FLOOR((Input!$CF$12-Input!$CF$10)/Input!$CF$11,1)+1),1)))*1000)</f>
        <v>60000</v>
      </c>
      <c r="J182" s="1">
        <f>IF(Calculations!I182 = "", "", Input!$CF$10 + Input!$CF$11*(Calculations!$F182-1) - (FLOOR((Input!$CF$12-Input!$CF$10)/Input!$CF$11,1)+1)*Input!$CF$11*FLOOR((Calculations!$F182-1)/(FLOOR((Input!$CF$12-Input!$CF$10)/Input!$CF$11,1)+1),1))</f>
        <v>850</v>
      </c>
      <c r="K182" s="8" t="str">
        <f t="shared" si="52"/>
        <v/>
      </c>
      <c r="L182" s="117" t="str">
        <f>IF(OR(Input!$CJ$5 + Input!$CJ$6*(Calculations!F182-1) &gt; Input!$CJ$7, Input!$CJ$5 + Input!$CJ$6*(Calculations!F182-1) &gt; 350), "", Input!$CJ$5 + Input!$CJ$6*(Calculations!F182-1))</f>
        <v/>
      </c>
      <c r="M182" s="1">
        <f t="shared" si="42"/>
        <v>60000</v>
      </c>
      <c r="N182" s="1">
        <f t="shared" si="43"/>
        <v>850</v>
      </c>
      <c r="O182" s="1">
        <f t="shared" si="53"/>
        <v>1123.1500000000001</v>
      </c>
      <c r="P182" s="1" t="e">
        <f>IF(OR($D$20=3,AND($D$21=TRUE,M182&lt;1000)),INDEX('Water Density'!$C$6:$CX$120,MATCH(Calculations!N182,'Water Density'!$B$6:$B$120),MATCH(Calculations!M182/1000,'Water Density'!$C$5:$CX$5)),NA())</f>
        <v>#N/A</v>
      </c>
      <c r="Q182" s="182">
        <f>IF(OR($D$20=3,AND($D$21=TRUE,M182&lt;1000)), IF(P182&lt;&gt;0,P182,NA()), calculateDensity(M182,N182,$D$20,0.01,$D$19 = 3))</f>
        <v>1.3832257655709985</v>
      </c>
      <c r="R182" s="1" t="e">
        <f>IF($D$22=5,INDEX('Dielectric Constant'!$C$6:$CX$120,MATCH(Calculations!N182,'Dielectric Constant'!$B$6:$B$120),MATCH(Calculations!M182/1000,'Dielectric Constant'!$C$5:$CX$5)),NA())</f>
        <v>#N/A</v>
      </c>
      <c r="S182" s="58">
        <f>IF($D$22=5, IF(R182&lt;&gt;0,R182,NA()), IF(AND($D$23,M182&lt;=5000,$D$19 &lt;&gt; 3),calculateEpsilon(Q182,N182,1,FALSE),calculateEpsilon(Q182,N182,$D$22,$D$19 = 3)))</f>
        <v>22.891560073421086</v>
      </c>
      <c r="T182" s="1" t="e">
        <f>IF($D$24=3,INDEX('Water Free Energy'!$C$6:$CX$120,MATCH(Calculations!N182,'Water Free Energy'!$B$6:$B$120),MATCH(Calculations!M182/1000,'Water Free Energy'!$C$5:$CX$5)),NA())</f>
        <v>#N/A</v>
      </c>
      <c r="U182" s="179">
        <f>IF($D$27,calculateQ(M182,N182,Q182,$D$20,$D$22,$D$19=3)*10^6,NA())</f>
        <v>0.13642802671465992</v>
      </c>
      <c r="V182"/>
      <c r="W182" s="2">
        <f t="shared" si="44"/>
        <v>60000</v>
      </c>
      <c r="X182" s="1">
        <f t="shared" si="45"/>
        <v>850</v>
      </c>
      <c r="Y182" s="1">
        <f>Results!F184</f>
        <v>0</v>
      </c>
      <c r="Z182" s="1">
        <f>Results!G184</f>
        <v>0</v>
      </c>
      <c r="AA182" s="1">
        <f>Results!H184</f>
        <v>0</v>
      </c>
      <c r="AB182" s="1">
        <f>Results!I184</f>
        <v>0</v>
      </c>
      <c r="AC182" s="1" t="e">
        <f>IF(ISBLANK(Input!$O$4),NA(),'Reaction Information'!$E$5-'Reaction Information'!$G$5*(Calculations!$O182-Calculations!$C$8)+'Reaction Information'!$I$5*(Calculations!$O182-Calculations!$C$8-Calculations!$O182*LN(Calculations!$O182/Calculations!$C$8))+'Reaction Information'!$J$5*0.001/2*(2*Calculations!$O182*Calculations!$C$8-Calculations!$O182^2-Calculations!$C$8^2) + 'Reaction Information'!$K$5*100000*(Calculations!$O182^2 + Calculations!$C$8^2 - 2*Calculations!$O182*Calculations!$C$8)/(2*Calculations!$O182*Calculations!$C$8^2))</f>
        <v>#N/A</v>
      </c>
      <c r="AD182" s="8" t="e">
        <f>IF(ISBLANK(Input!$R$4),NA(),'Reaction Information'!$E$9-'Reaction Information'!$G$9*(Calculations!$O182-Calculations!$C$8)+'Reaction Information'!$I$9*(Calculations!$O182-Calculations!$C$8-Calculations!$O182*LN(Calculations!$O182/Calculations!$C$8))+'Reaction Information'!$J$9*0.001/2*(2*Calculations!$O182*Calculations!$C$8-Calculations!$O182^2-Calculations!$C$8^2) + 'Reaction Information'!$K$9*100000*(Calculations!$O182^2 + Calculations!$C$8^2 - 2*Calculations!$O182*Calculations!$C$8)/(2*Calculations!$O182*Calculations!$C$8^2))</f>
        <v>#N/A</v>
      </c>
      <c r="AE182" s="8">
        <f>IF(AE$5="H2O",IF($D$24=3,IF(T182=0,NA(),T182),calculateGibbsOfWater(M182,N182,$D$24,$D$20,$D$19=3)),NA())</f>
        <v>-57128.139221827652</v>
      </c>
      <c r="AF182" s="8">
        <f>IF(ISBLANK(Input!$X$4),NA(),'Reaction Information'!$E$13-'Reaction Information'!$G$13*(Calculations!O182-Calculations!$C$8)-'Reaction Information'!$N$13*(Calculations!O182*LN(Calculations!O182/Calculations!$C$8)-Calculations!O182+Calculations!$C$8)-'Reaction Information'!$O$13*10^4*(((1/(Calculations!O182-Calculations!$C$13))-(1/(Calculations!$C$8-Calculations!$C$13)))*((Calculations!$C$13-Calculations!O182)/(Calculations!$C$13))-(Calculations!O182/(Calculations!$C$13*Calculations!$C$13))*LN((Calculations!$C$8*(Calculations!O182-Calculations!$C$13))/(Calculations!O182*(Calculations!$C$8-Calculations!$C$13))))+'Reaction Information'!$J$13*10^-1*(Calculations!M182-Calculations!$C$9)+'Reaction Information'!$K$13*10^2*LN((Calculations!$C$12+Calculations!M182)/(Calculations!$C$12+Calculations!$C$9))+(1/(Calculations!O182-Calculations!$C$13))*('Reaction Information'!$L$13*(Calculations!M182-Calculations!$C$9)+'Reaction Information'!$M$13*10^4*LN((Calculations!$C$12+Calculations!M182)/(Calculations!$C$12+Calculations!$C$9)))+calculateOmega(Calculations!M182,Calculations!N182,Calculations!Q182,'Reaction Information'!$C$13,'Reaction Information'!$P$13*10^5,'Reaction Information'!$Q$13)*((1/Calculations!S182)-1)-'Reaction Information'!$P$13*10^5*((1/Calculations!$C$10)-1)+'Reaction Information'!$P$13*10^5*Calculations!$C$14*(Calculations!O182-Calculations!$C$8))</f>
        <v>-83655.095295031293</v>
      </c>
      <c r="AG182" s="8" t="e">
        <f>IF(ISBLANK(Input!$AA$4),NA(),'Reaction Information'!$E$17-'Reaction Information'!$G$17*(Calculations!$O182-Calculations!$C$8)-'Reaction Information'!$N$17*(Calculations!$O182*LN(Calculations!$O182/Calculations!$C$8)-Calculations!$O182+Calculations!$C$8)-'Reaction Information'!$O$17*10^4*(((1/(Calculations!$O182-Calculations!$C$13))-(1/(Calculations!$C$8-Calculations!$C$13)))*((Calculations!$C$13-Calculations!$O182)/(Calculations!$C$13))-(Calculations!$O182/(Calculations!$C$13*Calculations!$C$13))*LN((Calculations!$C$8*(Calculations!$O182-Calculations!$C$13))/(Calculations!$O182*(Calculations!$C$8-Calculations!$C$13))))+'Reaction Information'!$J$17*10^-1*(Calculations!$M182-Calculations!$C$9)+'Reaction Information'!$K$17*10^2*LN((Calculations!$C$12+Calculations!$M182)/(Calculations!$C$12+Calculations!$C$9))+(1/(Calculations!$O182-Calculations!$C$13))*('Reaction Information'!$L$17*(Calculations!$M182-Calculations!$C$9)+'Reaction Information'!$M$17*10^4*LN((Calculations!$C$12+Calculations!$M182)/(Calculations!$C$12+Calculations!$C$9)))+calculateOmega(Calculations!M182,Calculations!N182,Calculations!Q182,'Reaction Information'!$C$17,'Reaction Information'!$P$17*10^5,'Reaction Information'!$Q$17)*((1/Calculations!$S182)-1)-'Reaction Information'!$P$17*10^5*((1/Calculations!$C$10)-1)+'Reaction Information'!$P$17*10^5*Calculations!$C$14*(Calculations!$O182-Calculations!$C$8))</f>
        <v>#N/A</v>
      </c>
      <c r="AH182" s="8" t="e">
        <f>IF(ISBLANK(Input!$AD$4),NA(),'Reaction Information'!$E$21-'Reaction Information'!$G$21*(Calculations!$O182-Calculations!$C$8)-'Reaction Information'!$N$21*(Calculations!$O182*LN(Calculations!$O182/Calculations!$C$8)-Calculations!$O182+Calculations!$C$8)-'Reaction Information'!$O$21*10^4*(((1/(Calculations!$O182-Calculations!$C$13))-(1/(Calculations!$C$8-Calculations!$C$13)))*((Calculations!$C$13-Calculations!$O182)/(Calculations!$C$13))-(Calculations!$O182/(Calculations!$C$13*Calculations!$C$13))*LN((Calculations!$C$8*(Calculations!$O182-Calculations!$C$13))/(Calculations!$O182*(Calculations!$C$8-Calculations!$C$13))))+'Reaction Information'!$J$21*10^-1*(Calculations!$M182-Calculations!$C$9)+'Reaction Information'!$K$21*10^2*LN((Calculations!$C$12+Calculations!$M182)/(Calculations!$C$12+Calculations!$C$9))+(1/(Calculations!$O182-Calculations!$C$13))*('Reaction Information'!$L$21*(Calculations!$M182-Calculations!$C$9)+'Reaction Information'!$M$21*10^4*LN((Calculations!$C$12+Calculations!$M182)/(Calculations!$C$12+Calculations!$C$9)))+calculateOmega(Calculations!M182,Calculations!N182,Calculations!Q182,'Reaction Information'!$C$21,'Reaction Information'!$P$21*10^5,'Reaction Information'!$Q$21)*((1/Calculations!$S182)-1)-'Reaction Information'!$P$21*10^5*((1/Calculations!$C$10)-1)+'Reaction Information'!$P$21*10^5*Calculations!$C$14*(Calculations!$O182-Calculations!$C$8))</f>
        <v>#N/A</v>
      </c>
      <c r="AI182" s="8" t="e">
        <f>IF(ISBLANK(Input!$AG$4),NA(),'Reaction Information'!$E$25-'Reaction Information'!$G$25*(Calculations!$O182-Calculations!$C$8)-'Reaction Information'!$N$25*(Calculations!$O182*LN(Calculations!$O182/Calculations!$C$8)-Calculations!$O182+Calculations!$C$8)-'Reaction Information'!$O$25*10^4*(((1/(Calculations!$O182-Calculations!$C$13))-(1/(Calculations!$C$8-Calculations!$C$13)))*((Calculations!$C$13-Calculations!$O182)/(Calculations!$C$13))-(Calculations!$O182/(Calculations!$C$13*Calculations!$C$13))*LN((Calculations!$C$8*(Calculations!$O182-Calculations!$C$13))/(Calculations!$O182*(Calculations!$C$8-Calculations!$C$13))))+'Reaction Information'!$J$25*10^-1*(Calculations!$M182-Calculations!$C$9)+'Reaction Information'!$K$25*10^2*LN((Calculations!$C$12+Calculations!$M182)/(Calculations!$C$12+Calculations!$C$9))+(1/(Calculations!$O182-Calculations!$C$13))*('Reaction Information'!$L$25*(Calculations!$M182-Calculations!$C$9)+'Reaction Information'!$M$25*10^4*LN((Calculations!$C$12+Calculations!$M182)/(Calculations!$C$12+Calculations!$C$9)))+calculateOmega(Calculations!M182,Calculations!N182,Calculations!Q182,'Reaction Information'!$C$25,'Reaction Information'!$P$25*10^5,'Reaction Information'!$Q$25)*((1/Calculations!$S182)-1)-'Reaction Information'!$P$25*10^5*((1/Calculations!$C$10)-1)+'Reaction Information'!$P$25*10^5*Calculations!$C$14*(Calculations!$O182-Calculations!$C$8))</f>
        <v>#N/A</v>
      </c>
      <c r="AJ182" s="8" t="e">
        <f>IF(ISBLANK(Input!$AJ$4),NA(),'Reaction Information'!$E$29-'Reaction Information'!$G$29*(Calculations!$O182-Calculations!$C$8)-'Reaction Information'!$N$29*(Calculations!$O182*LN(Calculations!$O182/Calculations!$C$8)-Calculations!$O182+Calculations!$C$8)-'Reaction Information'!$O$29*10^4*(((1/(Calculations!$O182-Calculations!$C$13))-(1/(Calculations!$C$8-Calculations!$C$13)))*((Calculations!$C$13-Calculations!$O182)/(Calculations!$C$13))-(Calculations!$O182/(Calculations!$C$13*Calculations!$C$13))*LN((Calculations!$C$8*(Calculations!$O182-Calculations!$C$13))/(Calculations!$O182*(Calculations!$C$8-Calculations!$C$13))))+'Reaction Information'!$J$29*10^-1*(Calculations!$M182-Calculations!$C$9)+'Reaction Information'!$K$29*10^2*LN((Calculations!$C$12+Calculations!$M182)/(Calculations!$C$12+Calculations!$C$9))+(1/(Calculations!$O182-Calculations!$C$13))*('Reaction Information'!$L$29*(Calculations!$M182-Calculations!$C$9)+'Reaction Information'!$M$29*10^4*LN((Calculations!$C$12+Calculations!$M182)/(Calculations!$C$12+Calculations!$C$9)))+calculateOmega(Calculations!M182,Calculations!N182,Calculations!Q182,'Reaction Information'!$C$29,'Reaction Information'!$P$29*10^5,'Reaction Information'!$Q$29)*((1/Calculations!$S182)-1)-'Reaction Information'!$P$29*10^5*((1/Calculations!$C$10)-1)+'Reaction Information'!$P$29*10^5*Calculations!$C$14*(Calculations!$O182-Calculations!$C$8))</f>
        <v>#N/A</v>
      </c>
      <c r="AK182" s="8" t="e">
        <f>IF(ISBLANK(Input!$AM$4),NA(),'Reaction Information'!$E$33-'Reaction Information'!$G$33*(Calculations!$O182-Calculations!$C$8)-'Reaction Information'!$N$33*(Calculations!$O182*LN(Calculations!$O182/Calculations!$C$8)-Calculations!$O182+Calculations!$C$8)-'Reaction Information'!$O$33*10^4*(((1/(Calculations!$O182-Calculations!$C$13))-(1/(Calculations!$C$8-Calculations!$C$13)))*((Calculations!$C$13-Calculations!$O182)/(Calculations!$C$13))-(Calculations!$O182/(Calculations!$C$13*Calculations!$C$13))*LN((Calculations!$C$8*(Calculations!$O182-Calculations!$C$13))/(Calculations!$O182*(Calculations!$C$8-Calculations!$C$13))))+'Reaction Information'!$J$33*10^-1*(Calculations!$M182-Calculations!$C$9)+'Reaction Information'!$K$33*10^2*LN((Calculations!$C$12+Calculations!$M182)/(Calculations!$C$12+Calculations!$C$9))+(1/(Calculations!$O182-Calculations!$C$13))*('Reaction Information'!$L$33*(Calculations!$M182-Calculations!$C$9)+'Reaction Information'!$M$33*10^4*LN((Calculations!$C$12+Calculations!$M182)/(Calculations!$C$12+Calculations!$C$9)))+calculateOmega(Calculations!M182,Calculations!N182,Calculations!Q182,'Reaction Information'!$C$33,'Reaction Information'!$P$33*10^5,'Reaction Information'!$Q$33)*((1/Calculations!$S182)-1)-'Reaction Information'!$P$33*10^5*((1/Calculations!$C$10)-1)+'Reaction Information'!$P$33*10^5*Calculations!$C$14*(Calculations!$O182-Calculations!$C$8))</f>
        <v>#N/A</v>
      </c>
      <c r="AL182" s="1">
        <f>Results!S184</f>
        <v>0</v>
      </c>
      <c r="AM182" s="1">
        <f>Results!T184</f>
        <v>0</v>
      </c>
      <c r="AN182" s="1">
        <f>Results!U184</f>
        <v>0</v>
      </c>
      <c r="AO182" s="1">
        <f>Results!V184</f>
        <v>0</v>
      </c>
      <c r="AP182" s="8" t="e">
        <f>IF(ISBLANK(Input!$BB$4),NA(),'Reaction Information'!$E$38-'Reaction Information'!$G$38*(Calculations!$O182-Calculations!$C$8)+'Reaction Information'!$I$38*(Calculations!$O182-Calculations!$C$8-Calculations!$O182*LN(Calculations!$O182/Calculations!$C$8))+'Reaction Information'!$J$38*0.001/2*(2*Calculations!$O182*Calculations!$C$8-Calculations!$O182^2-Calculations!$C$8^2) + 'Reaction Information'!$K$38*100000*(Calculations!$O182^2 + Calculations!$C$8^2 - 2*Calculations!$O182*Calculations!$C$8)/(2*Calculations!$O182*Calculations!$C$8^2))</f>
        <v>#N/A</v>
      </c>
      <c r="AQ182" s="8" t="e">
        <f>IF(ISBLANK(Input!$BE$4),NA(),'Reaction Information'!$E$42-'Reaction Information'!$G$42*(Calculations!$O182-Calculations!$C$8)+'Reaction Information'!$I$42*(Calculations!$O182-Calculations!$C$8-Calculations!$O182*LN(Calculations!$O182/Calculations!$C$8))+'Reaction Information'!$J$42*0.001/2*(2*Calculations!$O182*Calculations!$C$8-Calculations!$O182^2-Calculations!$C$8^2) + 'Reaction Information'!$K$42*100000*(Calculations!$O182^2 + Calculations!$C$8^2 - 2*Calculations!$O182*Calculations!$C$8)/(2*Calculations!$O182*Calculations!$C$8^2))</f>
        <v>#N/A</v>
      </c>
      <c r="AR182" s="8" t="e">
        <f>IF(AR$5="H2O", IF($D$24=3,IF(T182=0,NA(),T182),calculateGibbsOfWater(M182,N182,$D$24,$D$20,$D$19=3)),NA())</f>
        <v>#N/A</v>
      </c>
      <c r="AS182" s="8">
        <f>IF(ISBLANK(Input!$BK$4),NA(),'Reaction Information'!$E$46-'Reaction Information'!$G$46*(Calculations!O182-Calculations!$C$8)-'Reaction Information'!$N$46*(Calculations!O182*LN(Calculations!O182/Calculations!$C$8)-Calculations!O182+Calculations!$C$8)-'Reaction Information'!$O$46*10^4*(((1/(Calculations!O182-Calculations!$C$13))-(1/(Calculations!$C$8-Calculations!$C$13)))*((Calculations!$C$13-Calculations!O182)/(Calculations!$C$13))-(Calculations!O182/(Calculations!$C$13*Calculations!$C$13))*LN((Calculations!$C$8*(Calculations!O182-Calculations!$C$13))/(Calculations!O182*(Calculations!$C$8-Calculations!$C$13))))+'Reaction Information'!$J$46*10^-1*(Calculations!$M182-Calculations!$C$9)+'Reaction Information'!$K$46*10^2*LN((Calculations!$C$12+Calculations!$M182)/(Calculations!$C$12+Calculations!$C$9))+(1/(Calculations!O182-Calculations!$C$13))*('Reaction Information'!$L$46*(Calculations!$M182-Calculations!$C$9)+'Reaction Information'!$M$46*10^4*LN((Calculations!$C$12+Calculations!$M182)/(Calculations!$C$12+Calculations!$C$9)))+calculateOmega(Calculations!M182,Calculations!N182,Calculations!Q182,'Reaction Information'!$C$46,'Reaction Information'!$P$46*10^5,'Reaction Information'!$Q$46)*((1/Calculations!S182)-1)-'Reaction Information'!$P$46*10^5*((1/Calculations!$C$10)-1)+'Reaction Information'!$P$46*10^5*Calculations!$C$14*(Calculations!O182-Calculations!$C$8))</f>
        <v>0</v>
      </c>
      <c r="AT182" s="8">
        <f>IF(ISBLANK(Input!$BN$4),NA(),'Reaction Information'!$E$50-'Reaction Information'!$G$50*(Calculations!O182-Calculations!$C$8)-'Reaction Information'!$N$50*(Calculations!O182*LN(Calculations!O182/Calculations!$C$8)-Calculations!O182+Calculations!$C$8)-'Reaction Information'!$O$50*10^4*(((1/(Calculations!O182-Calculations!$C$13))-(1/(Calculations!$C$8-Calculations!$C$13)))*((Calculations!$C$13-Calculations!O182)/(Calculations!$C$13))-(Calculations!O182/(Calculations!$C$13*Calculations!$C$13))*LN((Calculations!$C$8*(Calculations!O182-Calculations!$C$13))/(Calculations!O182*(Calculations!$C$8-Calculations!$C$13))))+'Reaction Information'!$J$50*10^-1*(Calculations!$M182-Calculations!$C$9)+'Reaction Information'!$K$50*10^2*LN((Calculations!$C$12+Calculations!$M182)/(Calculations!$C$12+Calculations!$C$9))+(1/(Calculations!O182-Calculations!$C$13))*('Reaction Information'!$L$50*(Calculations!$M182-Calculations!$C$9)+'Reaction Information'!$M$50*10^4*LN((Calculations!$C$12+Calculations!$M182)/(Calculations!$C$12+Calculations!$C$9)))+calculateOmega(Calculations!M182,Calculations!N182,Calculations!Q182,'Reaction Information'!$C$50,'Reaction Information'!$P$50*10^5,'Reaction Information'!$Q$50)*((1/Calculations!S182)-1)-'Reaction Information'!$P$50*10^5*((1/Calculations!$C$10)-1)+'Reaction Information'!$P$50*10^5*Calculations!$C$14*(Calculations!O182-Calculations!$C$8))</f>
        <v>-122066.55840488953</v>
      </c>
      <c r="AU182" s="8" t="e">
        <f>IF(ISBLANK(Input!$BQ$4),NA(),'Reaction Information'!$E$54-'Reaction Information'!$G$54*(Calculations!$O182-Calculations!$C$8)-'Reaction Information'!$N$54*(Calculations!$O182*LN(Calculations!$O182/Calculations!$C$8)-Calculations!$O182+Calculations!$C$8)-'Reaction Information'!$O$54*10^4*(((1/(Calculations!$O182-Calculations!$C$13))-(1/(Calculations!$C$8-Calculations!$C$13)))*((Calculations!$C$13-Calculations!$O182)/(Calculations!$C$13))-(Calculations!$O182/(Calculations!$C$13*Calculations!$C$13))*LN((Calculations!$C$8*(Calculations!$O182-Calculations!$C$13))/(Calculations!$O182*(Calculations!$C$8-Calculations!$C$13))))+'Reaction Information'!$J$54*10^-1*(Calculations!$M182-Calculations!$C$9)+'Reaction Information'!$K$54*10^2*LN((Calculations!$C$12+Calculations!$M182)/(Calculations!$C$12+Calculations!$C$9))+(1/(Calculations!$O182-Calculations!$C$13))*('Reaction Information'!$L$54*(Calculations!$M182-Calculations!$C$9)+'Reaction Information'!$M$54*10^4*LN((Calculations!$C$12+Calculations!$M182)/(Calculations!$C$12+Calculations!$C$9)))+calculateOmega(Calculations!M182,Calculations!N182,Calculations!Q182,'Reaction Information'!$C$54,'Reaction Information'!$P$54*10^5,'Reaction Information'!$Q$54)*((1/Calculations!$S182)-1)-'Reaction Information'!$P$54*10^5*((1/Calculations!$C$10)-1)+'Reaction Information'!$P$54*10^5*Calculations!$C$14*(Calculations!$O182-Calculations!$C$8))</f>
        <v>#N/A</v>
      </c>
      <c r="AV182" s="8" t="e">
        <f>IF(ISBLANK(Input!$BT$4),NA(),'Reaction Information'!$E$58-'Reaction Information'!$G$58*(Calculations!$O182-Calculations!$C$8)-'Reaction Information'!$N$58*(Calculations!$O182*LN(Calculations!$O182/Calculations!$C$8)-Calculations!$O182+Calculations!$C$8)-'Reaction Information'!$O$58*10^4*(((1/(Calculations!$O182-Calculations!$C$13))-(1/(Calculations!$C$8-Calculations!$C$13)))*((Calculations!$C$13-Calculations!$O182)/(Calculations!$C$13))-(Calculations!$O182/(Calculations!$C$13*Calculations!$C$13))*LN((Calculations!$C$8*(Calculations!$O182-Calculations!$C$13))/(Calculations!$O182*(Calculations!$C$8-Calculations!$C$13))))+'Reaction Information'!$J$58*10^-1*(Calculations!$M182-Calculations!$C$9)+'Reaction Information'!$K$58*10^2*LN((Calculations!$C$12+Calculations!$M182)/(Calculations!$C$12+Calculations!$C$9))+(1/(Calculations!$O182-Calculations!$C$13))*('Reaction Information'!$L$58*(Calculations!$M182-Calculations!$C$9)+'Reaction Information'!$M$58*10^4*LN((Calculations!$C$12+Calculations!$M182)/(Calculations!$C$12+Calculations!$C$9)))+calculateOmega(Calculations!M182,Calculations!N182,Calculations!Q182,'Reaction Information'!$C$58,'Reaction Information'!$P$58*10^5,'Reaction Information'!$Q$58)*((1/Calculations!$S182)-1)-'Reaction Information'!$P$58*10^5*((1/Calculations!$C$10)-1)+'Reaction Information'!$P$58*10^5*Calculations!$C$14*(Calculations!$O182-Calculations!$C$8))</f>
        <v>#N/A</v>
      </c>
      <c r="AW182" s="8" t="e">
        <f>IF(ISBLANK(Input!$BW$4),NA(),'Reaction Information'!$E$62-'Reaction Information'!$G$62*(Calculations!$O182-Calculations!$C$8)-'Reaction Information'!$N$62*(Calculations!$O182*LN(Calculations!$O182/Calculations!$C$8)-Calculations!$O182+Calculations!$C$8)-'Reaction Information'!$O$62*10^4*(((1/(Calculations!$O182-Calculations!$C$13))-(1/(Calculations!$C$8-Calculations!$C$13)))*((Calculations!$C$13-Calculations!$O182)/(Calculations!$C$13))-(Calculations!$O182/(Calculations!$C$13*Calculations!$C$13))*LN((Calculations!$C$8*(Calculations!$O182-Calculations!$C$13))/(Calculations!$O182*(Calculations!$C$8-Calculations!$C$13))))+'Reaction Information'!$J$62*10^-1*(Calculations!$M182-Calculations!$C$9)+'Reaction Information'!$K$62*10^2*LN((Calculations!$C$12+Calculations!$M182)/(Calculations!$C$12+Calculations!$C$9))+(1/(Calculations!$O182-Calculations!$C$13))*('Reaction Information'!$L$62*(Calculations!$M182-Calculations!$C$9)+'Reaction Information'!$M$62*10^4*LN((Calculations!$C$12+Calculations!$M182)/(Calculations!$C$12+Calculations!$C$9)))+calculateOmega(Calculations!M182,Calculations!N182,Calculations!Q182,'Reaction Information'!$C$62,'Reaction Information'!$P$62*10^5,'Reaction Information'!$Q$62)*((1/Calculations!$S182)-1)-'Reaction Information'!$P$62*10^5*((1/Calculations!$C$10)-1)+'Reaction Information'!$P$62*10^5*Calculations!$C$14*(Calculations!$O182-Calculations!$C$8))</f>
        <v>#N/A</v>
      </c>
      <c r="AX182" s="8" t="e">
        <f>IF(ISBLANK(Input!$BZ$4),NA(),'Reaction Information'!$E$66-'Reaction Information'!$G$66*(Calculations!$O182-Calculations!$C$8)-'Reaction Information'!$N$66*(Calculations!$O182*LN(Calculations!$O182/Calculations!$C$8)-Calculations!$O182+Calculations!$C$8)-'Reaction Information'!$O$66*10^4*(((1/(Calculations!$O182-Calculations!$C$13))-(1/(Calculations!$C$8-Calculations!$C$13)))*((Calculations!$C$13-Calculations!$O182)/(Calculations!$C$13))-(Calculations!$O182/(Calculations!$C$13*Calculations!$C$13))*LN((Calculations!$C$8*(Calculations!$O182-Calculations!$C$13))/(Calculations!$O182*(Calculations!$C$8-Calculations!$C$13))))+'Reaction Information'!$J$66*10^-1*(Calculations!$M182-Calculations!$C$9)+'Reaction Information'!$K$66*10^2*LN((Calculations!$C$12+Calculations!$M182)/(Calculations!$C$12+Calculations!$C$9))+(1/(Calculations!$O182-Calculations!$C$13))*('Reaction Information'!$L$66*(Calculations!$M182-Calculations!$C$9)+'Reaction Information'!$M$66*10^4*LN((Calculations!$C$12+Calculations!$M182)/(Calculations!$C$12+Calculations!$C$9)))+calculateOmega(Calculations!M182,Calculations!N182,Calculations!Q182,'Reaction Information'!$C$66,'Reaction Information'!$P$66*10^5,'Reaction Information'!$Q$66)*((1/Calculations!$S182)-1)-'Reaction Information'!$P$66*10^5*((1/Calculations!$C$10)-1)+'Reaction Information'!$P$66*10^5*Calculations!$C$14*(Calculations!$O182-Calculations!$C$8))</f>
        <v>#N/A</v>
      </c>
      <c r="AY182" s="31">
        <f>(AL182*Input!$AO$4+AM182*Input!$AR$4+AN182*Input!$AU$4+AO182*Input!$AX$4+IF(ISNA(AP182),0,AP182*Input!$BA$4)+IF(ISNA(AQ182),0,AQ182*Input!$BD$4)+IF(ISNA(AR182),0,AR182*Input!$BG$4)+IF(ISNA(AS182),0,AS182*Input!$BJ$4)+IF(ISNA(AT182),0,AT182*Input!$BM$4)+IF(ISNA(AU182),0,AU182*Input!$BP$4)+IF(ISNA(AV182),0,AV182*Input!$BS$4)+IF(ISNA(AW182),0,AW182*Input!$BV$4)+IF(ISNA(AX182),0,AX182*Input!$BY$4))-(Y182*Input!$B$4+Z182*Input!$E$4+AA182*Input!$H$4+AB182*Input!$K$4+IF(ISNA(AC182),0,AC182*Input!$N$4)+IF(ISNA(AD182),0,AD182*Input!$Q$4)+IF(ISNA(AE182),0,AE182*Input!$T$4)+IF(ISNA(AF182),0,AF182*Input!$W$4)+IF(ISNA(AG182),0,AG182*Input!$Z$4)+IF(ISNA(AH182),0,AH182*Input!$AC$4)+IF(ISNA(AI182),0,AI182*Input!$AF$4)+IF(ISNA(AJ182),0,AJ182*Input!$AI$4)+IF(ISNA(AK182),0,AK182*Input!$AL$4))</f>
        <v>18716.676111969413</v>
      </c>
      <c r="AZ182" s="42">
        <f t="shared" si="54"/>
        <v>-3.6443731403859343</v>
      </c>
      <c r="BA182" s="1">
        <f t="shared" si="46"/>
        <v>850</v>
      </c>
      <c r="BB182" s="46">
        <f t="shared" si="47"/>
        <v>60000</v>
      </c>
      <c r="BC182" s="1"/>
      <c r="BD182" s="2">
        <f t="shared" si="48"/>
        <v>60000</v>
      </c>
      <c r="BE182" s="46">
        <f t="shared" si="49"/>
        <v>850</v>
      </c>
      <c r="BF182" s="1">
        <f>Results!AJ184</f>
        <v>0</v>
      </c>
      <c r="BG182" s="1">
        <f>Results!AK184</f>
        <v>0</v>
      </c>
      <c r="BH182" s="1">
        <f>Results!AL184</f>
        <v>0</v>
      </c>
      <c r="BI182" s="1">
        <f>Results!AM184</f>
        <v>0</v>
      </c>
      <c r="BJ182" s="1" t="e">
        <f>IF(OR(ISNA('Reaction Information'!$D$5), $N182 = "", $D$27 = FALSE, 'Reaction Information'!$D$5 = ""), NA(), 24.465)</f>
        <v>#N/A</v>
      </c>
      <c r="BK182" s="1" t="e">
        <f>IF(OR(ISNA('Reaction Information'!$D$9), $N182 = "", $D$27 = FALSE, 'Reaction Information'!$D$9 = ""), NA(), 24.465)</f>
        <v>#N/A</v>
      </c>
      <c r="BL182" s="8">
        <f t="shared" si="55"/>
        <v>13.024106728205178</v>
      </c>
      <c r="BM182" s="8">
        <f>IF(OR(ISBLANK(Input!$X$4),$D$27=FALSE),NA(),('Reaction Information'!$J$13/10+'Reaction Information'!$K$13*100/(Calculations!$C$12+Calculations!$M182)+('Reaction Information'!$L$13+'Reaction Information'!$M$13*10^4/(Calculations!$C$12+Calculations!$M182))/(Calculations!$O182-Calculations!$C$13) -calculateOmega(Calculations!$M182,Calculations!$N182,Calculations!$Q182,'Reaction Information'!$C$13,'Reaction Information'!$P$13*10^5,'Reaction Information'!$Q$13)*Calculations!$U182*10^-6 + (1/$S182 - 1)*calculate_domegadP(Calculations!$M182,Calculations!$N182,Calculations!$Q182,'Reaction Information'!$C$13,'Reaction Information'!$P$13*10^5,'Reaction Information'!$Q$13,$D$20,$D$19=3))*41.84)</f>
        <v>29.859271443276569</v>
      </c>
      <c r="BN182" s="8" t="e">
        <f>IF(OR(ISBLANK(Input!$AA$4),$D$27=FALSE),NA(),('Reaction Information'!$J$17/10+'Reaction Information'!$K$17*100/(Calculations!$C$12+Calculations!$M182)+('Reaction Information'!$L$17+'Reaction Information'!$M$17*10000/(Calculations!$C$12+Calculations!$M182))/(Calculations!$O182-Calculations!$C$13)-calculateOmega(Calculations!M182,Calculations!N182,Calculations!Q182,'Reaction Information'!$C$17,'Reaction Information'!$P$17*10^5,'Reaction Information'!$Q$17)*Calculations!$U182*10^-6 + (1/$S182 - 1)*calculate_domegadP(Calculations!M182,Calculations!N182,Calculations!Q182,'Reaction Information'!$C$17,'Reaction Information'!$P$17*10^5,'Reaction Information'!$Q$17,$D$20,$D$19=3))*41.84)</f>
        <v>#N/A</v>
      </c>
      <c r="BO182" s="8" t="e">
        <f>IF(OR(ISBLANK(Input!$AD$4),$D$27=FALSE),NA(),('Reaction Information'!$J$21/10+'Reaction Information'!$K$21*100/(Calculations!$C$12+Calculations!$M182)+('Reaction Information'!$L$21+'Reaction Information'!$M$21*10000/(Calculations!$C$12+Calculations!$M182))/(Calculations!$O182-Calculations!$C$13)-calculateOmega(Calculations!M182,Calculations!N182,Calculations!Q182,'Reaction Information'!$C$21,'Reaction Information'!$P$21*10^5,'Reaction Information'!$Q$21)*Calculations!$U182*10^-6 + (1/$S182 - 1)*calculate_domegadP(Calculations!M182,Calculations!N182,Calculations!Q182,'Reaction Information'!$C$21,'Reaction Information'!$P$21*10^5,'Reaction Information'!$Q$21,$D$20,$D$19=3))*41.84)</f>
        <v>#N/A</v>
      </c>
      <c r="BP182" s="8" t="e">
        <f>IF(OR(ISBLANK(Input!$AG$4),$D$27=FALSE),NA(),('Reaction Information'!$J$25/10+'Reaction Information'!$K$25*100/(Calculations!$C$12+Calculations!$M182)+('Reaction Information'!$L$25+'Reaction Information'!$M$25*10000/(Calculations!$C$12+Calculations!$M182))/(Calculations!$O182-Calculations!$C$13)-calculateOmega(Calculations!M182,Calculations!N182,Calculations!Q182,'Reaction Information'!$C$25,'Reaction Information'!$P$25*10^5,'Reaction Information'!$Q$25)*Calculations!$U182*10^-6 + (1/$S182 - 1)*calculate_domegadP(Calculations!M182,Calculations!N182,Calculations!Q182,'Reaction Information'!$C$25,'Reaction Information'!$P$25*10^5,'Reaction Information'!$Q$25,$D$20,$D$19=3))*41.84)</f>
        <v>#N/A</v>
      </c>
      <c r="BQ182" s="8" t="e">
        <f>IF(OR(ISBLANK(Input!$AJ$4),$D$27=FALSE),NA(),('Reaction Information'!$J$29/10+'Reaction Information'!$K$29*100/(Calculations!$C$12+Calculations!$M182)+('Reaction Information'!$L$29+'Reaction Information'!$M$29*10000/(Calculations!$C$12+Calculations!$M182))/(Calculations!$O182-Calculations!$C$13)-calculateOmega(Calculations!M182,Calculations!N182,Calculations!Q182,'Reaction Information'!$C$29,'Reaction Information'!$P$29*10^5,'Reaction Information'!$Q$29)*Calculations!$U182*10^-6 + (1/$S182 - 1)*calculate_domegadP(Calculations!M182,Calculations!N182,Calculations!Q182,'Reaction Information'!$C$29,'Reaction Information'!$P$29*10^5,'Reaction Information'!$Q$29,$D$20,$D$19=3))*41.84)</f>
        <v>#N/A</v>
      </c>
      <c r="BR182" s="8" t="e">
        <f>IF(OR(ISBLANK(Input!$AM$4),$D$27=FALSE),NA(),('Reaction Information'!$J$33/10+'Reaction Information'!$K$33*100/(Calculations!$C$12+Calculations!$M182)+('Reaction Information'!$L$33+'Reaction Information'!$M$33*10000/(Calculations!$C$12+Calculations!$M182))/(Calculations!$O182-Calculations!$C$13)-calculateOmega(Calculations!M182,Calculations!N182,Calculations!Q182,'Reaction Information'!$C$33,'Reaction Information'!$P$33*10^5,'Reaction Information'!$Q$33)*Calculations!$U182*10^-6 + (1/$S182 - 1)*calculate_domegadP(Calculations!M182,Calculations!N182,Calculations!Q182,'Reaction Information'!$C$33,'Reaction Information'!$P$33*10^5,'Reaction Information'!$Q$33,$D$20,$D$19=3))*41.84)</f>
        <v>#N/A</v>
      </c>
      <c r="BS182" s="1">
        <f>Results!AW184</f>
        <v>0</v>
      </c>
      <c r="BT182" s="1">
        <f>Results!AX184</f>
        <v>0</v>
      </c>
      <c r="BU182" s="1">
        <f>Results!AY184</f>
        <v>0</v>
      </c>
      <c r="BV182" s="1">
        <f>Results!AZ184</f>
        <v>0</v>
      </c>
      <c r="BW182" s="1" t="e">
        <f>IF(OR(ISNA('Reaction Information'!$D$38), $N182 = "", $D$27 = FALSE, 'Reaction Information'!$D$38 = ""), NA(), 24.465)</f>
        <v>#N/A</v>
      </c>
      <c r="BX182" s="1" t="e">
        <f>IF(OR(ISNA('Reaction Information'!$D$42), $N182 = "", $D$27 = FALSE, 'Reaction Information'!$D$42 = ""), NA(), 24.465)</f>
        <v>#N/A</v>
      </c>
      <c r="BY182" s="8" t="e">
        <f t="shared" si="56"/>
        <v>#N/A</v>
      </c>
      <c r="BZ182" s="8">
        <f>IF(OR(ISBLANK(Input!$BK$4),$D$27=FALSE),NA(),('Reaction Information'!$J$46/10+'Reaction Information'!$K$46*100/(Calculations!$C$12+Calculations!$M182)+('Reaction Information'!$L$46+'Reaction Information'!$M$46*10000/(Calculations!$C$12+Calculations!$M182))/(Calculations!$O182-Calculations!$C$13)-calculateOmega(Calculations!M182,Calculations!N182,Calculations!Q182,'Reaction Information'!$C$46,'Reaction Information'!$P$46*10^5,'Reaction Information'!$Q$46)*Calculations!$U182*10^-6 + (1/$S182 - 1)*calculate_domegadP(Calculations!M182,Calculations!N182,Calculations!Q182,'Reaction Information'!$C$46,'Reaction Information'!$P$46*10^5,'Reaction Information'!$Q$46,$D$20,$D$19=3))*41.84)</f>
        <v>0</v>
      </c>
      <c r="CA182" s="8">
        <f>IF(OR(ISBLANK(Input!$BN$4),$D$27=FALSE),NA(),('Reaction Information'!$J$50/10+'Reaction Information'!$K$50*100/(Calculations!$C$12+Calculations!$M182)+('Reaction Information'!$L$50+'Reaction Information'!$M$50*10000/(Calculations!$C$12+Calculations!$M182))/(Calculations!$O182-Calculations!$C$13)-calculateOmega(Calculations!M182,Calculations!N182,Calculations!Q182,'Reaction Information'!$C$50,'Reaction Information'!$P$50*10^5,'Reaction Information'!$Q$50)*Calculations!$U182*10^-6 + (1/$S182 - 1)*calculate_domegadP(Calculations!M182,Calculations!N182,Calculations!Q182,'Reaction Information'!$C$50,'Reaction Information'!$P$50*10^5,'Reaction Information'!$Q$50,$D$20,$D$19=3))*41.84)</f>
        <v>31.349260245528665</v>
      </c>
      <c r="CB182" s="8" t="e">
        <f>IF(OR(ISBLANK(Input!$BQ$4),$D$27=FALSE),NA(),('Reaction Information'!$J$54/10+'Reaction Information'!$K$54*100/(Calculations!$C$12+Calculations!$M182)+('Reaction Information'!$L$54+'Reaction Information'!$M$54*10000/(Calculations!$C$12+Calculations!$M182))/(Calculations!$O182-Calculations!$C$13)-calculateOmega(Calculations!M182,Calculations!N182,Calculations!Q182,'Reaction Information'!$C$54,'Reaction Information'!$P$54*10^5,'Reaction Information'!$Q$54)*Calculations!$U182*10^-6 + (1/$S182 - 1)*calculate_domegadP(Calculations!M182,Calculations!N182,Calculations!Q182,'Reaction Information'!$C$54,'Reaction Information'!$P$54*10^5,'Reaction Information'!$Q$54,$D$20,$D$19=3))*41.84)</f>
        <v>#N/A</v>
      </c>
      <c r="CC182" s="8" t="e">
        <f>IF(OR(ISBLANK(Input!$BT$4),$D$27=FALSE),NA(),('Reaction Information'!$J$58/10+'Reaction Information'!$K$58*100/(Calculations!$C$12+Calculations!$M182)+('Reaction Information'!$L$58+'Reaction Information'!$M$58*10000/(Calculations!$C$12+Calculations!$M182))/(Calculations!$O182-Calculations!$C$13)-calculateOmega(Calculations!M182,Calculations!N182,Calculations!Q182,'Reaction Information'!$C$58,'Reaction Information'!$P$58*10^5,'Reaction Information'!$Q$58)*Calculations!$U182*10^-6 + (1/$S182 - 1)*calculate_domegadP(Calculations!M182,Calculations!N182,Calculations!Q182,'Reaction Information'!$C$58,'Reaction Information'!$P$58*10^5,'Reaction Information'!$Q$58,$D$20,$D$19=3))*41.84)</f>
        <v>#N/A</v>
      </c>
      <c r="CD182" s="8" t="e">
        <f>IF(OR(ISBLANK(Input!$BW$4),$D$27=FALSE),NA(),('Reaction Information'!$J$62/10+'Reaction Information'!$K$62*100/(Calculations!$C$12+Calculations!$M182)+('Reaction Information'!$L$62+'Reaction Information'!$M$62*10000/(Calculations!$C$12+Calculations!$M182))/(Calculations!$O182-Calculations!$C$13)-calculateOmega(Calculations!M182,Calculations!N182,Calculations!Q182,'Reaction Information'!$C$62,'Reaction Information'!$P$62*10^5,'Reaction Information'!$Q$62)*Calculations!$U182*10^-6 + (1/$S182 - 1)*calculate_domegadP(Calculations!M182,Calculations!N182,Calculations!Q182,'Reaction Information'!$C$62,'Reaction Information'!$P$62*10^5,'Reaction Information'!$Q$62,$D$20,$D$19=3))*41.84)</f>
        <v>#N/A</v>
      </c>
      <c r="CE182" s="8" t="e">
        <f>IF(OR(ISBLANK(Input!$BZ$4),$D$27=FALSE),NA(),('Reaction Information'!$J$66/10+'Reaction Information'!$K$66*100/(Calculations!$C$12+Calculations!$M182)+('Reaction Information'!$L$66+'Reaction Information'!$M$66*10000/(Calculations!$C$12+Calculations!$M182))/(Calculations!$O182-Calculations!$C$13)-calculateOmega(Calculations!M182,Calculations!N182,Calculations!Q182,'Reaction Information'!$C$66,'Reaction Information'!$P$66*10^5,'Reaction Information'!$Q$66)*Calculations!$U182*10^-6 + (1/$S182 - 1)*calculate_domegadP(Calculations!M182,Calculations!N182,Calculations!Q182,'Reaction Information'!$C$66,'Reaction Information'!$P$66*10^5,'Reaction Information'!$Q$66,$D$20,$D$19=3))*41.84)</f>
        <v>#N/A</v>
      </c>
      <c r="CF182" s="31">
        <f>(BS182*Input!$AO$4+BT182*Input!$AR$4+BU182*Input!$AU$4+BV182*Input!$AX$4+IF(ISNA(BW182),0,BW182*Input!$BA$4)+IF(ISNA(BX182),0,BX182*Input!$BD$4)+IF(ISNA(BY182),0,BY182*Input!$BG$4)+IF(ISNA(BZ182),0,BZ182*Input!$BJ$4)+IF(ISNA(CA182),0,CA182*Input!$BM$4)+IF(ISNA(CB182),0,CB182*Input!$BP$4)+IF(ISNA(CC182),0,CC182*Input!$BS$4)+IF(ISNA(CD182),0,CD182*Input!$BV$4)+IF(ISNA(CE182),0,CE182*Input!$BY$4))-(BF182*Input!$B$4+BG182*Input!$E$4+BH182*Input!$H$4+BI182*Input!$K$4+IF(ISNA(BJ182),0,BJ182*Input!$N$4)+IF(ISNA(BK182),0,BK182*Input!$Q$4)+IF(ISNA(BL182),0,BL182*Input!$T$4)+IF(ISNA(BM182),0,BM182*Input!$W$4)+IF(ISNA(BN182),0,BN182*Input!$Z$4)+IF(ISNA(BO182),0,BO182*Input!$AC$4)+IF(ISNA(BP182),0,BP182*Input!$AF$4)+IF(ISNA(BQ182),0,BQ182*Input!$AI$4)+IF(ISNA(BR182),0,BR182*Input!$AL$4))</f>
        <v>-11.53411792595308</v>
      </c>
      <c r="CG182" s="1">
        <f t="shared" si="50"/>
        <v>850</v>
      </c>
      <c r="CH182" s="46">
        <f t="shared" si="51"/>
        <v>60000</v>
      </c>
      <c r="CI182" s="1"/>
    </row>
    <row r="183" spans="1:87" x14ac:dyDescent="0.2">
      <c r="A183" s="1"/>
      <c r="B183" s="1"/>
      <c r="C183" s="1"/>
      <c r="D183" s="1"/>
      <c r="E183" s="1"/>
      <c r="F183" s="2">
        <v>178</v>
      </c>
      <c r="G183" s="1" t="str">
        <f>IF(ISBLANK(Input!CB183), "", Input!CB183*1000)</f>
        <v/>
      </c>
      <c r="H183" s="1" t="str">
        <f>IF(ISBLANK(Input!CC183), "", Input!CC183)</f>
        <v/>
      </c>
      <c r="I183" s="1">
        <f>IF(Input!$CF$5 + Input!$CF$6*(FLOOR((Calculations!$F183-1)/(FLOOR((Input!$CF$12-Input!$CF$10)/Input!$CF$11,1)+1),1)) &gt; Input!$CF$7, "", (Input!$CF$5 + Input!$CF$6*(FLOOR((Calculations!$F183-1)/(FLOOR((Input!$CF$12-Input!$CF$10)/Input!$CF$11,1)+1),1)))*1000)</f>
        <v>60000</v>
      </c>
      <c r="J183" s="1">
        <f>IF(Calculations!I183 = "", "", Input!$CF$10 + Input!$CF$11*(Calculations!$F183-1) - (FLOOR((Input!$CF$12-Input!$CF$10)/Input!$CF$11,1)+1)*Input!$CF$11*FLOOR((Calculations!$F183-1)/(FLOOR((Input!$CF$12-Input!$CF$10)/Input!$CF$11,1)+1),1))</f>
        <v>900</v>
      </c>
      <c r="K183" s="8" t="str">
        <f t="shared" si="52"/>
        <v/>
      </c>
      <c r="L183" s="117" t="str">
        <f>IF(OR(Input!$CJ$5 + Input!$CJ$6*(Calculations!F183-1) &gt; Input!$CJ$7, Input!$CJ$5 + Input!$CJ$6*(Calculations!F183-1) &gt; 350), "", Input!$CJ$5 + Input!$CJ$6*(Calculations!F183-1))</f>
        <v/>
      </c>
      <c r="M183" s="1">
        <f t="shared" si="42"/>
        <v>60000</v>
      </c>
      <c r="N183" s="1">
        <f t="shared" si="43"/>
        <v>900</v>
      </c>
      <c r="O183" s="1">
        <f t="shared" si="53"/>
        <v>1173.1500000000001</v>
      </c>
      <c r="P183" s="1" t="e">
        <f>IF(OR($D$20=3,AND($D$21=TRUE,M183&lt;1000)),INDEX('Water Density'!$C$6:$CX$120,MATCH(Calculations!N183,'Water Density'!$B$6:$B$120),MATCH(Calculations!M183/1000,'Water Density'!$C$5:$CX$5)),NA())</f>
        <v>#N/A</v>
      </c>
      <c r="Q183" s="182">
        <f>IF(OR($D$20=3,AND($D$21=TRUE,M183&lt;1000)), IF(P183&lt;&gt;0,P183,NA()), calculateDensity(M183,N183,$D$20,0.01,$D$19 = 3))</f>
        <v>1.3715643869838119</v>
      </c>
      <c r="R183" s="1" t="e">
        <f>IF($D$22=5,INDEX('Dielectric Constant'!$C$6:$CX$120,MATCH(Calculations!N183,'Dielectric Constant'!$B$6:$B$120),MATCH(Calculations!M183/1000,'Dielectric Constant'!$C$5:$CX$5)),NA())</f>
        <v>#N/A</v>
      </c>
      <c r="S183" s="58">
        <f>IF($D$22=5, IF(R183&lt;&gt;0,R183,NA()), IF(AND($D$23,M183&lt;=5000,$D$19 &lt;&gt; 3),calculateEpsilon(Q183,N183,1,FALSE),calculateEpsilon(Q183,N183,$D$22,$D$19 = 3)))</f>
        <v>21.117575576219771</v>
      </c>
      <c r="T183" s="1" t="e">
        <f>IF($D$24=3,INDEX('Water Free Energy'!$C$6:$CX$120,MATCH(Calculations!N183,'Water Free Energy'!$B$6:$B$120),MATCH(Calculations!M183/1000,'Water Free Energy'!$C$5:$CX$5)),NA())</f>
        <v>#N/A</v>
      </c>
      <c r="U183" s="179">
        <f>IF($D$27,calculateQ(M183,N183,Q183,$D$20,$D$22,$D$19=3)*10^6,NA())</f>
        <v>0.14365238790719292</v>
      </c>
      <c r="V183"/>
      <c r="W183" s="2">
        <f t="shared" si="44"/>
        <v>60000</v>
      </c>
      <c r="X183" s="1">
        <f t="shared" si="45"/>
        <v>900</v>
      </c>
      <c r="Y183" s="1">
        <f>Results!F185</f>
        <v>0</v>
      </c>
      <c r="Z183" s="1">
        <f>Results!G185</f>
        <v>0</v>
      </c>
      <c r="AA183" s="1">
        <f>Results!H185</f>
        <v>0</v>
      </c>
      <c r="AB183" s="1">
        <f>Results!I185</f>
        <v>0</v>
      </c>
      <c r="AC183" s="1" t="e">
        <f>IF(ISBLANK(Input!$O$4),NA(),'Reaction Information'!$E$5-'Reaction Information'!$G$5*(Calculations!$O183-Calculations!$C$8)+'Reaction Information'!$I$5*(Calculations!$O183-Calculations!$C$8-Calculations!$O183*LN(Calculations!$O183/Calculations!$C$8))+'Reaction Information'!$J$5*0.001/2*(2*Calculations!$O183*Calculations!$C$8-Calculations!$O183^2-Calculations!$C$8^2) + 'Reaction Information'!$K$5*100000*(Calculations!$O183^2 + Calculations!$C$8^2 - 2*Calculations!$O183*Calculations!$C$8)/(2*Calculations!$O183*Calculations!$C$8^2))</f>
        <v>#N/A</v>
      </c>
      <c r="AD183" s="8" t="e">
        <f>IF(ISBLANK(Input!$R$4),NA(),'Reaction Information'!$E$9-'Reaction Information'!$G$9*(Calculations!$O183-Calculations!$C$8)+'Reaction Information'!$I$9*(Calculations!$O183-Calculations!$C$8-Calculations!$O183*LN(Calculations!$O183/Calculations!$C$8))+'Reaction Information'!$J$9*0.001/2*(2*Calculations!$O183*Calculations!$C$8-Calculations!$O183^2-Calculations!$C$8^2) + 'Reaction Information'!$K$9*100000*(Calculations!$O183^2 + Calculations!$C$8^2 - 2*Calculations!$O183*Calculations!$C$8)/(2*Calculations!$O183*Calculations!$C$8^2))</f>
        <v>#N/A</v>
      </c>
      <c r="AE183" s="8">
        <f>IF(AE$5="H2O",IF($D$24=3,IF(T183=0,NA(),T183),calculateGibbsOfWater(M183,N183,$D$24,$D$20,$D$19=3)),NA())</f>
        <v>-58704.442054446408</v>
      </c>
      <c r="AF183" s="8">
        <f>IF(ISBLANK(Input!$X$4),NA(),'Reaction Information'!$E$13-'Reaction Information'!$G$13*(Calculations!O183-Calculations!$C$8)-'Reaction Information'!$N$13*(Calculations!O183*LN(Calculations!O183/Calculations!$C$8)-Calculations!O183+Calculations!$C$8)-'Reaction Information'!$O$13*10^4*(((1/(Calculations!O183-Calculations!$C$13))-(1/(Calculations!$C$8-Calculations!$C$13)))*((Calculations!$C$13-Calculations!O183)/(Calculations!$C$13))-(Calculations!O183/(Calculations!$C$13*Calculations!$C$13))*LN((Calculations!$C$8*(Calculations!O183-Calculations!$C$13))/(Calculations!O183*(Calculations!$C$8-Calculations!$C$13))))+'Reaction Information'!$J$13*10^-1*(Calculations!M183-Calculations!$C$9)+'Reaction Information'!$K$13*10^2*LN((Calculations!$C$12+Calculations!M183)/(Calculations!$C$12+Calculations!$C$9))+(1/(Calculations!O183-Calculations!$C$13))*('Reaction Information'!$L$13*(Calculations!M183-Calculations!$C$9)+'Reaction Information'!$M$13*10^4*LN((Calculations!$C$12+Calculations!M183)/(Calculations!$C$12+Calculations!$C$9)))+calculateOmega(Calculations!M183,Calculations!N183,Calculations!Q183,'Reaction Information'!$C$13,'Reaction Information'!$P$13*10^5,'Reaction Information'!$Q$13)*((1/Calculations!S183)-1)-'Reaction Information'!$P$13*10^5*((1/Calculations!$C$10)-1)+'Reaction Information'!$P$13*10^5*Calculations!$C$14*(Calculations!O183-Calculations!$C$8))</f>
        <v>-86105.002506635414</v>
      </c>
      <c r="AG183" s="8" t="e">
        <f>IF(ISBLANK(Input!$AA$4),NA(),'Reaction Information'!$E$17-'Reaction Information'!$G$17*(Calculations!$O183-Calculations!$C$8)-'Reaction Information'!$N$17*(Calculations!$O183*LN(Calculations!$O183/Calculations!$C$8)-Calculations!$O183+Calculations!$C$8)-'Reaction Information'!$O$17*10^4*(((1/(Calculations!$O183-Calculations!$C$13))-(1/(Calculations!$C$8-Calculations!$C$13)))*((Calculations!$C$13-Calculations!$O183)/(Calculations!$C$13))-(Calculations!$O183/(Calculations!$C$13*Calculations!$C$13))*LN((Calculations!$C$8*(Calculations!$O183-Calculations!$C$13))/(Calculations!$O183*(Calculations!$C$8-Calculations!$C$13))))+'Reaction Information'!$J$17*10^-1*(Calculations!$M183-Calculations!$C$9)+'Reaction Information'!$K$17*10^2*LN((Calculations!$C$12+Calculations!$M183)/(Calculations!$C$12+Calculations!$C$9))+(1/(Calculations!$O183-Calculations!$C$13))*('Reaction Information'!$L$17*(Calculations!$M183-Calculations!$C$9)+'Reaction Information'!$M$17*10^4*LN((Calculations!$C$12+Calculations!$M183)/(Calculations!$C$12+Calculations!$C$9)))+calculateOmega(Calculations!M183,Calculations!N183,Calculations!Q183,'Reaction Information'!$C$17,'Reaction Information'!$P$17*10^5,'Reaction Information'!$Q$17)*((1/Calculations!$S183)-1)-'Reaction Information'!$P$17*10^5*((1/Calculations!$C$10)-1)+'Reaction Information'!$P$17*10^5*Calculations!$C$14*(Calculations!$O183-Calculations!$C$8))</f>
        <v>#N/A</v>
      </c>
      <c r="AH183" s="8" t="e">
        <f>IF(ISBLANK(Input!$AD$4),NA(),'Reaction Information'!$E$21-'Reaction Information'!$G$21*(Calculations!$O183-Calculations!$C$8)-'Reaction Information'!$N$21*(Calculations!$O183*LN(Calculations!$O183/Calculations!$C$8)-Calculations!$O183+Calculations!$C$8)-'Reaction Information'!$O$21*10^4*(((1/(Calculations!$O183-Calculations!$C$13))-(1/(Calculations!$C$8-Calculations!$C$13)))*((Calculations!$C$13-Calculations!$O183)/(Calculations!$C$13))-(Calculations!$O183/(Calculations!$C$13*Calculations!$C$13))*LN((Calculations!$C$8*(Calculations!$O183-Calculations!$C$13))/(Calculations!$O183*(Calculations!$C$8-Calculations!$C$13))))+'Reaction Information'!$J$21*10^-1*(Calculations!$M183-Calculations!$C$9)+'Reaction Information'!$K$21*10^2*LN((Calculations!$C$12+Calculations!$M183)/(Calculations!$C$12+Calculations!$C$9))+(1/(Calculations!$O183-Calculations!$C$13))*('Reaction Information'!$L$21*(Calculations!$M183-Calculations!$C$9)+'Reaction Information'!$M$21*10^4*LN((Calculations!$C$12+Calculations!$M183)/(Calculations!$C$12+Calculations!$C$9)))+calculateOmega(Calculations!M183,Calculations!N183,Calculations!Q183,'Reaction Information'!$C$21,'Reaction Information'!$P$21*10^5,'Reaction Information'!$Q$21)*((1/Calculations!$S183)-1)-'Reaction Information'!$P$21*10^5*((1/Calculations!$C$10)-1)+'Reaction Information'!$P$21*10^5*Calculations!$C$14*(Calculations!$O183-Calculations!$C$8))</f>
        <v>#N/A</v>
      </c>
      <c r="AI183" s="8" t="e">
        <f>IF(ISBLANK(Input!$AG$4),NA(),'Reaction Information'!$E$25-'Reaction Information'!$G$25*(Calculations!$O183-Calculations!$C$8)-'Reaction Information'!$N$25*(Calculations!$O183*LN(Calculations!$O183/Calculations!$C$8)-Calculations!$O183+Calculations!$C$8)-'Reaction Information'!$O$25*10^4*(((1/(Calculations!$O183-Calculations!$C$13))-(1/(Calculations!$C$8-Calculations!$C$13)))*((Calculations!$C$13-Calculations!$O183)/(Calculations!$C$13))-(Calculations!$O183/(Calculations!$C$13*Calculations!$C$13))*LN((Calculations!$C$8*(Calculations!$O183-Calculations!$C$13))/(Calculations!$O183*(Calculations!$C$8-Calculations!$C$13))))+'Reaction Information'!$J$25*10^-1*(Calculations!$M183-Calculations!$C$9)+'Reaction Information'!$K$25*10^2*LN((Calculations!$C$12+Calculations!$M183)/(Calculations!$C$12+Calculations!$C$9))+(1/(Calculations!$O183-Calculations!$C$13))*('Reaction Information'!$L$25*(Calculations!$M183-Calculations!$C$9)+'Reaction Information'!$M$25*10^4*LN((Calculations!$C$12+Calculations!$M183)/(Calculations!$C$12+Calculations!$C$9)))+calculateOmega(Calculations!M183,Calculations!N183,Calculations!Q183,'Reaction Information'!$C$25,'Reaction Information'!$P$25*10^5,'Reaction Information'!$Q$25)*((1/Calculations!$S183)-1)-'Reaction Information'!$P$25*10^5*((1/Calculations!$C$10)-1)+'Reaction Information'!$P$25*10^5*Calculations!$C$14*(Calculations!$O183-Calculations!$C$8))</f>
        <v>#N/A</v>
      </c>
      <c r="AJ183" s="8" t="e">
        <f>IF(ISBLANK(Input!$AJ$4),NA(),'Reaction Information'!$E$29-'Reaction Information'!$G$29*(Calculations!$O183-Calculations!$C$8)-'Reaction Information'!$N$29*(Calculations!$O183*LN(Calculations!$O183/Calculations!$C$8)-Calculations!$O183+Calculations!$C$8)-'Reaction Information'!$O$29*10^4*(((1/(Calculations!$O183-Calculations!$C$13))-(1/(Calculations!$C$8-Calculations!$C$13)))*((Calculations!$C$13-Calculations!$O183)/(Calculations!$C$13))-(Calculations!$O183/(Calculations!$C$13*Calculations!$C$13))*LN((Calculations!$C$8*(Calculations!$O183-Calculations!$C$13))/(Calculations!$O183*(Calculations!$C$8-Calculations!$C$13))))+'Reaction Information'!$J$29*10^-1*(Calculations!$M183-Calculations!$C$9)+'Reaction Information'!$K$29*10^2*LN((Calculations!$C$12+Calculations!$M183)/(Calculations!$C$12+Calculations!$C$9))+(1/(Calculations!$O183-Calculations!$C$13))*('Reaction Information'!$L$29*(Calculations!$M183-Calculations!$C$9)+'Reaction Information'!$M$29*10^4*LN((Calculations!$C$12+Calculations!$M183)/(Calculations!$C$12+Calculations!$C$9)))+calculateOmega(Calculations!M183,Calculations!N183,Calculations!Q183,'Reaction Information'!$C$29,'Reaction Information'!$P$29*10^5,'Reaction Information'!$Q$29)*((1/Calculations!$S183)-1)-'Reaction Information'!$P$29*10^5*((1/Calculations!$C$10)-1)+'Reaction Information'!$P$29*10^5*Calculations!$C$14*(Calculations!$O183-Calculations!$C$8))</f>
        <v>#N/A</v>
      </c>
      <c r="AK183" s="8" t="e">
        <f>IF(ISBLANK(Input!$AM$4),NA(),'Reaction Information'!$E$33-'Reaction Information'!$G$33*(Calculations!$O183-Calculations!$C$8)-'Reaction Information'!$N$33*(Calculations!$O183*LN(Calculations!$O183/Calculations!$C$8)-Calculations!$O183+Calculations!$C$8)-'Reaction Information'!$O$33*10^4*(((1/(Calculations!$O183-Calculations!$C$13))-(1/(Calculations!$C$8-Calculations!$C$13)))*((Calculations!$C$13-Calculations!$O183)/(Calculations!$C$13))-(Calculations!$O183/(Calculations!$C$13*Calculations!$C$13))*LN((Calculations!$C$8*(Calculations!$O183-Calculations!$C$13))/(Calculations!$O183*(Calculations!$C$8-Calculations!$C$13))))+'Reaction Information'!$J$33*10^-1*(Calculations!$M183-Calculations!$C$9)+'Reaction Information'!$K$33*10^2*LN((Calculations!$C$12+Calculations!$M183)/(Calculations!$C$12+Calculations!$C$9))+(1/(Calculations!$O183-Calculations!$C$13))*('Reaction Information'!$L$33*(Calculations!$M183-Calculations!$C$9)+'Reaction Information'!$M$33*10^4*LN((Calculations!$C$12+Calculations!$M183)/(Calculations!$C$12+Calculations!$C$9)))+calculateOmega(Calculations!M183,Calculations!N183,Calculations!Q183,'Reaction Information'!$C$33,'Reaction Information'!$P$33*10^5,'Reaction Information'!$Q$33)*((1/Calculations!$S183)-1)-'Reaction Information'!$P$33*10^5*((1/Calculations!$C$10)-1)+'Reaction Information'!$P$33*10^5*Calculations!$C$14*(Calculations!$O183-Calculations!$C$8))</f>
        <v>#N/A</v>
      </c>
      <c r="AL183" s="1">
        <f>Results!S185</f>
        <v>0</v>
      </c>
      <c r="AM183" s="1">
        <f>Results!T185</f>
        <v>0</v>
      </c>
      <c r="AN183" s="1">
        <f>Results!U185</f>
        <v>0</v>
      </c>
      <c r="AO183" s="1">
        <f>Results!V185</f>
        <v>0</v>
      </c>
      <c r="AP183" s="8" t="e">
        <f>IF(ISBLANK(Input!$BB$4),NA(),'Reaction Information'!$E$38-'Reaction Information'!$G$38*(Calculations!$O183-Calculations!$C$8)+'Reaction Information'!$I$38*(Calculations!$O183-Calculations!$C$8-Calculations!$O183*LN(Calculations!$O183/Calculations!$C$8))+'Reaction Information'!$J$38*0.001/2*(2*Calculations!$O183*Calculations!$C$8-Calculations!$O183^2-Calculations!$C$8^2) + 'Reaction Information'!$K$38*100000*(Calculations!$O183^2 + Calculations!$C$8^2 - 2*Calculations!$O183*Calculations!$C$8)/(2*Calculations!$O183*Calculations!$C$8^2))</f>
        <v>#N/A</v>
      </c>
      <c r="AQ183" s="8" t="e">
        <f>IF(ISBLANK(Input!$BE$4),NA(),'Reaction Information'!$E$42-'Reaction Information'!$G$42*(Calculations!$O183-Calculations!$C$8)+'Reaction Information'!$I$42*(Calculations!$O183-Calculations!$C$8-Calculations!$O183*LN(Calculations!$O183/Calculations!$C$8))+'Reaction Information'!$J$42*0.001/2*(2*Calculations!$O183*Calculations!$C$8-Calculations!$O183^2-Calculations!$C$8^2) + 'Reaction Information'!$K$42*100000*(Calculations!$O183^2 + Calculations!$C$8^2 - 2*Calculations!$O183*Calculations!$C$8)/(2*Calculations!$O183*Calculations!$C$8^2))</f>
        <v>#N/A</v>
      </c>
      <c r="AR183" s="8" t="e">
        <f>IF(AR$5="H2O", IF($D$24=3,IF(T183=0,NA(),T183),calculateGibbsOfWater(M183,N183,$D$24,$D$20,$D$19=3)),NA())</f>
        <v>#N/A</v>
      </c>
      <c r="AS183" s="8">
        <f>IF(ISBLANK(Input!$BK$4),NA(),'Reaction Information'!$E$46-'Reaction Information'!$G$46*(Calculations!O183-Calculations!$C$8)-'Reaction Information'!$N$46*(Calculations!O183*LN(Calculations!O183/Calculations!$C$8)-Calculations!O183+Calculations!$C$8)-'Reaction Information'!$O$46*10^4*(((1/(Calculations!O183-Calculations!$C$13))-(1/(Calculations!$C$8-Calculations!$C$13)))*((Calculations!$C$13-Calculations!O183)/(Calculations!$C$13))-(Calculations!O183/(Calculations!$C$13*Calculations!$C$13))*LN((Calculations!$C$8*(Calculations!O183-Calculations!$C$13))/(Calculations!O183*(Calculations!$C$8-Calculations!$C$13))))+'Reaction Information'!$J$46*10^-1*(Calculations!$M183-Calculations!$C$9)+'Reaction Information'!$K$46*10^2*LN((Calculations!$C$12+Calculations!$M183)/(Calculations!$C$12+Calculations!$C$9))+(1/(Calculations!O183-Calculations!$C$13))*('Reaction Information'!$L$46*(Calculations!$M183-Calculations!$C$9)+'Reaction Information'!$M$46*10^4*LN((Calculations!$C$12+Calculations!$M183)/(Calculations!$C$12+Calculations!$C$9)))+calculateOmega(Calculations!M183,Calculations!N183,Calculations!Q183,'Reaction Information'!$C$46,'Reaction Information'!$P$46*10^5,'Reaction Information'!$Q$46)*((1/Calculations!S183)-1)-'Reaction Information'!$P$46*10^5*((1/Calculations!$C$10)-1)+'Reaction Information'!$P$46*10^5*Calculations!$C$14*(Calculations!O183-Calculations!$C$8))</f>
        <v>0</v>
      </c>
      <c r="AT183" s="8">
        <f>IF(ISBLANK(Input!$BN$4),NA(),'Reaction Information'!$E$50-'Reaction Information'!$G$50*(Calculations!O183-Calculations!$C$8)-'Reaction Information'!$N$50*(Calculations!O183*LN(Calculations!O183/Calculations!$C$8)-Calculations!O183+Calculations!$C$8)-'Reaction Information'!$O$50*10^4*(((1/(Calculations!O183-Calculations!$C$13))-(1/(Calculations!$C$8-Calculations!$C$13)))*((Calculations!$C$13-Calculations!O183)/(Calculations!$C$13))-(Calculations!O183/(Calculations!$C$13*Calculations!$C$13))*LN((Calculations!$C$8*(Calculations!O183-Calculations!$C$13))/(Calculations!O183*(Calculations!$C$8-Calculations!$C$13))))+'Reaction Information'!$J$50*10^-1*(Calculations!$M183-Calculations!$C$9)+'Reaction Information'!$K$50*10^2*LN((Calculations!$C$12+Calculations!$M183)/(Calculations!$C$12+Calculations!$C$9))+(1/(Calculations!O183-Calculations!$C$13))*('Reaction Information'!$L$50*(Calculations!$M183-Calculations!$C$9)+'Reaction Information'!$M$50*10^4*LN((Calculations!$C$12+Calculations!$M183)/(Calculations!$C$12+Calculations!$C$9)))+calculateOmega(Calculations!M183,Calculations!N183,Calculations!Q183,'Reaction Information'!$C$50,'Reaction Information'!$P$50*10^5,'Reaction Information'!$Q$50)*((1/Calculations!S183)-1)-'Reaction Information'!$P$50*10^5*((1/Calculations!$C$10)-1)+'Reaction Information'!$P$50*10^5*Calculations!$C$14*(Calculations!O183-Calculations!$C$8))</f>
        <v>-123818.37946582389</v>
      </c>
      <c r="AU183" s="8" t="e">
        <f>IF(ISBLANK(Input!$BQ$4),NA(),'Reaction Information'!$E$54-'Reaction Information'!$G$54*(Calculations!$O183-Calculations!$C$8)-'Reaction Information'!$N$54*(Calculations!$O183*LN(Calculations!$O183/Calculations!$C$8)-Calculations!$O183+Calculations!$C$8)-'Reaction Information'!$O$54*10^4*(((1/(Calculations!$O183-Calculations!$C$13))-(1/(Calculations!$C$8-Calculations!$C$13)))*((Calculations!$C$13-Calculations!$O183)/(Calculations!$C$13))-(Calculations!$O183/(Calculations!$C$13*Calculations!$C$13))*LN((Calculations!$C$8*(Calculations!$O183-Calculations!$C$13))/(Calculations!$O183*(Calculations!$C$8-Calculations!$C$13))))+'Reaction Information'!$J$54*10^-1*(Calculations!$M183-Calculations!$C$9)+'Reaction Information'!$K$54*10^2*LN((Calculations!$C$12+Calculations!$M183)/(Calculations!$C$12+Calculations!$C$9))+(1/(Calculations!$O183-Calculations!$C$13))*('Reaction Information'!$L$54*(Calculations!$M183-Calculations!$C$9)+'Reaction Information'!$M$54*10^4*LN((Calculations!$C$12+Calculations!$M183)/(Calculations!$C$12+Calculations!$C$9)))+calculateOmega(Calculations!M183,Calculations!N183,Calculations!Q183,'Reaction Information'!$C$54,'Reaction Information'!$P$54*10^5,'Reaction Information'!$Q$54)*((1/Calculations!$S183)-1)-'Reaction Information'!$P$54*10^5*((1/Calculations!$C$10)-1)+'Reaction Information'!$P$54*10^5*Calculations!$C$14*(Calculations!$O183-Calculations!$C$8))</f>
        <v>#N/A</v>
      </c>
      <c r="AV183" s="8" t="e">
        <f>IF(ISBLANK(Input!$BT$4),NA(),'Reaction Information'!$E$58-'Reaction Information'!$G$58*(Calculations!$O183-Calculations!$C$8)-'Reaction Information'!$N$58*(Calculations!$O183*LN(Calculations!$O183/Calculations!$C$8)-Calculations!$O183+Calculations!$C$8)-'Reaction Information'!$O$58*10^4*(((1/(Calculations!$O183-Calculations!$C$13))-(1/(Calculations!$C$8-Calculations!$C$13)))*((Calculations!$C$13-Calculations!$O183)/(Calculations!$C$13))-(Calculations!$O183/(Calculations!$C$13*Calculations!$C$13))*LN((Calculations!$C$8*(Calculations!$O183-Calculations!$C$13))/(Calculations!$O183*(Calculations!$C$8-Calculations!$C$13))))+'Reaction Information'!$J$58*10^-1*(Calculations!$M183-Calculations!$C$9)+'Reaction Information'!$K$58*10^2*LN((Calculations!$C$12+Calculations!$M183)/(Calculations!$C$12+Calculations!$C$9))+(1/(Calculations!$O183-Calculations!$C$13))*('Reaction Information'!$L$58*(Calculations!$M183-Calculations!$C$9)+'Reaction Information'!$M$58*10^4*LN((Calculations!$C$12+Calculations!$M183)/(Calculations!$C$12+Calculations!$C$9)))+calculateOmega(Calculations!M183,Calculations!N183,Calculations!Q183,'Reaction Information'!$C$58,'Reaction Information'!$P$58*10^5,'Reaction Information'!$Q$58)*((1/Calculations!$S183)-1)-'Reaction Information'!$P$58*10^5*((1/Calculations!$C$10)-1)+'Reaction Information'!$P$58*10^5*Calculations!$C$14*(Calculations!$O183-Calculations!$C$8))</f>
        <v>#N/A</v>
      </c>
      <c r="AW183" s="8" t="e">
        <f>IF(ISBLANK(Input!$BW$4),NA(),'Reaction Information'!$E$62-'Reaction Information'!$G$62*(Calculations!$O183-Calculations!$C$8)-'Reaction Information'!$N$62*(Calculations!$O183*LN(Calculations!$O183/Calculations!$C$8)-Calculations!$O183+Calculations!$C$8)-'Reaction Information'!$O$62*10^4*(((1/(Calculations!$O183-Calculations!$C$13))-(1/(Calculations!$C$8-Calculations!$C$13)))*((Calculations!$C$13-Calculations!$O183)/(Calculations!$C$13))-(Calculations!$O183/(Calculations!$C$13*Calculations!$C$13))*LN((Calculations!$C$8*(Calculations!$O183-Calculations!$C$13))/(Calculations!$O183*(Calculations!$C$8-Calculations!$C$13))))+'Reaction Information'!$J$62*10^-1*(Calculations!$M183-Calculations!$C$9)+'Reaction Information'!$K$62*10^2*LN((Calculations!$C$12+Calculations!$M183)/(Calculations!$C$12+Calculations!$C$9))+(1/(Calculations!$O183-Calculations!$C$13))*('Reaction Information'!$L$62*(Calculations!$M183-Calculations!$C$9)+'Reaction Information'!$M$62*10^4*LN((Calculations!$C$12+Calculations!$M183)/(Calculations!$C$12+Calculations!$C$9)))+calculateOmega(Calculations!M183,Calculations!N183,Calculations!Q183,'Reaction Information'!$C$62,'Reaction Information'!$P$62*10^5,'Reaction Information'!$Q$62)*((1/Calculations!$S183)-1)-'Reaction Information'!$P$62*10^5*((1/Calculations!$C$10)-1)+'Reaction Information'!$P$62*10^5*Calculations!$C$14*(Calculations!$O183-Calculations!$C$8))</f>
        <v>#N/A</v>
      </c>
      <c r="AX183" s="8" t="e">
        <f>IF(ISBLANK(Input!$BZ$4),NA(),'Reaction Information'!$E$66-'Reaction Information'!$G$66*(Calculations!$O183-Calculations!$C$8)-'Reaction Information'!$N$66*(Calculations!$O183*LN(Calculations!$O183/Calculations!$C$8)-Calculations!$O183+Calculations!$C$8)-'Reaction Information'!$O$66*10^4*(((1/(Calculations!$O183-Calculations!$C$13))-(1/(Calculations!$C$8-Calculations!$C$13)))*((Calculations!$C$13-Calculations!$O183)/(Calculations!$C$13))-(Calculations!$O183/(Calculations!$C$13*Calculations!$C$13))*LN((Calculations!$C$8*(Calculations!$O183-Calculations!$C$13))/(Calculations!$O183*(Calculations!$C$8-Calculations!$C$13))))+'Reaction Information'!$J$66*10^-1*(Calculations!$M183-Calculations!$C$9)+'Reaction Information'!$K$66*10^2*LN((Calculations!$C$12+Calculations!$M183)/(Calculations!$C$12+Calculations!$C$9))+(1/(Calculations!$O183-Calculations!$C$13))*('Reaction Information'!$L$66*(Calculations!$M183-Calculations!$C$9)+'Reaction Information'!$M$66*10^4*LN((Calculations!$C$12+Calculations!$M183)/(Calculations!$C$12+Calculations!$C$9)))+calculateOmega(Calculations!M183,Calculations!N183,Calculations!Q183,'Reaction Information'!$C$66,'Reaction Information'!$P$66*10^5,'Reaction Information'!$Q$66)*((1/Calculations!$S183)-1)-'Reaction Information'!$P$66*10^5*((1/Calculations!$C$10)-1)+'Reaction Information'!$P$66*10^5*Calculations!$C$14*(Calculations!$O183-Calculations!$C$8))</f>
        <v>#N/A</v>
      </c>
      <c r="AY183" s="31">
        <f>(AL183*Input!$AO$4+AM183*Input!$AR$4+AN183*Input!$AU$4+AO183*Input!$AX$4+IF(ISNA(AP183),0,AP183*Input!$BA$4)+IF(ISNA(AQ183),0,AQ183*Input!$BD$4)+IF(ISNA(AR183),0,AR183*Input!$BG$4)+IF(ISNA(AS183),0,AS183*Input!$BJ$4)+IF(ISNA(AT183),0,AT183*Input!$BM$4)+IF(ISNA(AU183),0,AU183*Input!$BP$4)+IF(ISNA(AV183),0,AV183*Input!$BS$4)+IF(ISNA(AW183),0,AW183*Input!$BV$4)+IF(ISNA(AX183),0,AX183*Input!$BY$4))-(Y183*Input!$B$4+Z183*Input!$E$4+AA183*Input!$H$4+AB183*Input!$K$4+IF(ISNA(AC183),0,AC183*Input!$N$4)+IF(ISNA(AD183),0,AD183*Input!$Q$4)+IF(ISNA(AE183),0,AE183*Input!$T$4)+IF(ISNA(AF183),0,AF183*Input!$W$4)+IF(ISNA(AG183),0,AG183*Input!$Z$4)+IF(ISNA(AH183),0,AH183*Input!$AC$4)+IF(ISNA(AI183),0,AI183*Input!$AF$4)+IF(ISNA(AJ183),0,AJ183*Input!$AI$4)+IF(ISNA(AK183),0,AK183*Input!$AL$4))</f>
        <v>20991.065095257931</v>
      </c>
      <c r="AZ183" s="42">
        <f t="shared" si="54"/>
        <v>-3.9130266349389857</v>
      </c>
      <c r="BA183" s="1">
        <f t="shared" si="46"/>
        <v>900</v>
      </c>
      <c r="BB183" s="46">
        <f t="shared" si="47"/>
        <v>60000</v>
      </c>
      <c r="BC183" s="1"/>
      <c r="BD183" s="2">
        <f t="shared" si="48"/>
        <v>60000</v>
      </c>
      <c r="BE183" s="46">
        <f t="shared" si="49"/>
        <v>900</v>
      </c>
      <c r="BF183" s="1">
        <f>Results!AJ185</f>
        <v>0</v>
      </c>
      <c r="BG183" s="1">
        <f>Results!AK185</f>
        <v>0</v>
      </c>
      <c r="BH183" s="1">
        <f>Results!AL185</f>
        <v>0</v>
      </c>
      <c r="BI183" s="1">
        <f>Results!AM185</f>
        <v>0</v>
      </c>
      <c r="BJ183" s="1" t="e">
        <f>IF(OR(ISNA('Reaction Information'!$D$5), $N183 = "", $D$27 = FALSE, 'Reaction Information'!$D$5 = ""), NA(), 24.465)</f>
        <v>#N/A</v>
      </c>
      <c r="BK183" s="1" t="e">
        <f>IF(OR(ISNA('Reaction Information'!$D$9), $N183 = "", $D$27 = FALSE, 'Reaction Information'!$D$9 = ""), NA(), 24.465)</f>
        <v>#N/A</v>
      </c>
      <c r="BL183" s="8">
        <f t="shared" si="55"/>
        <v>13.134840894795433</v>
      </c>
      <c r="BM183" s="8">
        <f>IF(OR(ISBLANK(Input!$X$4),$D$27=FALSE),NA(),('Reaction Information'!$J$13/10+'Reaction Information'!$K$13*100/(Calculations!$C$12+Calculations!$M183)+('Reaction Information'!$L$13+'Reaction Information'!$M$13*10^4/(Calculations!$C$12+Calculations!$M183))/(Calculations!$O183-Calculations!$C$13) -calculateOmega(Calculations!$M183,Calculations!$N183,Calculations!$Q183,'Reaction Information'!$C$13,'Reaction Information'!$P$13*10^5,'Reaction Information'!$Q$13)*Calculations!$U183*10^-6 + (1/$S183 - 1)*calculate_domegadP(Calculations!$M183,Calculations!$N183,Calculations!$Q183,'Reaction Information'!$C$13,'Reaction Information'!$P$13*10^5,'Reaction Information'!$Q$13,$D$20,$D$19=3))*41.84)</f>
        <v>29.87749044172628</v>
      </c>
      <c r="BN183" s="8" t="e">
        <f>IF(OR(ISBLANK(Input!$AA$4),$D$27=FALSE),NA(),('Reaction Information'!$J$17/10+'Reaction Information'!$K$17*100/(Calculations!$C$12+Calculations!$M183)+('Reaction Information'!$L$17+'Reaction Information'!$M$17*10000/(Calculations!$C$12+Calculations!$M183))/(Calculations!$O183-Calculations!$C$13)-calculateOmega(Calculations!M183,Calculations!N183,Calculations!Q183,'Reaction Information'!$C$17,'Reaction Information'!$P$17*10^5,'Reaction Information'!$Q$17)*Calculations!$U183*10^-6 + (1/$S183 - 1)*calculate_domegadP(Calculations!M183,Calculations!N183,Calculations!Q183,'Reaction Information'!$C$17,'Reaction Information'!$P$17*10^5,'Reaction Information'!$Q$17,$D$20,$D$19=3))*41.84)</f>
        <v>#N/A</v>
      </c>
      <c r="BO183" s="8" t="e">
        <f>IF(OR(ISBLANK(Input!$AD$4),$D$27=FALSE),NA(),('Reaction Information'!$J$21/10+'Reaction Information'!$K$21*100/(Calculations!$C$12+Calculations!$M183)+('Reaction Information'!$L$21+'Reaction Information'!$M$21*10000/(Calculations!$C$12+Calculations!$M183))/(Calculations!$O183-Calculations!$C$13)-calculateOmega(Calculations!M183,Calculations!N183,Calculations!Q183,'Reaction Information'!$C$21,'Reaction Information'!$P$21*10^5,'Reaction Information'!$Q$21)*Calculations!$U183*10^-6 + (1/$S183 - 1)*calculate_domegadP(Calculations!M183,Calculations!N183,Calculations!Q183,'Reaction Information'!$C$21,'Reaction Information'!$P$21*10^5,'Reaction Information'!$Q$21,$D$20,$D$19=3))*41.84)</f>
        <v>#N/A</v>
      </c>
      <c r="BP183" s="8" t="e">
        <f>IF(OR(ISBLANK(Input!$AG$4),$D$27=FALSE),NA(),('Reaction Information'!$J$25/10+'Reaction Information'!$K$25*100/(Calculations!$C$12+Calculations!$M183)+('Reaction Information'!$L$25+'Reaction Information'!$M$25*10000/(Calculations!$C$12+Calculations!$M183))/(Calculations!$O183-Calculations!$C$13)-calculateOmega(Calculations!M183,Calculations!N183,Calculations!Q183,'Reaction Information'!$C$25,'Reaction Information'!$P$25*10^5,'Reaction Information'!$Q$25)*Calculations!$U183*10^-6 + (1/$S183 - 1)*calculate_domegadP(Calculations!M183,Calculations!N183,Calculations!Q183,'Reaction Information'!$C$25,'Reaction Information'!$P$25*10^5,'Reaction Information'!$Q$25,$D$20,$D$19=3))*41.84)</f>
        <v>#N/A</v>
      </c>
      <c r="BQ183" s="8" t="e">
        <f>IF(OR(ISBLANK(Input!$AJ$4),$D$27=FALSE),NA(),('Reaction Information'!$J$29/10+'Reaction Information'!$K$29*100/(Calculations!$C$12+Calculations!$M183)+('Reaction Information'!$L$29+'Reaction Information'!$M$29*10000/(Calculations!$C$12+Calculations!$M183))/(Calculations!$O183-Calculations!$C$13)-calculateOmega(Calculations!M183,Calculations!N183,Calculations!Q183,'Reaction Information'!$C$29,'Reaction Information'!$P$29*10^5,'Reaction Information'!$Q$29)*Calculations!$U183*10^-6 + (1/$S183 - 1)*calculate_domegadP(Calculations!M183,Calculations!N183,Calculations!Q183,'Reaction Information'!$C$29,'Reaction Information'!$P$29*10^5,'Reaction Information'!$Q$29,$D$20,$D$19=3))*41.84)</f>
        <v>#N/A</v>
      </c>
      <c r="BR183" s="8" t="e">
        <f>IF(OR(ISBLANK(Input!$AM$4),$D$27=FALSE),NA(),('Reaction Information'!$J$33/10+'Reaction Information'!$K$33*100/(Calculations!$C$12+Calculations!$M183)+('Reaction Information'!$L$33+'Reaction Information'!$M$33*10000/(Calculations!$C$12+Calculations!$M183))/(Calculations!$O183-Calculations!$C$13)-calculateOmega(Calculations!M183,Calculations!N183,Calculations!Q183,'Reaction Information'!$C$33,'Reaction Information'!$P$33*10^5,'Reaction Information'!$Q$33)*Calculations!$U183*10^-6 + (1/$S183 - 1)*calculate_domegadP(Calculations!M183,Calculations!N183,Calculations!Q183,'Reaction Information'!$C$33,'Reaction Information'!$P$33*10^5,'Reaction Information'!$Q$33,$D$20,$D$19=3))*41.84)</f>
        <v>#N/A</v>
      </c>
      <c r="BS183" s="1">
        <f>Results!AW185</f>
        <v>0</v>
      </c>
      <c r="BT183" s="1">
        <f>Results!AX185</f>
        <v>0</v>
      </c>
      <c r="BU183" s="1">
        <f>Results!AY185</f>
        <v>0</v>
      </c>
      <c r="BV183" s="1">
        <f>Results!AZ185</f>
        <v>0</v>
      </c>
      <c r="BW183" s="1" t="e">
        <f>IF(OR(ISNA('Reaction Information'!$D$38), $N183 = "", $D$27 = FALSE, 'Reaction Information'!$D$38 = ""), NA(), 24.465)</f>
        <v>#N/A</v>
      </c>
      <c r="BX183" s="1" t="e">
        <f>IF(OR(ISNA('Reaction Information'!$D$42), $N183 = "", $D$27 = FALSE, 'Reaction Information'!$D$42 = ""), NA(), 24.465)</f>
        <v>#N/A</v>
      </c>
      <c r="BY183" s="8" t="e">
        <f t="shared" si="56"/>
        <v>#N/A</v>
      </c>
      <c r="BZ183" s="8">
        <f>IF(OR(ISBLANK(Input!$BK$4),$D$27=FALSE),NA(),('Reaction Information'!$J$46/10+'Reaction Information'!$K$46*100/(Calculations!$C$12+Calculations!$M183)+('Reaction Information'!$L$46+'Reaction Information'!$M$46*10000/(Calculations!$C$12+Calculations!$M183))/(Calculations!$O183-Calculations!$C$13)-calculateOmega(Calculations!M183,Calculations!N183,Calculations!Q183,'Reaction Information'!$C$46,'Reaction Information'!$P$46*10^5,'Reaction Information'!$Q$46)*Calculations!$U183*10^-6 + (1/$S183 - 1)*calculate_domegadP(Calculations!M183,Calculations!N183,Calculations!Q183,'Reaction Information'!$C$46,'Reaction Information'!$P$46*10^5,'Reaction Information'!$Q$46,$D$20,$D$19=3))*41.84)</f>
        <v>0</v>
      </c>
      <c r="CA183" s="8">
        <f>IF(OR(ISBLANK(Input!$BN$4),$D$27=FALSE),NA(),('Reaction Information'!$J$50/10+'Reaction Information'!$K$50*100/(Calculations!$C$12+Calculations!$M183)+('Reaction Information'!$L$50+'Reaction Information'!$M$50*10000/(Calculations!$C$12+Calculations!$M183))/(Calculations!$O183-Calculations!$C$13)-calculateOmega(Calculations!M183,Calculations!N183,Calculations!Q183,'Reaction Information'!$C$50,'Reaction Information'!$P$50*10^5,'Reaction Information'!$Q$50)*Calculations!$U183*10^-6 + (1/$S183 - 1)*calculate_domegadP(Calculations!M183,Calculations!N183,Calculations!Q183,'Reaction Information'!$C$50,'Reaction Information'!$P$50*10^5,'Reaction Information'!$Q$50,$D$20,$D$19=3))*41.84)</f>
        <v>31.310402839113312</v>
      </c>
      <c r="CB183" s="8" t="e">
        <f>IF(OR(ISBLANK(Input!$BQ$4),$D$27=FALSE),NA(),('Reaction Information'!$J$54/10+'Reaction Information'!$K$54*100/(Calculations!$C$12+Calculations!$M183)+('Reaction Information'!$L$54+'Reaction Information'!$M$54*10000/(Calculations!$C$12+Calculations!$M183))/(Calculations!$O183-Calculations!$C$13)-calculateOmega(Calculations!M183,Calculations!N183,Calculations!Q183,'Reaction Information'!$C$54,'Reaction Information'!$P$54*10^5,'Reaction Information'!$Q$54)*Calculations!$U183*10^-6 + (1/$S183 - 1)*calculate_domegadP(Calculations!M183,Calculations!N183,Calculations!Q183,'Reaction Information'!$C$54,'Reaction Information'!$P$54*10^5,'Reaction Information'!$Q$54,$D$20,$D$19=3))*41.84)</f>
        <v>#N/A</v>
      </c>
      <c r="CC183" s="8" t="e">
        <f>IF(OR(ISBLANK(Input!$BT$4),$D$27=FALSE),NA(),('Reaction Information'!$J$58/10+'Reaction Information'!$K$58*100/(Calculations!$C$12+Calculations!$M183)+('Reaction Information'!$L$58+'Reaction Information'!$M$58*10000/(Calculations!$C$12+Calculations!$M183))/(Calculations!$O183-Calculations!$C$13)-calculateOmega(Calculations!M183,Calculations!N183,Calculations!Q183,'Reaction Information'!$C$58,'Reaction Information'!$P$58*10^5,'Reaction Information'!$Q$58)*Calculations!$U183*10^-6 + (1/$S183 - 1)*calculate_domegadP(Calculations!M183,Calculations!N183,Calculations!Q183,'Reaction Information'!$C$58,'Reaction Information'!$P$58*10^5,'Reaction Information'!$Q$58,$D$20,$D$19=3))*41.84)</f>
        <v>#N/A</v>
      </c>
      <c r="CD183" s="8" t="e">
        <f>IF(OR(ISBLANK(Input!$BW$4),$D$27=FALSE),NA(),('Reaction Information'!$J$62/10+'Reaction Information'!$K$62*100/(Calculations!$C$12+Calculations!$M183)+('Reaction Information'!$L$62+'Reaction Information'!$M$62*10000/(Calculations!$C$12+Calculations!$M183))/(Calculations!$O183-Calculations!$C$13)-calculateOmega(Calculations!M183,Calculations!N183,Calculations!Q183,'Reaction Information'!$C$62,'Reaction Information'!$P$62*10^5,'Reaction Information'!$Q$62)*Calculations!$U183*10^-6 + (1/$S183 - 1)*calculate_domegadP(Calculations!M183,Calculations!N183,Calculations!Q183,'Reaction Information'!$C$62,'Reaction Information'!$P$62*10^5,'Reaction Information'!$Q$62,$D$20,$D$19=3))*41.84)</f>
        <v>#N/A</v>
      </c>
      <c r="CE183" s="8" t="e">
        <f>IF(OR(ISBLANK(Input!$BZ$4),$D$27=FALSE),NA(),('Reaction Information'!$J$66/10+'Reaction Information'!$K$66*100/(Calculations!$C$12+Calculations!$M183)+('Reaction Information'!$L$66+'Reaction Information'!$M$66*10000/(Calculations!$C$12+Calculations!$M183))/(Calculations!$O183-Calculations!$C$13)-calculateOmega(Calculations!M183,Calculations!N183,Calculations!Q183,'Reaction Information'!$C$66,'Reaction Information'!$P$66*10^5,'Reaction Information'!$Q$66)*Calculations!$U183*10^-6 + (1/$S183 - 1)*calculate_domegadP(Calculations!M183,Calculations!N183,Calculations!Q183,'Reaction Information'!$C$66,'Reaction Information'!$P$66*10^5,'Reaction Information'!$Q$66,$D$20,$D$19=3))*41.84)</f>
        <v>#N/A</v>
      </c>
      <c r="CF183" s="31">
        <f>(BS183*Input!$AO$4+BT183*Input!$AR$4+BU183*Input!$AU$4+BV183*Input!$AX$4+IF(ISNA(BW183),0,BW183*Input!$BA$4)+IF(ISNA(BX183),0,BX183*Input!$BD$4)+IF(ISNA(BY183),0,BY183*Input!$BG$4)+IF(ISNA(BZ183),0,BZ183*Input!$BJ$4)+IF(ISNA(CA183),0,CA183*Input!$BM$4)+IF(ISNA(CB183),0,CB183*Input!$BP$4)+IF(ISNA(CC183),0,CC183*Input!$BS$4)+IF(ISNA(CD183),0,CD183*Input!$BV$4)+IF(ISNA(CE183),0,CE183*Input!$BY$4))-(BF183*Input!$B$4+BG183*Input!$E$4+BH183*Input!$H$4+BI183*Input!$K$4+IF(ISNA(BJ183),0,BJ183*Input!$N$4)+IF(ISNA(BK183),0,BK183*Input!$Q$4)+IF(ISNA(BL183),0,BL183*Input!$T$4)+IF(ISNA(BM183),0,BM183*Input!$W$4)+IF(ISNA(BN183),0,BN183*Input!$Z$4)+IF(ISNA(BO183),0,BO183*Input!$AC$4)+IF(ISNA(BP183),0,BP183*Input!$AF$4)+IF(ISNA(BQ183),0,BQ183*Input!$AI$4)+IF(ISNA(BR183),0,BR183*Input!$AL$4))</f>
        <v>-11.701928497408399</v>
      </c>
      <c r="CG183" s="1">
        <f t="shared" si="50"/>
        <v>900</v>
      </c>
      <c r="CH183" s="46">
        <f t="shared" si="51"/>
        <v>60000</v>
      </c>
      <c r="CI183" s="1"/>
    </row>
    <row r="184" spans="1:87" x14ac:dyDescent="0.2">
      <c r="A184" s="1"/>
      <c r="B184" s="1"/>
      <c r="C184" s="1"/>
      <c r="D184" s="1"/>
      <c r="E184" s="1"/>
      <c r="F184" s="2">
        <v>179</v>
      </c>
      <c r="G184" s="1" t="str">
        <f>IF(ISBLANK(Input!CB184), "", Input!CB184*1000)</f>
        <v/>
      </c>
      <c r="H184" s="1" t="str">
        <f>IF(ISBLANK(Input!CC184), "", Input!CC184)</f>
        <v/>
      </c>
      <c r="I184" s="1">
        <f>IF(Input!$CF$5 + Input!$CF$6*(FLOOR((Calculations!$F184-1)/(FLOOR((Input!$CF$12-Input!$CF$10)/Input!$CF$11,1)+1),1)) &gt; Input!$CF$7, "", (Input!$CF$5 + Input!$CF$6*(FLOOR((Calculations!$F184-1)/(FLOOR((Input!$CF$12-Input!$CF$10)/Input!$CF$11,1)+1),1)))*1000)</f>
        <v>60000</v>
      </c>
      <c r="J184" s="1">
        <f>IF(Calculations!I184 = "", "", Input!$CF$10 + Input!$CF$11*(Calculations!$F184-1) - (FLOOR((Input!$CF$12-Input!$CF$10)/Input!$CF$11,1)+1)*Input!$CF$11*FLOOR((Calculations!$F184-1)/(FLOOR((Input!$CF$12-Input!$CF$10)/Input!$CF$11,1)+1),1))</f>
        <v>950</v>
      </c>
      <c r="K184" s="8" t="str">
        <f t="shared" si="52"/>
        <v/>
      </c>
      <c r="L184" s="117" t="str">
        <f>IF(OR(Input!$CJ$5 + Input!$CJ$6*(Calculations!F184-1) &gt; Input!$CJ$7, Input!$CJ$5 + Input!$CJ$6*(Calculations!F184-1) &gt; 350), "", Input!$CJ$5 + Input!$CJ$6*(Calculations!F184-1))</f>
        <v/>
      </c>
      <c r="M184" s="1">
        <f t="shared" si="42"/>
        <v>60000</v>
      </c>
      <c r="N184" s="1">
        <f t="shared" si="43"/>
        <v>950</v>
      </c>
      <c r="O184" s="1">
        <f t="shared" si="53"/>
        <v>1223.1500000000001</v>
      </c>
      <c r="P184" s="1" t="e">
        <f>IF(OR($D$20=3,AND($D$21=TRUE,M184&lt;1000)),INDEX('Water Density'!$C$6:$CX$120,MATCH(Calculations!N184,'Water Density'!$B$6:$B$120),MATCH(Calculations!M184/1000,'Water Density'!$C$5:$CX$5)),NA())</f>
        <v>#N/A</v>
      </c>
      <c r="Q184" s="182">
        <f>IF(OR($D$20=3,AND($D$21=TRUE,M184&lt;1000)), IF(P184&lt;&gt;0,P184,NA()), calculateDensity(M184,N184,$D$20,0.01,$D$19 = 3))</f>
        <v>1.3601312932729719</v>
      </c>
      <c r="R184" s="1" t="e">
        <f>IF($D$22=5,INDEX('Dielectric Constant'!$C$6:$CX$120,MATCH(Calculations!N184,'Dielectric Constant'!$B$6:$B$120),MATCH(Calculations!M184/1000,'Dielectric Constant'!$C$5:$CX$5)),NA())</f>
        <v>#N/A</v>
      </c>
      <c r="S184" s="58">
        <f>IF($D$22=5, IF(R184&lt;&gt;0,R184,NA()), IF(AND($D$23,M184&lt;=5000,$D$19 &lt;&gt; 3),calculateEpsilon(Q184,N184,1,FALSE),calculateEpsilon(Q184,N184,$D$22,$D$19 = 3)))</f>
        <v>19.512192924824511</v>
      </c>
      <c r="T184" s="1" t="e">
        <f>IF($D$24=3,INDEX('Water Free Energy'!$C$6:$CX$120,MATCH(Calculations!N184,'Water Free Energy'!$B$6:$B$120),MATCH(Calculations!M184/1000,'Water Free Energy'!$C$5:$CX$5)),NA())</f>
        <v>#N/A</v>
      </c>
      <c r="U184" s="179">
        <f>IF($D$27,calculateQ(M184,N184,Q184,$D$20,$D$22,$D$19=3)*10^6,NA())</f>
        <v>0.15085496759189851</v>
      </c>
      <c r="V184"/>
      <c r="W184" s="2">
        <f t="shared" si="44"/>
        <v>60000</v>
      </c>
      <c r="X184" s="1">
        <f t="shared" si="45"/>
        <v>950</v>
      </c>
      <c r="Y184" s="1">
        <f>Results!F186</f>
        <v>0</v>
      </c>
      <c r="Z184" s="1">
        <f>Results!G186</f>
        <v>0</v>
      </c>
      <c r="AA184" s="1">
        <f>Results!H186</f>
        <v>0</v>
      </c>
      <c r="AB184" s="1">
        <f>Results!I186</f>
        <v>0</v>
      </c>
      <c r="AC184" s="1" t="e">
        <f>IF(ISBLANK(Input!$O$4),NA(),'Reaction Information'!$E$5-'Reaction Information'!$G$5*(Calculations!$O184-Calculations!$C$8)+'Reaction Information'!$I$5*(Calculations!$O184-Calculations!$C$8-Calculations!$O184*LN(Calculations!$O184/Calculations!$C$8))+'Reaction Information'!$J$5*0.001/2*(2*Calculations!$O184*Calculations!$C$8-Calculations!$O184^2-Calculations!$C$8^2) + 'Reaction Information'!$K$5*100000*(Calculations!$O184^2 + Calculations!$C$8^2 - 2*Calculations!$O184*Calculations!$C$8)/(2*Calculations!$O184*Calculations!$C$8^2))</f>
        <v>#N/A</v>
      </c>
      <c r="AD184" s="8" t="e">
        <f>IF(ISBLANK(Input!$R$4),NA(),'Reaction Information'!$E$9-'Reaction Information'!$G$9*(Calculations!$O184-Calculations!$C$8)+'Reaction Information'!$I$9*(Calculations!$O184-Calculations!$C$8-Calculations!$O184*LN(Calculations!$O184/Calculations!$C$8))+'Reaction Information'!$J$9*0.001/2*(2*Calculations!$O184*Calculations!$C$8-Calculations!$O184^2-Calculations!$C$8^2) + 'Reaction Information'!$K$9*100000*(Calculations!$O184^2 + Calculations!$C$8^2 - 2*Calculations!$O184*Calculations!$C$8)/(2*Calculations!$O184*Calculations!$C$8^2))</f>
        <v>#N/A</v>
      </c>
      <c r="AE184" s="8">
        <f>IF(AE$5="H2O",IF($D$24=3,IF(T184=0,NA(),T184),calculateGibbsOfWater(M184,N184,$D$24,$D$20,$D$19=3)),NA())</f>
        <v>-60280.155703448923</v>
      </c>
      <c r="AF184" s="8">
        <f>IF(ISBLANK(Input!$X$4),NA(),'Reaction Information'!$E$13-'Reaction Information'!$G$13*(Calculations!O184-Calculations!$C$8)-'Reaction Information'!$N$13*(Calculations!O184*LN(Calculations!O184/Calculations!$C$8)-Calculations!O184+Calculations!$C$8)-'Reaction Information'!$O$13*10^4*(((1/(Calculations!O184-Calculations!$C$13))-(1/(Calculations!$C$8-Calculations!$C$13)))*((Calculations!$C$13-Calculations!O184)/(Calculations!$C$13))-(Calculations!O184/(Calculations!$C$13*Calculations!$C$13))*LN((Calculations!$C$8*(Calculations!O184-Calculations!$C$13))/(Calculations!O184*(Calculations!$C$8-Calculations!$C$13))))+'Reaction Information'!$J$13*10^-1*(Calculations!M184-Calculations!$C$9)+'Reaction Information'!$K$13*10^2*LN((Calculations!$C$12+Calculations!M184)/(Calculations!$C$12+Calculations!$C$9))+(1/(Calculations!O184-Calculations!$C$13))*('Reaction Information'!$L$13*(Calculations!M184-Calculations!$C$9)+'Reaction Information'!$M$13*10^4*LN((Calculations!$C$12+Calculations!M184)/(Calculations!$C$12+Calculations!$C$9)))+calculateOmega(Calculations!M184,Calculations!N184,Calculations!Q184,'Reaction Information'!$C$13,'Reaction Information'!$P$13*10^5,'Reaction Information'!$Q$13)*((1/Calculations!S184)-1)-'Reaction Information'!$P$13*10^5*((1/Calculations!$C$10)-1)+'Reaction Information'!$P$13*10^5*Calculations!$C$14*(Calculations!O184-Calculations!$C$8))</f>
        <v>-88591.097906451323</v>
      </c>
      <c r="AG184" s="8" t="e">
        <f>IF(ISBLANK(Input!$AA$4),NA(),'Reaction Information'!$E$17-'Reaction Information'!$G$17*(Calculations!$O184-Calculations!$C$8)-'Reaction Information'!$N$17*(Calculations!$O184*LN(Calculations!$O184/Calculations!$C$8)-Calculations!$O184+Calculations!$C$8)-'Reaction Information'!$O$17*10^4*(((1/(Calculations!$O184-Calculations!$C$13))-(1/(Calculations!$C$8-Calculations!$C$13)))*((Calculations!$C$13-Calculations!$O184)/(Calculations!$C$13))-(Calculations!$O184/(Calculations!$C$13*Calculations!$C$13))*LN((Calculations!$C$8*(Calculations!$O184-Calculations!$C$13))/(Calculations!$O184*(Calculations!$C$8-Calculations!$C$13))))+'Reaction Information'!$J$17*10^-1*(Calculations!$M184-Calculations!$C$9)+'Reaction Information'!$K$17*10^2*LN((Calculations!$C$12+Calculations!$M184)/(Calculations!$C$12+Calculations!$C$9))+(1/(Calculations!$O184-Calculations!$C$13))*('Reaction Information'!$L$17*(Calculations!$M184-Calculations!$C$9)+'Reaction Information'!$M$17*10^4*LN((Calculations!$C$12+Calculations!$M184)/(Calculations!$C$12+Calculations!$C$9)))+calculateOmega(Calculations!M184,Calculations!N184,Calculations!Q184,'Reaction Information'!$C$17,'Reaction Information'!$P$17*10^5,'Reaction Information'!$Q$17)*((1/Calculations!$S184)-1)-'Reaction Information'!$P$17*10^5*((1/Calculations!$C$10)-1)+'Reaction Information'!$P$17*10^5*Calculations!$C$14*(Calculations!$O184-Calculations!$C$8))</f>
        <v>#N/A</v>
      </c>
      <c r="AH184" s="8" t="e">
        <f>IF(ISBLANK(Input!$AD$4),NA(),'Reaction Information'!$E$21-'Reaction Information'!$G$21*(Calculations!$O184-Calculations!$C$8)-'Reaction Information'!$N$21*(Calculations!$O184*LN(Calculations!$O184/Calculations!$C$8)-Calculations!$O184+Calculations!$C$8)-'Reaction Information'!$O$21*10^4*(((1/(Calculations!$O184-Calculations!$C$13))-(1/(Calculations!$C$8-Calculations!$C$13)))*((Calculations!$C$13-Calculations!$O184)/(Calculations!$C$13))-(Calculations!$O184/(Calculations!$C$13*Calculations!$C$13))*LN((Calculations!$C$8*(Calculations!$O184-Calculations!$C$13))/(Calculations!$O184*(Calculations!$C$8-Calculations!$C$13))))+'Reaction Information'!$J$21*10^-1*(Calculations!$M184-Calculations!$C$9)+'Reaction Information'!$K$21*10^2*LN((Calculations!$C$12+Calculations!$M184)/(Calculations!$C$12+Calculations!$C$9))+(1/(Calculations!$O184-Calculations!$C$13))*('Reaction Information'!$L$21*(Calculations!$M184-Calculations!$C$9)+'Reaction Information'!$M$21*10^4*LN((Calculations!$C$12+Calculations!$M184)/(Calculations!$C$12+Calculations!$C$9)))+calculateOmega(Calculations!M184,Calculations!N184,Calculations!Q184,'Reaction Information'!$C$21,'Reaction Information'!$P$21*10^5,'Reaction Information'!$Q$21)*((1/Calculations!$S184)-1)-'Reaction Information'!$P$21*10^5*((1/Calculations!$C$10)-1)+'Reaction Information'!$P$21*10^5*Calculations!$C$14*(Calculations!$O184-Calculations!$C$8))</f>
        <v>#N/A</v>
      </c>
      <c r="AI184" s="8" t="e">
        <f>IF(ISBLANK(Input!$AG$4),NA(),'Reaction Information'!$E$25-'Reaction Information'!$G$25*(Calculations!$O184-Calculations!$C$8)-'Reaction Information'!$N$25*(Calculations!$O184*LN(Calculations!$O184/Calculations!$C$8)-Calculations!$O184+Calculations!$C$8)-'Reaction Information'!$O$25*10^4*(((1/(Calculations!$O184-Calculations!$C$13))-(1/(Calculations!$C$8-Calculations!$C$13)))*((Calculations!$C$13-Calculations!$O184)/(Calculations!$C$13))-(Calculations!$O184/(Calculations!$C$13*Calculations!$C$13))*LN((Calculations!$C$8*(Calculations!$O184-Calculations!$C$13))/(Calculations!$O184*(Calculations!$C$8-Calculations!$C$13))))+'Reaction Information'!$J$25*10^-1*(Calculations!$M184-Calculations!$C$9)+'Reaction Information'!$K$25*10^2*LN((Calculations!$C$12+Calculations!$M184)/(Calculations!$C$12+Calculations!$C$9))+(1/(Calculations!$O184-Calculations!$C$13))*('Reaction Information'!$L$25*(Calculations!$M184-Calculations!$C$9)+'Reaction Information'!$M$25*10^4*LN((Calculations!$C$12+Calculations!$M184)/(Calculations!$C$12+Calculations!$C$9)))+calculateOmega(Calculations!M184,Calculations!N184,Calculations!Q184,'Reaction Information'!$C$25,'Reaction Information'!$P$25*10^5,'Reaction Information'!$Q$25)*((1/Calculations!$S184)-1)-'Reaction Information'!$P$25*10^5*((1/Calculations!$C$10)-1)+'Reaction Information'!$P$25*10^5*Calculations!$C$14*(Calculations!$O184-Calculations!$C$8))</f>
        <v>#N/A</v>
      </c>
      <c r="AJ184" s="8" t="e">
        <f>IF(ISBLANK(Input!$AJ$4),NA(),'Reaction Information'!$E$29-'Reaction Information'!$G$29*(Calculations!$O184-Calculations!$C$8)-'Reaction Information'!$N$29*(Calculations!$O184*LN(Calculations!$O184/Calculations!$C$8)-Calculations!$O184+Calculations!$C$8)-'Reaction Information'!$O$29*10^4*(((1/(Calculations!$O184-Calculations!$C$13))-(1/(Calculations!$C$8-Calculations!$C$13)))*((Calculations!$C$13-Calculations!$O184)/(Calculations!$C$13))-(Calculations!$O184/(Calculations!$C$13*Calculations!$C$13))*LN((Calculations!$C$8*(Calculations!$O184-Calculations!$C$13))/(Calculations!$O184*(Calculations!$C$8-Calculations!$C$13))))+'Reaction Information'!$J$29*10^-1*(Calculations!$M184-Calculations!$C$9)+'Reaction Information'!$K$29*10^2*LN((Calculations!$C$12+Calculations!$M184)/(Calculations!$C$12+Calculations!$C$9))+(1/(Calculations!$O184-Calculations!$C$13))*('Reaction Information'!$L$29*(Calculations!$M184-Calculations!$C$9)+'Reaction Information'!$M$29*10^4*LN((Calculations!$C$12+Calculations!$M184)/(Calculations!$C$12+Calculations!$C$9)))+calculateOmega(Calculations!M184,Calculations!N184,Calculations!Q184,'Reaction Information'!$C$29,'Reaction Information'!$P$29*10^5,'Reaction Information'!$Q$29)*((1/Calculations!$S184)-1)-'Reaction Information'!$P$29*10^5*((1/Calculations!$C$10)-1)+'Reaction Information'!$P$29*10^5*Calculations!$C$14*(Calculations!$O184-Calculations!$C$8))</f>
        <v>#N/A</v>
      </c>
      <c r="AK184" s="8" t="e">
        <f>IF(ISBLANK(Input!$AM$4),NA(),'Reaction Information'!$E$33-'Reaction Information'!$G$33*(Calculations!$O184-Calculations!$C$8)-'Reaction Information'!$N$33*(Calculations!$O184*LN(Calculations!$O184/Calculations!$C$8)-Calculations!$O184+Calculations!$C$8)-'Reaction Information'!$O$33*10^4*(((1/(Calculations!$O184-Calculations!$C$13))-(1/(Calculations!$C$8-Calculations!$C$13)))*((Calculations!$C$13-Calculations!$O184)/(Calculations!$C$13))-(Calculations!$O184/(Calculations!$C$13*Calculations!$C$13))*LN((Calculations!$C$8*(Calculations!$O184-Calculations!$C$13))/(Calculations!$O184*(Calculations!$C$8-Calculations!$C$13))))+'Reaction Information'!$J$33*10^-1*(Calculations!$M184-Calculations!$C$9)+'Reaction Information'!$K$33*10^2*LN((Calculations!$C$12+Calculations!$M184)/(Calculations!$C$12+Calculations!$C$9))+(1/(Calculations!$O184-Calculations!$C$13))*('Reaction Information'!$L$33*(Calculations!$M184-Calculations!$C$9)+'Reaction Information'!$M$33*10^4*LN((Calculations!$C$12+Calculations!$M184)/(Calculations!$C$12+Calculations!$C$9)))+calculateOmega(Calculations!M184,Calculations!N184,Calculations!Q184,'Reaction Information'!$C$33,'Reaction Information'!$P$33*10^5,'Reaction Information'!$Q$33)*((1/Calculations!$S184)-1)-'Reaction Information'!$P$33*10^5*((1/Calculations!$C$10)-1)+'Reaction Information'!$P$33*10^5*Calculations!$C$14*(Calculations!$O184-Calculations!$C$8))</f>
        <v>#N/A</v>
      </c>
      <c r="AL184" s="1">
        <f>Results!S186</f>
        <v>0</v>
      </c>
      <c r="AM184" s="1">
        <f>Results!T186</f>
        <v>0</v>
      </c>
      <c r="AN184" s="1">
        <f>Results!U186</f>
        <v>0</v>
      </c>
      <c r="AO184" s="1">
        <f>Results!V186</f>
        <v>0</v>
      </c>
      <c r="AP184" s="8" t="e">
        <f>IF(ISBLANK(Input!$BB$4),NA(),'Reaction Information'!$E$38-'Reaction Information'!$G$38*(Calculations!$O184-Calculations!$C$8)+'Reaction Information'!$I$38*(Calculations!$O184-Calculations!$C$8-Calculations!$O184*LN(Calculations!$O184/Calculations!$C$8))+'Reaction Information'!$J$38*0.001/2*(2*Calculations!$O184*Calculations!$C$8-Calculations!$O184^2-Calculations!$C$8^2) + 'Reaction Information'!$K$38*100000*(Calculations!$O184^2 + Calculations!$C$8^2 - 2*Calculations!$O184*Calculations!$C$8)/(2*Calculations!$O184*Calculations!$C$8^2))</f>
        <v>#N/A</v>
      </c>
      <c r="AQ184" s="8" t="e">
        <f>IF(ISBLANK(Input!$BE$4),NA(),'Reaction Information'!$E$42-'Reaction Information'!$G$42*(Calculations!$O184-Calculations!$C$8)+'Reaction Information'!$I$42*(Calculations!$O184-Calculations!$C$8-Calculations!$O184*LN(Calculations!$O184/Calculations!$C$8))+'Reaction Information'!$J$42*0.001/2*(2*Calculations!$O184*Calculations!$C$8-Calculations!$O184^2-Calculations!$C$8^2) + 'Reaction Information'!$K$42*100000*(Calculations!$O184^2 + Calculations!$C$8^2 - 2*Calculations!$O184*Calculations!$C$8)/(2*Calculations!$O184*Calculations!$C$8^2))</f>
        <v>#N/A</v>
      </c>
      <c r="AR184" s="8" t="e">
        <f>IF(AR$5="H2O", IF($D$24=3,IF(T184=0,NA(),T184),calculateGibbsOfWater(M184,N184,$D$24,$D$20,$D$19=3)),NA())</f>
        <v>#N/A</v>
      </c>
      <c r="AS184" s="8">
        <f>IF(ISBLANK(Input!$BK$4),NA(),'Reaction Information'!$E$46-'Reaction Information'!$G$46*(Calculations!O184-Calculations!$C$8)-'Reaction Information'!$N$46*(Calculations!O184*LN(Calculations!O184/Calculations!$C$8)-Calculations!O184+Calculations!$C$8)-'Reaction Information'!$O$46*10^4*(((1/(Calculations!O184-Calculations!$C$13))-(1/(Calculations!$C$8-Calculations!$C$13)))*((Calculations!$C$13-Calculations!O184)/(Calculations!$C$13))-(Calculations!O184/(Calculations!$C$13*Calculations!$C$13))*LN((Calculations!$C$8*(Calculations!O184-Calculations!$C$13))/(Calculations!O184*(Calculations!$C$8-Calculations!$C$13))))+'Reaction Information'!$J$46*10^-1*(Calculations!$M184-Calculations!$C$9)+'Reaction Information'!$K$46*10^2*LN((Calculations!$C$12+Calculations!$M184)/(Calculations!$C$12+Calculations!$C$9))+(1/(Calculations!O184-Calculations!$C$13))*('Reaction Information'!$L$46*(Calculations!$M184-Calculations!$C$9)+'Reaction Information'!$M$46*10^4*LN((Calculations!$C$12+Calculations!$M184)/(Calculations!$C$12+Calculations!$C$9)))+calculateOmega(Calculations!M184,Calculations!N184,Calculations!Q184,'Reaction Information'!$C$46,'Reaction Information'!$P$46*10^5,'Reaction Information'!$Q$46)*((1/Calculations!S184)-1)-'Reaction Information'!$P$46*10^5*((1/Calculations!$C$10)-1)+'Reaction Information'!$P$46*10^5*Calculations!$C$14*(Calculations!O184-Calculations!$C$8))</f>
        <v>0</v>
      </c>
      <c r="AT184" s="8">
        <f>IF(ISBLANK(Input!$BN$4),NA(),'Reaction Information'!$E$50-'Reaction Information'!$G$50*(Calculations!O184-Calculations!$C$8)-'Reaction Information'!$N$50*(Calculations!O184*LN(Calculations!O184/Calculations!$C$8)-Calculations!O184+Calculations!$C$8)-'Reaction Information'!$O$50*10^4*(((1/(Calculations!O184-Calculations!$C$13))-(1/(Calculations!$C$8-Calculations!$C$13)))*((Calculations!$C$13-Calculations!O184)/(Calculations!$C$13))-(Calculations!O184/(Calculations!$C$13*Calculations!$C$13))*LN((Calculations!$C$8*(Calculations!O184-Calculations!$C$13))/(Calculations!O184*(Calculations!$C$8-Calculations!$C$13))))+'Reaction Information'!$J$50*10^-1*(Calculations!$M184-Calculations!$C$9)+'Reaction Information'!$K$50*10^2*LN((Calculations!$C$12+Calculations!$M184)/(Calculations!$C$12+Calculations!$C$9))+(1/(Calculations!O184-Calculations!$C$13))*('Reaction Information'!$L$50*(Calculations!$M184-Calculations!$C$9)+'Reaction Information'!$M$50*10^4*LN((Calculations!$C$12+Calculations!$M184)/(Calculations!$C$12+Calculations!$C$9)))+calculateOmega(Calculations!M184,Calculations!N184,Calculations!Q184,'Reaction Information'!$C$50,'Reaction Information'!$P$50*10^5,'Reaction Information'!$Q$50)*((1/Calculations!S184)-1)-'Reaction Information'!$P$50*10^5*((1/Calculations!$C$10)-1)+'Reaction Information'!$P$50*10^5*Calculations!$C$14*(Calculations!O184-Calculations!$C$8))</f>
        <v>-125565.05101764126</v>
      </c>
      <c r="AU184" s="8" t="e">
        <f>IF(ISBLANK(Input!$BQ$4),NA(),'Reaction Information'!$E$54-'Reaction Information'!$G$54*(Calculations!$O184-Calculations!$C$8)-'Reaction Information'!$N$54*(Calculations!$O184*LN(Calculations!$O184/Calculations!$C$8)-Calculations!$O184+Calculations!$C$8)-'Reaction Information'!$O$54*10^4*(((1/(Calculations!$O184-Calculations!$C$13))-(1/(Calculations!$C$8-Calculations!$C$13)))*((Calculations!$C$13-Calculations!$O184)/(Calculations!$C$13))-(Calculations!$O184/(Calculations!$C$13*Calculations!$C$13))*LN((Calculations!$C$8*(Calculations!$O184-Calculations!$C$13))/(Calculations!$O184*(Calculations!$C$8-Calculations!$C$13))))+'Reaction Information'!$J$54*10^-1*(Calculations!$M184-Calculations!$C$9)+'Reaction Information'!$K$54*10^2*LN((Calculations!$C$12+Calculations!$M184)/(Calculations!$C$12+Calculations!$C$9))+(1/(Calculations!$O184-Calculations!$C$13))*('Reaction Information'!$L$54*(Calculations!$M184-Calculations!$C$9)+'Reaction Information'!$M$54*10^4*LN((Calculations!$C$12+Calculations!$M184)/(Calculations!$C$12+Calculations!$C$9)))+calculateOmega(Calculations!M184,Calculations!N184,Calculations!Q184,'Reaction Information'!$C$54,'Reaction Information'!$P$54*10^5,'Reaction Information'!$Q$54)*((1/Calculations!$S184)-1)-'Reaction Information'!$P$54*10^5*((1/Calculations!$C$10)-1)+'Reaction Information'!$P$54*10^5*Calculations!$C$14*(Calculations!$O184-Calculations!$C$8))</f>
        <v>#N/A</v>
      </c>
      <c r="AV184" s="8" t="e">
        <f>IF(ISBLANK(Input!$BT$4),NA(),'Reaction Information'!$E$58-'Reaction Information'!$G$58*(Calculations!$O184-Calculations!$C$8)-'Reaction Information'!$N$58*(Calculations!$O184*LN(Calculations!$O184/Calculations!$C$8)-Calculations!$O184+Calculations!$C$8)-'Reaction Information'!$O$58*10^4*(((1/(Calculations!$O184-Calculations!$C$13))-(1/(Calculations!$C$8-Calculations!$C$13)))*((Calculations!$C$13-Calculations!$O184)/(Calculations!$C$13))-(Calculations!$O184/(Calculations!$C$13*Calculations!$C$13))*LN((Calculations!$C$8*(Calculations!$O184-Calculations!$C$13))/(Calculations!$O184*(Calculations!$C$8-Calculations!$C$13))))+'Reaction Information'!$J$58*10^-1*(Calculations!$M184-Calculations!$C$9)+'Reaction Information'!$K$58*10^2*LN((Calculations!$C$12+Calculations!$M184)/(Calculations!$C$12+Calculations!$C$9))+(1/(Calculations!$O184-Calculations!$C$13))*('Reaction Information'!$L$58*(Calculations!$M184-Calculations!$C$9)+'Reaction Information'!$M$58*10^4*LN((Calculations!$C$12+Calculations!$M184)/(Calculations!$C$12+Calculations!$C$9)))+calculateOmega(Calculations!M184,Calculations!N184,Calculations!Q184,'Reaction Information'!$C$58,'Reaction Information'!$P$58*10^5,'Reaction Information'!$Q$58)*((1/Calculations!$S184)-1)-'Reaction Information'!$P$58*10^5*((1/Calculations!$C$10)-1)+'Reaction Information'!$P$58*10^5*Calculations!$C$14*(Calculations!$O184-Calculations!$C$8))</f>
        <v>#N/A</v>
      </c>
      <c r="AW184" s="8" t="e">
        <f>IF(ISBLANK(Input!$BW$4),NA(),'Reaction Information'!$E$62-'Reaction Information'!$G$62*(Calculations!$O184-Calculations!$C$8)-'Reaction Information'!$N$62*(Calculations!$O184*LN(Calculations!$O184/Calculations!$C$8)-Calculations!$O184+Calculations!$C$8)-'Reaction Information'!$O$62*10^4*(((1/(Calculations!$O184-Calculations!$C$13))-(1/(Calculations!$C$8-Calculations!$C$13)))*((Calculations!$C$13-Calculations!$O184)/(Calculations!$C$13))-(Calculations!$O184/(Calculations!$C$13*Calculations!$C$13))*LN((Calculations!$C$8*(Calculations!$O184-Calculations!$C$13))/(Calculations!$O184*(Calculations!$C$8-Calculations!$C$13))))+'Reaction Information'!$J$62*10^-1*(Calculations!$M184-Calculations!$C$9)+'Reaction Information'!$K$62*10^2*LN((Calculations!$C$12+Calculations!$M184)/(Calculations!$C$12+Calculations!$C$9))+(1/(Calculations!$O184-Calculations!$C$13))*('Reaction Information'!$L$62*(Calculations!$M184-Calculations!$C$9)+'Reaction Information'!$M$62*10^4*LN((Calculations!$C$12+Calculations!$M184)/(Calculations!$C$12+Calculations!$C$9)))+calculateOmega(Calculations!M184,Calculations!N184,Calculations!Q184,'Reaction Information'!$C$62,'Reaction Information'!$P$62*10^5,'Reaction Information'!$Q$62)*((1/Calculations!$S184)-1)-'Reaction Information'!$P$62*10^5*((1/Calculations!$C$10)-1)+'Reaction Information'!$P$62*10^5*Calculations!$C$14*(Calculations!$O184-Calculations!$C$8))</f>
        <v>#N/A</v>
      </c>
      <c r="AX184" s="8" t="e">
        <f>IF(ISBLANK(Input!$BZ$4),NA(),'Reaction Information'!$E$66-'Reaction Information'!$G$66*(Calculations!$O184-Calculations!$C$8)-'Reaction Information'!$N$66*(Calculations!$O184*LN(Calculations!$O184/Calculations!$C$8)-Calculations!$O184+Calculations!$C$8)-'Reaction Information'!$O$66*10^4*(((1/(Calculations!$O184-Calculations!$C$13))-(1/(Calculations!$C$8-Calculations!$C$13)))*((Calculations!$C$13-Calculations!$O184)/(Calculations!$C$13))-(Calculations!$O184/(Calculations!$C$13*Calculations!$C$13))*LN((Calculations!$C$8*(Calculations!$O184-Calculations!$C$13))/(Calculations!$O184*(Calculations!$C$8-Calculations!$C$13))))+'Reaction Information'!$J$66*10^-1*(Calculations!$M184-Calculations!$C$9)+'Reaction Information'!$K$66*10^2*LN((Calculations!$C$12+Calculations!$M184)/(Calculations!$C$12+Calculations!$C$9))+(1/(Calculations!$O184-Calculations!$C$13))*('Reaction Information'!$L$66*(Calculations!$M184-Calculations!$C$9)+'Reaction Information'!$M$66*10^4*LN((Calculations!$C$12+Calculations!$M184)/(Calculations!$C$12+Calculations!$C$9)))+calculateOmega(Calculations!M184,Calculations!N184,Calculations!Q184,'Reaction Information'!$C$66,'Reaction Information'!$P$66*10^5,'Reaction Information'!$Q$66)*((1/Calculations!$S184)-1)-'Reaction Information'!$P$66*10^5*((1/Calculations!$C$10)-1)+'Reaction Information'!$P$66*10^5*Calculations!$C$14*(Calculations!$O184-Calculations!$C$8))</f>
        <v>#N/A</v>
      </c>
      <c r="AY184" s="31">
        <f>(AL184*Input!$AO$4+AM184*Input!$AR$4+AN184*Input!$AU$4+AO184*Input!$AX$4+IF(ISNA(AP184),0,AP184*Input!$BA$4)+IF(ISNA(AQ184),0,AQ184*Input!$BD$4)+IF(ISNA(AR184),0,AR184*Input!$BG$4)+IF(ISNA(AS184),0,AS184*Input!$BJ$4)+IF(ISNA(AT184),0,AT184*Input!$BM$4)+IF(ISNA(AU184),0,AU184*Input!$BP$4)+IF(ISNA(AV184),0,AV184*Input!$BS$4)+IF(ISNA(AW184),0,AW184*Input!$BV$4)+IF(ISNA(AX184),0,AX184*Input!$BY$4))-(Y184*Input!$B$4+Z184*Input!$E$4+AA184*Input!$H$4+AB184*Input!$K$4+IF(ISNA(AC184),0,AC184*Input!$N$4)+IF(ISNA(AD184),0,AD184*Input!$Q$4)+IF(ISNA(AE184),0,AE184*Input!$T$4)+IF(ISNA(AF184),0,AF184*Input!$W$4)+IF(ISNA(AG184),0,AG184*Input!$Z$4)+IF(ISNA(AH184),0,AH184*Input!$AC$4)+IF(ISNA(AI184),0,AI184*Input!$AF$4)+IF(ISNA(AJ184),0,AJ184*Input!$AI$4)+IF(ISNA(AK184),0,AK184*Input!$AL$4))</f>
        <v>23306.202592258982</v>
      </c>
      <c r="AZ184" s="42">
        <f t="shared" si="54"/>
        <v>-4.1670016383166288</v>
      </c>
      <c r="BA184" s="1">
        <f t="shared" si="46"/>
        <v>950</v>
      </c>
      <c r="BB184" s="46">
        <f t="shared" si="47"/>
        <v>60000</v>
      </c>
      <c r="BC184" s="1"/>
      <c r="BD184" s="2">
        <f t="shared" si="48"/>
        <v>60000</v>
      </c>
      <c r="BE184" s="46">
        <f t="shared" si="49"/>
        <v>950</v>
      </c>
      <c r="BF184" s="1">
        <f>Results!AJ186</f>
        <v>0</v>
      </c>
      <c r="BG184" s="1">
        <f>Results!AK186</f>
        <v>0</v>
      </c>
      <c r="BH184" s="1">
        <f>Results!AL186</f>
        <v>0</v>
      </c>
      <c r="BI184" s="1">
        <f>Results!AM186</f>
        <v>0</v>
      </c>
      <c r="BJ184" s="1" t="e">
        <f>IF(OR(ISNA('Reaction Information'!$D$5), $N184 = "", $D$27 = FALSE, 'Reaction Information'!$D$5 = ""), NA(), 24.465)</f>
        <v>#N/A</v>
      </c>
      <c r="BK184" s="1" t="e">
        <f>IF(OR(ISNA('Reaction Information'!$D$9), $N184 = "", $D$27 = FALSE, 'Reaction Information'!$D$9 = ""), NA(), 24.465)</f>
        <v>#N/A</v>
      </c>
      <c r="BL184" s="8">
        <f t="shared" si="55"/>
        <v>13.245250726235897</v>
      </c>
      <c r="BM184" s="8">
        <f>IF(OR(ISBLANK(Input!$X$4),$D$27=FALSE),NA(),('Reaction Information'!$J$13/10+'Reaction Information'!$K$13*100/(Calculations!$C$12+Calculations!$M184)+('Reaction Information'!$L$13+'Reaction Information'!$M$13*10^4/(Calculations!$C$12+Calculations!$M184))/(Calculations!$O184-Calculations!$C$13) -calculateOmega(Calculations!$M184,Calculations!$N184,Calculations!$Q184,'Reaction Information'!$C$13,'Reaction Information'!$P$13*10^5,'Reaction Information'!$Q$13)*Calculations!$U184*10^-6 + (1/$S184 - 1)*calculate_domegadP(Calculations!$M184,Calculations!$N184,Calculations!$Q184,'Reaction Information'!$C$13,'Reaction Information'!$P$13*10^5,'Reaction Information'!$Q$13,$D$20,$D$19=3))*41.84)</f>
        <v>29.896235677295667</v>
      </c>
      <c r="BN184" s="8" t="e">
        <f>IF(OR(ISBLANK(Input!$AA$4),$D$27=FALSE),NA(),('Reaction Information'!$J$17/10+'Reaction Information'!$K$17*100/(Calculations!$C$12+Calculations!$M184)+('Reaction Information'!$L$17+'Reaction Information'!$M$17*10000/(Calculations!$C$12+Calculations!$M184))/(Calculations!$O184-Calculations!$C$13)-calculateOmega(Calculations!M184,Calculations!N184,Calculations!Q184,'Reaction Information'!$C$17,'Reaction Information'!$P$17*10^5,'Reaction Information'!$Q$17)*Calculations!$U184*10^-6 + (1/$S184 - 1)*calculate_domegadP(Calculations!M184,Calculations!N184,Calculations!Q184,'Reaction Information'!$C$17,'Reaction Information'!$P$17*10^5,'Reaction Information'!$Q$17,$D$20,$D$19=3))*41.84)</f>
        <v>#N/A</v>
      </c>
      <c r="BO184" s="8" t="e">
        <f>IF(OR(ISBLANK(Input!$AD$4),$D$27=FALSE),NA(),('Reaction Information'!$J$21/10+'Reaction Information'!$K$21*100/(Calculations!$C$12+Calculations!$M184)+('Reaction Information'!$L$21+'Reaction Information'!$M$21*10000/(Calculations!$C$12+Calculations!$M184))/(Calculations!$O184-Calculations!$C$13)-calculateOmega(Calculations!M184,Calculations!N184,Calculations!Q184,'Reaction Information'!$C$21,'Reaction Information'!$P$21*10^5,'Reaction Information'!$Q$21)*Calculations!$U184*10^-6 + (1/$S184 - 1)*calculate_domegadP(Calculations!M184,Calculations!N184,Calculations!Q184,'Reaction Information'!$C$21,'Reaction Information'!$P$21*10^5,'Reaction Information'!$Q$21,$D$20,$D$19=3))*41.84)</f>
        <v>#N/A</v>
      </c>
      <c r="BP184" s="8" t="e">
        <f>IF(OR(ISBLANK(Input!$AG$4),$D$27=FALSE),NA(),('Reaction Information'!$J$25/10+'Reaction Information'!$K$25*100/(Calculations!$C$12+Calculations!$M184)+('Reaction Information'!$L$25+'Reaction Information'!$M$25*10000/(Calculations!$C$12+Calculations!$M184))/(Calculations!$O184-Calculations!$C$13)-calculateOmega(Calculations!M184,Calculations!N184,Calculations!Q184,'Reaction Information'!$C$25,'Reaction Information'!$P$25*10^5,'Reaction Information'!$Q$25)*Calculations!$U184*10^-6 + (1/$S184 - 1)*calculate_domegadP(Calculations!M184,Calculations!N184,Calculations!Q184,'Reaction Information'!$C$25,'Reaction Information'!$P$25*10^5,'Reaction Information'!$Q$25,$D$20,$D$19=3))*41.84)</f>
        <v>#N/A</v>
      </c>
      <c r="BQ184" s="8" t="e">
        <f>IF(OR(ISBLANK(Input!$AJ$4),$D$27=FALSE),NA(),('Reaction Information'!$J$29/10+'Reaction Information'!$K$29*100/(Calculations!$C$12+Calculations!$M184)+('Reaction Information'!$L$29+'Reaction Information'!$M$29*10000/(Calculations!$C$12+Calculations!$M184))/(Calculations!$O184-Calculations!$C$13)-calculateOmega(Calculations!M184,Calculations!N184,Calculations!Q184,'Reaction Information'!$C$29,'Reaction Information'!$P$29*10^5,'Reaction Information'!$Q$29)*Calculations!$U184*10^-6 + (1/$S184 - 1)*calculate_domegadP(Calculations!M184,Calculations!N184,Calculations!Q184,'Reaction Information'!$C$29,'Reaction Information'!$P$29*10^5,'Reaction Information'!$Q$29,$D$20,$D$19=3))*41.84)</f>
        <v>#N/A</v>
      </c>
      <c r="BR184" s="8" t="e">
        <f>IF(OR(ISBLANK(Input!$AM$4),$D$27=FALSE),NA(),('Reaction Information'!$J$33/10+'Reaction Information'!$K$33*100/(Calculations!$C$12+Calculations!$M184)+('Reaction Information'!$L$33+'Reaction Information'!$M$33*10000/(Calculations!$C$12+Calculations!$M184))/(Calculations!$O184-Calculations!$C$13)-calculateOmega(Calculations!M184,Calculations!N184,Calculations!Q184,'Reaction Information'!$C$33,'Reaction Information'!$P$33*10^5,'Reaction Information'!$Q$33)*Calculations!$U184*10^-6 + (1/$S184 - 1)*calculate_domegadP(Calculations!M184,Calculations!N184,Calculations!Q184,'Reaction Information'!$C$33,'Reaction Information'!$P$33*10^5,'Reaction Information'!$Q$33,$D$20,$D$19=3))*41.84)</f>
        <v>#N/A</v>
      </c>
      <c r="BS184" s="1">
        <f>Results!AW186</f>
        <v>0</v>
      </c>
      <c r="BT184" s="1">
        <f>Results!AX186</f>
        <v>0</v>
      </c>
      <c r="BU184" s="1">
        <f>Results!AY186</f>
        <v>0</v>
      </c>
      <c r="BV184" s="1">
        <f>Results!AZ186</f>
        <v>0</v>
      </c>
      <c r="BW184" s="1" t="e">
        <f>IF(OR(ISNA('Reaction Information'!$D$38), $N184 = "", $D$27 = FALSE, 'Reaction Information'!$D$38 = ""), NA(), 24.465)</f>
        <v>#N/A</v>
      </c>
      <c r="BX184" s="1" t="e">
        <f>IF(OR(ISNA('Reaction Information'!$D$42), $N184 = "", $D$27 = FALSE, 'Reaction Information'!$D$42 = ""), NA(), 24.465)</f>
        <v>#N/A</v>
      </c>
      <c r="BY184" s="8" t="e">
        <f t="shared" si="56"/>
        <v>#N/A</v>
      </c>
      <c r="BZ184" s="8">
        <f>IF(OR(ISBLANK(Input!$BK$4),$D$27=FALSE),NA(),('Reaction Information'!$J$46/10+'Reaction Information'!$K$46*100/(Calculations!$C$12+Calculations!$M184)+('Reaction Information'!$L$46+'Reaction Information'!$M$46*10000/(Calculations!$C$12+Calculations!$M184))/(Calculations!$O184-Calculations!$C$13)-calculateOmega(Calculations!M184,Calculations!N184,Calculations!Q184,'Reaction Information'!$C$46,'Reaction Information'!$P$46*10^5,'Reaction Information'!$Q$46)*Calculations!$U184*10^-6 + (1/$S184 - 1)*calculate_domegadP(Calculations!M184,Calculations!N184,Calculations!Q184,'Reaction Information'!$C$46,'Reaction Information'!$P$46*10^5,'Reaction Information'!$Q$46,$D$20,$D$19=3))*41.84)</f>
        <v>0</v>
      </c>
      <c r="CA184" s="8">
        <f>IF(OR(ISBLANK(Input!$BN$4),$D$27=FALSE),NA(),('Reaction Information'!$J$50/10+'Reaction Information'!$K$50*100/(Calculations!$C$12+Calculations!$M184)+('Reaction Information'!$L$50+'Reaction Information'!$M$50*10000/(Calculations!$C$12+Calculations!$M184))/(Calculations!$O184-Calculations!$C$13)-calculateOmega(Calculations!M184,Calculations!N184,Calculations!Q184,'Reaction Information'!$C$50,'Reaction Information'!$P$50*10^5,'Reaction Information'!$Q$50)*Calculations!$U184*10^-6 + (1/$S184 - 1)*calculate_domegadP(Calculations!M184,Calculations!N184,Calculations!Q184,'Reaction Information'!$C$50,'Reaction Information'!$P$50*10^5,'Reaction Information'!$Q$50,$D$20,$D$19=3))*41.84)</f>
        <v>31.271698625051005</v>
      </c>
      <c r="CB184" s="8" t="e">
        <f>IF(OR(ISBLANK(Input!$BQ$4),$D$27=FALSE),NA(),('Reaction Information'!$J$54/10+'Reaction Information'!$K$54*100/(Calculations!$C$12+Calculations!$M184)+('Reaction Information'!$L$54+'Reaction Information'!$M$54*10000/(Calculations!$C$12+Calculations!$M184))/(Calculations!$O184-Calculations!$C$13)-calculateOmega(Calculations!M184,Calculations!N184,Calculations!Q184,'Reaction Information'!$C$54,'Reaction Information'!$P$54*10^5,'Reaction Information'!$Q$54)*Calculations!$U184*10^-6 + (1/$S184 - 1)*calculate_domegadP(Calculations!M184,Calculations!N184,Calculations!Q184,'Reaction Information'!$C$54,'Reaction Information'!$P$54*10^5,'Reaction Information'!$Q$54,$D$20,$D$19=3))*41.84)</f>
        <v>#N/A</v>
      </c>
      <c r="CC184" s="8" t="e">
        <f>IF(OR(ISBLANK(Input!$BT$4),$D$27=FALSE),NA(),('Reaction Information'!$J$58/10+'Reaction Information'!$K$58*100/(Calculations!$C$12+Calculations!$M184)+('Reaction Information'!$L$58+'Reaction Information'!$M$58*10000/(Calculations!$C$12+Calculations!$M184))/(Calculations!$O184-Calculations!$C$13)-calculateOmega(Calculations!M184,Calculations!N184,Calculations!Q184,'Reaction Information'!$C$58,'Reaction Information'!$P$58*10^5,'Reaction Information'!$Q$58)*Calculations!$U184*10^-6 + (1/$S184 - 1)*calculate_domegadP(Calculations!M184,Calculations!N184,Calculations!Q184,'Reaction Information'!$C$58,'Reaction Information'!$P$58*10^5,'Reaction Information'!$Q$58,$D$20,$D$19=3))*41.84)</f>
        <v>#N/A</v>
      </c>
      <c r="CD184" s="8" t="e">
        <f>IF(OR(ISBLANK(Input!$BW$4),$D$27=FALSE),NA(),('Reaction Information'!$J$62/10+'Reaction Information'!$K$62*100/(Calculations!$C$12+Calculations!$M184)+('Reaction Information'!$L$62+'Reaction Information'!$M$62*10000/(Calculations!$C$12+Calculations!$M184))/(Calculations!$O184-Calculations!$C$13)-calculateOmega(Calculations!M184,Calculations!N184,Calculations!Q184,'Reaction Information'!$C$62,'Reaction Information'!$P$62*10^5,'Reaction Information'!$Q$62)*Calculations!$U184*10^-6 + (1/$S184 - 1)*calculate_domegadP(Calculations!M184,Calculations!N184,Calculations!Q184,'Reaction Information'!$C$62,'Reaction Information'!$P$62*10^5,'Reaction Information'!$Q$62,$D$20,$D$19=3))*41.84)</f>
        <v>#N/A</v>
      </c>
      <c r="CE184" s="8" t="e">
        <f>IF(OR(ISBLANK(Input!$BZ$4),$D$27=FALSE),NA(),('Reaction Information'!$J$66/10+'Reaction Information'!$K$66*100/(Calculations!$C$12+Calculations!$M184)+('Reaction Information'!$L$66+'Reaction Information'!$M$66*10000/(Calculations!$C$12+Calculations!$M184))/(Calculations!$O184-Calculations!$C$13)-calculateOmega(Calculations!M184,Calculations!N184,Calculations!Q184,'Reaction Information'!$C$66,'Reaction Information'!$P$66*10^5,'Reaction Information'!$Q$66)*Calculations!$U184*10^-6 + (1/$S184 - 1)*calculate_domegadP(Calculations!M184,Calculations!N184,Calculations!Q184,'Reaction Information'!$C$66,'Reaction Information'!$P$66*10^5,'Reaction Information'!$Q$66,$D$20,$D$19=3))*41.84)</f>
        <v>#N/A</v>
      </c>
      <c r="CF184" s="31">
        <f>(BS184*Input!$AO$4+BT184*Input!$AR$4+BU184*Input!$AU$4+BV184*Input!$AX$4+IF(ISNA(BW184),0,BW184*Input!$BA$4)+IF(ISNA(BX184),0,BX184*Input!$BD$4)+IF(ISNA(BY184),0,BY184*Input!$BG$4)+IF(ISNA(BZ184),0,BZ184*Input!$BJ$4)+IF(ISNA(CA184),0,CA184*Input!$BM$4)+IF(ISNA(CB184),0,CB184*Input!$BP$4)+IF(ISNA(CC184),0,CC184*Input!$BS$4)+IF(ISNA(CD184),0,CD184*Input!$BV$4)+IF(ISNA(CE184),0,CE184*Input!$BY$4))-(BF184*Input!$B$4+BG184*Input!$E$4+BH184*Input!$H$4+BI184*Input!$K$4+IF(ISNA(BJ184),0,BJ184*Input!$N$4)+IF(ISNA(BK184),0,BK184*Input!$Q$4)+IF(ISNA(BL184),0,BL184*Input!$T$4)+IF(ISNA(BM184),0,BM184*Input!$W$4)+IF(ISNA(BN184),0,BN184*Input!$Z$4)+IF(ISNA(BO184),0,BO184*Input!$AC$4)+IF(ISNA(BP184),0,BP184*Input!$AF$4)+IF(ISNA(BQ184),0,BQ184*Input!$AI$4)+IF(ISNA(BR184),0,BR184*Input!$AL$4))</f>
        <v>-11.869787778480561</v>
      </c>
      <c r="CG184" s="1">
        <f t="shared" si="50"/>
        <v>950</v>
      </c>
      <c r="CH184" s="46">
        <f t="shared" si="51"/>
        <v>60000</v>
      </c>
      <c r="CI184" s="1"/>
    </row>
    <row r="185" spans="1:87" x14ac:dyDescent="0.2">
      <c r="A185" s="1"/>
      <c r="B185" s="1"/>
      <c r="C185" s="1"/>
      <c r="D185" s="1"/>
      <c r="E185" s="1"/>
      <c r="F185" s="2">
        <v>180</v>
      </c>
      <c r="G185" s="1" t="str">
        <f>IF(ISBLANK(Input!CB185), "", Input!CB185*1000)</f>
        <v/>
      </c>
      <c r="H185" s="1" t="str">
        <f>IF(ISBLANK(Input!CC185), "", Input!CC185)</f>
        <v/>
      </c>
      <c r="I185" s="1">
        <f>IF(Input!$CF$5 + Input!$CF$6*(FLOOR((Calculations!$F185-1)/(FLOOR((Input!$CF$12-Input!$CF$10)/Input!$CF$11,1)+1),1)) &gt; Input!$CF$7, "", (Input!$CF$5 + Input!$CF$6*(FLOOR((Calculations!$F185-1)/(FLOOR((Input!$CF$12-Input!$CF$10)/Input!$CF$11,1)+1),1)))*1000)</f>
        <v>60000</v>
      </c>
      <c r="J185" s="1">
        <f>IF(Calculations!I185 = "", "", Input!$CF$10 + Input!$CF$11*(Calculations!$F185-1) - (FLOOR((Input!$CF$12-Input!$CF$10)/Input!$CF$11,1)+1)*Input!$CF$11*FLOOR((Calculations!$F185-1)/(FLOOR((Input!$CF$12-Input!$CF$10)/Input!$CF$11,1)+1),1))</f>
        <v>1000</v>
      </c>
      <c r="K185" s="8" t="str">
        <f t="shared" si="52"/>
        <v/>
      </c>
      <c r="L185" s="117" t="str">
        <f>IF(OR(Input!$CJ$5 + Input!$CJ$6*(Calculations!F185-1) &gt; Input!$CJ$7, Input!$CJ$5 + Input!$CJ$6*(Calculations!F185-1) &gt; 350), "", Input!$CJ$5 + Input!$CJ$6*(Calculations!F185-1))</f>
        <v/>
      </c>
      <c r="M185" s="1">
        <f t="shared" si="42"/>
        <v>60000</v>
      </c>
      <c r="N185" s="1">
        <f t="shared" si="43"/>
        <v>1000</v>
      </c>
      <c r="O185" s="1">
        <f t="shared" si="53"/>
        <v>1273.1500000000001</v>
      </c>
      <c r="P185" s="1" t="e">
        <f>IF(OR($D$20=3,AND($D$21=TRUE,M185&lt;1000)),INDEX('Water Density'!$C$6:$CX$120,MATCH(Calculations!N185,'Water Density'!$B$6:$B$120),MATCH(Calculations!M185/1000,'Water Density'!$C$5:$CX$5)),NA())</f>
        <v>#N/A</v>
      </c>
      <c r="Q185" s="182">
        <f>IF(OR($D$20=3,AND($D$21=TRUE,M185&lt;1000)), IF(P185&lt;&gt;0,P185,NA()), calculateDensity(M185,N185,$D$20,0.01,$D$19 = 3))</f>
        <v>1.3489287196037174</v>
      </c>
      <c r="R185" s="1" t="e">
        <f>IF($D$22=5,INDEX('Dielectric Constant'!$C$6:$CX$120,MATCH(Calculations!N185,'Dielectric Constant'!$B$6:$B$120),MATCH(Calculations!M185/1000,'Dielectric Constant'!$C$5:$CX$5)),NA())</f>
        <v>#N/A</v>
      </c>
      <c r="S185" s="58">
        <f>IF($D$22=5, IF(R185&lt;&gt;0,R185,NA()), IF(AND($D$23,M185&lt;=5000,$D$19 &lt;&gt; 3),calculateEpsilon(Q185,N185,1,FALSE),calculateEpsilon(Q185,N185,$D$22,$D$19 = 3)))</f>
        <v>18.056792477661176</v>
      </c>
      <c r="T185" s="1" t="e">
        <f>IF($D$24=3,INDEX('Water Free Energy'!$C$6:$CX$120,MATCH(Calculations!N185,'Water Free Energy'!$B$6:$B$120),MATCH(Calculations!M185/1000,'Water Free Energy'!$C$5:$CX$5)),NA())</f>
        <v>#N/A</v>
      </c>
      <c r="U185" s="179">
        <f>IF($D$27,calculateQ(M185,N185,Q185,$D$20,$D$22,$D$19=3)*10^6,NA())</f>
        <v>0.15800746854469955</v>
      </c>
      <c r="V185"/>
      <c r="W185" s="2">
        <f t="shared" si="44"/>
        <v>60000</v>
      </c>
      <c r="X185" s="1">
        <f t="shared" si="45"/>
        <v>1000</v>
      </c>
      <c r="Y185" s="1">
        <f>Results!F187</f>
        <v>0</v>
      </c>
      <c r="Z185" s="1">
        <f>Results!G187</f>
        <v>0</v>
      </c>
      <c r="AA185" s="1">
        <f>Results!H187</f>
        <v>0</v>
      </c>
      <c r="AB185" s="1">
        <f>Results!I187</f>
        <v>0</v>
      </c>
      <c r="AC185" s="1" t="e">
        <f>IF(ISBLANK(Input!$O$4),NA(),'Reaction Information'!$E$5-'Reaction Information'!$G$5*(Calculations!$O185-Calculations!$C$8)+'Reaction Information'!$I$5*(Calculations!$O185-Calculations!$C$8-Calculations!$O185*LN(Calculations!$O185/Calculations!$C$8))+'Reaction Information'!$J$5*0.001/2*(2*Calculations!$O185*Calculations!$C$8-Calculations!$O185^2-Calculations!$C$8^2) + 'Reaction Information'!$K$5*100000*(Calculations!$O185^2 + Calculations!$C$8^2 - 2*Calculations!$O185*Calculations!$C$8)/(2*Calculations!$O185*Calculations!$C$8^2))</f>
        <v>#N/A</v>
      </c>
      <c r="AD185" s="8" t="e">
        <f>IF(ISBLANK(Input!$R$4),NA(),'Reaction Information'!$E$9-'Reaction Information'!$G$9*(Calculations!$O185-Calculations!$C$8)+'Reaction Information'!$I$9*(Calculations!$O185-Calculations!$C$8-Calculations!$O185*LN(Calculations!$O185/Calculations!$C$8))+'Reaction Information'!$J$9*0.001/2*(2*Calculations!$O185*Calculations!$C$8-Calculations!$O185^2-Calculations!$C$8^2) + 'Reaction Information'!$K$9*100000*(Calculations!$O185^2 + Calculations!$C$8^2 - 2*Calculations!$O185*Calculations!$C$8)/(2*Calculations!$O185*Calculations!$C$8^2))</f>
        <v>#N/A</v>
      </c>
      <c r="AE185" s="8">
        <f>IF(AE$5="H2O",IF($D$24=3,IF(T185=0,NA(),T185),calculateGibbsOfWater(M185,N185,$D$24,$D$20,$D$19=3)),NA())</f>
        <v>-61898.16151583106</v>
      </c>
      <c r="AF185" s="8">
        <f>IF(ISBLANK(Input!$X$4),NA(),'Reaction Information'!$E$13-'Reaction Information'!$G$13*(Calculations!O185-Calculations!$C$8)-'Reaction Information'!$N$13*(Calculations!O185*LN(Calculations!O185/Calculations!$C$8)-Calculations!O185+Calculations!$C$8)-'Reaction Information'!$O$13*10^4*(((1/(Calculations!O185-Calculations!$C$13))-(1/(Calculations!$C$8-Calculations!$C$13)))*((Calculations!$C$13-Calculations!O185)/(Calculations!$C$13))-(Calculations!O185/(Calculations!$C$13*Calculations!$C$13))*LN((Calculations!$C$8*(Calculations!O185-Calculations!$C$13))/(Calculations!O185*(Calculations!$C$8-Calculations!$C$13))))+'Reaction Information'!$J$13*10^-1*(Calculations!M185-Calculations!$C$9)+'Reaction Information'!$K$13*10^2*LN((Calculations!$C$12+Calculations!M185)/(Calculations!$C$12+Calculations!$C$9))+(1/(Calculations!O185-Calculations!$C$13))*('Reaction Information'!$L$13*(Calculations!M185-Calculations!$C$9)+'Reaction Information'!$M$13*10^4*LN((Calculations!$C$12+Calculations!M185)/(Calculations!$C$12+Calculations!$C$9)))+calculateOmega(Calculations!M185,Calculations!N185,Calculations!Q185,'Reaction Information'!$C$13,'Reaction Information'!$P$13*10^5,'Reaction Information'!$Q$13)*((1/Calculations!S185)-1)-'Reaction Information'!$P$13*10^5*((1/Calculations!$C$10)-1)+'Reaction Information'!$P$13*10^5*Calculations!$C$14*(Calculations!O185-Calculations!$C$8))</f>
        <v>-91113.357928209065</v>
      </c>
      <c r="AG185" s="8" t="e">
        <f>IF(ISBLANK(Input!$AA$4),NA(),'Reaction Information'!$E$17-'Reaction Information'!$G$17*(Calculations!$O185-Calculations!$C$8)-'Reaction Information'!$N$17*(Calculations!$O185*LN(Calculations!$O185/Calculations!$C$8)-Calculations!$O185+Calculations!$C$8)-'Reaction Information'!$O$17*10^4*(((1/(Calculations!$O185-Calculations!$C$13))-(1/(Calculations!$C$8-Calculations!$C$13)))*((Calculations!$C$13-Calculations!$O185)/(Calculations!$C$13))-(Calculations!$O185/(Calculations!$C$13*Calculations!$C$13))*LN((Calculations!$C$8*(Calculations!$O185-Calculations!$C$13))/(Calculations!$O185*(Calculations!$C$8-Calculations!$C$13))))+'Reaction Information'!$J$17*10^-1*(Calculations!$M185-Calculations!$C$9)+'Reaction Information'!$K$17*10^2*LN((Calculations!$C$12+Calculations!$M185)/(Calculations!$C$12+Calculations!$C$9))+(1/(Calculations!$O185-Calculations!$C$13))*('Reaction Information'!$L$17*(Calculations!$M185-Calculations!$C$9)+'Reaction Information'!$M$17*10^4*LN((Calculations!$C$12+Calculations!$M185)/(Calculations!$C$12+Calculations!$C$9)))+calculateOmega(Calculations!M185,Calculations!N185,Calculations!Q185,'Reaction Information'!$C$17,'Reaction Information'!$P$17*10^5,'Reaction Information'!$Q$17)*((1/Calculations!$S185)-1)-'Reaction Information'!$P$17*10^5*((1/Calculations!$C$10)-1)+'Reaction Information'!$P$17*10^5*Calculations!$C$14*(Calculations!$O185-Calculations!$C$8))</f>
        <v>#N/A</v>
      </c>
      <c r="AH185" s="8" t="e">
        <f>IF(ISBLANK(Input!$AD$4),NA(),'Reaction Information'!$E$21-'Reaction Information'!$G$21*(Calculations!$O185-Calculations!$C$8)-'Reaction Information'!$N$21*(Calculations!$O185*LN(Calculations!$O185/Calculations!$C$8)-Calculations!$O185+Calculations!$C$8)-'Reaction Information'!$O$21*10^4*(((1/(Calculations!$O185-Calculations!$C$13))-(1/(Calculations!$C$8-Calculations!$C$13)))*((Calculations!$C$13-Calculations!$O185)/(Calculations!$C$13))-(Calculations!$O185/(Calculations!$C$13*Calculations!$C$13))*LN((Calculations!$C$8*(Calculations!$O185-Calculations!$C$13))/(Calculations!$O185*(Calculations!$C$8-Calculations!$C$13))))+'Reaction Information'!$J$21*10^-1*(Calculations!$M185-Calculations!$C$9)+'Reaction Information'!$K$21*10^2*LN((Calculations!$C$12+Calculations!$M185)/(Calculations!$C$12+Calculations!$C$9))+(1/(Calculations!$O185-Calculations!$C$13))*('Reaction Information'!$L$21*(Calculations!$M185-Calculations!$C$9)+'Reaction Information'!$M$21*10^4*LN((Calculations!$C$12+Calculations!$M185)/(Calculations!$C$12+Calculations!$C$9)))+calculateOmega(Calculations!M185,Calculations!N185,Calculations!Q185,'Reaction Information'!$C$21,'Reaction Information'!$P$21*10^5,'Reaction Information'!$Q$21)*((1/Calculations!$S185)-1)-'Reaction Information'!$P$21*10^5*((1/Calculations!$C$10)-1)+'Reaction Information'!$P$21*10^5*Calculations!$C$14*(Calculations!$O185-Calculations!$C$8))</f>
        <v>#N/A</v>
      </c>
      <c r="AI185" s="8" t="e">
        <f>IF(ISBLANK(Input!$AG$4),NA(),'Reaction Information'!$E$25-'Reaction Information'!$G$25*(Calculations!$O185-Calculations!$C$8)-'Reaction Information'!$N$25*(Calculations!$O185*LN(Calculations!$O185/Calculations!$C$8)-Calculations!$O185+Calculations!$C$8)-'Reaction Information'!$O$25*10^4*(((1/(Calculations!$O185-Calculations!$C$13))-(1/(Calculations!$C$8-Calculations!$C$13)))*((Calculations!$C$13-Calculations!$O185)/(Calculations!$C$13))-(Calculations!$O185/(Calculations!$C$13*Calculations!$C$13))*LN((Calculations!$C$8*(Calculations!$O185-Calculations!$C$13))/(Calculations!$O185*(Calculations!$C$8-Calculations!$C$13))))+'Reaction Information'!$J$25*10^-1*(Calculations!$M185-Calculations!$C$9)+'Reaction Information'!$K$25*10^2*LN((Calculations!$C$12+Calculations!$M185)/(Calculations!$C$12+Calculations!$C$9))+(1/(Calculations!$O185-Calculations!$C$13))*('Reaction Information'!$L$25*(Calculations!$M185-Calculations!$C$9)+'Reaction Information'!$M$25*10^4*LN((Calculations!$C$12+Calculations!$M185)/(Calculations!$C$12+Calculations!$C$9)))+calculateOmega(Calculations!M185,Calculations!N185,Calculations!Q185,'Reaction Information'!$C$25,'Reaction Information'!$P$25*10^5,'Reaction Information'!$Q$25)*((1/Calculations!$S185)-1)-'Reaction Information'!$P$25*10^5*((1/Calculations!$C$10)-1)+'Reaction Information'!$P$25*10^5*Calculations!$C$14*(Calculations!$O185-Calculations!$C$8))</f>
        <v>#N/A</v>
      </c>
      <c r="AJ185" s="8" t="e">
        <f>IF(ISBLANK(Input!$AJ$4),NA(),'Reaction Information'!$E$29-'Reaction Information'!$G$29*(Calculations!$O185-Calculations!$C$8)-'Reaction Information'!$N$29*(Calculations!$O185*LN(Calculations!$O185/Calculations!$C$8)-Calculations!$O185+Calculations!$C$8)-'Reaction Information'!$O$29*10^4*(((1/(Calculations!$O185-Calculations!$C$13))-(1/(Calculations!$C$8-Calculations!$C$13)))*((Calculations!$C$13-Calculations!$O185)/(Calculations!$C$13))-(Calculations!$O185/(Calculations!$C$13*Calculations!$C$13))*LN((Calculations!$C$8*(Calculations!$O185-Calculations!$C$13))/(Calculations!$O185*(Calculations!$C$8-Calculations!$C$13))))+'Reaction Information'!$J$29*10^-1*(Calculations!$M185-Calculations!$C$9)+'Reaction Information'!$K$29*10^2*LN((Calculations!$C$12+Calculations!$M185)/(Calculations!$C$12+Calculations!$C$9))+(1/(Calculations!$O185-Calculations!$C$13))*('Reaction Information'!$L$29*(Calculations!$M185-Calculations!$C$9)+'Reaction Information'!$M$29*10^4*LN((Calculations!$C$12+Calculations!$M185)/(Calculations!$C$12+Calculations!$C$9)))+calculateOmega(Calculations!M185,Calculations!N185,Calculations!Q185,'Reaction Information'!$C$29,'Reaction Information'!$P$29*10^5,'Reaction Information'!$Q$29)*((1/Calculations!$S185)-1)-'Reaction Information'!$P$29*10^5*((1/Calculations!$C$10)-1)+'Reaction Information'!$P$29*10^5*Calculations!$C$14*(Calculations!$O185-Calculations!$C$8))</f>
        <v>#N/A</v>
      </c>
      <c r="AK185" s="8" t="e">
        <f>IF(ISBLANK(Input!$AM$4),NA(),'Reaction Information'!$E$33-'Reaction Information'!$G$33*(Calculations!$O185-Calculations!$C$8)-'Reaction Information'!$N$33*(Calculations!$O185*LN(Calculations!$O185/Calculations!$C$8)-Calculations!$O185+Calculations!$C$8)-'Reaction Information'!$O$33*10^4*(((1/(Calculations!$O185-Calculations!$C$13))-(1/(Calculations!$C$8-Calculations!$C$13)))*((Calculations!$C$13-Calculations!$O185)/(Calculations!$C$13))-(Calculations!$O185/(Calculations!$C$13*Calculations!$C$13))*LN((Calculations!$C$8*(Calculations!$O185-Calculations!$C$13))/(Calculations!$O185*(Calculations!$C$8-Calculations!$C$13))))+'Reaction Information'!$J$33*10^-1*(Calculations!$M185-Calculations!$C$9)+'Reaction Information'!$K$33*10^2*LN((Calculations!$C$12+Calculations!$M185)/(Calculations!$C$12+Calculations!$C$9))+(1/(Calculations!$O185-Calculations!$C$13))*('Reaction Information'!$L$33*(Calculations!$M185-Calculations!$C$9)+'Reaction Information'!$M$33*10^4*LN((Calculations!$C$12+Calculations!$M185)/(Calculations!$C$12+Calculations!$C$9)))+calculateOmega(Calculations!M185,Calculations!N185,Calculations!Q185,'Reaction Information'!$C$33,'Reaction Information'!$P$33*10^5,'Reaction Information'!$Q$33)*((1/Calculations!$S185)-1)-'Reaction Information'!$P$33*10^5*((1/Calculations!$C$10)-1)+'Reaction Information'!$P$33*10^5*Calculations!$C$14*(Calculations!$O185-Calculations!$C$8))</f>
        <v>#N/A</v>
      </c>
      <c r="AL185" s="1">
        <f>Results!S187</f>
        <v>0</v>
      </c>
      <c r="AM185" s="1">
        <f>Results!T187</f>
        <v>0</v>
      </c>
      <c r="AN185" s="1">
        <f>Results!U187</f>
        <v>0</v>
      </c>
      <c r="AO185" s="1">
        <f>Results!V187</f>
        <v>0</v>
      </c>
      <c r="AP185" s="8" t="e">
        <f>IF(ISBLANK(Input!$BB$4),NA(),'Reaction Information'!$E$38-'Reaction Information'!$G$38*(Calculations!$O185-Calculations!$C$8)+'Reaction Information'!$I$38*(Calculations!$O185-Calculations!$C$8-Calculations!$O185*LN(Calculations!$O185/Calculations!$C$8))+'Reaction Information'!$J$38*0.001/2*(2*Calculations!$O185*Calculations!$C$8-Calculations!$O185^2-Calculations!$C$8^2) + 'Reaction Information'!$K$38*100000*(Calculations!$O185^2 + Calculations!$C$8^2 - 2*Calculations!$O185*Calculations!$C$8)/(2*Calculations!$O185*Calculations!$C$8^2))</f>
        <v>#N/A</v>
      </c>
      <c r="AQ185" s="8" t="e">
        <f>IF(ISBLANK(Input!$BE$4),NA(),'Reaction Information'!$E$42-'Reaction Information'!$G$42*(Calculations!$O185-Calculations!$C$8)+'Reaction Information'!$I$42*(Calculations!$O185-Calculations!$C$8-Calculations!$O185*LN(Calculations!$O185/Calculations!$C$8))+'Reaction Information'!$J$42*0.001/2*(2*Calculations!$O185*Calculations!$C$8-Calculations!$O185^2-Calculations!$C$8^2) + 'Reaction Information'!$K$42*100000*(Calculations!$O185^2 + Calculations!$C$8^2 - 2*Calculations!$O185*Calculations!$C$8)/(2*Calculations!$O185*Calculations!$C$8^2))</f>
        <v>#N/A</v>
      </c>
      <c r="AR185" s="8" t="e">
        <f>IF(AR$5="H2O", IF($D$24=3,IF(T185=0,NA(),T185),calculateGibbsOfWater(M185,N185,$D$24,$D$20,$D$19=3)),NA())</f>
        <v>#N/A</v>
      </c>
      <c r="AS185" s="8">
        <f>IF(ISBLANK(Input!$BK$4),NA(),'Reaction Information'!$E$46-'Reaction Information'!$G$46*(Calculations!O185-Calculations!$C$8)-'Reaction Information'!$N$46*(Calculations!O185*LN(Calculations!O185/Calculations!$C$8)-Calculations!O185+Calculations!$C$8)-'Reaction Information'!$O$46*10^4*(((1/(Calculations!O185-Calculations!$C$13))-(1/(Calculations!$C$8-Calculations!$C$13)))*((Calculations!$C$13-Calculations!O185)/(Calculations!$C$13))-(Calculations!O185/(Calculations!$C$13*Calculations!$C$13))*LN((Calculations!$C$8*(Calculations!O185-Calculations!$C$13))/(Calculations!O185*(Calculations!$C$8-Calculations!$C$13))))+'Reaction Information'!$J$46*10^-1*(Calculations!$M185-Calculations!$C$9)+'Reaction Information'!$K$46*10^2*LN((Calculations!$C$12+Calculations!$M185)/(Calculations!$C$12+Calculations!$C$9))+(1/(Calculations!O185-Calculations!$C$13))*('Reaction Information'!$L$46*(Calculations!$M185-Calculations!$C$9)+'Reaction Information'!$M$46*10^4*LN((Calculations!$C$12+Calculations!$M185)/(Calculations!$C$12+Calculations!$C$9)))+calculateOmega(Calculations!M185,Calculations!N185,Calculations!Q185,'Reaction Information'!$C$46,'Reaction Information'!$P$46*10^5,'Reaction Information'!$Q$46)*((1/Calculations!S185)-1)-'Reaction Information'!$P$46*10^5*((1/Calculations!$C$10)-1)+'Reaction Information'!$P$46*10^5*Calculations!$C$14*(Calculations!O185-Calculations!$C$8))</f>
        <v>0</v>
      </c>
      <c r="AT185" s="8">
        <f>IF(ISBLANK(Input!$BN$4),NA(),'Reaction Information'!$E$50-'Reaction Information'!$G$50*(Calculations!O185-Calculations!$C$8)-'Reaction Information'!$N$50*(Calculations!O185*LN(Calculations!O185/Calculations!$C$8)-Calculations!O185+Calculations!$C$8)-'Reaction Information'!$O$50*10^4*(((1/(Calculations!O185-Calculations!$C$13))-(1/(Calculations!$C$8-Calculations!$C$13)))*((Calculations!$C$13-Calculations!O185)/(Calculations!$C$13))-(Calculations!O185/(Calculations!$C$13*Calculations!$C$13))*LN((Calculations!$C$8*(Calculations!O185-Calculations!$C$13))/(Calculations!O185*(Calculations!$C$8-Calculations!$C$13))))+'Reaction Information'!$J$50*10^-1*(Calculations!$M185-Calculations!$C$9)+'Reaction Information'!$K$50*10^2*LN((Calculations!$C$12+Calculations!$M185)/(Calculations!$C$12+Calculations!$C$9))+(1/(Calculations!O185-Calculations!$C$13))*('Reaction Information'!$L$50*(Calculations!$M185-Calculations!$C$9)+'Reaction Information'!$M$50*10^4*LN((Calculations!$C$12+Calculations!$M185)/(Calculations!$C$12+Calculations!$C$9)))+calculateOmega(Calculations!M185,Calculations!N185,Calculations!Q185,'Reaction Information'!$C$50,'Reaction Information'!$P$50*10^5,'Reaction Information'!$Q$50)*((1/Calculations!S185)-1)-'Reaction Information'!$P$50*10^5*((1/Calculations!$C$10)-1)+'Reaction Information'!$P$50*10^5*Calculations!$C$14*(Calculations!O185-Calculations!$C$8))</f>
        <v>-127304.51805460363</v>
      </c>
      <c r="AU185" s="8" t="e">
        <f>IF(ISBLANK(Input!$BQ$4),NA(),'Reaction Information'!$E$54-'Reaction Information'!$G$54*(Calculations!$O185-Calculations!$C$8)-'Reaction Information'!$N$54*(Calculations!$O185*LN(Calculations!$O185/Calculations!$C$8)-Calculations!$O185+Calculations!$C$8)-'Reaction Information'!$O$54*10^4*(((1/(Calculations!$O185-Calculations!$C$13))-(1/(Calculations!$C$8-Calculations!$C$13)))*((Calculations!$C$13-Calculations!$O185)/(Calculations!$C$13))-(Calculations!$O185/(Calculations!$C$13*Calculations!$C$13))*LN((Calculations!$C$8*(Calculations!$O185-Calculations!$C$13))/(Calculations!$O185*(Calculations!$C$8-Calculations!$C$13))))+'Reaction Information'!$J$54*10^-1*(Calculations!$M185-Calculations!$C$9)+'Reaction Information'!$K$54*10^2*LN((Calculations!$C$12+Calculations!$M185)/(Calculations!$C$12+Calculations!$C$9))+(1/(Calculations!$O185-Calculations!$C$13))*('Reaction Information'!$L$54*(Calculations!$M185-Calculations!$C$9)+'Reaction Information'!$M$54*10^4*LN((Calculations!$C$12+Calculations!$M185)/(Calculations!$C$12+Calculations!$C$9)))+calculateOmega(Calculations!M185,Calculations!N185,Calculations!Q185,'Reaction Information'!$C$54,'Reaction Information'!$P$54*10^5,'Reaction Information'!$Q$54)*((1/Calculations!$S185)-1)-'Reaction Information'!$P$54*10^5*((1/Calculations!$C$10)-1)+'Reaction Information'!$P$54*10^5*Calculations!$C$14*(Calculations!$O185-Calculations!$C$8))</f>
        <v>#N/A</v>
      </c>
      <c r="AV185" s="8" t="e">
        <f>IF(ISBLANK(Input!$BT$4),NA(),'Reaction Information'!$E$58-'Reaction Information'!$G$58*(Calculations!$O185-Calculations!$C$8)-'Reaction Information'!$N$58*(Calculations!$O185*LN(Calculations!$O185/Calculations!$C$8)-Calculations!$O185+Calculations!$C$8)-'Reaction Information'!$O$58*10^4*(((1/(Calculations!$O185-Calculations!$C$13))-(1/(Calculations!$C$8-Calculations!$C$13)))*((Calculations!$C$13-Calculations!$O185)/(Calculations!$C$13))-(Calculations!$O185/(Calculations!$C$13*Calculations!$C$13))*LN((Calculations!$C$8*(Calculations!$O185-Calculations!$C$13))/(Calculations!$O185*(Calculations!$C$8-Calculations!$C$13))))+'Reaction Information'!$J$58*10^-1*(Calculations!$M185-Calculations!$C$9)+'Reaction Information'!$K$58*10^2*LN((Calculations!$C$12+Calculations!$M185)/(Calculations!$C$12+Calculations!$C$9))+(1/(Calculations!$O185-Calculations!$C$13))*('Reaction Information'!$L$58*(Calculations!$M185-Calculations!$C$9)+'Reaction Information'!$M$58*10^4*LN((Calculations!$C$12+Calculations!$M185)/(Calculations!$C$12+Calculations!$C$9)))+calculateOmega(Calculations!M185,Calculations!N185,Calculations!Q185,'Reaction Information'!$C$58,'Reaction Information'!$P$58*10^5,'Reaction Information'!$Q$58)*((1/Calculations!$S185)-1)-'Reaction Information'!$P$58*10^5*((1/Calculations!$C$10)-1)+'Reaction Information'!$P$58*10^5*Calculations!$C$14*(Calculations!$O185-Calculations!$C$8))</f>
        <v>#N/A</v>
      </c>
      <c r="AW185" s="8" t="e">
        <f>IF(ISBLANK(Input!$BW$4),NA(),'Reaction Information'!$E$62-'Reaction Information'!$G$62*(Calculations!$O185-Calculations!$C$8)-'Reaction Information'!$N$62*(Calculations!$O185*LN(Calculations!$O185/Calculations!$C$8)-Calculations!$O185+Calculations!$C$8)-'Reaction Information'!$O$62*10^4*(((1/(Calculations!$O185-Calculations!$C$13))-(1/(Calculations!$C$8-Calculations!$C$13)))*((Calculations!$C$13-Calculations!$O185)/(Calculations!$C$13))-(Calculations!$O185/(Calculations!$C$13*Calculations!$C$13))*LN((Calculations!$C$8*(Calculations!$O185-Calculations!$C$13))/(Calculations!$O185*(Calculations!$C$8-Calculations!$C$13))))+'Reaction Information'!$J$62*10^-1*(Calculations!$M185-Calculations!$C$9)+'Reaction Information'!$K$62*10^2*LN((Calculations!$C$12+Calculations!$M185)/(Calculations!$C$12+Calculations!$C$9))+(1/(Calculations!$O185-Calculations!$C$13))*('Reaction Information'!$L$62*(Calculations!$M185-Calculations!$C$9)+'Reaction Information'!$M$62*10^4*LN((Calculations!$C$12+Calculations!$M185)/(Calculations!$C$12+Calculations!$C$9)))+calculateOmega(Calculations!M185,Calculations!N185,Calculations!Q185,'Reaction Information'!$C$62,'Reaction Information'!$P$62*10^5,'Reaction Information'!$Q$62)*((1/Calculations!$S185)-1)-'Reaction Information'!$P$62*10^5*((1/Calculations!$C$10)-1)+'Reaction Information'!$P$62*10^5*Calculations!$C$14*(Calculations!$O185-Calculations!$C$8))</f>
        <v>#N/A</v>
      </c>
      <c r="AX185" s="8" t="e">
        <f>IF(ISBLANK(Input!$BZ$4),NA(),'Reaction Information'!$E$66-'Reaction Information'!$G$66*(Calculations!$O185-Calculations!$C$8)-'Reaction Information'!$N$66*(Calculations!$O185*LN(Calculations!$O185/Calculations!$C$8)-Calculations!$O185+Calculations!$C$8)-'Reaction Information'!$O$66*10^4*(((1/(Calculations!$O185-Calculations!$C$13))-(1/(Calculations!$C$8-Calculations!$C$13)))*((Calculations!$C$13-Calculations!$O185)/(Calculations!$C$13))-(Calculations!$O185/(Calculations!$C$13*Calculations!$C$13))*LN((Calculations!$C$8*(Calculations!$O185-Calculations!$C$13))/(Calculations!$O185*(Calculations!$C$8-Calculations!$C$13))))+'Reaction Information'!$J$66*10^-1*(Calculations!$M185-Calculations!$C$9)+'Reaction Information'!$K$66*10^2*LN((Calculations!$C$12+Calculations!$M185)/(Calculations!$C$12+Calculations!$C$9))+(1/(Calculations!$O185-Calculations!$C$13))*('Reaction Information'!$L$66*(Calculations!$M185-Calculations!$C$9)+'Reaction Information'!$M$66*10^4*LN((Calculations!$C$12+Calculations!$M185)/(Calculations!$C$12+Calculations!$C$9)))+calculateOmega(Calculations!M185,Calculations!N185,Calculations!Q185,'Reaction Information'!$C$66,'Reaction Information'!$P$66*10^5,'Reaction Information'!$Q$66)*((1/Calculations!$S185)-1)-'Reaction Information'!$P$66*10^5*((1/Calculations!$C$10)-1)+'Reaction Information'!$P$66*10^5*Calculations!$C$14*(Calculations!$O185-Calculations!$C$8))</f>
        <v>#N/A</v>
      </c>
      <c r="AY185" s="31">
        <f>(AL185*Input!$AO$4+AM185*Input!$AR$4+AN185*Input!$AU$4+AO185*Input!$AX$4+IF(ISNA(AP185),0,AP185*Input!$BA$4)+IF(ISNA(AQ185),0,AQ185*Input!$BD$4)+IF(ISNA(AR185),0,AR185*Input!$BG$4)+IF(ISNA(AS185),0,AS185*Input!$BJ$4)+IF(ISNA(AT185),0,AT185*Input!$BM$4)+IF(ISNA(AU185),0,AU185*Input!$BP$4)+IF(ISNA(AV185),0,AV185*Input!$BS$4)+IF(ISNA(AW185),0,AW185*Input!$BV$4)+IF(ISNA(AX185),0,AX185*Input!$BY$4))-(Y185*Input!$B$4+Z185*Input!$E$4+AA185*Input!$H$4+AB185*Input!$K$4+IF(ISNA(AC185),0,AC185*Input!$N$4)+IF(ISNA(AD185),0,AD185*Input!$Q$4)+IF(ISNA(AE185),0,AE185*Input!$T$4)+IF(ISNA(AF185),0,AF185*Input!$W$4)+IF(ISNA(AG185),0,AG185*Input!$Z$4)+IF(ISNA(AH185),0,AH185*Input!$AC$4)+IF(ISNA(AI185),0,AI185*Input!$AF$4)+IF(ISNA(AJ185),0,AJ185*Input!$AI$4)+IF(ISNA(AK185),0,AK185*Input!$AL$4))</f>
        <v>25707.001389436511</v>
      </c>
      <c r="AZ185" s="42">
        <f t="shared" si="54"/>
        <v>-4.4157422990027335</v>
      </c>
      <c r="BA185" s="1">
        <f t="shared" si="46"/>
        <v>1000</v>
      </c>
      <c r="BB185" s="46">
        <f t="shared" si="47"/>
        <v>60000</v>
      </c>
      <c r="BC185" s="1"/>
      <c r="BD185" s="2">
        <f t="shared" si="48"/>
        <v>60000</v>
      </c>
      <c r="BE185" s="46">
        <f t="shared" si="49"/>
        <v>1000</v>
      </c>
      <c r="BF185" s="1">
        <f>Results!AJ187</f>
        <v>0</v>
      </c>
      <c r="BG185" s="1">
        <f>Results!AK187</f>
        <v>0</v>
      </c>
      <c r="BH185" s="1">
        <f>Results!AL187</f>
        <v>0</v>
      </c>
      <c r="BI185" s="1">
        <f>Results!AM187</f>
        <v>0</v>
      </c>
      <c r="BJ185" s="1" t="e">
        <f>IF(OR(ISNA('Reaction Information'!$D$5), $N185 = "", $D$27 = FALSE, 'Reaction Information'!$D$5 = ""), NA(), 24.465)</f>
        <v>#N/A</v>
      </c>
      <c r="BK185" s="1" t="e">
        <f>IF(OR(ISNA('Reaction Information'!$D$9), $N185 = "", $D$27 = FALSE, 'Reaction Information'!$D$9 = ""), NA(), 24.465)</f>
        <v>#N/A</v>
      </c>
      <c r="BL185" s="8">
        <f t="shared" si="55"/>
        <v>13.355249790583786</v>
      </c>
      <c r="BM185" s="8">
        <f>IF(OR(ISBLANK(Input!$X$4),$D$27=FALSE),NA(),('Reaction Information'!$J$13/10+'Reaction Information'!$K$13*100/(Calculations!$C$12+Calculations!$M185)+('Reaction Information'!$L$13+'Reaction Information'!$M$13*10^4/(Calculations!$C$12+Calculations!$M185))/(Calculations!$O185-Calculations!$C$13) -calculateOmega(Calculations!$M185,Calculations!$N185,Calculations!$Q185,'Reaction Information'!$C$13,'Reaction Information'!$P$13*10^5,'Reaction Information'!$Q$13)*Calculations!$U185*10^-6 + (1/$S185 - 1)*calculate_domegadP(Calculations!$M185,Calculations!$N185,Calculations!$Q185,'Reaction Information'!$C$13,'Reaction Information'!$P$13*10^5,'Reaction Information'!$Q$13,$D$20,$D$19=3))*41.84)</f>
        <v>29.915326444301936</v>
      </c>
      <c r="BN185" s="8" t="e">
        <f>IF(OR(ISBLANK(Input!$AA$4),$D$27=FALSE),NA(),('Reaction Information'!$J$17/10+'Reaction Information'!$K$17*100/(Calculations!$C$12+Calculations!$M185)+('Reaction Information'!$L$17+'Reaction Information'!$M$17*10000/(Calculations!$C$12+Calculations!$M185))/(Calculations!$O185-Calculations!$C$13)-calculateOmega(Calculations!M185,Calculations!N185,Calculations!Q185,'Reaction Information'!$C$17,'Reaction Information'!$P$17*10^5,'Reaction Information'!$Q$17)*Calculations!$U185*10^-6 + (1/$S185 - 1)*calculate_domegadP(Calculations!M185,Calculations!N185,Calculations!Q185,'Reaction Information'!$C$17,'Reaction Information'!$P$17*10^5,'Reaction Information'!$Q$17,$D$20,$D$19=3))*41.84)</f>
        <v>#N/A</v>
      </c>
      <c r="BO185" s="8" t="e">
        <f>IF(OR(ISBLANK(Input!$AD$4),$D$27=FALSE),NA(),('Reaction Information'!$J$21/10+'Reaction Information'!$K$21*100/(Calculations!$C$12+Calculations!$M185)+('Reaction Information'!$L$21+'Reaction Information'!$M$21*10000/(Calculations!$C$12+Calculations!$M185))/(Calculations!$O185-Calculations!$C$13)-calculateOmega(Calculations!M185,Calculations!N185,Calculations!Q185,'Reaction Information'!$C$21,'Reaction Information'!$P$21*10^5,'Reaction Information'!$Q$21)*Calculations!$U185*10^-6 + (1/$S185 - 1)*calculate_domegadP(Calculations!M185,Calculations!N185,Calculations!Q185,'Reaction Information'!$C$21,'Reaction Information'!$P$21*10^5,'Reaction Information'!$Q$21,$D$20,$D$19=3))*41.84)</f>
        <v>#N/A</v>
      </c>
      <c r="BP185" s="8" t="e">
        <f>IF(OR(ISBLANK(Input!$AG$4),$D$27=FALSE),NA(),('Reaction Information'!$J$25/10+'Reaction Information'!$K$25*100/(Calculations!$C$12+Calculations!$M185)+('Reaction Information'!$L$25+'Reaction Information'!$M$25*10000/(Calculations!$C$12+Calculations!$M185))/(Calculations!$O185-Calculations!$C$13)-calculateOmega(Calculations!M185,Calculations!N185,Calculations!Q185,'Reaction Information'!$C$25,'Reaction Information'!$P$25*10^5,'Reaction Information'!$Q$25)*Calculations!$U185*10^-6 + (1/$S185 - 1)*calculate_domegadP(Calculations!M185,Calculations!N185,Calculations!Q185,'Reaction Information'!$C$25,'Reaction Information'!$P$25*10^5,'Reaction Information'!$Q$25,$D$20,$D$19=3))*41.84)</f>
        <v>#N/A</v>
      </c>
      <c r="BQ185" s="8" t="e">
        <f>IF(OR(ISBLANK(Input!$AJ$4),$D$27=FALSE),NA(),('Reaction Information'!$J$29/10+'Reaction Information'!$K$29*100/(Calculations!$C$12+Calculations!$M185)+('Reaction Information'!$L$29+'Reaction Information'!$M$29*10000/(Calculations!$C$12+Calculations!$M185))/(Calculations!$O185-Calculations!$C$13)-calculateOmega(Calculations!M185,Calculations!N185,Calculations!Q185,'Reaction Information'!$C$29,'Reaction Information'!$P$29*10^5,'Reaction Information'!$Q$29)*Calculations!$U185*10^-6 + (1/$S185 - 1)*calculate_domegadP(Calculations!M185,Calculations!N185,Calculations!Q185,'Reaction Information'!$C$29,'Reaction Information'!$P$29*10^5,'Reaction Information'!$Q$29,$D$20,$D$19=3))*41.84)</f>
        <v>#N/A</v>
      </c>
      <c r="BR185" s="8" t="e">
        <f>IF(OR(ISBLANK(Input!$AM$4),$D$27=FALSE),NA(),('Reaction Information'!$J$33/10+'Reaction Information'!$K$33*100/(Calculations!$C$12+Calculations!$M185)+('Reaction Information'!$L$33+'Reaction Information'!$M$33*10000/(Calculations!$C$12+Calculations!$M185))/(Calculations!$O185-Calculations!$C$13)-calculateOmega(Calculations!M185,Calculations!N185,Calculations!Q185,'Reaction Information'!$C$33,'Reaction Information'!$P$33*10^5,'Reaction Information'!$Q$33)*Calculations!$U185*10^-6 + (1/$S185 - 1)*calculate_domegadP(Calculations!M185,Calculations!N185,Calculations!Q185,'Reaction Information'!$C$33,'Reaction Information'!$P$33*10^5,'Reaction Information'!$Q$33,$D$20,$D$19=3))*41.84)</f>
        <v>#N/A</v>
      </c>
      <c r="BS185" s="1">
        <f>Results!AW187</f>
        <v>0</v>
      </c>
      <c r="BT185" s="1">
        <f>Results!AX187</f>
        <v>0</v>
      </c>
      <c r="BU185" s="1">
        <f>Results!AY187</f>
        <v>0</v>
      </c>
      <c r="BV185" s="1">
        <f>Results!AZ187</f>
        <v>0</v>
      </c>
      <c r="BW185" s="1" t="e">
        <f>IF(OR(ISNA('Reaction Information'!$D$38), $N185 = "", $D$27 = FALSE, 'Reaction Information'!$D$38 = ""), NA(), 24.465)</f>
        <v>#N/A</v>
      </c>
      <c r="BX185" s="1" t="e">
        <f>IF(OR(ISNA('Reaction Information'!$D$42), $N185 = "", $D$27 = FALSE, 'Reaction Information'!$D$42 = ""), NA(), 24.465)</f>
        <v>#N/A</v>
      </c>
      <c r="BY185" s="8" t="e">
        <f t="shared" si="56"/>
        <v>#N/A</v>
      </c>
      <c r="BZ185" s="8">
        <f>IF(OR(ISBLANK(Input!$BK$4),$D$27=FALSE),NA(),('Reaction Information'!$J$46/10+'Reaction Information'!$K$46*100/(Calculations!$C$12+Calculations!$M185)+('Reaction Information'!$L$46+'Reaction Information'!$M$46*10000/(Calculations!$C$12+Calculations!$M185))/(Calculations!$O185-Calculations!$C$13)-calculateOmega(Calculations!M185,Calculations!N185,Calculations!Q185,'Reaction Information'!$C$46,'Reaction Information'!$P$46*10^5,'Reaction Information'!$Q$46)*Calculations!$U185*10^-6 + (1/$S185 - 1)*calculate_domegadP(Calculations!M185,Calculations!N185,Calculations!Q185,'Reaction Information'!$C$46,'Reaction Information'!$P$46*10^5,'Reaction Information'!$Q$46,$D$20,$D$19=3))*41.84)</f>
        <v>0</v>
      </c>
      <c r="CA185" s="8">
        <f>IF(OR(ISBLANK(Input!$BN$4),$D$27=FALSE),NA(),('Reaction Information'!$J$50/10+'Reaction Information'!$K$50*100/(Calculations!$C$12+Calculations!$M185)+('Reaction Information'!$L$50+'Reaction Information'!$M$50*10000/(Calculations!$C$12+Calculations!$M185))/(Calculations!$O185-Calculations!$C$13)-calculateOmega(Calculations!M185,Calculations!N185,Calculations!Q185,'Reaction Information'!$C$50,'Reaction Information'!$P$50*10^5,'Reaction Information'!$Q$50)*Calculations!$U185*10^-6 + (1/$S185 - 1)*calculate_domegadP(Calculations!M185,Calculations!N185,Calculations!Q185,'Reaction Information'!$C$50,'Reaction Information'!$P$50*10^5,'Reaction Information'!$Q$50,$D$20,$D$19=3))*41.84)</f>
        <v>31.233293024433593</v>
      </c>
      <c r="CB185" s="8" t="e">
        <f>IF(OR(ISBLANK(Input!$BQ$4),$D$27=FALSE),NA(),('Reaction Information'!$J$54/10+'Reaction Information'!$K$54*100/(Calculations!$C$12+Calculations!$M185)+('Reaction Information'!$L$54+'Reaction Information'!$M$54*10000/(Calculations!$C$12+Calculations!$M185))/(Calculations!$O185-Calculations!$C$13)-calculateOmega(Calculations!M185,Calculations!N185,Calculations!Q185,'Reaction Information'!$C$54,'Reaction Information'!$P$54*10^5,'Reaction Information'!$Q$54)*Calculations!$U185*10^-6 + (1/$S185 - 1)*calculate_domegadP(Calculations!M185,Calculations!N185,Calculations!Q185,'Reaction Information'!$C$54,'Reaction Information'!$P$54*10^5,'Reaction Information'!$Q$54,$D$20,$D$19=3))*41.84)</f>
        <v>#N/A</v>
      </c>
      <c r="CC185" s="8" t="e">
        <f>IF(OR(ISBLANK(Input!$BT$4),$D$27=FALSE),NA(),('Reaction Information'!$J$58/10+'Reaction Information'!$K$58*100/(Calculations!$C$12+Calculations!$M185)+('Reaction Information'!$L$58+'Reaction Information'!$M$58*10000/(Calculations!$C$12+Calculations!$M185))/(Calculations!$O185-Calculations!$C$13)-calculateOmega(Calculations!M185,Calculations!N185,Calculations!Q185,'Reaction Information'!$C$58,'Reaction Information'!$P$58*10^5,'Reaction Information'!$Q$58)*Calculations!$U185*10^-6 + (1/$S185 - 1)*calculate_domegadP(Calculations!M185,Calculations!N185,Calculations!Q185,'Reaction Information'!$C$58,'Reaction Information'!$P$58*10^5,'Reaction Information'!$Q$58,$D$20,$D$19=3))*41.84)</f>
        <v>#N/A</v>
      </c>
      <c r="CD185" s="8" t="e">
        <f>IF(OR(ISBLANK(Input!$BW$4),$D$27=FALSE),NA(),('Reaction Information'!$J$62/10+'Reaction Information'!$K$62*100/(Calculations!$C$12+Calculations!$M185)+('Reaction Information'!$L$62+'Reaction Information'!$M$62*10000/(Calculations!$C$12+Calculations!$M185))/(Calculations!$O185-Calculations!$C$13)-calculateOmega(Calculations!M185,Calculations!N185,Calculations!Q185,'Reaction Information'!$C$62,'Reaction Information'!$P$62*10^5,'Reaction Information'!$Q$62)*Calculations!$U185*10^-6 + (1/$S185 - 1)*calculate_domegadP(Calculations!M185,Calculations!N185,Calculations!Q185,'Reaction Information'!$C$62,'Reaction Information'!$P$62*10^5,'Reaction Information'!$Q$62,$D$20,$D$19=3))*41.84)</f>
        <v>#N/A</v>
      </c>
      <c r="CE185" s="8" t="e">
        <f>IF(OR(ISBLANK(Input!$BZ$4),$D$27=FALSE),NA(),('Reaction Information'!$J$66/10+'Reaction Information'!$K$66*100/(Calculations!$C$12+Calculations!$M185)+('Reaction Information'!$L$66+'Reaction Information'!$M$66*10000/(Calculations!$C$12+Calculations!$M185))/(Calculations!$O185-Calculations!$C$13)-calculateOmega(Calculations!M185,Calculations!N185,Calculations!Q185,'Reaction Information'!$C$66,'Reaction Information'!$P$66*10^5,'Reaction Information'!$Q$66)*Calculations!$U185*10^-6 + (1/$S185 - 1)*calculate_domegadP(Calculations!M185,Calculations!N185,Calculations!Q185,'Reaction Information'!$C$66,'Reaction Information'!$P$66*10^5,'Reaction Information'!$Q$66,$D$20,$D$19=3))*41.84)</f>
        <v>#N/A</v>
      </c>
      <c r="CF185" s="31">
        <f>(BS185*Input!$AO$4+BT185*Input!$AR$4+BU185*Input!$AU$4+BV185*Input!$AX$4+IF(ISNA(BW185),0,BW185*Input!$BA$4)+IF(ISNA(BX185),0,BX185*Input!$BD$4)+IF(ISNA(BY185),0,BY185*Input!$BG$4)+IF(ISNA(BZ185),0,BZ185*Input!$BJ$4)+IF(ISNA(CA185),0,CA185*Input!$BM$4)+IF(ISNA(CB185),0,CB185*Input!$BP$4)+IF(ISNA(CC185),0,CC185*Input!$BS$4)+IF(ISNA(CD185),0,CD185*Input!$BV$4)+IF(ISNA(CE185),0,CE185*Input!$BY$4))-(BF185*Input!$B$4+BG185*Input!$E$4+BH185*Input!$H$4+BI185*Input!$K$4+IF(ISNA(BJ185),0,BJ185*Input!$N$4)+IF(ISNA(BK185),0,BK185*Input!$Q$4)+IF(ISNA(BL185),0,BL185*Input!$T$4)+IF(ISNA(BM185),0,BM185*Input!$W$4)+IF(ISNA(BN185),0,BN185*Input!$Z$4)+IF(ISNA(BO185),0,BO185*Input!$AC$4)+IF(ISNA(BP185),0,BP185*Input!$AF$4)+IF(ISNA(BQ185),0,BQ185*Input!$AI$4)+IF(ISNA(BR185),0,BR185*Input!$AL$4))</f>
        <v>-12.037283210452131</v>
      </c>
      <c r="CG185" s="1">
        <f t="shared" si="50"/>
        <v>1000</v>
      </c>
      <c r="CH185" s="46">
        <f t="shared" si="51"/>
        <v>60000</v>
      </c>
      <c r="CI185" s="1"/>
    </row>
    <row r="186" spans="1:87" x14ac:dyDescent="0.2">
      <c r="A186" s="1"/>
      <c r="B186" s="1"/>
      <c r="C186" s="1"/>
      <c r="D186" s="1"/>
      <c r="E186" s="1"/>
      <c r="F186" s="2">
        <v>181</v>
      </c>
      <c r="G186" s="1" t="str">
        <f>IF(ISBLANK(Input!CB186), "", Input!CB186*1000)</f>
        <v/>
      </c>
      <c r="H186" s="1" t="str">
        <f>IF(ISBLANK(Input!CC186), "", Input!CC186)</f>
        <v/>
      </c>
      <c r="I186" s="1" t="str">
        <f>IF(Input!$CF$5 + Input!$CF$6*(FLOOR((Calculations!$F186-1)/(FLOOR((Input!$CF$12-Input!$CF$10)/Input!$CF$11,1)+1),1)) &gt; Input!$CF$7, "", (Input!$CF$5 + Input!$CF$6*(FLOOR((Calculations!$F186-1)/(FLOOR((Input!$CF$12-Input!$CF$10)/Input!$CF$11,1)+1),1)))*1000)</f>
        <v/>
      </c>
      <c r="J186" s="1" t="str">
        <f>IF(Calculations!I186 = "", "", Input!$CF$10 + Input!$CF$11*(Calculations!$F186-1) - (FLOOR((Input!$CF$12-Input!$CF$10)/Input!$CF$11,1)+1)*Input!$CF$11*FLOOR((Calculations!$F186-1)/(FLOOR((Input!$CF$12-Input!$CF$10)/Input!$CF$11,1)+1),1))</f>
        <v/>
      </c>
      <c r="K186" s="8" t="str">
        <f t="shared" si="52"/>
        <v/>
      </c>
      <c r="L186" s="117" t="str">
        <f>IF(OR(Input!$CJ$5 + Input!$CJ$6*(Calculations!F186-1) &gt; Input!$CJ$7, Input!$CJ$5 + Input!$CJ$6*(Calculations!F186-1) &gt; 350), "", Input!$CJ$5 + Input!$CJ$6*(Calculations!F186-1))</f>
        <v/>
      </c>
      <c r="M186" s="1" t="str">
        <f t="shared" si="42"/>
        <v/>
      </c>
      <c r="N186" s="1" t="str">
        <f t="shared" si="43"/>
        <v/>
      </c>
      <c r="O186" s="1" t="e">
        <f t="shared" si="53"/>
        <v>#VALUE!</v>
      </c>
      <c r="P186" s="1" t="e">
        <f>IF(OR($D$20=3,AND($D$21=TRUE,M186&lt;1000)),INDEX('Water Density'!$C$6:$CX$120,MATCH(Calculations!N186,'Water Density'!$B$6:$B$120),MATCH(Calculations!M186/1000,'Water Density'!$C$5:$CX$5)),NA())</f>
        <v>#N/A</v>
      </c>
      <c r="Q186" s="182" t="e">
        <f>IF(OR($D$20=3,AND($D$21=TRUE,M186&lt;1000)), IF(P186&lt;&gt;0,P186,NA()), calculateDensity(M186,N186,$D$20,0.01,$D$19 = 3))</f>
        <v>#VALUE!</v>
      </c>
      <c r="R186" s="1" t="e">
        <f>IF($D$22=5,INDEX('Dielectric Constant'!$C$6:$CX$120,MATCH(Calculations!N186,'Dielectric Constant'!$B$6:$B$120),MATCH(Calculations!M186/1000,'Dielectric Constant'!$C$5:$CX$5)),NA())</f>
        <v>#N/A</v>
      </c>
      <c r="S186" s="58" t="e">
        <f>IF($D$22=5, IF(R186&lt;&gt;0,R186,NA()), IF(AND($D$23,M186&lt;=5000,$D$19 &lt;&gt; 3),calculateEpsilon(Q186,N186,1,FALSE),calculateEpsilon(Q186,N186,$D$22,$D$19 = 3)))</f>
        <v>#VALUE!</v>
      </c>
      <c r="T186" s="1" t="e">
        <f>IF($D$24=3,INDEX('Water Free Energy'!$C$6:$CX$120,MATCH(Calculations!N186,'Water Free Energy'!$B$6:$B$120),MATCH(Calculations!M186/1000,'Water Free Energy'!$C$5:$CX$5)),NA())</f>
        <v>#N/A</v>
      </c>
      <c r="U186" s="179" t="e">
        <f>IF($D$27,calculateQ(M186,N186,Q186,$D$20,$D$22,$D$19=3)*10^6,NA())</f>
        <v>#VALUE!</v>
      </c>
      <c r="V186"/>
      <c r="W186" s="2" t="str">
        <f t="shared" si="44"/>
        <v/>
      </c>
      <c r="X186" s="1" t="str">
        <f t="shared" si="45"/>
        <v/>
      </c>
      <c r="Y186" s="1">
        <f>Results!F188</f>
        <v>0</v>
      </c>
      <c r="Z186" s="1">
        <f>Results!G188</f>
        <v>0</v>
      </c>
      <c r="AA186" s="1">
        <f>Results!H188</f>
        <v>0</v>
      </c>
      <c r="AB186" s="1">
        <f>Results!I188</f>
        <v>0</v>
      </c>
      <c r="AC186" s="1" t="e">
        <f>IF(ISBLANK(Input!$O$4),NA(),'Reaction Information'!$E$5-'Reaction Information'!$G$5*(Calculations!$O186-Calculations!$C$8)+'Reaction Information'!$I$5*(Calculations!$O186-Calculations!$C$8-Calculations!$O186*LN(Calculations!$O186/Calculations!$C$8))+'Reaction Information'!$J$5*0.001/2*(2*Calculations!$O186*Calculations!$C$8-Calculations!$O186^2-Calculations!$C$8^2) + 'Reaction Information'!$K$5*100000*(Calculations!$O186^2 + Calculations!$C$8^2 - 2*Calculations!$O186*Calculations!$C$8)/(2*Calculations!$O186*Calculations!$C$8^2))</f>
        <v>#N/A</v>
      </c>
      <c r="AD186" s="8" t="e">
        <f>IF(ISBLANK(Input!$R$4),NA(),'Reaction Information'!$E$9-'Reaction Information'!$G$9*(Calculations!$O186-Calculations!$C$8)+'Reaction Information'!$I$9*(Calculations!$O186-Calculations!$C$8-Calculations!$O186*LN(Calculations!$O186/Calculations!$C$8))+'Reaction Information'!$J$9*0.001/2*(2*Calculations!$O186*Calculations!$C$8-Calculations!$O186^2-Calculations!$C$8^2) + 'Reaction Information'!$K$9*100000*(Calculations!$O186^2 + Calculations!$C$8^2 - 2*Calculations!$O186*Calculations!$C$8)/(2*Calculations!$O186*Calculations!$C$8^2))</f>
        <v>#N/A</v>
      </c>
      <c r="AE186" s="8" t="e">
        <f>IF(AE$5="H2O",IF($D$24=3,IF(T186=0,NA(),T186),calculateGibbsOfWater(M186,N186,$D$24,$D$20,$D$19=3)),NA())</f>
        <v>#VALUE!</v>
      </c>
      <c r="AF186" s="8" t="e">
        <f>IF(ISBLANK(Input!$X$4),NA(),'Reaction Information'!$E$13-'Reaction Information'!$G$13*(Calculations!O186-Calculations!$C$8)-'Reaction Information'!$N$13*(Calculations!O186*LN(Calculations!O186/Calculations!$C$8)-Calculations!O186+Calculations!$C$8)-'Reaction Information'!$O$13*10^4*(((1/(Calculations!O186-Calculations!$C$13))-(1/(Calculations!$C$8-Calculations!$C$13)))*((Calculations!$C$13-Calculations!O186)/(Calculations!$C$13))-(Calculations!O186/(Calculations!$C$13*Calculations!$C$13))*LN((Calculations!$C$8*(Calculations!O186-Calculations!$C$13))/(Calculations!O186*(Calculations!$C$8-Calculations!$C$13))))+'Reaction Information'!$J$13*10^-1*(Calculations!M186-Calculations!$C$9)+'Reaction Information'!$K$13*10^2*LN((Calculations!$C$12+Calculations!M186)/(Calculations!$C$12+Calculations!$C$9))+(1/(Calculations!O186-Calculations!$C$13))*('Reaction Information'!$L$13*(Calculations!M186-Calculations!$C$9)+'Reaction Information'!$M$13*10^4*LN((Calculations!$C$12+Calculations!M186)/(Calculations!$C$12+Calculations!$C$9)))+calculateOmega(Calculations!M186,Calculations!N186,Calculations!Q186,'Reaction Information'!$C$13,'Reaction Information'!$P$13*10^5,'Reaction Information'!$Q$13)*((1/Calculations!S186)-1)-'Reaction Information'!$P$13*10^5*((1/Calculations!$C$10)-1)+'Reaction Information'!$P$13*10^5*Calculations!$C$14*(Calculations!O186-Calculations!$C$8))</f>
        <v>#VALUE!</v>
      </c>
      <c r="AG186" s="8" t="e">
        <f>IF(ISBLANK(Input!$AA$4),NA(),'Reaction Information'!$E$17-'Reaction Information'!$G$17*(Calculations!$O186-Calculations!$C$8)-'Reaction Information'!$N$17*(Calculations!$O186*LN(Calculations!$O186/Calculations!$C$8)-Calculations!$O186+Calculations!$C$8)-'Reaction Information'!$O$17*10^4*(((1/(Calculations!$O186-Calculations!$C$13))-(1/(Calculations!$C$8-Calculations!$C$13)))*((Calculations!$C$13-Calculations!$O186)/(Calculations!$C$13))-(Calculations!$O186/(Calculations!$C$13*Calculations!$C$13))*LN((Calculations!$C$8*(Calculations!$O186-Calculations!$C$13))/(Calculations!$O186*(Calculations!$C$8-Calculations!$C$13))))+'Reaction Information'!$J$17*10^-1*(Calculations!$M186-Calculations!$C$9)+'Reaction Information'!$K$17*10^2*LN((Calculations!$C$12+Calculations!$M186)/(Calculations!$C$12+Calculations!$C$9))+(1/(Calculations!$O186-Calculations!$C$13))*('Reaction Information'!$L$17*(Calculations!$M186-Calculations!$C$9)+'Reaction Information'!$M$17*10^4*LN((Calculations!$C$12+Calculations!$M186)/(Calculations!$C$12+Calculations!$C$9)))+calculateOmega(Calculations!M186,Calculations!N186,Calculations!Q186,'Reaction Information'!$C$17,'Reaction Information'!$P$17*10^5,'Reaction Information'!$Q$17)*((1/Calculations!$S186)-1)-'Reaction Information'!$P$17*10^5*((1/Calculations!$C$10)-1)+'Reaction Information'!$P$17*10^5*Calculations!$C$14*(Calculations!$O186-Calculations!$C$8))</f>
        <v>#N/A</v>
      </c>
      <c r="AH186" s="8" t="e">
        <f>IF(ISBLANK(Input!$AD$4),NA(),'Reaction Information'!$E$21-'Reaction Information'!$G$21*(Calculations!$O186-Calculations!$C$8)-'Reaction Information'!$N$21*(Calculations!$O186*LN(Calculations!$O186/Calculations!$C$8)-Calculations!$O186+Calculations!$C$8)-'Reaction Information'!$O$21*10^4*(((1/(Calculations!$O186-Calculations!$C$13))-(1/(Calculations!$C$8-Calculations!$C$13)))*((Calculations!$C$13-Calculations!$O186)/(Calculations!$C$13))-(Calculations!$O186/(Calculations!$C$13*Calculations!$C$13))*LN((Calculations!$C$8*(Calculations!$O186-Calculations!$C$13))/(Calculations!$O186*(Calculations!$C$8-Calculations!$C$13))))+'Reaction Information'!$J$21*10^-1*(Calculations!$M186-Calculations!$C$9)+'Reaction Information'!$K$21*10^2*LN((Calculations!$C$12+Calculations!$M186)/(Calculations!$C$12+Calculations!$C$9))+(1/(Calculations!$O186-Calculations!$C$13))*('Reaction Information'!$L$21*(Calculations!$M186-Calculations!$C$9)+'Reaction Information'!$M$21*10^4*LN((Calculations!$C$12+Calculations!$M186)/(Calculations!$C$12+Calculations!$C$9)))+calculateOmega(Calculations!M186,Calculations!N186,Calculations!Q186,'Reaction Information'!$C$21,'Reaction Information'!$P$21*10^5,'Reaction Information'!$Q$21)*((1/Calculations!$S186)-1)-'Reaction Information'!$P$21*10^5*((1/Calculations!$C$10)-1)+'Reaction Information'!$P$21*10^5*Calculations!$C$14*(Calculations!$O186-Calculations!$C$8))</f>
        <v>#N/A</v>
      </c>
      <c r="AI186" s="8" t="e">
        <f>IF(ISBLANK(Input!$AG$4),NA(),'Reaction Information'!$E$25-'Reaction Information'!$G$25*(Calculations!$O186-Calculations!$C$8)-'Reaction Information'!$N$25*(Calculations!$O186*LN(Calculations!$O186/Calculations!$C$8)-Calculations!$O186+Calculations!$C$8)-'Reaction Information'!$O$25*10^4*(((1/(Calculations!$O186-Calculations!$C$13))-(1/(Calculations!$C$8-Calculations!$C$13)))*((Calculations!$C$13-Calculations!$O186)/(Calculations!$C$13))-(Calculations!$O186/(Calculations!$C$13*Calculations!$C$13))*LN((Calculations!$C$8*(Calculations!$O186-Calculations!$C$13))/(Calculations!$O186*(Calculations!$C$8-Calculations!$C$13))))+'Reaction Information'!$J$25*10^-1*(Calculations!$M186-Calculations!$C$9)+'Reaction Information'!$K$25*10^2*LN((Calculations!$C$12+Calculations!$M186)/(Calculations!$C$12+Calculations!$C$9))+(1/(Calculations!$O186-Calculations!$C$13))*('Reaction Information'!$L$25*(Calculations!$M186-Calculations!$C$9)+'Reaction Information'!$M$25*10^4*LN((Calculations!$C$12+Calculations!$M186)/(Calculations!$C$12+Calculations!$C$9)))+calculateOmega(Calculations!M186,Calculations!N186,Calculations!Q186,'Reaction Information'!$C$25,'Reaction Information'!$P$25*10^5,'Reaction Information'!$Q$25)*((1/Calculations!$S186)-1)-'Reaction Information'!$P$25*10^5*((1/Calculations!$C$10)-1)+'Reaction Information'!$P$25*10^5*Calculations!$C$14*(Calculations!$O186-Calculations!$C$8))</f>
        <v>#N/A</v>
      </c>
      <c r="AJ186" s="8" t="e">
        <f>IF(ISBLANK(Input!$AJ$4),NA(),'Reaction Information'!$E$29-'Reaction Information'!$G$29*(Calculations!$O186-Calculations!$C$8)-'Reaction Information'!$N$29*(Calculations!$O186*LN(Calculations!$O186/Calculations!$C$8)-Calculations!$O186+Calculations!$C$8)-'Reaction Information'!$O$29*10^4*(((1/(Calculations!$O186-Calculations!$C$13))-(1/(Calculations!$C$8-Calculations!$C$13)))*((Calculations!$C$13-Calculations!$O186)/(Calculations!$C$13))-(Calculations!$O186/(Calculations!$C$13*Calculations!$C$13))*LN((Calculations!$C$8*(Calculations!$O186-Calculations!$C$13))/(Calculations!$O186*(Calculations!$C$8-Calculations!$C$13))))+'Reaction Information'!$J$29*10^-1*(Calculations!$M186-Calculations!$C$9)+'Reaction Information'!$K$29*10^2*LN((Calculations!$C$12+Calculations!$M186)/(Calculations!$C$12+Calculations!$C$9))+(1/(Calculations!$O186-Calculations!$C$13))*('Reaction Information'!$L$29*(Calculations!$M186-Calculations!$C$9)+'Reaction Information'!$M$29*10^4*LN((Calculations!$C$12+Calculations!$M186)/(Calculations!$C$12+Calculations!$C$9)))+calculateOmega(Calculations!M186,Calculations!N186,Calculations!Q186,'Reaction Information'!$C$29,'Reaction Information'!$P$29*10^5,'Reaction Information'!$Q$29)*((1/Calculations!$S186)-1)-'Reaction Information'!$P$29*10^5*((1/Calculations!$C$10)-1)+'Reaction Information'!$P$29*10^5*Calculations!$C$14*(Calculations!$O186-Calculations!$C$8))</f>
        <v>#N/A</v>
      </c>
      <c r="AK186" s="8" t="e">
        <f>IF(ISBLANK(Input!$AM$4),NA(),'Reaction Information'!$E$33-'Reaction Information'!$G$33*(Calculations!$O186-Calculations!$C$8)-'Reaction Information'!$N$33*(Calculations!$O186*LN(Calculations!$O186/Calculations!$C$8)-Calculations!$O186+Calculations!$C$8)-'Reaction Information'!$O$33*10^4*(((1/(Calculations!$O186-Calculations!$C$13))-(1/(Calculations!$C$8-Calculations!$C$13)))*((Calculations!$C$13-Calculations!$O186)/(Calculations!$C$13))-(Calculations!$O186/(Calculations!$C$13*Calculations!$C$13))*LN((Calculations!$C$8*(Calculations!$O186-Calculations!$C$13))/(Calculations!$O186*(Calculations!$C$8-Calculations!$C$13))))+'Reaction Information'!$J$33*10^-1*(Calculations!$M186-Calculations!$C$9)+'Reaction Information'!$K$33*10^2*LN((Calculations!$C$12+Calculations!$M186)/(Calculations!$C$12+Calculations!$C$9))+(1/(Calculations!$O186-Calculations!$C$13))*('Reaction Information'!$L$33*(Calculations!$M186-Calculations!$C$9)+'Reaction Information'!$M$33*10^4*LN((Calculations!$C$12+Calculations!$M186)/(Calculations!$C$12+Calculations!$C$9)))+calculateOmega(Calculations!M186,Calculations!N186,Calculations!Q186,'Reaction Information'!$C$33,'Reaction Information'!$P$33*10^5,'Reaction Information'!$Q$33)*((1/Calculations!$S186)-1)-'Reaction Information'!$P$33*10^5*((1/Calculations!$C$10)-1)+'Reaction Information'!$P$33*10^5*Calculations!$C$14*(Calculations!$O186-Calculations!$C$8))</f>
        <v>#N/A</v>
      </c>
      <c r="AL186" s="1">
        <f>Results!S188</f>
        <v>0</v>
      </c>
      <c r="AM186" s="1">
        <f>Results!T188</f>
        <v>0</v>
      </c>
      <c r="AN186" s="1">
        <f>Results!U188</f>
        <v>0</v>
      </c>
      <c r="AO186" s="1">
        <f>Results!V188</f>
        <v>0</v>
      </c>
      <c r="AP186" s="8" t="e">
        <f>IF(ISBLANK(Input!$BB$4),NA(),'Reaction Information'!$E$38-'Reaction Information'!$G$38*(Calculations!$O186-Calculations!$C$8)+'Reaction Information'!$I$38*(Calculations!$O186-Calculations!$C$8-Calculations!$O186*LN(Calculations!$O186/Calculations!$C$8))+'Reaction Information'!$J$38*0.001/2*(2*Calculations!$O186*Calculations!$C$8-Calculations!$O186^2-Calculations!$C$8^2) + 'Reaction Information'!$K$38*100000*(Calculations!$O186^2 + Calculations!$C$8^2 - 2*Calculations!$O186*Calculations!$C$8)/(2*Calculations!$O186*Calculations!$C$8^2))</f>
        <v>#N/A</v>
      </c>
      <c r="AQ186" s="8" t="e">
        <f>IF(ISBLANK(Input!$BE$4),NA(),'Reaction Information'!$E$42-'Reaction Information'!$G$42*(Calculations!$O186-Calculations!$C$8)+'Reaction Information'!$I$42*(Calculations!$O186-Calculations!$C$8-Calculations!$O186*LN(Calculations!$O186/Calculations!$C$8))+'Reaction Information'!$J$42*0.001/2*(2*Calculations!$O186*Calculations!$C$8-Calculations!$O186^2-Calculations!$C$8^2) + 'Reaction Information'!$K$42*100000*(Calculations!$O186^2 + Calculations!$C$8^2 - 2*Calculations!$O186*Calculations!$C$8)/(2*Calculations!$O186*Calculations!$C$8^2))</f>
        <v>#N/A</v>
      </c>
      <c r="AR186" s="8" t="e">
        <f>IF(AR$5="H2O", IF($D$24=3,IF(T186=0,NA(),T186),calculateGibbsOfWater(M186,N186,$D$24,$D$20,$D$19=3)),NA())</f>
        <v>#N/A</v>
      </c>
      <c r="AS186" s="8" t="e">
        <f>IF(ISBLANK(Input!$BK$4),NA(),'Reaction Information'!$E$46-'Reaction Information'!$G$46*(Calculations!O186-Calculations!$C$8)-'Reaction Information'!$N$46*(Calculations!O186*LN(Calculations!O186/Calculations!$C$8)-Calculations!O186+Calculations!$C$8)-'Reaction Information'!$O$46*10^4*(((1/(Calculations!O186-Calculations!$C$13))-(1/(Calculations!$C$8-Calculations!$C$13)))*((Calculations!$C$13-Calculations!O186)/(Calculations!$C$13))-(Calculations!O186/(Calculations!$C$13*Calculations!$C$13))*LN((Calculations!$C$8*(Calculations!O186-Calculations!$C$13))/(Calculations!O186*(Calculations!$C$8-Calculations!$C$13))))+'Reaction Information'!$J$46*10^-1*(Calculations!$M186-Calculations!$C$9)+'Reaction Information'!$K$46*10^2*LN((Calculations!$C$12+Calculations!$M186)/(Calculations!$C$12+Calculations!$C$9))+(1/(Calculations!O186-Calculations!$C$13))*('Reaction Information'!$L$46*(Calculations!$M186-Calculations!$C$9)+'Reaction Information'!$M$46*10^4*LN((Calculations!$C$12+Calculations!$M186)/(Calculations!$C$12+Calculations!$C$9)))+calculateOmega(Calculations!M186,Calculations!N186,Calculations!Q186,'Reaction Information'!$C$46,'Reaction Information'!$P$46*10^5,'Reaction Information'!$Q$46)*((1/Calculations!S186)-1)-'Reaction Information'!$P$46*10^5*((1/Calculations!$C$10)-1)+'Reaction Information'!$P$46*10^5*Calculations!$C$14*(Calculations!O186-Calculations!$C$8))</f>
        <v>#VALUE!</v>
      </c>
      <c r="AT186" s="8" t="e">
        <f>IF(ISBLANK(Input!$BN$4),NA(),'Reaction Information'!$E$50-'Reaction Information'!$G$50*(Calculations!O186-Calculations!$C$8)-'Reaction Information'!$N$50*(Calculations!O186*LN(Calculations!O186/Calculations!$C$8)-Calculations!O186+Calculations!$C$8)-'Reaction Information'!$O$50*10^4*(((1/(Calculations!O186-Calculations!$C$13))-(1/(Calculations!$C$8-Calculations!$C$13)))*((Calculations!$C$13-Calculations!O186)/(Calculations!$C$13))-(Calculations!O186/(Calculations!$C$13*Calculations!$C$13))*LN((Calculations!$C$8*(Calculations!O186-Calculations!$C$13))/(Calculations!O186*(Calculations!$C$8-Calculations!$C$13))))+'Reaction Information'!$J$50*10^-1*(Calculations!$M186-Calculations!$C$9)+'Reaction Information'!$K$50*10^2*LN((Calculations!$C$12+Calculations!$M186)/(Calculations!$C$12+Calculations!$C$9))+(1/(Calculations!O186-Calculations!$C$13))*('Reaction Information'!$L$50*(Calculations!$M186-Calculations!$C$9)+'Reaction Information'!$M$50*10^4*LN((Calculations!$C$12+Calculations!$M186)/(Calculations!$C$12+Calculations!$C$9)))+calculateOmega(Calculations!M186,Calculations!N186,Calculations!Q186,'Reaction Information'!$C$50,'Reaction Information'!$P$50*10^5,'Reaction Information'!$Q$50)*((1/Calculations!S186)-1)-'Reaction Information'!$P$50*10^5*((1/Calculations!$C$10)-1)+'Reaction Information'!$P$50*10^5*Calculations!$C$14*(Calculations!O186-Calculations!$C$8))</f>
        <v>#VALUE!</v>
      </c>
      <c r="AU186" s="8" t="e">
        <f>IF(ISBLANK(Input!$BQ$4),NA(),'Reaction Information'!$E$54-'Reaction Information'!$G$54*(Calculations!$O186-Calculations!$C$8)-'Reaction Information'!$N$54*(Calculations!$O186*LN(Calculations!$O186/Calculations!$C$8)-Calculations!$O186+Calculations!$C$8)-'Reaction Information'!$O$54*10^4*(((1/(Calculations!$O186-Calculations!$C$13))-(1/(Calculations!$C$8-Calculations!$C$13)))*((Calculations!$C$13-Calculations!$O186)/(Calculations!$C$13))-(Calculations!$O186/(Calculations!$C$13*Calculations!$C$13))*LN((Calculations!$C$8*(Calculations!$O186-Calculations!$C$13))/(Calculations!$O186*(Calculations!$C$8-Calculations!$C$13))))+'Reaction Information'!$J$54*10^-1*(Calculations!$M186-Calculations!$C$9)+'Reaction Information'!$K$54*10^2*LN((Calculations!$C$12+Calculations!$M186)/(Calculations!$C$12+Calculations!$C$9))+(1/(Calculations!$O186-Calculations!$C$13))*('Reaction Information'!$L$54*(Calculations!$M186-Calculations!$C$9)+'Reaction Information'!$M$54*10^4*LN((Calculations!$C$12+Calculations!$M186)/(Calculations!$C$12+Calculations!$C$9)))+calculateOmega(Calculations!M186,Calculations!N186,Calculations!Q186,'Reaction Information'!$C$54,'Reaction Information'!$P$54*10^5,'Reaction Information'!$Q$54)*((1/Calculations!$S186)-1)-'Reaction Information'!$P$54*10^5*((1/Calculations!$C$10)-1)+'Reaction Information'!$P$54*10^5*Calculations!$C$14*(Calculations!$O186-Calculations!$C$8))</f>
        <v>#N/A</v>
      </c>
      <c r="AV186" s="8" t="e">
        <f>IF(ISBLANK(Input!$BT$4),NA(),'Reaction Information'!$E$58-'Reaction Information'!$G$58*(Calculations!$O186-Calculations!$C$8)-'Reaction Information'!$N$58*(Calculations!$O186*LN(Calculations!$O186/Calculations!$C$8)-Calculations!$O186+Calculations!$C$8)-'Reaction Information'!$O$58*10^4*(((1/(Calculations!$O186-Calculations!$C$13))-(1/(Calculations!$C$8-Calculations!$C$13)))*((Calculations!$C$13-Calculations!$O186)/(Calculations!$C$13))-(Calculations!$O186/(Calculations!$C$13*Calculations!$C$13))*LN((Calculations!$C$8*(Calculations!$O186-Calculations!$C$13))/(Calculations!$O186*(Calculations!$C$8-Calculations!$C$13))))+'Reaction Information'!$J$58*10^-1*(Calculations!$M186-Calculations!$C$9)+'Reaction Information'!$K$58*10^2*LN((Calculations!$C$12+Calculations!$M186)/(Calculations!$C$12+Calculations!$C$9))+(1/(Calculations!$O186-Calculations!$C$13))*('Reaction Information'!$L$58*(Calculations!$M186-Calculations!$C$9)+'Reaction Information'!$M$58*10^4*LN((Calculations!$C$12+Calculations!$M186)/(Calculations!$C$12+Calculations!$C$9)))+calculateOmega(Calculations!M186,Calculations!N186,Calculations!Q186,'Reaction Information'!$C$58,'Reaction Information'!$P$58*10^5,'Reaction Information'!$Q$58)*((1/Calculations!$S186)-1)-'Reaction Information'!$P$58*10^5*((1/Calculations!$C$10)-1)+'Reaction Information'!$P$58*10^5*Calculations!$C$14*(Calculations!$O186-Calculations!$C$8))</f>
        <v>#N/A</v>
      </c>
      <c r="AW186" s="8" t="e">
        <f>IF(ISBLANK(Input!$BW$4),NA(),'Reaction Information'!$E$62-'Reaction Information'!$G$62*(Calculations!$O186-Calculations!$C$8)-'Reaction Information'!$N$62*(Calculations!$O186*LN(Calculations!$O186/Calculations!$C$8)-Calculations!$O186+Calculations!$C$8)-'Reaction Information'!$O$62*10^4*(((1/(Calculations!$O186-Calculations!$C$13))-(1/(Calculations!$C$8-Calculations!$C$13)))*((Calculations!$C$13-Calculations!$O186)/(Calculations!$C$13))-(Calculations!$O186/(Calculations!$C$13*Calculations!$C$13))*LN((Calculations!$C$8*(Calculations!$O186-Calculations!$C$13))/(Calculations!$O186*(Calculations!$C$8-Calculations!$C$13))))+'Reaction Information'!$J$62*10^-1*(Calculations!$M186-Calculations!$C$9)+'Reaction Information'!$K$62*10^2*LN((Calculations!$C$12+Calculations!$M186)/(Calculations!$C$12+Calculations!$C$9))+(1/(Calculations!$O186-Calculations!$C$13))*('Reaction Information'!$L$62*(Calculations!$M186-Calculations!$C$9)+'Reaction Information'!$M$62*10^4*LN((Calculations!$C$12+Calculations!$M186)/(Calculations!$C$12+Calculations!$C$9)))+calculateOmega(Calculations!M186,Calculations!N186,Calculations!Q186,'Reaction Information'!$C$62,'Reaction Information'!$P$62*10^5,'Reaction Information'!$Q$62)*((1/Calculations!$S186)-1)-'Reaction Information'!$P$62*10^5*((1/Calculations!$C$10)-1)+'Reaction Information'!$P$62*10^5*Calculations!$C$14*(Calculations!$O186-Calculations!$C$8))</f>
        <v>#N/A</v>
      </c>
      <c r="AX186" s="8" t="e">
        <f>IF(ISBLANK(Input!$BZ$4),NA(),'Reaction Information'!$E$66-'Reaction Information'!$G$66*(Calculations!$O186-Calculations!$C$8)-'Reaction Information'!$N$66*(Calculations!$O186*LN(Calculations!$O186/Calculations!$C$8)-Calculations!$O186+Calculations!$C$8)-'Reaction Information'!$O$66*10^4*(((1/(Calculations!$O186-Calculations!$C$13))-(1/(Calculations!$C$8-Calculations!$C$13)))*((Calculations!$C$13-Calculations!$O186)/(Calculations!$C$13))-(Calculations!$O186/(Calculations!$C$13*Calculations!$C$13))*LN((Calculations!$C$8*(Calculations!$O186-Calculations!$C$13))/(Calculations!$O186*(Calculations!$C$8-Calculations!$C$13))))+'Reaction Information'!$J$66*10^-1*(Calculations!$M186-Calculations!$C$9)+'Reaction Information'!$K$66*10^2*LN((Calculations!$C$12+Calculations!$M186)/(Calculations!$C$12+Calculations!$C$9))+(1/(Calculations!$O186-Calculations!$C$13))*('Reaction Information'!$L$66*(Calculations!$M186-Calculations!$C$9)+'Reaction Information'!$M$66*10^4*LN((Calculations!$C$12+Calculations!$M186)/(Calculations!$C$12+Calculations!$C$9)))+calculateOmega(Calculations!M186,Calculations!N186,Calculations!Q186,'Reaction Information'!$C$66,'Reaction Information'!$P$66*10^5,'Reaction Information'!$Q$66)*((1/Calculations!$S186)-1)-'Reaction Information'!$P$66*10^5*((1/Calculations!$C$10)-1)+'Reaction Information'!$P$66*10^5*Calculations!$C$14*(Calculations!$O186-Calculations!$C$8))</f>
        <v>#N/A</v>
      </c>
      <c r="AY186" s="31" t="e">
        <f>(AL186*Input!$AO$4+AM186*Input!$AR$4+AN186*Input!$AU$4+AO186*Input!$AX$4+IF(ISNA(AP186),0,AP186*Input!$BA$4)+IF(ISNA(AQ186),0,AQ186*Input!$BD$4)+IF(ISNA(AR186),0,AR186*Input!$BG$4)+IF(ISNA(AS186),0,AS186*Input!$BJ$4)+IF(ISNA(AT186),0,AT186*Input!$BM$4)+IF(ISNA(AU186),0,AU186*Input!$BP$4)+IF(ISNA(AV186),0,AV186*Input!$BS$4)+IF(ISNA(AW186),0,AW186*Input!$BV$4)+IF(ISNA(AX186),0,AX186*Input!$BY$4))-(Y186*Input!$B$4+Z186*Input!$E$4+AA186*Input!$H$4+AB186*Input!$K$4+IF(ISNA(AC186),0,AC186*Input!$N$4)+IF(ISNA(AD186),0,AD186*Input!$Q$4)+IF(ISNA(AE186),0,AE186*Input!$T$4)+IF(ISNA(AF186),0,AF186*Input!$W$4)+IF(ISNA(AG186),0,AG186*Input!$Z$4)+IF(ISNA(AH186),0,AH186*Input!$AC$4)+IF(ISNA(AI186),0,AI186*Input!$AF$4)+IF(ISNA(AJ186),0,AJ186*Input!$AI$4)+IF(ISNA(AK186),0,AK186*Input!$AL$4))</f>
        <v>#VALUE!</v>
      </c>
      <c r="AZ186" s="42" t="e">
        <f t="shared" si="54"/>
        <v>#VALUE!</v>
      </c>
      <c r="BA186" s="1" t="str">
        <f t="shared" si="46"/>
        <v/>
      </c>
      <c r="BB186" s="46" t="str">
        <f t="shared" si="47"/>
        <v/>
      </c>
      <c r="BC186" s="1"/>
      <c r="BD186" s="2" t="str">
        <f t="shared" si="48"/>
        <v/>
      </c>
      <c r="BE186" s="46" t="str">
        <f t="shared" si="49"/>
        <v/>
      </c>
      <c r="BF186" s="1">
        <f>Results!AJ188</f>
        <v>0</v>
      </c>
      <c r="BG186" s="1">
        <f>Results!AK188</f>
        <v>0</v>
      </c>
      <c r="BH186" s="1">
        <f>Results!AL188</f>
        <v>0</v>
      </c>
      <c r="BI186" s="1">
        <f>Results!AM188</f>
        <v>0</v>
      </c>
      <c r="BJ186" s="1" t="e">
        <f>IF(OR(ISNA('Reaction Information'!$D$5), $N186 = "", $D$27 = FALSE, 'Reaction Information'!$D$5 = ""), NA(), 24.465)</f>
        <v>#N/A</v>
      </c>
      <c r="BK186" s="1" t="e">
        <f>IF(OR(ISNA('Reaction Information'!$D$9), $N186 = "", $D$27 = FALSE, 'Reaction Information'!$D$9 = ""), NA(), 24.465)</f>
        <v>#N/A</v>
      </c>
      <c r="BL186" s="8" t="e">
        <f t="shared" si="55"/>
        <v>#VALUE!</v>
      </c>
      <c r="BM186" s="8" t="e">
        <f>IF(OR(ISBLANK(Input!$X$4),$D$27=FALSE),NA(),('Reaction Information'!$J$13/10+'Reaction Information'!$K$13*100/(Calculations!$C$12+Calculations!$M186)+('Reaction Information'!$L$13+'Reaction Information'!$M$13*10^4/(Calculations!$C$12+Calculations!$M186))/(Calculations!$O186-Calculations!$C$13) -calculateOmega(Calculations!$M186,Calculations!$N186,Calculations!$Q186,'Reaction Information'!$C$13,'Reaction Information'!$P$13*10^5,'Reaction Information'!$Q$13)*Calculations!$U186*10^-6 + (1/$S186 - 1)*calculate_domegadP(Calculations!$M186,Calculations!$N186,Calculations!$Q186,'Reaction Information'!$C$13,'Reaction Information'!$P$13*10^5,'Reaction Information'!$Q$13,$D$20,$D$19=3))*41.84)</f>
        <v>#VALUE!</v>
      </c>
      <c r="BN186" s="8" t="e">
        <f>IF(OR(ISBLANK(Input!$AA$4),$D$27=FALSE),NA(),('Reaction Information'!$J$17/10+'Reaction Information'!$K$17*100/(Calculations!$C$12+Calculations!$M186)+('Reaction Information'!$L$17+'Reaction Information'!$M$17*10000/(Calculations!$C$12+Calculations!$M186))/(Calculations!$O186-Calculations!$C$13)-calculateOmega(Calculations!M186,Calculations!N186,Calculations!Q186,'Reaction Information'!$C$17,'Reaction Information'!$P$17*10^5,'Reaction Information'!$Q$17)*Calculations!$U186*10^-6 + (1/$S186 - 1)*calculate_domegadP(Calculations!M186,Calculations!N186,Calculations!Q186,'Reaction Information'!$C$17,'Reaction Information'!$P$17*10^5,'Reaction Information'!$Q$17,$D$20,$D$19=3))*41.84)</f>
        <v>#N/A</v>
      </c>
      <c r="BO186" s="8" t="e">
        <f>IF(OR(ISBLANK(Input!$AD$4),$D$27=FALSE),NA(),('Reaction Information'!$J$21/10+'Reaction Information'!$K$21*100/(Calculations!$C$12+Calculations!$M186)+('Reaction Information'!$L$21+'Reaction Information'!$M$21*10000/(Calculations!$C$12+Calculations!$M186))/(Calculations!$O186-Calculations!$C$13)-calculateOmega(Calculations!M186,Calculations!N186,Calculations!Q186,'Reaction Information'!$C$21,'Reaction Information'!$P$21*10^5,'Reaction Information'!$Q$21)*Calculations!$U186*10^-6 + (1/$S186 - 1)*calculate_domegadP(Calculations!M186,Calculations!N186,Calculations!Q186,'Reaction Information'!$C$21,'Reaction Information'!$P$21*10^5,'Reaction Information'!$Q$21,$D$20,$D$19=3))*41.84)</f>
        <v>#N/A</v>
      </c>
      <c r="BP186" s="8" t="e">
        <f>IF(OR(ISBLANK(Input!$AG$4),$D$27=FALSE),NA(),('Reaction Information'!$J$25/10+'Reaction Information'!$K$25*100/(Calculations!$C$12+Calculations!$M186)+('Reaction Information'!$L$25+'Reaction Information'!$M$25*10000/(Calculations!$C$12+Calculations!$M186))/(Calculations!$O186-Calculations!$C$13)-calculateOmega(Calculations!M186,Calculations!N186,Calculations!Q186,'Reaction Information'!$C$25,'Reaction Information'!$P$25*10^5,'Reaction Information'!$Q$25)*Calculations!$U186*10^-6 + (1/$S186 - 1)*calculate_domegadP(Calculations!M186,Calculations!N186,Calculations!Q186,'Reaction Information'!$C$25,'Reaction Information'!$P$25*10^5,'Reaction Information'!$Q$25,$D$20,$D$19=3))*41.84)</f>
        <v>#N/A</v>
      </c>
      <c r="BQ186" s="8" t="e">
        <f>IF(OR(ISBLANK(Input!$AJ$4),$D$27=FALSE),NA(),('Reaction Information'!$J$29/10+'Reaction Information'!$K$29*100/(Calculations!$C$12+Calculations!$M186)+('Reaction Information'!$L$29+'Reaction Information'!$M$29*10000/(Calculations!$C$12+Calculations!$M186))/(Calculations!$O186-Calculations!$C$13)-calculateOmega(Calculations!M186,Calculations!N186,Calculations!Q186,'Reaction Information'!$C$29,'Reaction Information'!$P$29*10^5,'Reaction Information'!$Q$29)*Calculations!$U186*10^-6 + (1/$S186 - 1)*calculate_domegadP(Calculations!M186,Calculations!N186,Calculations!Q186,'Reaction Information'!$C$29,'Reaction Information'!$P$29*10^5,'Reaction Information'!$Q$29,$D$20,$D$19=3))*41.84)</f>
        <v>#N/A</v>
      </c>
      <c r="BR186" s="8" t="e">
        <f>IF(OR(ISBLANK(Input!$AM$4),$D$27=FALSE),NA(),('Reaction Information'!$J$33/10+'Reaction Information'!$K$33*100/(Calculations!$C$12+Calculations!$M186)+('Reaction Information'!$L$33+'Reaction Information'!$M$33*10000/(Calculations!$C$12+Calculations!$M186))/(Calculations!$O186-Calculations!$C$13)-calculateOmega(Calculations!M186,Calculations!N186,Calculations!Q186,'Reaction Information'!$C$33,'Reaction Information'!$P$33*10^5,'Reaction Information'!$Q$33)*Calculations!$U186*10^-6 + (1/$S186 - 1)*calculate_domegadP(Calculations!M186,Calculations!N186,Calculations!Q186,'Reaction Information'!$C$33,'Reaction Information'!$P$33*10^5,'Reaction Information'!$Q$33,$D$20,$D$19=3))*41.84)</f>
        <v>#N/A</v>
      </c>
      <c r="BS186" s="1">
        <f>Results!AW188</f>
        <v>0</v>
      </c>
      <c r="BT186" s="1">
        <f>Results!AX188</f>
        <v>0</v>
      </c>
      <c r="BU186" s="1">
        <f>Results!AY188</f>
        <v>0</v>
      </c>
      <c r="BV186" s="1">
        <f>Results!AZ188</f>
        <v>0</v>
      </c>
      <c r="BW186" s="1" t="e">
        <f>IF(OR(ISNA('Reaction Information'!$D$38), $N186 = "", $D$27 = FALSE, 'Reaction Information'!$D$38 = ""), NA(), 24.465)</f>
        <v>#N/A</v>
      </c>
      <c r="BX186" s="1" t="e">
        <f>IF(OR(ISNA('Reaction Information'!$D$42), $N186 = "", $D$27 = FALSE, 'Reaction Information'!$D$42 = ""), NA(), 24.465)</f>
        <v>#N/A</v>
      </c>
      <c r="BY186" s="8" t="e">
        <f t="shared" si="56"/>
        <v>#N/A</v>
      </c>
      <c r="BZ186" s="8" t="e">
        <f>IF(OR(ISBLANK(Input!$BK$4),$D$27=FALSE),NA(),('Reaction Information'!$J$46/10+'Reaction Information'!$K$46*100/(Calculations!$C$12+Calculations!$M186)+('Reaction Information'!$L$46+'Reaction Information'!$M$46*10000/(Calculations!$C$12+Calculations!$M186))/(Calculations!$O186-Calculations!$C$13)-calculateOmega(Calculations!M186,Calculations!N186,Calculations!Q186,'Reaction Information'!$C$46,'Reaction Information'!$P$46*10^5,'Reaction Information'!$Q$46)*Calculations!$U186*10^-6 + (1/$S186 - 1)*calculate_domegadP(Calculations!M186,Calculations!N186,Calculations!Q186,'Reaction Information'!$C$46,'Reaction Information'!$P$46*10^5,'Reaction Information'!$Q$46,$D$20,$D$19=3))*41.84)</f>
        <v>#VALUE!</v>
      </c>
      <c r="CA186" s="8" t="e">
        <f>IF(OR(ISBLANK(Input!$BN$4),$D$27=FALSE),NA(),('Reaction Information'!$J$50/10+'Reaction Information'!$K$50*100/(Calculations!$C$12+Calculations!$M186)+('Reaction Information'!$L$50+'Reaction Information'!$M$50*10000/(Calculations!$C$12+Calculations!$M186))/(Calculations!$O186-Calculations!$C$13)-calculateOmega(Calculations!M186,Calculations!N186,Calculations!Q186,'Reaction Information'!$C$50,'Reaction Information'!$P$50*10^5,'Reaction Information'!$Q$50)*Calculations!$U186*10^-6 + (1/$S186 - 1)*calculate_domegadP(Calculations!M186,Calculations!N186,Calculations!Q186,'Reaction Information'!$C$50,'Reaction Information'!$P$50*10^5,'Reaction Information'!$Q$50,$D$20,$D$19=3))*41.84)</f>
        <v>#VALUE!</v>
      </c>
      <c r="CB186" s="8" t="e">
        <f>IF(OR(ISBLANK(Input!$BQ$4),$D$27=FALSE),NA(),('Reaction Information'!$J$54/10+'Reaction Information'!$K$54*100/(Calculations!$C$12+Calculations!$M186)+('Reaction Information'!$L$54+'Reaction Information'!$M$54*10000/(Calculations!$C$12+Calculations!$M186))/(Calculations!$O186-Calculations!$C$13)-calculateOmega(Calculations!M186,Calculations!N186,Calculations!Q186,'Reaction Information'!$C$54,'Reaction Information'!$P$54*10^5,'Reaction Information'!$Q$54)*Calculations!$U186*10^-6 + (1/$S186 - 1)*calculate_domegadP(Calculations!M186,Calculations!N186,Calculations!Q186,'Reaction Information'!$C$54,'Reaction Information'!$P$54*10^5,'Reaction Information'!$Q$54,$D$20,$D$19=3))*41.84)</f>
        <v>#N/A</v>
      </c>
      <c r="CC186" s="8" t="e">
        <f>IF(OR(ISBLANK(Input!$BT$4),$D$27=FALSE),NA(),('Reaction Information'!$J$58/10+'Reaction Information'!$K$58*100/(Calculations!$C$12+Calculations!$M186)+('Reaction Information'!$L$58+'Reaction Information'!$M$58*10000/(Calculations!$C$12+Calculations!$M186))/(Calculations!$O186-Calculations!$C$13)-calculateOmega(Calculations!M186,Calculations!N186,Calculations!Q186,'Reaction Information'!$C$58,'Reaction Information'!$P$58*10^5,'Reaction Information'!$Q$58)*Calculations!$U186*10^-6 + (1/$S186 - 1)*calculate_domegadP(Calculations!M186,Calculations!N186,Calculations!Q186,'Reaction Information'!$C$58,'Reaction Information'!$P$58*10^5,'Reaction Information'!$Q$58,$D$20,$D$19=3))*41.84)</f>
        <v>#N/A</v>
      </c>
      <c r="CD186" s="8" t="e">
        <f>IF(OR(ISBLANK(Input!$BW$4),$D$27=FALSE),NA(),('Reaction Information'!$J$62/10+'Reaction Information'!$K$62*100/(Calculations!$C$12+Calculations!$M186)+('Reaction Information'!$L$62+'Reaction Information'!$M$62*10000/(Calculations!$C$12+Calculations!$M186))/(Calculations!$O186-Calculations!$C$13)-calculateOmega(Calculations!M186,Calculations!N186,Calculations!Q186,'Reaction Information'!$C$62,'Reaction Information'!$P$62*10^5,'Reaction Information'!$Q$62)*Calculations!$U186*10^-6 + (1/$S186 - 1)*calculate_domegadP(Calculations!M186,Calculations!N186,Calculations!Q186,'Reaction Information'!$C$62,'Reaction Information'!$P$62*10^5,'Reaction Information'!$Q$62,$D$20,$D$19=3))*41.84)</f>
        <v>#N/A</v>
      </c>
      <c r="CE186" s="8" t="e">
        <f>IF(OR(ISBLANK(Input!$BZ$4),$D$27=FALSE),NA(),('Reaction Information'!$J$66/10+'Reaction Information'!$K$66*100/(Calculations!$C$12+Calculations!$M186)+('Reaction Information'!$L$66+'Reaction Information'!$M$66*10000/(Calculations!$C$12+Calculations!$M186))/(Calculations!$O186-Calculations!$C$13)-calculateOmega(Calculations!M186,Calculations!N186,Calculations!Q186,'Reaction Information'!$C$66,'Reaction Information'!$P$66*10^5,'Reaction Information'!$Q$66)*Calculations!$U186*10^-6 + (1/$S186 - 1)*calculate_domegadP(Calculations!M186,Calculations!N186,Calculations!Q186,'Reaction Information'!$C$66,'Reaction Information'!$P$66*10^5,'Reaction Information'!$Q$66,$D$20,$D$19=3))*41.84)</f>
        <v>#N/A</v>
      </c>
      <c r="CF186" s="31" t="e">
        <f>(BS186*Input!$AO$4+BT186*Input!$AR$4+BU186*Input!$AU$4+BV186*Input!$AX$4+IF(ISNA(BW186),0,BW186*Input!$BA$4)+IF(ISNA(BX186),0,BX186*Input!$BD$4)+IF(ISNA(BY186),0,BY186*Input!$BG$4)+IF(ISNA(BZ186),0,BZ186*Input!$BJ$4)+IF(ISNA(CA186),0,CA186*Input!$BM$4)+IF(ISNA(CB186),0,CB186*Input!$BP$4)+IF(ISNA(CC186),0,CC186*Input!$BS$4)+IF(ISNA(CD186),0,CD186*Input!$BV$4)+IF(ISNA(CE186),0,CE186*Input!$BY$4))-(BF186*Input!$B$4+BG186*Input!$E$4+BH186*Input!$H$4+BI186*Input!$K$4+IF(ISNA(BJ186),0,BJ186*Input!$N$4)+IF(ISNA(BK186),0,BK186*Input!$Q$4)+IF(ISNA(BL186),0,BL186*Input!$T$4)+IF(ISNA(BM186),0,BM186*Input!$W$4)+IF(ISNA(BN186),0,BN186*Input!$Z$4)+IF(ISNA(BO186),0,BO186*Input!$AC$4)+IF(ISNA(BP186),0,BP186*Input!$AF$4)+IF(ISNA(BQ186),0,BQ186*Input!$AI$4)+IF(ISNA(BR186),0,BR186*Input!$AL$4))</f>
        <v>#VALUE!</v>
      </c>
      <c r="CG186" s="1" t="str">
        <f t="shared" si="50"/>
        <v/>
      </c>
      <c r="CH186" s="46" t="str">
        <f t="shared" si="51"/>
        <v/>
      </c>
      <c r="CI186" s="1"/>
    </row>
    <row r="187" spans="1:87" x14ac:dyDescent="0.2">
      <c r="A187" s="1"/>
      <c r="B187" s="1"/>
      <c r="C187" s="1"/>
      <c r="D187" s="1"/>
      <c r="E187" s="1"/>
      <c r="F187" s="2">
        <v>182</v>
      </c>
      <c r="G187" s="1" t="str">
        <f>IF(ISBLANK(Input!CB187), "", Input!CB187*1000)</f>
        <v/>
      </c>
      <c r="H187" s="1" t="str">
        <f>IF(ISBLANK(Input!CC187), "", Input!CC187)</f>
        <v/>
      </c>
      <c r="I187" s="1" t="str">
        <f>IF(Input!$CF$5 + Input!$CF$6*(FLOOR((Calculations!$F187-1)/(FLOOR((Input!$CF$12-Input!$CF$10)/Input!$CF$11,1)+1),1)) &gt; Input!$CF$7, "", (Input!$CF$5 + Input!$CF$6*(FLOOR((Calculations!$F187-1)/(FLOOR((Input!$CF$12-Input!$CF$10)/Input!$CF$11,1)+1),1)))*1000)</f>
        <v/>
      </c>
      <c r="J187" s="1" t="str">
        <f>IF(Calculations!I187 = "", "", Input!$CF$10 + Input!$CF$11*(Calculations!$F187-1) - (FLOOR((Input!$CF$12-Input!$CF$10)/Input!$CF$11,1)+1)*Input!$CF$11*FLOOR((Calculations!$F187-1)/(FLOOR((Input!$CF$12-Input!$CF$10)/Input!$CF$11,1)+1),1))</f>
        <v/>
      </c>
      <c r="K187" s="8" t="str">
        <f t="shared" si="52"/>
        <v/>
      </c>
      <c r="L187" s="117" t="str">
        <f>IF(OR(Input!$CJ$5 + Input!$CJ$6*(Calculations!F187-1) &gt; Input!$CJ$7, Input!$CJ$5 + Input!$CJ$6*(Calculations!F187-1) &gt; 350), "", Input!$CJ$5 + Input!$CJ$6*(Calculations!F187-1))</f>
        <v/>
      </c>
      <c r="M187" s="1" t="str">
        <f t="shared" si="42"/>
        <v/>
      </c>
      <c r="N187" s="1" t="str">
        <f t="shared" si="43"/>
        <v/>
      </c>
      <c r="O187" s="1" t="e">
        <f t="shared" si="53"/>
        <v>#VALUE!</v>
      </c>
      <c r="P187" s="1" t="e">
        <f>IF(OR($D$20=3,AND($D$21=TRUE,M187&lt;1000)),INDEX('Water Density'!$C$6:$CX$120,MATCH(Calculations!N187,'Water Density'!$B$6:$B$120),MATCH(Calculations!M187/1000,'Water Density'!$C$5:$CX$5)),NA())</f>
        <v>#N/A</v>
      </c>
      <c r="Q187" s="182" t="e">
        <f>IF(OR($D$20=3,AND($D$21=TRUE,M187&lt;1000)), IF(P187&lt;&gt;0,P187,NA()), calculateDensity(M187,N187,$D$20,0.01,$D$19 = 3))</f>
        <v>#VALUE!</v>
      </c>
      <c r="R187" s="1" t="e">
        <f>IF($D$22=5,INDEX('Dielectric Constant'!$C$6:$CX$120,MATCH(Calculations!N187,'Dielectric Constant'!$B$6:$B$120),MATCH(Calculations!M187/1000,'Dielectric Constant'!$C$5:$CX$5)),NA())</f>
        <v>#N/A</v>
      </c>
      <c r="S187" s="58" t="e">
        <f>IF($D$22=5, IF(R187&lt;&gt;0,R187,NA()), IF(AND($D$23,M187&lt;=5000,$D$19 &lt;&gt; 3),calculateEpsilon(Q187,N187,1,FALSE),calculateEpsilon(Q187,N187,$D$22,$D$19 = 3)))</f>
        <v>#VALUE!</v>
      </c>
      <c r="T187" s="1" t="e">
        <f>IF($D$24=3,INDEX('Water Free Energy'!$C$6:$CX$120,MATCH(Calculations!N187,'Water Free Energy'!$B$6:$B$120),MATCH(Calculations!M187/1000,'Water Free Energy'!$C$5:$CX$5)),NA())</f>
        <v>#N/A</v>
      </c>
      <c r="U187" s="179" t="e">
        <f>IF($D$27,calculateQ(M187,N187,Q187,$D$20,$D$22,$D$19=3)*10^6,NA())</f>
        <v>#VALUE!</v>
      </c>
      <c r="V187"/>
      <c r="W187" s="2" t="str">
        <f t="shared" si="44"/>
        <v/>
      </c>
      <c r="X187" s="1" t="str">
        <f t="shared" si="45"/>
        <v/>
      </c>
      <c r="Y187" s="1">
        <f>Results!F189</f>
        <v>0</v>
      </c>
      <c r="Z187" s="1">
        <f>Results!G189</f>
        <v>0</v>
      </c>
      <c r="AA187" s="1">
        <f>Results!H189</f>
        <v>0</v>
      </c>
      <c r="AB187" s="1">
        <f>Results!I189</f>
        <v>0</v>
      </c>
      <c r="AC187" s="1" t="e">
        <f>IF(ISBLANK(Input!$O$4),NA(),'Reaction Information'!$E$5-'Reaction Information'!$G$5*(Calculations!$O187-Calculations!$C$8)+'Reaction Information'!$I$5*(Calculations!$O187-Calculations!$C$8-Calculations!$O187*LN(Calculations!$O187/Calculations!$C$8))+'Reaction Information'!$J$5*0.001/2*(2*Calculations!$O187*Calculations!$C$8-Calculations!$O187^2-Calculations!$C$8^2) + 'Reaction Information'!$K$5*100000*(Calculations!$O187^2 + Calculations!$C$8^2 - 2*Calculations!$O187*Calculations!$C$8)/(2*Calculations!$O187*Calculations!$C$8^2))</f>
        <v>#N/A</v>
      </c>
      <c r="AD187" s="8" t="e">
        <f>IF(ISBLANK(Input!$R$4),NA(),'Reaction Information'!$E$9-'Reaction Information'!$G$9*(Calculations!$O187-Calculations!$C$8)+'Reaction Information'!$I$9*(Calculations!$O187-Calculations!$C$8-Calculations!$O187*LN(Calculations!$O187/Calculations!$C$8))+'Reaction Information'!$J$9*0.001/2*(2*Calculations!$O187*Calculations!$C$8-Calculations!$O187^2-Calculations!$C$8^2) + 'Reaction Information'!$K$9*100000*(Calculations!$O187^2 + Calculations!$C$8^2 - 2*Calculations!$O187*Calculations!$C$8)/(2*Calculations!$O187*Calculations!$C$8^2))</f>
        <v>#N/A</v>
      </c>
      <c r="AE187" s="8" t="e">
        <f>IF(AE$5="H2O",IF($D$24=3,IF(T187=0,NA(),T187),calculateGibbsOfWater(M187,N187,$D$24,$D$20,$D$19=3)),NA())</f>
        <v>#VALUE!</v>
      </c>
      <c r="AF187" s="8" t="e">
        <f>IF(ISBLANK(Input!$X$4),NA(),'Reaction Information'!$E$13-'Reaction Information'!$G$13*(Calculations!O187-Calculations!$C$8)-'Reaction Information'!$N$13*(Calculations!O187*LN(Calculations!O187/Calculations!$C$8)-Calculations!O187+Calculations!$C$8)-'Reaction Information'!$O$13*10^4*(((1/(Calculations!O187-Calculations!$C$13))-(1/(Calculations!$C$8-Calculations!$C$13)))*((Calculations!$C$13-Calculations!O187)/(Calculations!$C$13))-(Calculations!O187/(Calculations!$C$13*Calculations!$C$13))*LN((Calculations!$C$8*(Calculations!O187-Calculations!$C$13))/(Calculations!O187*(Calculations!$C$8-Calculations!$C$13))))+'Reaction Information'!$J$13*10^-1*(Calculations!M187-Calculations!$C$9)+'Reaction Information'!$K$13*10^2*LN((Calculations!$C$12+Calculations!M187)/(Calculations!$C$12+Calculations!$C$9))+(1/(Calculations!O187-Calculations!$C$13))*('Reaction Information'!$L$13*(Calculations!M187-Calculations!$C$9)+'Reaction Information'!$M$13*10^4*LN((Calculations!$C$12+Calculations!M187)/(Calculations!$C$12+Calculations!$C$9)))+calculateOmega(Calculations!M187,Calculations!N187,Calculations!Q187,'Reaction Information'!$C$13,'Reaction Information'!$P$13*10^5,'Reaction Information'!$Q$13)*((1/Calculations!S187)-1)-'Reaction Information'!$P$13*10^5*((1/Calculations!$C$10)-1)+'Reaction Information'!$P$13*10^5*Calculations!$C$14*(Calculations!O187-Calculations!$C$8))</f>
        <v>#VALUE!</v>
      </c>
      <c r="AG187" s="8" t="e">
        <f>IF(ISBLANK(Input!$AA$4),NA(),'Reaction Information'!$E$17-'Reaction Information'!$G$17*(Calculations!$O187-Calculations!$C$8)-'Reaction Information'!$N$17*(Calculations!$O187*LN(Calculations!$O187/Calculations!$C$8)-Calculations!$O187+Calculations!$C$8)-'Reaction Information'!$O$17*10^4*(((1/(Calculations!$O187-Calculations!$C$13))-(1/(Calculations!$C$8-Calculations!$C$13)))*((Calculations!$C$13-Calculations!$O187)/(Calculations!$C$13))-(Calculations!$O187/(Calculations!$C$13*Calculations!$C$13))*LN((Calculations!$C$8*(Calculations!$O187-Calculations!$C$13))/(Calculations!$O187*(Calculations!$C$8-Calculations!$C$13))))+'Reaction Information'!$J$17*10^-1*(Calculations!$M187-Calculations!$C$9)+'Reaction Information'!$K$17*10^2*LN((Calculations!$C$12+Calculations!$M187)/(Calculations!$C$12+Calculations!$C$9))+(1/(Calculations!$O187-Calculations!$C$13))*('Reaction Information'!$L$17*(Calculations!$M187-Calculations!$C$9)+'Reaction Information'!$M$17*10^4*LN((Calculations!$C$12+Calculations!$M187)/(Calculations!$C$12+Calculations!$C$9)))+calculateOmega(Calculations!M187,Calculations!N187,Calculations!Q187,'Reaction Information'!$C$17,'Reaction Information'!$P$17*10^5,'Reaction Information'!$Q$17)*((1/Calculations!$S187)-1)-'Reaction Information'!$P$17*10^5*((1/Calculations!$C$10)-1)+'Reaction Information'!$P$17*10^5*Calculations!$C$14*(Calculations!$O187-Calculations!$C$8))</f>
        <v>#N/A</v>
      </c>
      <c r="AH187" s="8" t="e">
        <f>IF(ISBLANK(Input!$AD$4),NA(),'Reaction Information'!$E$21-'Reaction Information'!$G$21*(Calculations!$O187-Calculations!$C$8)-'Reaction Information'!$N$21*(Calculations!$O187*LN(Calculations!$O187/Calculations!$C$8)-Calculations!$O187+Calculations!$C$8)-'Reaction Information'!$O$21*10^4*(((1/(Calculations!$O187-Calculations!$C$13))-(1/(Calculations!$C$8-Calculations!$C$13)))*((Calculations!$C$13-Calculations!$O187)/(Calculations!$C$13))-(Calculations!$O187/(Calculations!$C$13*Calculations!$C$13))*LN((Calculations!$C$8*(Calculations!$O187-Calculations!$C$13))/(Calculations!$O187*(Calculations!$C$8-Calculations!$C$13))))+'Reaction Information'!$J$21*10^-1*(Calculations!$M187-Calculations!$C$9)+'Reaction Information'!$K$21*10^2*LN((Calculations!$C$12+Calculations!$M187)/(Calculations!$C$12+Calculations!$C$9))+(1/(Calculations!$O187-Calculations!$C$13))*('Reaction Information'!$L$21*(Calculations!$M187-Calculations!$C$9)+'Reaction Information'!$M$21*10^4*LN((Calculations!$C$12+Calculations!$M187)/(Calculations!$C$12+Calculations!$C$9)))+calculateOmega(Calculations!M187,Calculations!N187,Calculations!Q187,'Reaction Information'!$C$21,'Reaction Information'!$P$21*10^5,'Reaction Information'!$Q$21)*((1/Calculations!$S187)-1)-'Reaction Information'!$P$21*10^5*((1/Calculations!$C$10)-1)+'Reaction Information'!$P$21*10^5*Calculations!$C$14*(Calculations!$O187-Calculations!$C$8))</f>
        <v>#N/A</v>
      </c>
      <c r="AI187" s="8" t="e">
        <f>IF(ISBLANK(Input!$AG$4),NA(),'Reaction Information'!$E$25-'Reaction Information'!$G$25*(Calculations!$O187-Calculations!$C$8)-'Reaction Information'!$N$25*(Calculations!$O187*LN(Calculations!$O187/Calculations!$C$8)-Calculations!$O187+Calculations!$C$8)-'Reaction Information'!$O$25*10^4*(((1/(Calculations!$O187-Calculations!$C$13))-(1/(Calculations!$C$8-Calculations!$C$13)))*((Calculations!$C$13-Calculations!$O187)/(Calculations!$C$13))-(Calculations!$O187/(Calculations!$C$13*Calculations!$C$13))*LN((Calculations!$C$8*(Calculations!$O187-Calculations!$C$13))/(Calculations!$O187*(Calculations!$C$8-Calculations!$C$13))))+'Reaction Information'!$J$25*10^-1*(Calculations!$M187-Calculations!$C$9)+'Reaction Information'!$K$25*10^2*LN((Calculations!$C$12+Calculations!$M187)/(Calculations!$C$12+Calculations!$C$9))+(1/(Calculations!$O187-Calculations!$C$13))*('Reaction Information'!$L$25*(Calculations!$M187-Calculations!$C$9)+'Reaction Information'!$M$25*10^4*LN((Calculations!$C$12+Calculations!$M187)/(Calculations!$C$12+Calculations!$C$9)))+calculateOmega(Calculations!M187,Calculations!N187,Calculations!Q187,'Reaction Information'!$C$25,'Reaction Information'!$P$25*10^5,'Reaction Information'!$Q$25)*((1/Calculations!$S187)-1)-'Reaction Information'!$P$25*10^5*((1/Calculations!$C$10)-1)+'Reaction Information'!$P$25*10^5*Calculations!$C$14*(Calculations!$O187-Calculations!$C$8))</f>
        <v>#N/A</v>
      </c>
      <c r="AJ187" s="8" t="e">
        <f>IF(ISBLANK(Input!$AJ$4),NA(),'Reaction Information'!$E$29-'Reaction Information'!$G$29*(Calculations!$O187-Calculations!$C$8)-'Reaction Information'!$N$29*(Calculations!$O187*LN(Calculations!$O187/Calculations!$C$8)-Calculations!$O187+Calculations!$C$8)-'Reaction Information'!$O$29*10^4*(((1/(Calculations!$O187-Calculations!$C$13))-(1/(Calculations!$C$8-Calculations!$C$13)))*((Calculations!$C$13-Calculations!$O187)/(Calculations!$C$13))-(Calculations!$O187/(Calculations!$C$13*Calculations!$C$13))*LN((Calculations!$C$8*(Calculations!$O187-Calculations!$C$13))/(Calculations!$O187*(Calculations!$C$8-Calculations!$C$13))))+'Reaction Information'!$J$29*10^-1*(Calculations!$M187-Calculations!$C$9)+'Reaction Information'!$K$29*10^2*LN((Calculations!$C$12+Calculations!$M187)/(Calculations!$C$12+Calculations!$C$9))+(1/(Calculations!$O187-Calculations!$C$13))*('Reaction Information'!$L$29*(Calculations!$M187-Calculations!$C$9)+'Reaction Information'!$M$29*10^4*LN((Calculations!$C$12+Calculations!$M187)/(Calculations!$C$12+Calculations!$C$9)))+calculateOmega(Calculations!M187,Calculations!N187,Calculations!Q187,'Reaction Information'!$C$29,'Reaction Information'!$P$29*10^5,'Reaction Information'!$Q$29)*((1/Calculations!$S187)-1)-'Reaction Information'!$P$29*10^5*((1/Calculations!$C$10)-1)+'Reaction Information'!$P$29*10^5*Calculations!$C$14*(Calculations!$O187-Calculations!$C$8))</f>
        <v>#N/A</v>
      </c>
      <c r="AK187" s="8" t="e">
        <f>IF(ISBLANK(Input!$AM$4),NA(),'Reaction Information'!$E$33-'Reaction Information'!$G$33*(Calculations!$O187-Calculations!$C$8)-'Reaction Information'!$N$33*(Calculations!$O187*LN(Calculations!$O187/Calculations!$C$8)-Calculations!$O187+Calculations!$C$8)-'Reaction Information'!$O$33*10^4*(((1/(Calculations!$O187-Calculations!$C$13))-(1/(Calculations!$C$8-Calculations!$C$13)))*((Calculations!$C$13-Calculations!$O187)/(Calculations!$C$13))-(Calculations!$O187/(Calculations!$C$13*Calculations!$C$13))*LN((Calculations!$C$8*(Calculations!$O187-Calculations!$C$13))/(Calculations!$O187*(Calculations!$C$8-Calculations!$C$13))))+'Reaction Information'!$J$33*10^-1*(Calculations!$M187-Calculations!$C$9)+'Reaction Information'!$K$33*10^2*LN((Calculations!$C$12+Calculations!$M187)/(Calculations!$C$12+Calculations!$C$9))+(1/(Calculations!$O187-Calculations!$C$13))*('Reaction Information'!$L$33*(Calculations!$M187-Calculations!$C$9)+'Reaction Information'!$M$33*10^4*LN((Calculations!$C$12+Calculations!$M187)/(Calculations!$C$12+Calculations!$C$9)))+calculateOmega(Calculations!M187,Calculations!N187,Calculations!Q187,'Reaction Information'!$C$33,'Reaction Information'!$P$33*10^5,'Reaction Information'!$Q$33)*((1/Calculations!$S187)-1)-'Reaction Information'!$P$33*10^5*((1/Calculations!$C$10)-1)+'Reaction Information'!$P$33*10^5*Calculations!$C$14*(Calculations!$O187-Calculations!$C$8))</f>
        <v>#N/A</v>
      </c>
      <c r="AL187" s="1">
        <f>Results!S189</f>
        <v>0</v>
      </c>
      <c r="AM187" s="1">
        <f>Results!T189</f>
        <v>0</v>
      </c>
      <c r="AN187" s="1">
        <f>Results!U189</f>
        <v>0</v>
      </c>
      <c r="AO187" s="1">
        <f>Results!V189</f>
        <v>0</v>
      </c>
      <c r="AP187" s="8" t="e">
        <f>IF(ISBLANK(Input!$BB$4),NA(),'Reaction Information'!$E$38-'Reaction Information'!$G$38*(Calculations!$O187-Calculations!$C$8)+'Reaction Information'!$I$38*(Calculations!$O187-Calculations!$C$8-Calculations!$O187*LN(Calculations!$O187/Calculations!$C$8))+'Reaction Information'!$J$38*0.001/2*(2*Calculations!$O187*Calculations!$C$8-Calculations!$O187^2-Calculations!$C$8^2) + 'Reaction Information'!$K$38*100000*(Calculations!$O187^2 + Calculations!$C$8^2 - 2*Calculations!$O187*Calculations!$C$8)/(2*Calculations!$O187*Calculations!$C$8^2))</f>
        <v>#N/A</v>
      </c>
      <c r="AQ187" s="8" t="e">
        <f>IF(ISBLANK(Input!$BE$4),NA(),'Reaction Information'!$E$42-'Reaction Information'!$G$42*(Calculations!$O187-Calculations!$C$8)+'Reaction Information'!$I$42*(Calculations!$O187-Calculations!$C$8-Calculations!$O187*LN(Calculations!$O187/Calculations!$C$8))+'Reaction Information'!$J$42*0.001/2*(2*Calculations!$O187*Calculations!$C$8-Calculations!$O187^2-Calculations!$C$8^2) + 'Reaction Information'!$K$42*100000*(Calculations!$O187^2 + Calculations!$C$8^2 - 2*Calculations!$O187*Calculations!$C$8)/(2*Calculations!$O187*Calculations!$C$8^2))</f>
        <v>#N/A</v>
      </c>
      <c r="AR187" s="8" t="e">
        <f>IF(AR$5="H2O", IF($D$24=3,IF(T187=0,NA(),T187),calculateGibbsOfWater(M187,N187,$D$24,$D$20,$D$19=3)),NA())</f>
        <v>#N/A</v>
      </c>
      <c r="AS187" s="8" t="e">
        <f>IF(ISBLANK(Input!$BK$4),NA(),'Reaction Information'!$E$46-'Reaction Information'!$G$46*(Calculations!O187-Calculations!$C$8)-'Reaction Information'!$N$46*(Calculations!O187*LN(Calculations!O187/Calculations!$C$8)-Calculations!O187+Calculations!$C$8)-'Reaction Information'!$O$46*10^4*(((1/(Calculations!O187-Calculations!$C$13))-(1/(Calculations!$C$8-Calculations!$C$13)))*((Calculations!$C$13-Calculations!O187)/(Calculations!$C$13))-(Calculations!O187/(Calculations!$C$13*Calculations!$C$13))*LN((Calculations!$C$8*(Calculations!O187-Calculations!$C$13))/(Calculations!O187*(Calculations!$C$8-Calculations!$C$13))))+'Reaction Information'!$J$46*10^-1*(Calculations!$M187-Calculations!$C$9)+'Reaction Information'!$K$46*10^2*LN((Calculations!$C$12+Calculations!$M187)/(Calculations!$C$12+Calculations!$C$9))+(1/(Calculations!O187-Calculations!$C$13))*('Reaction Information'!$L$46*(Calculations!$M187-Calculations!$C$9)+'Reaction Information'!$M$46*10^4*LN((Calculations!$C$12+Calculations!$M187)/(Calculations!$C$12+Calculations!$C$9)))+calculateOmega(Calculations!M187,Calculations!N187,Calculations!Q187,'Reaction Information'!$C$46,'Reaction Information'!$P$46*10^5,'Reaction Information'!$Q$46)*((1/Calculations!S187)-1)-'Reaction Information'!$P$46*10^5*((1/Calculations!$C$10)-1)+'Reaction Information'!$P$46*10^5*Calculations!$C$14*(Calculations!O187-Calculations!$C$8))</f>
        <v>#VALUE!</v>
      </c>
      <c r="AT187" s="8" t="e">
        <f>IF(ISBLANK(Input!$BN$4),NA(),'Reaction Information'!$E$50-'Reaction Information'!$G$50*(Calculations!O187-Calculations!$C$8)-'Reaction Information'!$N$50*(Calculations!O187*LN(Calculations!O187/Calculations!$C$8)-Calculations!O187+Calculations!$C$8)-'Reaction Information'!$O$50*10^4*(((1/(Calculations!O187-Calculations!$C$13))-(1/(Calculations!$C$8-Calculations!$C$13)))*((Calculations!$C$13-Calculations!O187)/(Calculations!$C$13))-(Calculations!O187/(Calculations!$C$13*Calculations!$C$13))*LN((Calculations!$C$8*(Calculations!O187-Calculations!$C$13))/(Calculations!O187*(Calculations!$C$8-Calculations!$C$13))))+'Reaction Information'!$J$50*10^-1*(Calculations!$M187-Calculations!$C$9)+'Reaction Information'!$K$50*10^2*LN((Calculations!$C$12+Calculations!$M187)/(Calculations!$C$12+Calculations!$C$9))+(1/(Calculations!O187-Calculations!$C$13))*('Reaction Information'!$L$50*(Calculations!$M187-Calculations!$C$9)+'Reaction Information'!$M$50*10^4*LN((Calculations!$C$12+Calculations!$M187)/(Calculations!$C$12+Calculations!$C$9)))+calculateOmega(Calculations!M187,Calculations!N187,Calculations!Q187,'Reaction Information'!$C$50,'Reaction Information'!$P$50*10^5,'Reaction Information'!$Q$50)*((1/Calculations!S187)-1)-'Reaction Information'!$P$50*10^5*((1/Calculations!$C$10)-1)+'Reaction Information'!$P$50*10^5*Calculations!$C$14*(Calculations!O187-Calculations!$C$8))</f>
        <v>#VALUE!</v>
      </c>
      <c r="AU187" s="8" t="e">
        <f>IF(ISBLANK(Input!$BQ$4),NA(),'Reaction Information'!$E$54-'Reaction Information'!$G$54*(Calculations!$O187-Calculations!$C$8)-'Reaction Information'!$N$54*(Calculations!$O187*LN(Calculations!$O187/Calculations!$C$8)-Calculations!$O187+Calculations!$C$8)-'Reaction Information'!$O$54*10^4*(((1/(Calculations!$O187-Calculations!$C$13))-(1/(Calculations!$C$8-Calculations!$C$13)))*((Calculations!$C$13-Calculations!$O187)/(Calculations!$C$13))-(Calculations!$O187/(Calculations!$C$13*Calculations!$C$13))*LN((Calculations!$C$8*(Calculations!$O187-Calculations!$C$13))/(Calculations!$O187*(Calculations!$C$8-Calculations!$C$13))))+'Reaction Information'!$J$54*10^-1*(Calculations!$M187-Calculations!$C$9)+'Reaction Information'!$K$54*10^2*LN((Calculations!$C$12+Calculations!$M187)/(Calculations!$C$12+Calculations!$C$9))+(1/(Calculations!$O187-Calculations!$C$13))*('Reaction Information'!$L$54*(Calculations!$M187-Calculations!$C$9)+'Reaction Information'!$M$54*10^4*LN((Calculations!$C$12+Calculations!$M187)/(Calculations!$C$12+Calculations!$C$9)))+calculateOmega(Calculations!M187,Calculations!N187,Calculations!Q187,'Reaction Information'!$C$54,'Reaction Information'!$P$54*10^5,'Reaction Information'!$Q$54)*((1/Calculations!$S187)-1)-'Reaction Information'!$P$54*10^5*((1/Calculations!$C$10)-1)+'Reaction Information'!$P$54*10^5*Calculations!$C$14*(Calculations!$O187-Calculations!$C$8))</f>
        <v>#N/A</v>
      </c>
      <c r="AV187" s="8" t="e">
        <f>IF(ISBLANK(Input!$BT$4),NA(),'Reaction Information'!$E$58-'Reaction Information'!$G$58*(Calculations!$O187-Calculations!$C$8)-'Reaction Information'!$N$58*(Calculations!$O187*LN(Calculations!$O187/Calculations!$C$8)-Calculations!$O187+Calculations!$C$8)-'Reaction Information'!$O$58*10^4*(((1/(Calculations!$O187-Calculations!$C$13))-(1/(Calculations!$C$8-Calculations!$C$13)))*((Calculations!$C$13-Calculations!$O187)/(Calculations!$C$13))-(Calculations!$O187/(Calculations!$C$13*Calculations!$C$13))*LN((Calculations!$C$8*(Calculations!$O187-Calculations!$C$13))/(Calculations!$O187*(Calculations!$C$8-Calculations!$C$13))))+'Reaction Information'!$J$58*10^-1*(Calculations!$M187-Calculations!$C$9)+'Reaction Information'!$K$58*10^2*LN((Calculations!$C$12+Calculations!$M187)/(Calculations!$C$12+Calculations!$C$9))+(1/(Calculations!$O187-Calculations!$C$13))*('Reaction Information'!$L$58*(Calculations!$M187-Calculations!$C$9)+'Reaction Information'!$M$58*10^4*LN((Calculations!$C$12+Calculations!$M187)/(Calculations!$C$12+Calculations!$C$9)))+calculateOmega(Calculations!M187,Calculations!N187,Calculations!Q187,'Reaction Information'!$C$58,'Reaction Information'!$P$58*10^5,'Reaction Information'!$Q$58)*((1/Calculations!$S187)-1)-'Reaction Information'!$P$58*10^5*((1/Calculations!$C$10)-1)+'Reaction Information'!$P$58*10^5*Calculations!$C$14*(Calculations!$O187-Calculations!$C$8))</f>
        <v>#N/A</v>
      </c>
      <c r="AW187" s="8" t="e">
        <f>IF(ISBLANK(Input!$BW$4),NA(),'Reaction Information'!$E$62-'Reaction Information'!$G$62*(Calculations!$O187-Calculations!$C$8)-'Reaction Information'!$N$62*(Calculations!$O187*LN(Calculations!$O187/Calculations!$C$8)-Calculations!$O187+Calculations!$C$8)-'Reaction Information'!$O$62*10^4*(((1/(Calculations!$O187-Calculations!$C$13))-(1/(Calculations!$C$8-Calculations!$C$13)))*((Calculations!$C$13-Calculations!$O187)/(Calculations!$C$13))-(Calculations!$O187/(Calculations!$C$13*Calculations!$C$13))*LN((Calculations!$C$8*(Calculations!$O187-Calculations!$C$13))/(Calculations!$O187*(Calculations!$C$8-Calculations!$C$13))))+'Reaction Information'!$J$62*10^-1*(Calculations!$M187-Calculations!$C$9)+'Reaction Information'!$K$62*10^2*LN((Calculations!$C$12+Calculations!$M187)/(Calculations!$C$12+Calculations!$C$9))+(1/(Calculations!$O187-Calculations!$C$13))*('Reaction Information'!$L$62*(Calculations!$M187-Calculations!$C$9)+'Reaction Information'!$M$62*10^4*LN((Calculations!$C$12+Calculations!$M187)/(Calculations!$C$12+Calculations!$C$9)))+calculateOmega(Calculations!M187,Calculations!N187,Calculations!Q187,'Reaction Information'!$C$62,'Reaction Information'!$P$62*10^5,'Reaction Information'!$Q$62)*((1/Calculations!$S187)-1)-'Reaction Information'!$P$62*10^5*((1/Calculations!$C$10)-1)+'Reaction Information'!$P$62*10^5*Calculations!$C$14*(Calculations!$O187-Calculations!$C$8))</f>
        <v>#N/A</v>
      </c>
      <c r="AX187" s="8" t="e">
        <f>IF(ISBLANK(Input!$BZ$4),NA(),'Reaction Information'!$E$66-'Reaction Information'!$G$66*(Calculations!$O187-Calculations!$C$8)-'Reaction Information'!$N$66*(Calculations!$O187*LN(Calculations!$O187/Calculations!$C$8)-Calculations!$O187+Calculations!$C$8)-'Reaction Information'!$O$66*10^4*(((1/(Calculations!$O187-Calculations!$C$13))-(1/(Calculations!$C$8-Calculations!$C$13)))*((Calculations!$C$13-Calculations!$O187)/(Calculations!$C$13))-(Calculations!$O187/(Calculations!$C$13*Calculations!$C$13))*LN((Calculations!$C$8*(Calculations!$O187-Calculations!$C$13))/(Calculations!$O187*(Calculations!$C$8-Calculations!$C$13))))+'Reaction Information'!$J$66*10^-1*(Calculations!$M187-Calculations!$C$9)+'Reaction Information'!$K$66*10^2*LN((Calculations!$C$12+Calculations!$M187)/(Calculations!$C$12+Calculations!$C$9))+(1/(Calculations!$O187-Calculations!$C$13))*('Reaction Information'!$L$66*(Calculations!$M187-Calculations!$C$9)+'Reaction Information'!$M$66*10^4*LN((Calculations!$C$12+Calculations!$M187)/(Calculations!$C$12+Calculations!$C$9)))+calculateOmega(Calculations!M187,Calculations!N187,Calculations!Q187,'Reaction Information'!$C$66,'Reaction Information'!$P$66*10^5,'Reaction Information'!$Q$66)*((1/Calculations!$S187)-1)-'Reaction Information'!$P$66*10^5*((1/Calculations!$C$10)-1)+'Reaction Information'!$P$66*10^5*Calculations!$C$14*(Calculations!$O187-Calculations!$C$8))</f>
        <v>#N/A</v>
      </c>
      <c r="AY187" s="31" t="e">
        <f>(AL187*Input!$AO$4+AM187*Input!$AR$4+AN187*Input!$AU$4+AO187*Input!$AX$4+IF(ISNA(AP187),0,AP187*Input!$BA$4)+IF(ISNA(AQ187),0,AQ187*Input!$BD$4)+IF(ISNA(AR187),0,AR187*Input!$BG$4)+IF(ISNA(AS187),0,AS187*Input!$BJ$4)+IF(ISNA(AT187),0,AT187*Input!$BM$4)+IF(ISNA(AU187),0,AU187*Input!$BP$4)+IF(ISNA(AV187),0,AV187*Input!$BS$4)+IF(ISNA(AW187),0,AW187*Input!$BV$4)+IF(ISNA(AX187),0,AX187*Input!$BY$4))-(Y187*Input!$B$4+Z187*Input!$E$4+AA187*Input!$H$4+AB187*Input!$K$4+IF(ISNA(AC187),0,AC187*Input!$N$4)+IF(ISNA(AD187),0,AD187*Input!$Q$4)+IF(ISNA(AE187),0,AE187*Input!$T$4)+IF(ISNA(AF187),0,AF187*Input!$W$4)+IF(ISNA(AG187),0,AG187*Input!$Z$4)+IF(ISNA(AH187),0,AH187*Input!$AC$4)+IF(ISNA(AI187),0,AI187*Input!$AF$4)+IF(ISNA(AJ187),0,AJ187*Input!$AI$4)+IF(ISNA(AK187),0,AK187*Input!$AL$4))</f>
        <v>#VALUE!</v>
      </c>
      <c r="AZ187" s="42" t="e">
        <f t="shared" si="54"/>
        <v>#VALUE!</v>
      </c>
      <c r="BA187" s="1" t="str">
        <f t="shared" si="46"/>
        <v/>
      </c>
      <c r="BB187" s="46" t="str">
        <f t="shared" si="47"/>
        <v/>
      </c>
      <c r="BC187" s="1"/>
      <c r="BD187" s="2" t="str">
        <f t="shared" si="48"/>
        <v/>
      </c>
      <c r="BE187" s="46" t="str">
        <f t="shared" si="49"/>
        <v/>
      </c>
      <c r="BF187" s="1">
        <f>Results!AJ189</f>
        <v>0</v>
      </c>
      <c r="BG187" s="1">
        <f>Results!AK189</f>
        <v>0</v>
      </c>
      <c r="BH187" s="1">
        <f>Results!AL189</f>
        <v>0</v>
      </c>
      <c r="BI187" s="1">
        <f>Results!AM189</f>
        <v>0</v>
      </c>
      <c r="BJ187" s="1" t="e">
        <f>IF(OR(ISNA('Reaction Information'!$D$5), $N187 = "", $D$27 = FALSE, 'Reaction Information'!$D$5 = ""), NA(), 24.465)</f>
        <v>#N/A</v>
      </c>
      <c r="BK187" s="1" t="e">
        <f>IF(OR(ISNA('Reaction Information'!$D$9), $N187 = "", $D$27 = FALSE, 'Reaction Information'!$D$9 = ""), NA(), 24.465)</f>
        <v>#N/A</v>
      </c>
      <c r="BL187" s="8" t="e">
        <f t="shared" si="55"/>
        <v>#VALUE!</v>
      </c>
      <c r="BM187" s="8" t="e">
        <f>IF(OR(ISBLANK(Input!$X$4),$D$27=FALSE),NA(),('Reaction Information'!$J$13/10+'Reaction Information'!$K$13*100/(Calculations!$C$12+Calculations!$M187)+('Reaction Information'!$L$13+'Reaction Information'!$M$13*10^4/(Calculations!$C$12+Calculations!$M187))/(Calculations!$O187-Calculations!$C$13) -calculateOmega(Calculations!$M187,Calculations!$N187,Calculations!$Q187,'Reaction Information'!$C$13,'Reaction Information'!$P$13*10^5,'Reaction Information'!$Q$13)*Calculations!$U187*10^-6 + (1/$S187 - 1)*calculate_domegadP(Calculations!$M187,Calculations!$N187,Calculations!$Q187,'Reaction Information'!$C$13,'Reaction Information'!$P$13*10^5,'Reaction Information'!$Q$13,$D$20,$D$19=3))*41.84)</f>
        <v>#VALUE!</v>
      </c>
      <c r="BN187" s="8" t="e">
        <f>IF(OR(ISBLANK(Input!$AA$4),$D$27=FALSE),NA(),('Reaction Information'!$J$17/10+'Reaction Information'!$K$17*100/(Calculations!$C$12+Calculations!$M187)+('Reaction Information'!$L$17+'Reaction Information'!$M$17*10000/(Calculations!$C$12+Calculations!$M187))/(Calculations!$O187-Calculations!$C$13)-calculateOmega(Calculations!M187,Calculations!N187,Calculations!Q187,'Reaction Information'!$C$17,'Reaction Information'!$P$17*10^5,'Reaction Information'!$Q$17)*Calculations!$U187*10^-6 + (1/$S187 - 1)*calculate_domegadP(Calculations!M187,Calculations!N187,Calculations!Q187,'Reaction Information'!$C$17,'Reaction Information'!$P$17*10^5,'Reaction Information'!$Q$17,$D$20,$D$19=3))*41.84)</f>
        <v>#N/A</v>
      </c>
      <c r="BO187" s="8" t="e">
        <f>IF(OR(ISBLANK(Input!$AD$4),$D$27=FALSE),NA(),('Reaction Information'!$J$21/10+'Reaction Information'!$K$21*100/(Calculations!$C$12+Calculations!$M187)+('Reaction Information'!$L$21+'Reaction Information'!$M$21*10000/(Calculations!$C$12+Calculations!$M187))/(Calculations!$O187-Calculations!$C$13)-calculateOmega(Calculations!M187,Calculations!N187,Calculations!Q187,'Reaction Information'!$C$21,'Reaction Information'!$P$21*10^5,'Reaction Information'!$Q$21)*Calculations!$U187*10^-6 + (1/$S187 - 1)*calculate_domegadP(Calculations!M187,Calculations!N187,Calculations!Q187,'Reaction Information'!$C$21,'Reaction Information'!$P$21*10^5,'Reaction Information'!$Q$21,$D$20,$D$19=3))*41.84)</f>
        <v>#N/A</v>
      </c>
      <c r="BP187" s="8" t="e">
        <f>IF(OR(ISBLANK(Input!$AG$4),$D$27=FALSE),NA(),('Reaction Information'!$J$25/10+'Reaction Information'!$K$25*100/(Calculations!$C$12+Calculations!$M187)+('Reaction Information'!$L$25+'Reaction Information'!$M$25*10000/(Calculations!$C$12+Calculations!$M187))/(Calculations!$O187-Calculations!$C$13)-calculateOmega(Calculations!M187,Calculations!N187,Calculations!Q187,'Reaction Information'!$C$25,'Reaction Information'!$P$25*10^5,'Reaction Information'!$Q$25)*Calculations!$U187*10^-6 + (1/$S187 - 1)*calculate_domegadP(Calculations!M187,Calculations!N187,Calculations!Q187,'Reaction Information'!$C$25,'Reaction Information'!$P$25*10^5,'Reaction Information'!$Q$25,$D$20,$D$19=3))*41.84)</f>
        <v>#N/A</v>
      </c>
      <c r="BQ187" s="8" t="e">
        <f>IF(OR(ISBLANK(Input!$AJ$4),$D$27=FALSE),NA(),('Reaction Information'!$J$29/10+'Reaction Information'!$K$29*100/(Calculations!$C$12+Calculations!$M187)+('Reaction Information'!$L$29+'Reaction Information'!$M$29*10000/(Calculations!$C$12+Calculations!$M187))/(Calculations!$O187-Calculations!$C$13)-calculateOmega(Calculations!M187,Calculations!N187,Calculations!Q187,'Reaction Information'!$C$29,'Reaction Information'!$P$29*10^5,'Reaction Information'!$Q$29)*Calculations!$U187*10^-6 + (1/$S187 - 1)*calculate_domegadP(Calculations!M187,Calculations!N187,Calculations!Q187,'Reaction Information'!$C$29,'Reaction Information'!$P$29*10^5,'Reaction Information'!$Q$29,$D$20,$D$19=3))*41.84)</f>
        <v>#N/A</v>
      </c>
      <c r="BR187" s="8" t="e">
        <f>IF(OR(ISBLANK(Input!$AM$4),$D$27=FALSE),NA(),('Reaction Information'!$J$33/10+'Reaction Information'!$K$33*100/(Calculations!$C$12+Calculations!$M187)+('Reaction Information'!$L$33+'Reaction Information'!$M$33*10000/(Calculations!$C$12+Calculations!$M187))/(Calculations!$O187-Calculations!$C$13)-calculateOmega(Calculations!M187,Calculations!N187,Calculations!Q187,'Reaction Information'!$C$33,'Reaction Information'!$P$33*10^5,'Reaction Information'!$Q$33)*Calculations!$U187*10^-6 + (1/$S187 - 1)*calculate_domegadP(Calculations!M187,Calculations!N187,Calculations!Q187,'Reaction Information'!$C$33,'Reaction Information'!$P$33*10^5,'Reaction Information'!$Q$33,$D$20,$D$19=3))*41.84)</f>
        <v>#N/A</v>
      </c>
      <c r="BS187" s="1">
        <f>Results!AW189</f>
        <v>0</v>
      </c>
      <c r="BT187" s="1">
        <f>Results!AX189</f>
        <v>0</v>
      </c>
      <c r="BU187" s="1">
        <f>Results!AY189</f>
        <v>0</v>
      </c>
      <c r="BV187" s="1">
        <f>Results!AZ189</f>
        <v>0</v>
      </c>
      <c r="BW187" s="1" t="e">
        <f>IF(OR(ISNA('Reaction Information'!$D$38), $N187 = "", $D$27 = FALSE, 'Reaction Information'!$D$38 = ""), NA(), 24.465)</f>
        <v>#N/A</v>
      </c>
      <c r="BX187" s="1" t="e">
        <f>IF(OR(ISNA('Reaction Information'!$D$42), $N187 = "", $D$27 = FALSE, 'Reaction Information'!$D$42 = ""), NA(), 24.465)</f>
        <v>#N/A</v>
      </c>
      <c r="BY187" s="8" t="e">
        <f t="shared" si="56"/>
        <v>#N/A</v>
      </c>
      <c r="BZ187" s="8" t="e">
        <f>IF(OR(ISBLANK(Input!$BK$4),$D$27=FALSE),NA(),('Reaction Information'!$J$46/10+'Reaction Information'!$K$46*100/(Calculations!$C$12+Calculations!$M187)+('Reaction Information'!$L$46+'Reaction Information'!$M$46*10000/(Calculations!$C$12+Calculations!$M187))/(Calculations!$O187-Calculations!$C$13)-calculateOmega(Calculations!M187,Calculations!N187,Calculations!Q187,'Reaction Information'!$C$46,'Reaction Information'!$P$46*10^5,'Reaction Information'!$Q$46)*Calculations!$U187*10^-6 + (1/$S187 - 1)*calculate_domegadP(Calculations!M187,Calculations!N187,Calculations!Q187,'Reaction Information'!$C$46,'Reaction Information'!$P$46*10^5,'Reaction Information'!$Q$46,$D$20,$D$19=3))*41.84)</f>
        <v>#VALUE!</v>
      </c>
      <c r="CA187" s="8" t="e">
        <f>IF(OR(ISBLANK(Input!$BN$4),$D$27=FALSE),NA(),('Reaction Information'!$J$50/10+'Reaction Information'!$K$50*100/(Calculations!$C$12+Calculations!$M187)+('Reaction Information'!$L$50+'Reaction Information'!$M$50*10000/(Calculations!$C$12+Calculations!$M187))/(Calculations!$O187-Calculations!$C$13)-calculateOmega(Calculations!M187,Calculations!N187,Calculations!Q187,'Reaction Information'!$C$50,'Reaction Information'!$P$50*10^5,'Reaction Information'!$Q$50)*Calculations!$U187*10^-6 + (1/$S187 - 1)*calculate_domegadP(Calculations!M187,Calculations!N187,Calculations!Q187,'Reaction Information'!$C$50,'Reaction Information'!$P$50*10^5,'Reaction Information'!$Q$50,$D$20,$D$19=3))*41.84)</f>
        <v>#VALUE!</v>
      </c>
      <c r="CB187" s="8" t="e">
        <f>IF(OR(ISBLANK(Input!$BQ$4),$D$27=FALSE),NA(),('Reaction Information'!$J$54/10+'Reaction Information'!$K$54*100/(Calculations!$C$12+Calculations!$M187)+('Reaction Information'!$L$54+'Reaction Information'!$M$54*10000/(Calculations!$C$12+Calculations!$M187))/(Calculations!$O187-Calculations!$C$13)-calculateOmega(Calculations!M187,Calculations!N187,Calculations!Q187,'Reaction Information'!$C$54,'Reaction Information'!$P$54*10^5,'Reaction Information'!$Q$54)*Calculations!$U187*10^-6 + (1/$S187 - 1)*calculate_domegadP(Calculations!M187,Calculations!N187,Calculations!Q187,'Reaction Information'!$C$54,'Reaction Information'!$P$54*10^5,'Reaction Information'!$Q$54,$D$20,$D$19=3))*41.84)</f>
        <v>#N/A</v>
      </c>
      <c r="CC187" s="8" t="e">
        <f>IF(OR(ISBLANK(Input!$BT$4),$D$27=FALSE),NA(),('Reaction Information'!$J$58/10+'Reaction Information'!$K$58*100/(Calculations!$C$12+Calculations!$M187)+('Reaction Information'!$L$58+'Reaction Information'!$M$58*10000/(Calculations!$C$12+Calculations!$M187))/(Calculations!$O187-Calculations!$C$13)-calculateOmega(Calculations!M187,Calculations!N187,Calculations!Q187,'Reaction Information'!$C$58,'Reaction Information'!$P$58*10^5,'Reaction Information'!$Q$58)*Calculations!$U187*10^-6 + (1/$S187 - 1)*calculate_domegadP(Calculations!M187,Calculations!N187,Calculations!Q187,'Reaction Information'!$C$58,'Reaction Information'!$P$58*10^5,'Reaction Information'!$Q$58,$D$20,$D$19=3))*41.84)</f>
        <v>#N/A</v>
      </c>
      <c r="CD187" s="8" t="e">
        <f>IF(OR(ISBLANK(Input!$BW$4),$D$27=FALSE),NA(),('Reaction Information'!$J$62/10+'Reaction Information'!$K$62*100/(Calculations!$C$12+Calculations!$M187)+('Reaction Information'!$L$62+'Reaction Information'!$M$62*10000/(Calculations!$C$12+Calculations!$M187))/(Calculations!$O187-Calculations!$C$13)-calculateOmega(Calculations!M187,Calculations!N187,Calculations!Q187,'Reaction Information'!$C$62,'Reaction Information'!$P$62*10^5,'Reaction Information'!$Q$62)*Calculations!$U187*10^-6 + (1/$S187 - 1)*calculate_domegadP(Calculations!M187,Calculations!N187,Calculations!Q187,'Reaction Information'!$C$62,'Reaction Information'!$P$62*10^5,'Reaction Information'!$Q$62,$D$20,$D$19=3))*41.84)</f>
        <v>#N/A</v>
      </c>
      <c r="CE187" s="8" t="e">
        <f>IF(OR(ISBLANK(Input!$BZ$4),$D$27=FALSE),NA(),('Reaction Information'!$J$66/10+'Reaction Information'!$K$66*100/(Calculations!$C$12+Calculations!$M187)+('Reaction Information'!$L$66+'Reaction Information'!$M$66*10000/(Calculations!$C$12+Calculations!$M187))/(Calculations!$O187-Calculations!$C$13)-calculateOmega(Calculations!M187,Calculations!N187,Calculations!Q187,'Reaction Information'!$C$66,'Reaction Information'!$P$66*10^5,'Reaction Information'!$Q$66)*Calculations!$U187*10^-6 + (1/$S187 - 1)*calculate_domegadP(Calculations!M187,Calculations!N187,Calculations!Q187,'Reaction Information'!$C$66,'Reaction Information'!$P$66*10^5,'Reaction Information'!$Q$66,$D$20,$D$19=3))*41.84)</f>
        <v>#N/A</v>
      </c>
      <c r="CF187" s="31" t="e">
        <f>(BS187*Input!$AO$4+BT187*Input!$AR$4+BU187*Input!$AU$4+BV187*Input!$AX$4+IF(ISNA(BW187),0,BW187*Input!$BA$4)+IF(ISNA(BX187),0,BX187*Input!$BD$4)+IF(ISNA(BY187),0,BY187*Input!$BG$4)+IF(ISNA(BZ187),0,BZ187*Input!$BJ$4)+IF(ISNA(CA187),0,CA187*Input!$BM$4)+IF(ISNA(CB187),0,CB187*Input!$BP$4)+IF(ISNA(CC187),0,CC187*Input!$BS$4)+IF(ISNA(CD187),0,CD187*Input!$BV$4)+IF(ISNA(CE187),0,CE187*Input!$BY$4))-(BF187*Input!$B$4+BG187*Input!$E$4+BH187*Input!$H$4+BI187*Input!$K$4+IF(ISNA(BJ187),0,BJ187*Input!$N$4)+IF(ISNA(BK187),0,BK187*Input!$Q$4)+IF(ISNA(BL187),0,BL187*Input!$T$4)+IF(ISNA(BM187),0,BM187*Input!$W$4)+IF(ISNA(BN187),0,BN187*Input!$Z$4)+IF(ISNA(BO187),0,BO187*Input!$AC$4)+IF(ISNA(BP187),0,BP187*Input!$AF$4)+IF(ISNA(BQ187),0,BQ187*Input!$AI$4)+IF(ISNA(BR187),0,BR187*Input!$AL$4))</f>
        <v>#VALUE!</v>
      </c>
      <c r="CG187" s="1" t="str">
        <f t="shared" si="50"/>
        <v/>
      </c>
      <c r="CH187" s="46" t="str">
        <f t="shared" si="51"/>
        <v/>
      </c>
      <c r="CI187" s="1"/>
    </row>
    <row r="188" spans="1:87" x14ac:dyDescent="0.2">
      <c r="A188" s="1"/>
      <c r="B188" s="1"/>
      <c r="C188" s="1"/>
      <c r="D188" s="1"/>
      <c r="E188" s="1"/>
      <c r="F188" s="2">
        <v>183</v>
      </c>
      <c r="G188" s="1" t="str">
        <f>IF(ISBLANK(Input!CB188), "", Input!CB188*1000)</f>
        <v/>
      </c>
      <c r="H188" s="1" t="str">
        <f>IF(ISBLANK(Input!CC188), "", Input!CC188)</f>
        <v/>
      </c>
      <c r="I188" s="1" t="str">
        <f>IF(Input!$CF$5 + Input!$CF$6*(FLOOR((Calculations!$F188-1)/(FLOOR((Input!$CF$12-Input!$CF$10)/Input!$CF$11,1)+1),1)) &gt; Input!$CF$7, "", (Input!$CF$5 + Input!$CF$6*(FLOOR((Calculations!$F188-1)/(FLOOR((Input!$CF$12-Input!$CF$10)/Input!$CF$11,1)+1),1)))*1000)</f>
        <v/>
      </c>
      <c r="J188" s="1" t="str">
        <f>IF(Calculations!I188 = "", "", Input!$CF$10 + Input!$CF$11*(Calculations!$F188-1) - (FLOOR((Input!$CF$12-Input!$CF$10)/Input!$CF$11,1)+1)*Input!$CF$11*FLOOR((Calculations!$F188-1)/(FLOOR((Input!$CF$12-Input!$CF$10)/Input!$CF$11,1)+1),1))</f>
        <v/>
      </c>
      <c r="K188" s="8" t="str">
        <f t="shared" si="52"/>
        <v/>
      </c>
      <c r="L188" s="117" t="str">
        <f>IF(OR(Input!$CJ$5 + Input!$CJ$6*(Calculations!F188-1) &gt; Input!$CJ$7, Input!$CJ$5 + Input!$CJ$6*(Calculations!F188-1) &gt; 350), "", Input!$CJ$5 + Input!$CJ$6*(Calculations!F188-1))</f>
        <v/>
      </c>
      <c r="M188" s="1" t="str">
        <f t="shared" si="42"/>
        <v/>
      </c>
      <c r="N188" s="1" t="str">
        <f t="shared" si="43"/>
        <v/>
      </c>
      <c r="O188" s="1" t="e">
        <f t="shared" si="53"/>
        <v>#VALUE!</v>
      </c>
      <c r="P188" s="1" t="e">
        <f>IF(OR($D$20=3,AND($D$21=TRUE,M188&lt;1000)),INDEX('Water Density'!$C$6:$CX$120,MATCH(Calculations!N188,'Water Density'!$B$6:$B$120),MATCH(Calculations!M188/1000,'Water Density'!$C$5:$CX$5)),NA())</f>
        <v>#N/A</v>
      </c>
      <c r="Q188" s="182" t="e">
        <f>IF(OR($D$20=3,AND($D$21=TRUE,M188&lt;1000)), IF(P188&lt;&gt;0,P188,NA()), calculateDensity(M188,N188,$D$20,0.01,$D$19 = 3))</f>
        <v>#VALUE!</v>
      </c>
      <c r="R188" s="1" t="e">
        <f>IF($D$22=5,INDEX('Dielectric Constant'!$C$6:$CX$120,MATCH(Calculations!N188,'Dielectric Constant'!$B$6:$B$120),MATCH(Calculations!M188/1000,'Dielectric Constant'!$C$5:$CX$5)),NA())</f>
        <v>#N/A</v>
      </c>
      <c r="S188" s="58" t="e">
        <f>IF($D$22=5, IF(R188&lt;&gt;0,R188,NA()), IF(AND($D$23,M188&lt;=5000,$D$19 &lt;&gt; 3),calculateEpsilon(Q188,N188,1,FALSE),calculateEpsilon(Q188,N188,$D$22,$D$19 = 3)))</f>
        <v>#VALUE!</v>
      </c>
      <c r="T188" s="1" t="e">
        <f>IF($D$24=3,INDEX('Water Free Energy'!$C$6:$CX$120,MATCH(Calculations!N188,'Water Free Energy'!$B$6:$B$120),MATCH(Calculations!M188/1000,'Water Free Energy'!$C$5:$CX$5)),NA())</f>
        <v>#N/A</v>
      </c>
      <c r="U188" s="179" t="e">
        <f>IF($D$27,calculateQ(M188,N188,Q188,$D$20,$D$22,$D$19=3)*10^6,NA())</f>
        <v>#VALUE!</v>
      </c>
      <c r="V188"/>
      <c r="W188" s="2" t="str">
        <f t="shared" si="44"/>
        <v/>
      </c>
      <c r="X188" s="1" t="str">
        <f t="shared" si="45"/>
        <v/>
      </c>
      <c r="Y188" s="1">
        <f>Results!F190</f>
        <v>0</v>
      </c>
      <c r="Z188" s="1">
        <f>Results!G190</f>
        <v>0</v>
      </c>
      <c r="AA188" s="1">
        <f>Results!H190</f>
        <v>0</v>
      </c>
      <c r="AB188" s="1">
        <f>Results!I190</f>
        <v>0</v>
      </c>
      <c r="AC188" s="1" t="e">
        <f>IF(ISBLANK(Input!$O$4),NA(),'Reaction Information'!$E$5-'Reaction Information'!$G$5*(Calculations!$O188-Calculations!$C$8)+'Reaction Information'!$I$5*(Calculations!$O188-Calculations!$C$8-Calculations!$O188*LN(Calculations!$O188/Calculations!$C$8))+'Reaction Information'!$J$5*0.001/2*(2*Calculations!$O188*Calculations!$C$8-Calculations!$O188^2-Calculations!$C$8^2) + 'Reaction Information'!$K$5*100000*(Calculations!$O188^2 + Calculations!$C$8^2 - 2*Calculations!$O188*Calculations!$C$8)/(2*Calculations!$O188*Calculations!$C$8^2))</f>
        <v>#N/A</v>
      </c>
      <c r="AD188" s="8" t="e">
        <f>IF(ISBLANK(Input!$R$4),NA(),'Reaction Information'!$E$9-'Reaction Information'!$G$9*(Calculations!$O188-Calculations!$C$8)+'Reaction Information'!$I$9*(Calculations!$O188-Calculations!$C$8-Calculations!$O188*LN(Calculations!$O188/Calculations!$C$8))+'Reaction Information'!$J$9*0.001/2*(2*Calculations!$O188*Calculations!$C$8-Calculations!$O188^2-Calculations!$C$8^2) + 'Reaction Information'!$K$9*100000*(Calculations!$O188^2 + Calculations!$C$8^2 - 2*Calculations!$O188*Calculations!$C$8)/(2*Calculations!$O188*Calculations!$C$8^2))</f>
        <v>#N/A</v>
      </c>
      <c r="AE188" s="8" t="e">
        <f>IF(AE$5="H2O",IF($D$24=3,IF(T188=0,NA(),T188),calculateGibbsOfWater(M188,N188,$D$24,$D$20,$D$19=3)),NA())</f>
        <v>#VALUE!</v>
      </c>
      <c r="AF188" s="8" t="e">
        <f>IF(ISBLANK(Input!$X$4),NA(),'Reaction Information'!$E$13-'Reaction Information'!$G$13*(Calculations!O188-Calculations!$C$8)-'Reaction Information'!$N$13*(Calculations!O188*LN(Calculations!O188/Calculations!$C$8)-Calculations!O188+Calculations!$C$8)-'Reaction Information'!$O$13*10^4*(((1/(Calculations!O188-Calculations!$C$13))-(1/(Calculations!$C$8-Calculations!$C$13)))*((Calculations!$C$13-Calculations!O188)/(Calculations!$C$13))-(Calculations!O188/(Calculations!$C$13*Calculations!$C$13))*LN((Calculations!$C$8*(Calculations!O188-Calculations!$C$13))/(Calculations!O188*(Calculations!$C$8-Calculations!$C$13))))+'Reaction Information'!$J$13*10^-1*(Calculations!M188-Calculations!$C$9)+'Reaction Information'!$K$13*10^2*LN((Calculations!$C$12+Calculations!M188)/(Calculations!$C$12+Calculations!$C$9))+(1/(Calculations!O188-Calculations!$C$13))*('Reaction Information'!$L$13*(Calculations!M188-Calculations!$C$9)+'Reaction Information'!$M$13*10^4*LN((Calculations!$C$12+Calculations!M188)/(Calculations!$C$12+Calculations!$C$9)))+calculateOmega(Calculations!M188,Calculations!N188,Calculations!Q188,'Reaction Information'!$C$13,'Reaction Information'!$P$13*10^5,'Reaction Information'!$Q$13)*((1/Calculations!S188)-1)-'Reaction Information'!$P$13*10^5*((1/Calculations!$C$10)-1)+'Reaction Information'!$P$13*10^5*Calculations!$C$14*(Calculations!O188-Calculations!$C$8))</f>
        <v>#VALUE!</v>
      </c>
      <c r="AG188" s="8" t="e">
        <f>IF(ISBLANK(Input!$AA$4),NA(),'Reaction Information'!$E$17-'Reaction Information'!$G$17*(Calculations!$O188-Calculations!$C$8)-'Reaction Information'!$N$17*(Calculations!$O188*LN(Calculations!$O188/Calculations!$C$8)-Calculations!$O188+Calculations!$C$8)-'Reaction Information'!$O$17*10^4*(((1/(Calculations!$O188-Calculations!$C$13))-(1/(Calculations!$C$8-Calculations!$C$13)))*((Calculations!$C$13-Calculations!$O188)/(Calculations!$C$13))-(Calculations!$O188/(Calculations!$C$13*Calculations!$C$13))*LN((Calculations!$C$8*(Calculations!$O188-Calculations!$C$13))/(Calculations!$O188*(Calculations!$C$8-Calculations!$C$13))))+'Reaction Information'!$J$17*10^-1*(Calculations!$M188-Calculations!$C$9)+'Reaction Information'!$K$17*10^2*LN((Calculations!$C$12+Calculations!$M188)/(Calculations!$C$12+Calculations!$C$9))+(1/(Calculations!$O188-Calculations!$C$13))*('Reaction Information'!$L$17*(Calculations!$M188-Calculations!$C$9)+'Reaction Information'!$M$17*10^4*LN((Calculations!$C$12+Calculations!$M188)/(Calculations!$C$12+Calculations!$C$9)))+calculateOmega(Calculations!M188,Calculations!N188,Calculations!Q188,'Reaction Information'!$C$17,'Reaction Information'!$P$17*10^5,'Reaction Information'!$Q$17)*((1/Calculations!$S188)-1)-'Reaction Information'!$P$17*10^5*((1/Calculations!$C$10)-1)+'Reaction Information'!$P$17*10^5*Calculations!$C$14*(Calculations!$O188-Calculations!$C$8))</f>
        <v>#N/A</v>
      </c>
      <c r="AH188" s="8" t="e">
        <f>IF(ISBLANK(Input!$AD$4),NA(),'Reaction Information'!$E$21-'Reaction Information'!$G$21*(Calculations!$O188-Calculations!$C$8)-'Reaction Information'!$N$21*(Calculations!$O188*LN(Calculations!$O188/Calculations!$C$8)-Calculations!$O188+Calculations!$C$8)-'Reaction Information'!$O$21*10^4*(((1/(Calculations!$O188-Calculations!$C$13))-(1/(Calculations!$C$8-Calculations!$C$13)))*((Calculations!$C$13-Calculations!$O188)/(Calculations!$C$13))-(Calculations!$O188/(Calculations!$C$13*Calculations!$C$13))*LN((Calculations!$C$8*(Calculations!$O188-Calculations!$C$13))/(Calculations!$O188*(Calculations!$C$8-Calculations!$C$13))))+'Reaction Information'!$J$21*10^-1*(Calculations!$M188-Calculations!$C$9)+'Reaction Information'!$K$21*10^2*LN((Calculations!$C$12+Calculations!$M188)/(Calculations!$C$12+Calculations!$C$9))+(1/(Calculations!$O188-Calculations!$C$13))*('Reaction Information'!$L$21*(Calculations!$M188-Calculations!$C$9)+'Reaction Information'!$M$21*10^4*LN((Calculations!$C$12+Calculations!$M188)/(Calculations!$C$12+Calculations!$C$9)))+calculateOmega(Calculations!M188,Calculations!N188,Calculations!Q188,'Reaction Information'!$C$21,'Reaction Information'!$P$21*10^5,'Reaction Information'!$Q$21)*((1/Calculations!$S188)-1)-'Reaction Information'!$P$21*10^5*((1/Calculations!$C$10)-1)+'Reaction Information'!$P$21*10^5*Calculations!$C$14*(Calculations!$O188-Calculations!$C$8))</f>
        <v>#N/A</v>
      </c>
      <c r="AI188" s="8" t="e">
        <f>IF(ISBLANK(Input!$AG$4),NA(),'Reaction Information'!$E$25-'Reaction Information'!$G$25*(Calculations!$O188-Calculations!$C$8)-'Reaction Information'!$N$25*(Calculations!$O188*LN(Calculations!$O188/Calculations!$C$8)-Calculations!$O188+Calculations!$C$8)-'Reaction Information'!$O$25*10^4*(((1/(Calculations!$O188-Calculations!$C$13))-(1/(Calculations!$C$8-Calculations!$C$13)))*((Calculations!$C$13-Calculations!$O188)/(Calculations!$C$13))-(Calculations!$O188/(Calculations!$C$13*Calculations!$C$13))*LN((Calculations!$C$8*(Calculations!$O188-Calculations!$C$13))/(Calculations!$O188*(Calculations!$C$8-Calculations!$C$13))))+'Reaction Information'!$J$25*10^-1*(Calculations!$M188-Calculations!$C$9)+'Reaction Information'!$K$25*10^2*LN((Calculations!$C$12+Calculations!$M188)/(Calculations!$C$12+Calculations!$C$9))+(1/(Calculations!$O188-Calculations!$C$13))*('Reaction Information'!$L$25*(Calculations!$M188-Calculations!$C$9)+'Reaction Information'!$M$25*10^4*LN((Calculations!$C$12+Calculations!$M188)/(Calculations!$C$12+Calculations!$C$9)))+calculateOmega(Calculations!M188,Calculations!N188,Calculations!Q188,'Reaction Information'!$C$25,'Reaction Information'!$P$25*10^5,'Reaction Information'!$Q$25)*((1/Calculations!$S188)-1)-'Reaction Information'!$P$25*10^5*((1/Calculations!$C$10)-1)+'Reaction Information'!$P$25*10^5*Calculations!$C$14*(Calculations!$O188-Calculations!$C$8))</f>
        <v>#N/A</v>
      </c>
      <c r="AJ188" s="8" t="e">
        <f>IF(ISBLANK(Input!$AJ$4),NA(),'Reaction Information'!$E$29-'Reaction Information'!$G$29*(Calculations!$O188-Calculations!$C$8)-'Reaction Information'!$N$29*(Calculations!$O188*LN(Calculations!$O188/Calculations!$C$8)-Calculations!$O188+Calculations!$C$8)-'Reaction Information'!$O$29*10^4*(((1/(Calculations!$O188-Calculations!$C$13))-(1/(Calculations!$C$8-Calculations!$C$13)))*((Calculations!$C$13-Calculations!$O188)/(Calculations!$C$13))-(Calculations!$O188/(Calculations!$C$13*Calculations!$C$13))*LN((Calculations!$C$8*(Calculations!$O188-Calculations!$C$13))/(Calculations!$O188*(Calculations!$C$8-Calculations!$C$13))))+'Reaction Information'!$J$29*10^-1*(Calculations!$M188-Calculations!$C$9)+'Reaction Information'!$K$29*10^2*LN((Calculations!$C$12+Calculations!$M188)/(Calculations!$C$12+Calculations!$C$9))+(1/(Calculations!$O188-Calculations!$C$13))*('Reaction Information'!$L$29*(Calculations!$M188-Calculations!$C$9)+'Reaction Information'!$M$29*10^4*LN((Calculations!$C$12+Calculations!$M188)/(Calculations!$C$12+Calculations!$C$9)))+calculateOmega(Calculations!M188,Calculations!N188,Calculations!Q188,'Reaction Information'!$C$29,'Reaction Information'!$P$29*10^5,'Reaction Information'!$Q$29)*((1/Calculations!$S188)-1)-'Reaction Information'!$P$29*10^5*((1/Calculations!$C$10)-1)+'Reaction Information'!$P$29*10^5*Calculations!$C$14*(Calculations!$O188-Calculations!$C$8))</f>
        <v>#N/A</v>
      </c>
      <c r="AK188" s="8" t="e">
        <f>IF(ISBLANK(Input!$AM$4),NA(),'Reaction Information'!$E$33-'Reaction Information'!$G$33*(Calculations!$O188-Calculations!$C$8)-'Reaction Information'!$N$33*(Calculations!$O188*LN(Calculations!$O188/Calculations!$C$8)-Calculations!$O188+Calculations!$C$8)-'Reaction Information'!$O$33*10^4*(((1/(Calculations!$O188-Calculations!$C$13))-(1/(Calculations!$C$8-Calculations!$C$13)))*((Calculations!$C$13-Calculations!$O188)/(Calculations!$C$13))-(Calculations!$O188/(Calculations!$C$13*Calculations!$C$13))*LN((Calculations!$C$8*(Calculations!$O188-Calculations!$C$13))/(Calculations!$O188*(Calculations!$C$8-Calculations!$C$13))))+'Reaction Information'!$J$33*10^-1*(Calculations!$M188-Calculations!$C$9)+'Reaction Information'!$K$33*10^2*LN((Calculations!$C$12+Calculations!$M188)/(Calculations!$C$12+Calculations!$C$9))+(1/(Calculations!$O188-Calculations!$C$13))*('Reaction Information'!$L$33*(Calculations!$M188-Calculations!$C$9)+'Reaction Information'!$M$33*10^4*LN((Calculations!$C$12+Calculations!$M188)/(Calculations!$C$12+Calculations!$C$9)))+calculateOmega(Calculations!M188,Calculations!N188,Calculations!Q188,'Reaction Information'!$C$33,'Reaction Information'!$P$33*10^5,'Reaction Information'!$Q$33)*((1/Calculations!$S188)-1)-'Reaction Information'!$P$33*10^5*((1/Calculations!$C$10)-1)+'Reaction Information'!$P$33*10^5*Calculations!$C$14*(Calculations!$O188-Calculations!$C$8))</f>
        <v>#N/A</v>
      </c>
      <c r="AL188" s="1">
        <f>Results!S190</f>
        <v>0</v>
      </c>
      <c r="AM188" s="1">
        <f>Results!T190</f>
        <v>0</v>
      </c>
      <c r="AN188" s="1">
        <f>Results!U190</f>
        <v>0</v>
      </c>
      <c r="AO188" s="1">
        <f>Results!V190</f>
        <v>0</v>
      </c>
      <c r="AP188" s="8" t="e">
        <f>IF(ISBLANK(Input!$BB$4),NA(),'Reaction Information'!$E$38-'Reaction Information'!$G$38*(Calculations!$O188-Calculations!$C$8)+'Reaction Information'!$I$38*(Calculations!$O188-Calculations!$C$8-Calculations!$O188*LN(Calculations!$O188/Calculations!$C$8))+'Reaction Information'!$J$38*0.001/2*(2*Calculations!$O188*Calculations!$C$8-Calculations!$O188^2-Calculations!$C$8^2) + 'Reaction Information'!$K$38*100000*(Calculations!$O188^2 + Calculations!$C$8^2 - 2*Calculations!$O188*Calculations!$C$8)/(2*Calculations!$O188*Calculations!$C$8^2))</f>
        <v>#N/A</v>
      </c>
      <c r="AQ188" s="8" t="e">
        <f>IF(ISBLANK(Input!$BE$4),NA(),'Reaction Information'!$E$42-'Reaction Information'!$G$42*(Calculations!$O188-Calculations!$C$8)+'Reaction Information'!$I$42*(Calculations!$O188-Calculations!$C$8-Calculations!$O188*LN(Calculations!$O188/Calculations!$C$8))+'Reaction Information'!$J$42*0.001/2*(2*Calculations!$O188*Calculations!$C$8-Calculations!$O188^2-Calculations!$C$8^2) + 'Reaction Information'!$K$42*100000*(Calculations!$O188^2 + Calculations!$C$8^2 - 2*Calculations!$O188*Calculations!$C$8)/(2*Calculations!$O188*Calculations!$C$8^2))</f>
        <v>#N/A</v>
      </c>
      <c r="AR188" s="8" t="e">
        <f>IF(AR$5="H2O", IF($D$24=3,IF(T188=0,NA(),T188),calculateGibbsOfWater(M188,N188,$D$24,$D$20,$D$19=3)),NA())</f>
        <v>#N/A</v>
      </c>
      <c r="AS188" s="8" t="e">
        <f>IF(ISBLANK(Input!$BK$4),NA(),'Reaction Information'!$E$46-'Reaction Information'!$G$46*(Calculations!O188-Calculations!$C$8)-'Reaction Information'!$N$46*(Calculations!O188*LN(Calculations!O188/Calculations!$C$8)-Calculations!O188+Calculations!$C$8)-'Reaction Information'!$O$46*10^4*(((1/(Calculations!O188-Calculations!$C$13))-(1/(Calculations!$C$8-Calculations!$C$13)))*((Calculations!$C$13-Calculations!O188)/(Calculations!$C$13))-(Calculations!O188/(Calculations!$C$13*Calculations!$C$13))*LN((Calculations!$C$8*(Calculations!O188-Calculations!$C$13))/(Calculations!O188*(Calculations!$C$8-Calculations!$C$13))))+'Reaction Information'!$J$46*10^-1*(Calculations!$M188-Calculations!$C$9)+'Reaction Information'!$K$46*10^2*LN((Calculations!$C$12+Calculations!$M188)/(Calculations!$C$12+Calculations!$C$9))+(1/(Calculations!O188-Calculations!$C$13))*('Reaction Information'!$L$46*(Calculations!$M188-Calculations!$C$9)+'Reaction Information'!$M$46*10^4*LN((Calculations!$C$12+Calculations!$M188)/(Calculations!$C$12+Calculations!$C$9)))+calculateOmega(Calculations!M188,Calculations!N188,Calculations!Q188,'Reaction Information'!$C$46,'Reaction Information'!$P$46*10^5,'Reaction Information'!$Q$46)*((1/Calculations!S188)-1)-'Reaction Information'!$P$46*10^5*((1/Calculations!$C$10)-1)+'Reaction Information'!$P$46*10^5*Calculations!$C$14*(Calculations!O188-Calculations!$C$8))</f>
        <v>#VALUE!</v>
      </c>
      <c r="AT188" s="8" t="e">
        <f>IF(ISBLANK(Input!$BN$4),NA(),'Reaction Information'!$E$50-'Reaction Information'!$G$50*(Calculations!O188-Calculations!$C$8)-'Reaction Information'!$N$50*(Calculations!O188*LN(Calculations!O188/Calculations!$C$8)-Calculations!O188+Calculations!$C$8)-'Reaction Information'!$O$50*10^4*(((1/(Calculations!O188-Calculations!$C$13))-(1/(Calculations!$C$8-Calculations!$C$13)))*((Calculations!$C$13-Calculations!O188)/(Calculations!$C$13))-(Calculations!O188/(Calculations!$C$13*Calculations!$C$13))*LN((Calculations!$C$8*(Calculations!O188-Calculations!$C$13))/(Calculations!O188*(Calculations!$C$8-Calculations!$C$13))))+'Reaction Information'!$J$50*10^-1*(Calculations!$M188-Calculations!$C$9)+'Reaction Information'!$K$50*10^2*LN((Calculations!$C$12+Calculations!$M188)/(Calculations!$C$12+Calculations!$C$9))+(1/(Calculations!O188-Calculations!$C$13))*('Reaction Information'!$L$50*(Calculations!$M188-Calculations!$C$9)+'Reaction Information'!$M$50*10^4*LN((Calculations!$C$12+Calculations!$M188)/(Calculations!$C$12+Calculations!$C$9)))+calculateOmega(Calculations!M188,Calculations!N188,Calculations!Q188,'Reaction Information'!$C$50,'Reaction Information'!$P$50*10^5,'Reaction Information'!$Q$50)*((1/Calculations!S188)-1)-'Reaction Information'!$P$50*10^5*((1/Calculations!$C$10)-1)+'Reaction Information'!$P$50*10^5*Calculations!$C$14*(Calculations!O188-Calculations!$C$8))</f>
        <v>#VALUE!</v>
      </c>
      <c r="AU188" s="8" t="e">
        <f>IF(ISBLANK(Input!$BQ$4),NA(),'Reaction Information'!$E$54-'Reaction Information'!$G$54*(Calculations!$O188-Calculations!$C$8)-'Reaction Information'!$N$54*(Calculations!$O188*LN(Calculations!$O188/Calculations!$C$8)-Calculations!$O188+Calculations!$C$8)-'Reaction Information'!$O$54*10^4*(((1/(Calculations!$O188-Calculations!$C$13))-(1/(Calculations!$C$8-Calculations!$C$13)))*((Calculations!$C$13-Calculations!$O188)/(Calculations!$C$13))-(Calculations!$O188/(Calculations!$C$13*Calculations!$C$13))*LN((Calculations!$C$8*(Calculations!$O188-Calculations!$C$13))/(Calculations!$O188*(Calculations!$C$8-Calculations!$C$13))))+'Reaction Information'!$J$54*10^-1*(Calculations!$M188-Calculations!$C$9)+'Reaction Information'!$K$54*10^2*LN((Calculations!$C$12+Calculations!$M188)/(Calculations!$C$12+Calculations!$C$9))+(1/(Calculations!$O188-Calculations!$C$13))*('Reaction Information'!$L$54*(Calculations!$M188-Calculations!$C$9)+'Reaction Information'!$M$54*10^4*LN((Calculations!$C$12+Calculations!$M188)/(Calculations!$C$12+Calculations!$C$9)))+calculateOmega(Calculations!M188,Calculations!N188,Calculations!Q188,'Reaction Information'!$C$54,'Reaction Information'!$P$54*10^5,'Reaction Information'!$Q$54)*((1/Calculations!$S188)-1)-'Reaction Information'!$P$54*10^5*((1/Calculations!$C$10)-1)+'Reaction Information'!$P$54*10^5*Calculations!$C$14*(Calculations!$O188-Calculations!$C$8))</f>
        <v>#N/A</v>
      </c>
      <c r="AV188" s="8" t="e">
        <f>IF(ISBLANK(Input!$BT$4),NA(),'Reaction Information'!$E$58-'Reaction Information'!$G$58*(Calculations!$O188-Calculations!$C$8)-'Reaction Information'!$N$58*(Calculations!$O188*LN(Calculations!$O188/Calculations!$C$8)-Calculations!$O188+Calculations!$C$8)-'Reaction Information'!$O$58*10^4*(((1/(Calculations!$O188-Calculations!$C$13))-(1/(Calculations!$C$8-Calculations!$C$13)))*((Calculations!$C$13-Calculations!$O188)/(Calculations!$C$13))-(Calculations!$O188/(Calculations!$C$13*Calculations!$C$13))*LN((Calculations!$C$8*(Calculations!$O188-Calculations!$C$13))/(Calculations!$O188*(Calculations!$C$8-Calculations!$C$13))))+'Reaction Information'!$J$58*10^-1*(Calculations!$M188-Calculations!$C$9)+'Reaction Information'!$K$58*10^2*LN((Calculations!$C$12+Calculations!$M188)/(Calculations!$C$12+Calculations!$C$9))+(1/(Calculations!$O188-Calculations!$C$13))*('Reaction Information'!$L$58*(Calculations!$M188-Calculations!$C$9)+'Reaction Information'!$M$58*10^4*LN((Calculations!$C$12+Calculations!$M188)/(Calculations!$C$12+Calculations!$C$9)))+calculateOmega(Calculations!M188,Calculations!N188,Calculations!Q188,'Reaction Information'!$C$58,'Reaction Information'!$P$58*10^5,'Reaction Information'!$Q$58)*((1/Calculations!$S188)-1)-'Reaction Information'!$P$58*10^5*((1/Calculations!$C$10)-1)+'Reaction Information'!$P$58*10^5*Calculations!$C$14*(Calculations!$O188-Calculations!$C$8))</f>
        <v>#N/A</v>
      </c>
      <c r="AW188" s="8" t="e">
        <f>IF(ISBLANK(Input!$BW$4),NA(),'Reaction Information'!$E$62-'Reaction Information'!$G$62*(Calculations!$O188-Calculations!$C$8)-'Reaction Information'!$N$62*(Calculations!$O188*LN(Calculations!$O188/Calculations!$C$8)-Calculations!$O188+Calculations!$C$8)-'Reaction Information'!$O$62*10^4*(((1/(Calculations!$O188-Calculations!$C$13))-(1/(Calculations!$C$8-Calculations!$C$13)))*((Calculations!$C$13-Calculations!$O188)/(Calculations!$C$13))-(Calculations!$O188/(Calculations!$C$13*Calculations!$C$13))*LN((Calculations!$C$8*(Calculations!$O188-Calculations!$C$13))/(Calculations!$O188*(Calculations!$C$8-Calculations!$C$13))))+'Reaction Information'!$J$62*10^-1*(Calculations!$M188-Calculations!$C$9)+'Reaction Information'!$K$62*10^2*LN((Calculations!$C$12+Calculations!$M188)/(Calculations!$C$12+Calculations!$C$9))+(1/(Calculations!$O188-Calculations!$C$13))*('Reaction Information'!$L$62*(Calculations!$M188-Calculations!$C$9)+'Reaction Information'!$M$62*10^4*LN((Calculations!$C$12+Calculations!$M188)/(Calculations!$C$12+Calculations!$C$9)))+calculateOmega(Calculations!M188,Calculations!N188,Calculations!Q188,'Reaction Information'!$C$62,'Reaction Information'!$P$62*10^5,'Reaction Information'!$Q$62)*((1/Calculations!$S188)-1)-'Reaction Information'!$P$62*10^5*((1/Calculations!$C$10)-1)+'Reaction Information'!$P$62*10^5*Calculations!$C$14*(Calculations!$O188-Calculations!$C$8))</f>
        <v>#N/A</v>
      </c>
      <c r="AX188" s="8" t="e">
        <f>IF(ISBLANK(Input!$BZ$4),NA(),'Reaction Information'!$E$66-'Reaction Information'!$G$66*(Calculations!$O188-Calculations!$C$8)-'Reaction Information'!$N$66*(Calculations!$O188*LN(Calculations!$O188/Calculations!$C$8)-Calculations!$O188+Calculations!$C$8)-'Reaction Information'!$O$66*10^4*(((1/(Calculations!$O188-Calculations!$C$13))-(1/(Calculations!$C$8-Calculations!$C$13)))*((Calculations!$C$13-Calculations!$O188)/(Calculations!$C$13))-(Calculations!$O188/(Calculations!$C$13*Calculations!$C$13))*LN((Calculations!$C$8*(Calculations!$O188-Calculations!$C$13))/(Calculations!$O188*(Calculations!$C$8-Calculations!$C$13))))+'Reaction Information'!$J$66*10^-1*(Calculations!$M188-Calculations!$C$9)+'Reaction Information'!$K$66*10^2*LN((Calculations!$C$12+Calculations!$M188)/(Calculations!$C$12+Calculations!$C$9))+(1/(Calculations!$O188-Calculations!$C$13))*('Reaction Information'!$L$66*(Calculations!$M188-Calculations!$C$9)+'Reaction Information'!$M$66*10^4*LN((Calculations!$C$12+Calculations!$M188)/(Calculations!$C$12+Calculations!$C$9)))+calculateOmega(Calculations!M188,Calculations!N188,Calculations!Q188,'Reaction Information'!$C$66,'Reaction Information'!$P$66*10^5,'Reaction Information'!$Q$66)*((1/Calculations!$S188)-1)-'Reaction Information'!$P$66*10^5*((1/Calculations!$C$10)-1)+'Reaction Information'!$P$66*10^5*Calculations!$C$14*(Calculations!$O188-Calculations!$C$8))</f>
        <v>#N/A</v>
      </c>
      <c r="AY188" s="31" t="e">
        <f>(AL188*Input!$AO$4+AM188*Input!$AR$4+AN188*Input!$AU$4+AO188*Input!$AX$4+IF(ISNA(AP188),0,AP188*Input!$BA$4)+IF(ISNA(AQ188),0,AQ188*Input!$BD$4)+IF(ISNA(AR188),0,AR188*Input!$BG$4)+IF(ISNA(AS188),0,AS188*Input!$BJ$4)+IF(ISNA(AT188),0,AT188*Input!$BM$4)+IF(ISNA(AU188),0,AU188*Input!$BP$4)+IF(ISNA(AV188),0,AV188*Input!$BS$4)+IF(ISNA(AW188),0,AW188*Input!$BV$4)+IF(ISNA(AX188),0,AX188*Input!$BY$4))-(Y188*Input!$B$4+Z188*Input!$E$4+AA188*Input!$H$4+AB188*Input!$K$4+IF(ISNA(AC188),0,AC188*Input!$N$4)+IF(ISNA(AD188),0,AD188*Input!$Q$4)+IF(ISNA(AE188),0,AE188*Input!$T$4)+IF(ISNA(AF188),0,AF188*Input!$W$4)+IF(ISNA(AG188),0,AG188*Input!$Z$4)+IF(ISNA(AH188),0,AH188*Input!$AC$4)+IF(ISNA(AI188),0,AI188*Input!$AF$4)+IF(ISNA(AJ188),0,AJ188*Input!$AI$4)+IF(ISNA(AK188),0,AK188*Input!$AL$4))</f>
        <v>#VALUE!</v>
      </c>
      <c r="AZ188" s="42" t="e">
        <f t="shared" si="54"/>
        <v>#VALUE!</v>
      </c>
      <c r="BA188" s="1" t="str">
        <f t="shared" si="46"/>
        <v/>
      </c>
      <c r="BB188" s="46" t="str">
        <f t="shared" si="47"/>
        <v/>
      </c>
      <c r="BC188" s="1"/>
      <c r="BD188" s="2" t="str">
        <f t="shared" si="48"/>
        <v/>
      </c>
      <c r="BE188" s="46" t="str">
        <f t="shared" si="49"/>
        <v/>
      </c>
      <c r="BF188" s="1">
        <f>Results!AJ190</f>
        <v>0</v>
      </c>
      <c r="BG188" s="1">
        <f>Results!AK190</f>
        <v>0</v>
      </c>
      <c r="BH188" s="1">
        <f>Results!AL190</f>
        <v>0</v>
      </c>
      <c r="BI188" s="1">
        <f>Results!AM190</f>
        <v>0</v>
      </c>
      <c r="BJ188" s="1" t="e">
        <f>IF(OR(ISNA('Reaction Information'!$D$5), $N188 = "", $D$27 = FALSE, 'Reaction Information'!$D$5 = ""), NA(), 24.465)</f>
        <v>#N/A</v>
      </c>
      <c r="BK188" s="1" t="e">
        <f>IF(OR(ISNA('Reaction Information'!$D$9), $N188 = "", $D$27 = FALSE, 'Reaction Information'!$D$9 = ""), NA(), 24.465)</f>
        <v>#N/A</v>
      </c>
      <c r="BL188" s="8" t="e">
        <f t="shared" si="55"/>
        <v>#VALUE!</v>
      </c>
      <c r="BM188" s="8" t="e">
        <f>IF(OR(ISBLANK(Input!$X$4),$D$27=FALSE),NA(),('Reaction Information'!$J$13/10+'Reaction Information'!$K$13*100/(Calculations!$C$12+Calculations!$M188)+('Reaction Information'!$L$13+'Reaction Information'!$M$13*10^4/(Calculations!$C$12+Calculations!$M188))/(Calculations!$O188-Calculations!$C$13) -calculateOmega(Calculations!$M188,Calculations!$N188,Calculations!$Q188,'Reaction Information'!$C$13,'Reaction Information'!$P$13*10^5,'Reaction Information'!$Q$13)*Calculations!$U188*10^-6 + (1/$S188 - 1)*calculate_domegadP(Calculations!$M188,Calculations!$N188,Calculations!$Q188,'Reaction Information'!$C$13,'Reaction Information'!$P$13*10^5,'Reaction Information'!$Q$13,$D$20,$D$19=3))*41.84)</f>
        <v>#VALUE!</v>
      </c>
      <c r="BN188" s="8" t="e">
        <f>IF(OR(ISBLANK(Input!$AA$4),$D$27=FALSE),NA(),('Reaction Information'!$J$17/10+'Reaction Information'!$K$17*100/(Calculations!$C$12+Calculations!$M188)+('Reaction Information'!$L$17+'Reaction Information'!$M$17*10000/(Calculations!$C$12+Calculations!$M188))/(Calculations!$O188-Calculations!$C$13)-calculateOmega(Calculations!M188,Calculations!N188,Calculations!Q188,'Reaction Information'!$C$17,'Reaction Information'!$P$17*10^5,'Reaction Information'!$Q$17)*Calculations!$U188*10^-6 + (1/$S188 - 1)*calculate_domegadP(Calculations!M188,Calculations!N188,Calculations!Q188,'Reaction Information'!$C$17,'Reaction Information'!$P$17*10^5,'Reaction Information'!$Q$17,$D$20,$D$19=3))*41.84)</f>
        <v>#N/A</v>
      </c>
      <c r="BO188" s="8" t="e">
        <f>IF(OR(ISBLANK(Input!$AD$4),$D$27=FALSE),NA(),('Reaction Information'!$J$21/10+'Reaction Information'!$K$21*100/(Calculations!$C$12+Calculations!$M188)+('Reaction Information'!$L$21+'Reaction Information'!$M$21*10000/(Calculations!$C$12+Calculations!$M188))/(Calculations!$O188-Calculations!$C$13)-calculateOmega(Calculations!M188,Calculations!N188,Calculations!Q188,'Reaction Information'!$C$21,'Reaction Information'!$P$21*10^5,'Reaction Information'!$Q$21)*Calculations!$U188*10^-6 + (1/$S188 - 1)*calculate_domegadP(Calculations!M188,Calculations!N188,Calculations!Q188,'Reaction Information'!$C$21,'Reaction Information'!$P$21*10^5,'Reaction Information'!$Q$21,$D$20,$D$19=3))*41.84)</f>
        <v>#N/A</v>
      </c>
      <c r="BP188" s="8" t="e">
        <f>IF(OR(ISBLANK(Input!$AG$4),$D$27=FALSE),NA(),('Reaction Information'!$J$25/10+'Reaction Information'!$K$25*100/(Calculations!$C$12+Calculations!$M188)+('Reaction Information'!$L$25+'Reaction Information'!$M$25*10000/(Calculations!$C$12+Calculations!$M188))/(Calculations!$O188-Calculations!$C$13)-calculateOmega(Calculations!M188,Calculations!N188,Calculations!Q188,'Reaction Information'!$C$25,'Reaction Information'!$P$25*10^5,'Reaction Information'!$Q$25)*Calculations!$U188*10^-6 + (1/$S188 - 1)*calculate_domegadP(Calculations!M188,Calculations!N188,Calculations!Q188,'Reaction Information'!$C$25,'Reaction Information'!$P$25*10^5,'Reaction Information'!$Q$25,$D$20,$D$19=3))*41.84)</f>
        <v>#N/A</v>
      </c>
      <c r="BQ188" s="8" t="e">
        <f>IF(OR(ISBLANK(Input!$AJ$4),$D$27=FALSE),NA(),('Reaction Information'!$J$29/10+'Reaction Information'!$K$29*100/(Calculations!$C$12+Calculations!$M188)+('Reaction Information'!$L$29+'Reaction Information'!$M$29*10000/(Calculations!$C$12+Calculations!$M188))/(Calculations!$O188-Calculations!$C$13)-calculateOmega(Calculations!M188,Calculations!N188,Calculations!Q188,'Reaction Information'!$C$29,'Reaction Information'!$P$29*10^5,'Reaction Information'!$Q$29)*Calculations!$U188*10^-6 + (1/$S188 - 1)*calculate_domegadP(Calculations!M188,Calculations!N188,Calculations!Q188,'Reaction Information'!$C$29,'Reaction Information'!$P$29*10^5,'Reaction Information'!$Q$29,$D$20,$D$19=3))*41.84)</f>
        <v>#N/A</v>
      </c>
      <c r="BR188" s="8" t="e">
        <f>IF(OR(ISBLANK(Input!$AM$4),$D$27=FALSE),NA(),('Reaction Information'!$J$33/10+'Reaction Information'!$K$33*100/(Calculations!$C$12+Calculations!$M188)+('Reaction Information'!$L$33+'Reaction Information'!$M$33*10000/(Calculations!$C$12+Calculations!$M188))/(Calculations!$O188-Calculations!$C$13)-calculateOmega(Calculations!M188,Calculations!N188,Calculations!Q188,'Reaction Information'!$C$33,'Reaction Information'!$P$33*10^5,'Reaction Information'!$Q$33)*Calculations!$U188*10^-6 + (1/$S188 - 1)*calculate_domegadP(Calculations!M188,Calculations!N188,Calculations!Q188,'Reaction Information'!$C$33,'Reaction Information'!$P$33*10^5,'Reaction Information'!$Q$33,$D$20,$D$19=3))*41.84)</f>
        <v>#N/A</v>
      </c>
      <c r="BS188" s="1">
        <f>Results!AW190</f>
        <v>0</v>
      </c>
      <c r="BT188" s="1">
        <f>Results!AX190</f>
        <v>0</v>
      </c>
      <c r="BU188" s="1">
        <f>Results!AY190</f>
        <v>0</v>
      </c>
      <c r="BV188" s="1">
        <f>Results!AZ190</f>
        <v>0</v>
      </c>
      <c r="BW188" s="1" t="e">
        <f>IF(OR(ISNA('Reaction Information'!$D$38), $N188 = "", $D$27 = FALSE, 'Reaction Information'!$D$38 = ""), NA(), 24.465)</f>
        <v>#N/A</v>
      </c>
      <c r="BX188" s="1" t="e">
        <f>IF(OR(ISNA('Reaction Information'!$D$42), $N188 = "", $D$27 = FALSE, 'Reaction Information'!$D$42 = ""), NA(), 24.465)</f>
        <v>#N/A</v>
      </c>
      <c r="BY188" s="8" t="e">
        <f t="shared" si="56"/>
        <v>#N/A</v>
      </c>
      <c r="BZ188" s="8" t="e">
        <f>IF(OR(ISBLANK(Input!$BK$4),$D$27=FALSE),NA(),('Reaction Information'!$J$46/10+'Reaction Information'!$K$46*100/(Calculations!$C$12+Calculations!$M188)+('Reaction Information'!$L$46+'Reaction Information'!$M$46*10000/(Calculations!$C$12+Calculations!$M188))/(Calculations!$O188-Calculations!$C$13)-calculateOmega(Calculations!M188,Calculations!N188,Calculations!Q188,'Reaction Information'!$C$46,'Reaction Information'!$P$46*10^5,'Reaction Information'!$Q$46)*Calculations!$U188*10^-6 + (1/$S188 - 1)*calculate_domegadP(Calculations!M188,Calculations!N188,Calculations!Q188,'Reaction Information'!$C$46,'Reaction Information'!$P$46*10^5,'Reaction Information'!$Q$46,$D$20,$D$19=3))*41.84)</f>
        <v>#VALUE!</v>
      </c>
      <c r="CA188" s="8" t="e">
        <f>IF(OR(ISBLANK(Input!$BN$4),$D$27=FALSE),NA(),('Reaction Information'!$J$50/10+'Reaction Information'!$K$50*100/(Calculations!$C$12+Calculations!$M188)+('Reaction Information'!$L$50+'Reaction Information'!$M$50*10000/(Calculations!$C$12+Calculations!$M188))/(Calculations!$O188-Calculations!$C$13)-calculateOmega(Calculations!M188,Calculations!N188,Calculations!Q188,'Reaction Information'!$C$50,'Reaction Information'!$P$50*10^5,'Reaction Information'!$Q$50)*Calculations!$U188*10^-6 + (1/$S188 - 1)*calculate_domegadP(Calculations!M188,Calculations!N188,Calculations!Q188,'Reaction Information'!$C$50,'Reaction Information'!$P$50*10^5,'Reaction Information'!$Q$50,$D$20,$D$19=3))*41.84)</f>
        <v>#VALUE!</v>
      </c>
      <c r="CB188" s="8" t="e">
        <f>IF(OR(ISBLANK(Input!$BQ$4),$D$27=FALSE),NA(),('Reaction Information'!$J$54/10+'Reaction Information'!$K$54*100/(Calculations!$C$12+Calculations!$M188)+('Reaction Information'!$L$54+'Reaction Information'!$M$54*10000/(Calculations!$C$12+Calculations!$M188))/(Calculations!$O188-Calculations!$C$13)-calculateOmega(Calculations!M188,Calculations!N188,Calculations!Q188,'Reaction Information'!$C$54,'Reaction Information'!$P$54*10^5,'Reaction Information'!$Q$54)*Calculations!$U188*10^-6 + (1/$S188 - 1)*calculate_domegadP(Calculations!M188,Calculations!N188,Calculations!Q188,'Reaction Information'!$C$54,'Reaction Information'!$P$54*10^5,'Reaction Information'!$Q$54,$D$20,$D$19=3))*41.84)</f>
        <v>#N/A</v>
      </c>
      <c r="CC188" s="8" t="e">
        <f>IF(OR(ISBLANK(Input!$BT$4),$D$27=FALSE),NA(),('Reaction Information'!$J$58/10+'Reaction Information'!$K$58*100/(Calculations!$C$12+Calculations!$M188)+('Reaction Information'!$L$58+'Reaction Information'!$M$58*10000/(Calculations!$C$12+Calculations!$M188))/(Calculations!$O188-Calculations!$C$13)-calculateOmega(Calculations!M188,Calculations!N188,Calculations!Q188,'Reaction Information'!$C$58,'Reaction Information'!$P$58*10^5,'Reaction Information'!$Q$58)*Calculations!$U188*10^-6 + (1/$S188 - 1)*calculate_domegadP(Calculations!M188,Calculations!N188,Calculations!Q188,'Reaction Information'!$C$58,'Reaction Information'!$P$58*10^5,'Reaction Information'!$Q$58,$D$20,$D$19=3))*41.84)</f>
        <v>#N/A</v>
      </c>
      <c r="CD188" s="8" t="e">
        <f>IF(OR(ISBLANK(Input!$BW$4),$D$27=FALSE),NA(),('Reaction Information'!$J$62/10+'Reaction Information'!$K$62*100/(Calculations!$C$12+Calculations!$M188)+('Reaction Information'!$L$62+'Reaction Information'!$M$62*10000/(Calculations!$C$12+Calculations!$M188))/(Calculations!$O188-Calculations!$C$13)-calculateOmega(Calculations!M188,Calculations!N188,Calculations!Q188,'Reaction Information'!$C$62,'Reaction Information'!$P$62*10^5,'Reaction Information'!$Q$62)*Calculations!$U188*10^-6 + (1/$S188 - 1)*calculate_domegadP(Calculations!M188,Calculations!N188,Calculations!Q188,'Reaction Information'!$C$62,'Reaction Information'!$P$62*10^5,'Reaction Information'!$Q$62,$D$20,$D$19=3))*41.84)</f>
        <v>#N/A</v>
      </c>
      <c r="CE188" s="8" t="e">
        <f>IF(OR(ISBLANK(Input!$BZ$4),$D$27=FALSE),NA(),('Reaction Information'!$J$66/10+'Reaction Information'!$K$66*100/(Calculations!$C$12+Calculations!$M188)+('Reaction Information'!$L$66+'Reaction Information'!$M$66*10000/(Calculations!$C$12+Calculations!$M188))/(Calculations!$O188-Calculations!$C$13)-calculateOmega(Calculations!M188,Calculations!N188,Calculations!Q188,'Reaction Information'!$C$66,'Reaction Information'!$P$66*10^5,'Reaction Information'!$Q$66)*Calculations!$U188*10^-6 + (1/$S188 - 1)*calculate_domegadP(Calculations!M188,Calculations!N188,Calculations!Q188,'Reaction Information'!$C$66,'Reaction Information'!$P$66*10^5,'Reaction Information'!$Q$66,$D$20,$D$19=3))*41.84)</f>
        <v>#N/A</v>
      </c>
      <c r="CF188" s="31" t="e">
        <f>(BS188*Input!$AO$4+BT188*Input!$AR$4+BU188*Input!$AU$4+BV188*Input!$AX$4+IF(ISNA(BW188),0,BW188*Input!$BA$4)+IF(ISNA(BX188),0,BX188*Input!$BD$4)+IF(ISNA(BY188),0,BY188*Input!$BG$4)+IF(ISNA(BZ188),0,BZ188*Input!$BJ$4)+IF(ISNA(CA188),0,CA188*Input!$BM$4)+IF(ISNA(CB188),0,CB188*Input!$BP$4)+IF(ISNA(CC188),0,CC188*Input!$BS$4)+IF(ISNA(CD188),0,CD188*Input!$BV$4)+IF(ISNA(CE188),0,CE188*Input!$BY$4))-(BF188*Input!$B$4+BG188*Input!$E$4+BH188*Input!$H$4+BI188*Input!$K$4+IF(ISNA(BJ188),0,BJ188*Input!$N$4)+IF(ISNA(BK188),0,BK188*Input!$Q$4)+IF(ISNA(BL188),0,BL188*Input!$T$4)+IF(ISNA(BM188),0,BM188*Input!$W$4)+IF(ISNA(BN188),0,BN188*Input!$Z$4)+IF(ISNA(BO188),0,BO188*Input!$AC$4)+IF(ISNA(BP188),0,BP188*Input!$AF$4)+IF(ISNA(BQ188),0,BQ188*Input!$AI$4)+IF(ISNA(BR188),0,BR188*Input!$AL$4))</f>
        <v>#VALUE!</v>
      </c>
      <c r="CG188" s="1" t="str">
        <f t="shared" si="50"/>
        <v/>
      </c>
      <c r="CH188" s="46" t="str">
        <f t="shared" si="51"/>
        <v/>
      </c>
      <c r="CI188" s="1"/>
    </row>
    <row r="189" spans="1:87" x14ac:dyDescent="0.2">
      <c r="A189" s="1"/>
      <c r="B189" s="1"/>
      <c r="C189" s="1"/>
      <c r="D189" s="1"/>
      <c r="E189" s="1"/>
      <c r="F189" s="2">
        <v>184</v>
      </c>
      <c r="G189" s="1" t="str">
        <f>IF(ISBLANK(Input!CB189), "", Input!CB189*1000)</f>
        <v/>
      </c>
      <c r="H189" s="1" t="str">
        <f>IF(ISBLANK(Input!CC189), "", Input!CC189)</f>
        <v/>
      </c>
      <c r="I189" s="1" t="str">
        <f>IF(Input!$CF$5 + Input!$CF$6*(FLOOR((Calculations!$F189-1)/(FLOOR((Input!$CF$12-Input!$CF$10)/Input!$CF$11,1)+1),1)) &gt; Input!$CF$7, "", (Input!$CF$5 + Input!$CF$6*(FLOOR((Calculations!$F189-1)/(FLOOR((Input!$CF$12-Input!$CF$10)/Input!$CF$11,1)+1),1)))*1000)</f>
        <v/>
      </c>
      <c r="J189" s="1" t="str">
        <f>IF(Calculations!I189 = "", "", Input!$CF$10 + Input!$CF$11*(Calculations!$F189-1) - (FLOOR((Input!$CF$12-Input!$CF$10)/Input!$CF$11,1)+1)*Input!$CF$11*FLOOR((Calculations!$F189-1)/(FLOOR((Input!$CF$12-Input!$CF$10)/Input!$CF$11,1)+1),1))</f>
        <v/>
      </c>
      <c r="K189" s="8" t="str">
        <f t="shared" si="52"/>
        <v/>
      </c>
      <c r="L189" s="117" t="str">
        <f>IF(OR(Input!$CJ$5 + Input!$CJ$6*(Calculations!F189-1) &gt; Input!$CJ$7, Input!$CJ$5 + Input!$CJ$6*(Calculations!F189-1) &gt; 350), "", Input!$CJ$5 + Input!$CJ$6*(Calculations!F189-1))</f>
        <v/>
      </c>
      <c r="M189" s="1" t="str">
        <f t="shared" si="42"/>
        <v/>
      </c>
      <c r="N189" s="1" t="str">
        <f t="shared" si="43"/>
        <v/>
      </c>
      <c r="O189" s="1" t="e">
        <f t="shared" si="53"/>
        <v>#VALUE!</v>
      </c>
      <c r="P189" s="1" t="e">
        <f>IF(OR($D$20=3,AND($D$21=TRUE,M189&lt;1000)),INDEX('Water Density'!$C$6:$CX$120,MATCH(Calculations!N189,'Water Density'!$B$6:$B$120),MATCH(Calculations!M189/1000,'Water Density'!$C$5:$CX$5)),NA())</f>
        <v>#N/A</v>
      </c>
      <c r="Q189" s="182" t="e">
        <f>IF(OR($D$20=3,AND($D$21=TRUE,M189&lt;1000)), IF(P189&lt;&gt;0,P189,NA()), calculateDensity(M189,N189,$D$20,0.01,$D$19 = 3))</f>
        <v>#VALUE!</v>
      </c>
      <c r="R189" s="1" t="e">
        <f>IF($D$22=5,INDEX('Dielectric Constant'!$C$6:$CX$120,MATCH(Calculations!N189,'Dielectric Constant'!$B$6:$B$120),MATCH(Calculations!M189/1000,'Dielectric Constant'!$C$5:$CX$5)),NA())</f>
        <v>#N/A</v>
      </c>
      <c r="S189" s="58" t="e">
        <f>IF($D$22=5, IF(R189&lt;&gt;0,R189,NA()), IF(AND($D$23,M189&lt;=5000,$D$19 &lt;&gt; 3),calculateEpsilon(Q189,N189,1,FALSE),calculateEpsilon(Q189,N189,$D$22,$D$19 = 3)))</f>
        <v>#VALUE!</v>
      </c>
      <c r="T189" s="1" t="e">
        <f>IF($D$24=3,INDEX('Water Free Energy'!$C$6:$CX$120,MATCH(Calculations!N189,'Water Free Energy'!$B$6:$B$120),MATCH(Calculations!M189/1000,'Water Free Energy'!$C$5:$CX$5)),NA())</f>
        <v>#N/A</v>
      </c>
      <c r="U189" s="179" t="e">
        <f>IF($D$27,calculateQ(M189,N189,Q189,$D$20,$D$22,$D$19=3)*10^6,NA())</f>
        <v>#VALUE!</v>
      </c>
      <c r="V189"/>
      <c r="W189" s="2" t="str">
        <f t="shared" si="44"/>
        <v/>
      </c>
      <c r="X189" s="1" t="str">
        <f t="shared" si="45"/>
        <v/>
      </c>
      <c r="Y189" s="1">
        <f>Results!F191</f>
        <v>0</v>
      </c>
      <c r="Z189" s="1">
        <f>Results!G191</f>
        <v>0</v>
      </c>
      <c r="AA189" s="1">
        <f>Results!H191</f>
        <v>0</v>
      </c>
      <c r="AB189" s="1">
        <f>Results!I191</f>
        <v>0</v>
      </c>
      <c r="AC189" s="1" t="e">
        <f>IF(ISBLANK(Input!$O$4),NA(),'Reaction Information'!$E$5-'Reaction Information'!$G$5*(Calculations!$O189-Calculations!$C$8)+'Reaction Information'!$I$5*(Calculations!$O189-Calculations!$C$8-Calculations!$O189*LN(Calculations!$O189/Calculations!$C$8))+'Reaction Information'!$J$5*0.001/2*(2*Calculations!$O189*Calculations!$C$8-Calculations!$O189^2-Calculations!$C$8^2) + 'Reaction Information'!$K$5*100000*(Calculations!$O189^2 + Calculations!$C$8^2 - 2*Calculations!$O189*Calculations!$C$8)/(2*Calculations!$O189*Calculations!$C$8^2))</f>
        <v>#N/A</v>
      </c>
      <c r="AD189" s="8" t="e">
        <f>IF(ISBLANK(Input!$R$4),NA(),'Reaction Information'!$E$9-'Reaction Information'!$G$9*(Calculations!$O189-Calculations!$C$8)+'Reaction Information'!$I$9*(Calculations!$O189-Calculations!$C$8-Calculations!$O189*LN(Calculations!$O189/Calculations!$C$8))+'Reaction Information'!$J$9*0.001/2*(2*Calculations!$O189*Calculations!$C$8-Calculations!$O189^2-Calculations!$C$8^2) + 'Reaction Information'!$K$9*100000*(Calculations!$O189^2 + Calculations!$C$8^2 - 2*Calculations!$O189*Calculations!$C$8)/(2*Calculations!$O189*Calculations!$C$8^2))</f>
        <v>#N/A</v>
      </c>
      <c r="AE189" s="8" t="e">
        <f>IF(AE$5="H2O",IF($D$24=3,IF(T189=0,NA(),T189),calculateGibbsOfWater(M189,N189,$D$24,$D$20,$D$19=3)),NA())</f>
        <v>#VALUE!</v>
      </c>
      <c r="AF189" s="8" t="e">
        <f>IF(ISBLANK(Input!$X$4),NA(),'Reaction Information'!$E$13-'Reaction Information'!$G$13*(Calculations!O189-Calculations!$C$8)-'Reaction Information'!$N$13*(Calculations!O189*LN(Calculations!O189/Calculations!$C$8)-Calculations!O189+Calculations!$C$8)-'Reaction Information'!$O$13*10^4*(((1/(Calculations!O189-Calculations!$C$13))-(1/(Calculations!$C$8-Calculations!$C$13)))*((Calculations!$C$13-Calculations!O189)/(Calculations!$C$13))-(Calculations!O189/(Calculations!$C$13*Calculations!$C$13))*LN((Calculations!$C$8*(Calculations!O189-Calculations!$C$13))/(Calculations!O189*(Calculations!$C$8-Calculations!$C$13))))+'Reaction Information'!$J$13*10^-1*(Calculations!M189-Calculations!$C$9)+'Reaction Information'!$K$13*10^2*LN((Calculations!$C$12+Calculations!M189)/(Calculations!$C$12+Calculations!$C$9))+(1/(Calculations!O189-Calculations!$C$13))*('Reaction Information'!$L$13*(Calculations!M189-Calculations!$C$9)+'Reaction Information'!$M$13*10^4*LN((Calculations!$C$12+Calculations!M189)/(Calculations!$C$12+Calculations!$C$9)))+calculateOmega(Calculations!M189,Calculations!N189,Calculations!Q189,'Reaction Information'!$C$13,'Reaction Information'!$P$13*10^5,'Reaction Information'!$Q$13)*((1/Calculations!S189)-1)-'Reaction Information'!$P$13*10^5*((1/Calculations!$C$10)-1)+'Reaction Information'!$P$13*10^5*Calculations!$C$14*(Calculations!O189-Calculations!$C$8))</f>
        <v>#VALUE!</v>
      </c>
      <c r="AG189" s="8" t="e">
        <f>IF(ISBLANK(Input!$AA$4),NA(),'Reaction Information'!$E$17-'Reaction Information'!$G$17*(Calculations!$O189-Calculations!$C$8)-'Reaction Information'!$N$17*(Calculations!$O189*LN(Calculations!$O189/Calculations!$C$8)-Calculations!$O189+Calculations!$C$8)-'Reaction Information'!$O$17*10^4*(((1/(Calculations!$O189-Calculations!$C$13))-(1/(Calculations!$C$8-Calculations!$C$13)))*((Calculations!$C$13-Calculations!$O189)/(Calculations!$C$13))-(Calculations!$O189/(Calculations!$C$13*Calculations!$C$13))*LN((Calculations!$C$8*(Calculations!$O189-Calculations!$C$13))/(Calculations!$O189*(Calculations!$C$8-Calculations!$C$13))))+'Reaction Information'!$J$17*10^-1*(Calculations!$M189-Calculations!$C$9)+'Reaction Information'!$K$17*10^2*LN((Calculations!$C$12+Calculations!$M189)/(Calculations!$C$12+Calculations!$C$9))+(1/(Calculations!$O189-Calculations!$C$13))*('Reaction Information'!$L$17*(Calculations!$M189-Calculations!$C$9)+'Reaction Information'!$M$17*10^4*LN((Calculations!$C$12+Calculations!$M189)/(Calculations!$C$12+Calculations!$C$9)))+calculateOmega(Calculations!M189,Calculations!N189,Calculations!Q189,'Reaction Information'!$C$17,'Reaction Information'!$P$17*10^5,'Reaction Information'!$Q$17)*((1/Calculations!$S189)-1)-'Reaction Information'!$P$17*10^5*((1/Calculations!$C$10)-1)+'Reaction Information'!$P$17*10^5*Calculations!$C$14*(Calculations!$O189-Calculations!$C$8))</f>
        <v>#N/A</v>
      </c>
      <c r="AH189" s="8" t="e">
        <f>IF(ISBLANK(Input!$AD$4),NA(),'Reaction Information'!$E$21-'Reaction Information'!$G$21*(Calculations!$O189-Calculations!$C$8)-'Reaction Information'!$N$21*(Calculations!$O189*LN(Calculations!$O189/Calculations!$C$8)-Calculations!$O189+Calculations!$C$8)-'Reaction Information'!$O$21*10^4*(((1/(Calculations!$O189-Calculations!$C$13))-(1/(Calculations!$C$8-Calculations!$C$13)))*((Calculations!$C$13-Calculations!$O189)/(Calculations!$C$13))-(Calculations!$O189/(Calculations!$C$13*Calculations!$C$13))*LN((Calculations!$C$8*(Calculations!$O189-Calculations!$C$13))/(Calculations!$O189*(Calculations!$C$8-Calculations!$C$13))))+'Reaction Information'!$J$21*10^-1*(Calculations!$M189-Calculations!$C$9)+'Reaction Information'!$K$21*10^2*LN((Calculations!$C$12+Calculations!$M189)/(Calculations!$C$12+Calculations!$C$9))+(1/(Calculations!$O189-Calculations!$C$13))*('Reaction Information'!$L$21*(Calculations!$M189-Calculations!$C$9)+'Reaction Information'!$M$21*10^4*LN((Calculations!$C$12+Calculations!$M189)/(Calculations!$C$12+Calculations!$C$9)))+calculateOmega(Calculations!M189,Calculations!N189,Calculations!Q189,'Reaction Information'!$C$21,'Reaction Information'!$P$21*10^5,'Reaction Information'!$Q$21)*((1/Calculations!$S189)-1)-'Reaction Information'!$P$21*10^5*((1/Calculations!$C$10)-1)+'Reaction Information'!$P$21*10^5*Calculations!$C$14*(Calculations!$O189-Calculations!$C$8))</f>
        <v>#N/A</v>
      </c>
      <c r="AI189" s="8" t="e">
        <f>IF(ISBLANK(Input!$AG$4),NA(),'Reaction Information'!$E$25-'Reaction Information'!$G$25*(Calculations!$O189-Calculations!$C$8)-'Reaction Information'!$N$25*(Calculations!$O189*LN(Calculations!$O189/Calculations!$C$8)-Calculations!$O189+Calculations!$C$8)-'Reaction Information'!$O$25*10^4*(((1/(Calculations!$O189-Calculations!$C$13))-(1/(Calculations!$C$8-Calculations!$C$13)))*((Calculations!$C$13-Calculations!$O189)/(Calculations!$C$13))-(Calculations!$O189/(Calculations!$C$13*Calculations!$C$13))*LN((Calculations!$C$8*(Calculations!$O189-Calculations!$C$13))/(Calculations!$O189*(Calculations!$C$8-Calculations!$C$13))))+'Reaction Information'!$J$25*10^-1*(Calculations!$M189-Calculations!$C$9)+'Reaction Information'!$K$25*10^2*LN((Calculations!$C$12+Calculations!$M189)/(Calculations!$C$12+Calculations!$C$9))+(1/(Calculations!$O189-Calculations!$C$13))*('Reaction Information'!$L$25*(Calculations!$M189-Calculations!$C$9)+'Reaction Information'!$M$25*10^4*LN((Calculations!$C$12+Calculations!$M189)/(Calculations!$C$12+Calculations!$C$9)))+calculateOmega(Calculations!M189,Calculations!N189,Calculations!Q189,'Reaction Information'!$C$25,'Reaction Information'!$P$25*10^5,'Reaction Information'!$Q$25)*((1/Calculations!$S189)-1)-'Reaction Information'!$P$25*10^5*((1/Calculations!$C$10)-1)+'Reaction Information'!$P$25*10^5*Calculations!$C$14*(Calculations!$O189-Calculations!$C$8))</f>
        <v>#N/A</v>
      </c>
      <c r="AJ189" s="8" t="e">
        <f>IF(ISBLANK(Input!$AJ$4),NA(),'Reaction Information'!$E$29-'Reaction Information'!$G$29*(Calculations!$O189-Calculations!$C$8)-'Reaction Information'!$N$29*(Calculations!$O189*LN(Calculations!$O189/Calculations!$C$8)-Calculations!$O189+Calculations!$C$8)-'Reaction Information'!$O$29*10^4*(((1/(Calculations!$O189-Calculations!$C$13))-(1/(Calculations!$C$8-Calculations!$C$13)))*((Calculations!$C$13-Calculations!$O189)/(Calculations!$C$13))-(Calculations!$O189/(Calculations!$C$13*Calculations!$C$13))*LN((Calculations!$C$8*(Calculations!$O189-Calculations!$C$13))/(Calculations!$O189*(Calculations!$C$8-Calculations!$C$13))))+'Reaction Information'!$J$29*10^-1*(Calculations!$M189-Calculations!$C$9)+'Reaction Information'!$K$29*10^2*LN((Calculations!$C$12+Calculations!$M189)/(Calculations!$C$12+Calculations!$C$9))+(1/(Calculations!$O189-Calculations!$C$13))*('Reaction Information'!$L$29*(Calculations!$M189-Calculations!$C$9)+'Reaction Information'!$M$29*10^4*LN((Calculations!$C$12+Calculations!$M189)/(Calculations!$C$12+Calculations!$C$9)))+calculateOmega(Calculations!M189,Calculations!N189,Calculations!Q189,'Reaction Information'!$C$29,'Reaction Information'!$P$29*10^5,'Reaction Information'!$Q$29)*((1/Calculations!$S189)-1)-'Reaction Information'!$P$29*10^5*((1/Calculations!$C$10)-1)+'Reaction Information'!$P$29*10^5*Calculations!$C$14*(Calculations!$O189-Calculations!$C$8))</f>
        <v>#N/A</v>
      </c>
      <c r="AK189" s="8" t="e">
        <f>IF(ISBLANK(Input!$AM$4),NA(),'Reaction Information'!$E$33-'Reaction Information'!$G$33*(Calculations!$O189-Calculations!$C$8)-'Reaction Information'!$N$33*(Calculations!$O189*LN(Calculations!$O189/Calculations!$C$8)-Calculations!$O189+Calculations!$C$8)-'Reaction Information'!$O$33*10^4*(((1/(Calculations!$O189-Calculations!$C$13))-(1/(Calculations!$C$8-Calculations!$C$13)))*((Calculations!$C$13-Calculations!$O189)/(Calculations!$C$13))-(Calculations!$O189/(Calculations!$C$13*Calculations!$C$13))*LN((Calculations!$C$8*(Calculations!$O189-Calculations!$C$13))/(Calculations!$O189*(Calculations!$C$8-Calculations!$C$13))))+'Reaction Information'!$J$33*10^-1*(Calculations!$M189-Calculations!$C$9)+'Reaction Information'!$K$33*10^2*LN((Calculations!$C$12+Calculations!$M189)/(Calculations!$C$12+Calculations!$C$9))+(1/(Calculations!$O189-Calculations!$C$13))*('Reaction Information'!$L$33*(Calculations!$M189-Calculations!$C$9)+'Reaction Information'!$M$33*10^4*LN((Calculations!$C$12+Calculations!$M189)/(Calculations!$C$12+Calculations!$C$9)))+calculateOmega(Calculations!M189,Calculations!N189,Calculations!Q189,'Reaction Information'!$C$33,'Reaction Information'!$P$33*10^5,'Reaction Information'!$Q$33)*((1/Calculations!$S189)-1)-'Reaction Information'!$P$33*10^5*((1/Calculations!$C$10)-1)+'Reaction Information'!$P$33*10^5*Calculations!$C$14*(Calculations!$O189-Calculations!$C$8))</f>
        <v>#N/A</v>
      </c>
      <c r="AL189" s="1">
        <f>Results!S191</f>
        <v>0</v>
      </c>
      <c r="AM189" s="1">
        <f>Results!T191</f>
        <v>0</v>
      </c>
      <c r="AN189" s="1">
        <f>Results!U191</f>
        <v>0</v>
      </c>
      <c r="AO189" s="1">
        <f>Results!V191</f>
        <v>0</v>
      </c>
      <c r="AP189" s="8" t="e">
        <f>IF(ISBLANK(Input!$BB$4),NA(),'Reaction Information'!$E$38-'Reaction Information'!$G$38*(Calculations!$O189-Calculations!$C$8)+'Reaction Information'!$I$38*(Calculations!$O189-Calculations!$C$8-Calculations!$O189*LN(Calculations!$O189/Calculations!$C$8))+'Reaction Information'!$J$38*0.001/2*(2*Calculations!$O189*Calculations!$C$8-Calculations!$O189^2-Calculations!$C$8^2) + 'Reaction Information'!$K$38*100000*(Calculations!$O189^2 + Calculations!$C$8^2 - 2*Calculations!$O189*Calculations!$C$8)/(2*Calculations!$O189*Calculations!$C$8^2))</f>
        <v>#N/A</v>
      </c>
      <c r="AQ189" s="8" t="e">
        <f>IF(ISBLANK(Input!$BE$4),NA(),'Reaction Information'!$E$42-'Reaction Information'!$G$42*(Calculations!$O189-Calculations!$C$8)+'Reaction Information'!$I$42*(Calculations!$O189-Calculations!$C$8-Calculations!$O189*LN(Calculations!$O189/Calculations!$C$8))+'Reaction Information'!$J$42*0.001/2*(2*Calculations!$O189*Calculations!$C$8-Calculations!$O189^2-Calculations!$C$8^2) + 'Reaction Information'!$K$42*100000*(Calculations!$O189^2 + Calculations!$C$8^2 - 2*Calculations!$O189*Calculations!$C$8)/(2*Calculations!$O189*Calculations!$C$8^2))</f>
        <v>#N/A</v>
      </c>
      <c r="AR189" s="8" t="e">
        <f>IF(AR$5="H2O", IF($D$24=3,IF(T189=0,NA(),T189),calculateGibbsOfWater(M189,N189,$D$24,$D$20,$D$19=3)),NA())</f>
        <v>#N/A</v>
      </c>
      <c r="AS189" s="8" t="e">
        <f>IF(ISBLANK(Input!$BK$4),NA(),'Reaction Information'!$E$46-'Reaction Information'!$G$46*(Calculations!O189-Calculations!$C$8)-'Reaction Information'!$N$46*(Calculations!O189*LN(Calculations!O189/Calculations!$C$8)-Calculations!O189+Calculations!$C$8)-'Reaction Information'!$O$46*10^4*(((1/(Calculations!O189-Calculations!$C$13))-(1/(Calculations!$C$8-Calculations!$C$13)))*((Calculations!$C$13-Calculations!O189)/(Calculations!$C$13))-(Calculations!O189/(Calculations!$C$13*Calculations!$C$13))*LN((Calculations!$C$8*(Calculations!O189-Calculations!$C$13))/(Calculations!O189*(Calculations!$C$8-Calculations!$C$13))))+'Reaction Information'!$J$46*10^-1*(Calculations!$M189-Calculations!$C$9)+'Reaction Information'!$K$46*10^2*LN((Calculations!$C$12+Calculations!$M189)/(Calculations!$C$12+Calculations!$C$9))+(1/(Calculations!O189-Calculations!$C$13))*('Reaction Information'!$L$46*(Calculations!$M189-Calculations!$C$9)+'Reaction Information'!$M$46*10^4*LN((Calculations!$C$12+Calculations!$M189)/(Calculations!$C$12+Calculations!$C$9)))+calculateOmega(Calculations!M189,Calculations!N189,Calculations!Q189,'Reaction Information'!$C$46,'Reaction Information'!$P$46*10^5,'Reaction Information'!$Q$46)*((1/Calculations!S189)-1)-'Reaction Information'!$P$46*10^5*((1/Calculations!$C$10)-1)+'Reaction Information'!$P$46*10^5*Calculations!$C$14*(Calculations!O189-Calculations!$C$8))</f>
        <v>#VALUE!</v>
      </c>
      <c r="AT189" s="8" t="e">
        <f>IF(ISBLANK(Input!$BN$4),NA(),'Reaction Information'!$E$50-'Reaction Information'!$G$50*(Calculations!O189-Calculations!$C$8)-'Reaction Information'!$N$50*(Calculations!O189*LN(Calculations!O189/Calculations!$C$8)-Calculations!O189+Calculations!$C$8)-'Reaction Information'!$O$50*10^4*(((1/(Calculations!O189-Calculations!$C$13))-(1/(Calculations!$C$8-Calculations!$C$13)))*((Calculations!$C$13-Calculations!O189)/(Calculations!$C$13))-(Calculations!O189/(Calculations!$C$13*Calculations!$C$13))*LN((Calculations!$C$8*(Calculations!O189-Calculations!$C$13))/(Calculations!O189*(Calculations!$C$8-Calculations!$C$13))))+'Reaction Information'!$J$50*10^-1*(Calculations!$M189-Calculations!$C$9)+'Reaction Information'!$K$50*10^2*LN((Calculations!$C$12+Calculations!$M189)/(Calculations!$C$12+Calculations!$C$9))+(1/(Calculations!O189-Calculations!$C$13))*('Reaction Information'!$L$50*(Calculations!$M189-Calculations!$C$9)+'Reaction Information'!$M$50*10^4*LN((Calculations!$C$12+Calculations!$M189)/(Calculations!$C$12+Calculations!$C$9)))+calculateOmega(Calculations!M189,Calculations!N189,Calculations!Q189,'Reaction Information'!$C$50,'Reaction Information'!$P$50*10^5,'Reaction Information'!$Q$50)*((1/Calculations!S189)-1)-'Reaction Information'!$P$50*10^5*((1/Calculations!$C$10)-1)+'Reaction Information'!$P$50*10^5*Calculations!$C$14*(Calculations!O189-Calculations!$C$8))</f>
        <v>#VALUE!</v>
      </c>
      <c r="AU189" s="8" t="e">
        <f>IF(ISBLANK(Input!$BQ$4),NA(),'Reaction Information'!$E$54-'Reaction Information'!$G$54*(Calculations!$O189-Calculations!$C$8)-'Reaction Information'!$N$54*(Calculations!$O189*LN(Calculations!$O189/Calculations!$C$8)-Calculations!$O189+Calculations!$C$8)-'Reaction Information'!$O$54*10^4*(((1/(Calculations!$O189-Calculations!$C$13))-(1/(Calculations!$C$8-Calculations!$C$13)))*((Calculations!$C$13-Calculations!$O189)/(Calculations!$C$13))-(Calculations!$O189/(Calculations!$C$13*Calculations!$C$13))*LN((Calculations!$C$8*(Calculations!$O189-Calculations!$C$13))/(Calculations!$O189*(Calculations!$C$8-Calculations!$C$13))))+'Reaction Information'!$J$54*10^-1*(Calculations!$M189-Calculations!$C$9)+'Reaction Information'!$K$54*10^2*LN((Calculations!$C$12+Calculations!$M189)/(Calculations!$C$12+Calculations!$C$9))+(1/(Calculations!$O189-Calculations!$C$13))*('Reaction Information'!$L$54*(Calculations!$M189-Calculations!$C$9)+'Reaction Information'!$M$54*10^4*LN((Calculations!$C$12+Calculations!$M189)/(Calculations!$C$12+Calculations!$C$9)))+calculateOmega(Calculations!M189,Calculations!N189,Calculations!Q189,'Reaction Information'!$C$54,'Reaction Information'!$P$54*10^5,'Reaction Information'!$Q$54)*((1/Calculations!$S189)-1)-'Reaction Information'!$P$54*10^5*((1/Calculations!$C$10)-1)+'Reaction Information'!$P$54*10^5*Calculations!$C$14*(Calculations!$O189-Calculations!$C$8))</f>
        <v>#N/A</v>
      </c>
      <c r="AV189" s="8" t="e">
        <f>IF(ISBLANK(Input!$BT$4),NA(),'Reaction Information'!$E$58-'Reaction Information'!$G$58*(Calculations!$O189-Calculations!$C$8)-'Reaction Information'!$N$58*(Calculations!$O189*LN(Calculations!$O189/Calculations!$C$8)-Calculations!$O189+Calculations!$C$8)-'Reaction Information'!$O$58*10^4*(((1/(Calculations!$O189-Calculations!$C$13))-(1/(Calculations!$C$8-Calculations!$C$13)))*((Calculations!$C$13-Calculations!$O189)/(Calculations!$C$13))-(Calculations!$O189/(Calculations!$C$13*Calculations!$C$13))*LN((Calculations!$C$8*(Calculations!$O189-Calculations!$C$13))/(Calculations!$O189*(Calculations!$C$8-Calculations!$C$13))))+'Reaction Information'!$J$58*10^-1*(Calculations!$M189-Calculations!$C$9)+'Reaction Information'!$K$58*10^2*LN((Calculations!$C$12+Calculations!$M189)/(Calculations!$C$12+Calculations!$C$9))+(1/(Calculations!$O189-Calculations!$C$13))*('Reaction Information'!$L$58*(Calculations!$M189-Calculations!$C$9)+'Reaction Information'!$M$58*10^4*LN((Calculations!$C$12+Calculations!$M189)/(Calculations!$C$12+Calculations!$C$9)))+calculateOmega(Calculations!M189,Calculations!N189,Calculations!Q189,'Reaction Information'!$C$58,'Reaction Information'!$P$58*10^5,'Reaction Information'!$Q$58)*((1/Calculations!$S189)-1)-'Reaction Information'!$P$58*10^5*((1/Calculations!$C$10)-1)+'Reaction Information'!$P$58*10^5*Calculations!$C$14*(Calculations!$O189-Calculations!$C$8))</f>
        <v>#N/A</v>
      </c>
      <c r="AW189" s="8" t="e">
        <f>IF(ISBLANK(Input!$BW$4),NA(),'Reaction Information'!$E$62-'Reaction Information'!$G$62*(Calculations!$O189-Calculations!$C$8)-'Reaction Information'!$N$62*(Calculations!$O189*LN(Calculations!$O189/Calculations!$C$8)-Calculations!$O189+Calculations!$C$8)-'Reaction Information'!$O$62*10^4*(((1/(Calculations!$O189-Calculations!$C$13))-(1/(Calculations!$C$8-Calculations!$C$13)))*((Calculations!$C$13-Calculations!$O189)/(Calculations!$C$13))-(Calculations!$O189/(Calculations!$C$13*Calculations!$C$13))*LN((Calculations!$C$8*(Calculations!$O189-Calculations!$C$13))/(Calculations!$O189*(Calculations!$C$8-Calculations!$C$13))))+'Reaction Information'!$J$62*10^-1*(Calculations!$M189-Calculations!$C$9)+'Reaction Information'!$K$62*10^2*LN((Calculations!$C$12+Calculations!$M189)/(Calculations!$C$12+Calculations!$C$9))+(1/(Calculations!$O189-Calculations!$C$13))*('Reaction Information'!$L$62*(Calculations!$M189-Calculations!$C$9)+'Reaction Information'!$M$62*10^4*LN((Calculations!$C$12+Calculations!$M189)/(Calculations!$C$12+Calculations!$C$9)))+calculateOmega(Calculations!M189,Calculations!N189,Calculations!Q189,'Reaction Information'!$C$62,'Reaction Information'!$P$62*10^5,'Reaction Information'!$Q$62)*((1/Calculations!$S189)-1)-'Reaction Information'!$P$62*10^5*((1/Calculations!$C$10)-1)+'Reaction Information'!$P$62*10^5*Calculations!$C$14*(Calculations!$O189-Calculations!$C$8))</f>
        <v>#N/A</v>
      </c>
      <c r="AX189" s="8" t="e">
        <f>IF(ISBLANK(Input!$BZ$4),NA(),'Reaction Information'!$E$66-'Reaction Information'!$G$66*(Calculations!$O189-Calculations!$C$8)-'Reaction Information'!$N$66*(Calculations!$O189*LN(Calculations!$O189/Calculations!$C$8)-Calculations!$O189+Calculations!$C$8)-'Reaction Information'!$O$66*10^4*(((1/(Calculations!$O189-Calculations!$C$13))-(1/(Calculations!$C$8-Calculations!$C$13)))*((Calculations!$C$13-Calculations!$O189)/(Calculations!$C$13))-(Calculations!$O189/(Calculations!$C$13*Calculations!$C$13))*LN((Calculations!$C$8*(Calculations!$O189-Calculations!$C$13))/(Calculations!$O189*(Calculations!$C$8-Calculations!$C$13))))+'Reaction Information'!$J$66*10^-1*(Calculations!$M189-Calculations!$C$9)+'Reaction Information'!$K$66*10^2*LN((Calculations!$C$12+Calculations!$M189)/(Calculations!$C$12+Calculations!$C$9))+(1/(Calculations!$O189-Calculations!$C$13))*('Reaction Information'!$L$66*(Calculations!$M189-Calculations!$C$9)+'Reaction Information'!$M$66*10^4*LN((Calculations!$C$12+Calculations!$M189)/(Calculations!$C$12+Calculations!$C$9)))+calculateOmega(Calculations!M189,Calculations!N189,Calculations!Q189,'Reaction Information'!$C$66,'Reaction Information'!$P$66*10^5,'Reaction Information'!$Q$66)*((1/Calculations!$S189)-1)-'Reaction Information'!$P$66*10^5*((1/Calculations!$C$10)-1)+'Reaction Information'!$P$66*10^5*Calculations!$C$14*(Calculations!$O189-Calculations!$C$8))</f>
        <v>#N/A</v>
      </c>
      <c r="AY189" s="31" t="e">
        <f>(AL189*Input!$AO$4+AM189*Input!$AR$4+AN189*Input!$AU$4+AO189*Input!$AX$4+IF(ISNA(AP189),0,AP189*Input!$BA$4)+IF(ISNA(AQ189),0,AQ189*Input!$BD$4)+IF(ISNA(AR189),0,AR189*Input!$BG$4)+IF(ISNA(AS189),0,AS189*Input!$BJ$4)+IF(ISNA(AT189),0,AT189*Input!$BM$4)+IF(ISNA(AU189),0,AU189*Input!$BP$4)+IF(ISNA(AV189),0,AV189*Input!$BS$4)+IF(ISNA(AW189),0,AW189*Input!$BV$4)+IF(ISNA(AX189),0,AX189*Input!$BY$4))-(Y189*Input!$B$4+Z189*Input!$E$4+AA189*Input!$H$4+AB189*Input!$K$4+IF(ISNA(AC189),0,AC189*Input!$N$4)+IF(ISNA(AD189),0,AD189*Input!$Q$4)+IF(ISNA(AE189),0,AE189*Input!$T$4)+IF(ISNA(AF189),0,AF189*Input!$W$4)+IF(ISNA(AG189),0,AG189*Input!$Z$4)+IF(ISNA(AH189),0,AH189*Input!$AC$4)+IF(ISNA(AI189),0,AI189*Input!$AF$4)+IF(ISNA(AJ189),0,AJ189*Input!$AI$4)+IF(ISNA(AK189),0,AK189*Input!$AL$4))</f>
        <v>#VALUE!</v>
      </c>
      <c r="AZ189" s="42" t="e">
        <f t="shared" si="54"/>
        <v>#VALUE!</v>
      </c>
      <c r="BA189" s="1" t="str">
        <f t="shared" si="46"/>
        <v/>
      </c>
      <c r="BB189" s="46" t="str">
        <f t="shared" si="47"/>
        <v/>
      </c>
      <c r="BC189" s="1"/>
      <c r="BD189" s="2" t="str">
        <f t="shared" si="48"/>
        <v/>
      </c>
      <c r="BE189" s="46" t="str">
        <f t="shared" si="49"/>
        <v/>
      </c>
      <c r="BF189" s="1">
        <f>Results!AJ191</f>
        <v>0</v>
      </c>
      <c r="BG189" s="1">
        <f>Results!AK191</f>
        <v>0</v>
      </c>
      <c r="BH189" s="1">
        <f>Results!AL191</f>
        <v>0</v>
      </c>
      <c r="BI189" s="1">
        <f>Results!AM191</f>
        <v>0</v>
      </c>
      <c r="BJ189" s="1" t="e">
        <f>IF(OR(ISNA('Reaction Information'!$D$5), $N189 = "", $D$27 = FALSE, 'Reaction Information'!$D$5 = ""), NA(), 24.465)</f>
        <v>#N/A</v>
      </c>
      <c r="BK189" s="1" t="e">
        <f>IF(OR(ISNA('Reaction Information'!$D$9), $N189 = "", $D$27 = FALSE, 'Reaction Information'!$D$9 = ""), NA(), 24.465)</f>
        <v>#N/A</v>
      </c>
      <c r="BL189" s="8" t="e">
        <f t="shared" si="55"/>
        <v>#VALUE!</v>
      </c>
      <c r="BM189" s="8" t="e">
        <f>IF(OR(ISBLANK(Input!$X$4),$D$27=FALSE),NA(),('Reaction Information'!$J$13/10+'Reaction Information'!$K$13*100/(Calculations!$C$12+Calculations!$M189)+('Reaction Information'!$L$13+'Reaction Information'!$M$13*10^4/(Calculations!$C$12+Calculations!$M189))/(Calculations!$O189-Calculations!$C$13) -calculateOmega(Calculations!$M189,Calculations!$N189,Calculations!$Q189,'Reaction Information'!$C$13,'Reaction Information'!$P$13*10^5,'Reaction Information'!$Q$13)*Calculations!$U189*10^-6 + (1/$S189 - 1)*calculate_domegadP(Calculations!$M189,Calculations!$N189,Calculations!$Q189,'Reaction Information'!$C$13,'Reaction Information'!$P$13*10^5,'Reaction Information'!$Q$13,$D$20,$D$19=3))*41.84)</f>
        <v>#VALUE!</v>
      </c>
      <c r="BN189" s="8" t="e">
        <f>IF(OR(ISBLANK(Input!$AA$4),$D$27=FALSE),NA(),('Reaction Information'!$J$17/10+'Reaction Information'!$K$17*100/(Calculations!$C$12+Calculations!$M189)+('Reaction Information'!$L$17+'Reaction Information'!$M$17*10000/(Calculations!$C$12+Calculations!$M189))/(Calculations!$O189-Calculations!$C$13)-calculateOmega(Calculations!M189,Calculations!N189,Calculations!Q189,'Reaction Information'!$C$17,'Reaction Information'!$P$17*10^5,'Reaction Information'!$Q$17)*Calculations!$U189*10^-6 + (1/$S189 - 1)*calculate_domegadP(Calculations!M189,Calculations!N189,Calculations!Q189,'Reaction Information'!$C$17,'Reaction Information'!$P$17*10^5,'Reaction Information'!$Q$17,$D$20,$D$19=3))*41.84)</f>
        <v>#N/A</v>
      </c>
      <c r="BO189" s="8" t="e">
        <f>IF(OR(ISBLANK(Input!$AD$4),$D$27=FALSE),NA(),('Reaction Information'!$J$21/10+'Reaction Information'!$K$21*100/(Calculations!$C$12+Calculations!$M189)+('Reaction Information'!$L$21+'Reaction Information'!$M$21*10000/(Calculations!$C$12+Calculations!$M189))/(Calculations!$O189-Calculations!$C$13)-calculateOmega(Calculations!M189,Calculations!N189,Calculations!Q189,'Reaction Information'!$C$21,'Reaction Information'!$P$21*10^5,'Reaction Information'!$Q$21)*Calculations!$U189*10^-6 + (1/$S189 - 1)*calculate_domegadP(Calculations!M189,Calculations!N189,Calculations!Q189,'Reaction Information'!$C$21,'Reaction Information'!$P$21*10^5,'Reaction Information'!$Q$21,$D$20,$D$19=3))*41.84)</f>
        <v>#N/A</v>
      </c>
      <c r="BP189" s="8" t="e">
        <f>IF(OR(ISBLANK(Input!$AG$4),$D$27=FALSE),NA(),('Reaction Information'!$J$25/10+'Reaction Information'!$K$25*100/(Calculations!$C$12+Calculations!$M189)+('Reaction Information'!$L$25+'Reaction Information'!$M$25*10000/(Calculations!$C$12+Calculations!$M189))/(Calculations!$O189-Calculations!$C$13)-calculateOmega(Calculations!M189,Calculations!N189,Calculations!Q189,'Reaction Information'!$C$25,'Reaction Information'!$P$25*10^5,'Reaction Information'!$Q$25)*Calculations!$U189*10^-6 + (1/$S189 - 1)*calculate_domegadP(Calculations!M189,Calculations!N189,Calculations!Q189,'Reaction Information'!$C$25,'Reaction Information'!$P$25*10^5,'Reaction Information'!$Q$25,$D$20,$D$19=3))*41.84)</f>
        <v>#N/A</v>
      </c>
      <c r="BQ189" s="8" t="e">
        <f>IF(OR(ISBLANK(Input!$AJ$4),$D$27=FALSE),NA(),('Reaction Information'!$J$29/10+'Reaction Information'!$K$29*100/(Calculations!$C$12+Calculations!$M189)+('Reaction Information'!$L$29+'Reaction Information'!$M$29*10000/(Calculations!$C$12+Calculations!$M189))/(Calculations!$O189-Calculations!$C$13)-calculateOmega(Calculations!M189,Calculations!N189,Calculations!Q189,'Reaction Information'!$C$29,'Reaction Information'!$P$29*10^5,'Reaction Information'!$Q$29)*Calculations!$U189*10^-6 + (1/$S189 - 1)*calculate_domegadP(Calculations!M189,Calculations!N189,Calculations!Q189,'Reaction Information'!$C$29,'Reaction Information'!$P$29*10^5,'Reaction Information'!$Q$29,$D$20,$D$19=3))*41.84)</f>
        <v>#N/A</v>
      </c>
      <c r="BR189" s="8" t="e">
        <f>IF(OR(ISBLANK(Input!$AM$4),$D$27=FALSE),NA(),('Reaction Information'!$J$33/10+'Reaction Information'!$K$33*100/(Calculations!$C$12+Calculations!$M189)+('Reaction Information'!$L$33+'Reaction Information'!$M$33*10000/(Calculations!$C$12+Calculations!$M189))/(Calculations!$O189-Calculations!$C$13)-calculateOmega(Calculations!M189,Calculations!N189,Calculations!Q189,'Reaction Information'!$C$33,'Reaction Information'!$P$33*10^5,'Reaction Information'!$Q$33)*Calculations!$U189*10^-6 + (1/$S189 - 1)*calculate_domegadP(Calculations!M189,Calculations!N189,Calculations!Q189,'Reaction Information'!$C$33,'Reaction Information'!$P$33*10^5,'Reaction Information'!$Q$33,$D$20,$D$19=3))*41.84)</f>
        <v>#N/A</v>
      </c>
      <c r="BS189" s="1">
        <f>Results!AW191</f>
        <v>0</v>
      </c>
      <c r="BT189" s="1">
        <f>Results!AX191</f>
        <v>0</v>
      </c>
      <c r="BU189" s="1">
        <f>Results!AY191</f>
        <v>0</v>
      </c>
      <c r="BV189" s="1">
        <f>Results!AZ191</f>
        <v>0</v>
      </c>
      <c r="BW189" s="1" t="e">
        <f>IF(OR(ISNA('Reaction Information'!$D$38), $N189 = "", $D$27 = FALSE, 'Reaction Information'!$D$38 = ""), NA(), 24.465)</f>
        <v>#N/A</v>
      </c>
      <c r="BX189" s="1" t="e">
        <f>IF(OR(ISNA('Reaction Information'!$D$42), $N189 = "", $D$27 = FALSE, 'Reaction Information'!$D$42 = ""), NA(), 24.465)</f>
        <v>#N/A</v>
      </c>
      <c r="BY189" s="8" t="e">
        <f t="shared" si="56"/>
        <v>#N/A</v>
      </c>
      <c r="BZ189" s="8" t="e">
        <f>IF(OR(ISBLANK(Input!$BK$4),$D$27=FALSE),NA(),('Reaction Information'!$J$46/10+'Reaction Information'!$K$46*100/(Calculations!$C$12+Calculations!$M189)+('Reaction Information'!$L$46+'Reaction Information'!$M$46*10000/(Calculations!$C$12+Calculations!$M189))/(Calculations!$O189-Calculations!$C$13)-calculateOmega(Calculations!M189,Calculations!N189,Calculations!Q189,'Reaction Information'!$C$46,'Reaction Information'!$P$46*10^5,'Reaction Information'!$Q$46)*Calculations!$U189*10^-6 + (1/$S189 - 1)*calculate_domegadP(Calculations!M189,Calculations!N189,Calculations!Q189,'Reaction Information'!$C$46,'Reaction Information'!$P$46*10^5,'Reaction Information'!$Q$46,$D$20,$D$19=3))*41.84)</f>
        <v>#VALUE!</v>
      </c>
      <c r="CA189" s="8" t="e">
        <f>IF(OR(ISBLANK(Input!$BN$4),$D$27=FALSE),NA(),('Reaction Information'!$J$50/10+'Reaction Information'!$K$50*100/(Calculations!$C$12+Calculations!$M189)+('Reaction Information'!$L$50+'Reaction Information'!$M$50*10000/(Calculations!$C$12+Calculations!$M189))/(Calculations!$O189-Calculations!$C$13)-calculateOmega(Calculations!M189,Calculations!N189,Calculations!Q189,'Reaction Information'!$C$50,'Reaction Information'!$P$50*10^5,'Reaction Information'!$Q$50)*Calculations!$U189*10^-6 + (1/$S189 - 1)*calculate_domegadP(Calculations!M189,Calculations!N189,Calculations!Q189,'Reaction Information'!$C$50,'Reaction Information'!$P$50*10^5,'Reaction Information'!$Q$50,$D$20,$D$19=3))*41.84)</f>
        <v>#VALUE!</v>
      </c>
      <c r="CB189" s="8" t="e">
        <f>IF(OR(ISBLANK(Input!$BQ$4),$D$27=FALSE),NA(),('Reaction Information'!$J$54/10+'Reaction Information'!$K$54*100/(Calculations!$C$12+Calculations!$M189)+('Reaction Information'!$L$54+'Reaction Information'!$M$54*10000/(Calculations!$C$12+Calculations!$M189))/(Calculations!$O189-Calculations!$C$13)-calculateOmega(Calculations!M189,Calculations!N189,Calculations!Q189,'Reaction Information'!$C$54,'Reaction Information'!$P$54*10^5,'Reaction Information'!$Q$54)*Calculations!$U189*10^-6 + (1/$S189 - 1)*calculate_domegadP(Calculations!M189,Calculations!N189,Calculations!Q189,'Reaction Information'!$C$54,'Reaction Information'!$P$54*10^5,'Reaction Information'!$Q$54,$D$20,$D$19=3))*41.84)</f>
        <v>#N/A</v>
      </c>
      <c r="CC189" s="8" t="e">
        <f>IF(OR(ISBLANK(Input!$BT$4),$D$27=FALSE),NA(),('Reaction Information'!$J$58/10+'Reaction Information'!$K$58*100/(Calculations!$C$12+Calculations!$M189)+('Reaction Information'!$L$58+'Reaction Information'!$M$58*10000/(Calculations!$C$12+Calculations!$M189))/(Calculations!$O189-Calculations!$C$13)-calculateOmega(Calculations!M189,Calculations!N189,Calculations!Q189,'Reaction Information'!$C$58,'Reaction Information'!$P$58*10^5,'Reaction Information'!$Q$58)*Calculations!$U189*10^-6 + (1/$S189 - 1)*calculate_domegadP(Calculations!M189,Calculations!N189,Calculations!Q189,'Reaction Information'!$C$58,'Reaction Information'!$P$58*10^5,'Reaction Information'!$Q$58,$D$20,$D$19=3))*41.84)</f>
        <v>#N/A</v>
      </c>
      <c r="CD189" s="8" t="e">
        <f>IF(OR(ISBLANK(Input!$BW$4),$D$27=FALSE),NA(),('Reaction Information'!$J$62/10+'Reaction Information'!$K$62*100/(Calculations!$C$12+Calculations!$M189)+('Reaction Information'!$L$62+'Reaction Information'!$M$62*10000/(Calculations!$C$12+Calculations!$M189))/(Calculations!$O189-Calculations!$C$13)-calculateOmega(Calculations!M189,Calculations!N189,Calculations!Q189,'Reaction Information'!$C$62,'Reaction Information'!$P$62*10^5,'Reaction Information'!$Q$62)*Calculations!$U189*10^-6 + (1/$S189 - 1)*calculate_domegadP(Calculations!M189,Calculations!N189,Calculations!Q189,'Reaction Information'!$C$62,'Reaction Information'!$P$62*10^5,'Reaction Information'!$Q$62,$D$20,$D$19=3))*41.84)</f>
        <v>#N/A</v>
      </c>
      <c r="CE189" s="8" t="e">
        <f>IF(OR(ISBLANK(Input!$BZ$4),$D$27=FALSE),NA(),('Reaction Information'!$J$66/10+'Reaction Information'!$K$66*100/(Calculations!$C$12+Calculations!$M189)+('Reaction Information'!$L$66+'Reaction Information'!$M$66*10000/(Calculations!$C$12+Calculations!$M189))/(Calculations!$O189-Calculations!$C$13)-calculateOmega(Calculations!M189,Calculations!N189,Calculations!Q189,'Reaction Information'!$C$66,'Reaction Information'!$P$66*10^5,'Reaction Information'!$Q$66)*Calculations!$U189*10^-6 + (1/$S189 - 1)*calculate_domegadP(Calculations!M189,Calculations!N189,Calculations!Q189,'Reaction Information'!$C$66,'Reaction Information'!$P$66*10^5,'Reaction Information'!$Q$66,$D$20,$D$19=3))*41.84)</f>
        <v>#N/A</v>
      </c>
      <c r="CF189" s="31" t="e">
        <f>(BS189*Input!$AO$4+BT189*Input!$AR$4+BU189*Input!$AU$4+BV189*Input!$AX$4+IF(ISNA(BW189),0,BW189*Input!$BA$4)+IF(ISNA(BX189),0,BX189*Input!$BD$4)+IF(ISNA(BY189),0,BY189*Input!$BG$4)+IF(ISNA(BZ189),0,BZ189*Input!$BJ$4)+IF(ISNA(CA189),0,CA189*Input!$BM$4)+IF(ISNA(CB189),0,CB189*Input!$BP$4)+IF(ISNA(CC189),0,CC189*Input!$BS$4)+IF(ISNA(CD189),0,CD189*Input!$BV$4)+IF(ISNA(CE189),0,CE189*Input!$BY$4))-(BF189*Input!$B$4+BG189*Input!$E$4+BH189*Input!$H$4+BI189*Input!$K$4+IF(ISNA(BJ189),0,BJ189*Input!$N$4)+IF(ISNA(BK189),0,BK189*Input!$Q$4)+IF(ISNA(BL189),0,BL189*Input!$T$4)+IF(ISNA(BM189),0,BM189*Input!$W$4)+IF(ISNA(BN189),0,BN189*Input!$Z$4)+IF(ISNA(BO189),0,BO189*Input!$AC$4)+IF(ISNA(BP189),0,BP189*Input!$AF$4)+IF(ISNA(BQ189),0,BQ189*Input!$AI$4)+IF(ISNA(BR189),0,BR189*Input!$AL$4))</f>
        <v>#VALUE!</v>
      </c>
      <c r="CG189" s="1" t="str">
        <f t="shared" si="50"/>
        <v/>
      </c>
      <c r="CH189" s="46" t="str">
        <f t="shared" si="51"/>
        <v/>
      </c>
      <c r="CI189" s="1"/>
    </row>
    <row r="190" spans="1:87" x14ac:dyDescent="0.2">
      <c r="A190" s="1"/>
      <c r="B190" s="1"/>
      <c r="C190" s="1"/>
      <c r="D190" s="1"/>
      <c r="E190" s="1"/>
      <c r="F190" s="2">
        <v>185</v>
      </c>
      <c r="G190" s="1" t="str">
        <f>IF(ISBLANK(Input!CB190), "", Input!CB190*1000)</f>
        <v/>
      </c>
      <c r="H190" s="1" t="str">
        <f>IF(ISBLANK(Input!CC190), "", Input!CC190)</f>
        <v/>
      </c>
      <c r="I190" s="1" t="str">
        <f>IF(Input!$CF$5 + Input!$CF$6*(FLOOR((Calculations!$F190-1)/(FLOOR((Input!$CF$12-Input!$CF$10)/Input!$CF$11,1)+1),1)) &gt; Input!$CF$7, "", (Input!$CF$5 + Input!$CF$6*(FLOOR((Calculations!$F190-1)/(FLOOR((Input!$CF$12-Input!$CF$10)/Input!$CF$11,1)+1),1)))*1000)</f>
        <v/>
      </c>
      <c r="J190" s="1" t="str">
        <f>IF(Calculations!I190 = "", "", Input!$CF$10 + Input!$CF$11*(Calculations!$F190-1) - (FLOOR((Input!$CF$12-Input!$CF$10)/Input!$CF$11,1)+1)*Input!$CF$11*FLOOR((Calculations!$F190-1)/(FLOOR((Input!$CF$12-Input!$CF$10)/Input!$CF$11,1)+1),1))</f>
        <v/>
      </c>
      <c r="K190" s="8" t="str">
        <f t="shared" si="52"/>
        <v/>
      </c>
      <c r="L190" s="117" t="str">
        <f>IF(OR(Input!$CJ$5 + Input!$CJ$6*(Calculations!F190-1) &gt; Input!$CJ$7, Input!$CJ$5 + Input!$CJ$6*(Calculations!F190-1) &gt; 350), "", Input!$CJ$5 + Input!$CJ$6*(Calculations!F190-1))</f>
        <v/>
      </c>
      <c r="M190" s="1" t="str">
        <f t="shared" si="42"/>
        <v/>
      </c>
      <c r="N190" s="1" t="str">
        <f t="shared" si="43"/>
        <v/>
      </c>
      <c r="O190" s="1" t="e">
        <f t="shared" si="53"/>
        <v>#VALUE!</v>
      </c>
      <c r="P190" s="1" t="e">
        <f>IF(OR($D$20=3,AND($D$21=TRUE,M190&lt;1000)),INDEX('Water Density'!$C$6:$CX$120,MATCH(Calculations!N190,'Water Density'!$B$6:$B$120),MATCH(Calculations!M190/1000,'Water Density'!$C$5:$CX$5)),NA())</f>
        <v>#N/A</v>
      </c>
      <c r="Q190" s="182" t="e">
        <f>IF(OR($D$20=3,AND($D$21=TRUE,M190&lt;1000)), IF(P190&lt;&gt;0,P190,NA()), calculateDensity(M190,N190,$D$20,0.01,$D$19 = 3))</f>
        <v>#VALUE!</v>
      </c>
      <c r="R190" s="1" t="e">
        <f>IF($D$22=5,INDEX('Dielectric Constant'!$C$6:$CX$120,MATCH(Calculations!N190,'Dielectric Constant'!$B$6:$B$120),MATCH(Calculations!M190/1000,'Dielectric Constant'!$C$5:$CX$5)),NA())</f>
        <v>#N/A</v>
      </c>
      <c r="S190" s="58" t="e">
        <f>IF($D$22=5, IF(R190&lt;&gt;0,R190,NA()), IF(AND($D$23,M190&lt;=5000,$D$19 &lt;&gt; 3),calculateEpsilon(Q190,N190,1,FALSE),calculateEpsilon(Q190,N190,$D$22,$D$19 = 3)))</f>
        <v>#VALUE!</v>
      </c>
      <c r="T190" s="1" t="e">
        <f>IF($D$24=3,INDEX('Water Free Energy'!$C$6:$CX$120,MATCH(Calculations!N190,'Water Free Energy'!$B$6:$B$120),MATCH(Calculations!M190/1000,'Water Free Energy'!$C$5:$CX$5)),NA())</f>
        <v>#N/A</v>
      </c>
      <c r="U190" s="179" t="e">
        <f>IF($D$27,calculateQ(M190,N190,Q190,$D$20,$D$22,$D$19=3)*10^6,NA())</f>
        <v>#VALUE!</v>
      </c>
      <c r="V190"/>
      <c r="W190" s="2" t="str">
        <f t="shared" si="44"/>
        <v/>
      </c>
      <c r="X190" s="1" t="str">
        <f t="shared" si="45"/>
        <v/>
      </c>
      <c r="Y190" s="1">
        <f>Results!F192</f>
        <v>0</v>
      </c>
      <c r="Z190" s="1">
        <f>Results!G192</f>
        <v>0</v>
      </c>
      <c r="AA190" s="1">
        <f>Results!H192</f>
        <v>0</v>
      </c>
      <c r="AB190" s="1">
        <f>Results!I192</f>
        <v>0</v>
      </c>
      <c r="AC190" s="1" t="e">
        <f>IF(ISBLANK(Input!$O$4),NA(),'Reaction Information'!$E$5-'Reaction Information'!$G$5*(Calculations!$O190-Calculations!$C$8)+'Reaction Information'!$I$5*(Calculations!$O190-Calculations!$C$8-Calculations!$O190*LN(Calculations!$O190/Calculations!$C$8))+'Reaction Information'!$J$5*0.001/2*(2*Calculations!$O190*Calculations!$C$8-Calculations!$O190^2-Calculations!$C$8^2) + 'Reaction Information'!$K$5*100000*(Calculations!$O190^2 + Calculations!$C$8^2 - 2*Calculations!$O190*Calculations!$C$8)/(2*Calculations!$O190*Calculations!$C$8^2))</f>
        <v>#N/A</v>
      </c>
      <c r="AD190" s="8" t="e">
        <f>IF(ISBLANK(Input!$R$4),NA(),'Reaction Information'!$E$9-'Reaction Information'!$G$9*(Calculations!$O190-Calculations!$C$8)+'Reaction Information'!$I$9*(Calculations!$O190-Calculations!$C$8-Calculations!$O190*LN(Calculations!$O190/Calculations!$C$8))+'Reaction Information'!$J$9*0.001/2*(2*Calculations!$O190*Calculations!$C$8-Calculations!$O190^2-Calculations!$C$8^2) + 'Reaction Information'!$K$9*100000*(Calculations!$O190^2 + Calculations!$C$8^2 - 2*Calculations!$O190*Calculations!$C$8)/(2*Calculations!$O190*Calculations!$C$8^2))</f>
        <v>#N/A</v>
      </c>
      <c r="AE190" s="8" t="e">
        <f>IF(AE$5="H2O",IF($D$24=3,IF(T190=0,NA(),T190),calculateGibbsOfWater(M190,N190,$D$24,$D$20,$D$19=3)),NA())</f>
        <v>#VALUE!</v>
      </c>
      <c r="AF190" s="8" t="e">
        <f>IF(ISBLANK(Input!$X$4),NA(),'Reaction Information'!$E$13-'Reaction Information'!$G$13*(Calculations!O190-Calculations!$C$8)-'Reaction Information'!$N$13*(Calculations!O190*LN(Calculations!O190/Calculations!$C$8)-Calculations!O190+Calculations!$C$8)-'Reaction Information'!$O$13*10^4*(((1/(Calculations!O190-Calculations!$C$13))-(1/(Calculations!$C$8-Calculations!$C$13)))*((Calculations!$C$13-Calculations!O190)/(Calculations!$C$13))-(Calculations!O190/(Calculations!$C$13*Calculations!$C$13))*LN((Calculations!$C$8*(Calculations!O190-Calculations!$C$13))/(Calculations!O190*(Calculations!$C$8-Calculations!$C$13))))+'Reaction Information'!$J$13*10^-1*(Calculations!M190-Calculations!$C$9)+'Reaction Information'!$K$13*10^2*LN((Calculations!$C$12+Calculations!M190)/(Calculations!$C$12+Calculations!$C$9))+(1/(Calculations!O190-Calculations!$C$13))*('Reaction Information'!$L$13*(Calculations!M190-Calculations!$C$9)+'Reaction Information'!$M$13*10^4*LN((Calculations!$C$12+Calculations!M190)/(Calculations!$C$12+Calculations!$C$9)))+calculateOmega(Calculations!M190,Calculations!N190,Calculations!Q190,'Reaction Information'!$C$13,'Reaction Information'!$P$13*10^5,'Reaction Information'!$Q$13)*((1/Calculations!S190)-1)-'Reaction Information'!$P$13*10^5*((1/Calculations!$C$10)-1)+'Reaction Information'!$P$13*10^5*Calculations!$C$14*(Calculations!O190-Calculations!$C$8))</f>
        <v>#VALUE!</v>
      </c>
      <c r="AG190" s="8" t="e">
        <f>IF(ISBLANK(Input!$AA$4),NA(),'Reaction Information'!$E$17-'Reaction Information'!$G$17*(Calculations!$O190-Calculations!$C$8)-'Reaction Information'!$N$17*(Calculations!$O190*LN(Calculations!$O190/Calculations!$C$8)-Calculations!$O190+Calculations!$C$8)-'Reaction Information'!$O$17*10^4*(((1/(Calculations!$O190-Calculations!$C$13))-(1/(Calculations!$C$8-Calculations!$C$13)))*((Calculations!$C$13-Calculations!$O190)/(Calculations!$C$13))-(Calculations!$O190/(Calculations!$C$13*Calculations!$C$13))*LN((Calculations!$C$8*(Calculations!$O190-Calculations!$C$13))/(Calculations!$O190*(Calculations!$C$8-Calculations!$C$13))))+'Reaction Information'!$J$17*10^-1*(Calculations!$M190-Calculations!$C$9)+'Reaction Information'!$K$17*10^2*LN((Calculations!$C$12+Calculations!$M190)/(Calculations!$C$12+Calculations!$C$9))+(1/(Calculations!$O190-Calculations!$C$13))*('Reaction Information'!$L$17*(Calculations!$M190-Calculations!$C$9)+'Reaction Information'!$M$17*10^4*LN((Calculations!$C$12+Calculations!$M190)/(Calculations!$C$12+Calculations!$C$9)))+calculateOmega(Calculations!M190,Calculations!N190,Calculations!Q190,'Reaction Information'!$C$17,'Reaction Information'!$P$17*10^5,'Reaction Information'!$Q$17)*((1/Calculations!$S190)-1)-'Reaction Information'!$P$17*10^5*((1/Calculations!$C$10)-1)+'Reaction Information'!$P$17*10^5*Calculations!$C$14*(Calculations!$O190-Calculations!$C$8))</f>
        <v>#N/A</v>
      </c>
      <c r="AH190" s="8" t="e">
        <f>IF(ISBLANK(Input!$AD$4),NA(),'Reaction Information'!$E$21-'Reaction Information'!$G$21*(Calculations!$O190-Calculations!$C$8)-'Reaction Information'!$N$21*(Calculations!$O190*LN(Calculations!$O190/Calculations!$C$8)-Calculations!$O190+Calculations!$C$8)-'Reaction Information'!$O$21*10^4*(((1/(Calculations!$O190-Calculations!$C$13))-(1/(Calculations!$C$8-Calculations!$C$13)))*((Calculations!$C$13-Calculations!$O190)/(Calculations!$C$13))-(Calculations!$O190/(Calculations!$C$13*Calculations!$C$13))*LN((Calculations!$C$8*(Calculations!$O190-Calculations!$C$13))/(Calculations!$O190*(Calculations!$C$8-Calculations!$C$13))))+'Reaction Information'!$J$21*10^-1*(Calculations!$M190-Calculations!$C$9)+'Reaction Information'!$K$21*10^2*LN((Calculations!$C$12+Calculations!$M190)/(Calculations!$C$12+Calculations!$C$9))+(1/(Calculations!$O190-Calculations!$C$13))*('Reaction Information'!$L$21*(Calculations!$M190-Calculations!$C$9)+'Reaction Information'!$M$21*10^4*LN((Calculations!$C$12+Calculations!$M190)/(Calculations!$C$12+Calculations!$C$9)))+calculateOmega(Calculations!M190,Calculations!N190,Calculations!Q190,'Reaction Information'!$C$21,'Reaction Information'!$P$21*10^5,'Reaction Information'!$Q$21)*((1/Calculations!$S190)-1)-'Reaction Information'!$P$21*10^5*((1/Calculations!$C$10)-1)+'Reaction Information'!$P$21*10^5*Calculations!$C$14*(Calculations!$O190-Calculations!$C$8))</f>
        <v>#N/A</v>
      </c>
      <c r="AI190" s="8" t="e">
        <f>IF(ISBLANK(Input!$AG$4),NA(),'Reaction Information'!$E$25-'Reaction Information'!$G$25*(Calculations!$O190-Calculations!$C$8)-'Reaction Information'!$N$25*(Calculations!$O190*LN(Calculations!$O190/Calculations!$C$8)-Calculations!$O190+Calculations!$C$8)-'Reaction Information'!$O$25*10^4*(((1/(Calculations!$O190-Calculations!$C$13))-(1/(Calculations!$C$8-Calculations!$C$13)))*((Calculations!$C$13-Calculations!$O190)/(Calculations!$C$13))-(Calculations!$O190/(Calculations!$C$13*Calculations!$C$13))*LN((Calculations!$C$8*(Calculations!$O190-Calculations!$C$13))/(Calculations!$O190*(Calculations!$C$8-Calculations!$C$13))))+'Reaction Information'!$J$25*10^-1*(Calculations!$M190-Calculations!$C$9)+'Reaction Information'!$K$25*10^2*LN((Calculations!$C$12+Calculations!$M190)/(Calculations!$C$12+Calculations!$C$9))+(1/(Calculations!$O190-Calculations!$C$13))*('Reaction Information'!$L$25*(Calculations!$M190-Calculations!$C$9)+'Reaction Information'!$M$25*10^4*LN((Calculations!$C$12+Calculations!$M190)/(Calculations!$C$12+Calculations!$C$9)))+calculateOmega(Calculations!M190,Calculations!N190,Calculations!Q190,'Reaction Information'!$C$25,'Reaction Information'!$P$25*10^5,'Reaction Information'!$Q$25)*((1/Calculations!$S190)-1)-'Reaction Information'!$P$25*10^5*((1/Calculations!$C$10)-1)+'Reaction Information'!$P$25*10^5*Calculations!$C$14*(Calculations!$O190-Calculations!$C$8))</f>
        <v>#N/A</v>
      </c>
      <c r="AJ190" s="8" t="e">
        <f>IF(ISBLANK(Input!$AJ$4),NA(),'Reaction Information'!$E$29-'Reaction Information'!$G$29*(Calculations!$O190-Calculations!$C$8)-'Reaction Information'!$N$29*(Calculations!$O190*LN(Calculations!$O190/Calculations!$C$8)-Calculations!$O190+Calculations!$C$8)-'Reaction Information'!$O$29*10^4*(((1/(Calculations!$O190-Calculations!$C$13))-(1/(Calculations!$C$8-Calculations!$C$13)))*((Calculations!$C$13-Calculations!$O190)/(Calculations!$C$13))-(Calculations!$O190/(Calculations!$C$13*Calculations!$C$13))*LN((Calculations!$C$8*(Calculations!$O190-Calculations!$C$13))/(Calculations!$O190*(Calculations!$C$8-Calculations!$C$13))))+'Reaction Information'!$J$29*10^-1*(Calculations!$M190-Calculations!$C$9)+'Reaction Information'!$K$29*10^2*LN((Calculations!$C$12+Calculations!$M190)/(Calculations!$C$12+Calculations!$C$9))+(1/(Calculations!$O190-Calculations!$C$13))*('Reaction Information'!$L$29*(Calculations!$M190-Calculations!$C$9)+'Reaction Information'!$M$29*10^4*LN((Calculations!$C$12+Calculations!$M190)/(Calculations!$C$12+Calculations!$C$9)))+calculateOmega(Calculations!M190,Calculations!N190,Calculations!Q190,'Reaction Information'!$C$29,'Reaction Information'!$P$29*10^5,'Reaction Information'!$Q$29)*((1/Calculations!$S190)-1)-'Reaction Information'!$P$29*10^5*((1/Calculations!$C$10)-1)+'Reaction Information'!$P$29*10^5*Calculations!$C$14*(Calculations!$O190-Calculations!$C$8))</f>
        <v>#N/A</v>
      </c>
      <c r="AK190" s="8" t="e">
        <f>IF(ISBLANK(Input!$AM$4),NA(),'Reaction Information'!$E$33-'Reaction Information'!$G$33*(Calculations!$O190-Calculations!$C$8)-'Reaction Information'!$N$33*(Calculations!$O190*LN(Calculations!$O190/Calculations!$C$8)-Calculations!$O190+Calculations!$C$8)-'Reaction Information'!$O$33*10^4*(((1/(Calculations!$O190-Calculations!$C$13))-(1/(Calculations!$C$8-Calculations!$C$13)))*((Calculations!$C$13-Calculations!$O190)/(Calculations!$C$13))-(Calculations!$O190/(Calculations!$C$13*Calculations!$C$13))*LN((Calculations!$C$8*(Calculations!$O190-Calculations!$C$13))/(Calculations!$O190*(Calculations!$C$8-Calculations!$C$13))))+'Reaction Information'!$J$33*10^-1*(Calculations!$M190-Calculations!$C$9)+'Reaction Information'!$K$33*10^2*LN((Calculations!$C$12+Calculations!$M190)/(Calculations!$C$12+Calculations!$C$9))+(1/(Calculations!$O190-Calculations!$C$13))*('Reaction Information'!$L$33*(Calculations!$M190-Calculations!$C$9)+'Reaction Information'!$M$33*10^4*LN((Calculations!$C$12+Calculations!$M190)/(Calculations!$C$12+Calculations!$C$9)))+calculateOmega(Calculations!M190,Calculations!N190,Calculations!Q190,'Reaction Information'!$C$33,'Reaction Information'!$P$33*10^5,'Reaction Information'!$Q$33)*((1/Calculations!$S190)-1)-'Reaction Information'!$P$33*10^5*((1/Calculations!$C$10)-1)+'Reaction Information'!$P$33*10^5*Calculations!$C$14*(Calculations!$O190-Calculations!$C$8))</f>
        <v>#N/A</v>
      </c>
      <c r="AL190" s="1">
        <f>Results!S192</f>
        <v>0</v>
      </c>
      <c r="AM190" s="1">
        <f>Results!T192</f>
        <v>0</v>
      </c>
      <c r="AN190" s="1">
        <f>Results!U192</f>
        <v>0</v>
      </c>
      <c r="AO190" s="1">
        <f>Results!V192</f>
        <v>0</v>
      </c>
      <c r="AP190" s="8" t="e">
        <f>IF(ISBLANK(Input!$BB$4),NA(),'Reaction Information'!$E$38-'Reaction Information'!$G$38*(Calculations!$O190-Calculations!$C$8)+'Reaction Information'!$I$38*(Calculations!$O190-Calculations!$C$8-Calculations!$O190*LN(Calculations!$O190/Calculations!$C$8))+'Reaction Information'!$J$38*0.001/2*(2*Calculations!$O190*Calculations!$C$8-Calculations!$O190^2-Calculations!$C$8^2) + 'Reaction Information'!$K$38*100000*(Calculations!$O190^2 + Calculations!$C$8^2 - 2*Calculations!$O190*Calculations!$C$8)/(2*Calculations!$O190*Calculations!$C$8^2))</f>
        <v>#N/A</v>
      </c>
      <c r="AQ190" s="8" t="e">
        <f>IF(ISBLANK(Input!$BE$4),NA(),'Reaction Information'!$E$42-'Reaction Information'!$G$42*(Calculations!$O190-Calculations!$C$8)+'Reaction Information'!$I$42*(Calculations!$O190-Calculations!$C$8-Calculations!$O190*LN(Calculations!$O190/Calculations!$C$8))+'Reaction Information'!$J$42*0.001/2*(2*Calculations!$O190*Calculations!$C$8-Calculations!$O190^2-Calculations!$C$8^2) + 'Reaction Information'!$K$42*100000*(Calculations!$O190^2 + Calculations!$C$8^2 - 2*Calculations!$O190*Calculations!$C$8)/(2*Calculations!$O190*Calculations!$C$8^2))</f>
        <v>#N/A</v>
      </c>
      <c r="AR190" s="8" t="e">
        <f>IF(AR$5="H2O", IF($D$24=3,IF(T190=0,NA(),T190),calculateGibbsOfWater(M190,N190,$D$24,$D$20,$D$19=3)),NA())</f>
        <v>#N/A</v>
      </c>
      <c r="AS190" s="8" t="e">
        <f>IF(ISBLANK(Input!$BK$4),NA(),'Reaction Information'!$E$46-'Reaction Information'!$G$46*(Calculations!O190-Calculations!$C$8)-'Reaction Information'!$N$46*(Calculations!O190*LN(Calculations!O190/Calculations!$C$8)-Calculations!O190+Calculations!$C$8)-'Reaction Information'!$O$46*10^4*(((1/(Calculations!O190-Calculations!$C$13))-(1/(Calculations!$C$8-Calculations!$C$13)))*((Calculations!$C$13-Calculations!O190)/(Calculations!$C$13))-(Calculations!O190/(Calculations!$C$13*Calculations!$C$13))*LN((Calculations!$C$8*(Calculations!O190-Calculations!$C$13))/(Calculations!O190*(Calculations!$C$8-Calculations!$C$13))))+'Reaction Information'!$J$46*10^-1*(Calculations!$M190-Calculations!$C$9)+'Reaction Information'!$K$46*10^2*LN((Calculations!$C$12+Calculations!$M190)/(Calculations!$C$12+Calculations!$C$9))+(1/(Calculations!O190-Calculations!$C$13))*('Reaction Information'!$L$46*(Calculations!$M190-Calculations!$C$9)+'Reaction Information'!$M$46*10^4*LN((Calculations!$C$12+Calculations!$M190)/(Calculations!$C$12+Calculations!$C$9)))+calculateOmega(Calculations!M190,Calculations!N190,Calculations!Q190,'Reaction Information'!$C$46,'Reaction Information'!$P$46*10^5,'Reaction Information'!$Q$46)*((1/Calculations!S190)-1)-'Reaction Information'!$P$46*10^5*((1/Calculations!$C$10)-1)+'Reaction Information'!$P$46*10^5*Calculations!$C$14*(Calculations!O190-Calculations!$C$8))</f>
        <v>#VALUE!</v>
      </c>
      <c r="AT190" s="8" t="e">
        <f>IF(ISBLANK(Input!$BN$4),NA(),'Reaction Information'!$E$50-'Reaction Information'!$G$50*(Calculations!O190-Calculations!$C$8)-'Reaction Information'!$N$50*(Calculations!O190*LN(Calculations!O190/Calculations!$C$8)-Calculations!O190+Calculations!$C$8)-'Reaction Information'!$O$50*10^4*(((1/(Calculations!O190-Calculations!$C$13))-(1/(Calculations!$C$8-Calculations!$C$13)))*((Calculations!$C$13-Calculations!O190)/(Calculations!$C$13))-(Calculations!O190/(Calculations!$C$13*Calculations!$C$13))*LN((Calculations!$C$8*(Calculations!O190-Calculations!$C$13))/(Calculations!O190*(Calculations!$C$8-Calculations!$C$13))))+'Reaction Information'!$J$50*10^-1*(Calculations!$M190-Calculations!$C$9)+'Reaction Information'!$K$50*10^2*LN((Calculations!$C$12+Calculations!$M190)/(Calculations!$C$12+Calculations!$C$9))+(1/(Calculations!O190-Calculations!$C$13))*('Reaction Information'!$L$50*(Calculations!$M190-Calculations!$C$9)+'Reaction Information'!$M$50*10^4*LN((Calculations!$C$12+Calculations!$M190)/(Calculations!$C$12+Calculations!$C$9)))+calculateOmega(Calculations!M190,Calculations!N190,Calculations!Q190,'Reaction Information'!$C$50,'Reaction Information'!$P$50*10^5,'Reaction Information'!$Q$50)*((1/Calculations!S190)-1)-'Reaction Information'!$P$50*10^5*((1/Calculations!$C$10)-1)+'Reaction Information'!$P$50*10^5*Calculations!$C$14*(Calculations!O190-Calculations!$C$8))</f>
        <v>#VALUE!</v>
      </c>
      <c r="AU190" s="8" t="e">
        <f>IF(ISBLANK(Input!$BQ$4),NA(),'Reaction Information'!$E$54-'Reaction Information'!$G$54*(Calculations!$O190-Calculations!$C$8)-'Reaction Information'!$N$54*(Calculations!$O190*LN(Calculations!$O190/Calculations!$C$8)-Calculations!$O190+Calculations!$C$8)-'Reaction Information'!$O$54*10^4*(((1/(Calculations!$O190-Calculations!$C$13))-(1/(Calculations!$C$8-Calculations!$C$13)))*((Calculations!$C$13-Calculations!$O190)/(Calculations!$C$13))-(Calculations!$O190/(Calculations!$C$13*Calculations!$C$13))*LN((Calculations!$C$8*(Calculations!$O190-Calculations!$C$13))/(Calculations!$O190*(Calculations!$C$8-Calculations!$C$13))))+'Reaction Information'!$J$54*10^-1*(Calculations!$M190-Calculations!$C$9)+'Reaction Information'!$K$54*10^2*LN((Calculations!$C$12+Calculations!$M190)/(Calculations!$C$12+Calculations!$C$9))+(1/(Calculations!$O190-Calculations!$C$13))*('Reaction Information'!$L$54*(Calculations!$M190-Calculations!$C$9)+'Reaction Information'!$M$54*10^4*LN((Calculations!$C$12+Calculations!$M190)/(Calculations!$C$12+Calculations!$C$9)))+calculateOmega(Calculations!M190,Calculations!N190,Calculations!Q190,'Reaction Information'!$C$54,'Reaction Information'!$P$54*10^5,'Reaction Information'!$Q$54)*((1/Calculations!$S190)-1)-'Reaction Information'!$P$54*10^5*((1/Calculations!$C$10)-1)+'Reaction Information'!$P$54*10^5*Calculations!$C$14*(Calculations!$O190-Calculations!$C$8))</f>
        <v>#N/A</v>
      </c>
      <c r="AV190" s="8" t="e">
        <f>IF(ISBLANK(Input!$BT$4),NA(),'Reaction Information'!$E$58-'Reaction Information'!$G$58*(Calculations!$O190-Calculations!$C$8)-'Reaction Information'!$N$58*(Calculations!$O190*LN(Calculations!$O190/Calculations!$C$8)-Calculations!$O190+Calculations!$C$8)-'Reaction Information'!$O$58*10^4*(((1/(Calculations!$O190-Calculations!$C$13))-(1/(Calculations!$C$8-Calculations!$C$13)))*((Calculations!$C$13-Calculations!$O190)/(Calculations!$C$13))-(Calculations!$O190/(Calculations!$C$13*Calculations!$C$13))*LN((Calculations!$C$8*(Calculations!$O190-Calculations!$C$13))/(Calculations!$O190*(Calculations!$C$8-Calculations!$C$13))))+'Reaction Information'!$J$58*10^-1*(Calculations!$M190-Calculations!$C$9)+'Reaction Information'!$K$58*10^2*LN((Calculations!$C$12+Calculations!$M190)/(Calculations!$C$12+Calculations!$C$9))+(1/(Calculations!$O190-Calculations!$C$13))*('Reaction Information'!$L$58*(Calculations!$M190-Calculations!$C$9)+'Reaction Information'!$M$58*10^4*LN((Calculations!$C$12+Calculations!$M190)/(Calculations!$C$12+Calculations!$C$9)))+calculateOmega(Calculations!M190,Calculations!N190,Calculations!Q190,'Reaction Information'!$C$58,'Reaction Information'!$P$58*10^5,'Reaction Information'!$Q$58)*((1/Calculations!$S190)-1)-'Reaction Information'!$P$58*10^5*((1/Calculations!$C$10)-1)+'Reaction Information'!$P$58*10^5*Calculations!$C$14*(Calculations!$O190-Calculations!$C$8))</f>
        <v>#N/A</v>
      </c>
      <c r="AW190" s="8" t="e">
        <f>IF(ISBLANK(Input!$BW$4),NA(),'Reaction Information'!$E$62-'Reaction Information'!$G$62*(Calculations!$O190-Calculations!$C$8)-'Reaction Information'!$N$62*(Calculations!$O190*LN(Calculations!$O190/Calculations!$C$8)-Calculations!$O190+Calculations!$C$8)-'Reaction Information'!$O$62*10^4*(((1/(Calculations!$O190-Calculations!$C$13))-(1/(Calculations!$C$8-Calculations!$C$13)))*((Calculations!$C$13-Calculations!$O190)/(Calculations!$C$13))-(Calculations!$O190/(Calculations!$C$13*Calculations!$C$13))*LN((Calculations!$C$8*(Calculations!$O190-Calculations!$C$13))/(Calculations!$O190*(Calculations!$C$8-Calculations!$C$13))))+'Reaction Information'!$J$62*10^-1*(Calculations!$M190-Calculations!$C$9)+'Reaction Information'!$K$62*10^2*LN((Calculations!$C$12+Calculations!$M190)/(Calculations!$C$12+Calculations!$C$9))+(1/(Calculations!$O190-Calculations!$C$13))*('Reaction Information'!$L$62*(Calculations!$M190-Calculations!$C$9)+'Reaction Information'!$M$62*10^4*LN((Calculations!$C$12+Calculations!$M190)/(Calculations!$C$12+Calculations!$C$9)))+calculateOmega(Calculations!M190,Calculations!N190,Calculations!Q190,'Reaction Information'!$C$62,'Reaction Information'!$P$62*10^5,'Reaction Information'!$Q$62)*((1/Calculations!$S190)-1)-'Reaction Information'!$P$62*10^5*((1/Calculations!$C$10)-1)+'Reaction Information'!$P$62*10^5*Calculations!$C$14*(Calculations!$O190-Calculations!$C$8))</f>
        <v>#N/A</v>
      </c>
      <c r="AX190" s="8" t="e">
        <f>IF(ISBLANK(Input!$BZ$4),NA(),'Reaction Information'!$E$66-'Reaction Information'!$G$66*(Calculations!$O190-Calculations!$C$8)-'Reaction Information'!$N$66*(Calculations!$O190*LN(Calculations!$O190/Calculations!$C$8)-Calculations!$O190+Calculations!$C$8)-'Reaction Information'!$O$66*10^4*(((1/(Calculations!$O190-Calculations!$C$13))-(1/(Calculations!$C$8-Calculations!$C$13)))*((Calculations!$C$13-Calculations!$O190)/(Calculations!$C$13))-(Calculations!$O190/(Calculations!$C$13*Calculations!$C$13))*LN((Calculations!$C$8*(Calculations!$O190-Calculations!$C$13))/(Calculations!$O190*(Calculations!$C$8-Calculations!$C$13))))+'Reaction Information'!$J$66*10^-1*(Calculations!$M190-Calculations!$C$9)+'Reaction Information'!$K$66*10^2*LN((Calculations!$C$12+Calculations!$M190)/(Calculations!$C$12+Calculations!$C$9))+(1/(Calculations!$O190-Calculations!$C$13))*('Reaction Information'!$L$66*(Calculations!$M190-Calculations!$C$9)+'Reaction Information'!$M$66*10^4*LN((Calculations!$C$12+Calculations!$M190)/(Calculations!$C$12+Calculations!$C$9)))+calculateOmega(Calculations!M190,Calculations!N190,Calculations!Q190,'Reaction Information'!$C$66,'Reaction Information'!$P$66*10^5,'Reaction Information'!$Q$66)*((1/Calculations!$S190)-1)-'Reaction Information'!$P$66*10^5*((1/Calculations!$C$10)-1)+'Reaction Information'!$P$66*10^5*Calculations!$C$14*(Calculations!$O190-Calculations!$C$8))</f>
        <v>#N/A</v>
      </c>
      <c r="AY190" s="31" t="e">
        <f>(AL190*Input!$AO$4+AM190*Input!$AR$4+AN190*Input!$AU$4+AO190*Input!$AX$4+IF(ISNA(AP190),0,AP190*Input!$BA$4)+IF(ISNA(AQ190),0,AQ190*Input!$BD$4)+IF(ISNA(AR190),0,AR190*Input!$BG$4)+IF(ISNA(AS190),0,AS190*Input!$BJ$4)+IF(ISNA(AT190),0,AT190*Input!$BM$4)+IF(ISNA(AU190),0,AU190*Input!$BP$4)+IF(ISNA(AV190),0,AV190*Input!$BS$4)+IF(ISNA(AW190),0,AW190*Input!$BV$4)+IF(ISNA(AX190),0,AX190*Input!$BY$4))-(Y190*Input!$B$4+Z190*Input!$E$4+AA190*Input!$H$4+AB190*Input!$K$4+IF(ISNA(AC190),0,AC190*Input!$N$4)+IF(ISNA(AD190),0,AD190*Input!$Q$4)+IF(ISNA(AE190),0,AE190*Input!$T$4)+IF(ISNA(AF190),0,AF190*Input!$W$4)+IF(ISNA(AG190),0,AG190*Input!$Z$4)+IF(ISNA(AH190),0,AH190*Input!$AC$4)+IF(ISNA(AI190),0,AI190*Input!$AF$4)+IF(ISNA(AJ190),0,AJ190*Input!$AI$4)+IF(ISNA(AK190),0,AK190*Input!$AL$4))</f>
        <v>#VALUE!</v>
      </c>
      <c r="AZ190" s="42" t="e">
        <f t="shared" si="54"/>
        <v>#VALUE!</v>
      </c>
      <c r="BA190" s="1" t="str">
        <f t="shared" si="46"/>
        <v/>
      </c>
      <c r="BB190" s="46" t="str">
        <f t="shared" si="47"/>
        <v/>
      </c>
      <c r="BC190" s="1"/>
      <c r="BD190" s="2" t="str">
        <f t="shared" si="48"/>
        <v/>
      </c>
      <c r="BE190" s="46" t="str">
        <f t="shared" si="49"/>
        <v/>
      </c>
      <c r="BF190" s="1">
        <f>Results!AJ192</f>
        <v>0</v>
      </c>
      <c r="BG190" s="1">
        <f>Results!AK192</f>
        <v>0</v>
      </c>
      <c r="BH190" s="1">
        <f>Results!AL192</f>
        <v>0</v>
      </c>
      <c r="BI190" s="1">
        <f>Results!AM192</f>
        <v>0</v>
      </c>
      <c r="BJ190" s="1" t="e">
        <f>IF(OR(ISNA('Reaction Information'!$D$5), $N190 = "", $D$27 = FALSE, 'Reaction Information'!$D$5 = ""), NA(), 24.465)</f>
        <v>#N/A</v>
      </c>
      <c r="BK190" s="1" t="e">
        <f>IF(OR(ISNA('Reaction Information'!$D$9), $N190 = "", $D$27 = FALSE, 'Reaction Information'!$D$9 = ""), NA(), 24.465)</f>
        <v>#N/A</v>
      </c>
      <c r="BL190" s="8" t="e">
        <f t="shared" si="55"/>
        <v>#VALUE!</v>
      </c>
      <c r="BM190" s="8" t="e">
        <f>IF(OR(ISBLANK(Input!$X$4),$D$27=FALSE),NA(),('Reaction Information'!$J$13/10+'Reaction Information'!$K$13*100/(Calculations!$C$12+Calculations!$M190)+('Reaction Information'!$L$13+'Reaction Information'!$M$13*10^4/(Calculations!$C$12+Calculations!$M190))/(Calculations!$O190-Calculations!$C$13) -calculateOmega(Calculations!$M190,Calculations!$N190,Calculations!$Q190,'Reaction Information'!$C$13,'Reaction Information'!$P$13*10^5,'Reaction Information'!$Q$13)*Calculations!$U190*10^-6 + (1/$S190 - 1)*calculate_domegadP(Calculations!$M190,Calculations!$N190,Calculations!$Q190,'Reaction Information'!$C$13,'Reaction Information'!$P$13*10^5,'Reaction Information'!$Q$13,$D$20,$D$19=3))*41.84)</f>
        <v>#VALUE!</v>
      </c>
      <c r="BN190" s="8" t="e">
        <f>IF(OR(ISBLANK(Input!$AA$4),$D$27=FALSE),NA(),('Reaction Information'!$J$17/10+'Reaction Information'!$K$17*100/(Calculations!$C$12+Calculations!$M190)+('Reaction Information'!$L$17+'Reaction Information'!$M$17*10000/(Calculations!$C$12+Calculations!$M190))/(Calculations!$O190-Calculations!$C$13)-calculateOmega(Calculations!M190,Calculations!N190,Calculations!Q190,'Reaction Information'!$C$17,'Reaction Information'!$P$17*10^5,'Reaction Information'!$Q$17)*Calculations!$U190*10^-6 + (1/$S190 - 1)*calculate_domegadP(Calculations!M190,Calculations!N190,Calculations!Q190,'Reaction Information'!$C$17,'Reaction Information'!$P$17*10^5,'Reaction Information'!$Q$17,$D$20,$D$19=3))*41.84)</f>
        <v>#N/A</v>
      </c>
      <c r="BO190" s="8" t="e">
        <f>IF(OR(ISBLANK(Input!$AD$4),$D$27=FALSE),NA(),('Reaction Information'!$J$21/10+'Reaction Information'!$K$21*100/(Calculations!$C$12+Calculations!$M190)+('Reaction Information'!$L$21+'Reaction Information'!$M$21*10000/(Calculations!$C$12+Calculations!$M190))/(Calculations!$O190-Calculations!$C$13)-calculateOmega(Calculations!M190,Calculations!N190,Calculations!Q190,'Reaction Information'!$C$21,'Reaction Information'!$P$21*10^5,'Reaction Information'!$Q$21)*Calculations!$U190*10^-6 + (1/$S190 - 1)*calculate_domegadP(Calculations!M190,Calculations!N190,Calculations!Q190,'Reaction Information'!$C$21,'Reaction Information'!$P$21*10^5,'Reaction Information'!$Q$21,$D$20,$D$19=3))*41.84)</f>
        <v>#N/A</v>
      </c>
      <c r="BP190" s="8" t="e">
        <f>IF(OR(ISBLANK(Input!$AG$4),$D$27=FALSE),NA(),('Reaction Information'!$J$25/10+'Reaction Information'!$K$25*100/(Calculations!$C$12+Calculations!$M190)+('Reaction Information'!$L$25+'Reaction Information'!$M$25*10000/(Calculations!$C$12+Calculations!$M190))/(Calculations!$O190-Calculations!$C$13)-calculateOmega(Calculations!M190,Calculations!N190,Calculations!Q190,'Reaction Information'!$C$25,'Reaction Information'!$P$25*10^5,'Reaction Information'!$Q$25)*Calculations!$U190*10^-6 + (1/$S190 - 1)*calculate_domegadP(Calculations!M190,Calculations!N190,Calculations!Q190,'Reaction Information'!$C$25,'Reaction Information'!$P$25*10^5,'Reaction Information'!$Q$25,$D$20,$D$19=3))*41.84)</f>
        <v>#N/A</v>
      </c>
      <c r="BQ190" s="8" t="e">
        <f>IF(OR(ISBLANK(Input!$AJ$4),$D$27=FALSE),NA(),('Reaction Information'!$J$29/10+'Reaction Information'!$K$29*100/(Calculations!$C$12+Calculations!$M190)+('Reaction Information'!$L$29+'Reaction Information'!$M$29*10000/(Calculations!$C$12+Calculations!$M190))/(Calculations!$O190-Calculations!$C$13)-calculateOmega(Calculations!M190,Calculations!N190,Calculations!Q190,'Reaction Information'!$C$29,'Reaction Information'!$P$29*10^5,'Reaction Information'!$Q$29)*Calculations!$U190*10^-6 + (1/$S190 - 1)*calculate_domegadP(Calculations!M190,Calculations!N190,Calculations!Q190,'Reaction Information'!$C$29,'Reaction Information'!$P$29*10^5,'Reaction Information'!$Q$29,$D$20,$D$19=3))*41.84)</f>
        <v>#N/A</v>
      </c>
      <c r="BR190" s="8" t="e">
        <f>IF(OR(ISBLANK(Input!$AM$4),$D$27=FALSE),NA(),('Reaction Information'!$J$33/10+'Reaction Information'!$K$33*100/(Calculations!$C$12+Calculations!$M190)+('Reaction Information'!$L$33+'Reaction Information'!$M$33*10000/(Calculations!$C$12+Calculations!$M190))/(Calculations!$O190-Calculations!$C$13)-calculateOmega(Calculations!M190,Calculations!N190,Calculations!Q190,'Reaction Information'!$C$33,'Reaction Information'!$P$33*10^5,'Reaction Information'!$Q$33)*Calculations!$U190*10^-6 + (1/$S190 - 1)*calculate_domegadP(Calculations!M190,Calculations!N190,Calculations!Q190,'Reaction Information'!$C$33,'Reaction Information'!$P$33*10^5,'Reaction Information'!$Q$33,$D$20,$D$19=3))*41.84)</f>
        <v>#N/A</v>
      </c>
      <c r="BS190" s="1">
        <f>Results!AW192</f>
        <v>0</v>
      </c>
      <c r="BT190" s="1">
        <f>Results!AX192</f>
        <v>0</v>
      </c>
      <c r="BU190" s="1">
        <f>Results!AY192</f>
        <v>0</v>
      </c>
      <c r="BV190" s="1">
        <f>Results!AZ192</f>
        <v>0</v>
      </c>
      <c r="BW190" s="1" t="e">
        <f>IF(OR(ISNA('Reaction Information'!$D$38), $N190 = "", $D$27 = FALSE, 'Reaction Information'!$D$38 = ""), NA(), 24.465)</f>
        <v>#N/A</v>
      </c>
      <c r="BX190" s="1" t="e">
        <f>IF(OR(ISNA('Reaction Information'!$D$42), $N190 = "", $D$27 = FALSE, 'Reaction Information'!$D$42 = ""), NA(), 24.465)</f>
        <v>#N/A</v>
      </c>
      <c r="BY190" s="8" t="e">
        <f t="shared" si="56"/>
        <v>#N/A</v>
      </c>
      <c r="BZ190" s="8" t="e">
        <f>IF(OR(ISBLANK(Input!$BK$4),$D$27=FALSE),NA(),('Reaction Information'!$J$46/10+'Reaction Information'!$K$46*100/(Calculations!$C$12+Calculations!$M190)+('Reaction Information'!$L$46+'Reaction Information'!$M$46*10000/(Calculations!$C$12+Calculations!$M190))/(Calculations!$O190-Calculations!$C$13)-calculateOmega(Calculations!M190,Calculations!N190,Calculations!Q190,'Reaction Information'!$C$46,'Reaction Information'!$P$46*10^5,'Reaction Information'!$Q$46)*Calculations!$U190*10^-6 + (1/$S190 - 1)*calculate_domegadP(Calculations!M190,Calculations!N190,Calculations!Q190,'Reaction Information'!$C$46,'Reaction Information'!$P$46*10^5,'Reaction Information'!$Q$46,$D$20,$D$19=3))*41.84)</f>
        <v>#VALUE!</v>
      </c>
      <c r="CA190" s="8" t="e">
        <f>IF(OR(ISBLANK(Input!$BN$4),$D$27=FALSE),NA(),('Reaction Information'!$J$50/10+'Reaction Information'!$K$50*100/(Calculations!$C$12+Calculations!$M190)+('Reaction Information'!$L$50+'Reaction Information'!$M$50*10000/(Calculations!$C$12+Calculations!$M190))/(Calculations!$O190-Calculations!$C$13)-calculateOmega(Calculations!M190,Calculations!N190,Calculations!Q190,'Reaction Information'!$C$50,'Reaction Information'!$P$50*10^5,'Reaction Information'!$Q$50)*Calculations!$U190*10^-6 + (1/$S190 - 1)*calculate_domegadP(Calculations!M190,Calculations!N190,Calculations!Q190,'Reaction Information'!$C$50,'Reaction Information'!$P$50*10^5,'Reaction Information'!$Q$50,$D$20,$D$19=3))*41.84)</f>
        <v>#VALUE!</v>
      </c>
      <c r="CB190" s="8" t="e">
        <f>IF(OR(ISBLANK(Input!$BQ$4),$D$27=FALSE),NA(),('Reaction Information'!$J$54/10+'Reaction Information'!$K$54*100/(Calculations!$C$12+Calculations!$M190)+('Reaction Information'!$L$54+'Reaction Information'!$M$54*10000/(Calculations!$C$12+Calculations!$M190))/(Calculations!$O190-Calculations!$C$13)-calculateOmega(Calculations!M190,Calculations!N190,Calculations!Q190,'Reaction Information'!$C$54,'Reaction Information'!$P$54*10^5,'Reaction Information'!$Q$54)*Calculations!$U190*10^-6 + (1/$S190 - 1)*calculate_domegadP(Calculations!M190,Calculations!N190,Calculations!Q190,'Reaction Information'!$C$54,'Reaction Information'!$P$54*10^5,'Reaction Information'!$Q$54,$D$20,$D$19=3))*41.84)</f>
        <v>#N/A</v>
      </c>
      <c r="CC190" s="8" t="e">
        <f>IF(OR(ISBLANK(Input!$BT$4),$D$27=FALSE),NA(),('Reaction Information'!$J$58/10+'Reaction Information'!$K$58*100/(Calculations!$C$12+Calculations!$M190)+('Reaction Information'!$L$58+'Reaction Information'!$M$58*10000/(Calculations!$C$12+Calculations!$M190))/(Calculations!$O190-Calculations!$C$13)-calculateOmega(Calculations!M190,Calculations!N190,Calculations!Q190,'Reaction Information'!$C$58,'Reaction Information'!$P$58*10^5,'Reaction Information'!$Q$58)*Calculations!$U190*10^-6 + (1/$S190 - 1)*calculate_domegadP(Calculations!M190,Calculations!N190,Calculations!Q190,'Reaction Information'!$C$58,'Reaction Information'!$P$58*10^5,'Reaction Information'!$Q$58,$D$20,$D$19=3))*41.84)</f>
        <v>#N/A</v>
      </c>
      <c r="CD190" s="8" t="e">
        <f>IF(OR(ISBLANK(Input!$BW$4),$D$27=FALSE),NA(),('Reaction Information'!$J$62/10+'Reaction Information'!$K$62*100/(Calculations!$C$12+Calculations!$M190)+('Reaction Information'!$L$62+'Reaction Information'!$M$62*10000/(Calculations!$C$12+Calculations!$M190))/(Calculations!$O190-Calculations!$C$13)-calculateOmega(Calculations!M190,Calculations!N190,Calculations!Q190,'Reaction Information'!$C$62,'Reaction Information'!$P$62*10^5,'Reaction Information'!$Q$62)*Calculations!$U190*10^-6 + (1/$S190 - 1)*calculate_domegadP(Calculations!M190,Calculations!N190,Calculations!Q190,'Reaction Information'!$C$62,'Reaction Information'!$P$62*10^5,'Reaction Information'!$Q$62,$D$20,$D$19=3))*41.84)</f>
        <v>#N/A</v>
      </c>
      <c r="CE190" s="8" t="e">
        <f>IF(OR(ISBLANK(Input!$BZ$4),$D$27=FALSE),NA(),('Reaction Information'!$J$66/10+'Reaction Information'!$K$66*100/(Calculations!$C$12+Calculations!$M190)+('Reaction Information'!$L$66+'Reaction Information'!$M$66*10000/(Calculations!$C$12+Calculations!$M190))/(Calculations!$O190-Calculations!$C$13)-calculateOmega(Calculations!M190,Calculations!N190,Calculations!Q190,'Reaction Information'!$C$66,'Reaction Information'!$P$66*10^5,'Reaction Information'!$Q$66)*Calculations!$U190*10^-6 + (1/$S190 - 1)*calculate_domegadP(Calculations!M190,Calculations!N190,Calculations!Q190,'Reaction Information'!$C$66,'Reaction Information'!$P$66*10^5,'Reaction Information'!$Q$66,$D$20,$D$19=3))*41.84)</f>
        <v>#N/A</v>
      </c>
      <c r="CF190" s="31" t="e">
        <f>(BS190*Input!$AO$4+BT190*Input!$AR$4+BU190*Input!$AU$4+BV190*Input!$AX$4+IF(ISNA(BW190),0,BW190*Input!$BA$4)+IF(ISNA(BX190),0,BX190*Input!$BD$4)+IF(ISNA(BY190),0,BY190*Input!$BG$4)+IF(ISNA(BZ190),0,BZ190*Input!$BJ$4)+IF(ISNA(CA190),0,CA190*Input!$BM$4)+IF(ISNA(CB190),0,CB190*Input!$BP$4)+IF(ISNA(CC190),0,CC190*Input!$BS$4)+IF(ISNA(CD190),0,CD190*Input!$BV$4)+IF(ISNA(CE190),0,CE190*Input!$BY$4))-(BF190*Input!$B$4+BG190*Input!$E$4+BH190*Input!$H$4+BI190*Input!$K$4+IF(ISNA(BJ190),0,BJ190*Input!$N$4)+IF(ISNA(BK190),0,BK190*Input!$Q$4)+IF(ISNA(BL190),0,BL190*Input!$T$4)+IF(ISNA(BM190),0,BM190*Input!$W$4)+IF(ISNA(BN190),0,BN190*Input!$Z$4)+IF(ISNA(BO190),0,BO190*Input!$AC$4)+IF(ISNA(BP190),0,BP190*Input!$AF$4)+IF(ISNA(BQ190),0,BQ190*Input!$AI$4)+IF(ISNA(BR190),0,BR190*Input!$AL$4))</f>
        <v>#VALUE!</v>
      </c>
      <c r="CG190" s="1" t="str">
        <f t="shared" si="50"/>
        <v/>
      </c>
      <c r="CH190" s="46" t="str">
        <f t="shared" si="51"/>
        <v/>
      </c>
      <c r="CI190" s="1"/>
    </row>
    <row r="191" spans="1:87" x14ac:dyDescent="0.2">
      <c r="A191" s="1"/>
      <c r="B191" s="1"/>
      <c r="C191" s="1"/>
      <c r="D191" s="1"/>
      <c r="E191" s="1"/>
      <c r="F191" s="2">
        <v>186</v>
      </c>
      <c r="G191" s="1" t="str">
        <f>IF(ISBLANK(Input!CB191), "", Input!CB191*1000)</f>
        <v/>
      </c>
      <c r="H191" s="1" t="str">
        <f>IF(ISBLANK(Input!CC191), "", Input!CC191)</f>
        <v/>
      </c>
      <c r="I191" s="1" t="str">
        <f>IF(Input!$CF$5 + Input!$CF$6*(FLOOR((Calculations!$F191-1)/(FLOOR((Input!$CF$12-Input!$CF$10)/Input!$CF$11,1)+1),1)) &gt; Input!$CF$7, "", (Input!$CF$5 + Input!$CF$6*(FLOOR((Calculations!$F191-1)/(FLOOR((Input!$CF$12-Input!$CF$10)/Input!$CF$11,1)+1),1)))*1000)</f>
        <v/>
      </c>
      <c r="J191" s="1" t="str">
        <f>IF(Calculations!I191 = "", "", Input!$CF$10 + Input!$CF$11*(Calculations!$F191-1) - (FLOOR((Input!$CF$12-Input!$CF$10)/Input!$CF$11,1)+1)*Input!$CF$11*FLOOR((Calculations!$F191-1)/(FLOOR((Input!$CF$12-Input!$CF$10)/Input!$CF$11,1)+1),1))</f>
        <v/>
      </c>
      <c r="K191" s="8" t="str">
        <f t="shared" si="52"/>
        <v/>
      </c>
      <c r="L191" s="117" t="str">
        <f>IF(OR(Input!$CJ$5 + Input!$CJ$6*(Calculations!F191-1) &gt; Input!$CJ$7, Input!$CJ$5 + Input!$CJ$6*(Calculations!F191-1) &gt; 350), "", Input!$CJ$5 + Input!$CJ$6*(Calculations!F191-1))</f>
        <v/>
      </c>
      <c r="M191" s="1" t="str">
        <f t="shared" si="42"/>
        <v/>
      </c>
      <c r="N191" s="1" t="str">
        <f t="shared" si="43"/>
        <v/>
      </c>
      <c r="O191" s="1" t="e">
        <f t="shared" si="53"/>
        <v>#VALUE!</v>
      </c>
      <c r="P191" s="1" t="e">
        <f>IF(OR($D$20=3,AND($D$21=TRUE,M191&lt;1000)),INDEX('Water Density'!$C$6:$CX$120,MATCH(Calculations!N191,'Water Density'!$B$6:$B$120),MATCH(Calculations!M191/1000,'Water Density'!$C$5:$CX$5)),NA())</f>
        <v>#N/A</v>
      </c>
      <c r="Q191" s="182" t="e">
        <f>IF(OR($D$20=3,AND($D$21=TRUE,M191&lt;1000)), IF(P191&lt;&gt;0,P191,NA()), calculateDensity(M191,N191,$D$20,0.01,$D$19 = 3))</f>
        <v>#VALUE!</v>
      </c>
      <c r="R191" s="1" t="e">
        <f>IF($D$22=5,INDEX('Dielectric Constant'!$C$6:$CX$120,MATCH(Calculations!N191,'Dielectric Constant'!$B$6:$B$120),MATCH(Calculations!M191/1000,'Dielectric Constant'!$C$5:$CX$5)),NA())</f>
        <v>#N/A</v>
      </c>
      <c r="S191" s="58" t="e">
        <f>IF($D$22=5, IF(R191&lt;&gt;0,R191,NA()), IF(AND($D$23,M191&lt;=5000,$D$19 &lt;&gt; 3),calculateEpsilon(Q191,N191,1,FALSE),calculateEpsilon(Q191,N191,$D$22,$D$19 = 3)))</f>
        <v>#VALUE!</v>
      </c>
      <c r="T191" s="1" t="e">
        <f>IF($D$24=3,INDEX('Water Free Energy'!$C$6:$CX$120,MATCH(Calculations!N191,'Water Free Energy'!$B$6:$B$120),MATCH(Calculations!M191/1000,'Water Free Energy'!$C$5:$CX$5)),NA())</f>
        <v>#N/A</v>
      </c>
      <c r="U191" s="179" t="e">
        <f>IF($D$27,calculateQ(M191,N191,Q191,$D$20,$D$22,$D$19=3)*10^6,NA())</f>
        <v>#VALUE!</v>
      </c>
      <c r="V191"/>
      <c r="W191" s="2" t="str">
        <f t="shared" si="44"/>
        <v/>
      </c>
      <c r="X191" s="1" t="str">
        <f t="shared" si="45"/>
        <v/>
      </c>
      <c r="Y191" s="1">
        <f>Results!F193</f>
        <v>0</v>
      </c>
      <c r="Z191" s="1">
        <f>Results!G193</f>
        <v>0</v>
      </c>
      <c r="AA191" s="1">
        <f>Results!H193</f>
        <v>0</v>
      </c>
      <c r="AB191" s="1">
        <f>Results!I193</f>
        <v>0</v>
      </c>
      <c r="AC191" s="1" t="e">
        <f>IF(ISBLANK(Input!$O$4),NA(),'Reaction Information'!$E$5-'Reaction Information'!$G$5*(Calculations!$O191-Calculations!$C$8)+'Reaction Information'!$I$5*(Calculations!$O191-Calculations!$C$8-Calculations!$O191*LN(Calculations!$O191/Calculations!$C$8))+'Reaction Information'!$J$5*0.001/2*(2*Calculations!$O191*Calculations!$C$8-Calculations!$O191^2-Calculations!$C$8^2) + 'Reaction Information'!$K$5*100000*(Calculations!$O191^2 + Calculations!$C$8^2 - 2*Calculations!$O191*Calculations!$C$8)/(2*Calculations!$O191*Calculations!$C$8^2))</f>
        <v>#N/A</v>
      </c>
      <c r="AD191" s="8" t="e">
        <f>IF(ISBLANK(Input!$R$4),NA(),'Reaction Information'!$E$9-'Reaction Information'!$G$9*(Calculations!$O191-Calculations!$C$8)+'Reaction Information'!$I$9*(Calculations!$O191-Calculations!$C$8-Calculations!$O191*LN(Calculations!$O191/Calculations!$C$8))+'Reaction Information'!$J$9*0.001/2*(2*Calculations!$O191*Calculations!$C$8-Calculations!$O191^2-Calculations!$C$8^2) + 'Reaction Information'!$K$9*100000*(Calculations!$O191^2 + Calculations!$C$8^2 - 2*Calculations!$O191*Calculations!$C$8)/(2*Calculations!$O191*Calculations!$C$8^2))</f>
        <v>#N/A</v>
      </c>
      <c r="AE191" s="8" t="e">
        <f>IF(AE$5="H2O",IF($D$24=3,IF(T191=0,NA(),T191),calculateGibbsOfWater(M191,N191,$D$24,$D$20,$D$19=3)),NA())</f>
        <v>#VALUE!</v>
      </c>
      <c r="AF191" s="8" t="e">
        <f>IF(ISBLANK(Input!$X$4),NA(),'Reaction Information'!$E$13-'Reaction Information'!$G$13*(Calculations!O191-Calculations!$C$8)-'Reaction Information'!$N$13*(Calculations!O191*LN(Calculations!O191/Calculations!$C$8)-Calculations!O191+Calculations!$C$8)-'Reaction Information'!$O$13*10^4*(((1/(Calculations!O191-Calculations!$C$13))-(1/(Calculations!$C$8-Calculations!$C$13)))*((Calculations!$C$13-Calculations!O191)/(Calculations!$C$13))-(Calculations!O191/(Calculations!$C$13*Calculations!$C$13))*LN((Calculations!$C$8*(Calculations!O191-Calculations!$C$13))/(Calculations!O191*(Calculations!$C$8-Calculations!$C$13))))+'Reaction Information'!$J$13*10^-1*(Calculations!M191-Calculations!$C$9)+'Reaction Information'!$K$13*10^2*LN((Calculations!$C$12+Calculations!M191)/(Calculations!$C$12+Calculations!$C$9))+(1/(Calculations!O191-Calculations!$C$13))*('Reaction Information'!$L$13*(Calculations!M191-Calculations!$C$9)+'Reaction Information'!$M$13*10^4*LN((Calculations!$C$12+Calculations!M191)/(Calculations!$C$12+Calculations!$C$9)))+calculateOmega(Calculations!M191,Calculations!N191,Calculations!Q191,'Reaction Information'!$C$13,'Reaction Information'!$P$13*10^5,'Reaction Information'!$Q$13)*((1/Calculations!S191)-1)-'Reaction Information'!$P$13*10^5*((1/Calculations!$C$10)-1)+'Reaction Information'!$P$13*10^5*Calculations!$C$14*(Calculations!O191-Calculations!$C$8))</f>
        <v>#VALUE!</v>
      </c>
      <c r="AG191" s="8" t="e">
        <f>IF(ISBLANK(Input!$AA$4),NA(),'Reaction Information'!$E$17-'Reaction Information'!$G$17*(Calculations!$O191-Calculations!$C$8)-'Reaction Information'!$N$17*(Calculations!$O191*LN(Calculations!$O191/Calculations!$C$8)-Calculations!$O191+Calculations!$C$8)-'Reaction Information'!$O$17*10^4*(((1/(Calculations!$O191-Calculations!$C$13))-(1/(Calculations!$C$8-Calculations!$C$13)))*((Calculations!$C$13-Calculations!$O191)/(Calculations!$C$13))-(Calculations!$O191/(Calculations!$C$13*Calculations!$C$13))*LN((Calculations!$C$8*(Calculations!$O191-Calculations!$C$13))/(Calculations!$O191*(Calculations!$C$8-Calculations!$C$13))))+'Reaction Information'!$J$17*10^-1*(Calculations!$M191-Calculations!$C$9)+'Reaction Information'!$K$17*10^2*LN((Calculations!$C$12+Calculations!$M191)/(Calculations!$C$12+Calculations!$C$9))+(1/(Calculations!$O191-Calculations!$C$13))*('Reaction Information'!$L$17*(Calculations!$M191-Calculations!$C$9)+'Reaction Information'!$M$17*10^4*LN((Calculations!$C$12+Calculations!$M191)/(Calculations!$C$12+Calculations!$C$9)))+calculateOmega(Calculations!M191,Calculations!N191,Calculations!Q191,'Reaction Information'!$C$17,'Reaction Information'!$P$17*10^5,'Reaction Information'!$Q$17)*((1/Calculations!$S191)-1)-'Reaction Information'!$P$17*10^5*((1/Calculations!$C$10)-1)+'Reaction Information'!$P$17*10^5*Calculations!$C$14*(Calculations!$O191-Calculations!$C$8))</f>
        <v>#N/A</v>
      </c>
      <c r="AH191" s="8" t="e">
        <f>IF(ISBLANK(Input!$AD$4),NA(),'Reaction Information'!$E$21-'Reaction Information'!$G$21*(Calculations!$O191-Calculations!$C$8)-'Reaction Information'!$N$21*(Calculations!$O191*LN(Calculations!$O191/Calculations!$C$8)-Calculations!$O191+Calculations!$C$8)-'Reaction Information'!$O$21*10^4*(((1/(Calculations!$O191-Calculations!$C$13))-(1/(Calculations!$C$8-Calculations!$C$13)))*((Calculations!$C$13-Calculations!$O191)/(Calculations!$C$13))-(Calculations!$O191/(Calculations!$C$13*Calculations!$C$13))*LN((Calculations!$C$8*(Calculations!$O191-Calculations!$C$13))/(Calculations!$O191*(Calculations!$C$8-Calculations!$C$13))))+'Reaction Information'!$J$21*10^-1*(Calculations!$M191-Calculations!$C$9)+'Reaction Information'!$K$21*10^2*LN((Calculations!$C$12+Calculations!$M191)/(Calculations!$C$12+Calculations!$C$9))+(1/(Calculations!$O191-Calculations!$C$13))*('Reaction Information'!$L$21*(Calculations!$M191-Calculations!$C$9)+'Reaction Information'!$M$21*10^4*LN((Calculations!$C$12+Calculations!$M191)/(Calculations!$C$12+Calculations!$C$9)))+calculateOmega(Calculations!M191,Calculations!N191,Calculations!Q191,'Reaction Information'!$C$21,'Reaction Information'!$P$21*10^5,'Reaction Information'!$Q$21)*((1/Calculations!$S191)-1)-'Reaction Information'!$P$21*10^5*((1/Calculations!$C$10)-1)+'Reaction Information'!$P$21*10^5*Calculations!$C$14*(Calculations!$O191-Calculations!$C$8))</f>
        <v>#N/A</v>
      </c>
      <c r="AI191" s="8" t="e">
        <f>IF(ISBLANK(Input!$AG$4),NA(),'Reaction Information'!$E$25-'Reaction Information'!$G$25*(Calculations!$O191-Calculations!$C$8)-'Reaction Information'!$N$25*(Calculations!$O191*LN(Calculations!$O191/Calculations!$C$8)-Calculations!$O191+Calculations!$C$8)-'Reaction Information'!$O$25*10^4*(((1/(Calculations!$O191-Calculations!$C$13))-(1/(Calculations!$C$8-Calculations!$C$13)))*((Calculations!$C$13-Calculations!$O191)/(Calculations!$C$13))-(Calculations!$O191/(Calculations!$C$13*Calculations!$C$13))*LN((Calculations!$C$8*(Calculations!$O191-Calculations!$C$13))/(Calculations!$O191*(Calculations!$C$8-Calculations!$C$13))))+'Reaction Information'!$J$25*10^-1*(Calculations!$M191-Calculations!$C$9)+'Reaction Information'!$K$25*10^2*LN((Calculations!$C$12+Calculations!$M191)/(Calculations!$C$12+Calculations!$C$9))+(1/(Calculations!$O191-Calculations!$C$13))*('Reaction Information'!$L$25*(Calculations!$M191-Calculations!$C$9)+'Reaction Information'!$M$25*10^4*LN((Calculations!$C$12+Calculations!$M191)/(Calculations!$C$12+Calculations!$C$9)))+calculateOmega(Calculations!M191,Calculations!N191,Calculations!Q191,'Reaction Information'!$C$25,'Reaction Information'!$P$25*10^5,'Reaction Information'!$Q$25)*((1/Calculations!$S191)-1)-'Reaction Information'!$P$25*10^5*((1/Calculations!$C$10)-1)+'Reaction Information'!$P$25*10^5*Calculations!$C$14*(Calculations!$O191-Calculations!$C$8))</f>
        <v>#N/A</v>
      </c>
      <c r="AJ191" s="8" t="e">
        <f>IF(ISBLANK(Input!$AJ$4),NA(),'Reaction Information'!$E$29-'Reaction Information'!$G$29*(Calculations!$O191-Calculations!$C$8)-'Reaction Information'!$N$29*(Calculations!$O191*LN(Calculations!$O191/Calculations!$C$8)-Calculations!$O191+Calculations!$C$8)-'Reaction Information'!$O$29*10^4*(((1/(Calculations!$O191-Calculations!$C$13))-(1/(Calculations!$C$8-Calculations!$C$13)))*((Calculations!$C$13-Calculations!$O191)/(Calculations!$C$13))-(Calculations!$O191/(Calculations!$C$13*Calculations!$C$13))*LN((Calculations!$C$8*(Calculations!$O191-Calculations!$C$13))/(Calculations!$O191*(Calculations!$C$8-Calculations!$C$13))))+'Reaction Information'!$J$29*10^-1*(Calculations!$M191-Calculations!$C$9)+'Reaction Information'!$K$29*10^2*LN((Calculations!$C$12+Calculations!$M191)/(Calculations!$C$12+Calculations!$C$9))+(1/(Calculations!$O191-Calculations!$C$13))*('Reaction Information'!$L$29*(Calculations!$M191-Calculations!$C$9)+'Reaction Information'!$M$29*10^4*LN((Calculations!$C$12+Calculations!$M191)/(Calculations!$C$12+Calculations!$C$9)))+calculateOmega(Calculations!M191,Calculations!N191,Calculations!Q191,'Reaction Information'!$C$29,'Reaction Information'!$P$29*10^5,'Reaction Information'!$Q$29)*((1/Calculations!$S191)-1)-'Reaction Information'!$P$29*10^5*((1/Calculations!$C$10)-1)+'Reaction Information'!$P$29*10^5*Calculations!$C$14*(Calculations!$O191-Calculations!$C$8))</f>
        <v>#N/A</v>
      </c>
      <c r="AK191" s="8" t="e">
        <f>IF(ISBLANK(Input!$AM$4),NA(),'Reaction Information'!$E$33-'Reaction Information'!$G$33*(Calculations!$O191-Calculations!$C$8)-'Reaction Information'!$N$33*(Calculations!$O191*LN(Calculations!$O191/Calculations!$C$8)-Calculations!$O191+Calculations!$C$8)-'Reaction Information'!$O$33*10^4*(((1/(Calculations!$O191-Calculations!$C$13))-(1/(Calculations!$C$8-Calculations!$C$13)))*((Calculations!$C$13-Calculations!$O191)/(Calculations!$C$13))-(Calculations!$O191/(Calculations!$C$13*Calculations!$C$13))*LN((Calculations!$C$8*(Calculations!$O191-Calculations!$C$13))/(Calculations!$O191*(Calculations!$C$8-Calculations!$C$13))))+'Reaction Information'!$J$33*10^-1*(Calculations!$M191-Calculations!$C$9)+'Reaction Information'!$K$33*10^2*LN((Calculations!$C$12+Calculations!$M191)/(Calculations!$C$12+Calculations!$C$9))+(1/(Calculations!$O191-Calculations!$C$13))*('Reaction Information'!$L$33*(Calculations!$M191-Calculations!$C$9)+'Reaction Information'!$M$33*10^4*LN((Calculations!$C$12+Calculations!$M191)/(Calculations!$C$12+Calculations!$C$9)))+calculateOmega(Calculations!M191,Calculations!N191,Calculations!Q191,'Reaction Information'!$C$33,'Reaction Information'!$P$33*10^5,'Reaction Information'!$Q$33)*((1/Calculations!$S191)-1)-'Reaction Information'!$P$33*10^5*((1/Calculations!$C$10)-1)+'Reaction Information'!$P$33*10^5*Calculations!$C$14*(Calculations!$O191-Calculations!$C$8))</f>
        <v>#N/A</v>
      </c>
      <c r="AL191" s="1">
        <f>Results!S193</f>
        <v>0</v>
      </c>
      <c r="AM191" s="1">
        <f>Results!T193</f>
        <v>0</v>
      </c>
      <c r="AN191" s="1">
        <f>Results!U193</f>
        <v>0</v>
      </c>
      <c r="AO191" s="1">
        <f>Results!V193</f>
        <v>0</v>
      </c>
      <c r="AP191" s="8" t="e">
        <f>IF(ISBLANK(Input!$BB$4),NA(),'Reaction Information'!$E$38-'Reaction Information'!$G$38*(Calculations!$O191-Calculations!$C$8)+'Reaction Information'!$I$38*(Calculations!$O191-Calculations!$C$8-Calculations!$O191*LN(Calculations!$O191/Calculations!$C$8))+'Reaction Information'!$J$38*0.001/2*(2*Calculations!$O191*Calculations!$C$8-Calculations!$O191^2-Calculations!$C$8^2) + 'Reaction Information'!$K$38*100000*(Calculations!$O191^2 + Calculations!$C$8^2 - 2*Calculations!$O191*Calculations!$C$8)/(2*Calculations!$O191*Calculations!$C$8^2))</f>
        <v>#N/A</v>
      </c>
      <c r="AQ191" s="8" t="e">
        <f>IF(ISBLANK(Input!$BE$4),NA(),'Reaction Information'!$E$42-'Reaction Information'!$G$42*(Calculations!$O191-Calculations!$C$8)+'Reaction Information'!$I$42*(Calculations!$O191-Calculations!$C$8-Calculations!$O191*LN(Calculations!$O191/Calculations!$C$8))+'Reaction Information'!$J$42*0.001/2*(2*Calculations!$O191*Calculations!$C$8-Calculations!$O191^2-Calculations!$C$8^2) + 'Reaction Information'!$K$42*100000*(Calculations!$O191^2 + Calculations!$C$8^2 - 2*Calculations!$O191*Calculations!$C$8)/(2*Calculations!$O191*Calculations!$C$8^2))</f>
        <v>#N/A</v>
      </c>
      <c r="AR191" s="8" t="e">
        <f>IF(AR$5="H2O", IF($D$24=3,IF(T191=0,NA(),T191),calculateGibbsOfWater(M191,N191,$D$24,$D$20,$D$19=3)),NA())</f>
        <v>#N/A</v>
      </c>
      <c r="AS191" s="8" t="e">
        <f>IF(ISBLANK(Input!$BK$4),NA(),'Reaction Information'!$E$46-'Reaction Information'!$G$46*(Calculations!O191-Calculations!$C$8)-'Reaction Information'!$N$46*(Calculations!O191*LN(Calculations!O191/Calculations!$C$8)-Calculations!O191+Calculations!$C$8)-'Reaction Information'!$O$46*10^4*(((1/(Calculations!O191-Calculations!$C$13))-(1/(Calculations!$C$8-Calculations!$C$13)))*((Calculations!$C$13-Calculations!O191)/(Calculations!$C$13))-(Calculations!O191/(Calculations!$C$13*Calculations!$C$13))*LN((Calculations!$C$8*(Calculations!O191-Calculations!$C$13))/(Calculations!O191*(Calculations!$C$8-Calculations!$C$13))))+'Reaction Information'!$J$46*10^-1*(Calculations!$M191-Calculations!$C$9)+'Reaction Information'!$K$46*10^2*LN((Calculations!$C$12+Calculations!$M191)/(Calculations!$C$12+Calculations!$C$9))+(1/(Calculations!O191-Calculations!$C$13))*('Reaction Information'!$L$46*(Calculations!$M191-Calculations!$C$9)+'Reaction Information'!$M$46*10^4*LN((Calculations!$C$12+Calculations!$M191)/(Calculations!$C$12+Calculations!$C$9)))+calculateOmega(Calculations!M191,Calculations!N191,Calculations!Q191,'Reaction Information'!$C$46,'Reaction Information'!$P$46*10^5,'Reaction Information'!$Q$46)*((1/Calculations!S191)-1)-'Reaction Information'!$P$46*10^5*((1/Calculations!$C$10)-1)+'Reaction Information'!$P$46*10^5*Calculations!$C$14*(Calculations!O191-Calculations!$C$8))</f>
        <v>#VALUE!</v>
      </c>
      <c r="AT191" s="8" t="e">
        <f>IF(ISBLANK(Input!$BN$4),NA(),'Reaction Information'!$E$50-'Reaction Information'!$G$50*(Calculations!O191-Calculations!$C$8)-'Reaction Information'!$N$50*(Calculations!O191*LN(Calculations!O191/Calculations!$C$8)-Calculations!O191+Calculations!$C$8)-'Reaction Information'!$O$50*10^4*(((1/(Calculations!O191-Calculations!$C$13))-(1/(Calculations!$C$8-Calculations!$C$13)))*((Calculations!$C$13-Calculations!O191)/(Calculations!$C$13))-(Calculations!O191/(Calculations!$C$13*Calculations!$C$13))*LN((Calculations!$C$8*(Calculations!O191-Calculations!$C$13))/(Calculations!O191*(Calculations!$C$8-Calculations!$C$13))))+'Reaction Information'!$J$50*10^-1*(Calculations!$M191-Calculations!$C$9)+'Reaction Information'!$K$50*10^2*LN((Calculations!$C$12+Calculations!$M191)/(Calculations!$C$12+Calculations!$C$9))+(1/(Calculations!O191-Calculations!$C$13))*('Reaction Information'!$L$50*(Calculations!$M191-Calculations!$C$9)+'Reaction Information'!$M$50*10^4*LN((Calculations!$C$12+Calculations!$M191)/(Calculations!$C$12+Calculations!$C$9)))+calculateOmega(Calculations!M191,Calculations!N191,Calculations!Q191,'Reaction Information'!$C$50,'Reaction Information'!$P$50*10^5,'Reaction Information'!$Q$50)*((1/Calculations!S191)-1)-'Reaction Information'!$P$50*10^5*((1/Calculations!$C$10)-1)+'Reaction Information'!$P$50*10^5*Calculations!$C$14*(Calculations!O191-Calculations!$C$8))</f>
        <v>#VALUE!</v>
      </c>
      <c r="AU191" s="8" t="e">
        <f>IF(ISBLANK(Input!$BQ$4),NA(),'Reaction Information'!$E$54-'Reaction Information'!$G$54*(Calculations!$O191-Calculations!$C$8)-'Reaction Information'!$N$54*(Calculations!$O191*LN(Calculations!$O191/Calculations!$C$8)-Calculations!$O191+Calculations!$C$8)-'Reaction Information'!$O$54*10^4*(((1/(Calculations!$O191-Calculations!$C$13))-(1/(Calculations!$C$8-Calculations!$C$13)))*((Calculations!$C$13-Calculations!$O191)/(Calculations!$C$13))-(Calculations!$O191/(Calculations!$C$13*Calculations!$C$13))*LN((Calculations!$C$8*(Calculations!$O191-Calculations!$C$13))/(Calculations!$O191*(Calculations!$C$8-Calculations!$C$13))))+'Reaction Information'!$J$54*10^-1*(Calculations!$M191-Calculations!$C$9)+'Reaction Information'!$K$54*10^2*LN((Calculations!$C$12+Calculations!$M191)/(Calculations!$C$12+Calculations!$C$9))+(1/(Calculations!$O191-Calculations!$C$13))*('Reaction Information'!$L$54*(Calculations!$M191-Calculations!$C$9)+'Reaction Information'!$M$54*10^4*LN((Calculations!$C$12+Calculations!$M191)/(Calculations!$C$12+Calculations!$C$9)))+calculateOmega(Calculations!M191,Calculations!N191,Calculations!Q191,'Reaction Information'!$C$54,'Reaction Information'!$P$54*10^5,'Reaction Information'!$Q$54)*((1/Calculations!$S191)-1)-'Reaction Information'!$P$54*10^5*((1/Calculations!$C$10)-1)+'Reaction Information'!$P$54*10^5*Calculations!$C$14*(Calculations!$O191-Calculations!$C$8))</f>
        <v>#N/A</v>
      </c>
      <c r="AV191" s="8" t="e">
        <f>IF(ISBLANK(Input!$BT$4),NA(),'Reaction Information'!$E$58-'Reaction Information'!$G$58*(Calculations!$O191-Calculations!$C$8)-'Reaction Information'!$N$58*(Calculations!$O191*LN(Calculations!$O191/Calculations!$C$8)-Calculations!$O191+Calculations!$C$8)-'Reaction Information'!$O$58*10^4*(((1/(Calculations!$O191-Calculations!$C$13))-(1/(Calculations!$C$8-Calculations!$C$13)))*((Calculations!$C$13-Calculations!$O191)/(Calculations!$C$13))-(Calculations!$O191/(Calculations!$C$13*Calculations!$C$13))*LN((Calculations!$C$8*(Calculations!$O191-Calculations!$C$13))/(Calculations!$O191*(Calculations!$C$8-Calculations!$C$13))))+'Reaction Information'!$J$58*10^-1*(Calculations!$M191-Calculations!$C$9)+'Reaction Information'!$K$58*10^2*LN((Calculations!$C$12+Calculations!$M191)/(Calculations!$C$12+Calculations!$C$9))+(1/(Calculations!$O191-Calculations!$C$13))*('Reaction Information'!$L$58*(Calculations!$M191-Calculations!$C$9)+'Reaction Information'!$M$58*10^4*LN((Calculations!$C$12+Calculations!$M191)/(Calculations!$C$12+Calculations!$C$9)))+calculateOmega(Calculations!M191,Calculations!N191,Calculations!Q191,'Reaction Information'!$C$58,'Reaction Information'!$P$58*10^5,'Reaction Information'!$Q$58)*((1/Calculations!$S191)-1)-'Reaction Information'!$P$58*10^5*((1/Calculations!$C$10)-1)+'Reaction Information'!$P$58*10^5*Calculations!$C$14*(Calculations!$O191-Calculations!$C$8))</f>
        <v>#N/A</v>
      </c>
      <c r="AW191" s="8" t="e">
        <f>IF(ISBLANK(Input!$BW$4),NA(),'Reaction Information'!$E$62-'Reaction Information'!$G$62*(Calculations!$O191-Calculations!$C$8)-'Reaction Information'!$N$62*(Calculations!$O191*LN(Calculations!$O191/Calculations!$C$8)-Calculations!$O191+Calculations!$C$8)-'Reaction Information'!$O$62*10^4*(((1/(Calculations!$O191-Calculations!$C$13))-(1/(Calculations!$C$8-Calculations!$C$13)))*((Calculations!$C$13-Calculations!$O191)/(Calculations!$C$13))-(Calculations!$O191/(Calculations!$C$13*Calculations!$C$13))*LN((Calculations!$C$8*(Calculations!$O191-Calculations!$C$13))/(Calculations!$O191*(Calculations!$C$8-Calculations!$C$13))))+'Reaction Information'!$J$62*10^-1*(Calculations!$M191-Calculations!$C$9)+'Reaction Information'!$K$62*10^2*LN((Calculations!$C$12+Calculations!$M191)/(Calculations!$C$12+Calculations!$C$9))+(1/(Calculations!$O191-Calculations!$C$13))*('Reaction Information'!$L$62*(Calculations!$M191-Calculations!$C$9)+'Reaction Information'!$M$62*10^4*LN((Calculations!$C$12+Calculations!$M191)/(Calculations!$C$12+Calculations!$C$9)))+calculateOmega(Calculations!M191,Calculations!N191,Calculations!Q191,'Reaction Information'!$C$62,'Reaction Information'!$P$62*10^5,'Reaction Information'!$Q$62)*((1/Calculations!$S191)-1)-'Reaction Information'!$P$62*10^5*((1/Calculations!$C$10)-1)+'Reaction Information'!$P$62*10^5*Calculations!$C$14*(Calculations!$O191-Calculations!$C$8))</f>
        <v>#N/A</v>
      </c>
      <c r="AX191" s="8" t="e">
        <f>IF(ISBLANK(Input!$BZ$4),NA(),'Reaction Information'!$E$66-'Reaction Information'!$G$66*(Calculations!$O191-Calculations!$C$8)-'Reaction Information'!$N$66*(Calculations!$O191*LN(Calculations!$O191/Calculations!$C$8)-Calculations!$O191+Calculations!$C$8)-'Reaction Information'!$O$66*10^4*(((1/(Calculations!$O191-Calculations!$C$13))-(1/(Calculations!$C$8-Calculations!$C$13)))*((Calculations!$C$13-Calculations!$O191)/(Calculations!$C$13))-(Calculations!$O191/(Calculations!$C$13*Calculations!$C$13))*LN((Calculations!$C$8*(Calculations!$O191-Calculations!$C$13))/(Calculations!$O191*(Calculations!$C$8-Calculations!$C$13))))+'Reaction Information'!$J$66*10^-1*(Calculations!$M191-Calculations!$C$9)+'Reaction Information'!$K$66*10^2*LN((Calculations!$C$12+Calculations!$M191)/(Calculations!$C$12+Calculations!$C$9))+(1/(Calculations!$O191-Calculations!$C$13))*('Reaction Information'!$L$66*(Calculations!$M191-Calculations!$C$9)+'Reaction Information'!$M$66*10^4*LN((Calculations!$C$12+Calculations!$M191)/(Calculations!$C$12+Calculations!$C$9)))+calculateOmega(Calculations!M191,Calculations!N191,Calculations!Q191,'Reaction Information'!$C$66,'Reaction Information'!$P$66*10^5,'Reaction Information'!$Q$66)*((1/Calculations!$S191)-1)-'Reaction Information'!$P$66*10^5*((1/Calculations!$C$10)-1)+'Reaction Information'!$P$66*10^5*Calculations!$C$14*(Calculations!$O191-Calculations!$C$8))</f>
        <v>#N/A</v>
      </c>
      <c r="AY191" s="31" t="e">
        <f>(AL191*Input!$AO$4+AM191*Input!$AR$4+AN191*Input!$AU$4+AO191*Input!$AX$4+IF(ISNA(AP191),0,AP191*Input!$BA$4)+IF(ISNA(AQ191),0,AQ191*Input!$BD$4)+IF(ISNA(AR191),0,AR191*Input!$BG$4)+IF(ISNA(AS191),0,AS191*Input!$BJ$4)+IF(ISNA(AT191),0,AT191*Input!$BM$4)+IF(ISNA(AU191),0,AU191*Input!$BP$4)+IF(ISNA(AV191),0,AV191*Input!$BS$4)+IF(ISNA(AW191),0,AW191*Input!$BV$4)+IF(ISNA(AX191),0,AX191*Input!$BY$4))-(Y191*Input!$B$4+Z191*Input!$E$4+AA191*Input!$H$4+AB191*Input!$K$4+IF(ISNA(AC191),0,AC191*Input!$N$4)+IF(ISNA(AD191),0,AD191*Input!$Q$4)+IF(ISNA(AE191),0,AE191*Input!$T$4)+IF(ISNA(AF191),0,AF191*Input!$W$4)+IF(ISNA(AG191),0,AG191*Input!$Z$4)+IF(ISNA(AH191),0,AH191*Input!$AC$4)+IF(ISNA(AI191),0,AI191*Input!$AF$4)+IF(ISNA(AJ191),0,AJ191*Input!$AI$4)+IF(ISNA(AK191),0,AK191*Input!$AL$4))</f>
        <v>#VALUE!</v>
      </c>
      <c r="AZ191" s="42" t="e">
        <f t="shared" si="54"/>
        <v>#VALUE!</v>
      </c>
      <c r="BA191" s="1" t="str">
        <f t="shared" si="46"/>
        <v/>
      </c>
      <c r="BB191" s="46" t="str">
        <f t="shared" si="47"/>
        <v/>
      </c>
      <c r="BC191" s="1"/>
      <c r="BD191" s="2" t="str">
        <f t="shared" si="48"/>
        <v/>
      </c>
      <c r="BE191" s="46" t="str">
        <f t="shared" si="49"/>
        <v/>
      </c>
      <c r="BF191" s="1">
        <f>Results!AJ193</f>
        <v>0</v>
      </c>
      <c r="BG191" s="1">
        <f>Results!AK193</f>
        <v>0</v>
      </c>
      <c r="BH191" s="1">
        <f>Results!AL193</f>
        <v>0</v>
      </c>
      <c r="BI191" s="1">
        <f>Results!AM193</f>
        <v>0</v>
      </c>
      <c r="BJ191" s="1" t="e">
        <f>IF(OR(ISNA('Reaction Information'!$D$5), $N191 = "", $D$27 = FALSE, 'Reaction Information'!$D$5 = ""), NA(), 24.465)</f>
        <v>#N/A</v>
      </c>
      <c r="BK191" s="1" t="e">
        <f>IF(OR(ISNA('Reaction Information'!$D$9), $N191 = "", $D$27 = FALSE, 'Reaction Information'!$D$9 = ""), NA(), 24.465)</f>
        <v>#N/A</v>
      </c>
      <c r="BL191" s="8" t="e">
        <f t="shared" si="55"/>
        <v>#VALUE!</v>
      </c>
      <c r="BM191" s="8" t="e">
        <f>IF(OR(ISBLANK(Input!$X$4),$D$27=FALSE),NA(),('Reaction Information'!$J$13/10+'Reaction Information'!$K$13*100/(Calculations!$C$12+Calculations!$M191)+('Reaction Information'!$L$13+'Reaction Information'!$M$13*10^4/(Calculations!$C$12+Calculations!$M191))/(Calculations!$O191-Calculations!$C$13) -calculateOmega(Calculations!$M191,Calculations!$N191,Calculations!$Q191,'Reaction Information'!$C$13,'Reaction Information'!$P$13*10^5,'Reaction Information'!$Q$13)*Calculations!$U191*10^-6 + (1/$S191 - 1)*calculate_domegadP(Calculations!$M191,Calculations!$N191,Calculations!$Q191,'Reaction Information'!$C$13,'Reaction Information'!$P$13*10^5,'Reaction Information'!$Q$13,$D$20,$D$19=3))*41.84)</f>
        <v>#VALUE!</v>
      </c>
      <c r="BN191" s="8" t="e">
        <f>IF(OR(ISBLANK(Input!$AA$4),$D$27=FALSE),NA(),('Reaction Information'!$J$17/10+'Reaction Information'!$K$17*100/(Calculations!$C$12+Calculations!$M191)+('Reaction Information'!$L$17+'Reaction Information'!$M$17*10000/(Calculations!$C$12+Calculations!$M191))/(Calculations!$O191-Calculations!$C$13)-calculateOmega(Calculations!M191,Calculations!N191,Calculations!Q191,'Reaction Information'!$C$17,'Reaction Information'!$P$17*10^5,'Reaction Information'!$Q$17)*Calculations!$U191*10^-6 + (1/$S191 - 1)*calculate_domegadP(Calculations!M191,Calculations!N191,Calculations!Q191,'Reaction Information'!$C$17,'Reaction Information'!$P$17*10^5,'Reaction Information'!$Q$17,$D$20,$D$19=3))*41.84)</f>
        <v>#N/A</v>
      </c>
      <c r="BO191" s="8" t="e">
        <f>IF(OR(ISBLANK(Input!$AD$4),$D$27=FALSE),NA(),('Reaction Information'!$J$21/10+'Reaction Information'!$K$21*100/(Calculations!$C$12+Calculations!$M191)+('Reaction Information'!$L$21+'Reaction Information'!$M$21*10000/(Calculations!$C$12+Calculations!$M191))/(Calculations!$O191-Calculations!$C$13)-calculateOmega(Calculations!M191,Calculations!N191,Calculations!Q191,'Reaction Information'!$C$21,'Reaction Information'!$P$21*10^5,'Reaction Information'!$Q$21)*Calculations!$U191*10^-6 + (1/$S191 - 1)*calculate_domegadP(Calculations!M191,Calculations!N191,Calculations!Q191,'Reaction Information'!$C$21,'Reaction Information'!$P$21*10^5,'Reaction Information'!$Q$21,$D$20,$D$19=3))*41.84)</f>
        <v>#N/A</v>
      </c>
      <c r="BP191" s="8" t="e">
        <f>IF(OR(ISBLANK(Input!$AG$4),$D$27=FALSE),NA(),('Reaction Information'!$J$25/10+'Reaction Information'!$K$25*100/(Calculations!$C$12+Calculations!$M191)+('Reaction Information'!$L$25+'Reaction Information'!$M$25*10000/(Calculations!$C$12+Calculations!$M191))/(Calculations!$O191-Calculations!$C$13)-calculateOmega(Calculations!M191,Calculations!N191,Calculations!Q191,'Reaction Information'!$C$25,'Reaction Information'!$P$25*10^5,'Reaction Information'!$Q$25)*Calculations!$U191*10^-6 + (1/$S191 - 1)*calculate_domegadP(Calculations!M191,Calculations!N191,Calculations!Q191,'Reaction Information'!$C$25,'Reaction Information'!$P$25*10^5,'Reaction Information'!$Q$25,$D$20,$D$19=3))*41.84)</f>
        <v>#N/A</v>
      </c>
      <c r="BQ191" s="8" t="e">
        <f>IF(OR(ISBLANK(Input!$AJ$4),$D$27=FALSE),NA(),('Reaction Information'!$J$29/10+'Reaction Information'!$K$29*100/(Calculations!$C$12+Calculations!$M191)+('Reaction Information'!$L$29+'Reaction Information'!$M$29*10000/(Calculations!$C$12+Calculations!$M191))/(Calculations!$O191-Calculations!$C$13)-calculateOmega(Calculations!M191,Calculations!N191,Calculations!Q191,'Reaction Information'!$C$29,'Reaction Information'!$P$29*10^5,'Reaction Information'!$Q$29)*Calculations!$U191*10^-6 + (1/$S191 - 1)*calculate_domegadP(Calculations!M191,Calculations!N191,Calculations!Q191,'Reaction Information'!$C$29,'Reaction Information'!$P$29*10^5,'Reaction Information'!$Q$29,$D$20,$D$19=3))*41.84)</f>
        <v>#N/A</v>
      </c>
      <c r="BR191" s="8" t="e">
        <f>IF(OR(ISBLANK(Input!$AM$4),$D$27=FALSE),NA(),('Reaction Information'!$J$33/10+'Reaction Information'!$K$33*100/(Calculations!$C$12+Calculations!$M191)+('Reaction Information'!$L$33+'Reaction Information'!$M$33*10000/(Calculations!$C$12+Calculations!$M191))/(Calculations!$O191-Calculations!$C$13)-calculateOmega(Calculations!M191,Calculations!N191,Calculations!Q191,'Reaction Information'!$C$33,'Reaction Information'!$P$33*10^5,'Reaction Information'!$Q$33)*Calculations!$U191*10^-6 + (1/$S191 - 1)*calculate_domegadP(Calculations!M191,Calculations!N191,Calculations!Q191,'Reaction Information'!$C$33,'Reaction Information'!$P$33*10^5,'Reaction Information'!$Q$33,$D$20,$D$19=3))*41.84)</f>
        <v>#N/A</v>
      </c>
      <c r="BS191" s="1">
        <f>Results!AW193</f>
        <v>0</v>
      </c>
      <c r="BT191" s="1">
        <f>Results!AX193</f>
        <v>0</v>
      </c>
      <c r="BU191" s="1">
        <f>Results!AY193</f>
        <v>0</v>
      </c>
      <c r="BV191" s="1">
        <f>Results!AZ193</f>
        <v>0</v>
      </c>
      <c r="BW191" s="1" t="e">
        <f>IF(OR(ISNA('Reaction Information'!$D$38), $N191 = "", $D$27 = FALSE, 'Reaction Information'!$D$38 = ""), NA(), 24.465)</f>
        <v>#N/A</v>
      </c>
      <c r="BX191" s="1" t="e">
        <f>IF(OR(ISNA('Reaction Information'!$D$42), $N191 = "", $D$27 = FALSE, 'Reaction Information'!$D$42 = ""), NA(), 24.465)</f>
        <v>#N/A</v>
      </c>
      <c r="BY191" s="8" t="e">
        <f t="shared" si="56"/>
        <v>#N/A</v>
      </c>
      <c r="BZ191" s="8" t="e">
        <f>IF(OR(ISBLANK(Input!$BK$4),$D$27=FALSE),NA(),('Reaction Information'!$J$46/10+'Reaction Information'!$K$46*100/(Calculations!$C$12+Calculations!$M191)+('Reaction Information'!$L$46+'Reaction Information'!$M$46*10000/(Calculations!$C$12+Calculations!$M191))/(Calculations!$O191-Calculations!$C$13)-calculateOmega(Calculations!M191,Calculations!N191,Calculations!Q191,'Reaction Information'!$C$46,'Reaction Information'!$P$46*10^5,'Reaction Information'!$Q$46)*Calculations!$U191*10^-6 + (1/$S191 - 1)*calculate_domegadP(Calculations!M191,Calculations!N191,Calculations!Q191,'Reaction Information'!$C$46,'Reaction Information'!$P$46*10^5,'Reaction Information'!$Q$46,$D$20,$D$19=3))*41.84)</f>
        <v>#VALUE!</v>
      </c>
      <c r="CA191" s="8" t="e">
        <f>IF(OR(ISBLANK(Input!$BN$4),$D$27=FALSE),NA(),('Reaction Information'!$J$50/10+'Reaction Information'!$K$50*100/(Calculations!$C$12+Calculations!$M191)+('Reaction Information'!$L$50+'Reaction Information'!$M$50*10000/(Calculations!$C$12+Calculations!$M191))/(Calculations!$O191-Calculations!$C$13)-calculateOmega(Calculations!M191,Calculations!N191,Calculations!Q191,'Reaction Information'!$C$50,'Reaction Information'!$P$50*10^5,'Reaction Information'!$Q$50)*Calculations!$U191*10^-6 + (1/$S191 - 1)*calculate_domegadP(Calculations!M191,Calculations!N191,Calculations!Q191,'Reaction Information'!$C$50,'Reaction Information'!$P$50*10^5,'Reaction Information'!$Q$50,$D$20,$D$19=3))*41.84)</f>
        <v>#VALUE!</v>
      </c>
      <c r="CB191" s="8" t="e">
        <f>IF(OR(ISBLANK(Input!$BQ$4),$D$27=FALSE),NA(),('Reaction Information'!$J$54/10+'Reaction Information'!$K$54*100/(Calculations!$C$12+Calculations!$M191)+('Reaction Information'!$L$54+'Reaction Information'!$M$54*10000/(Calculations!$C$12+Calculations!$M191))/(Calculations!$O191-Calculations!$C$13)-calculateOmega(Calculations!M191,Calculations!N191,Calculations!Q191,'Reaction Information'!$C$54,'Reaction Information'!$P$54*10^5,'Reaction Information'!$Q$54)*Calculations!$U191*10^-6 + (1/$S191 - 1)*calculate_domegadP(Calculations!M191,Calculations!N191,Calculations!Q191,'Reaction Information'!$C$54,'Reaction Information'!$P$54*10^5,'Reaction Information'!$Q$54,$D$20,$D$19=3))*41.84)</f>
        <v>#N/A</v>
      </c>
      <c r="CC191" s="8" t="e">
        <f>IF(OR(ISBLANK(Input!$BT$4),$D$27=FALSE),NA(),('Reaction Information'!$J$58/10+'Reaction Information'!$K$58*100/(Calculations!$C$12+Calculations!$M191)+('Reaction Information'!$L$58+'Reaction Information'!$M$58*10000/(Calculations!$C$12+Calculations!$M191))/(Calculations!$O191-Calculations!$C$13)-calculateOmega(Calculations!M191,Calculations!N191,Calculations!Q191,'Reaction Information'!$C$58,'Reaction Information'!$P$58*10^5,'Reaction Information'!$Q$58)*Calculations!$U191*10^-6 + (1/$S191 - 1)*calculate_domegadP(Calculations!M191,Calculations!N191,Calculations!Q191,'Reaction Information'!$C$58,'Reaction Information'!$P$58*10^5,'Reaction Information'!$Q$58,$D$20,$D$19=3))*41.84)</f>
        <v>#N/A</v>
      </c>
      <c r="CD191" s="8" t="e">
        <f>IF(OR(ISBLANK(Input!$BW$4),$D$27=FALSE),NA(),('Reaction Information'!$J$62/10+'Reaction Information'!$K$62*100/(Calculations!$C$12+Calculations!$M191)+('Reaction Information'!$L$62+'Reaction Information'!$M$62*10000/(Calculations!$C$12+Calculations!$M191))/(Calculations!$O191-Calculations!$C$13)-calculateOmega(Calculations!M191,Calculations!N191,Calculations!Q191,'Reaction Information'!$C$62,'Reaction Information'!$P$62*10^5,'Reaction Information'!$Q$62)*Calculations!$U191*10^-6 + (1/$S191 - 1)*calculate_domegadP(Calculations!M191,Calculations!N191,Calculations!Q191,'Reaction Information'!$C$62,'Reaction Information'!$P$62*10^5,'Reaction Information'!$Q$62,$D$20,$D$19=3))*41.84)</f>
        <v>#N/A</v>
      </c>
      <c r="CE191" s="8" t="e">
        <f>IF(OR(ISBLANK(Input!$BZ$4),$D$27=FALSE),NA(),('Reaction Information'!$J$66/10+'Reaction Information'!$K$66*100/(Calculations!$C$12+Calculations!$M191)+('Reaction Information'!$L$66+'Reaction Information'!$M$66*10000/(Calculations!$C$12+Calculations!$M191))/(Calculations!$O191-Calculations!$C$13)-calculateOmega(Calculations!M191,Calculations!N191,Calculations!Q191,'Reaction Information'!$C$66,'Reaction Information'!$P$66*10^5,'Reaction Information'!$Q$66)*Calculations!$U191*10^-6 + (1/$S191 - 1)*calculate_domegadP(Calculations!M191,Calculations!N191,Calculations!Q191,'Reaction Information'!$C$66,'Reaction Information'!$P$66*10^5,'Reaction Information'!$Q$66,$D$20,$D$19=3))*41.84)</f>
        <v>#N/A</v>
      </c>
      <c r="CF191" s="31" t="e">
        <f>(BS191*Input!$AO$4+BT191*Input!$AR$4+BU191*Input!$AU$4+BV191*Input!$AX$4+IF(ISNA(BW191),0,BW191*Input!$BA$4)+IF(ISNA(BX191),0,BX191*Input!$BD$4)+IF(ISNA(BY191),0,BY191*Input!$BG$4)+IF(ISNA(BZ191),0,BZ191*Input!$BJ$4)+IF(ISNA(CA191),0,CA191*Input!$BM$4)+IF(ISNA(CB191),0,CB191*Input!$BP$4)+IF(ISNA(CC191),0,CC191*Input!$BS$4)+IF(ISNA(CD191),0,CD191*Input!$BV$4)+IF(ISNA(CE191),0,CE191*Input!$BY$4))-(BF191*Input!$B$4+BG191*Input!$E$4+BH191*Input!$H$4+BI191*Input!$K$4+IF(ISNA(BJ191),0,BJ191*Input!$N$4)+IF(ISNA(BK191),0,BK191*Input!$Q$4)+IF(ISNA(BL191),0,BL191*Input!$T$4)+IF(ISNA(BM191),0,BM191*Input!$W$4)+IF(ISNA(BN191),0,BN191*Input!$Z$4)+IF(ISNA(BO191),0,BO191*Input!$AC$4)+IF(ISNA(BP191),0,BP191*Input!$AF$4)+IF(ISNA(BQ191),0,BQ191*Input!$AI$4)+IF(ISNA(BR191),0,BR191*Input!$AL$4))</f>
        <v>#VALUE!</v>
      </c>
      <c r="CG191" s="1" t="str">
        <f t="shared" si="50"/>
        <v/>
      </c>
      <c r="CH191" s="46" t="str">
        <f t="shared" si="51"/>
        <v/>
      </c>
      <c r="CI191" s="1"/>
    </row>
    <row r="192" spans="1:87" x14ac:dyDescent="0.2">
      <c r="A192" s="1"/>
      <c r="B192" s="1"/>
      <c r="C192" s="1"/>
      <c r="D192" s="1"/>
      <c r="E192" s="1"/>
      <c r="F192" s="2">
        <v>187</v>
      </c>
      <c r="G192" s="1" t="str">
        <f>IF(ISBLANK(Input!CB192), "", Input!CB192*1000)</f>
        <v/>
      </c>
      <c r="H192" s="1" t="str">
        <f>IF(ISBLANK(Input!CC192), "", Input!CC192)</f>
        <v/>
      </c>
      <c r="I192" s="1" t="str">
        <f>IF(Input!$CF$5 + Input!$CF$6*(FLOOR((Calculations!$F192-1)/(FLOOR((Input!$CF$12-Input!$CF$10)/Input!$CF$11,1)+1),1)) &gt; Input!$CF$7, "", (Input!$CF$5 + Input!$CF$6*(FLOOR((Calculations!$F192-1)/(FLOOR((Input!$CF$12-Input!$CF$10)/Input!$CF$11,1)+1),1)))*1000)</f>
        <v/>
      </c>
      <c r="J192" s="1" t="str">
        <f>IF(Calculations!I192 = "", "", Input!$CF$10 + Input!$CF$11*(Calculations!$F192-1) - (FLOOR((Input!$CF$12-Input!$CF$10)/Input!$CF$11,1)+1)*Input!$CF$11*FLOOR((Calculations!$F192-1)/(FLOOR((Input!$CF$12-Input!$CF$10)/Input!$CF$11,1)+1),1))</f>
        <v/>
      </c>
      <c r="K192" s="8" t="str">
        <f t="shared" si="52"/>
        <v/>
      </c>
      <c r="L192" s="117" t="str">
        <f>IF(OR(Input!$CJ$5 + Input!$CJ$6*(Calculations!F192-1) &gt; Input!$CJ$7, Input!$CJ$5 + Input!$CJ$6*(Calculations!F192-1) &gt; 350), "", Input!$CJ$5 + Input!$CJ$6*(Calculations!F192-1))</f>
        <v/>
      </c>
      <c r="M192" s="1" t="str">
        <f t="shared" si="42"/>
        <v/>
      </c>
      <c r="N192" s="1" t="str">
        <f t="shared" si="43"/>
        <v/>
      </c>
      <c r="O192" s="1" t="e">
        <f t="shared" si="53"/>
        <v>#VALUE!</v>
      </c>
      <c r="P192" s="1" t="e">
        <f>IF(OR($D$20=3,AND($D$21=TRUE,M192&lt;1000)),INDEX('Water Density'!$C$6:$CX$120,MATCH(Calculations!N192,'Water Density'!$B$6:$B$120),MATCH(Calculations!M192/1000,'Water Density'!$C$5:$CX$5)),NA())</f>
        <v>#N/A</v>
      </c>
      <c r="Q192" s="182" t="e">
        <f>IF(OR($D$20=3,AND($D$21=TRUE,M192&lt;1000)), IF(P192&lt;&gt;0,P192,NA()), calculateDensity(M192,N192,$D$20,0.01,$D$19 = 3))</f>
        <v>#VALUE!</v>
      </c>
      <c r="R192" s="1" t="e">
        <f>IF($D$22=5,INDEX('Dielectric Constant'!$C$6:$CX$120,MATCH(Calculations!N192,'Dielectric Constant'!$B$6:$B$120),MATCH(Calculations!M192/1000,'Dielectric Constant'!$C$5:$CX$5)),NA())</f>
        <v>#N/A</v>
      </c>
      <c r="S192" s="58" t="e">
        <f>IF($D$22=5, IF(R192&lt;&gt;0,R192,NA()), IF(AND($D$23,M192&lt;=5000,$D$19 &lt;&gt; 3),calculateEpsilon(Q192,N192,1,FALSE),calculateEpsilon(Q192,N192,$D$22,$D$19 = 3)))</f>
        <v>#VALUE!</v>
      </c>
      <c r="T192" s="1" t="e">
        <f>IF($D$24=3,INDEX('Water Free Energy'!$C$6:$CX$120,MATCH(Calculations!N192,'Water Free Energy'!$B$6:$B$120),MATCH(Calculations!M192/1000,'Water Free Energy'!$C$5:$CX$5)),NA())</f>
        <v>#N/A</v>
      </c>
      <c r="U192" s="179" t="e">
        <f>IF($D$27,calculateQ(M192,N192,Q192,$D$20,$D$22,$D$19=3)*10^6,NA())</f>
        <v>#VALUE!</v>
      </c>
      <c r="V192"/>
      <c r="W192" s="2" t="str">
        <f t="shared" si="44"/>
        <v/>
      </c>
      <c r="X192" s="1" t="str">
        <f t="shared" si="45"/>
        <v/>
      </c>
      <c r="Y192" s="1">
        <f>Results!F194</f>
        <v>0</v>
      </c>
      <c r="Z192" s="1">
        <f>Results!G194</f>
        <v>0</v>
      </c>
      <c r="AA192" s="1">
        <f>Results!H194</f>
        <v>0</v>
      </c>
      <c r="AB192" s="1">
        <f>Results!I194</f>
        <v>0</v>
      </c>
      <c r="AC192" s="1" t="e">
        <f>IF(ISBLANK(Input!$O$4),NA(),'Reaction Information'!$E$5-'Reaction Information'!$G$5*(Calculations!$O192-Calculations!$C$8)+'Reaction Information'!$I$5*(Calculations!$O192-Calculations!$C$8-Calculations!$O192*LN(Calculations!$O192/Calculations!$C$8))+'Reaction Information'!$J$5*0.001/2*(2*Calculations!$O192*Calculations!$C$8-Calculations!$O192^2-Calculations!$C$8^2) + 'Reaction Information'!$K$5*100000*(Calculations!$O192^2 + Calculations!$C$8^2 - 2*Calculations!$O192*Calculations!$C$8)/(2*Calculations!$O192*Calculations!$C$8^2))</f>
        <v>#N/A</v>
      </c>
      <c r="AD192" s="8" t="e">
        <f>IF(ISBLANK(Input!$R$4),NA(),'Reaction Information'!$E$9-'Reaction Information'!$G$9*(Calculations!$O192-Calculations!$C$8)+'Reaction Information'!$I$9*(Calculations!$O192-Calculations!$C$8-Calculations!$O192*LN(Calculations!$O192/Calculations!$C$8))+'Reaction Information'!$J$9*0.001/2*(2*Calculations!$O192*Calculations!$C$8-Calculations!$O192^2-Calculations!$C$8^2) + 'Reaction Information'!$K$9*100000*(Calculations!$O192^2 + Calculations!$C$8^2 - 2*Calculations!$O192*Calculations!$C$8)/(2*Calculations!$O192*Calculations!$C$8^2))</f>
        <v>#N/A</v>
      </c>
      <c r="AE192" s="8" t="e">
        <f>IF(AE$5="H2O",IF($D$24=3,IF(T192=0,NA(),T192),calculateGibbsOfWater(M192,N192,$D$24,$D$20,$D$19=3)),NA())</f>
        <v>#VALUE!</v>
      </c>
      <c r="AF192" s="8" t="e">
        <f>IF(ISBLANK(Input!$X$4),NA(),'Reaction Information'!$E$13-'Reaction Information'!$G$13*(Calculations!O192-Calculations!$C$8)-'Reaction Information'!$N$13*(Calculations!O192*LN(Calculations!O192/Calculations!$C$8)-Calculations!O192+Calculations!$C$8)-'Reaction Information'!$O$13*10^4*(((1/(Calculations!O192-Calculations!$C$13))-(1/(Calculations!$C$8-Calculations!$C$13)))*((Calculations!$C$13-Calculations!O192)/(Calculations!$C$13))-(Calculations!O192/(Calculations!$C$13*Calculations!$C$13))*LN((Calculations!$C$8*(Calculations!O192-Calculations!$C$13))/(Calculations!O192*(Calculations!$C$8-Calculations!$C$13))))+'Reaction Information'!$J$13*10^-1*(Calculations!M192-Calculations!$C$9)+'Reaction Information'!$K$13*10^2*LN((Calculations!$C$12+Calculations!M192)/(Calculations!$C$12+Calculations!$C$9))+(1/(Calculations!O192-Calculations!$C$13))*('Reaction Information'!$L$13*(Calculations!M192-Calculations!$C$9)+'Reaction Information'!$M$13*10^4*LN((Calculations!$C$12+Calculations!M192)/(Calculations!$C$12+Calculations!$C$9)))+calculateOmega(Calculations!M192,Calculations!N192,Calculations!Q192,'Reaction Information'!$C$13,'Reaction Information'!$P$13*10^5,'Reaction Information'!$Q$13)*((1/Calculations!S192)-1)-'Reaction Information'!$P$13*10^5*((1/Calculations!$C$10)-1)+'Reaction Information'!$P$13*10^5*Calculations!$C$14*(Calculations!O192-Calculations!$C$8))</f>
        <v>#VALUE!</v>
      </c>
      <c r="AG192" s="8" t="e">
        <f>IF(ISBLANK(Input!$AA$4),NA(),'Reaction Information'!$E$17-'Reaction Information'!$G$17*(Calculations!$O192-Calculations!$C$8)-'Reaction Information'!$N$17*(Calculations!$O192*LN(Calculations!$O192/Calculations!$C$8)-Calculations!$O192+Calculations!$C$8)-'Reaction Information'!$O$17*10^4*(((1/(Calculations!$O192-Calculations!$C$13))-(1/(Calculations!$C$8-Calculations!$C$13)))*((Calculations!$C$13-Calculations!$O192)/(Calculations!$C$13))-(Calculations!$O192/(Calculations!$C$13*Calculations!$C$13))*LN((Calculations!$C$8*(Calculations!$O192-Calculations!$C$13))/(Calculations!$O192*(Calculations!$C$8-Calculations!$C$13))))+'Reaction Information'!$J$17*10^-1*(Calculations!$M192-Calculations!$C$9)+'Reaction Information'!$K$17*10^2*LN((Calculations!$C$12+Calculations!$M192)/(Calculations!$C$12+Calculations!$C$9))+(1/(Calculations!$O192-Calculations!$C$13))*('Reaction Information'!$L$17*(Calculations!$M192-Calculations!$C$9)+'Reaction Information'!$M$17*10^4*LN((Calculations!$C$12+Calculations!$M192)/(Calculations!$C$12+Calculations!$C$9)))+calculateOmega(Calculations!M192,Calculations!N192,Calculations!Q192,'Reaction Information'!$C$17,'Reaction Information'!$P$17*10^5,'Reaction Information'!$Q$17)*((1/Calculations!$S192)-1)-'Reaction Information'!$P$17*10^5*((1/Calculations!$C$10)-1)+'Reaction Information'!$P$17*10^5*Calculations!$C$14*(Calculations!$O192-Calculations!$C$8))</f>
        <v>#N/A</v>
      </c>
      <c r="AH192" s="8" t="e">
        <f>IF(ISBLANK(Input!$AD$4),NA(),'Reaction Information'!$E$21-'Reaction Information'!$G$21*(Calculations!$O192-Calculations!$C$8)-'Reaction Information'!$N$21*(Calculations!$O192*LN(Calculations!$O192/Calculations!$C$8)-Calculations!$O192+Calculations!$C$8)-'Reaction Information'!$O$21*10^4*(((1/(Calculations!$O192-Calculations!$C$13))-(1/(Calculations!$C$8-Calculations!$C$13)))*((Calculations!$C$13-Calculations!$O192)/(Calculations!$C$13))-(Calculations!$O192/(Calculations!$C$13*Calculations!$C$13))*LN((Calculations!$C$8*(Calculations!$O192-Calculations!$C$13))/(Calculations!$O192*(Calculations!$C$8-Calculations!$C$13))))+'Reaction Information'!$J$21*10^-1*(Calculations!$M192-Calculations!$C$9)+'Reaction Information'!$K$21*10^2*LN((Calculations!$C$12+Calculations!$M192)/(Calculations!$C$12+Calculations!$C$9))+(1/(Calculations!$O192-Calculations!$C$13))*('Reaction Information'!$L$21*(Calculations!$M192-Calculations!$C$9)+'Reaction Information'!$M$21*10^4*LN((Calculations!$C$12+Calculations!$M192)/(Calculations!$C$12+Calculations!$C$9)))+calculateOmega(Calculations!M192,Calculations!N192,Calculations!Q192,'Reaction Information'!$C$21,'Reaction Information'!$P$21*10^5,'Reaction Information'!$Q$21)*((1/Calculations!$S192)-1)-'Reaction Information'!$P$21*10^5*((1/Calculations!$C$10)-1)+'Reaction Information'!$P$21*10^5*Calculations!$C$14*(Calculations!$O192-Calculations!$C$8))</f>
        <v>#N/A</v>
      </c>
      <c r="AI192" s="8" t="e">
        <f>IF(ISBLANK(Input!$AG$4),NA(),'Reaction Information'!$E$25-'Reaction Information'!$G$25*(Calculations!$O192-Calculations!$C$8)-'Reaction Information'!$N$25*(Calculations!$O192*LN(Calculations!$O192/Calculations!$C$8)-Calculations!$O192+Calculations!$C$8)-'Reaction Information'!$O$25*10^4*(((1/(Calculations!$O192-Calculations!$C$13))-(1/(Calculations!$C$8-Calculations!$C$13)))*((Calculations!$C$13-Calculations!$O192)/(Calculations!$C$13))-(Calculations!$O192/(Calculations!$C$13*Calculations!$C$13))*LN((Calculations!$C$8*(Calculations!$O192-Calculations!$C$13))/(Calculations!$O192*(Calculations!$C$8-Calculations!$C$13))))+'Reaction Information'!$J$25*10^-1*(Calculations!$M192-Calculations!$C$9)+'Reaction Information'!$K$25*10^2*LN((Calculations!$C$12+Calculations!$M192)/(Calculations!$C$12+Calculations!$C$9))+(1/(Calculations!$O192-Calculations!$C$13))*('Reaction Information'!$L$25*(Calculations!$M192-Calculations!$C$9)+'Reaction Information'!$M$25*10^4*LN((Calculations!$C$12+Calculations!$M192)/(Calculations!$C$12+Calculations!$C$9)))+calculateOmega(Calculations!M192,Calculations!N192,Calculations!Q192,'Reaction Information'!$C$25,'Reaction Information'!$P$25*10^5,'Reaction Information'!$Q$25)*((1/Calculations!$S192)-1)-'Reaction Information'!$P$25*10^5*((1/Calculations!$C$10)-1)+'Reaction Information'!$P$25*10^5*Calculations!$C$14*(Calculations!$O192-Calculations!$C$8))</f>
        <v>#N/A</v>
      </c>
      <c r="AJ192" s="8" t="e">
        <f>IF(ISBLANK(Input!$AJ$4),NA(),'Reaction Information'!$E$29-'Reaction Information'!$G$29*(Calculations!$O192-Calculations!$C$8)-'Reaction Information'!$N$29*(Calculations!$O192*LN(Calculations!$O192/Calculations!$C$8)-Calculations!$O192+Calculations!$C$8)-'Reaction Information'!$O$29*10^4*(((1/(Calculations!$O192-Calculations!$C$13))-(1/(Calculations!$C$8-Calculations!$C$13)))*((Calculations!$C$13-Calculations!$O192)/(Calculations!$C$13))-(Calculations!$O192/(Calculations!$C$13*Calculations!$C$13))*LN((Calculations!$C$8*(Calculations!$O192-Calculations!$C$13))/(Calculations!$O192*(Calculations!$C$8-Calculations!$C$13))))+'Reaction Information'!$J$29*10^-1*(Calculations!$M192-Calculations!$C$9)+'Reaction Information'!$K$29*10^2*LN((Calculations!$C$12+Calculations!$M192)/(Calculations!$C$12+Calculations!$C$9))+(1/(Calculations!$O192-Calculations!$C$13))*('Reaction Information'!$L$29*(Calculations!$M192-Calculations!$C$9)+'Reaction Information'!$M$29*10^4*LN((Calculations!$C$12+Calculations!$M192)/(Calculations!$C$12+Calculations!$C$9)))+calculateOmega(Calculations!M192,Calculations!N192,Calculations!Q192,'Reaction Information'!$C$29,'Reaction Information'!$P$29*10^5,'Reaction Information'!$Q$29)*((1/Calculations!$S192)-1)-'Reaction Information'!$P$29*10^5*((1/Calculations!$C$10)-1)+'Reaction Information'!$P$29*10^5*Calculations!$C$14*(Calculations!$O192-Calculations!$C$8))</f>
        <v>#N/A</v>
      </c>
      <c r="AK192" s="8" t="e">
        <f>IF(ISBLANK(Input!$AM$4),NA(),'Reaction Information'!$E$33-'Reaction Information'!$G$33*(Calculations!$O192-Calculations!$C$8)-'Reaction Information'!$N$33*(Calculations!$O192*LN(Calculations!$O192/Calculations!$C$8)-Calculations!$O192+Calculations!$C$8)-'Reaction Information'!$O$33*10^4*(((1/(Calculations!$O192-Calculations!$C$13))-(1/(Calculations!$C$8-Calculations!$C$13)))*((Calculations!$C$13-Calculations!$O192)/(Calculations!$C$13))-(Calculations!$O192/(Calculations!$C$13*Calculations!$C$13))*LN((Calculations!$C$8*(Calculations!$O192-Calculations!$C$13))/(Calculations!$O192*(Calculations!$C$8-Calculations!$C$13))))+'Reaction Information'!$J$33*10^-1*(Calculations!$M192-Calculations!$C$9)+'Reaction Information'!$K$33*10^2*LN((Calculations!$C$12+Calculations!$M192)/(Calculations!$C$12+Calculations!$C$9))+(1/(Calculations!$O192-Calculations!$C$13))*('Reaction Information'!$L$33*(Calculations!$M192-Calculations!$C$9)+'Reaction Information'!$M$33*10^4*LN((Calculations!$C$12+Calculations!$M192)/(Calculations!$C$12+Calculations!$C$9)))+calculateOmega(Calculations!M192,Calculations!N192,Calculations!Q192,'Reaction Information'!$C$33,'Reaction Information'!$P$33*10^5,'Reaction Information'!$Q$33)*((1/Calculations!$S192)-1)-'Reaction Information'!$P$33*10^5*((1/Calculations!$C$10)-1)+'Reaction Information'!$P$33*10^5*Calculations!$C$14*(Calculations!$O192-Calculations!$C$8))</f>
        <v>#N/A</v>
      </c>
      <c r="AL192" s="1">
        <f>Results!S194</f>
        <v>0</v>
      </c>
      <c r="AM192" s="1">
        <f>Results!T194</f>
        <v>0</v>
      </c>
      <c r="AN192" s="1">
        <f>Results!U194</f>
        <v>0</v>
      </c>
      <c r="AO192" s="1">
        <f>Results!V194</f>
        <v>0</v>
      </c>
      <c r="AP192" s="8" t="e">
        <f>IF(ISBLANK(Input!$BB$4),NA(),'Reaction Information'!$E$38-'Reaction Information'!$G$38*(Calculations!$O192-Calculations!$C$8)+'Reaction Information'!$I$38*(Calculations!$O192-Calculations!$C$8-Calculations!$O192*LN(Calculations!$O192/Calculations!$C$8))+'Reaction Information'!$J$38*0.001/2*(2*Calculations!$O192*Calculations!$C$8-Calculations!$O192^2-Calculations!$C$8^2) + 'Reaction Information'!$K$38*100000*(Calculations!$O192^2 + Calculations!$C$8^2 - 2*Calculations!$O192*Calculations!$C$8)/(2*Calculations!$O192*Calculations!$C$8^2))</f>
        <v>#N/A</v>
      </c>
      <c r="AQ192" s="8" t="e">
        <f>IF(ISBLANK(Input!$BE$4),NA(),'Reaction Information'!$E$42-'Reaction Information'!$G$42*(Calculations!$O192-Calculations!$C$8)+'Reaction Information'!$I$42*(Calculations!$O192-Calculations!$C$8-Calculations!$O192*LN(Calculations!$O192/Calculations!$C$8))+'Reaction Information'!$J$42*0.001/2*(2*Calculations!$O192*Calculations!$C$8-Calculations!$O192^2-Calculations!$C$8^2) + 'Reaction Information'!$K$42*100000*(Calculations!$O192^2 + Calculations!$C$8^2 - 2*Calculations!$O192*Calculations!$C$8)/(2*Calculations!$O192*Calculations!$C$8^2))</f>
        <v>#N/A</v>
      </c>
      <c r="AR192" s="8" t="e">
        <f>IF(AR$5="H2O", IF($D$24=3,IF(T192=0,NA(),T192),calculateGibbsOfWater(M192,N192,$D$24,$D$20,$D$19=3)),NA())</f>
        <v>#N/A</v>
      </c>
      <c r="AS192" s="8" t="e">
        <f>IF(ISBLANK(Input!$BK$4),NA(),'Reaction Information'!$E$46-'Reaction Information'!$G$46*(Calculations!O192-Calculations!$C$8)-'Reaction Information'!$N$46*(Calculations!O192*LN(Calculations!O192/Calculations!$C$8)-Calculations!O192+Calculations!$C$8)-'Reaction Information'!$O$46*10^4*(((1/(Calculations!O192-Calculations!$C$13))-(1/(Calculations!$C$8-Calculations!$C$13)))*((Calculations!$C$13-Calculations!O192)/(Calculations!$C$13))-(Calculations!O192/(Calculations!$C$13*Calculations!$C$13))*LN((Calculations!$C$8*(Calculations!O192-Calculations!$C$13))/(Calculations!O192*(Calculations!$C$8-Calculations!$C$13))))+'Reaction Information'!$J$46*10^-1*(Calculations!$M192-Calculations!$C$9)+'Reaction Information'!$K$46*10^2*LN((Calculations!$C$12+Calculations!$M192)/(Calculations!$C$12+Calculations!$C$9))+(1/(Calculations!O192-Calculations!$C$13))*('Reaction Information'!$L$46*(Calculations!$M192-Calculations!$C$9)+'Reaction Information'!$M$46*10^4*LN((Calculations!$C$12+Calculations!$M192)/(Calculations!$C$12+Calculations!$C$9)))+calculateOmega(Calculations!M192,Calculations!N192,Calculations!Q192,'Reaction Information'!$C$46,'Reaction Information'!$P$46*10^5,'Reaction Information'!$Q$46)*((1/Calculations!S192)-1)-'Reaction Information'!$P$46*10^5*((1/Calculations!$C$10)-1)+'Reaction Information'!$P$46*10^5*Calculations!$C$14*(Calculations!O192-Calculations!$C$8))</f>
        <v>#VALUE!</v>
      </c>
      <c r="AT192" s="8" t="e">
        <f>IF(ISBLANK(Input!$BN$4),NA(),'Reaction Information'!$E$50-'Reaction Information'!$G$50*(Calculations!O192-Calculations!$C$8)-'Reaction Information'!$N$50*(Calculations!O192*LN(Calculations!O192/Calculations!$C$8)-Calculations!O192+Calculations!$C$8)-'Reaction Information'!$O$50*10^4*(((1/(Calculations!O192-Calculations!$C$13))-(1/(Calculations!$C$8-Calculations!$C$13)))*((Calculations!$C$13-Calculations!O192)/(Calculations!$C$13))-(Calculations!O192/(Calculations!$C$13*Calculations!$C$13))*LN((Calculations!$C$8*(Calculations!O192-Calculations!$C$13))/(Calculations!O192*(Calculations!$C$8-Calculations!$C$13))))+'Reaction Information'!$J$50*10^-1*(Calculations!$M192-Calculations!$C$9)+'Reaction Information'!$K$50*10^2*LN((Calculations!$C$12+Calculations!$M192)/(Calculations!$C$12+Calculations!$C$9))+(1/(Calculations!O192-Calculations!$C$13))*('Reaction Information'!$L$50*(Calculations!$M192-Calculations!$C$9)+'Reaction Information'!$M$50*10^4*LN((Calculations!$C$12+Calculations!$M192)/(Calculations!$C$12+Calculations!$C$9)))+calculateOmega(Calculations!M192,Calculations!N192,Calculations!Q192,'Reaction Information'!$C$50,'Reaction Information'!$P$50*10^5,'Reaction Information'!$Q$50)*((1/Calculations!S192)-1)-'Reaction Information'!$P$50*10^5*((1/Calculations!$C$10)-1)+'Reaction Information'!$P$50*10^5*Calculations!$C$14*(Calculations!O192-Calculations!$C$8))</f>
        <v>#VALUE!</v>
      </c>
      <c r="AU192" s="8" t="e">
        <f>IF(ISBLANK(Input!$BQ$4),NA(),'Reaction Information'!$E$54-'Reaction Information'!$G$54*(Calculations!$O192-Calculations!$C$8)-'Reaction Information'!$N$54*(Calculations!$O192*LN(Calculations!$O192/Calculations!$C$8)-Calculations!$O192+Calculations!$C$8)-'Reaction Information'!$O$54*10^4*(((1/(Calculations!$O192-Calculations!$C$13))-(1/(Calculations!$C$8-Calculations!$C$13)))*((Calculations!$C$13-Calculations!$O192)/(Calculations!$C$13))-(Calculations!$O192/(Calculations!$C$13*Calculations!$C$13))*LN((Calculations!$C$8*(Calculations!$O192-Calculations!$C$13))/(Calculations!$O192*(Calculations!$C$8-Calculations!$C$13))))+'Reaction Information'!$J$54*10^-1*(Calculations!$M192-Calculations!$C$9)+'Reaction Information'!$K$54*10^2*LN((Calculations!$C$12+Calculations!$M192)/(Calculations!$C$12+Calculations!$C$9))+(1/(Calculations!$O192-Calculations!$C$13))*('Reaction Information'!$L$54*(Calculations!$M192-Calculations!$C$9)+'Reaction Information'!$M$54*10^4*LN((Calculations!$C$12+Calculations!$M192)/(Calculations!$C$12+Calculations!$C$9)))+calculateOmega(Calculations!M192,Calculations!N192,Calculations!Q192,'Reaction Information'!$C$54,'Reaction Information'!$P$54*10^5,'Reaction Information'!$Q$54)*((1/Calculations!$S192)-1)-'Reaction Information'!$P$54*10^5*((1/Calculations!$C$10)-1)+'Reaction Information'!$P$54*10^5*Calculations!$C$14*(Calculations!$O192-Calculations!$C$8))</f>
        <v>#N/A</v>
      </c>
      <c r="AV192" s="8" t="e">
        <f>IF(ISBLANK(Input!$BT$4),NA(),'Reaction Information'!$E$58-'Reaction Information'!$G$58*(Calculations!$O192-Calculations!$C$8)-'Reaction Information'!$N$58*(Calculations!$O192*LN(Calculations!$O192/Calculations!$C$8)-Calculations!$O192+Calculations!$C$8)-'Reaction Information'!$O$58*10^4*(((1/(Calculations!$O192-Calculations!$C$13))-(1/(Calculations!$C$8-Calculations!$C$13)))*((Calculations!$C$13-Calculations!$O192)/(Calculations!$C$13))-(Calculations!$O192/(Calculations!$C$13*Calculations!$C$13))*LN((Calculations!$C$8*(Calculations!$O192-Calculations!$C$13))/(Calculations!$O192*(Calculations!$C$8-Calculations!$C$13))))+'Reaction Information'!$J$58*10^-1*(Calculations!$M192-Calculations!$C$9)+'Reaction Information'!$K$58*10^2*LN((Calculations!$C$12+Calculations!$M192)/(Calculations!$C$12+Calculations!$C$9))+(1/(Calculations!$O192-Calculations!$C$13))*('Reaction Information'!$L$58*(Calculations!$M192-Calculations!$C$9)+'Reaction Information'!$M$58*10^4*LN((Calculations!$C$12+Calculations!$M192)/(Calculations!$C$12+Calculations!$C$9)))+calculateOmega(Calculations!M192,Calculations!N192,Calculations!Q192,'Reaction Information'!$C$58,'Reaction Information'!$P$58*10^5,'Reaction Information'!$Q$58)*((1/Calculations!$S192)-1)-'Reaction Information'!$P$58*10^5*((1/Calculations!$C$10)-1)+'Reaction Information'!$P$58*10^5*Calculations!$C$14*(Calculations!$O192-Calculations!$C$8))</f>
        <v>#N/A</v>
      </c>
      <c r="AW192" s="8" t="e">
        <f>IF(ISBLANK(Input!$BW$4),NA(),'Reaction Information'!$E$62-'Reaction Information'!$G$62*(Calculations!$O192-Calculations!$C$8)-'Reaction Information'!$N$62*(Calculations!$O192*LN(Calculations!$O192/Calculations!$C$8)-Calculations!$O192+Calculations!$C$8)-'Reaction Information'!$O$62*10^4*(((1/(Calculations!$O192-Calculations!$C$13))-(1/(Calculations!$C$8-Calculations!$C$13)))*((Calculations!$C$13-Calculations!$O192)/(Calculations!$C$13))-(Calculations!$O192/(Calculations!$C$13*Calculations!$C$13))*LN((Calculations!$C$8*(Calculations!$O192-Calculations!$C$13))/(Calculations!$O192*(Calculations!$C$8-Calculations!$C$13))))+'Reaction Information'!$J$62*10^-1*(Calculations!$M192-Calculations!$C$9)+'Reaction Information'!$K$62*10^2*LN((Calculations!$C$12+Calculations!$M192)/(Calculations!$C$12+Calculations!$C$9))+(1/(Calculations!$O192-Calculations!$C$13))*('Reaction Information'!$L$62*(Calculations!$M192-Calculations!$C$9)+'Reaction Information'!$M$62*10^4*LN((Calculations!$C$12+Calculations!$M192)/(Calculations!$C$12+Calculations!$C$9)))+calculateOmega(Calculations!M192,Calculations!N192,Calculations!Q192,'Reaction Information'!$C$62,'Reaction Information'!$P$62*10^5,'Reaction Information'!$Q$62)*((1/Calculations!$S192)-1)-'Reaction Information'!$P$62*10^5*((1/Calculations!$C$10)-1)+'Reaction Information'!$P$62*10^5*Calculations!$C$14*(Calculations!$O192-Calculations!$C$8))</f>
        <v>#N/A</v>
      </c>
      <c r="AX192" s="8" t="e">
        <f>IF(ISBLANK(Input!$BZ$4),NA(),'Reaction Information'!$E$66-'Reaction Information'!$G$66*(Calculations!$O192-Calculations!$C$8)-'Reaction Information'!$N$66*(Calculations!$O192*LN(Calculations!$O192/Calculations!$C$8)-Calculations!$O192+Calculations!$C$8)-'Reaction Information'!$O$66*10^4*(((1/(Calculations!$O192-Calculations!$C$13))-(1/(Calculations!$C$8-Calculations!$C$13)))*((Calculations!$C$13-Calculations!$O192)/(Calculations!$C$13))-(Calculations!$O192/(Calculations!$C$13*Calculations!$C$13))*LN((Calculations!$C$8*(Calculations!$O192-Calculations!$C$13))/(Calculations!$O192*(Calculations!$C$8-Calculations!$C$13))))+'Reaction Information'!$J$66*10^-1*(Calculations!$M192-Calculations!$C$9)+'Reaction Information'!$K$66*10^2*LN((Calculations!$C$12+Calculations!$M192)/(Calculations!$C$12+Calculations!$C$9))+(1/(Calculations!$O192-Calculations!$C$13))*('Reaction Information'!$L$66*(Calculations!$M192-Calculations!$C$9)+'Reaction Information'!$M$66*10^4*LN((Calculations!$C$12+Calculations!$M192)/(Calculations!$C$12+Calculations!$C$9)))+calculateOmega(Calculations!M192,Calculations!N192,Calculations!Q192,'Reaction Information'!$C$66,'Reaction Information'!$P$66*10^5,'Reaction Information'!$Q$66)*((1/Calculations!$S192)-1)-'Reaction Information'!$P$66*10^5*((1/Calculations!$C$10)-1)+'Reaction Information'!$P$66*10^5*Calculations!$C$14*(Calculations!$O192-Calculations!$C$8))</f>
        <v>#N/A</v>
      </c>
      <c r="AY192" s="31" t="e">
        <f>(AL192*Input!$AO$4+AM192*Input!$AR$4+AN192*Input!$AU$4+AO192*Input!$AX$4+IF(ISNA(AP192),0,AP192*Input!$BA$4)+IF(ISNA(AQ192),0,AQ192*Input!$BD$4)+IF(ISNA(AR192),0,AR192*Input!$BG$4)+IF(ISNA(AS192),0,AS192*Input!$BJ$4)+IF(ISNA(AT192),0,AT192*Input!$BM$4)+IF(ISNA(AU192),0,AU192*Input!$BP$4)+IF(ISNA(AV192),0,AV192*Input!$BS$4)+IF(ISNA(AW192),0,AW192*Input!$BV$4)+IF(ISNA(AX192),0,AX192*Input!$BY$4))-(Y192*Input!$B$4+Z192*Input!$E$4+AA192*Input!$H$4+AB192*Input!$K$4+IF(ISNA(AC192),0,AC192*Input!$N$4)+IF(ISNA(AD192),0,AD192*Input!$Q$4)+IF(ISNA(AE192),0,AE192*Input!$T$4)+IF(ISNA(AF192),0,AF192*Input!$W$4)+IF(ISNA(AG192),0,AG192*Input!$Z$4)+IF(ISNA(AH192),0,AH192*Input!$AC$4)+IF(ISNA(AI192),0,AI192*Input!$AF$4)+IF(ISNA(AJ192),0,AJ192*Input!$AI$4)+IF(ISNA(AK192),0,AK192*Input!$AL$4))</f>
        <v>#VALUE!</v>
      </c>
      <c r="AZ192" s="42" t="e">
        <f t="shared" si="54"/>
        <v>#VALUE!</v>
      </c>
      <c r="BA192" s="1" t="str">
        <f t="shared" si="46"/>
        <v/>
      </c>
      <c r="BB192" s="46" t="str">
        <f t="shared" si="47"/>
        <v/>
      </c>
      <c r="BC192" s="1"/>
      <c r="BD192" s="2" t="str">
        <f t="shared" si="48"/>
        <v/>
      </c>
      <c r="BE192" s="46" t="str">
        <f t="shared" si="49"/>
        <v/>
      </c>
      <c r="BF192" s="1">
        <f>Results!AJ194</f>
        <v>0</v>
      </c>
      <c r="BG192" s="1">
        <f>Results!AK194</f>
        <v>0</v>
      </c>
      <c r="BH192" s="1">
        <f>Results!AL194</f>
        <v>0</v>
      </c>
      <c r="BI192" s="1">
        <f>Results!AM194</f>
        <v>0</v>
      </c>
      <c r="BJ192" s="1" t="e">
        <f>IF(OR(ISNA('Reaction Information'!$D$5), $N192 = "", $D$27 = FALSE, 'Reaction Information'!$D$5 = ""), NA(), 24.465)</f>
        <v>#N/A</v>
      </c>
      <c r="BK192" s="1" t="e">
        <f>IF(OR(ISNA('Reaction Information'!$D$9), $N192 = "", $D$27 = FALSE, 'Reaction Information'!$D$9 = ""), NA(), 24.465)</f>
        <v>#N/A</v>
      </c>
      <c r="BL192" s="8" t="e">
        <f t="shared" si="55"/>
        <v>#VALUE!</v>
      </c>
      <c r="BM192" s="8" t="e">
        <f>IF(OR(ISBLANK(Input!$X$4),$D$27=FALSE),NA(),('Reaction Information'!$J$13/10+'Reaction Information'!$K$13*100/(Calculations!$C$12+Calculations!$M192)+('Reaction Information'!$L$13+'Reaction Information'!$M$13*10^4/(Calculations!$C$12+Calculations!$M192))/(Calculations!$O192-Calculations!$C$13) -calculateOmega(Calculations!$M192,Calculations!$N192,Calculations!$Q192,'Reaction Information'!$C$13,'Reaction Information'!$P$13*10^5,'Reaction Information'!$Q$13)*Calculations!$U192*10^-6 + (1/$S192 - 1)*calculate_domegadP(Calculations!$M192,Calculations!$N192,Calculations!$Q192,'Reaction Information'!$C$13,'Reaction Information'!$P$13*10^5,'Reaction Information'!$Q$13,$D$20,$D$19=3))*41.84)</f>
        <v>#VALUE!</v>
      </c>
      <c r="BN192" s="8" t="e">
        <f>IF(OR(ISBLANK(Input!$AA$4),$D$27=FALSE),NA(),('Reaction Information'!$J$17/10+'Reaction Information'!$K$17*100/(Calculations!$C$12+Calculations!$M192)+('Reaction Information'!$L$17+'Reaction Information'!$M$17*10000/(Calculations!$C$12+Calculations!$M192))/(Calculations!$O192-Calculations!$C$13)-calculateOmega(Calculations!M192,Calculations!N192,Calculations!Q192,'Reaction Information'!$C$17,'Reaction Information'!$P$17*10^5,'Reaction Information'!$Q$17)*Calculations!$U192*10^-6 + (1/$S192 - 1)*calculate_domegadP(Calculations!M192,Calculations!N192,Calculations!Q192,'Reaction Information'!$C$17,'Reaction Information'!$P$17*10^5,'Reaction Information'!$Q$17,$D$20,$D$19=3))*41.84)</f>
        <v>#N/A</v>
      </c>
      <c r="BO192" s="8" t="e">
        <f>IF(OR(ISBLANK(Input!$AD$4),$D$27=FALSE),NA(),('Reaction Information'!$J$21/10+'Reaction Information'!$K$21*100/(Calculations!$C$12+Calculations!$M192)+('Reaction Information'!$L$21+'Reaction Information'!$M$21*10000/(Calculations!$C$12+Calculations!$M192))/(Calculations!$O192-Calculations!$C$13)-calculateOmega(Calculations!M192,Calculations!N192,Calculations!Q192,'Reaction Information'!$C$21,'Reaction Information'!$P$21*10^5,'Reaction Information'!$Q$21)*Calculations!$U192*10^-6 + (1/$S192 - 1)*calculate_domegadP(Calculations!M192,Calculations!N192,Calculations!Q192,'Reaction Information'!$C$21,'Reaction Information'!$P$21*10^5,'Reaction Information'!$Q$21,$D$20,$D$19=3))*41.84)</f>
        <v>#N/A</v>
      </c>
      <c r="BP192" s="8" t="e">
        <f>IF(OR(ISBLANK(Input!$AG$4),$D$27=FALSE),NA(),('Reaction Information'!$J$25/10+'Reaction Information'!$K$25*100/(Calculations!$C$12+Calculations!$M192)+('Reaction Information'!$L$25+'Reaction Information'!$M$25*10000/(Calculations!$C$12+Calculations!$M192))/(Calculations!$O192-Calculations!$C$13)-calculateOmega(Calculations!M192,Calculations!N192,Calculations!Q192,'Reaction Information'!$C$25,'Reaction Information'!$P$25*10^5,'Reaction Information'!$Q$25)*Calculations!$U192*10^-6 + (1/$S192 - 1)*calculate_domegadP(Calculations!M192,Calculations!N192,Calculations!Q192,'Reaction Information'!$C$25,'Reaction Information'!$P$25*10^5,'Reaction Information'!$Q$25,$D$20,$D$19=3))*41.84)</f>
        <v>#N/A</v>
      </c>
      <c r="BQ192" s="8" t="e">
        <f>IF(OR(ISBLANK(Input!$AJ$4),$D$27=FALSE),NA(),('Reaction Information'!$J$29/10+'Reaction Information'!$K$29*100/(Calculations!$C$12+Calculations!$M192)+('Reaction Information'!$L$29+'Reaction Information'!$M$29*10000/(Calculations!$C$12+Calculations!$M192))/(Calculations!$O192-Calculations!$C$13)-calculateOmega(Calculations!M192,Calculations!N192,Calculations!Q192,'Reaction Information'!$C$29,'Reaction Information'!$P$29*10^5,'Reaction Information'!$Q$29)*Calculations!$U192*10^-6 + (1/$S192 - 1)*calculate_domegadP(Calculations!M192,Calculations!N192,Calculations!Q192,'Reaction Information'!$C$29,'Reaction Information'!$P$29*10^5,'Reaction Information'!$Q$29,$D$20,$D$19=3))*41.84)</f>
        <v>#N/A</v>
      </c>
      <c r="BR192" s="8" t="e">
        <f>IF(OR(ISBLANK(Input!$AM$4),$D$27=FALSE),NA(),('Reaction Information'!$J$33/10+'Reaction Information'!$K$33*100/(Calculations!$C$12+Calculations!$M192)+('Reaction Information'!$L$33+'Reaction Information'!$M$33*10000/(Calculations!$C$12+Calculations!$M192))/(Calculations!$O192-Calculations!$C$13)-calculateOmega(Calculations!M192,Calculations!N192,Calculations!Q192,'Reaction Information'!$C$33,'Reaction Information'!$P$33*10^5,'Reaction Information'!$Q$33)*Calculations!$U192*10^-6 + (1/$S192 - 1)*calculate_domegadP(Calculations!M192,Calculations!N192,Calculations!Q192,'Reaction Information'!$C$33,'Reaction Information'!$P$33*10^5,'Reaction Information'!$Q$33,$D$20,$D$19=3))*41.84)</f>
        <v>#N/A</v>
      </c>
      <c r="BS192" s="1">
        <f>Results!AW194</f>
        <v>0</v>
      </c>
      <c r="BT192" s="1">
        <f>Results!AX194</f>
        <v>0</v>
      </c>
      <c r="BU192" s="1">
        <f>Results!AY194</f>
        <v>0</v>
      </c>
      <c r="BV192" s="1">
        <f>Results!AZ194</f>
        <v>0</v>
      </c>
      <c r="BW192" s="1" t="e">
        <f>IF(OR(ISNA('Reaction Information'!$D$38), $N192 = "", $D$27 = FALSE, 'Reaction Information'!$D$38 = ""), NA(), 24.465)</f>
        <v>#N/A</v>
      </c>
      <c r="BX192" s="1" t="e">
        <f>IF(OR(ISNA('Reaction Information'!$D$42), $N192 = "", $D$27 = FALSE, 'Reaction Information'!$D$42 = ""), NA(), 24.465)</f>
        <v>#N/A</v>
      </c>
      <c r="BY192" s="8" t="e">
        <f t="shared" si="56"/>
        <v>#N/A</v>
      </c>
      <c r="BZ192" s="8" t="e">
        <f>IF(OR(ISBLANK(Input!$BK$4),$D$27=FALSE),NA(),('Reaction Information'!$J$46/10+'Reaction Information'!$K$46*100/(Calculations!$C$12+Calculations!$M192)+('Reaction Information'!$L$46+'Reaction Information'!$M$46*10000/(Calculations!$C$12+Calculations!$M192))/(Calculations!$O192-Calculations!$C$13)-calculateOmega(Calculations!M192,Calculations!N192,Calculations!Q192,'Reaction Information'!$C$46,'Reaction Information'!$P$46*10^5,'Reaction Information'!$Q$46)*Calculations!$U192*10^-6 + (1/$S192 - 1)*calculate_domegadP(Calculations!M192,Calculations!N192,Calculations!Q192,'Reaction Information'!$C$46,'Reaction Information'!$P$46*10^5,'Reaction Information'!$Q$46,$D$20,$D$19=3))*41.84)</f>
        <v>#VALUE!</v>
      </c>
      <c r="CA192" s="8" t="e">
        <f>IF(OR(ISBLANK(Input!$BN$4),$D$27=FALSE),NA(),('Reaction Information'!$J$50/10+'Reaction Information'!$K$50*100/(Calculations!$C$12+Calculations!$M192)+('Reaction Information'!$L$50+'Reaction Information'!$M$50*10000/(Calculations!$C$12+Calculations!$M192))/(Calculations!$O192-Calculations!$C$13)-calculateOmega(Calculations!M192,Calculations!N192,Calculations!Q192,'Reaction Information'!$C$50,'Reaction Information'!$P$50*10^5,'Reaction Information'!$Q$50)*Calculations!$U192*10^-6 + (1/$S192 - 1)*calculate_domegadP(Calculations!M192,Calculations!N192,Calculations!Q192,'Reaction Information'!$C$50,'Reaction Information'!$P$50*10^5,'Reaction Information'!$Q$50,$D$20,$D$19=3))*41.84)</f>
        <v>#VALUE!</v>
      </c>
      <c r="CB192" s="8" t="e">
        <f>IF(OR(ISBLANK(Input!$BQ$4),$D$27=FALSE),NA(),('Reaction Information'!$J$54/10+'Reaction Information'!$K$54*100/(Calculations!$C$12+Calculations!$M192)+('Reaction Information'!$L$54+'Reaction Information'!$M$54*10000/(Calculations!$C$12+Calculations!$M192))/(Calculations!$O192-Calculations!$C$13)-calculateOmega(Calculations!M192,Calculations!N192,Calculations!Q192,'Reaction Information'!$C$54,'Reaction Information'!$P$54*10^5,'Reaction Information'!$Q$54)*Calculations!$U192*10^-6 + (1/$S192 - 1)*calculate_domegadP(Calculations!M192,Calculations!N192,Calculations!Q192,'Reaction Information'!$C$54,'Reaction Information'!$P$54*10^5,'Reaction Information'!$Q$54,$D$20,$D$19=3))*41.84)</f>
        <v>#N/A</v>
      </c>
      <c r="CC192" s="8" t="e">
        <f>IF(OR(ISBLANK(Input!$BT$4),$D$27=FALSE),NA(),('Reaction Information'!$J$58/10+'Reaction Information'!$K$58*100/(Calculations!$C$12+Calculations!$M192)+('Reaction Information'!$L$58+'Reaction Information'!$M$58*10000/(Calculations!$C$12+Calculations!$M192))/(Calculations!$O192-Calculations!$C$13)-calculateOmega(Calculations!M192,Calculations!N192,Calculations!Q192,'Reaction Information'!$C$58,'Reaction Information'!$P$58*10^5,'Reaction Information'!$Q$58)*Calculations!$U192*10^-6 + (1/$S192 - 1)*calculate_domegadP(Calculations!M192,Calculations!N192,Calculations!Q192,'Reaction Information'!$C$58,'Reaction Information'!$P$58*10^5,'Reaction Information'!$Q$58,$D$20,$D$19=3))*41.84)</f>
        <v>#N/A</v>
      </c>
      <c r="CD192" s="8" t="e">
        <f>IF(OR(ISBLANK(Input!$BW$4),$D$27=FALSE),NA(),('Reaction Information'!$J$62/10+'Reaction Information'!$K$62*100/(Calculations!$C$12+Calculations!$M192)+('Reaction Information'!$L$62+'Reaction Information'!$M$62*10000/(Calculations!$C$12+Calculations!$M192))/(Calculations!$O192-Calculations!$C$13)-calculateOmega(Calculations!M192,Calculations!N192,Calculations!Q192,'Reaction Information'!$C$62,'Reaction Information'!$P$62*10^5,'Reaction Information'!$Q$62)*Calculations!$U192*10^-6 + (1/$S192 - 1)*calculate_domegadP(Calculations!M192,Calculations!N192,Calculations!Q192,'Reaction Information'!$C$62,'Reaction Information'!$P$62*10^5,'Reaction Information'!$Q$62,$D$20,$D$19=3))*41.84)</f>
        <v>#N/A</v>
      </c>
      <c r="CE192" s="8" t="e">
        <f>IF(OR(ISBLANK(Input!$BZ$4),$D$27=FALSE),NA(),('Reaction Information'!$J$66/10+'Reaction Information'!$K$66*100/(Calculations!$C$12+Calculations!$M192)+('Reaction Information'!$L$66+'Reaction Information'!$M$66*10000/(Calculations!$C$12+Calculations!$M192))/(Calculations!$O192-Calculations!$C$13)-calculateOmega(Calculations!M192,Calculations!N192,Calculations!Q192,'Reaction Information'!$C$66,'Reaction Information'!$P$66*10^5,'Reaction Information'!$Q$66)*Calculations!$U192*10^-6 + (1/$S192 - 1)*calculate_domegadP(Calculations!M192,Calculations!N192,Calculations!Q192,'Reaction Information'!$C$66,'Reaction Information'!$P$66*10^5,'Reaction Information'!$Q$66,$D$20,$D$19=3))*41.84)</f>
        <v>#N/A</v>
      </c>
      <c r="CF192" s="31" t="e">
        <f>(BS192*Input!$AO$4+BT192*Input!$AR$4+BU192*Input!$AU$4+BV192*Input!$AX$4+IF(ISNA(BW192),0,BW192*Input!$BA$4)+IF(ISNA(BX192),0,BX192*Input!$BD$4)+IF(ISNA(BY192),0,BY192*Input!$BG$4)+IF(ISNA(BZ192),0,BZ192*Input!$BJ$4)+IF(ISNA(CA192),0,CA192*Input!$BM$4)+IF(ISNA(CB192),0,CB192*Input!$BP$4)+IF(ISNA(CC192),0,CC192*Input!$BS$4)+IF(ISNA(CD192),0,CD192*Input!$BV$4)+IF(ISNA(CE192),0,CE192*Input!$BY$4))-(BF192*Input!$B$4+BG192*Input!$E$4+BH192*Input!$H$4+BI192*Input!$K$4+IF(ISNA(BJ192),0,BJ192*Input!$N$4)+IF(ISNA(BK192),0,BK192*Input!$Q$4)+IF(ISNA(BL192),0,BL192*Input!$T$4)+IF(ISNA(BM192),0,BM192*Input!$W$4)+IF(ISNA(BN192),0,BN192*Input!$Z$4)+IF(ISNA(BO192),0,BO192*Input!$AC$4)+IF(ISNA(BP192),0,BP192*Input!$AF$4)+IF(ISNA(BQ192),0,BQ192*Input!$AI$4)+IF(ISNA(BR192),0,BR192*Input!$AL$4))</f>
        <v>#VALUE!</v>
      </c>
      <c r="CG192" s="1" t="str">
        <f t="shared" si="50"/>
        <v/>
      </c>
      <c r="CH192" s="46" t="str">
        <f t="shared" si="51"/>
        <v/>
      </c>
      <c r="CI192" s="1"/>
    </row>
    <row r="193" spans="1:87" x14ac:dyDescent="0.2">
      <c r="A193" s="1"/>
      <c r="B193" s="1"/>
      <c r="C193" s="1"/>
      <c r="D193" s="1"/>
      <c r="E193" s="1"/>
      <c r="F193" s="2">
        <v>188</v>
      </c>
      <c r="G193" s="1" t="str">
        <f>IF(ISBLANK(Input!CB193), "", Input!CB193*1000)</f>
        <v/>
      </c>
      <c r="H193" s="1" t="str">
        <f>IF(ISBLANK(Input!CC193), "", Input!CC193)</f>
        <v/>
      </c>
      <c r="I193" s="1" t="str">
        <f>IF(Input!$CF$5 + Input!$CF$6*(FLOOR((Calculations!$F193-1)/(FLOOR((Input!$CF$12-Input!$CF$10)/Input!$CF$11,1)+1),1)) &gt; Input!$CF$7, "", (Input!$CF$5 + Input!$CF$6*(FLOOR((Calculations!$F193-1)/(FLOOR((Input!$CF$12-Input!$CF$10)/Input!$CF$11,1)+1),1)))*1000)</f>
        <v/>
      </c>
      <c r="J193" s="1" t="str">
        <f>IF(Calculations!I193 = "", "", Input!$CF$10 + Input!$CF$11*(Calculations!$F193-1) - (FLOOR((Input!$CF$12-Input!$CF$10)/Input!$CF$11,1)+1)*Input!$CF$11*FLOOR((Calculations!$F193-1)/(FLOOR((Input!$CF$12-Input!$CF$10)/Input!$CF$11,1)+1),1))</f>
        <v/>
      </c>
      <c r="K193" s="8" t="str">
        <f t="shared" si="52"/>
        <v/>
      </c>
      <c r="L193" s="117" t="str">
        <f>IF(OR(Input!$CJ$5 + Input!$CJ$6*(Calculations!F193-1) &gt; Input!$CJ$7, Input!$CJ$5 + Input!$CJ$6*(Calculations!F193-1) &gt; 350), "", Input!$CJ$5 + Input!$CJ$6*(Calculations!F193-1))</f>
        <v/>
      </c>
      <c r="M193" s="1" t="str">
        <f t="shared" si="42"/>
        <v/>
      </c>
      <c r="N193" s="1" t="str">
        <f t="shared" si="43"/>
        <v/>
      </c>
      <c r="O193" s="1" t="e">
        <f t="shared" si="53"/>
        <v>#VALUE!</v>
      </c>
      <c r="P193" s="1" t="e">
        <f>IF(OR($D$20=3,AND($D$21=TRUE,M193&lt;1000)),INDEX('Water Density'!$C$6:$CX$120,MATCH(Calculations!N193,'Water Density'!$B$6:$B$120),MATCH(Calculations!M193/1000,'Water Density'!$C$5:$CX$5)),NA())</f>
        <v>#N/A</v>
      </c>
      <c r="Q193" s="182" t="e">
        <f>IF(OR($D$20=3,AND($D$21=TRUE,M193&lt;1000)), IF(P193&lt;&gt;0,P193,NA()), calculateDensity(M193,N193,$D$20,0.01,$D$19 = 3))</f>
        <v>#VALUE!</v>
      </c>
      <c r="R193" s="1" t="e">
        <f>IF($D$22=5,INDEX('Dielectric Constant'!$C$6:$CX$120,MATCH(Calculations!N193,'Dielectric Constant'!$B$6:$B$120),MATCH(Calculations!M193/1000,'Dielectric Constant'!$C$5:$CX$5)),NA())</f>
        <v>#N/A</v>
      </c>
      <c r="S193" s="58" t="e">
        <f>IF($D$22=5, IF(R193&lt;&gt;0,R193,NA()), IF(AND($D$23,M193&lt;=5000,$D$19 &lt;&gt; 3),calculateEpsilon(Q193,N193,1,FALSE),calculateEpsilon(Q193,N193,$D$22,$D$19 = 3)))</f>
        <v>#VALUE!</v>
      </c>
      <c r="T193" s="1" t="e">
        <f>IF($D$24=3,INDEX('Water Free Energy'!$C$6:$CX$120,MATCH(Calculations!N193,'Water Free Energy'!$B$6:$B$120),MATCH(Calculations!M193/1000,'Water Free Energy'!$C$5:$CX$5)),NA())</f>
        <v>#N/A</v>
      </c>
      <c r="U193" s="179" t="e">
        <f>IF($D$27,calculateQ(M193,N193,Q193,$D$20,$D$22,$D$19=3)*10^6,NA())</f>
        <v>#VALUE!</v>
      </c>
      <c r="V193"/>
      <c r="W193" s="2" t="str">
        <f t="shared" si="44"/>
        <v/>
      </c>
      <c r="X193" s="1" t="str">
        <f t="shared" si="45"/>
        <v/>
      </c>
      <c r="Y193" s="1">
        <f>Results!F195</f>
        <v>0</v>
      </c>
      <c r="Z193" s="1">
        <f>Results!G195</f>
        <v>0</v>
      </c>
      <c r="AA193" s="1">
        <f>Results!H195</f>
        <v>0</v>
      </c>
      <c r="AB193" s="1">
        <f>Results!I195</f>
        <v>0</v>
      </c>
      <c r="AC193" s="1" t="e">
        <f>IF(ISBLANK(Input!$O$4),NA(),'Reaction Information'!$E$5-'Reaction Information'!$G$5*(Calculations!$O193-Calculations!$C$8)+'Reaction Information'!$I$5*(Calculations!$O193-Calculations!$C$8-Calculations!$O193*LN(Calculations!$O193/Calculations!$C$8))+'Reaction Information'!$J$5*0.001/2*(2*Calculations!$O193*Calculations!$C$8-Calculations!$O193^2-Calculations!$C$8^2) + 'Reaction Information'!$K$5*100000*(Calculations!$O193^2 + Calculations!$C$8^2 - 2*Calculations!$O193*Calculations!$C$8)/(2*Calculations!$O193*Calculations!$C$8^2))</f>
        <v>#N/A</v>
      </c>
      <c r="AD193" s="8" t="e">
        <f>IF(ISBLANK(Input!$R$4),NA(),'Reaction Information'!$E$9-'Reaction Information'!$G$9*(Calculations!$O193-Calculations!$C$8)+'Reaction Information'!$I$9*(Calculations!$O193-Calculations!$C$8-Calculations!$O193*LN(Calculations!$O193/Calculations!$C$8))+'Reaction Information'!$J$9*0.001/2*(2*Calculations!$O193*Calculations!$C$8-Calculations!$O193^2-Calculations!$C$8^2) + 'Reaction Information'!$K$9*100000*(Calculations!$O193^2 + Calculations!$C$8^2 - 2*Calculations!$O193*Calculations!$C$8)/(2*Calculations!$O193*Calculations!$C$8^2))</f>
        <v>#N/A</v>
      </c>
      <c r="AE193" s="8" t="e">
        <f>IF(AE$5="H2O",IF($D$24=3,IF(T193=0,NA(),T193),calculateGibbsOfWater(M193,N193,$D$24,$D$20,$D$19=3)),NA())</f>
        <v>#VALUE!</v>
      </c>
      <c r="AF193" s="8" t="e">
        <f>IF(ISBLANK(Input!$X$4),NA(),'Reaction Information'!$E$13-'Reaction Information'!$G$13*(Calculations!O193-Calculations!$C$8)-'Reaction Information'!$N$13*(Calculations!O193*LN(Calculations!O193/Calculations!$C$8)-Calculations!O193+Calculations!$C$8)-'Reaction Information'!$O$13*10^4*(((1/(Calculations!O193-Calculations!$C$13))-(1/(Calculations!$C$8-Calculations!$C$13)))*((Calculations!$C$13-Calculations!O193)/(Calculations!$C$13))-(Calculations!O193/(Calculations!$C$13*Calculations!$C$13))*LN((Calculations!$C$8*(Calculations!O193-Calculations!$C$13))/(Calculations!O193*(Calculations!$C$8-Calculations!$C$13))))+'Reaction Information'!$J$13*10^-1*(Calculations!M193-Calculations!$C$9)+'Reaction Information'!$K$13*10^2*LN((Calculations!$C$12+Calculations!M193)/(Calculations!$C$12+Calculations!$C$9))+(1/(Calculations!O193-Calculations!$C$13))*('Reaction Information'!$L$13*(Calculations!M193-Calculations!$C$9)+'Reaction Information'!$M$13*10^4*LN((Calculations!$C$12+Calculations!M193)/(Calculations!$C$12+Calculations!$C$9)))+calculateOmega(Calculations!M193,Calculations!N193,Calculations!Q193,'Reaction Information'!$C$13,'Reaction Information'!$P$13*10^5,'Reaction Information'!$Q$13)*((1/Calculations!S193)-1)-'Reaction Information'!$P$13*10^5*((1/Calculations!$C$10)-1)+'Reaction Information'!$P$13*10^5*Calculations!$C$14*(Calculations!O193-Calculations!$C$8))</f>
        <v>#VALUE!</v>
      </c>
      <c r="AG193" s="8" t="e">
        <f>IF(ISBLANK(Input!$AA$4),NA(),'Reaction Information'!$E$17-'Reaction Information'!$G$17*(Calculations!$O193-Calculations!$C$8)-'Reaction Information'!$N$17*(Calculations!$O193*LN(Calculations!$O193/Calculations!$C$8)-Calculations!$O193+Calculations!$C$8)-'Reaction Information'!$O$17*10^4*(((1/(Calculations!$O193-Calculations!$C$13))-(1/(Calculations!$C$8-Calculations!$C$13)))*((Calculations!$C$13-Calculations!$O193)/(Calculations!$C$13))-(Calculations!$O193/(Calculations!$C$13*Calculations!$C$13))*LN((Calculations!$C$8*(Calculations!$O193-Calculations!$C$13))/(Calculations!$O193*(Calculations!$C$8-Calculations!$C$13))))+'Reaction Information'!$J$17*10^-1*(Calculations!$M193-Calculations!$C$9)+'Reaction Information'!$K$17*10^2*LN((Calculations!$C$12+Calculations!$M193)/(Calculations!$C$12+Calculations!$C$9))+(1/(Calculations!$O193-Calculations!$C$13))*('Reaction Information'!$L$17*(Calculations!$M193-Calculations!$C$9)+'Reaction Information'!$M$17*10^4*LN((Calculations!$C$12+Calculations!$M193)/(Calculations!$C$12+Calculations!$C$9)))+calculateOmega(Calculations!M193,Calculations!N193,Calculations!Q193,'Reaction Information'!$C$17,'Reaction Information'!$P$17*10^5,'Reaction Information'!$Q$17)*((1/Calculations!$S193)-1)-'Reaction Information'!$P$17*10^5*((1/Calculations!$C$10)-1)+'Reaction Information'!$P$17*10^5*Calculations!$C$14*(Calculations!$O193-Calculations!$C$8))</f>
        <v>#N/A</v>
      </c>
      <c r="AH193" s="8" t="e">
        <f>IF(ISBLANK(Input!$AD$4),NA(),'Reaction Information'!$E$21-'Reaction Information'!$G$21*(Calculations!$O193-Calculations!$C$8)-'Reaction Information'!$N$21*(Calculations!$O193*LN(Calculations!$O193/Calculations!$C$8)-Calculations!$O193+Calculations!$C$8)-'Reaction Information'!$O$21*10^4*(((1/(Calculations!$O193-Calculations!$C$13))-(1/(Calculations!$C$8-Calculations!$C$13)))*((Calculations!$C$13-Calculations!$O193)/(Calculations!$C$13))-(Calculations!$O193/(Calculations!$C$13*Calculations!$C$13))*LN((Calculations!$C$8*(Calculations!$O193-Calculations!$C$13))/(Calculations!$O193*(Calculations!$C$8-Calculations!$C$13))))+'Reaction Information'!$J$21*10^-1*(Calculations!$M193-Calculations!$C$9)+'Reaction Information'!$K$21*10^2*LN((Calculations!$C$12+Calculations!$M193)/(Calculations!$C$12+Calculations!$C$9))+(1/(Calculations!$O193-Calculations!$C$13))*('Reaction Information'!$L$21*(Calculations!$M193-Calculations!$C$9)+'Reaction Information'!$M$21*10^4*LN((Calculations!$C$12+Calculations!$M193)/(Calculations!$C$12+Calculations!$C$9)))+calculateOmega(Calculations!M193,Calculations!N193,Calculations!Q193,'Reaction Information'!$C$21,'Reaction Information'!$P$21*10^5,'Reaction Information'!$Q$21)*((1/Calculations!$S193)-1)-'Reaction Information'!$P$21*10^5*((1/Calculations!$C$10)-1)+'Reaction Information'!$P$21*10^5*Calculations!$C$14*(Calculations!$O193-Calculations!$C$8))</f>
        <v>#N/A</v>
      </c>
      <c r="AI193" s="8" t="e">
        <f>IF(ISBLANK(Input!$AG$4),NA(),'Reaction Information'!$E$25-'Reaction Information'!$G$25*(Calculations!$O193-Calculations!$C$8)-'Reaction Information'!$N$25*(Calculations!$O193*LN(Calculations!$O193/Calculations!$C$8)-Calculations!$O193+Calculations!$C$8)-'Reaction Information'!$O$25*10^4*(((1/(Calculations!$O193-Calculations!$C$13))-(1/(Calculations!$C$8-Calculations!$C$13)))*((Calculations!$C$13-Calculations!$O193)/(Calculations!$C$13))-(Calculations!$O193/(Calculations!$C$13*Calculations!$C$13))*LN((Calculations!$C$8*(Calculations!$O193-Calculations!$C$13))/(Calculations!$O193*(Calculations!$C$8-Calculations!$C$13))))+'Reaction Information'!$J$25*10^-1*(Calculations!$M193-Calculations!$C$9)+'Reaction Information'!$K$25*10^2*LN((Calculations!$C$12+Calculations!$M193)/(Calculations!$C$12+Calculations!$C$9))+(1/(Calculations!$O193-Calculations!$C$13))*('Reaction Information'!$L$25*(Calculations!$M193-Calculations!$C$9)+'Reaction Information'!$M$25*10^4*LN((Calculations!$C$12+Calculations!$M193)/(Calculations!$C$12+Calculations!$C$9)))+calculateOmega(Calculations!M193,Calculations!N193,Calculations!Q193,'Reaction Information'!$C$25,'Reaction Information'!$P$25*10^5,'Reaction Information'!$Q$25)*((1/Calculations!$S193)-1)-'Reaction Information'!$P$25*10^5*((1/Calculations!$C$10)-1)+'Reaction Information'!$P$25*10^5*Calculations!$C$14*(Calculations!$O193-Calculations!$C$8))</f>
        <v>#N/A</v>
      </c>
      <c r="AJ193" s="8" t="e">
        <f>IF(ISBLANK(Input!$AJ$4),NA(),'Reaction Information'!$E$29-'Reaction Information'!$G$29*(Calculations!$O193-Calculations!$C$8)-'Reaction Information'!$N$29*(Calculations!$O193*LN(Calculations!$O193/Calculations!$C$8)-Calculations!$O193+Calculations!$C$8)-'Reaction Information'!$O$29*10^4*(((1/(Calculations!$O193-Calculations!$C$13))-(1/(Calculations!$C$8-Calculations!$C$13)))*((Calculations!$C$13-Calculations!$O193)/(Calculations!$C$13))-(Calculations!$O193/(Calculations!$C$13*Calculations!$C$13))*LN((Calculations!$C$8*(Calculations!$O193-Calculations!$C$13))/(Calculations!$O193*(Calculations!$C$8-Calculations!$C$13))))+'Reaction Information'!$J$29*10^-1*(Calculations!$M193-Calculations!$C$9)+'Reaction Information'!$K$29*10^2*LN((Calculations!$C$12+Calculations!$M193)/(Calculations!$C$12+Calculations!$C$9))+(1/(Calculations!$O193-Calculations!$C$13))*('Reaction Information'!$L$29*(Calculations!$M193-Calculations!$C$9)+'Reaction Information'!$M$29*10^4*LN((Calculations!$C$12+Calculations!$M193)/(Calculations!$C$12+Calculations!$C$9)))+calculateOmega(Calculations!M193,Calculations!N193,Calculations!Q193,'Reaction Information'!$C$29,'Reaction Information'!$P$29*10^5,'Reaction Information'!$Q$29)*((1/Calculations!$S193)-1)-'Reaction Information'!$P$29*10^5*((1/Calculations!$C$10)-1)+'Reaction Information'!$P$29*10^5*Calculations!$C$14*(Calculations!$O193-Calculations!$C$8))</f>
        <v>#N/A</v>
      </c>
      <c r="AK193" s="8" t="e">
        <f>IF(ISBLANK(Input!$AM$4),NA(),'Reaction Information'!$E$33-'Reaction Information'!$G$33*(Calculations!$O193-Calculations!$C$8)-'Reaction Information'!$N$33*(Calculations!$O193*LN(Calculations!$O193/Calculations!$C$8)-Calculations!$O193+Calculations!$C$8)-'Reaction Information'!$O$33*10^4*(((1/(Calculations!$O193-Calculations!$C$13))-(1/(Calculations!$C$8-Calculations!$C$13)))*((Calculations!$C$13-Calculations!$O193)/(Calculations!$C$13))-(Calculations!$O193/(Calculations!$C$13*Calculations!$C$13))*LN((Calculations!$C$8*(Calculations!$O193-Calculations!$C$13))/(Calculations!$O193*(Calculations!$C$8-Calculations!$C$13))))+'Reaction Information'!$J$33*10^-1*(Calculations!$M193-Calculations!$C$9)+'Reaction Information'!$K$33*10^2*LN((Calculations!$C$12+Calculations!$M193)/(Calculations!$C$12+Calculations!$C$9))+(1/(Calculations!$O193-Calculations!$C$13))*('Reaction Information'!$L$33*(Calculations!$M193-Calculations!$C$9)+'Reaction Information'!$M$33*10^4*LN((Calculations!$C$12+Calculations!$M193)/(Calculations!$C$12+Calculations!$C$9)))+calculateOmega(Calculations!M193,Calculations!N193,Calculations!Q193,'Reaction Information'!$C$33,'Reaction Information'!$P$33*10^5,'Reaction Information'!$Q$33)*((1/Calculations!$S193)-1)-'Reaction Information'!$P$33*10^5*((1/Calculations!$C$10)-1)+'Reaction Information'!$P$33*10^5*Calculations!$C$14*(Calculations!$O193-Calculations!$C$8))</f>
        <v>#N/A</v>
      </c>
      <c r="AL193" s="1">
        <f>Results!S195</f>
        <v>0</v>
      </c>
      <c r="AM193" s="1">
        <f>Results!T195</f>
        <v>0</v>
      </c>
      <c r="AN193" s="1">
        <f>Results!U195</f>
        <v>0</v>
      </c>
      <c r="AO193" s="1">
        <f>Results!V195</f>
        <v>0</v>
      </c>
      <c r="AP193" s="8" t="e">
        <f>IF(ISBLANK(Input!$BB$4),NA(),'Reaction Information'!$E$38-'Reaction Information'!$G$38*(Calculations!$O193-Calculations!$C$8)+'Reaction Information'!$I$38*(Calculations!$O193-Calculations!$C$8-Calculations!$O193*LN(Calculations!$O193/Calculations!$C$8))+'Reaction Information'!$J$38*0.001/2*(2*Calculations!$O193*Calculations!$C$8-Calculations!$O193^2-Calculations!$C$8^2) + 'Reaction Information'!$K$38*100000*(Calculations!$O193^2 + Calculations!$C$8^2 - 2*Calculations!$O193*Calculations!$C$8)/(2*Calculations!$O193*Calculations!$C$8^2))</f>
        <v>#N/A</v>
      </c>
      <c r="AQ193" s="8" t="e">
        <f>IF(ISBLANK(Input!$BE$4),NA(),'Reaction Information'!$E$42-'Reaction Information'!$G$42*(Calculations!$O193-Calculations!$C$8)+'Reaction Information'!$I$42*(Calculations!$O193-Calculations!$C$8-Calculations!$O193*LN(Calculations!$O193/Calculations!$C$8))+'Reaction Information'!$J$42*0.001/2*(2*Calculations!$O193*Calculations!$C$8-Calculations!$O193^2-Calculations!$C$8^2) + 'Reaction Information'!$K$42*100000*(Calculations!$O193^2 + Calculations!$C$8^2 - 2*Calculations!$O193*Calculations!$C$8)/(2*Calculations!$O193*Calculations!$C$8^2))</f>
        <v>#N/A</v>
      </c>
      <c r="AR193" s="8" t="e">
        <f>IF(AR$5="H2O", IF($D$24=3,IF(T193=0,NA(),T193),calculateGibbsOfWater(M193,N193,$D$24,$D$20,$D$19=3)),NA())</f>
        <v>#N/A</v>
      </c>
      <c r="AS193" s="8" t="e">
        <f>IF(ISBLANK(Input!$BK$4),NA(),'Reaction Information'!$E$46-'Reaction Information'!$G$46*(Calculations!O193-Calculations!$C$8)-'Reaction Information'!$N$46*(Calculations!O193*LN(Calculations!O193/Calculations!$C$8)-Calculations!O193+Calculations!$C$8)-'Reaction Information'!$O$46*10^4*(((1/(Calculations!O193-Calculations!$C$13))-(1/(Calculations!$C$8-Calculations!$C$13)))*((Calculations!$C$13-Calculations!O193)/(Calculations!$C$13))-(Calculations!O193/(Calculations!$C$13*Calculations!$C$13))*LN((Calculations!$C$8*(Calculations!O193-Calculations!$C$13))/(Calculations!O193*(Calculations!$C$8-Calculations!$C$13))))+'Reaction Information'!$J$46*10^-1*(Calculations!$M193-Calculations!$C$9)+'Reaction Information'!$K$46*10^2*LN((Calculations!$C$12+Calculations!$M193)/(Calculations!$C$12+Calculations!$C$9))+(1/(Calculations!O193-Calculations!$C$13))*('Reaction Information'!$L$46*(Calculations!$M193-Calculations!$C$9)+'Reaction Information'!$M$46*10^4*LN((Calculations!$C$12+Calculations!$M193)/(Calculations!$C$12+Calculations!$C$9)))+calculateOmega(Calculations!M193,Calculations!N193,Calculations!Q193,'Reaction Information'!$C$46,'Reaction Information'!$P$46*10^5,'Reaction Information'!$Q$46)*((1/Calculations!S193)-1)-'Reaction Information'!$P$46*10^5*((1/Calculations!$C$10)-1)+'Reaction Information'!$P$46*10^5*Calculations!$C$14*(Calculations!O193-Calculations!$C$8))</f>
        <v>#VALUE!</v>
      </c>
      <c r="AT193" s="8" t="e">
        <f>IF(ISBLANK(Input!$BN$4),NA(),'Reaction Information'!$E$50-'Reaction Information'!$G$50*(Calculations!O193-Calculations!$C$8)-'Reaction Information'!$N$50*(Calculations!O193*LN(Calculations!O193/Calculations!$C$8)-Calculations!O193+Calculations!$C$8)-'Reaction Information'!$O$50*10^4*(((1/(Calculations!O193-Calculations!$C$13))-(1/(Calculations!$C$8-Calculations!$C$13)))*((Calculations!$C$13-Calculations!O193)/(Calculations!$C$13))-(Calculations!O193/(Calculations!$C$13*Calculations!$C$13))*LN((Calculations!$C$8*(Calculations!O193-Calculations!$C$13))/(Calculations!O193*(Calculations!$C$8-Calculations!$C$13))))+'Reaction Information'!$J$50*10^-1*(Calculations!$M193-Calculations!$C$9)+'Reaction Information'!$K$50*10^2*LN((Calculations!$C$12+Calculations!$M193)/(Calculations!$C$12+Calculations!$C$9))+(1/(Calculations!O193-Calculations!$C$13))*('Reaction Information'!$L$50*(Calculations!$M193-Calculations!$C$9)+'Reaction Information'!$M$50*10^4*LN((Calculations!$C$12+Calculations!$M193)/(Calculations!$C$12+Calculations!$C$9)))+calculateOmega(Calculations!M193,Calculations!N193,Calculations!Q193,'Reaction Information'!$C$50,'Reaction Information'!$P$50*10^5,'Reaction Information'!$Q$50)*((1/Calculations!S193)-1)-'Reaction Information'!$P$50*10^5*((1/Calculations!$C$10)-1)+'Reaction Information'!$P$50*10^5*Calculations!$C$14*(Calculations!O193-Calculations!$C$8))</f>
        <v>#VALUE!</v>
      </c>
      <c r="AU193" s="8" t="e">
        <f>IF(ISBLANK(Input!$BQ$4),NA(),'Reaction Information'!$E$54-'Reaction Information'!$G$54*(Calculations!$O193-Calculations!$C$8)-'Reaction Information'!$N$54*(Calculations!$O193*LN(Calculations!$O193/Calculations!$C$8)-Calculations!$O193+Calculations!$C$8)-'Reaction Information'!$O$54*10^4*(((1/(Calculations!$O193-Calculations!$C$13))-(1/(Calculations!$C$8-Calculations!$C$13)))*((Calculations!$C$13-Calculations!$O193)/(Calculations!$C$13))-(Calculations!$O193/(Calculations!$C$13*Calculations!$C$13))*LN((Calculations!$C$8*(Calculations!$O193-Calculations!$C$13))/(Calculations!$O193*(Calculations!$C$8-Calculations!$C$13))))+'Reaction Information'!$J$54*10^-1*(Calculations!$M193-Calculations!$C$9)+'Reaction Information'!$K$54*10^2*LN((Calculations!$C$12+Calculations!$M193)/(Calculations!$C$12+Calculations!$C$9))+(1/(Calculations!$O193-Calculations!$C$13))*('Reaction Information'!$L$54*(Calculations!$M193-Calculations!$C$9)+'Reaction Information'!$M$54*10^4*LN((Calculations!$C$12+Calculations!$M193)/(Calculations!$C$12+Calculations!$C$9)))+calculateOmega(Calculations!M193,Calculations!N193,Calculations!Q193,'Reaction Information'!$C$54,'Reaction Information'!$P$54*10^5,'Reaction Information'!$Q$54)*((1/Calculations!$S193)-1)-'Reaction Information'!$P$54*10^5*((1/Calculations!$C$10)-1)+'Reaction Information'!$P$54*10^5*Calculations!$C$14*(Calculations!$O193-Calculations!$C$8))</f>
        <v>#N/A</v>
      </c>
      <c r="AV193" s="8" t="e">
        <f>IF(ISBLANK(Input!$BT$4),NA(),'Reaction Information'!$E$58-'Reaction Information'!$G$58*(Calculations!$O193-Calculations!$C$8)-'Reaction Information'!$N$58*(Calculations!$O193*LN(Calculations!$O193/Calculations!$C$8)-Calculations!$O193+Calculations!$C$8)-'Reaction Information'!$O$58*10^4*(((1/(Calculations!$O193-Calculations!$C$13))-(1/(Calculations!$C$8-Calculations!$C$13)))*((Calculations!$C$13-Calculations!$O193)/(Calculations!$C$13))-(Calculations!$O193/(Calculations!$C$13*Calculations!$C$13))*LN((Calculations!$C$8*(Calculations!$O193-Calculations!$C$13))/(Calculations!$O193*(Calculations!$C$8-Calculations!$C$13))))+'Reaction Information'!$J$58*10^-1*(Calculations!$M193-Calculations!$C$9)+'Reaction Information'!$K$58*10^2*LN((Calculations!$C$12+Calculations!$M193)/(Calculations!$C$12+Calculations!$C$9))+(1/(Calculations!$O193-Calculations!$C$13))*('Reaction Information'!$L$58*(Calculations!$M193-Calculations!$C$9)+'Reaction Information'!$M$58*10^4*LN((Calculations!$C$12+Calculations!$M193)/(Calculations!$C$12+Calculations!$C$9)))+calculateOmega(Calculations!M193,Calculations!N193,Calculations!Q193,'Reaction Information'!$C$58,'Reaction Information'!$P$58*10^5,'Reaction Information'!$Q$58)*((1/Calculations!$S193)-1)-'Reaction Information'!$P$58*10^5*((1/Calculations!$C$10)-1)+'Reaction Information'!$P$58*10^5*Calculations!$C$14*(Calculations!$O193-Calculations!$C$8))</f>
        <v>#N/A</v>
      </c>
      <c r="AW193" s="8" t="e">
        <f>IF(ISBLANK(Input!$BW$4),NA(),'Reaction Information'!$E$62-'Reaction Information'!$G$62*(Calculations!$O193-Calculations!$C$8)-'Reaction Information'!$N$62*(Calculations!$O193*LN(Calculations!$O193/Calculations!$C$8)-Calculations!$O193+Calculations!$C$8)-'Reaction Information'!$O$62*10^4*(((1/(Calculations!$O193-Calculations!$C$13))-(1/(Calculations!$C$8-Calculations!$C$13)))*((Calculations!$C$13-Calculations!$O193)/(Calculations!$C$13))-(Calculations!$O193/(Calculations!$C$13*Calculations!$C$13))*LN((Calculations!$C$8*(Calculations!$O193-Calculations!$C$13))/(Calculations!$O193*(Calculations!$C$8-Calculations!$C$13))))+'Reaction Information'!$J$62*10^-1*(Calculations!$M193-Calculations!$C$9)+'Reaction Information'!$K$62*10^2*LN((Calculations!$C$12+Calculations!$M193)/(Calculations!$C$12+Calculations!$C$9))+(1/(Calculations!$O193-Calculations!$C$13))*('Reaction Information'!$L$62*(Calculations!$M193-Calculations!$C$9)+'Reaction Information'!$M$62*10^4*LN((Calculations!$C$12+Calculations!$M193)/(Calculations!$C$12+Calculations!$C$9)))+calculateOmega(Calculations!M193,Calculations!N193,Calculations!Q193,'Reaction Information'!$C$62,'Reaction Information'!$P$62*10^5,'Reaction Information'!$Q$62)*((1/Calculations!$S193)-1)-'Reaction Information'!$P$62*10^5*((1/Calculations!$C$10)-1)+'Reaction Information'!$P$62*10^5*Calculations!$C$14*(Calculations!$O193-Calculations!$C$8))</f>
        <v>#N/A</v>
      </c>
      <c r="AX193" s="8" t="e">
        <f>IF(ISBLANK(Input!$BZ$4),NA(),'Reaction Information'!$E$66-'Reaction Information'!$G$66*(Calculations!$O193-Calculations!$C$8)-'Reaction Information'!$N$66*(Calculations!$O193*LN(Calculations!$O193/Calculations!$C$8)-Calculations!$O193+Calculations!$C$8)-'Reaction Information'!$O$66*10^4*(((1/(Calculations!$O193-Calculations!$C$13))-(1/(Calculations!$C$8-Calculations!$C$13)))*((Calculations!$C$13-Calculations!$O193)/(Calculations!$C$13))-(Calculations!$O193/(Calculations!$C$13*Calculations!$C$13))*LN((Calculations!$C$8*(Calculations!$O193-Calculations!$C$13))/(Calculations!$O193*(Calculations!$C$8-Calculations!$C$13))))+'Reaction Information'!$J$66*10^-1*(Calculations!$M193-Calculations!$C$9)+'Reaction Information'!$K$66*10^2*LN((Calculations!$C$12+Calculations!$M193)/(Calculations!$C$12+Calculations!$C$9))+(1/(Calculations!$O193-Calculations!$C$13))*('Reaction Information'!$L$66*(Calculations!$M193-Calculations!$C$9)+'Reaction Information'!$M$66*10^4*LN((Calculations!$C$12+Calculations!$M193)/(Calculations!$C$12+Calculations!$C$9)))+calculateOmega(Calculations!M193,Calculations!N193,Calculations!Q193,'Reaction Information'!$C$66,'Reaction Information'!$P$66*10^5,'Reaction Information'!$Q$66)*((1/Calculations!$S193)-1)-'Reaction Information'!$P$66*10^5*((1/Calculations!$C$10)-1)+'Reaction Information'!$P$66*10^5*Calculations!$C$14*(Calculations!$O193-Calculations!$C$8))</f>
        <v>#N/A</v>
      </c>
      <c r="AY193" s="31" t="e">
        <f>(AL193*Input!$AO$4+AM193*Input!$AR$4+AN193*Input!$AU$4+AO193*Input!$AX$4+IF(ISNA(AP193),0,AP193*Input!$BA$4)+IF(ISNA(AQ193),0,AQ193*Input!$BD$4)+IF(ISNA(AR193),0,AR193*Input!$BG$4)+IF(ISNA(AS193),0,AS193*Input!$BJ$4)+IF(ISNA(AT193),0,AT193*Input!$BM$4)+IF(ISNA(AU193),0,AU193*Input!$BP$4)+IF(ISNA(AV193),0,AV193*Input!$BS$4)+IF(ISNA(AW193),0,AW193*Input!$BV$4)+IF(ISNA(AX193),0,AX193*Input!$BY$4))-(Y193*Input!$B$4+Z193*Input!$E$4+AA193*Input!$H$4+AB193*Input!$K$4+IF(ISNA(AC193),0,AC193*Input!$N$4)+IF(ISNA(AD193),0,AD193*Input!$Q$4)+IF(ISNA(AE193),0,AE193*Input!$T$4)+IF(ISNA(AF193),0,AF193*Input!$W$4)+IF(ISNA(AG193),0,AG193*Input!$Z$4)+IF(ISNA(AH193),0,AH193*Input!$AC$4)+IF(ISNA(AI193),0,AI193*Input!$AF$4)+IF(ISNA(AJ193),0,AJ193*Input!$AI$4)+IF(ISNA(AK193),0,AK193*Input!$AL$4))</f>
        <v>#VALUE!</v>
      </c>
      <c r="AZ193" s="42" t="e">
        <f t="shared" si="54"/>
        <v>#VALUE!</v>
      </c>
      <c r="BA193" s="1" t="str">
        <f t="shared" si="46"/>
        <v/>
      </c>
      <c r="BB193" s="46" t="str">
        <f t="shared" si="47"/>
        <v/>
      </c>
      <c r="BC193" s="1"/>
      <c r="BD193" s="2" t="str">
        <f t="shared" si="48"/>
        <v/>
      </c>
      <c r="BE193" s="46" t="str">
        <f t="shared" si="49"/>
        <v/>
      </c>
      <c r="BF193" s="1">
        <f>Results!AJ195</f>
        <v>0</v>
      </c>
      <c r="BG193" s="1">
        <f>Results!AK195</f>
        <v>0</v>
      </c>
      <c r="BH193" s="1">
        <f>Results!AL195</f>
        <v>0</v>
      </c>
      <c r="BI193" s="1">
        <f>Results!AM195</f>
        <v>0</v>
      </c>
      <c r="BJ193" s="1" t="e">
        <f>IF(OR(ISNA('Reaction Information'!$D$5), $N193 = "", $D$27 = FALSE, 'Reaction Information'!$D$5 = ""), NA(), 24.465)</f>
        <v>#N/A</v>
      </c>
      <c r="BK193" s="1" t="e">
        <f>IF(OR(ISNA('Reaction Information'!$D$9), $N193 = "", $D$27 = FALSE, 'Reaction Information'!$D$9 = ""), NA(), 24.465)</f>
        <v>#N/A</v>
      </c>
      <c r="BL193" s="8" t="e">
        <f t="shared" si="55"/>
        <v>#VALUE!</v>
      </c>
      <c r="BM193" s="8" t="e">
        <f>IF(OR(ISBLANK(Input!$X$4),$D$27=FALSE),NA(),('Reaction Information'!$J$13/10+'Reaction Information'!$K$13*100/(Calculations!$C$12+Calculations!$M193)+('Reaction Information'!$L$13+'Reaction Information'!$M$13*10^4/(Calculations!$C$12+Calculations!$M193))/(Calculations!$O193-Calculations!$C$13) -calculateOmega(Calculations!$M193,Calculations!$N193,Calculations!$Q193,'Reaction Information'!$C$13,'Reaction Information'!$P$13*10^5,'Reaction Information'!$Q$13)*Calculations!$U193*10^-6 + (1/$S193 - 1)*calculate_domegadP(Calculations!$M193,Calculations!$N193,Calculations!$Q193,'Reaction Information'!$C$13,'Reaction Information'!$P$13*10^5,'Reaction Information'!$Q$13,$D$20,$D$19=3))*41.84)</f>
        <v>#VALUE!</v>
      </c>
      <c r="BN193" s="8" t="e">
        <f>IF(OR(ISBLANK(Input!$AA$4),$D$27=FALSE),NA(),('Reaction Information'!$J$17/10+'Reaction Information'!$K$17*100/(Calculations!$C$12+Calculations!$M193)+('Reaction Information'!$L$17+'Reaction Information'!$M$17*10000/(Calculations!$C$12+Calculations!$M193))/(Calculations!$O193-Calculations!$C$13)-calculateOmega(Calculations!M193,Calculations!N193,Calculations!Q193,'Reaction Information'!$C$17,'Reaction Information'!$P$17*10^5,'Reaction Information'!$Q$17)*Calculations!$U193*10^-6 + (1/$S193 - 1)*calculate_domegadP(Calculations!M193,Calculations!N193,Calculations!Q193,'Reaction Information'!$C$17,'Reaction Information'!$P$17*10^5,'Reaction Information'!$Q$17,$D$20,$D$19=3))*41.84)</f>
        <v>#N/A</v>
      </c>
      <c r="BO193" s="8" t="e">
        <f>IF(OR(ISBLANK(Input!$AD$4),$D$27=FALSE),NA(),('Reaction Information'!$J$21/10+'Reaction Information'!$K$21*100/(Calculations!$C$12+Calculations!$M193)+('Reaction Information'!$L$21+'Reaction Information'!$M$21*10000/(Calculations!$C$12+Calculations!$M193))/(Calculations!$O193-Calculations!$C$13)-calculateOmega(Calculations!M193,Calculations!N193,Calculations!Q193,'Reaction Information'!$C$21,'Reaction Information'!$P$21*10^5,'Reaction Information'!$Q$21)*Calculations!$U193*10^-6 + (1/$S193 - 1)*calculate_domegadP(Calculations!M193,Calculations!N193,Calculations!Q193,'Reaction Information'!$C$21,'Reaction Information'!$P$21*10^5,'Reaction Information'!$Q$21,$D$20,$D$19=3))*41.84)</f>
        <v>#N/A</v>
      </c>
      <c r="BP193" s="8" t="e">
        <f>IF(OR(ISBLANK(Input!$AG$4),$D$27=FALSE),NA(),('Reaction Information'!$J$25/10+'Reaction Information'!$K$25*100/(Calculations!$C$12+Calculations!$M193)+('Reaction Information'!$L$25+'Reaction Information'!$M$25*10000/(Calculations!$C$12+Calculations!$M193))/(Calculations!$O193-Calculations!$C$13)-calculateOmega(Calculations!M193,Calculations!N193,Calculations!Q193,'Reaction Information'!$C$25,'Reaction Information'!$P$25*10^5,'Reaction Information'!$Q$25)*Calculations!$U193*10^-6 + (1/$S193 - 1)*calculate_domegadP(Calculations!M193,Calculations!N193,Calculations!Q193,'Reaction Information'!$C$25,'Reaction Information'!$P$25*10^5,'Reaction Information'!$Q$25,$D$20,$D$19=3))*41.84)</f>
        <v>#N/A</v>
      </c>
      <c r="BQ193" s="8" t="e">
        <f>IF(OR(ISBLANK(Input!$AJ$4),$D$27=FALSE),NA(),('Reaction Information'!$J$29/10+'Reaction Information'!$K$29*100/(Calculations!$C$12+Calculations!$M193)+('Reaction Information'!$L$29+'Reaction Information'!$M$29*10000/(Calculations!$C$12+Calculations!$M193))/(Calculations!$O193-Calculations!$C$13)-calculateOmega(Calculations!M193,Calculations!N193,Calculations!Q193,'Reaction Information'!$C$29,'Reaction Information'!$P$29*10^5,'Reaction Information'!$Q$29)*Calculations!$U193*10^-6 + (1/$S193 - 1)*calculate_domegadP(Calculations!M193,Calculations!N193,Calculations!Q193,'Reaction Information'!$C$29,'Reaction Information'!$P$29*10^5,'Reaction Information'!$Q$29,$D$20,$D$19=3))*41.84)</f>
        <v>#N/A</v>
      </c>
      <c r="BR193" s="8" t="e">
        <f>IF(OR(ISBLANK(Input!$AM$4),$D$27=FALSE),NA(),('Reaction Information'!$J$33/10+'Reaction Information'!$K$33*100/(Calculations!$C$12+Calculations!$M193)+('Reaction Information'!$L$33+'Reaction Information'!$M$33*10000/(Calculations!$C$12+Calculations!$M193))/(Calculations!$O193-Calculations!$C$13)-calculateOmega(Calculations!M193,Calculations!N193,Calculations!Q193,'Reaction Information'!$C$33,'Reaction Information'!$P$33*10^5,'Reaction Information'!$Q$33)*Calculations!$U193*10^-6 + (1/$S193 - 1)*calculate_domegadP(Calculations!M193,Calculations!N193,Calculations!Q193,'Reaction Information'!$C$33,'Reaction Information'!$P$33*10^5,'Reaction Information'!$Q$33,$D$20,$D$19=3))*41.84)</f>
        <v>#N/A</v>
      </c>
      <c r="BS193" s="1">
        <f>Results!AW195</f>
        <v>0</v>
      </c>
      <c r="BT193" s="1">
        <f>Results!AX195</f>
        <v>0</v>
      </c>
      <c r="BU193" s="1">
        <f>Results!AY195</f>
        <v>0</v>
      </c>
      <c r="BV193" s="1">
        <f>Results!AZ195</f>
        <v>0</v>
      </c>
      <c r="BW193" s="1" t="e">
        <f>IF(OR(ISNA('Reaction Information'!$D$38), $N193 = "", $D$27 = FALSE, 'Reaction Information'!$D$38 = ""), NA(), 24.465)</f>
        <v>#N/A</v>
      </c>
      <c r="BX193" s="1" t="e">
        <f>IF(OR(ISNA('Reaction Information'!$D$42), $N193 = "", $D$27 = FALSE, 'Reaction Information'!$D$42 = ""), NA(), 24.465)</f>
        <v>#N/A</v>
      </c>
      <c r="BY193" s="8" t="e">
        <f t="shared" si="56"/>
        <v>#N/A</v>
      </c>
      <c r="BZ193" s="8" t="e">
        <f>IF(OR(ISBLANK(Input!$BK$4),$D$27=FALSE),NA(),('Reaction Information'!$J$46/10+'Reaction Information'!$K$46*100/(Calculations!$C$12+Calculations!$M193)+('Reaction Information'!$L$46+'Reaction Information'!$M$46*10000/(Calculations!$C$12+Calculations!$M193))/(Calculations!$O193-Calculations!$C$13)-calculateOmega(Calculations!M193,Calculations!N193,Calculations!Q193,'Reaction Information'!$C$46,'Reaction Information'!$P$46*10^5,'Reaction Information'!$Q$46)*Calculations!$U193*10^-6 + (1/$S193 - 1)*calculate_domegadP(Calculations!M193,Calculations!N193,Calculations!Q193,'Reaction Information'!$C$46,'Reaction Information'!$P$46*10^5,'Reaction Information'!$Q$46,$D$20,$D$19=3))*41.84)</f>
        <v>#VALUE!</v>
      </c>
      <c r="CA193" s="8" t="e">
        <f>IF(OR(ISBLANK(Input!$BN$4),$D$27=FALSE),NA(),('Reaction Information'!$J$50/10+'Reaction Information'!$K$50*100/(Calculations!$C$12+Calculations!$M193)+('Reaction Information'!$L$50+'Reaction Information'!$M$50*10000/(Calculations!$C$12+Calculations!$M193))/(Calculations!$O193-Calculations!$C$13)-calculateOmega(Calculations!M193,Calculations!N193,Calculations!Q193,'Reaction Information'!$C$50,'Reaction Information'!$P$50*10^5,'Reaction Information'!$Q$50)*Calculations!$U193*10^-6 + (1/$S193 - 1)*calculate_domegadP(Calculations!M193,Calculations!N193,Calculations!Q193,'Reaction Information'!$C$50,'Reaction Information'!$P$50*10^5,'Reaction Information'!$Q$50,$D$20,$D$19=3))*41.84)</f>
        <v>#VALUE!</v>
      </c>
      <c r="CB193" s="8" t="e">
        <f>IF(OR(ISBLANK(Input!$BQ$4),$D$27=FALSE),NA(),('Reaction Information'!$J$54/10+'Reaction Information'!$K$54*100/(Calculations!$C$12+Calculations!$M193)+('Reaction Information'!$L$54+'Reaction Information'!$M$54*10000/(Calculations!$C$12+Calculations!$M193))/(Calculations!$O193-Calculations!$C$13)-calculateOmega(Calculations!M193,Calculations!N193,Calculations!Q193,'Reaction Information'!$C$54,'Reaction Information'!$P$54*10^5,'Reaction Information'!$Q$54)*Calculations!$U193*10^-6 + (1/$S193 - 1)*calculate_domegadP(Calculations!M193,Calculations!N193,Calculations!Q193,'Reaction Information'!$C$54,'Reaction Information'!$P$54*10^5,'Reaction Information'!$Q$54,$D$20,$D$19=3))*41.84)</f>
        <v>#N/A</v>
      </c>
      <c r="CC193" s="8" t="e">
        <f>IF(OR(ISBLANK(Input!$BT$4),$D$27=FALSE),NA(),('Reaction Information'!$J$58/10+'Reaction Information'!$K$58*100/(Calculations!$C$12+Calculations!$M193)+('Reaction Information'!$L$58+'Reaction Information'!$M$58*10000/(Calculations!$C$12+Calculations!$M193))/(Calculations!$O193-Calculations!$C$13)-calculateOmega(Calculations!M193,Calculations!N193,Calculations!Q193,'Reaction Information'!$C$58,'Reaction Information'!$P$58*10^5,'Reaction Information'!$Q$58)*Calculations!$U193*10^-6 + (1/$S193 - 1)*calculate_domegadP(Calculations!M193,Calculations!N193,Calculations!Q193,'Reaction Information'!$C$58,'Reaction Information'!$P$58*10^5,'Reaction Information'!$Q$58,$D$20,$D$19=3))*41.84)</f>
        <v>#N/A</v>
      </c>
      <c r="CD193" s="8" t="e">
        <f>IF(OR(ISBLANK(Input!$BW$4),$D$27=FALSE),NA(),('Reaction Information'!$J$62/10+'Reaction Information'!$K$62*100/(Calculations!$C$12+Calculations!$M193)+('Reaction Information'!$L$62+'Reaction Information'!$M$62*10000/(Calculations!$C$12+Calculations!$M193))/(Calculations!$O193-Calculations!$C$13)-calculateOmega(Calculations!M193,Calculations!N193,Calculations!Q193,'Reaction Information'!$C$62,'Reaction Information'!$P$62*10^5,'Reaction Information'!$Q$62)*Calculations!$U193*10^-6 + (1/$S193 - 1)*calculate_domegadP(Calculations!M193,Calculations!N193,Calculations!Q193,'Reaction Information'!$C$62,'Reaction Information'!$P$62*10^5,'Reaction Information'!$Q$62,$D$20,$D$19=3))*41.84)</f>
        <v>#N/A</v>
      </c>
      <c r="CE193" s="8" t="e">
        <f>IF(OR(ISBLANK(Input!$BZ$4),$D$27=FALSE),NA(),('Reaction Information'!$J$66/10+'Reaction Information'!$K$66*100/(Calculations!$C$12+Calculations!$M193)+('Reaction Information'!$L$66+'Reaction Information'!$M$66*10000/(Calculations!$C$12+Calculations!$M193))/(Calculations!$O193-Calculations!$C$13)-calculateOmega(Calculations!M193,Calculations!N193,Calculations!Q193,'Reaction Information'!$C$66,'Reaction Information'!$P$66*10^5,'Reaction Information'!$Q$66)*Calculations!$U193*10^-6 + (1/$S193 - 1)*calculate_domegadP(Calculations!M193,Calculations!N193,Calculations!Q193,'Reaction Information'!$C$66,'Reaction Information'!$P$66*10^5,'Reaction Information'!$Q$66,$D$20,$D$19=3))*41.84)</f>
        <v>#N/A</v>
      </c>
      <c r="CF193" s="31" t="e">
        <f>(BS193*Input!$AO$4+BT193*Input!$AR$4+BU193*Input!$AU$4+BV193*Input!$AX$4+IF(ISNA(BW193),0,BW193*Input!$BA$4)+IF(ISNA(BX193),0,BX193*Input!$BD$4)+IF(ISNA(BY193),0,BY193*Input!$BG$4)+IF(ISNA(BZ193),0,BZ193*Input!$BJ$4)+IF(ISNA(CA193),0,CA193*Input!$BM$4)+IF(ISNA(CB193),0,CB193*Input!$BP$4)+IF(ISNA(CC193),0,CC193*Input!$BS$4)+IF(ISNA(CD193),0,CD193*Input!$BV$4)+IF(ISNA(CE193),0,CE193*Input!$BY$4))-(BF193*Input!$B$4+BG193*Input!$E$4+BH193*Input!$H$4+BI193*Input!$K$4+IF(ISNA(BJ193),0,BJ193*Input!$N$4)+IF(ISNA(BK193),0,BK193*Input!$Q$4)+IF(ISNA(BL193),0,BL193*Input!$T$4)+IF(ISNA(BM193),0,BM193*Input!$W$4)+IF(ISNA(BN193),0,BN193*Input!$Z$4)+IF(ISNA(BO193),0,BO193*Input!$AC$4)+IF(ISNA(BP193),0,BP193*Input!$AF$4)+IF(ISNA(BQ193),0,BQ193*Input!$AI$4)+IF(ISNA(BR193),0,BR193*Input!$AL$4))</f>
        <v>#VALUE!</v>
      </c>
      <c r="CG193" s="1" t="str">
        <f t="shared" si="50"/>
        <v/>
      </c>
      <c r="CH193" s="46" t="str">
        <f t="shared" si="51"/>
        <v/>
      </c>
      <c r="CI193" s="1"/>
    </row>
    <row r="194" spans="1:87" x14ac:dyDescent="0.2">
      <c r="A194" s="1"/>
      <c r="B194" s="1"/>
      <c r="C194" s="1"/>
      <c r="D194" s="1"/>
      <c r="E194" s="1"/>
      <c r="F194" s="2">
        <v>189</v>
      </c>
      <c r="G194" s="1" t="str">
        <f>IF(ISBLANK(Input!CB194), "", Input!CB194*1000)</f>
        <v/>
      </c>
      <c r="H194" s="1" t="str">
        <f>IF(ISBLANK(Input!CC194), "", Input!CC194)</f>
        <v/>
      </c>
      <c r="I194" s="1" t="str">
        <f>IF(Input!$CF$5 + Input!$CF$6*(FLOOR((Calculations!$F194-1)/(FLOOR((Input!$CF$12-Input!$CF$10)/Input!$CF$11,1)+1),1)) &gt; Input!$CF$7, "", (Input!$CF$5 + Input!$CF$6*(FLOOR((Calculations!$F194-1)/(FLOOR((Input!$CF$12-Input!$CF$10)/Input!$CF$11,1)+1),1)))*1000)</f>
        <v/>
      </c>
      <c r="J194" s="1" t="str">
        <f>IF(Calculations!I194 = "", "", Input!$CF$10 + Input!$CF$11*(Calculations!$F194-1) - (FLOOR((Input!$CF$12-Input!$CF$10)/Input!$CF$11,1)+1)*Input!$CF$11*FLOOR((Calculations!$F194-1)/(FLOOR((Input!$CF$12-Input!$CF$10)/Input!$CF$11,1)+1),1))</f>
        <v/>
      </c>
      <c r="K194" s="8" t="str">
        <f t="shared" si="52"/>
        <v/>
      </c>
      <c r="L194" s="117" t="str">
        <f>IF(OR(Input!$CJ$5 + Input!$CJ$6*(Calculations!F194-1) &gt; Input!$CJ$7, Input!$CJ$5 + Input!$CJ$6*(Calculations!F194-1) &gt; 350), "", Input!$CJ$5 + Input!$CJ$6*(Calculations!F194-1))</f>
        <v/>
      </c>
      <c r="M194" s="1" t="str">
        <f t="shared" si="42"/>
        <v/>
      </c>
      <c r="N194" s="1" t="str">
        <f t="shared" si="43"/>
        <v/>
      </c>
      <c r="O194" s="1" t="e">
        <f t="shared" si="53"/>
        <v>#VALUE!</v>
      </c>
      <c r="P194" s="1" t="e">
        <f>IF(OR($D$20=3,AND($D$21=TRUE,M194&lt;1000)),INDEX('Water Density'!$C$6:$CX$120,MATCH(Calculations!N194,'Water Density'!$B$6:$B$120),MATCH(Calculations!M194/1000,'Water Density'!$C$5:$CX$5)),NA())</f>
        <v>#N/A</v>
      </c>
      <c r="Q194" s="182" t="e">
        <f>IF(OR($D$20=3,AND($D$21=TRUE,M194&lt;1000)), IF(P194&lt;&gt;0,P194,NA()), calculateDensity(M194,N194,$D$20,0.01,$D$19 = 3))</f>
        <v>#VALUE!</v>
      </c>
      <c r="R194" s="1" t="e">
        <f>IF($D$22=5,INDEX('Dielectric Constant'!$C$6:$CX$120,MATCH(Calculations!N194,'Dielectric Constant'!$B$6:$B$120),MATCH(Calculations!M194/1000,'Dielectric Constant'!$C$5:$CX$5)),NA())</f>
        <v>#N/A</v>
      </c>
      <c r="S194" s="58" t="e">
        <f>IF($D$22=5, IF(R194&lt;&gt;0,R194,NA()), IF(AND($D$23,M194&lt;=5000,$D$19 &lt;&gt; 3),calculateEpsilon(Q194,N194,1,FALSE),calculateEpsilon(Q194,N194,$D$22,$D$19 = 3)))</f>
        <v>#VALUE!</v>
      </c>
      <c r="T194" s="1" t="e">
        <f>IF($D$24=3,INDEX('Water Free Energy'!$C$6:$CX$120,MATCH(Calculations!N194,'Water Free Energy'!$B$6:$B$120),MATCH(Calculations!M194/1000,'Water Free Energy'!$C$5:$CX$5)),NA())</f>
        <v>#N/A</v>
      </c>
      <c r="U194" s="179" t="e">
        <f>IF($D$27,calculateQ(M194,N194,Q194,$D$20,$D$22,$D$19=3)*10^6,NA())</f>
        <v>#VALUE!</v>
      </c>
      <c r="V194"/>
      <c r="W194" s="2" t="str">
        <f t="shared" si="44"/>
        <v/>
      </c>
      <c r="X194" s="1" t="str">
        <f t="shared" si="45"/>
        <v/>
      </c>
      <c r="Y194" s="1">
        <f>Results!F196</f>
        <v>0</v>
      </c>
      <c r="Z194" s="1">
        <f>Results!G196</f>
        <v>0</v>
      </c>
      <c r="AA194" s="1">
        <f>Results!H196</f>
        <v>0</v>
      </c>
      <c r="AB194" s="1">
        <f>Results!I196</f>
        <v>0</v>
      </c>
      <c r="AC194" s="1" t="e">
        <f>IF(ISBLANK(Input!$O$4),NA(),'Reaction Information'!$E$5-'Reaction Information'!$G$5*(Calculations!$O194-Calculations!$C$8)+'Reaction Information'!$I$5*(Calculations!$O194-Calculations!$C$8-Calculations!$O194*LN(Calculations!$O194/Calculations!$C$8))+'Reaction Information'!$J$5*0.001/2*(2*Calculations!$O194*Calculations!$C$8-Calculations!$O194^2-Calculations!$C$8^2) + 'Reaction Information'!$K$5*100000*(Calculations!$O194^2 + Calculations!$C$8^2 - 2*Calculations!$O194*Calculations!$C$8)/(2*Calculations!$O194*Calculations!$C$8^2))</f>
        <v>#N/A</v>
      </c>
      <c r="AD194" s="8" t="e">
        <f>IF(ISBLANK(Input!$R$4),NA(),'Reaction Information'!$E$9-'Reaction Information'!$G$9*(Calculations!$O194-Calculations!$C$8)+'Reaction Information'!$I$9*(Calculations!$O194-Calculations!$C$8-Calculations!$O194*LN(Calculations!$O194/Calculations!$C$8))+'Reaction Information'!$J$9*0.001/2*(2*Calculations!$O194*Calculations!$C$8-Calculations!$O194^2-Calculations!$C$8^2) + 'Reaction Information'!$K$9*100000*(Calculations!$O194^2 + Calculations!$C$8^2 - 2*Calculations!$O194*Calculations!$C$8)/(2*Calculations!$O194*Calculations!$C$8^2))</f>
        <v>#N/A</v>
      </c>
      <c r="AE194" s="8" t="e">
        <f>IF(AE$5="H2O",IF($D$24=3,IF(T194=0,NA(),T194),calculateGibbsOfWater(M194,N194,$D$24,$D$20,$D$19=3)),NA())</f>
        <v>#VALUE!</v>
      </c>
      <c r="AF194" s="8" t="e">
        <f>IF(ISBLANK(Input!$X$4),NA(),'Reaction Information'!$E$13-'Reaction Information'!$G$13*(Calculations!O194-Calculations!$C$8)-'Reaction Information'!$N$13*(Calculations!O194*LN(Calculations!O194/Calculations!$C$8)-Calculations!O194+Calculations!$C$8)-'Reaction Information'!$O$13*10^4*(((1/(Calculations!O194-Calculations!$C$13))-(1/(Calculations!$C$8-Calculations!$C$13)))*((Calculations!$C$13-Calculations!O194)/(Calculations!$C$13))-(Calculations!O194/(Calculations!$C$13*Calculations!$C$13))*LN((Calculations!$C$8*(Calculations!O194-Calculations!$C$13))/(Calculations!O194*(Calculations!$C$8-Calculations!$C$13))))+'Reaction Information'!$J$13*10^-1*(Calculations!M194-Calculations!$C$9)+'Reaction Information'!$K$13*10^2*LN((Calculations!$C$12+Calculations!M194)/(Calculations!$C$12+Calculations!$C$9))+(1/(Calculations!O194-Calculations!$C$13))*('Reaction Information'!$L$13*(Calculations!M194-Calculations!$C$9)+'Reaction Information'!$M$13*10^4*LN((Calculations!$C$12+Calculations!M194)/(Calculations!$C$12+Calculations!$C$9)))+calculateOmega(Calculations!M194,Calculations!N194,Calculations!Q194,'Reaction Information'!$C$13,'Reaction Information'!$P$13*10^5,'Reaction Information'!$Q$13)*((1/Calculations!S194)-1)-'Reaction Information'!$P$13*10^5*((1/Calculations!$C$10)-1)+'Reaction Information'!$P$13*10^5*Calculations!$C$14*(Calculations!O194-Calculations!$C$8))</f>
        <v>#VALUE!</v>
      </c>
      <c r="AG194" s="8" t="e">
        <f>IF(ISBLANK(Input!$AA$4),NA(),'Reaction Information'!$E$17-'Reaction Information'!$G$17*(Calculations!$O194-Calculations!$C$8)-'Reaction Information'!$N$17*(Calculations!$O194*LN(Calculations!$O194/Calculations!$C$8)-Calculations!$O194+Calculations!$C$8)-'Reaction Information'!$O$17*10^4*(((1/(Calculations!$O194-Calculations!$C$13))-(1/(Calculations!$C$8-Calculations!$C$13)))*((Calculations!$C$13-Calculations!$O194)/(Calculations!$C$13))-(Calculations!$O194/(Calculations!$C$13*Calculations!$C$13))*LN((Calculations!$C$8*(Calculations!$O194-Calculations!$C$13))/(Calculations!$O194*(Calculations!$C$8-Calculations!$C$13))))+'Reaction Information'!$J$17*10^-1*(Calculations!$M194-Calculations!$C$9)+'Reaction Information'!$K$17*10^2*LN((Calculations!$C$12+Calculations!$M194)/(Calculations!$C$12+Calculations!$C$9))+(1/(Calculations!$O194-Calculations!$C$13))*('Reaction Information'!$L$17*(Calculations!$M194-Calculations!$C$9)+'Reaction Information'!$M$17*10^4*LN((Calculations!$C$12+Calculations!$M194)/(Calculations!$C$12+Calculations!$C$9)))+calculateOmega(Calculations!M194,Calculations!N194,Calculations!Q194,'Reaction Information'!$C$17,'Reaction Information'!$P$17*10^5,'Reaction Information'!$Q$17)*((1/Calculations!$S194)-1)-'Reaction Information'!$P$17*10^5*((1/Calculations!$C$10)-1)+'Reaction Information'!$P$17*10^5*Calculations!$C$14*(Calculations!$O194-Calculations!$C$8))</f>
        <v>#N/A</v>
      </c>
      <c r="AH194" s="8" t="e">
        <f>IF(ISBLANK(Input!$AD$4),NA(),'Reaction Information'!$E$21-'Reaction Information'!$G$21*(Calculations!$O194-Calculations!$C$8)-'Reaction Information'!$N$21*(Calculations!$O194*LN(Calculations!$O194/Calculations!$C$8)-Calculations!$O194+Calculations!$C$8)-'Reaction Information'!$O$21*10^4*(((1/(Calculations!$O194-Calculations!$C$13))-(1/(Calculations!$C$8-Calculations!$C$13)))*((Calculations!$C$13-Calculations!$O194)/(Calculations!$C$13))-(Calculations!$O194/(Calculations!$C$13*Calculations!$C$13))*LN((Calculations!$C$8*(Calculations!$O194-Calculations!$C$13))/(Calculations!$O194*(Calculations!$C$8-Calculations!$C$13))))+'Reaction Information'!$J$21*10^-1*(Calculations!$M194-Calculations!$C$9)+'Reaction Information'!$K$21*10^2*LN((Calculations!$C$12+Calculations!$M194)/(Calculations!$C$12+Calculations!$C$9))+(1/(Calculations!$O194-Calculations!$C$13))*('Reaction Information'!$L$21*(Calculations!$M194-Calculations!$C$9)+'Reaction Information'!$M$21*10^4*LN((Calculations!$C$12+Calculations!$M194)/(Calculations!$C$12+Calculations!$C$9)))+calculateOmega(Calculations!M194,Calculations!N194,Calculations!Q194,'Reaction Information'!$C$21,'Reaction Information'!$P$21*10^5,'Reaction Information'!$Q$21)*((1/Calculations!$S194)-1)-'Reaction Information'!$P$21*10^5*((1/Calculations!$C$10)-1)+'Reaction Information'!$P$21*10^5*Calculations!$C$14*(Calculations!$O194-Calculations!$C$8))</f>
        <v>#N/A</v>
      </c>
      <c r="AI194" s="8" t="e">
        <f>IF(ISBLANK(Input!$AG$4),NA(),'Reaction Information'!$E$25-'Reaction Information'!$G$25*(Calculations!$O194-Calculations!$C$8)-'Reaction Information'!$N$25*(Calculations!$O194*LN(Calculations!$O194/Calculations!$C$8)-Calculations!$O194+Calculations!$C$8)-'Reaction Information'!$O$25*10^4*(((1/(Calculations!$O194-Calculations!$C$13))-(1/(Calculations!$C$8-Calculations!$C$13)))*((Calculations!$C$13-Calculations!$O194)/(Calculations!$C$13))-(Calculations!$O194/(Calculations!$C$13*Calculations!$C$13))*LN((Calculations!$C$8*(Calculations!$O194-Calculations!$C$13))/(Calculations!$O194*(Calculations!$C$8-Calculations!$C$13))))+'Reaction Information'!$J$25*10^-1*(Calculations!$M194-Calculations!$C$9)+'Reaction Information'!$K$25*10^2*LN((Calculations!$C$12+Calculations!$M194)/(Calculations!$C$12+Calculations!$C$9))+(1/(Calculations!$O194-Calculations!$C$13))*('Reaction Information'!$L$25*(Calculations!$M194-Calculations!$C$9)+'Reaction Information'!$M$25*10^4*LN((Calculations!$C$12+Calculations!$M194)/(Calculations!$C$12+Calculations!$C$9)))+calculateOmega(Calculations!M194,Calculations!N194,Calculations!Q194,'Reaction Information'!$C$25,'Reaction Information'!$P$25*10^5,'Reaction Information'!$Q$25)*((1/Calculations!$S194)-1)-'Reaction Information'!$P$25*10^5*((1/Calculations!$C$10)-1)+'Reaction Information'!$P$25*10^5*Calculations!$C$14*(Calculations!$O194-Calculations!$C$8))</f>
        <v>#N/A</v>
      </c>
      <c r="AJ194" s="8" t="e">
        <f>IF(ISBLANK(Input!$AJ$4),NA(),'Reaction Information'!$E$29-'Reaction Information'!$G$29*(Calculations!$O194-Calculations!$C$8)-'Reaction Information'!$N$29*(Calculations!$O194*LN(Calculations!$O194/Calculations!$C$8)-Calculations!$O194+Calculations!$C$8)-'Reaction Information'!$O$29*10^4*(((1/(Calculations!$O194-Calculations!$C$13))-(1/(Calculations!$C$8-Calculations!$C$13)))*((Calculations!$C$13-Calculations!$O194)/(Calculations!$C$13))-(Calculations!$O194/(Calculations!$C$13*Calculations!$C$13))*LN((Calculations!$C$8*(Calculations!$O194-Calculations!$C$13))/(Calculations!$O194*(Calculations!$C$8-Calculations!$C$13))))+'Reaction Information'!$J$29*10^-1*(Calculations!$M194-Calculations!$C$9)+'Reaction Information'!$K$29*10^2*LN((Calculations!$C$12+Calculations!$M194)/(Calculations!$C$12+Calculations!$C$9))+(1/(Calculations!$O194-Calculations!$C$13))*('Reaction Information'!$L$29*(Calculations!$M194-Calculations!$C$9)+'Reaction Information'!$M$29*10^4*LN((Calculations!$C$12+Calculations!$M194)/(Calculations!$C$12+Calculations!$C$9)))+calculateOmega(Calculations!M194,Calculations!N194,Calculations!Q194,'Reaction Information'!$C$29,'Reaction Information'!$P$29*10^5,'Reaction Information'!$Q$29)*((1/Calculations!$S194)-1)-'Reaction Information'!$P$29*10^5*((1/Calculations!$C$10)-1)+'Reaction Information'!$P$29*10^5*Calculations!$C$14*(Calculations!$O194-Calculations!$C$8))</f>
        <v>#N/A</v>
      </c>
      <c r="AK194" s="8" t="e">
        <f>IF(ISBLANK(Input!$AM$4),NA(),'Reaction Information'!$E$33-'Reaction Information'!$G$33*(Calculations!$O194-Calculations!$C$8)-'Reaction Information'!$N$33*(Calculations!$O194*LN(Calculations!$O194/Calculations!$C$8)-Calculations!$O194+Calculations!$C$8)-'Reaction Information'!$O$33*10^4*(((1/(Calculations!$O194-Calculations!$C$13))-(1/(Calculations!$C$8-Calculations!$C$13)))*((Calculations!$C$13-Calculations!$O194)/(Calculations!$C$13))-(Calculations!$O194/(Calculations!$C$13*Calculations!$C$13))*LN((Calculations!$C$8*(Calculations!$O194-Calculations!$C$13))/(Calculations!$O194*(Calculations!$C$8-Calculations!$C$13))))+'Reaction Information'!$J$33*10^-1*(Calculations!$M194-Calculations!$C$9)+'Reaction Information'!$K$33*10^2*LN((Calculations!$C$12+Calculations!$M194)/(Calculations!$C$12+Calculations!$C$9))+(1/(Calculations!$O194-Calculations!$C$13))*('Reaction Information'!$L$33*(Calculations!$M194-Calculations!$C$9)+'Reaction Information'!$M$33*10^4*LN((Calculations!$C$12+Calculations!$M194)/(Calculations!$C$12+Calculations!$C$9)))+calculateOmega(Calculations!M194,Calculations!N194,Calculations!Q194,'Reaction Information'!$C$33,'Reaction Information'!$P$33*10^5,'Reaction Information'!$Q$33)*((1/Calculations!$S194)-1)-'Reaction Information'!$P$33*10^5*((1/Calculations!$C$10)-1)+'Reaction Information'!$P$33*10^5*Calculations!$C$14*(Calculations!$O194-Calculations!$C$8))</f>
        <v>#N/A</v>
      </c>
      <c r="AL194" s="1">
        <f>Results!S196</f>
        <v>0</v>
      </c>
      <c r="AM194" s="1">
        <f>Results!T196</f>
        <v>0</v>
      </c>
      <c r="AN194" s="1">
        <f>Results!U196</f>
        <v>0</v>
      </c>
      <c r="AO194" s="1">
        <f>Results!V196</f>
        <v>0</v>
      </c>
      <c r="AP194" s="8" t="e">
        <f>IF(ISBLANK(Input!$BB$4),NA(),'Reaction Information'!$E$38-'Reaction Information'!$G$38*(Calculations!$O194-Calculations!$C$8)+'Reaction Information'!$I$38*(Calculations!$O194-Calculations!$C$8-Calculations!$O194*LN(Calculations!$O194/Calculations!$C$8))+'Reaction Information'!$J$38*0.001/2*(2*Calculations!$O194*Calculations!$C$8-Calculations!$O194^2-Calculations!$C$8^2) + 'Reaction Information'!$K$38*100000*(Calculations!$O194^2 + Calculations!$C$8^2 - 2*Calculations!$O194*Calculations!$C$8)/(2*Calculations!$O194*Calculations!$C$8^2))</f>
        <v>#N/A</v>
      </c>
      <c r="AQ194" s="8" t="e">
        <f>IF(ISBLANK(Input!$BE$4),NA(),'Reaction Information'!$E$42-'Reaction Information'!$G$42*(Calculations!$O194-Calculations!$C$8)+'Reaction Information'!$I$42*(Calculations!$O194-Calculations!$C$8-Calculations!$O194*LN(Calculations!$O194/Calculations!$C$8))+'Reaction Information'!$J$42*0.001/2*(2*Calculations!$O194*Calculations!$C$8-Calculations!$O194^2-Calculations!$C$8^2) + 'Reaction Information'!$K$42*100000*(Calculations!$O194^2 + Calculations!$C$8^2 - 2*Calculations!$O194*Calculations!$C$8)/(2*Calculations!$O194*Calculations!$C$8^2))</f>
        <v>#N/A</v>
      </c>
      <c r="AR194" s="8" t="e">
        <f>IF(AR$5="H2O", IF($D$24=3,IF(T194=0,NA(),T194),calculateGibbsOfWater(M194,N194,$D$24,$D$20,$D$19=3)),NA())</f>
        <v>#N/A</v>
      </c>
      <c r="AS194" s="8" t="e">
        <f>IF(ISBLANK(Input!$BK$4),NA(),'Reaction Information'!$E$46-'Reaction Information'!$G$46*(Calculations!O194-Calculations!$C$8)-'Reaction Information'!$N$46*(Calculations!O194*LN(Calculations!O194/Calculations!$C$8)-Calculations!O194+Calculations!$C$8)-'Reaction Information'!$O$46*10^4*(((1/(Calculations!O194-Calculations!$C$13))-(1/(Calculations!$C$8-Calculations!$C$13)))*((Calculations!$C$13-Calculations!O194)/(Calculations!$C$13))-(Calculations!O194/(Calculations!$C$13*Calculations!$C$13))*LN((Calculations!$C$8*(Calculations!O194-Calculations!$C$13))/(Calculations!O194*(Calculations!$C$8-Calculations!$C$13))))+'Reaction Information'!$J$46*10^-1*(Calculations!$M194-Calculations!$C$9)+'Reaction Information'!$K$46*10^2*LN((Calculations!$C$12+Calculations!$M194)/(Calculations!$C$12+Calculations!$C$9))+(1/(Calculations!O194-Calculations!$C$13))*('Reaction Information'!$L$46*(Calculations!$M194-Calculations!$C$9)+'Reaction Information'!$M$46*10^4*LN((Calculations!$C$12+Calculations!$M194)/(Calculations!$C$12+Calculations!$C$9)))+calculateOmega(Calculations!M194,Calculations!N194,Calculations!Q194,'Reaction Information'!$C$46,'Reaction Information'!$P$46*10^5,'Reaction Information'!$Q$46)*((1/Calculations!S194)-1)-'Reaction Information'!$P$46*10^5*((1/Calculations!$C$10)-1)+'Reaction Information'!$P$46*10^5*Calculations!$C$14*(Calculations!O194-Calculations!$C$8))</f>
        <v>#VALUE!</v>
      </c>
      <c r="AT194" s="8" t="e">
        <f>IF(ISBLANK(Input!$BN$4),NA(),'Reaction Information'!$E$50-'Reaction Information'!$G$50*(Calculations!O194-Calculations!$C$8)-'Reaction Information'!$N$50*(Calculations!O194*LN(Calculations!O194/Calculations!$C$8)-Calculations!O194+Calculations!$C$8)-'Reaction Information'!$O$50*10^4*(((1/(Calculations!O194-Calculations!$C$13))-(1/(Calculations!$C$8-Calculations!$C$13)))*((Calculations!$C$13-Calculations!O194)/(Calculations!$C$13))-(Calculations!O194/(Calculations!$C$13*Calculations!$C$13))*LN((Calculations!$C$8*(Calculations!O194-Calculations!$C$13))/(Calculations!O194*(Calculations!$C$8-Calculations!$C$13))))+'Reaction Information'!$J$50*10^-1*(Calculations!$M194-Calculations!$C$9)+'Reaction Information'!$K$50*10^2*LN((Calculations!$C$12+Calculations!$M194)/(Calculations!$C$12+Calculations!$C$9))+(1/(Calculations!O194-Calculations!$C$13))*('Reaction Information'!$L$50*(Calculations!$M194-Calculations!$C$9)+'Reaction Information'!$M$50*10^4*LN((Calculations!$C$12+Calculations!$M194)/(Calculations!$C$12+Calculations!$C$9)))+calculateOmega(Calculations!M194,Calculations!N194,Calculations!Q194,'Reaction Information'!$C$50,'Reaction Information'!$P$50*10^5,'Reaction Information'!$Q$50)*((1/Calculations!S194)-1)-'Reaction Information'!$P$50*10^5*((1/Calculations!$C$10)-1)+'Reaction Information'!$P$50*10^5*Calculations!$C$14*(Calculations!O194-Calculations!$C$8))</f>
        <v>#VALUE!</v>
      </c>
      <c r="AU194" s="8" t="e">
        <f>IF(ISBLANK(Input!$BQ$4),NA(),'Reaction Information'!$E$54-'Reaction Information'!$G$54*(Calculations!$O194-Calculations!$C$8)-'Reaction Information'!$N$54*(Calculations!$O194*LN(Calculations!$O194/Calculations!$C$8)-Calculations!$O194+Calculations!$C$8)-'Reaction Information'!$O$54*10^4*(((1/(Calculations!$O194-Calculations!$C$13))-(1/(Calculations!$C$8-Calculations!$C$13)))*((Calculations!$C$13-Calculations!$O194)/(Calculations!$C$13))-(Calculations!$O194/(Calculations!$C$13*Calculations!$C$13))*LN((Calculations!$C$8*(Calculations!$O194-Calculations!$C$13))/(Calculations!$O194*(Calculations!$C$8-Calculations!$C$13))))+'Reaction Information'!$J$54*10^-1*(Calculations!$M194-Calculations!$C$9)+'Reaction Information'!$K$54*10^2*LN((Calculations!$C$12+Calculations!$M194)/(Calculations!$C$12+Calculations!$C$9))+(1/(Calculations!$O194-Calculations!$C$13))*('Reaction Information'!$L$54*(Calculations!$M194-Calculations!$C$9)+'Reaction Information'!$M$54*10^4*LN((Calculations!$C$12+Calculations!$M194)/(Calculations!$C$12+Calculations!$C$9)))+calculateOmega(Calculations!M194,Calculations!N194,Calculations!Q194,'Reaction Information'!$C$54,'Reaction Information'!$P$54*10^5,'Reaction Information'!$Q$54)*((1/Calculations!$S194)-1)-'Reaction Information'!$P$54*10^5*((1/Calculations!$C$10)-1)+'Reaction Information'!$P$54*10^5*Calculations!$C$14*(Calculations!$O194-Calculations!$C$8))</f>
        <v>#N/A</v>
      </c>
      <c r="AV194" s="8" t="e">
        <f>IF(ISBLANK(Input!$BT$4),NA(),'Reaction Information'!$E$58-'Reaction Information'!$G$58*(Calculations!$O194-Calculations!$C$8)-'Reaction Information'!$N$58*(Calculations!$O194*LN(Calculations!$O194/Calculations!$C$8)-Calculations!$O194+Calculations!$C$8)-'Reaction Information'!$O$58*10^4*(((1/(Calculations!$O194-Calculations!$C$13))-(1/(Calculations!$C$8-Calculations!$C$13)))*((Calculations!$C$13-Calculations!$O194)/(Calculations!$C$13))-(Calculations!$O194/(Calculations!$C$13*Calculations!$C$13))*LN((Calculations!$C$8*(Calculations!$O194-Calculations!$C$13))/(Calculations!$O194*(Calculations!$C$8-Calculations!$C$13))))+'Reaction Information'!$J$58*10^-1*(Calculations!$M194-Calculations!$C$9)+'Reaction Information'!$K$58*10^2*LN((Calculations!$C$12+Calculations!$M194)/(Calculations!$C$12+Calculations!$C$9))+(1/(Calculations!$O194-Calculations!$C$13))*('Reaction Information'!$L$58*(Calculations!$M194-Calculations!$C$9)+'Reaction Information'!$M$58*10^4*LN((Calculations!$C$12+Calculations!$M194)/(Calculations!$C$12+Calculations!$C$9)))+calculateOmega(Calculations!M194,Calculations!N194,Calculations!Q194,'Reaction Information'!$C$58,'Reaction Information'!$P$58*10^5,'Reaction Information'!$Q$58)*((1/Calculations!$S194)-1)-'Reaction Information'!$P$58*10^5*((1/Calculations!$C$10)-1)+'Reaction Information'!$P$58*10^5*Calculations!$C$14*(Calculations!$O194-Calculations!$C$8))</f>
        <v>#N/A</v>
      </c>
      <c r="AW194" s="8" t="e">
        <f>IF(ISBLANK(Input!$BW$4),NA(),'Reaction Information'!$E$62-'Reaction Information'!$G$62*(Calculations!$O194-Calculations!$C$8)-'Reaction Information'!$N$62*(Calculations!$O194*LN(Calculations!$O194/Calculations!$C$8)-Calculations!$O194+Calculations!$C$8)-'Reaction Information'!$O$62*10^4*(((1/(Calculations!$O194-Calculations!$C$13))-(1/(Calculations!$C$8-Calculations!$C$13)))*((Calculations!$C$13-Calculations!$O194)/(Calculations!$C$13))-(Calculations!$O194/(Calculations!$C$13*Calculations!$C$13))*LN((Calculations!$C$8*(Calculations!$O194-Calculations!$C$13))/(Calculations!$O194*(Calculations!$C$8-Calculations!$C$13))))+'Reaction Information'!$J$62*10^-1*(Calculations!$M194-Calculations!$C$9)+'Reaction Information'!$K$62*10^2*LN((Calculations!$C$12+Calculations!$M194)/(Calculations!$C$12+Calculations!$C$9))+(1/(Calculations!$O194-Calculations!$C$13))*('Reaction Information'!$L$62*(Calculations!$M194-Calculations!$C$9)+'Reaction Information'!$M$62*10^4*LN((Calculations!$C$12+Calculations!$M194)/(Calculations!$C$12+Calculations!$C$9)))+calculateOmega(Calculations!M194,Calculations!N194,Calculations!Q194,'Reaction Information'!$C$62,'Reaction Information'!$P$62*10^5,'Reaction Information'!$Q$62)*((1/Calculations!$S194)-1)-'Reaction Information'!$P$62*10^5*((1/Calculations!$C$10)-1)+'Reaction Information'!$P$62*10^5*Calculations!$C$14*(Calculations!$O194-Calculations!$C$8))</f>
        <v>#N/A</v>
      </c>
      <c r="AX194" s="8" t="e">
        <f>IF(ISBLANK(Input!$BZ$4),NA(),'Reaction Information'!$E$66-'Reaction Information'!$G$66*(Calculations!$O194-Calculations!$C$8)-'Reaction Information'!$N$66*(Calculations!$O194*LN(Calculations!$O194/Calculations!$C$8)-Calculations!$O194+Calculations!$C$8)-'Reaction Information'!$O$66*10^4*(((1/(Calculations!$O194-Calculations!$C$13))-(1/(Calculations!$C$8-Calculations!$C$13)))*((Calculations!$C$13-Calculations!$O194)/(Calculations!$C$13))-(Calculations!$O194/(Calculations!$C$13*Calculations!$C$13))*LN((Calculations!$C$8*(Calculations!$O194-Calculations!$C$13))/(Calculations!$O194*(Calculations!$C$8-Calculations!$C$13))))+'Reaction Information'!$J$66*10^-1*(Calculations!$M194-Calculations!$C$9)+'Reaction Information'!$K$66*10^2*LN((Calculations!$C$12+Calculations!$M194)/(Calculations!$C$12+Calculations!$C$9))+(1/(Calculations!$O194-Calculations!$C$13))*('Reaction Information'!$L$66*(Calculations!$M194-Calculations!$C$9)+'Reaction Information'!$M$66*10^4*LN((Calculations!$C$12+Calculations!$M194)/(Calculations!$C$12+Calculations!$C$9)))+calculateOmega(Calculations!M194,Calculations!N194,Calculations!Q194,'Reaction Information'!$C$66,'Reaction Information'!$P$66*10^5,'Reaction Information'!$Q$66)*((1/Calculations!$S194)-1)-'Reaction Information'!$P$66*10^5*((1/Calculations!$C$10)-1)+'Reaction Information'!$P$66*10^5*Calculations!$C$14*(Calculations!$O194-Calculations!$C$8))</f>
        <v>#N/A</v>
      </c>
      <c r="AY194" s="31" t="e">
        <f>(AL194*Input!$AO$4+AM194*Input!$AR$4+AN194*Input!$AU$4+AO194*Input!$AX$4+IF(ISNA(AP194),0,AP194*Input!$BA$4)+IF(ISNA(AQ194),0,AQ194*Input!$BD$4)+IF(ISNA(AR194),0,AR194*Input!$BG$4)+IF(ISNA(AS194),0,AS194*Input!$BJ$4)+IF(ISNA(AT194),0,AT194*Input!$BM$4)+IF(ISNA(AU194),0,AU194*Input!$BP$4)+IF(ISNA(AV194),0,AV194*Input!$BS$4)+IF(ISNA(AW194),0,AW194*Input!$BV$4)+IF(ISNA(AX194),0,AX194*Input!$BY$4))-(Y194*Input!$B$4+Z194*Input!$E$4+AA194*Input!$H$4+AB194*Input!$K$4+IF(ISNA(AC194),0,AC194*Input!$N$4)+IF(ISNA(AD194),0,AD194*Input!$Q$4)+IF(ISNA(AE194),0,AE194*Input!$T$4)+IF(ISNA(AF194),0,AF194*Input!$W$4)+IF(ISNA(AG194),0,AG194*Input!$Z$4)+IF(ISNA(AH194),0,AH194*Input!$AC$4)+IF(ISNA(AI194),0,AI194*Input!$AF$4)+IF(ISNA(AJ194),0,AJ194*Input!$AI$4)+IF(ISNA(AK194),0,AK194*Input!$AL$4))</f>
        <v>#VALUE!</v>
      </c>
      <c r="AZ194" s="42" t="e">
        <f t="shared" si="54"/>
        <v>#VALUE!</v>
      </c>
      <c r="BA194" s="1" t="str">
        <f t="shared" si="46"/>
        <v/>
      </c>
      <c r="BB194" s="46" t="str">
        <f t="shared" si="47"/>
        <v/>
      </c>
      <c r="BC194" s="1"/>
      <c r="BD194" s="2" t="str">
        <f t="shared" si="48"/>
        <v/>
      </c>
      <c r="BE194" s="46" t="str">
        <f t="shared" si="49"/>
        <v/>
      </c>
      <c r="BF194" s="1">
        <f>Results!AJ196</f>
        <v>0</v>
      </c>
      <c r="BG194" s="1">
        <f>Results!AK196</f>
        <v>0</v>
      </c>
      <c r="BH194" s="1">
        <f>Results!AL196</f>
        <v>0</v>
      </c>
      <c r="BI194" s="1">
        <f>Results!AM196</f>
        <v>0</v>
      </c>
      <c r="BJ194" s="1" t="e">
        <f>IF(OR(ISNA('Reaction Information'!$D$5), $N194 = "", $D$27 = FALSE, 'Reaction Information'!$D$5 = ""), NA(), 24.465)</f>
        <v>#N/A</v>
      </c>
      <c r="BK194" s="1" t="e">
        <f>IF(OR(ISNA('Reaction Information'!$D$9), $N194 = "", $D$27 = FALSE, 'Reaction Information'!$D$9 = ""), NA(), 24.465)</f>
        <v>#N/A</v>
      </c>
      <c r="BL194" s="8" t="e">
        <f t="shared" si="55"/>
        <v>#VALUE!</v>
      </c>
      <c r="BM194" s="8" t="e">
        <f>IF(OR(ISBLANK(Input!$X$4),$D$27=FALSE),NA(),('Reaction Information'!$J$13/10+'Reaction Information'!$K$13*100/(Calculations!$C$12+Calculations!$M194)+('Reaction Information'!$L$13+'Reaction Information'!$M$13*10^4/(Calculations!$C$12+Calculations!$M194))/(Calculations!$O194-Calculations!$C$13) -calculateOmega(Calculations!$M194,Calculations!$N194,Calculations!$Q194,'Reaction Information'!$C$13,'Reaction Information'!$P$13*10^5,'Reaction Information'!$Q$13)*Calculations!$U194*10^-6 + (1/$S194 - 1)*calculate_domegadP(Calculations!$M194,Calculations!$N194,Calculations!$Q194,'Reaction Information'!$C$13,'Reaction Information'!$P$13*10^5,'Reaction Information'!$Q$13,$D$20,$D$19=3))*41.84)</f>
        <v>#VALUE!</v>
      </c>
      <c r="BN194" s="8" t="e">
        <f>IF(OR(ISBLANK(Input!$AA$4),$D$27=FALSE),NA(),('Reaction Information'!$J$17/10+'Reaction Information'!$K$17*100/(Calculations!$C$12+Calculations!$M194)+('Reaction Information'!$L$17+'Reaction Information'!$M$17*10000/(Calculations!$C$12+Calculations!$M194))/(Calculations!$O194-Calculations!$C$13)-calculateOmega(Calculations!M194,Calculations!N194,Calculations!Q194,'Reaction Information'!$C$17,'Reaction Information'!$P$17*10^5,'Reaction Information'!$Q$17)*Calculations!$U194*10^-6 + (1/$S194 - 1)*calculate_domegadP(Calculations!M194,Calculations!N194,Calculations!Q194,'Reaction Information'!$C$17,'Reaction Information'!$P$17*10^5,'Reaction Information'!$Q$17,$D$20,$D$19=3))*41.84)</f>
        <v>#N/A</v>
      </c>
      <c r="BO194" s="8" t="e">
        <f>IF(OR(ISBLANK(Input!$AD$4),$D$27=FALSE),NA(),('Reaction Information'!$J$21/10+'Reaction Information'!$K$21*100/(Calculations!$C$12+Calculations!$M194)+('Reaction Information'!$L$21+'Reaction Information'!$M$21*10000/(Calculations!$C$12+Calculations!$M194))/(Calculations!$O194-Calculations!$C$13)-calculateOmega(Calculations!M194,Calculations!N194,Calculations!Q194,'Reaction Information'!$C$21,'Reaction Information'!$P$21*10^5,'Reaction Information'!$Q$21)*Calculations!$U194*10^-6 + (1/$S194 - 1)*calculate_domegadP(Calculations!M194,Calculations!N194,Calculations!Q194,'Reaction Information'!$C$21,'Reaction Information'!$P$21*10^5,'Reaction Information'!$Q$21,$D$20,$D$19=3))*41.84)</f>
        <v>#N/A</v>
      </c>
      <c r="BP194" s="8" t="e">
        <f>IF(OR(ISBLANK(Input!$AG$4),$D$27=FALSE),NA(),('Reaction Information'!$J$25/10+'Reaction Information'!$K$25*100/(Calculations!$C$12+Calculations!$M194)+('Reaction Information'!$L$25+'Reaction Information'!$M$25*10000/(Calculations!$C$12+Calculations!$M194))/(Calculations!$O194-Calculations!$C$13)-calculateOmega(Calculations!M194,Calculations!N194,Calculations!Q194,'Reaction Information'!$C$25,'Reaction Information'!$P$25*10^5,'Reaction Information'!$Q$25)*Calculations!$U194*10^-6 + (1/$S194 - 1)*calculate_domegadP(Calculations!M194,Calculations!N194,Calculations!Q194,'Reaction Information'!$C$25,'Reaction Information'!$P$25*10^5,'Reaction Information'!$Q$25,$D$20,$D$19=3))*41.84)</f>
        <v>#N/A</v>
      </c>
      <c r="BQ194" s="8" t="e">
        <f>IF(OR(ISBLANK(Input!$AJ$4),$D$27=FALSE),NA(),('Reaction Information'!$J$29/10+'Reaction Information'!$K$29*100/(Calculations!$C$12+Calculations!$M194)+('Reaction Information'!$L$29+'Reaction Information'!$M$29*10000/(Calculations!$C$12+Calculations!$M194))/(Calculations!$O194-Calculations!$C$13)-calculateOmega(Calculations!M194,Calculations!N194,Calculations!Q194,'Reaction Information'!$C$29,'Reaction Information'!$P$29*10^5,'Reaction Information'!$Q$29)*Calculations!$U194*10^-6 + (1/$S194 - 1)*calculate_domegadP(Calculations!M194,Calculations!N194,Calculations!Q194,'Reaction Information'!$C$29,'Reaction Information'!$P$29*10^5,'Reaction Information'!$Q$29,$D$20,$D$19=3))*41.84)</f>
        <v>#N/A</v>
      </c>
      <c r="BR194" s="8" t="e">
        <f>IF(OR(ISBLANK(Input!$AM$4),$D$27=FALSE),NA(),('Reaction Information'!$J$33/10+'Reaction Information'!$K$33*100/(Calculations!$C$12+Calculations!$M194)+('Reaction Information'!$L$33+'Reaction Information'!$M$33*10000/(Calculations!$C$12+Calculations!$M194))/(Calculations!$O194-Calculations!$C$13)-calculateOmega(Calculations!M194,Calculations!N194,Calculations!Q194,'Reaction Information'!$C$33,'Reaction Information'!$P$33*10^5,'Reaction Information'!$Q$33)*Calculations!$U194*10^-6 + (1/$S194 - 1)*calculate_domegadP(Calculations!M194,Calculations!N194,Calculations!Q194,'Reaction Information'!$C$33,'Reaction Information'!$P$33*10^5,'Reaction Information'!$Q$33,$D$20,$D$19=3))*41.84)</f>
        <v>#N/A</v>
      </c>
      <c r="BS194" s="1">
        <f>Results!AW196</f>
        <v>0</v>
      </c>
      <c r="BT194" s="1">
        <f>Results!AX196</f>
        <v>0</v>
      </c>
      <c r="BU194" s="1">
        <f>Results!AY196</f>
        <v>0</v>
      </c>
      <c r="BV194" s="1">
        <f>Results!AZ196</f>
        <v>0</v>
      </c>
      <c r="BW194" s="1" t="e">
        <f>IF(OR(ISNA('Reaction Information'!$D$38), $N194 = "", $D$27 = FALSE, 'Reaction Information'!$D$38 = ""), NA(), 24.465)</f>
        <v>#N/A</v>
      </c>
      <c r="BX194" s="1" t="e">
        <f>IF(OR(ISNA('Reaction Information'!$D$42), $N194 = "", $D$27 = FALSE, 'Reaction Information'!$D$42 = ""), NA(), 24.465)</f>
        <v>#N/A</v>
      </c>
      <c r="BY194" s="8" t="e">
        <f t="shared" si="56"/>
        <v>#N/A</v>
      </c>
      <c r="BZ194" s="8" t="e">
        <f>IF(OR(ISBLANK(Input!$BK$4),$D$27=FALSE),NA(),('Reaction Information'!$J$46/10+'Reaction Information'!$K$46*100/(Calculations!$C$12+Calculations!$M194)+('Reaction Information'!$L$46+'Reaction Information'!$M$46*10000/(Calculations!$C$12+Calculations!$M194))/(Calculations!$O194-Calculations!$C$13)-calculateOmega(Calculations!M194,Calculations!N194,Calculations!Q194,'Reaction Information'!$C$46,'Reaction Information'!$P$46*10^5,'Reaction Information'!$Q$46)*Calculations!$U194*10^-6 + (1/$S194 - 1)*calculate_domegadP(Calculations!M194,Calculations!N194,Calculations!Q194,'Reaction Information'!$C$46,'Reaction Information'!$P$46*10^5,'Reaction Information'!$Q$46,$D$20,$D$19=3))*41.84)</f>
        <v>#VALUE!</v>
      </c>
      <c r="CA194" s="8" t="e">
        <f>IF(OR(ISBLANK(Input!$BN$4),$D$27=FALSE),NA(),('Reaction Information'!$J$50/10+'Reaction Information'!$K$50*100/(Calculations!$C$12+Calculations!$M194)+('Reaction Information'!$L$50+'Reaction Information'!$M$50*10000/(Calculations!$C$12+Calculations!$M194))/(Calculations!$O194-Calculations!$C$13)-calculateOmega(Calculations!M194,Calculations!N194,Calculations!Q194,'Reaction Information'!$C$50,'Reaction Information'!$P$50*10^5,'Reaction Information'!$Q$50)*Calculations!$U194*10^-6 + (1/$S194 - 1)*calculate_domegadP(Calculations!M194,Calculations!N194,Calculations!Q194,'Reaction Information'!$C$50,'Reaction Information'!$P$50*10^5,'Reaction Information'!$Q$50,$D$20,$D$19=3))*41.84)</f>
        <v>#VALUE!</v>
      </c>
      <c r="CB194" s="8" t="e">
        <f>IF(OR(ISBLANK(Input!$BQ$4),$D$27=FALSE),NA(),('Reaction Information'!$J$54/10+'Reaction Information'!$K$54*100/(Calculations!$C$12+Calculations!$M194)+('Reaction Information'!$L$54+'Reaction Information'!$M$54*10000/(Calculations!$C$12+Calculations!$M194))/(Calculations!$O194-Calculations!$C$13)-calculateOmega(Calculations!M194,Calculations!N194,Calculations!Q194,'Reaction Information'!$C$54,'Reaction Information'!$P$54*10^5,'Reaction Information'!$Q$54)*Calculations!$U194*10^-6 + (1/$S194 - 1)*calculate_domegadP(Calculations!M194,Calculations!N194,Calculations!Q194,'Reaction Information'!$C$54,'Reaction Information'!$P$54*10^5,'Reaction Information'!$Q$54,$D$20,$D$19=3))*41.84)</f>
        <v>#N/A</v>
      </c>
      <c r="CC194" s="8" t="e">
        <f>IF(OR(ISBLANK(Input!$BT$4),$D$27=FALSE),NA(),('Reaction Information'!$J$58/10+'Reaction Information'!$K$58*100/(Calculations!$C$12+Calculations!$M194)+('Reaction Information'!$L$58+'Reaction Information'!$M$58*10000/(Calculations!$C$12+Calculations!$M194))/(Calculations!$O194-Calculations!$C$13)-calculateOmega(Calculations!M194,Calculations!N194,Calculations!Q194,'Reaction Information'!$C$58,'Reaction Information'!$P$58*10^5,'Reaction Information'!$Q$58)*Calculations!$U194*10^-6 + (1/$S194 - 1)*calculate_domegadP(Calculations!M194,Calculations!N194,Calculations!Q194,'Reaction Information'!$C$58,'Reaction Information'!$P$58*10^5,'Reaction Information'!$Q$58,$D$20,$D$19=3))*41.84)</f>
        <v>#N/A</v>
      </c>
      <c r="CD194" s="8" t="e">
        <f>IF(OR(ISBLANK(Input!$BW$4),$D$27=FALSE),NA(),('Reaction Information'!$J$62/10+'Reaction Information'!$K$62*100/(Calculations!$C$12+Calculations!$M194)+('Reaction Information'!$L$62+'Reaction Information'!$M$62*10000/(Calculations!$C$12+Calculations!$M194))/(Calculations!$O194-Calculations!$C$13)-calculateOmega(Calculations!M194,Calculations!N194,Calculations!Q194,'Reaction Information'!$C$62,'Reaction Information'!$P$62*10^5,'Reaction Information'!$Q$62)*Calculations!$U194*10^-6 + (1/$S194 - 1)*calculate_domegadP(Calculations!M194,Calculations!N194,Calculations!Q194,'Reaction Information'!$C$62,'Reaction Information'!$P$62*10^5,'Reaction Information'!$Q$62,$D$20,$D$19=3))*41.84)</f>
        <v>#N/A</v>
      </c>
      <c r="CE194" s="8" t="e">
        <f>IF(OR(ISBLANK(Input!$BZ$4),$D$27=FALSE),NA(),('Reaction Information'!$J$66/10+'Reaction Information'!$K$66*100/(Calculations!$C$12+Calculations!$M194)+('Reaction Information'!$L$66+'Reaction Information'!$M$66*10000/(Calculations!$C$12+Calculations!$M194))/(Calculations!$O194-Calculations!$C$13)-calculateOmega(Calculations!M194,Calculations!N194,Calculations!Q194,'Reaction Information'!$C$66,'Reaction Information'!$P$66*10^5,'Reaction Information'!$Q$66)*Calculations!$U194*10^-6 + (1/$S194 - 1)*calculate_domegadP(Calculations!M194,Calculations!N194,Calculations!Q194,'Reaction Information'!$C$66,'Reaction Information'!$P$66*10^5,'Reaction Information'!$Q$66,$D$20,$D$19=3))*41.84)</f>
        <v>#N/A</v>
      </c>
      <c r="CF194" s="31" t="e">
        <f>(BS194*Input!$AO$4+BT194*Input!$AR$4+BU194*Input!$AU$4+BV194*Input!$AX$4+IF(ISNA(BW194),0,BW194*Input!$BA$4)+IF(ISNA(BX194),0,BX194*Input!$BD$4)+IF(ISNA(BY194),0,BY194*Input!$BG$4)+IF(ISNA(BZ194),0,BZ194*Input!$BJ$4)+IF(ISNA(CA194),0,CA194*Input!$BM$4)+IF(ISNA(CB194),0,CB194*Input!$BP$4)+IF(ISNA(CC194),0,CC194*Input!$BS$4)+IF(ISNA(CD194),0,CD194*Input!$BV$4)+IF(ISNA(CE194),0,CE194*Input!$BY$4))-(BF194*Input!$B$4+BG194*Input!$E$4+BH194*Input!$H$4+BI194*Input!$K$4+IF(ISNA(BJ194),0,BJ194*Input!$N$4)+IF(ISNA(BK194),0,BK194*Input!$Q$4)+IF(ISNA(BL194),0,BL194*Input!$T$4)+IF(ISNA(BM194),0,BM194*Input!$W$4)+IF(ISNA(BN194),0,BN194*Input!$Z$4)+IF(ISNA(BO194),0,BO194*Input!$AC$4)+IF(ISNA(BP194),0,BP194*Input!$AF$4)+IF(ISNA(BQ194),0,BQ194*Input!$AI$4)+IF(ISNA(BR194),0,BR194*Input!$AL$4))</f>
        <v>#VALUE!</v>
      </c>
      <c r="CG194" s="1" t="str">
        <f t="shared" si="50"/>
        <v/>
      </c>
      <c r="CH194" s="46" t="str">
        <f t="shared" si="51"/>
        <v/>
      </c>
      <c r="CI194" s="1"/>
    </row>
    <row r="195" spans="1:87" x14ac:dyDescent="0.2">
      <c r="A195" s="1"/>
      <c r="B195" s="1"/>
      <c r="C195" s="1"/>
      <c r="D195" s="1"/>
      <c r="E195" s="1"/>
      <c r="F195" s="2">
        <v>190</v>
      </c>
      <c r="G195" s="1" t="str">
        <f>IF(ISBLANK(Input!CB195), "", Input!CB195*1000)</f>
        <v/>
      </c>
      <c r="H195" s="1" t="str">
        <f>IF(ISBLANK(Input!CC195), "", Input!CC195)</f>
        <v/>
      </c>
      <c r="I195" s="1" t="str">
        <f>IF(Input!$CF$5 + Input!$CF$6*(FLOOR((Calculations!$F195-1)/(FLOOR((Input!$CF$12-Input!$CF$10)/Input!$CF$11,1)+1),1)) &gt; Input!$CF$7, "", (Input!$CF$5 + Input!$CF$6*(FLOOR((Calculations!$F195-1)/(FLOOR((Input!$CF$12-Input!$CF$10)/Input!$CF$11,1)+1),1)))*1000)</f>
        <v/>
      </c>
      <c r="J195" s="1" t="str">
        <f>IF(Calculations!I195 = "", "", Input!$CF$10 + Input!$CF$11*(Calculations!$F195-1) - (FLOOR((Input!$CF$12-Input!$CF$10)/Input!$CF$11,1)+1)*Input!$CF$11*FLOOR((Calculations!$F195-1)/(FLOOR((Input!$CF$12-Input!$CF$10)/Input!$CF$11,1)+1),1))</f>
        <v/>
      </c>
      <c r="K195" s="8" t="str">
        <f t="shared" si="52"/>
        <v/>
      </c>
      <c r="L195" s="117" t="str">
        <f>IF(OR(Input!$CJ$5 + Input!$CJ$6*(Calculations!F195-1) &gt; Input!$CJ$7, Input!$CJ$5 + Input!$CJ$6*(Calculations!F195-1) &gt; 350), "", Input!$CJ$5 + Input!$CJ$6*(Calculations!F195-1))</f>
        <v/>
      </c>
      <c r="M195" s="1" t="str">
        <f t="shared" si="42"/>
        <v/>
      </c>
      <c r="N195" s="1" t="str">
        <f t="shared" si="43"/>
        <v/>
      </c>
      <c r="O195" s="1" t="e">
        <f t="shared" si="53"/>
        <v>#VALUE!</v>
      </c>
      <c r="P195" s="1" t="e">
        <f>IF(OR($D$20=3,AND($D$21=TRUE,M195&lt;1000)),INDEX('Water Density'!$C$6:$CX$120,MATCH(Calculations!N195,'Water Density'!$B$6:$B$120),MATCH(Calculations!M195/1000,'Water Density'!$C$5:$CX$5)),NA())</f>
        <v>#N/A</v>
      </c>
      <c r="Q195" s="182" t="e">
        <f>IF(OR($D$20=3,AND($D$21=TRUE,M195&lt;1000)), IF(P195&lt;&gt;0,P195,NA()), calculateDensity(M195,N195,$D$20,0.01,$D$19 = 3))</f>
        <v>#VALUE!</v>
      </c>
      <c r="R195" s="1" t="e">
        <f>IF($D$22=5,INDEX('Dielectric Constant'!$C$6:$CX$120,MATCH(Calculations!N195,'Dielectric Constant'!$B$6:$B$120),MATCH(Calculations!M195/1000,'Dielectric Constant'!$C$5:$CX$5)),NA())</f>
        <v>#N/A</v>
      </c>
      <c r="S195" s="58" t="e">
        <f>IF($D$22=5, IF(R195&lt;&gt;0,R195,NA()), IF(AND($D$23,M195&lt;=5000,$D$19 &lt;&gt; 3),calculateEpsilon(Q195,N195,1,FALSE),calculateEpsilon(Q195,N195,$D$22,$D$19 = 3)))</f>
        <v>#VALUE!</v>
      </c>
      <c r="T195" s="1" t="e">
        <f>IF($D$24=3,INDEX('Water Free Energy'!$C$6:$CX$120,MATCH(Calculations!N195,'Water Free Energy'!$B$6:$B$120),MATCH(Calculations!M195/1000,'Water Free Energy'!$C$5:$CX$5)),NA())</f>
        <v>#N/A</v>
      </c>
      <c r="U195" s="179" t="e">
        <f>IF($D$27,calculateQ(M195,N195,Q195,$D$20,$D$22,$D$19=3)*10^6,NA())</f>
        <v>#VALUE!</v>
      </c>
      <c r="V195"/>
      <c r="W195" s="2" t="str">
        <f t="shared" si="44"/>
        <v/>
      </c>
      <c r="X195" s="1" t="str">
        <f t="shared" si="45"/>
        <v/>
      </c>
      <c r="Y195" s="1">
        <f>Results!F197</f>
        <v>0</v>
      </c>
      <c r="Z195" s="1">
        <f>Results!G197</f>
        <v>0</v>
      </c>
      <c r="AA195" s="1">
        <f>Results!H197</f>
        <v>0</v>
      </c>
      <c r="AB195" s="1">
        <f>Results!I197</f>
        <v>0</v>
      </c>
      <c r="AC195" s="1" t="e">
        <f>IF(ISBLANK(Input!$O$4),NA(),'Reaction Information'!$E$5-'Reaction Information'!$G$5*(Calculations!$O195-Calculations!$C$8)+'Reaction Information'!$I$5*(Calculations!$O195-Calculations!$C$8-Calculations!$O195*LN(Calculations!$O195/Calculations!$C$8))+'Reaction Information'!$J$5*0.001/2*(2*Calculations!$O195*Calculations!$C$8-Calculations!$O195^2-Calculations!$C$8^2) + 'Reaction Information'!$K$5*100000*(Calculations!$O195^2 + Calculations!$C$8^2 - 2*Calculations!$O195*Calculations!$C$8)/(2*Calculations!$O195*Calculations!$C$8^2))</f>
        <v>#N/A</v>
      </c>
      <c r="AD195" s="8" t="e">
        <f>IF(ISBLANK(Input!$R$4),NA(),'Reaction Information'!$E$9-'Reaction Information'!$G$9*(Calculations!$O195-Calculations!$C$8)+'Reaction Information'!$I$9*(Calculations!$O195-Calculations!$C$8-Calculations!$O195*LN(Calculations!$O195/Calculations!$C$8))+'Reaction Information'!$J$9*0.001/2*(2*Calculations!$O195*Calculations!$C$8-Calculations!$O195^2-Calculations!$C$8^2) + 'Reaction Information'!$K$9*100000*(Calculations!$O195^2 + Calculations!$C$8^2 - 2*Calculations!$O195*Calculations!$C$8)/(2*Calculations!$O195*Calculations!$C$8^2))</f>
        <v>#N/A</v>
      </c>
      <c r="AE195" s="8" t="e">
        <f>IF(AE$5="H2O",IF($D$24=3,IF(T195=0,NA(),T195),calculateGibbsOfWater(M195,N195,$D$24,$D$20,$D$19=3)),NA())</f>
        <v>#VALUE!</v>
      </c>
      <c r="AF195" s="8" t="e">
        <f>IF(ISBLANK(Input!$X$4),NA(),'Reaction Information'!$E$13-'Reaction Information'!$G$13*(Calculations!O195-Calculations!$C$8)-'Reaction Information'!$N$13*(Calculations!O195*LN(Calculations!O195/Calculations!$C$8)-Calculations!O195+Calculations!$C$8)-'Reaction Information'!$O$13*10^4*(((1/(Calculations!O195-Calculations!$C$13))-(1/(Calculations!$C$8-Calculations!$C$13)))*((Calculations!$C$13-Calculations!O195)/(Calculations!$C$13))-(Calculations!O195/(Calculations!$C$13*Calculations!$C$13))*LN((Calculations!$C$8*(Calculations!O195-Calculations!$C$13))/(Calculations!O195*(Calculations!$C$8-Calculations!$C$13))))+'Reaction Information'!$J$13*10^-1*(Calculations!M195-Calculations!$C$9)+'Reaction Information'!$K$13*10^2*LN((Calculations!$C$12+Calculations!M195)/(Calculations!$C$12+Calculations!$C$9))+(1/(Calculations!O195-Calculations!$C$13))*('Reaction Information'!$L$13*(Calculations!M195-Calculations!$C$9)+'Reaction Information'!$M$13*10^4*LN((Calculations!$C$12+Calculations!M195)/(Calculations!$C$12+Calculations!$C$9)))+calculateOmega(Calculations!M195,Calculations!N195,Calculations!Q195,'Reaction Information'!$C$13,'Reaction Information'!$P$13*10^5,'Reaction Information'!$Q$13)*((1/Calculations!S195)-1)-'Reaction Information'!$P$13*10^5*((1/Calculations!$C$10)-1)+'Reaction Information'!$P$13*10^5*Calculations!$C$14*(Calculations!O195-Calculations!$C$8))</f>
        <v>#VALUE!</v>
      </c>
      <c r="AG195" s="8" t="e">
        <f>IF(ISBLANK(Input!$AA$4),NA(),'Reaction Information'!$E$17-'Reaction Information'!$G$17*(Calculations!$O195-Calculations!$C$8)-'Reaction Information'!$N$17*(Calculations!$O195*LN(Calculations!$O195/Calculations!$C$8)-Calculations!$O195+Calculations!$C$8)-'Reaction Information'!$O$17*10^4*(((1/(Calculations!$O195-Calculations!$C$13))-(1/(Calculations!$C$8-Calculations!$C$13)))*((Calculations!$C$13-Calculations!$O195)/(Calculations!$C$13))-(Calculations!$O195/(Calculations!$C$13*Calculations!$C$13))*LN((Calculations!$C$8*(Calculations!$O195-Calculations!$C$13))/(Calculations!$O195*(Calculations!$C$8-Calculations!$C$13))))+'Reaction Information'!$J$17*10^-1*(Calculations!$M195-Calculations!$C$9)+'Reaction Information'!$K$17*10^2*LN((Calculations!$C$12+Calculations!$M195)/(Calculations!$C$12+Calculations!$C$9))+(1/(Calculations!$O195-Calculations!$C$13))*('Reaction Information'!$L$17*(Calculations!$M195-Calculations!$C$9)+'Reaction Information'!$M$17*10^4*LN((Calculations!$C$12+Calculations!$M195)/(Calculations!$C$12+Calculations!$C$9)))+calculateOmega(Calculations!M195,Calculations!N195,Calculations!Q195,'Reaction Information'!$C$17,'Reaction Information'!$P$17*10^5,'Reaction Information'!$Q$17)*((1/Calculations!$S195)-1)-'Reaction Information'!$P$17*10^5*((1/Calculations!$C$10)-1)+'Reaction Information'!$P$17*10^5*Calculations!$C$14*(Calculations!$O195-Calculations!$C$8))</f>
        <v>#N/A</v>
      </c>
      <c r="AH195" s="8" t="e">
        <f>IF(ISBLANK(Input!$AD$4),NA(),'Reaction Information'!$E$21-'Reaction Information'!$G$21*(Calculations!$O195-Calculations!$C$8)-'Reaction Information'!$N$21*(Calculations!$O195*LN(Calculations!$O195/Calculations!$C$8)-Calculations!$O195+Calculations!$C$8)-'Reaction Information'!$O$21*10^4*(((1/(Calculations!$O195-Calculations!$C$13))-(1/(Calculations!$C$8-Calculations!$C$13)))*((Calculations!$C$13-Calculations!$O195)/(Calculations!$C$13))-(Calculations!$O195/(Calculations!$C$13*Calculations!$C$13))*LN((Calculations!$C$8*(Calculations!$O195-Calculations!$C$13))/(Calculations!$O195*(Calculations!$C$8-Calculations!$C$13))))+'Reaction Information'!$J$21*10^-1*(Calculations!$M195-Calculations!$C$9)+'Reaction Information'!$K$21*10^2*LN((Calculations!$C$12+Calculations!$M195)/(Calculations!$C$12+Calculations!$C$9))+(1/(Calculations!$O195-Calculations!$C$13))*('Reaction Information'!$L$21*(Calculations!$M195-Calculations!$C$9)+'Reaction Information'!$M$21*10^4*LN((Calculations!$C$12+Calculations!$M195)/(Calculations!$C$12+Calculations!$C$9)))+calculateOmega(Calculations!M195,Calculations!N195,Calculations!Q195,'Reaction Information'!$C$21,'Reaction Information'!$P$21*10^5,'Reaction Information'!$Q$21)*((1/Calculations!$S195)-1)-'Reaction Information'!$P$21*10^5*((1/Calculations!$C$10)-1)+'Reaction Information'!$P$21*10^5*Calculations!$C$14*(Calculations!$O195-Calculations!$C$8))</f>
        <v>#N/A</v>
      </c>
      <c r="AI195" s="8" t="e">
        <f>IF(ISBLANK(Input!$AG$4),NA(),'Reaction Information'!$E$25-'Reaction Information'!$G$25*(Calculations!$O195-Calculations!$C$8)-'Reaction Information'!$N$25*(Calculations!$O195*LN(Calculations!$O195/Calculations!$C$8)-Calculations!$O195+Calculations!$C$8)-'Reaction Information'!$O$25*10^4*(((1/(Calculations!$O195-Calculations!$C$13))-(1/(Calculations!$C$8-Calculations!$C$13)))*((Calculations!$C$13-Calculations!$O195)/(Calculations!$C$13))-(Calculations!$O195/(Calculations!$C$13*Calculations!$C$13))*LN((Calculations!$C$8*(Calculations!$O195-Calculations!$C$13))/(Calculations!$O195*(Calculations!$C$8-Calculations!$C$13))))+'Reaction Information'!$J$25*10^-1*(Calculations!$M195-Calculations!$C$9)+'Reaction Information'!$K$25*10^2*LN((Calculations!$C$12+Calculations!$M195)/(Calculations!$C$12+Calculations!$C$9))+(1/(Calculations!$O195-Calculations!$C$13))*('Reaction Information'!$L$25*(Calculations!$M195-Calculations!$C$9)+'Reaction Information'!$M$25*10^4*LN((Calculations!$C$12+Calculations!$M195)/(Calculations!$C$12+Calculations!$C$9)))+calculateOmega(Calculations!M195,Calculations!N195,Calculations!Q195,'Reaction Information'!$C$25,'Reaction Information'!$P$25*10^5,'Reaction Information'!$Q$25)*((1/Calculations!$S195)-1)-'Reaction Information'!$P$25*10^5*((1/Calculations!$C$10)-1)+'Reaction Information'!$P$25*10^5*Calculations!$C$14*(Calculations!$O195-Calculations!$C$8))</f>
        <v>#N/A</v>
      </c>
      <c r="AJ195" s="8" t="e">
        <f>IF(ISBLANK(Input!$AJ$4),NA(),'Reaction Information'!$E$29-'Reaction Information'!$G$29*(Calculations!$O195-Calculations!$C$8)-'Reaction Information'!$N$29*(Calculations!$O195*LN(Calculations!$O195/Calculations!$C$8)-Calculations!$O195+Calculations!$C$8)-'Reaction Information'!$O$29*10^4*(((1/(Calculations!$O195-Calculations!$C$13))-(1/(Calculations!$C$8-Calculations!$C$13)))*((Calculations!$C$13-Calculations!$O195)/(Calculations!$C$13))-(Calculations!$O195/(Calculations!$C$13*Calculations!$C$13))*LN((Calculations!$C$8*(Calculations!$O195-Calculations!$C$13))/(Calculations!$O195*(Calculations!$C$8-Calculations!$C$13))))+'Reaction Information'!$J$29*10^-1*(Calculations!$M195-Calculations!$C$9)+'Reaction Information'!$K$29*10^2*LN((Calculations!$C$12+Calculations!$M195)/(Calculations!$C$12+Calculations!$C$9))+(1/(Calculations!$O195-Calculations!$C$13))*('Reaction Information'!$L$29*(Calculations!$M195-Calculations!$C$9)+'Reaction Information'!$M$29*10^4*LN((Calculations!$C$12+Calculations!$M195)/(Calculations!$C$12+Calculations!$C$9)))+calculateOmega(Calculations!M195,Calculations!N195,Calculations!Q195,'Reaction Information'!$C$29,'Reaction Information'!$P$29*10^5,'Reaction Information'!$Q$29)*((1/Calculations!$S195)-1)-'Reaction Information'!$P$29*10^5*((1/Calculations!$C$10)-1)+'Reaction Information'!$P$29*10^5*Calculations!$C$14*(Calculations!$O195-Calculations!$C$8))</f>
        <v>#N/A</v>
      </c>
      <c r="AK195" s="8" t="e">
        <f>IF(ISBLANK(Input!$AM$4),NA(),'Reaction Information'!$E$33-'Reaction Information'!$G$33*(Calculations!$O195-Calculations!$C$8)-'Reaction Information'!$N$33*(Calculations!$O195*LN(Calculations!$O195/Calculations!$C$8)-Calculations!$O195+Calculations!$C$8)-'Reaction Information'!$O$33*10^4*(((1/(Calculations!$O195-Calculations!$C$13))-(1/(Calculations!$C$8-Calculations!$C$13)))*((Calculations!$C$13-Calculations!$O195)/(Calculations!$C$13))-(Calculations!$O195/(Calculations!$C$13*Calculations!$C$13))*LN((Calculations!$C$8*(Calculations!$O195-Calculations!$C$13))/(Calculations!$O195*(Calculations!$C$8-Calculations!$C$13))))+'Reaction Information'!$J$33*10^-1*(Calculations!$M195-Calculations!$C$9)+'Reaction Information'!$K$33*10^2*LN((Calculations!$C$12+Calculations!$M195)/(Calculations!$C$12+Calculations!$C$9))+(1/(Calculations!$O195-Calculations!$C$13))*('Reaction Information'!$L$33*(Calculations!$M195-Calculations!$C$9)+'Reaction Information'!$M$33*10^4*LN((Calculations!$C$12+Calculations!$M195)/(Calculations!$C$12+Calculations!$C$9)))+calculateOmega(Calculations!M195,Calculations!N195,Calculations!Q195,'Reaction Information'!$C$33,'Reaction Information'!$P$33*10^5,'Reaction Information'!$Q$33)*((1/Calculations!$S195)-1)-'Reaction Information'!$P$33*10^5*((1/Calculations!$C$10)-1)+'Reaction Information'!$P$33*10^5*Calculations!$C$14*(Calculations!$O195-Calculations!$C$8))</f>
        <v>#N/A</v>
      </c>
      <c r="AL195" s="1">
        <f>Results!S197</f>
        <v>0</v>
      </c>
      <c r="AM195" s="1">
        <f>Results!T197</f>
        <v>0</v>
      </c>
      <c r="AN195" s="1">
        <f>Results!U197</f>
        <v>0</v>
      </c>
      <c r="AO195" s="1">
        <f>Results!V197</f>
        <v>0</v>
      </c>
      <c r="AP195" s="8" t="e">
        <f>IF(ISBLANK(Input!$BB$4),NA(),'Reaction Information'!$E$38-'Reaction Information'!$G$38*(Calculations!$O195-Calculations!$C$8)+'Reaction Information'!$I$38*(Calculations!$O195-Calculations!$C$8-Calculations!$O195*LN(Calculations!$O195/Calculations!$C$8))+'Reaction Information'!$J$38*0.001/2*(2*Calculations!$O195*Calculations!$C$8-Calculations!$O195^2-Calculations!$C$8^2) + 'Reaction Information'!$K$38*100000*(Calculations!$O195^2 + Calculations!$C$8^2 - 2*Calculations!$O195*Calculations!$C$8)/(2*Calculations!$O195*Calculations!$C$8^2))</f>
        <v>#N/A</v>
      </c>
      <c r="AQ195" s="8" t="e">
        <f>IF(ISBLANK(Input!$BE$4),NA(),'Reaction Information'!$E$42-'Reaction Information'!$G$42*(Calculations!$O195-Calculations!$C$8)+'Reaction Information'!$I$42*(Calculations!$O195-Calculations!$C$8-Calculations!$O195*LN(Calculations!$O195/Calculations!$C$8))+'Reaction Information'!$J$42*0.001/2*(2*Calculations!$O195*Calculations!$C$8-Calculations!$O195^2-Calculations!$C$8^2) + 'Reaction Information'!$K$42*100000*(Calculations!$O195^2 + Calculations!$C$8^2 - 2*Calculations!$O195*Calculations!$C$8)/(2*Calculations!$O195*Calculations!$C$8^2))</f>
        <v>#N/A</v>
      </c>
      <c r="AR195" s="8" t="e">
        <f>IF(AR$5="H2O", IF($D$24=3,IF(T195=0,NA(),T195),calculateGibbsOfWater(M195,N195,$D$24,$D$20,$D$19=3)),NA())</f>
        <v>#N/A</v>
      </c>
      <c r="AS195" s="8" t="e">
        <f>IF(ISBLANK(Input!$BK$4),NA(),'Reaction Information'!$E$46-'Reaction Information'!$G$46*(Calculations!O195-Calculations!$C$8)-'Reaction Information'!$N$46*(Calculations!O195*LN(Calculations!O195/Calculations!$C$8)-Calculations!O195+Calculations!$C$8)-'Reaction Information'!$O$46*10^4*(((1/(Calculations!O195-Calculations!$C$13))-(1/(Calculations!$C$8-Calculations!$C$13)))*((Calculations!$C$13-Calculations!O195)/(Calculations!$C$13))-(Calculations!O195/(Calculations!$C$13*Calculations!$C$13))*LN((Calculations!$C$8*(Calculations!O195-Calculations!$C$13))/(Calculations!O195*(Calculations!$C$8-Calculations!$C$13))))+'Reaction Information'!$J$46*10^-1*(Calculations!$M195-Calculations!$C$9)+'Reaction Information'!$K$46*10^2*LN((Calculations!$C$12+Calculations!$M195)/(Calculations!$C$12+Calculations!$C$9))+(1/(Calculations!O195-Calculations!$C$13))*('Reaction Information'!$L$46*(Calculations!$M195-Calculations!$C$9)+'Reaction Information'!$M$46*10^4*LN((Calculations!$C$12+Calculations!$M195)/(Calculations!$C$12+Calculations!$C$9)))+calculateOmega(Calculations!M195,Calculations!N195,Calculations!Q195,'Reaction Information'!$C$46,'Reaction Information'!$P$46*10^5,'Reaction Information'!$Q$46)*((1/Calculations!S195)-1)-'Reaction Information'!$P$46*10^5*((1/Calculations!$C$10)-1)+'Reaction Information'!$P$46*10^5*Calculations!$C$14*(Calculations!O195-Calculations!$C$8))</f>
        <v>#VALUE!</v>
      </c>
      <c r="AT195" s="8" t="e">
        <f>IF(ISBLANK(Input!$BN$4),NA(),'Reaction Information'!$E$50-'Reaction Information'!$G$50*(Calculations!O195-Calculations!$C$8)-'Reaction Information'!$N$50*(Calculations!O195*LN(Calculations!O195/Calculations!$C$8)-Calculations!O195+Calculations!$C$8)-'Reaction Information'!$O$50*10^4*(((1/(Calculations!O195-Calculations!$C$13))-(1/(Calculations!$C$8-Calculations!$C$13)))*((Calculations!$C$13-Calculations!O195)/(Calculations!$C$13))-(Calculations!O195/(Calculations!$C$13*Calculations!$C$13))*LN((Calculations!$C$8*(Calculations!O195-Calculations!$C$13))/(Calculations!O195*(Calculations!$C$8-Calculations!$C$13))))+'Reaction Information'!$J$50*10^-1*(Calculations!$M195-Calculations!$C$9)+'Reaction Information'!$K$50*10^2*LN((Calculations!$C$12+Calculations!$M195)/(Calculations!$C$12+Calculations!$C$9))+(1/(Calculations!O195-Calculations!$C$13))*('Reaction Information'!$L$50*(Calculations!$M195-Calculations!$C$9)+'Reaction Information'!$M$50*10^4*LN((Calculations!$C$12+Calculations!$M195)/(Calculations!$C$12+Calculations!$C$9)))+calculateOmega(Calculations!M195,Calculations!N195,Calculations!Q195,'Reaction Information'!$C$50,'Reaction Information'!$P$50*10^5,'Reaction Information'!$Q$50)*((1/Calculations!S195)-1)-'Reaction Information'!$P$50*10^5*((1/Calculations!$C$10)-1)+'Reaction Information'!$P$50*10^5*Calculations!$C$14*(Calculations!O195-Calculations!$C$8))</f>
        <v>#VALUE!</v>
      </c>
      <c r="AU195" s="8" t="e">
        <f>IF(ISBLANK(Input!$BQ$4),NA(),'Reaction Information'!$E$54-'Reaction Information'!$G$54*(Calculations!$O195-Calculations!$C$8)-'Reaction Information'!$N$54*(Calculations!$O195*LN(Calculations!$O195/Calculations!$C$8)-Calculations!$O195+Calculations!$C$8)-'Reaction Information'!$O$54*10^4*(((1/(Calculations!$O195-Calculations!$C$13))-(1/(Calculations!$C$8-Calculations!$C$13)))*((Calculations!$C$13-Calculations!$O195)/(Calculations!$C$13))-(Calculations!$O195/(Calculations!$C$13*Calculations!$C$13))*LN((Calculations!$C$8*(Calculations!$O195-Calculations!$C$13))/(Calculations!$O195*(Calculations!$C$8-Calculations!$C$13))))+'Reaction Information'!$J$54*10^-1*(Calculations!$M195-Calculations!$C$9)+'Reaction Information'!$K$54*10^2*LN((Calculations!$C$12+Calculations!$M195)/(Calculations!$C$12+Calculations!$C$9))+(1/(Calculations!$O195-Calculations!$C$13))*('Reaction Information'!$L$54*(Calculations!$M195-Calculations!$C$9)+'Reaction Information'!$M$54*10^4*LN((Calculations!$C$12+Calculations!$M195)/(Calculations!$C$12+Calculations!$C$9)))+calculateOmega(Calculations!M195,Calculations!N195,Calculations!Q195,'Reaction Information'!$C$54,'Reaction Information'!$P$54*10^5,'Reaction Information'!$Q$54)*((1/Calculations!$S195)-1)-'Reaction Information'!$P$54*10^5*((1/Calculations!$C$10)-1)+'Reaction Information'!$P$54*10^5*Calculations!$C$14*(Calculations!$O195-Calculations!$C$8))</f>
        <v>#N/A</v>
      </c>
      <c r="AV195" s="8" t="e">
        <f>IF(ISBLANK(Input!$BT$4),NA(),'Reaction Information'!$E$58-'Reaction Information'!$G$58*(Calculations!$O195-Calculations!$C$8)-'Reaction Information'!$N$58*(Calculations!$O195*LN(Calculations!$O195/Calculations!$C$8)-Calculations!$O195+Calculations!$C$8)-'Reaction Information'!$O$58*10^4*(((1/(Calculations!$O195-Calculations!$C$13))-(1/(Calculations!$C$8-Calculations!$C$13)))*((Calculations!$C$13-Calculations!$O195)/(Calculations!$C$13))-(Calculations!$O195/(Calculations!$C$13*Calculations!$C$13))*LN((Calculations!$C$8*(Calculations!$O195-Calculations!$C$13))/(Calculations!$O195*(Calculations!$C$8-Calculations!$C$13))))+'Reaction Information'!$J$58*10^-1*(Calculations!$M195-Calculations!$C$9)+'Reaction Information'!$K$58*10^2*LN((Calculations!$C$12+Calculations!$M195)/(Calculations!$C$12+Calculations!$C$9))+(1/(Calculations!$O195-Calculations!$C$13))*('Reaction Information'!$L$58*(Calculations!$M195-Calculations!$C$9)+'Reaction Information'!$M$58*10^4*LN((Calculations!$C$12+Calculations!$M195)/(Calculations!$C$12+Calculations!$C$9)))+calculateOmega(Calculations!M195,Calculations!N195,Calculations!Q195,'Reaction Information'!$C$58,'Reaction Information'!$P$58*10^5,'Reaction Information'!$Q$58)*((1/Calculations!$S195)-1)-'Reaction Information'!$P$58*10^5*((1/Calculations!$C$10)-1)+'Reaction Information'!$P$58*10^5*Calculations!$C$14*(Calculations!$O195-Calculations!$C$8))</f>
        <v>#N/A</v>
      </c>
      <c r="AW195" s="8" t="e">
        <f>IF(ISBLANK(Input!$BW$4),NA(),'Reaction Information'!$E$62-'Reaction Information'!$G$62*(Calculations!$O195-Calculations!$C$8)-'Reaction Information'!$N$62*(Calculations!$O195*LN(Calculations!$O195/Calculations!$C$8)-Calculations!$O195+Calculations!$C$8)-'Reaction Information'!$O$62*10^4*(((1/(Calculations!$O195-Calculations!$C$13))-(1/(Calculations!$C$8-Calculations!$C$13)))*((Calculations!$C$13-Calculations!$O195)/(Calculations!$C$13))-(Calculations!$O195/(Calculations!$C$13*Calculations!$C$13))*LN((Calculations!$C$8*(Calculations!$O195-Calculations!$C$13))/(Calculations!$O195*(Calculations!$C$8-Calculations!$C$13))))+'Reaction Information'!$J$62*10^-1*(Calculations!$M195-Calculations!$C$9)+'Reaction Information'!$K$62*10^2*LN((Calculations!$C$12+Calculations!$M195)/(Calculations!$C$12+Calculations!$C$9))+(1/(Calculations!$O195-Calculations!$C$13))*('Reaction Information'!$L$62*(Calculations!$M195-Calculations!$C$9)+'Reaction Information'!$M$62*10^4*LN((Calculations!$C$12+Calculations!$M195)/(Calculations!$C$12+Calculations!$C$9)))+calculateOmega(Calculations!M195,Calculations!N195,Calculations!Q195,'Reaction Information'!$C$62,'Reaction Information'!$P$62*10^5,'Reaction Information'!$Q$62)*((1/Calculations!$S195)-1)-'Reaction Information'!$P$62*10^5*((1/Calculations!$C$10)-1)+'Reaction Information'!$P$62*10^5*Calculations!$C$14*(Calculations!$O195-Calculations!$C$8))</f>
        <v>#N/A</v>
      </c>
      <c r="AX195" s="8" t="e">
        <f>IF(ISBLANK(Input!$BZ$4),NA(),'Reaction Information'!$E$66-'Reaction Information'!$G$66*(Calculations!$O195-Calculations!$C$8)-'Reaction Information'!$N$66*(Calculations!$O195*LN(Calculations!$O195/Calculations!$C$8)-Calculations!$O195+Calculations!$C$8)-'Reaction Information'!$O$66*10^4*(((1/(Calculations!$O195-Calculations!$C$13))-(1/(Calculations!$C$8-Calculations!$C$13)))*((Calculations!$C$13-Calculations!$O195)/(Calculations!$C$13))-(Calculations!$O195/(Calculations!$C$13*Calculations!$C$13))*LN((Calculations!$C$8*(Calculations!$O195-Calculations!$C$13))/(Calculations!$O195*(Calculations!$C$8-Calculations!$C$13))))+'Reaction Information'!$J$66*10^-1*(Calculations!$M195-Calculations!$C$9)+'Reaction Information'!$K$66*10^2*LN((Calculations!$C$12+Calculations!$M195)/(Calculations!$C$12+Calculations!$C$9))+(1/(Calculations!$O195-Calculations!$C$13))*('Reaction Information'!$L$66*(Calculations!$M195-Calculations!$C$9)+'Reaction Information'!$M$66*10^4*LN((Calculations!$C$12+Calculations!$M195)/(Calculations!$C$12+Calculations!$C$9)))+calculateOmega(Calculations!M195,Calculations!N195,Calculations!Q195,'Reaction Information'!$C$66,'Reaction Information'!$P$66*10^5,'Reaction Information'!$Q$66)*((1/Calculations!$S195)-1)-'Reaction Information'!$P$66*10^5*((1/Calculations!$C$10)-1)+'Reaction Information'!$P$66*10^5*Calculations!$C$14*(Calculations!$O195-Calculations!$C$8))</f>
        <v>#N/A</v>
      </c>
      <c r="AY195" s="31" t="e">
        <f>(AL195*Input!$AO$4+AM195*Input!$AR$4+AN195*Input!$AU$4+AO195*Input!$AX$4+IF(ISNA(AP195),0,AP195*Input!$BA$4)+IF(ISNA(AQ195),0,AQ195*Input!$BD$4)+IF(ISNA(AR195),0,AR195*Input!$BG$4)+IF(ISNA(AS195),0,AS195*Input!$BJ$4)+IF(ISNA(AT195),0,AT195*Input!$BM$4)+IF(ISNA(AU195),0,AU195*Input!$BP$4)+IF(ISNA(AV195),0,AV195*Input!$BS$4)+IF(ISNA(AW195),0,AW195*Input!$BV$4)+IF(ISNA(AX195),0,AX195*Input!$BY$4))-(Y195*Input!$B$4+Z195*Input!$E$4+AA195*Input!$H$4+AB195*Input!$K$4+IF(ISNA(AC195),0,AC195*Input!$N$4)+IF(ISNA(AD195),0,AD195*Input!$Q$4)+IF(ISNA(AE195),0,AE195*Input!$T$4)+IF(ISNA(AF195),0,AF195*Input!$W$4)+IF(ISNA(AG195),0,AG195*Input!$Z$4)+IF(ISNA(AH195),0,AH195*Input!$AC$4)+IF(ISNA(AI195),0,AI195*Input!$AF$4)+IF(ISNA(AJ195),0,AJ195*Input!$AI$4)+IF(ISNA(AK195),0,AK195*Input!$AL$4))</f>
        <v>#VALUE!</v>
      </c>
      <c r="AZ195" s="42" t="e">
        <f t="shared" si="54"/>
        <v>#VALUE!</v>
      </c>
      <c r="BA195" s="1" t="str">
        <f t="shared" si="46"/>
        <v/>
      </c>
      <c r="BB195" s="46" t="str">
        <f t="shared" si="47"/>
        <v/>
      </c>
      <c r="BC195" s="1"/>
      <c r="BD195" s="2" t="str">
        <f t="shared" si="48"/>
        <v/>
      </c>
      <c r="BE195" s="46" t="str">
        <f t="shared" si="49"/>
        <v/>
      </c>
      <c r="BF195" s="1">
        <f>Results!AJ197</f>
        <v>0</v>
      </c>
      <c r="BG195" s="1">
        <f>Results!AK197</f>
        <v>0</v>
      </c>
      <c r="BH195" s="1">
        <f>Results!AL197</f>
        <v>0</v>
      </c>
      <c r="BI195" s="1">
        <f>Results!AM197</f>
        <v>0</v>
      </c>
      <c r="BJ195" s="1" t="e">
        <f>IF(OR(ISNA('Reaction Information'!$D$5), $N195 = "", $D$27 = FALSE, 'Reaction Information'!$D$5 = ""), NA(), 24.465)</f>
        <v>#N/A</v>
      </c>
      <c r="BK195" s="1" t="e">
        <f>IF(OR(ISNA('Reaction Information'!$D$9), $N195 = "", $D$27 = FALSE, 'Reaction Information'!$D$9 = ""), NA(), 24.465)</f>
        <v>#N/A</v>
      </c>
      <c r="BL195" s="8" t="e">
        <f t="shared" si="55"/>
        <v>#VALUE!</v>
      </c>
      <c r="BM195" s="8" t="e">
        <f>IF(OR(ISBLANK(Input!$X$4),$D$27=FALSE),NA(),('Reaction Information'!$J$13/10+'Reaction Information'!$K$13*100/(Calculations!$C$12+Calculations!$M195)+('Reaction Information'!$L$13+'Reaction Information'!$M$13*10^4/(Calculations!$C$12+Calculations!$M195))/(Calculations!$O195-Calculations!$C$13) -calculateOmega(Calculations!$M195,Calculations!$N195,Calculations!$Q195,'Reaction Information'!$C$13,'Reaction Information'!$P$13*10^5,'Reaction Information'!$Q$13)*Calculations!$U195*10^-6 + (1/$S195 - 1)*calculate_domegadP(Calculations!$M195,Calculations!$N195,Calculations!$Q195,'Reaction Information'!$C$13,'Reaction Information'!$P$13*10^5,'Reaction Information'!$Q$13,$D$20,$D$19=3))*41.84)</f>
        <v>#VALUE!</v>
      </c>
      <c r="BN195" s="8" t="e">
        <f>IF(OR(ISBLANK(Input!$AA$4),$D$27=FALSE),NA(),('Reaction Information'!$J$17/10+'Reaction Information'!$K$17*100/(Calculations!$C$12+Calculations!$M195)+('Reaction Information'!$L$17+'Reaction Information'!$M$17*10000/(Calculations!$C$12+Calculations!$M195))/(Calculations!$O195-Calculations!$C$13)-calculateOmega(Calculations!M195,Calculations!N195,Calculations!Q195,'Reaction Information'!$C$17,'Reaction Information'!$P$17*10^5,'Reaction Information'!$Q$17)*Calculations!$U195*10^-6 + (1/$S195 - 1)*calculate_domegadP(Calculations!M195,Calculations!N195,Calculations!Q195,'Reaction Information'!$C$17,'Reaction Information'!$P$17*10^5,'Reaction Information'!$Q$17,$D$20,$D$19=3))*41.84)</f>
        <v>#N/A</v>
      </c>
      <c r="BO195" s="8" t="e">
        <f>IF(OR(ISBLANK(Input!$AD$4),$D$27=FALSE),NA(),('Reaction Information'!$J$21/10+'Reaction Information'!$K$21*100/(Calculations!$C$12+Calculations!$M195)+('Reaction Information'!$L$21+'Reaction Information'!$M$21*10000/(Calculations!$C$12+Calculations!$M195))/(Calculations!$O195-Calculations!$C$13)-calculateOmega(Calculations!M195,Calculations!N195,Calculations!Q195,'Reaction Information'!$C$21,'Reaction Information'!$P$21*10^5,'Reaction Information'!$Q$21)*Calculations!$U195*10^-6 + (1/$S195 - 1)*calculate_domegadP(Calculations!M195,Calculations!N195,Calculations!Q195,'Reaction Information'!$C$21,'Reaction Information'!$P$21*10^5,'Reaction Information'!$Q$21,$D$20,$D$19=3))*41.84)</f>
        <v>#N/A</v>
      </c>
      <c r="BP195" s="8" t="e">
        <f>IF(OR(ISBLANK(Input!$AG$4),$D$27=FALSE),NA(),('Reaction Information'!$J$25/10+'Reaction Information'!$K$25*100/(Calculations!$C$12+Calculations!$M195)+('Reaction Information'!$L$25+'Reaction Information'!$M$25*10000/(Calculations!$C$12+Calculations!$M195))/(Calculations!$O195-Calculations!$C$13)-calculateOmega(Calculations!M195,Calculations!N195,Calculations!Q195,'Reaction Information'!$C$25,'Reaction Information'!$P$25*10^5,'Reaction Information'!$Q$25)*Calculations!$U195*10^-6 + (1/$S195 - 1)*calculate_domegadP(Calculations!M195,Calculations!N195,Calculations!Q195,'Reaction Information'!$C$25,'Reaction Information'!$P$25*10^5,'Reaction Information'!$Q$25,$D$20,$D$19=3))*41.84)</f>
        <v>#N/A</v>
      </c>
      <c r="BQ195" s="8" t="e">
        <f>IF(OR(ISBLANK(Input!$AJ$4),$D$27=FALSE),NA(),('Reaction Information'!$J$29/10+'Reaction Information'!$K$29*100/(Calculations!$C$12+Calculations!$M195)+('Reaction Information'!$L$29+'Reaction Information'!$M$29*10000/(Calculations!$C$12+Calculations!$M195))/(Calculations!$O195-Calculations!$C$13)-calculateOmega(Calculations!M195,Calculations!N195,Calculations!Q195,'Reaction Information'!$C$29,'Reaction Information'!$P$29*10^5,'Reaction Information'!$Q$29)*Calculations!$U195*10^-6 + (1/$S195 - 1)*calculate_domegadP(Calculations!M195,Calculations!N195,Calculations!Q195,'Reaction Information'!$C$29,'Reaction Information'!$P$29*10^5,'Reaction Information'!$Q$29,$D$20,$D$19=3))*41.84)</f>
        <v>#N/A</v>
      </c>
      <c r="BR195" s="8" t="e">
        <f>IF(OR(ISBLANK(Input!$AM$4),$D$27=FALSE),NA(),('Reaction Information'!$J$33/10+'Reaction Information'!$K$33*100/(Calculations!$C$12+Calculations!$M195)+('Reaction Information'!$L$33+'Reaction Information'!$M$33*10000/(Calculations!$C$12+Calculations!$M195))/(Calculations!$O195-Calculations!$C$13)-calculateOmega(Calculations!M195,Calculations!N195,Calculations!Q195,'Reaction Information'!$C$33,'Reaction Information'!$P$33*10^5,'Reaction Information'!$Q$33)*Calculations!$U195*10^-6 + (1/$S195 - 1)*calculate_domegadP(Calculations!M195,Calculations!N195,Calculations!Q195,'Reaction Information'!$C$33,'Reaction Information'!$P$33*10^5,'Reaction Information'!$Q$33,$D$20,$D$19=3))*41.84)</f>
        <v>#N/A</v>
      </c>
      <c r="BS195" s="1">
        <f>Results!AW197</f>
        <v>0</v>
      </c>
      <c r="BT195" s="1">
        <f>Results!AX197</f>
        <v>0</v>
      </c>
      <c r="BU195" s="1">
        <f>Results!AY197</f>
        <v>0</v>
      </c>
      <c r="BV195" s="1">
        <f>Results!AZ197</f>
        <v>0</v>
      </c>
      <c r="BW195" s="1" t="e">
        <f>IF(OR(ISNA('Reaction Information'!$D$38), $N195 = "", $D$27 = FALSE, 'Reaction Information'!$D$38 = ""), NA(), 24.465)</f>
        <v>#N/A</v>
      </c>
      <c r="BX195" s="1" t="e">
        <f>IF(OR(ISNA('Reaction Information'!$D$42), $N195 = "", $D$27 = FALSE, 'Reaction Information'!$D$42 = ""), NA(), 24.465)</f>
        <v>#N/A</v>
      </c>
      <c r="BY195" s="8" t="e">
        <f t="shared" si="56"/>
        <v>#N/A</v>
      </c>
      <c r="BZ195" s="8" t="e">
        <f>IF(OR(ISBLANK(Input!$BK$4),$D$27=FALSE),NA(),('Reaction Information'!$J$46/10+'Reaction Information'!$K$46*100/(Calculations!$C$12+Calculations!$M195)+('Reaction Information'!$L$46+'Reaction Information'!$M$46*10000/(Calculations!$C$12+Calculations!$M195))/(Calculations!$O195-Calculations!$C$13)-calculateOmega(Calculations!M195,Calculations!N195,Calculations!Q195,'Reaction Information'!$C$46,'Reaction Information'!$P$46*10^5,'Reaction Information'!$Q$46)*Calculations!$U195*10^-6 + (1/$S195 - 1)*calculate_domegadP(Calculations!M195,Calculations!N195,Calculations!Q195,'Reaction Information'!$C$46,'Reaction Information'!$P$46*10^5,'Reaction Information'!$Q$46,$D$20,$D$19=3))*41.84)</f>
        <v>#VALUE!</v>
      </c>
      <c r="CA195" s="8" t="e">
        <f>IF(OR(ISBLANK(Input!$BN$4),$D$27=FALSE),NA(),('Reaction Information'!$J$50/10+'Reaction Information'!$K$50*100/(Calculations!$C$12+Calculations!$M195)+('Reaction Information'!$L$50+'Reaction Information'!$M$50*10000/(Calculations!$C$12+Calculations!$M195))/(Calculations!$O195-Calculations!$C$13)-calculateOmega(Calculations!M195,Calculations!N195,Calculations!Q195,'Reaction Information'!$C$50,'Reaction Information'!$P$50*10^5,'Reaction Information'!$Q$50)*Calculations!$U195*10^-6 + (1/$S195 - 1)*calculate_domegadP(Calculations!M195,Calculations!N195,Calculations!Q195,'Reaction Information'!$C$50,'Reaction Information'!$P$50*10^5,'Reaction Information'!$Q$50,$D$20,$D$19=3))*41.84)</f>
        <v>#VALUE!</v>
      </c>
      <c r="CB195" s="8" t="e">
        <f>IF(OR(ISBLANK(Input!$BQ$4),$D$27=FALSE),NA(),('Reaction Information'!$J$54/10+'Reaction Information'!$K$54*100/(Calculations!$C$12+Calculations!$M195)+('Reaction Information'!$L$54+'Reaction Information'!$M$54*10000/(Calculations!$C$12+Calculations!$M195))/(Calculations!$O195-Calculations!$C$13)-calculateOmega(Calculations!M195,Calculations!N195,Calculations!Q195,'Reaction Information'!$C$54,'Reaction Information'!$P$54*10^5,'Reaction Information'!$Q$54)*Calculations!$U195*10^-6 + (1/$S195 - 1)*calculate_domegadP(Calculations!M195,Calculations!N195,Calculations!Q195,'Reaction Information'!$C$54,'Reaction Information'!$P$54*10^5,'Reaction Information'!$Q$54,$D$20,$D$19=3))*41.84)</f>
        <v>#N/A</v>
      </c>
      <c r="CC195" s="8" t="e">
        <f>IF(OR(ISBLANK(Input!$BT$4),$D$27=FALSE),NA(),('Reaction Information'!$J$58/10+'Reaction Information'!$K$58*100/(Calculations!$C$12+Calculations!$M195)+('Reaction Information'!$L$58+'Reaction Information'!$M$58*10000/(Calculations!$C$12+Calculations!$M195))/(Calculations!$O195-Calculations!$C$13)-calculateOmega(Calculations!M195,Calculations!N195,Calculations!Q195,'Reaction Information'!$C$58,'Reaction Information'!$P$58*10^5,'Reaction Information'!$Q$58)*Calculations!$U195*10^-6 + (1/$S195 - 1)*calculate_domegadP(Calculations!M195,Calculations!N195,Calculations!Q195,'Reaction Information'!$C$58,'Reaction Information'!$P$58*10^5,'Reaction Information'!$Q$58,$D$20,$D$19=3))*41.84)</f>
        <v>#N/A</v>
      </c>
      <c r="CD195" s="8" t="e">
        <f>IF(OR(ISBLANK(Input!$BW$4),$D$27=FALSE),NA(),('Reaction Information'!$J$62/10+'Reaction Information'!$K$62*100/(Calculations!$C$12+Calculations!$M195)+('Reaction Information'!$L$62+'Reaction Information'!$M$62*10000/(Calculations!$C$12+Calculations!$M195))/(Calculations!$O195-Calculations!$C$13)-calculateOmega(Calculations!M195,Calculations!N195,Calculations!Q195,'Reaction Information'!$C$62,'Reaction Information'!$P$62*10^5,'Reaction Information'!$Q$62)*Calculations!$U195*10^-6 + (1/$S195 - 1)*calculate_domegadP(Calculations!M195,Calculations!N195,Calculations!Q195,'Reaction Information'!$C$62,'Reaction Information'!$P$62*10^5,'Reaction Information'!$Q$62,$D$20,$D$19=3))*41.84)</f>
        <v>#N/A</v>
      </c>
      <c r="CE195" s="8" t="e">
        <f>IF(OR(ISBLANK(Input!$BZ$4),$D$27=FALSE),NA(),('Reaction Information'!$J$66/10+'Reaction Information'!$K$66*100/(Calculations!$C$12+Calculations!$M195)+('Reaction Information'!$L$66+'Reaction Information'!$M$66*10000/(Calculations!$C$12+Calculations!$M195))/(Calculations!$O195-Calculations!$C$13)-calculateOmega(Calculations!M195,Calculations!N195,Calculations!Q195,'Reaction Information'!$C$66,'Reaction Information'!$P$66*10^5,'Reaction Information'!$Q$66)*Calculations!$U195*10^-6 + (1/$S195 - 1)*calculate_domegadP(Calculations!M195,Calculations!N195,Calculations!Q195,'Reaction Information'!$C$66,'Reaction Information'!$P$66*10^5,'Reaction Information'!$Q$66,$D$20,$D$19=3))*41.84)</f>
        <v>#N/A</v>
      </c>
      <c r="CF195" s="31" t="e">
        <f>(BS195*Input!$AO$4+BT195*Input!$AR$4+BU195*Input!$AU$4+BV195*Input!$AX$4+IF(ISNA(BW195),0,BW195*Input!$BA$4)+IF(ISNA(BX195),0,BX195*Input!$BD$4)+IF(ISNA(BY195),0,BY195*Input!$BG$4)+IF(ISNA(BZ195),0,BZ195*Input!$BJ$4)+IF(ISNA(CA195),0,CA195*Input!$BM$4)+IF(ISNA(CB195),0,CB195*Input!$BP$4)+IF(ISNA(CC195),0,CC195*Input!$BS$4)+IF(ISNA(CD195),0,CD195*Input!$BV$4)+IF(ISNA(CE195),0,CE195*Input!$BY$4))-(BF195*Input!$B$4+BG195*Input!$E$4+BH195*Input!$H$4+BI195*Input!$K$4+IF(ISNA(BJ195),0,BJ195*Input!$N$4)+IF(ISNA(BK195),0,BK195*Input!$Q$4)+IF(ISNA(BL195),0,BL195*Input!$T$4)+IF(ISNA(BM195),0,BM195*Input!$W$4)+IF(ISNA(BN195),0,BN195*Input!$Z$4)+IF(ISNA(BO195),0,BO195*Input!$AC$4)+IF(ISNA(BP195),0,BP195*Input!$AF$4)+IF(ISNA(BQ195),0,BQ195*Input!$AI$4)+IF(ISNA(BR195),0,BR195*Input!$AL$4))</f>
        <v>#VALUE!</v>
      </c>
      <c r="CG195" s="1" t="str">
        <f t="shared" si="50"/>
        <v/>
      </c>
      <c r="CH195" s="46" t="str">
        <f t="shared" si="51"/>
        <v/>
      </c>
      <c r="CI195" s="1"/>
    </row>
    <row r="196" spans="1:87" x14ac:dyDescent="0.2">
      <c r="A196" s="1"/>
      <c r="B196" s="1"/>
      <c r="C196" s="1"/>
      <c r="D196" s="1"/>
      <c r="E196" s="1"/>
      <c r="F196" s="2">
        <v>191</v>
      </c>
      <c r="G196" s="1" t="str">
        <f>IF(ISBLANK(Input!CB196), "", Input!CB196*1000)</f>
        <v/>
      </c>
      <c r="H196" s="1" t="str">
        <f>IF(ISBLANK(Input!CC196), "", Input!CC196)</f>
        <v/>
      </c>
      <c r="I196" s="1" t="str">
        <f>IF(Input!$CF$5 + Input!$CF$6*(FLOOR((Calculations!$F196-1)/(FLOOR((Input!$CF$12-Input!$CF$10)/Input!$CF$11,1)+1),1)) &gt; Input!$CF$7, "", (Input!$CF$5 + Input!$CF$6*(FLOOR((Calculations!$F196-1)/(FLOOR((Input!$CF$12-Input!$CF$10)/Input!$CF$11,1)+1),1)))*1000)</f>
        <v/>
      </c>
      <c r="J196" s="1" t="str">
        <f>IF(Calculations!I196 = "", "", Input!$CF$10 + Input!$CF$11*(Calculations!$F196-1) - (FLOOR((Input!$CF$12-Input!$CF$10)/Input!$CF$11,1)+1)*Input!$CF$11*FLOOR((Calculations!$F196-1)/(FLOOR((Input!$CF$12-Input!$CF$10)/Input!$CF$11,1)+1),1))</f>
        <v/>
      </c>
      <c r="K196" s="8" t="str">
        <f t="shared" si="52"/>
        <v/>
      </c>
      <c r="L196" s="117" t="str">
        <f>IF(OR(Input!$CJ$5 + Input!$CJ$6*(Calculations!F196-1) &gt; Input!$CJ$7, Input!$CJ$5 + Input!$CJ$6*(Calculations!F196-1) &gt; 350), "", Input!$CJ$5 + Input!$CJ$6*(Calculations!F196-1))</f>
        <v/>
      </c>
      <c r="M196" s="1" t="str">
        <f t="shared" si="42"/>
        <v/>
      </c>
      <c r="N196" s="1" t="str">
        <f t="shared" si="43"/>
        <v/>
      </c>
      <c r="O196" s="1" t="e">
        <f t="shared" si="53"/>
        <v>#VALUE!</v>
      </c>
      <c r="P196" s="1" t="e">
        <f>IF(OR($D$20=3,AND($D$21=TRUE,M196&lt;1000)),INDEX('Water Density'!$C$6:$CX$120,MATCH(Calculations!N196,'Water Density'!$B$6:$B$120),MATCH(Calculations!M196/1000,'Water Density'!$C$5:$CX$5)),NA())</f>
        <v>#N/A</v>
      </c>
      <c r="Q196" s="182" t="e">
        <f>IF(OR($D$20=3,AND($D$21=TRUE,M196&lt;1000)), IF(P196&lt;&gt;0,P196,NA()), calculateDensity(M196,N196,$D$20,0.01,$D$19 = 3))</f>
        <v>#VALUE!</v>
      </c>
      <c r="R196" s="1" t="e">
        <f>IF($D$22=5,INDEX('Dielectric Constant'!$C$6:$CX$120,MATCH(Calculations!N196,'Dielectric Constant'!$B$6:$B$120),MATCH(Calculations!M196/1000,'Dielectric Constant'!$C$5:$CX$5)),NA())</f>
        <v>#N/A</v>
      </c>
      <c r="S196" s="58" t="e">
        <f>IF($D$22=5, IF(R196&lt;&gt;0,R196,NA()), IF(AND($D$23,M196&lt;=5000,$D$19 &lt;&gt; 3),calculateEpsilon(Q196,N196,1,FALSE),calculateEpsilon(Q196,N196,$D$22,$D$19 = 3)))</f>
        <v>#VALUE!</v>
      </c>
      <c r="T196" s="1" t="e">
        <f>IF($D$24=3,INDEX('Water Free Energy'!$C$6:$CX$120,MATCH(Calculations!N196,'Water Free Energy'!$B$6:$B$120),MATCH(Calculations!M196/1000,'Water Free Energy'!$C$5:$CX$5)),NA())</f>
        <v>#N/A</v>
      </c>
      <c r="U196" s="179" t="e">
        <f>IF($D$27,calculateQ(M196,N196,Q196,$D$20,$D$22,$D$19=3)*10^6,NA())</f>
        <v>#VALUE!</v>
      </c>
      <c r="V196"/>
      <c r="W196" s="2" t="str">
        <f t="shared" si="44"/>
        <v/>
      </c>
      <c r="X196" s="1" t="str">
        <f t="shared" si="45"/>
        <v/>
      </c>
      <c r="Y196" s="1">
        <f>Results!F198</f>
        <v>0</v>
      </c>
      <c r="Z196" s="1">
        <f>Results!G198</f>
        <v>0</v>
      </c>
      <c r="AA196" s="1">
        <f>Results!H198</f>
        <v>0</v>
      </c>
      <c r="AB196" s="1">
        <f>Results!I198</f>
        <v>0</v>
      </c>
      <c r="AC196" s="1" t="e">
        <f>IF(ISBLANK(Input!$O$4),NA(),'Reaction Information'!$E$5-'Reaction Information'!$G$5*(Calculations!$O196-Calculations!$C$8)+'Reaction Information'!$I$5*(Calculations!$O196-Calculations!$C$8-Calculations!$O196*LN(Calculations!$O196/Calculations!$C$8))+'Reaction Information'!$J$5*0.001/2*(2*Calculations!$O196*Calculations!$C$8-Calculations!$O196^2-Calculations!$C$8^2) + 'Reaction Information'!$K$5*100000*(Calculations!$O196^2 + Calculations!$C$8^2 - 2*Calculations!$O196*Calculations!$C$8)/(2*Calculations!$O196*Calculations!$C$8^2))</f>
        <v>#N/A</v>
      </c>
      <c r="AD196" s="8" t="e">
        <f>IF(ISBLANK(Input!$R$4),NA(),'Reaction Information'!$E$9-'Reaction Information'!$G$9*(Calculations!$O196-Calculations!$C$8)+'Reaction Information'!$I$9*(Calculations!$O196-Calculations!$C$8-Calculations!$O196*LN(Calculations!$O196/Calculations!$C$8))+'Reaction Information'!$J$9*0.001/2*(2*Calculations!$O196*Calculations!$C$8-Calculations!$O196^2-Calculations!$C$8^2) + 'Reaction Information'!$K$9*100000*(Calculations!$O196^2 + Calculations!$C$8^2 - 2*Calculations!$O196*Calculations!$C$8)/(2*Calculations!$O196*Calculations!$C$8^2))</f>
        <v>#N/A</v>
      </c>
      <c r="AE196" s="8" t="e">
        <f>IF(AE$5="H2O",IF($D$24=3,IF(T196=0,NA(),T196),calculateGibbsOfWater(M196,N196,$D$24,$D$20,$D$19=3)),NA())</f>
        <v>#VALUE!</v>
      </c>
      <c r="AF196" s="8" t="e">
        <f>IF(ISBLANK(Input!$X$4),NA(),'Reaction Information'!$E$13-'Reaction Information'!$G$13*(Calculations!O196-Calculations!$C$8)-'Reaction Information'!$N$13*(Calculations!O196*LN(Calculations!O196/Calculations!$C$8)-Calculations!O196+Calculations!$C$8)-'Reaction Information'!$O$13*10^4*(((1/(Calculations!O196-Calculations!$C$13))-(1/(Calculations!$C$8-Calculations!$C$13)))*((Calculations!$C$13-Calculations!O196)/(Calculations!$C$13))-(Calculations!O196/(Calculations!$C$13*Calculations!$C$13))*LN((Calculations!$C$8*(Calculations!O196-Calculations!$C$13))/(Calculations!O196*(Calculations!$C$8-Calculations!$C$13))))+'Reaction Information'!$J$13*10^-1*(Calculations!M196-Calculations!$C$9)+'Reaction Information'!$K$13*10^2*LN((Calculations!$C$12+Calculations!M196)/(Calculations!$C$12+Calculations!$C$9))+(1/(Calculations!O196-Calculations!$C$13))*('Reaction Information'!$L$13*(Calculations!M196-Calculations!$C$9)+'Reaction Information'!$M$13*10^4*LN((Calculations!$C$12+Calculations!M196)/(Calculations!$C$12+Calculations!$C$9)))+calculateOmega(Calculations!M196,Calculations!N196,Calculations!Q196,'Reaction Information'!$C$13,'Reaction Information'!$P$13*10^5,'Reaction Information'!$Q$13)*((1/Calculations!S196)-1)-'Reaction Information'!$P$13*10^5*((1/Calculations!$C$10)-1)+'Reaction Information'!$P$13*10^5*Calculations!$C$14*(Calculations!O196-Calculations!$C$8))</f>
        <v>#VALUE!</v>
      </c>
      <c r="AG196" s="8" t="e">
        <f>IF(ISBLANK(Input!$AA$4),NA(),'Reaction Information'!$E$17-'Reaction Information'!$G$17*(Calculations!$O196-Calculations!$C$8)-'Reaction Information'!$N$17*(Calculations!$O196*LN(Calculations!$O196/Calculations!$C$8)-Calculations!$O196+Calculations!$C$8)-'Reaction Information'!$O$17*10^4*(((1/(Calculations!$O196-Calculations!$C$13))-(1/(Calculations!$C$8-Calculations!$C$13)))*((Calculations!$C$13-Calculations!$O196)/(Calculations!$C$13))-(Calculations!$O196/(Calculations!$C$13*Calculations!$C$13))*LN((Calculations!$C$8*(Calculations!$O196-Calculations!$C$13))/(Calculations!$O196*(Calculations!$C$8-Calculations!$C$13))))+'Reaction Information'!$J$17*10^-1*(Calculations!$M196-Calculations!$C$9)+'Reaction Information'!$K$17*10^2*LN((Calculations!$C$12+Calculations!$M196)/(Calculations!$C$12+Calculations!$C$9))+(1/(Calculations!$O196-Calculations!$C$13))*('Reaction Information'!$L$17*(Calculations!$M196-Calculations!$C$9)+'Reaction Information'!$M$17*10^4*LN((Calculations!$C$12+Calculations!$M196)/(Calculations!$C$12+Calculations!$C$9)))+calculateOmega(Calculations!M196,Calculations!N196,Calculations!Q196,'Reaction Information'!$C$17,'Reaction Information'!$P$17*10^5,'Reaction Information'!$Q$17)*((1/Calculations!$S196)-1)-'Reaction Information'!$P$17*10^5*((1/Calculations!$C$10)-1)+'Reaction Information'!$P$17*10^5*Calculations!$C$14*(Calculations!$O196-Calculations!$C$8))</f>
        <v>#N/A</v>
      </c>
      <c r="AH196" s="8" t="e">
        <f>IF(ISBLANK(Input!$AD$4),NA(),'Reaction Information'!$E$21-'Reaction Information'!$G$21*(Calculations!$O196-Calculations!$C$8)-'Reaction Information'!$N$21*(Calculations!$O196*LN(Calculations!$O196/Calculations!$C$8)-Calculations!$O196+Calculations!$C$8)-'Reaction Information'!$O$21*10^4*(((1/(Calculations!$O196-Calculations!$C$13))-(1/(Calculations!$C$8-Calculations!$C$13)))*((Calculations!$C$13-Calculations!$O196)/(Calculations!$C$13))-(Calculations!$O196/(Calculations!$C$13*Calculations!$C$13))*LN((Calculations!$C$8*(Calculations!$O196-Calculations!$C$13))/(Calculations!$O196*(Calculations!$C$8-Calculations!$C$13))))+'Reaction Information'!$J$21*10^-1*(Calculations!$M196-Calculations!$C$9)+'Reaction Information'!$K$21*10^2*LN((Calculations!$C$12+Calculations!$M196)/(Calculations!$C$12+Calculations!$C$9))+(1/(Calculations!$O196-Calculations!$C$13))*('Reaction Information'!$L$21*(Calculations!$M196-Calculations!$C$9)+'Reaction Information'!$M$21*10^4*LN((Calculations!$C$12+Calculations!$M196)/(Calculations!$C$12+Calculations!$C$9)))+calculateOmega(Calculations!M196,Calculations!N196,Calculations!Q196,'Reaction Information'!$C$21,'Reaction Information'!$P$21*10^5,'Reaction Information'!$Q$21)*((1/Calculations!$S196)-1)-'Reaction Information'!$P$21*10^5*((1/Calculations!$C$10)-1)+'Reaction Information'!$P$21*10^5*Calculations!$C$14*(Calculations!$O196-Calculations!$C$8))</f>
        <v>#N/A</v>
      </c>
      <c r="AI196" s="8" t="e">
        <f>IF(ISBLANK(Input!$AG$4),NA(),'Reaction Information'!$E$25-'Reaction Information'!$G$25*(Calculations!$O196-Calculations!$C$8)-'Reaction Information'!$N$25*(Calculations!$O196*LN(Calculations!$O196/Calculations!$C$8)-Calculations!$O196+Calculations!$C$8)-'Reaction Information'!$O$25*10^4*(((1/(Calculations!$O196-Calculations!$C$13))-(1/(Calculations!$C$8-Calculations!$C$13)))*((Calculations!$C$13-Calculations!$O196)/(Calculations!$C$13))-(Calculations!$O196/(Calculations!$C$13*Calculations!$C$13))*LN((Calculations!$C$8*(Calculations!$O196-Calculations!$C$13))/(Calculations!$O196*(Calculations!$C$8-Calculations!$C$13))))+'Reaction Information'!$J$25*10^-1*(Calculations!$M196-Calculations!$C$9)+'Reaction Information'!$K$25*10^2*LN((Calculations!$C$12+Calculations!$M196)/(Calculations!$C$12+Calculations!$C$9))+(1/(Calculations!$O196-Calculations!$C$13))*('Reaction Information'!$L$25*(Calculations!$M196-Calculations!$C$9)+'Reaction Information'!$M$25*10^4*LN((Calculations!$C$12+Calculations!$M196)/(Calculations!$C$12+Calculations!$C$9)))+calculateOmega(Calculations!M196,Calculations!N196,Calculations!Q196,'Reaction Information'!$C$25,'Reaction Information'!$P$25*10^5,'Reaction Information'!$Q$25)*((1/Calculations!$S196)-1)-'Reaction Information'!$P$25*10^5*((1/Calculations!$C$10)-1)+'Reaction Information'!$P$25*10^5*Calculations!$C$14*(Calculations!$O196-Calculations!$C$8))</f>
        <v>#N/A</v>
      </c>
      <c r="AJ196" s="8" t="e">
        <f>IF(ISBLANK(Input!$AJ$4),NA(),'Reaction Information'!$E$29-'Reaction Information'!$G$29*(Calculations!$O196-Calculations!$C$8)-'Reaction Information'!$N$29*(Calculations!$O196*LN(Calculations!$O196/Calculations!$C$8)-Calculations!$O196+Calculations!$C$8)-'Reaction Information'!$O$29*10^4*(((1/(Calculations!$O196-Calculations!$C$13))-(1/(Calculations!$C$8-Calculations!$C$13)))*((Calculations!$C$13-Calculations!$O196)/(Calculations!$C$13))-(Calculations!$O196/(Calculations!$C$13*Calculations!$C$13))*LN((Calculations!$C$8*(Calculations!$O196-Calculations!$C$13))/(Calculations!$O196*(Calculations!$C$8-Calculations!$C$13))))+'Reaction Information'!$J$29*10^-1*(Calculations!$M196-Calculations!$C$9)+'Reaction Information'!$K$29*10^2*LN((Calculations!$C$12+Calculations!$M196)/(Calculations!$C$12+Calculations!$C$9))+(1/(Calculations!$O196-Calculations!$C$13))*('Reaction Information'!$L$29*(Calculations!$M196-Calculations!$C$9)+'Reaction Information'!$M$29*10^4*LN((Calculations!$C$12+Calculations!$M196)/(Calculations!$C$12+Calculations!$C$9)))+calculateOmega(Calculations!M196,Calculations!N196,Calculations!Q196,'Reaction Information'!$C$29,'Reaction Information'!$P$29*10^5,'Reaction Information'!$Q$29)*((1/Calculations!$S196)-1)-'Reaction Information'!$P$29*10^5*((1/Calculations!$C$10)-1)+'Reaction Information'!$P$29*10^5*Calculations!$C$14*(Calculations!$O196-Calculations!$C$8))</f>
        <v>#N/A</v>
      </c>
      <c r="AK196" s="8" t="e">
        <f>IF(ISBLANK(Input!$AM$4),NA(),'Reaction Information'!$E$33-'Reaction Information'!$G$33*(Calculations!$O196-Calculations!$C$8)-'Reaction Information'!$N$33*(Calculations!$O196*LN(Calculations!$O196/Calculations!$C$8)-Calculations!$O196+Calculations!$C$8)-'Reaction Information'!$O$33*10^4*(((1/(Calculations!$O196-Calculations!$C$13))-(1/(Calculations!$C$8-Calculations!$C$13)))*((Calculations!$C$13-Calculations!$O196)/(Calculations!$C$13))-(Calculations!$O196/(Calculations!$C$13*Calculations!$C$13))*LN((Calculations!$C$8*(Calculations!$O196-Calculations!$C$13))/(Calculations!$O196*(Calculations!$C$8-Calculations!$C$13))))+'Reaction Information'!$J$33*10^-1*(Calculations!$M196-Calculations!$C$9)+'Reaction Information'!$K$33*10^2*LN((Calculations!$C$12+Calculations!$M196)/(Calculations!$C$12+Calculations!$C$9))+(1/(Calculations!$O196-Calculations!$C$13))*('Reaction Information'!$L$33*(Calculations!$M196-Calculations!$C$9)+'Reaction Information'!$M$33*10^4*LN((Calculations!$C$12+Calculations!$M196)/(Calculations!$C$12+Calculations!$C$9)))+calculateOmega(Calculations!M196,Calculations!N196,Calculations!Q196,'Reaction Information'!$C$33,'Reaction Information'!$P$33*10^5,'Reaction Information'!$Q$33)*((1/Calculations!$S196)-1)-'Reaction Information'!$P$33*10^5*((1/Calculations!$C$10)-1)+'Reaction Information'!$P$33*10^5*Calculations!$C$14*(Calculations!$O196-Calculations!$C$8))</f>
        <v>#N/A</v>
      </c>
      <c r="AL196" s="1">
        <f>Results!S198</f>
        <v>0</v>
      </c>
      <c r="AM196" s="1">
        <f>Results!T198</f>
        <v>0</v>
      </c>
      <c r="AN196" s="1">
        <f>Results!U198</f>
        <v>0</v>
      </c>
      <c r="AO196" s="1">
        <f>Results!V198</f>
        <v>0</v>
      </c>
      <c r="AP196" s="8" t="e">
        <f>IF(ISBLANK(Input!$BB$4),NA(),'Reaction Information'!$E$38-'Reaction Information'!$G$38*(Calculations!$O196-Calculations!$C$8)+'Reaction Information'!$I$38*(Calculations!$O196-Calculations!$C$8-Calculations!$O196*LN(Calculations!$O196/Calculations!$C$8))+'Reaction Information'!$J$38*0.001/2*(2*Calculations!$O196*Calculations!$C$8-Calculations!$O196^2-Calculations!$C$8^2) + 'Reaction Information'!$K$38*100000*(Calculations!$O196^2 + Calculations!$C$8^2 - 2*Calculations!$O196*Calculations!$C$8)/(2*Calculations!$O196*Calculations!$C$8^2))</f>
        <v>#N/A</v>
      </c>
      <c r="AQ196" s="8" t="e">
        <f>IF(ISBLANK(Input!$BE$4),NA(),'Reaction Information'!$E$42-'Reaction Information'!$G$42*(Calculations!$O196-Calculations!$C$8)+'Reaction Information'!$I$42*(Calculations!$O196-Calculations!$C$8-Calculations!$O196*LN(Calculations!$O196/Calculations!$C$8))+'Reaction Information'!$J$42*0.001/2*(2*Calculations!$O196*Calculations!$C$8-Calculations!$O196^2-Calculations!$C$8^2) + 'Reaction Information'!$K$42*100000*(Calculations!$O196^2 + Calculations!$C$8^2 - 2*Calculations!$O196*Calculations!$C$8)/(2*Calculations!$O196*Calculations!$C$8^2))</f>
        <v>#N/A</v>
      </c>
      <c r="AR196" s="8" t="e">
        <f>IF(AR$5="H2O", IF($D$24=3,IF(T196=0,NA(),T196),calculateGibbsOfWater(M196,N196,$D$24,$D$20,$D$19=3)),NA())</f>
        <v>#N/A</v>
      </c>
      <c r="AS196" s="8" t="e">
        <f>IF(ISBLANK(Input!$BK$4),NA(),'Reaction Information'!$E$46-'Reaction Information'!$G$46*(Calculations!O196-Calculations!$C$8)-'Reaction Information'!$N$46*(Calculations!O196*LN(Calculations!O196/Calculations!$C$8)-Calculations!O196+Calculations!$C$8)-'Reaction Information'!$O$46*10^4*(((1/(Calculations!O196-Calculations!$C$13))-(1/(Calculations!$C$8-Calculations!$C$13)))*((Calculations!$C$13-Calculations!O196)/(Calculations!$C$13))-(Calculations!O196/(Calculations!$C$13*Calculations!$C$13))*LN((Calculations!$C$8*(Calculations!O196-Calculations!$C$13))/(Calculations!O196*(Calculations!$C$8-Calculations!$C$13))))+'Reaction Information'!$J$46*10^-1*(Calculations!$M196-Calculations!$C$9)+'Reaction Information'!$K$46*10^2*LN((Calculations!$C$12+Calculations!$M196)/(Calculations!$C$12+Calculations!$C$9))+(1/(Calculations!O196-Calculations!$C$13))*('Reaction Information'!$L$46*(Calculations!$M196-Calculations!$C$9)+'Reaction Information'!$M$46*10^4*LN((Calculations!$C$12+Calculations!$M196)/(Calculations!$C$12+Calculations!$C$9)))+calculateOmega(Calculations!M196,Calculations!N196,Calculations!Q196,'Reaction Information'!$C$46,'Reaction Information'!$P$46*10^5,'Reaction Information'!$Q$46)*((1/Calculations!S196)-1)-'Reaction Information'!$P$46*10^5*((1/Calculations!$C$10)-1)+'Reaction Information'!$P$46*10^5*Calculations!$C$14*(Calculations!O196-Calculations!$C$8))</f>
        <v>#VALUE!</v>
      </c>
      <c r="AT196" s="8" t="e">
        <f>IF(ISBLANK(Input!$BN$4),NA(),'Reaction Information'!$E$50-'Reaction Information'!$G$50*(Calculations!O196-Calculations!$C$8)-'Reaction Information'!$N$50*(Calculations!O196*LN(Calculations!O196/Calculations!$C$8)-Calculations!O196+Calculations!$C$8)-'Reaction Information'!$O$50*10^4*(((1/(Calculations!O196-Calculations!$C$13))-(1/(Calculations!$C$8-Calculations!$C$13)))*((Calculations!$C$13-Calculations!O196)/(Calculations!$C$13))-(Calculations!O196/(Calculations!$C$13*Calculations!$C$13))*LN((Calculations!$C$8*(Calculations!O196-Calculations!$C$13))/(Calculations!O196*(Calculations!$C$8-Calculations!$C$13))))+'Reaction Information'!$J$50*10^-1*(Calculations!$M196-Calculations!$C$9)+'Reaction Information'!$K$50*10^2*LN((Calculations!$C$12+Calculations!$M196)/(Calculations!$C$12+Calculations!$C$9))+(1/(Calculations!O196-Calculations!$C$13))*('Reaction Information'!$L$50*(Calculations!$M196-Calculations!$C$9)+'Reaction Information'!$M$50*10^4*LN((Calculations!$C$12+Calculations!$M196)/(Calculations!$C$12+Calculations!$C$9)))+calculateOmega(Calculations!M196,Calculations!N196,Calculations!Q196,'Reaction Information'!$C$50,'Reaction Information'!$P$50*10^5,'Reaction Information'!$Q$50)*((1/Calculations!S196)-1)-'Reaction Information'!$P$50*10^5*((1/Calculations!$C$10)-1)+'Reaction Information'!$P$50*10^5*Calculations!$C$14*(Calculations!O196-Calculations!$C$8))</f>
        <v>#VALUE!</v>
      </c>
      <c r="AU196" s="8" t="e">
        <f>IF(ISBLANK(Input!$BQ$4),NA(),'Reaction Information'!$E$54-'Reaction Information'!$G$54*(Calculations!$O196-Calculations!$C$8)-'Reaction Information'!$N$54*(Calculations!$O196*LN(Calculations!$O196/Calculations!$C$8)-Calculations!$O196+Calculations!$C$8)-'Reaction Information'!$O$54*10^4*(((1/(Calculations!$O196-Calculations!$C$13))-(1/(Calculations!$C$8-Calculations!$C$13)))*((Calculations!$C$13-Calculations!$O196)/(Calculations!$C$13))-(Calculations!$O196/(Calculations!$C$13*Calculations!$C$13))*LN((Calculations!$C$8*(Calculations!$O196-Calculations!$C$13))/(Calculations!$O196*(Calculations!$C$8-Calculations!$C$13))))+'Reaction Information'!$J$54*10^-1*(Calculations!$M196-Calculations!$C$9)+'Reaction Information'!$K$54*10^2*LN((Calculations!$C$12+Calculations!$M196)/(Calculations!$C$12+Calculations!$C$9))+(1/(Calculations!$O196-Calculations!$C$13))*('Reaction Information'!$L$54*(Calculations!$M196-Calculations!$C$9)+'Reaction Information'!$M$54*10^4*LN((Calculations!$C$12+Calculations!$M196)/(Calculations!$C$12+Calculations!$C$9)))+calculateOmega(Calculations!M196,Calculations!N196,Calculations!Q196,'Reaction Information'!$C$54,'Reaction Information'!$P$54*10^5,'Reaction Information'!$Q$54)*((1/Calculations!$S196)-1)-'Reaction Information'!$P$54*10^5*((1/Calculations!$C$10)-1)+'Reaction Information'!$P$54*10^5*Calculations!$C$14*(Calculations!$O196-Calculations!$C$8))</f>
        <v>#N/A</v>
      </c>
      <c r="AV196" s="8" t="e">
        <f>IF(ISBLANK(Input!$BT$4),NA(),'Reaction Information'!$E$58-'Reaction Information'!$G$58*(Calculations!$O196-Calculations!$C$8)-'Reaction Information'!$N$58*(Calculations!$O196*LN(Calculations!$O196/Calculations!$C$8)-Calculations!$O196+Calculations!$C$8)-'Reaction Information'!$O$58*10^4*(((1/(Calculations!$O196-Calculations!$C$13))-(1/(Calculations!$C$8-Calculations!$C$13)))*((Calculations!$C$13-Calculations!$O196)/(Calculations!$C$13))-(Calculations!$O196/(Calculations!$C$13*Calculations!$C$13))*LN((Calculations!$C$8*(Calculations!$O196-Calculations!$C$13))/(Calculations!$O196*(Calculations!$C$8-Calculations!$C$13))))+'Reaction Information'!$J$58*10^-1*(Calculations!$M196-Calculations!$C$9)+'Reaction Information'!$K$58*10^2*LN((Calculations!$C$12+Calculations!$M196)/(Calculations!$C$12+Calculations!$C$9))+(1/(Calculations!$O196-Calculations!$C$13))*('Reaction Information'!$L$58*(Calculations!$M196-Calculations!$C$9)+'Reaction Information'!$M$58*10^4*LN((Calculations!$C$12+Calculations!$M196)/(Calculations!$C$12+Calculations!$C$9)))+calculateOmega(Calculations!M196,Calculations!N196,Calculations!Q196,'Reaction Information'!$C$58,'Reaction Information'!$P$58*10^5,'Reaction Information'!$Q$58)*((1/Calculations!$S196)-1)-'Reaction Information'!$P$58*10^5*((1/Calculations!$C$10)-1)+'Reaction Information'!$P$58*10^5*Calculations!$C$14*(Calculations!$O196-Calculations!$C$8))</f>
        <v>#N/A</v>
      </c>
      <c r="AW196" s="8" t="e">
        <f>IF(ISBLANK(Input!$BW$4),NA(),'Reaction Information'!$E$62-'Reaction Information'!$G$62*(Calculations!$O196-Calculations!$C$8)-'Reaction Information'!$N$62*(Calculations!$O196*LN(Calculations!$O196/Calculations!$C$8)-Calculations!$O196+Calculations!$C$8)-'Reaction Information'!$O$62*10^4*(((1/(Calculations!$O196-Calculations!$C$13))-(1/(Calculations!$C$8-Calculations!$C$13)))*((Calculations!$C$13-Calculations!$O196)/(Calculations!$C$13))-(Calculations!$O196/(Calculations!$C$13*Calculations!$C$13))*LN((Calculations!$C$8*(Calculations!$O196-Calculations!$C$13))/(Calculations!$O196*(Calculations!$C$8-Calculations!$C$13))))+'Reaction Information'!$J$62*10^-1*(Calculations!$M196-Calculations!$C$9)+'Reaction Information'!$K$62*10^2*LN((Calculations!$C$12+Calculations!$M196)/(Calculations!$C$12+Calculations!$C$9))+(1/(Calculations!$O196-Calculations!$C$13))*('Reaction Information'!$L$62*(Calculations!$M196-Calculations!$C$9)+'Reaction Information'!$M$62*10^4*LN((Calculations!$C$12+Calculations!$M196)/(Calculations!$C$12+Calculations!$C$9)))+calculateOmega(Calculations!M196,Calculations!N196,Calculations!Q196,'Reaction Information'!$C$62,'Reaction Information'!$P$62*10^5,'Reaction Information'!$Q$62)*((1/Calculations!$S196)-1)-'Reaction Information'!$P$62*10^5*((1/Calculations!$C$10)-1)+'Reaction Information'!$P$62*10^5*Calculations!$C$14*(Calculations!$O196-Calculations!$C$8))</f>
        <v>#N/A</v>
      </c>
      <c r="AX196" s="8" t="e">
        <f>IF(ISBLANK(Input!$BZ$4),NA(),'Reaction Information'!$E$66-'Reaction Information'!$G$66*(Calculations!$O196-Calculations!$C$8)-'Reaction Information'!$N$66*(Calculations!$O196*LN(Calculations!$O196/Calculations!$C$8)-Calculations!$O196+Calculations!$C$8)-'Reaction Information'!$O$66*10^4*(((1/(Calculations!$O196-Calculations!$C$13))-(1/(Calculations!$C$8-Calculations!$C$13)))*((Calculations!$C$13-Calculations!$O196)/(Calculations!$C$13))-(Calculations!$O196/(Calculations!$C$13*Calculations!$C$13))*LN((Calculations!$C$8*(Calculations!$O196-Calculations!$C$13))/(Calculations!$O196*(Calculations!$C$8-Calculations!$C$13))))+'Reaction Information'!$J$66*10^-1*(Calculations!$M196-Calculations!$C$9)+'Reaction Information'!$K$66*10^2*LN((Calculations!$C$12+Calculations!$M196)/(Calculations!$C$12+Calculations!$C$9))+(1/(Calculations!$O196-Calculations!$C$13))*('Reaction Information'!$L$66*(Calculations!$M196-Calculations!$C$9)+'Reaction Information'!$M$66*10^4*LN((Calculations!$C$12+Calculations!$M196)/(Calculations!$C$12+Calculations!$C$9)))+calculateOmega(Calculations!M196,Calculations!N196,Calculations!Q196,'Reaction Information'!$C$66,'Reaction Information'!$P$66*10^5,'Reaction Information'!$Q$66)*((1/Calculations!$S196)-1)-'Reaction Information'!$P$66*10^5*((1/Calculations!$C$10)-1)+'Reaction Information'!$P$66*10^5*Calculations!$C$14*(Calculations!$O196-Calculations!$C$8))</f>
        <v>#N/A</v>
      </c>
      <c r="AY196" s="31" t="e">
        <f>(AL196*Input!$AO$4+AM196*Input!$AR$4+AN196*Input!$AU$4+AO196*Input!$AX$4+IF(ISNA(AP196),0,AP196*Input!$BA$4)+IF(ISNA(AQ196),0,AQ196*Input!$BD$4)+IF(ISNA(AR196),0,AR196*Input!$BG$4)+IF(ISNA(AS196),0,AS196*Input!$BJ$4)+IF(ISNA(AT196),0,AT196*Input!$BM$4)+IF(ISNA(AU196),0,AU196*Input!$BP$4)+IF(ISNA(AV196),0,AV196*Input!$BS$4)+IF(ISNA(AW196),0,AW196*Input!$BV$4)+IF(ISNA(AX196),0,AX196*Input!$BY$4))-(Y196*Input!$B$4+Z196*Input!$E$4+AA196*Input!$H$4+AB196*Input!$K$4+IF(ISNA(AC196),0,AC196*Input!$N$4)+IF(ISNA(AD196),0,AD196*Input!$Q$4)+IF(ISNA(AE196),0,AE196*Input!$T$4)+IF(ISNA(AF196),0,AF196*Input!$W$4)+IF(ISNA(AG196),0,AG196*Input!$Z$4)+IF(ISNA(AH196),0,AH196*Input!$AC$4)+IF(ISNA(AI196),0,AI196*Input!$AF$4)+IF(ISNA(AJ196),0,AJ196*Input!$AI$4)+IF(ISNA(AK196),0,AK196*Input!$AL$4))</f>
        <v>#VALUE!</v>
      </c>
      <c r="AZ196" s="42" t="e">
        <f t="shared" si="54"/>
        <v>#VALUE!</v>
      </c>
      <c r="BA196" s="1" t="str">
        <f t="shared" si="46"/>
        <v/>
      </c>
      <c r="BB196" s="46" t="str">
        <f t="shared" si="47"/>
        <v/>
      </c>
      <c r="BC196" s="1"/>
      <c r="BD196" s="2" t="str">
        <f t="shared" si="48"/>
        <v/>
      </c>
      <c r="BE196" s="46" t="str">
        <f t="shared" si="49"/>
        <v/>
      </c>
      <c r="BF196" s="1">
        <f>Results!AJ198</f>
        <v>0</v>
      </c>
      <c r="BG196" s="1">
        <f>Results!AK198</f>
        <v>0</v>
      </c>
      <c r="BH196" s="1">
        <f>Results!AL198</f>
        <v>0</v>
      </c>
      <c r="BI196" s="1">
        <f>Results!AM198</f>
        <v>0</v>
      </c>
      <c r="BJ196" s="1" t="e">
        <f>IF(OR(ISNA('Reaction Information'!$D$5), $N196 = "", $D$27 = FALSE, 'Reaction Information'!$D$5 = ""), NA(), 24.465)</f>
        <v>#N/A</v>
      </c>
      <c r="BK196" s="1" t="e">
        <f>IF(OR(ISNA('Reaction Information'!$D$9), $N196 = "", $D$27 = FALSE, 'Reaction Information'!$D$9 = ""), NA(), 24.465)</f>
        <v>#N/A</v>
      </c>
      <c r="BL196" s="8" t="e">
        <f t="shared" si="55"/>
        <v>#VALUE!</v>
      </c>
      <c r="BM196" s="8" t="e">
        <f>IF(OR(ISBLANK(Input!$X$4),$D$27=FALSE),NA(),('Reaction Information'!$J$13/10+'Reaction Information'!$K$13*100/(Calculations!$C$12+Calculations!$M196)+('Reaction Information'!$L$13+'Reaction Information'!$M$13*10^4/(Calculations!$C$12+Calculations!$M196))/(Calculations!$O196-Calculations!$C$13) -calculateOmega(Calculations!$M196,Calculations!$N196,Calculations!$Q196,'Reaction Information'!$C$13,'Reaction Information'!$P$13*10^5,'Reaction Information'!$Q$13)*Calculations!$U196*10^-6 + (1/$S196 - 1)*calculate_domegadP(Calculations!$M196,Calculations!$N196,Calculations!$Q196,'Reaction Information'!$C$13,'Reaction Information'!$P$13*10^5,'Reaction Information'!$Q$13,$D$20,$D$19=3))*41.84)</f>
        <v>#VALUE!</v>
      </c>
      <c r="BN196" s="8" t="e">
        <f>IF(OR(ISBLANK(Input!$AA$4),$D$27=FALSE),NA(),('Reaction Information'!$J$17/10+'Reaction Information'!$K$17*100/(Calculations!$C$12+Calculations!$M196)+('Reaction Information'!$L$17+'Reaction Information'!$M$17*10000/(Calculations!$C$12+Calculations!$M196))/(Calculations!$O196-Calculations!$C$13)-calculateOmega(Calculations!M196,Calculations!N196,Calculations!Q196,'Reaction Information'!$C$17,'Reaction Information'!$P$17*10^5,'Reaction Information'!$Q$17)*Calculations!$U196*10^-6 + (1/$S196 - 1)*calculate_domegadP(Calculations!M196,Calculations!N196,Calculations!Q196,'Reaction Information'!$C$17,'Reaction Information'!$P$17*10^5,'Reaction Information'!$Q$17,$D$20,$D$19=3))*41.84)</f>
        <v>#N/A</v>
      </c>
      <c r="BO196" s="8" t="e">
        <f>IF(OR(ISBLANK(Input!$AD$4),$D$27=FALSE),NA(),('Reaction Information'!$J$21/10+'Reaction Information'!$K$21*100/(Calculations!$C$12+Calculations!$M196)+('Reaction Information'!$L$21+'Reaction Information'!$M$21*10000/(Calculations!$C$12+Calculations!$M196))/(Calculations!$O196-Calculations!$C$13)-calculateOmega(Calculations!M196,Calculations!N196,Calculations!Q196,'Reaction Information'!$C$21,'Reaction Information'!$P$21*10^5,'Reaction Information'!$Q$21)*Calculations!$U196*10^-6 + (1/$S196 - 1)*calculate_domegadP(Calculations!M196,Calculations!N196,Calculations!Q196,'Reaction Information'!$C$21,'Reaction Information'!$P$21*10^5,'Reaction Information'!$Q$21,$D$20,$D$19=3))*41.84)</f>
        <v>#N/A</v>
      </c>
      <c r="BP196" s="8" t="e">
        <f>IF(OR(ISBLANK(Input!$AG$4),$D$27=FALSE),NA(),('Reaction Information'!$J$25/10+'Reaction Information'!$K$25*100/(Calculations!$C$12+Calculations!$M196)+('Reaction Information'!$L$25+'Reaction Information'!$M$25*10000/(Calculations!$C$12+Calculations!$M196))/(Calculations!$O196-Calculations!$C$13)-calculateOmega(Calculations!M196,Calculations!N196,Calculations!Q196,'Reaction Information'!$C$25,'Reaction Information'!$P$25*10^5,'Reaction Information'!$Q$25)*Calculations!$U196*10^-6 + (1/$S196 - 1)*calculate_domegadP(Calculations!M196,Calculations!N196,Calculations!Q196,'Reaction Information'!$C$25,'Reaction Information'!$P$25*10^5,'Reaction Information'!$Q$25,$D$20,$D$19=3))*41.84)</f>
        <v>#N/A</v>
      </c>
      <c r="BQ196" s="8" t="e">
        <f>IF(OR(ISBLANK(Input!$AJ$4),$D$27=FALSE),NA(),('Reaction Information'!$J$29/10+'Reaction Information'!$K$29*100/(Calculations!$C$12+Calculations!$M196)+('Reaction Information'!$L$29+'Reaction Information'!$M$29*10000/(Calculations!$C$12+Calculations!$M196))/(Calculations!$O196-Calculations!$C$13)-calculateOmega(Calculations!M196,Calculations!N196,Calculations!Q196,'Reaction Information'!$C$29,'Reaction Information'!$P$29*10^5,'Reaction Information'!$Q$29)*Calculations!$U196*10^-6 + (1/$S196 - 1)*calculate_domegadP(Calculations!M196,Calculations!N196,Calculations!Q196,'Reaction Information'!$C$29,'Reaction Information'!$P$29*10^5,'Reaction Information'!$Q$29,$D$20,$D$19=3))*41.84)</f>
        <v>#N/A</v>
      </c>
      <c r="BR196" s="8" t="e">
        <f>IF(OR(ISBLANK(Input!$AM$4),$D$27=FALSE),NA(),('Reaction Information'!$J$33/10+'Reaction Information'!$K$33*100/(Calculations!$C$12+Calculations!$M196)+('Reaction Information'!$L$33+'Reaction Information'!$M$33*10000/(Calculations!$C$12+Calculations!$M196))/(Calculations!$O196-Calculations!$C$13)-calculateOmega(Calculations!M196,Calculations!N196,Calculations!Q196,'Reaction Information'!$C$33,'Reaction Information'!$P$33*10^5,'Reaction Information'!$Q$33)*Calculations!$U196*10^-6 + (1/$S196 - 1)*calculate_domegadP(Calculations!M196,Calculations!N196,Calculations!Q196,'Reaction Information'!$C$33,'Reaction Information'!$P$33*10^5,'Reaction Information'!$Q$33,$D$20,$D$19=3))*41.84)</f>
        <v>#N/A</v>
      </c>
      <c r="BS196" s="1">
        <f>Results!AW198</f>
        <v>0</v>
      </c>
      <c r="BT196" s="1">
        <f>Results!AX198</f>
        <v>0</v>
      </c>
      <c r="BU196" s="1">
        <f>Results!AY198</f>
        <v>0</v>
      </c>
      <c r="BV196" s="1">
        <f>Results!AZ198</f>
        <v>0</v>
      </c>
      <c r="BW196" s="1" t="e">
        <f>IF(OR(ISNA('Reaction Information'!$D$38), $N196 = "", $D$27 = FALSE, 'Reaction Information'!$D$38 = ""), NA(), 24.465)</f>
        <v>#N/A</v>
      </c>
      <c r="BX196" s="1" t="e">
        <f>IF(OR(ISNA('Reaction Information'!$D$42), $N196 = "", $D$27 = FALSE, 'Reaction Information'!$D$42 = ""), NA(), 24.465)</f>
        <v>#N/A</v>
      </c>
      <c r="BY196" s="8" t="e">
        <f t="shared" si="56"/>
        <v>#N/A</v>
      </c>
      <c r="BZ196" s="8" t="e">
        <f>IF(OR(ISBLANK(Input!$BK$4),$D$27=FALSE),NA(),('Reaction Information'!$J$46/10+'Reaction Information'!$K$46*100/(Calculations!$C$12+Calculations!$M196)+('Reaction Information'!$L$46+'Reaction Information'!$M$46*10000/(Calculations!$C$12+Calculations!$M196))/(Calculations!$O196-Calculations!$C$13)-calculateOmega(Calculations!M196,Calculations!N196,Calculations!Q196,'Reaction Information'!$C$46,'Reaction Information'!$P$46*10^5,'Reaction Information'!$Q$46)*Calculations!$U196*10^-6 + (1/$S196 - 1)*calculate_domegadP(Calculations!M196,Calculations!N196,Calculations!Q196,'Reaction Information'!$C$46,'Reaction Information'!$P$46*10^5,'Reaction Information'!$Q$46,$D$20,$D$19=3))*41.84)</f>
        <v>#VALUE!</v>
      </c>
      <c r="CA196" s="8" t="e">
        <f>IF(OR(ISBLANK(Input!$BN$4),$D$27=FALSE),NA(),('Reaction Information'!$J$50/10+'Reaction Information'!$K$50*100/(Calculations!$C$12+Calculations!$M196)+('Reaction Information'!$L$50+'Reaction Information'!$M$50*10000/(Calculations!$C$12+Calculations!$M196))/(Calculations!$O196-Calculations!$C$13)-calculateOmega(Calculations!M196,Calculations!N196,Calculations!Q196,'Reaction Information'!$C$50,'Reaction Information'!$P$50*10^5,'Reaction Information'!$Q$50)*Calculations!$U196*10^-6 + (1/$S196 - 1)*calculate_domegadP(Calculations!M196,Calculations!N196,Calculations!Q196,'Reaction Information'!$C$50,'Reaction Information'!$P$50*10^5,'Reaction Information'!$Q$50,$D$20,$D$19=3))*41.84)</f>
        <v>#VALUE!</v>
      </c>
      <c r="CB196" s="8" t="e">
        <f>IF(OR(ISBLANK(Input!$BQ$4),$D$27=FALSE),NA(),('Reaction Information'!$J$54/10+'Reaction Information'!$K$54*100/(Calculations!$C$12+Calculations!$M196)+('Reaction Information'!$L$54+'Reaction Information'!$M$54*10000/(Calculations!$C$12+Calculations!$M196))/(Calculations!$O196-Calculations!$C$13)-calculateOmega(Calculations!M196,Calculations!N196,Calculations!Q196,'Reaction Information'!$C$54,'Reaction Information'!$P$54*10^5,'Reaction Information'!$Q$54)*Calculations!$U196*10^-6 + (1/$S196 - 1)*calculate_domegadP(Calculations!M196,Calculations!N196,Calculations!Q196,'Reaction Information'!$C$54,'Reaction Information'!$P$54*10^5,'Reaction Information'!$Q$54,$D$20,$D$19=3))*41.84)</f>
        <v>#N/A</v>
      </c>
      <c r="CC196" s="8" t="e">
        <f>IF(OR(ISBLANK(Input!$BT$4),$D$27=FALSE),NA(),('Reaction Information'!$J$58/10+'Reaction Information'!$K$58*100/(Calculations!$C$12+Calculations!$M196)+('Reaction Information'!$L$58+'Reaction Information'!$M$58*10000/(Calculations!$C$12+Calculations!$M196))/(Calculations!$O196-Calculations!$C$13)-calculateOmega(Calculations!M196,Calculations!N196,Calculations!Q196,'Reaction Information'!$C$58,'Reaction Information'!$P$58*10^5,'Reaction Information'!$Q$58)*Calculations!$U196*10^-6 + (1/$S196 - 1)*calculate_domegadP(Calculations!M196,Calculations!N196,Calculations!Q196,'Reaction Information'!$C$58,'Reaction Information'!$P$58*10^5,'Reaction Information'!$Q$58,$D$20,$D$19=3))*41.84)</f>
        <v>#N/A</v>
      </c>
      <c r="CD196" s="8" t="e">
        <f>IF(OR(ISBLANK(Input!$BW$4),$D$27=FALSE),NA(),('Reaction Information'!$J$62/10+'Reaction Information'!$K$62*100/(Calculations!$C$12+Calculations!$M196)+('Reaction Information'!$L$62+'Reaction Information'!$M$62*10000/(Calculations!$C$12+Calculations!$M196))/(Calculations!$O196-Calculations!$C$13)-calculateOmega(Calculations!M196,Calculations!N196,Calculations!Q196,'Reaction Information'!$C$62,'Reaction Information'!$P$62*10^5,'Reaction Information'!$Q$62)*Calculations!$U196*10^-6 + (1/$S196 - 1)*calculate_domegadP(Calculations!M196,Calculations!N196,Calculations!Q196,'Reaction Information'!$C$62,'Reaction Information'!$P$62*10^5,'Reaction Information'!$Q$62,$D$20,$D$19=3))*41.84)</f>
        <v>#N/A</v>
      </c>
      <c r="CE196" s="8" t="e">
        <f>IF(OR(ISBLANK(Input!$BZ$4),$D$27=FALSE),NA(),('Reaction Information'!$J$66/10+'Reaction Information'!$K$66*100/(Calculations!$C$12+Calculations!$M196)+('Reaction Information'!$L$66+'Reaction Information'!$M$66*10000/(Calculations!$C$12+Calculations!$M196))/(Calculations!$O196-Calculations!$C$13)-calculateOmega(Calculations!M196,Calculations!N196,Calculations!Q196,'Reaction Information'!$C$66,'Reaction Information'!$P$66*10^5,'Reaction Information'!$Q$66)*Calculations!$U196*10^-6 + (1/$S196 - 1)*calculate_domegadP(Calculations!M196,Calculations!N196,Calculations!Q196,'Reaction Information'!$C$66,'Reaction Information'!$P$66*10^5,'Reaction Information'!$Q$66,$D$20,$D$19=3))*41.84)</f>
        <v>#N/A</v>
      </c>
      <c r="CF196" s="31" t="e">
        <f>(BS196*Input!$AO$4+BT196*Input!$AR$4+BU196*Input!$AU$4+BV196*Input!$AX$4+IF(ISNA(BW196),0,BW196*Input!$BA$4)+IF(ISNA(BX196),0,BX196*Input!$BD$4)+IF(ISNA(BY196),0,BY196*Input!$BG$4)+IF(ISNA(BZ196),0,BZ196*Input!$BJ$4)+IF(ISNA(CA196),0,CA196*Input!$BM$4)+IF(ISNA(CB196),0,CB196*Input!$BP$4)+IF(ISNA(CC196),0,CC196*Input!$BS$4)+IF(ISNA(CD196),0,CD196*Input!$BV$4)+IF(ISNA(CE196),0,CE196*Input!$BY$4))-(BF196*Input!$B$4+BG196*Input!$E$4+BH196*Input!$H$4+BI196*Input!$K$4+IF(ISNA(BJ196),0,BJ196*Input!$N$4)+IF(ISNA(BK196),0,BK196*Input!$Q$4)+IF(ISNA(BL196),0,BL196*Input!$T$4)+IF(ISNA(BM196),0,BM196*Input!$W$4)+IF(ISNA(BN196),0,BN196*Input!$Z$4)+IF(ISNA(BO196),0,BO196*Input!$AC$4)+IF(ISNA(BP196),0,BP196*Input!$AF$4)+IF(ISNA(BQ196),0,BQ196*Input!$AI$4)+IF(ISNA(BR196),0,BR196*Input!$AL$4))</f>
        <v>#VALUE!</v>
      </c>
      <c r="CG196" s="1" t="str">
        <f t="shared" si="50"/>
        <v/>
      </c>
      <c r="CH196" s="46" t="str">
        <f t="shared" si="51"/>
        <v/>
      </c>
      <c r="CI196" s="1"/>
    </row>
    <row r="197" spans="1:87" x14ac:dyDescent="0.2">
      <c r="A197" s="1"/>
      <c r="B197" s="1"/>
      <c r="C197" s="1"/>
      <c r="D197" s="1"/>
      <c r="E197" s="1"/>
      <c r="F197" s="2">
        <v>192</v>
      </c>
      <c r="G197" s="1" t="str">
        <f>IF(ISBLANK(Input!CB197), "", Input!CB197*1000)</f>
        <v/>
      </c>
      <c r="H197" s="1" t="str">
        <f>IF(ISBLANK(Input!CC197), "", Input!CC197)</f>
        <v/>
      </c>
      <c r="I197" s="1" t="str">
        <f>IF(Input!$CF$5 + Input!$CF$6*(FLOOR((Calculations!$F197-1)/(FLOOR((Input!$CF$12-Input!$CF$10)/Input!$CF$11,1)+1),1)) &gt; Input!$CF$7, "", (Input!$CF$5 + Input!$CF$6*(FLOOR((Calculations!$F197-1)/(FLOOR((Input!$CF$12-Input!$CF$10)/Input!$CF$11,1)+1),1)))*1000)</f>
        <v/>
      </c>
      <c r="J197" s="1" t="str">
        <f>IF(Calculations!I197 = "", "", Input!$CF$10 + Input!$CF$11*(Calculations!$F197-1) - (FLOOR((Input!$CF$12-Input!$CF$10)/Input!$CF$11,1)+1)*Input!$CF$11*FLOOR((Calculations!$F197-1)/(FLOOR((Input!$CF$12-Input!$CF$10)/Input!$CF$11,1)+1),1))</f>
        <v/>
      </c>
      <c r="K197" s="8" t="str">
        <f t="shared" si="52"/>
        <v/>
      </c>
      <c r="L197" s="117" t="str">
        <f>IF(OR(Input!$CJ$5 + Input!$CJ$6*(Calculations!F197-1) &gt; Input!$CJ$7, Input!$CJ$5 + Input!$CJ$6*(Calculations!F197-1) &gt; 350), "", Input!$CJ$5 + Input!$CJ$6*(Calculations!F197-1))</f>
        <v/>
      </c>
      <c r="M197" s="1" t="str">
        <f t="shared" si="42"/>
        <v/>
      </c>
      <c r="N197" s="1" t="str">
        <f t="shared" si="43"/>
        <v/>
      </c>
      <c r="O197" s="1" t="e">
        <f t="shared" si="53"/>
        <v>#VALUE!</v>
      </c>
      <c r="P197" s="1" t="e">
        <f>IF(OR($D$20=3,AND($D$21=TRUE,M197&lt;1000)),INDEX('Water Density'!$C$6:$CX$120,MATCH(Calculations!N197,'Water Density'!$B$6:$B$120),MATCH(Calculations!M197/1000,'Water Density'!$C$5:$CX$5)),NA())</f>
        <v>#N/A</v>
      </c>
      <c r="Q197" s="182" t="e">
        <f>IF(OR($D$20=3,AND($D$21=TRUE,M197&lt;1000)), IF(P197&lt;&gt;0,P197,NA()), calculateDensity(M197,N197,$D$20,0.01,$D$19 = 3))</f>
        <v>#VALUE!</v>
      </c>
      <c r="R197" s="1" t="e">
        <f>IF($D$22=5,INDEX('Dielectric Constant'!$C$6:$CX$120,MATCH(Calculations!N197,'Dielectric Constant'!$B$6:$B$120),MATCH(Calculations!M197/1000,'Dielectric Constant'!$C$5:$CX$5)),NA())</f>
        <v>#N/A</v>
      </c>
      <c r="S197" s="58" t="e">
        <f>IF($D$22=5, IF(R197&lt;&gt;0,R197,NA()), IF(AND($D$23,M197&lt;=5000,$D$19 &lt;&gt; 3),calculateEpsilon(Q197,N197,1,FALSE),calculateEpsilon(Q197,N197,$D$22,$D$19 = 3)))</f>
        <v>#VALUE!</v>
      </c>
      <c r="T197" s="1" t="e">
        <f>IF($D$24=3,INDEX('Water Free Energy'!$C$6:$CX$120,MATCH(Calculations!N197,'Water Free Energy'!$B$6:$B$120),MATCH(Calculations!M197/1000,'Water Free Energy'!$C$5:$CX$5)),NA())</f>
        <v>#N/A</v>
      </c>
      <c r="U197" s="179" t="e">
        <f>IF($D$27,calculateQ(M197,N197,Q197,$D$20,$D$22,$D$19=3)*10^6,NA())</f>
        <v>#VALUE!</v>
      </c>
      <c r="V197"/>
      <c r="W197" s="2" t="str">
        <f t="shared" si="44"/>
        <v/>
      </c>
      <c r="X197" s="1" t="str">
        <f t="shared" si="45"/>
        <v/>
      </c>
      <c r="Y197" s="1">
        <f>Results!F199</f>
        <v>0</v>
      </c>
      <c r="Z197" s="1">
        <f>Results!G199</f>
        <v>0</v>
      </c>
      <c r="AA197" s="1">
        <f>Results!H199</f>
        <v>0</v>
      </c>
      <c r="AB197" s="1">
        <f>Results!I199</f>
        <v>0</v>
      </c>
      <c r="AC197" s="1" t="e">
        <f>IF(ISBLANK(Input!$O$4),NA(),'Reaction Information'!$E$5-'Reaction Information'!$G$5*(Calculations!$O197-Calculations!$C$8)+'Reaction Information'!$I$5*(Calculations!$O197-Calculations!$C$8-Calculations!$O197*LN(Calculations!$O197/Calculations!$C$8))+'Reaction Information'!$J$5*0.001/2*(2*Calculations!$O197*Calculations!$C$8-Calculations!$O197^2-Calculations!$C$8^2) + 'Reaction Information'!$K$5*100000*(Calculations!$O197^2 + Calculations!$C$8^2 - 2*Calculations!$O197*Calculations!$C$8)/(2*Calculations!$O197*Calculations!$C$8^2))</f>
        <v>#N/A</v>
      </c>
      <c r="AD197" s="8" t="e">
        <f>IF(ISBLANK(Input!$R$4),NA(),'Reaction Information'!$E$9-'Reaction Information'!$G$9*(Calculations!$O197-Calculations!$C$8)+'Reaction Information'!$I$9*(Calculations!$O197-Calculations!$C$8-Calculations!$O197*LN(Calculations!$O197/Calculations!$C$8))+'Reaction Information'!$J$9*0.001/2*(2*Calculations!$O197*Calculations!$C$8-Calculations!$O197^2-Calculations!$C$8^2) + 'Reaction Information'!$K$9*100000*(Calculations!$O197^2 + Calculations!$C$8^2 - 2*Calculations!$O197*Calculations!$C$8)/(2*Calculations!$O197*Calculations!$C$8^2))</f>
        <v>#N/A</v>
      </c>
      <c r="AE197" s="8" t="e">
        <f>IF(AE$5="H2O",IF($D$24=3,IF(T197=0,NA(),T197),calculateGibbsOfWater(M197,N197,$D$24,$D$20,$D$19=3)),NA())</f>
        <v>#VALUE!</v>
      </c>
      <c r="AF197" s="8" t="e">
        <f>IF(ISBLANK(Input!$X$4),NA(),'Reaction Information'!$E$13-'Reaction Information'!$G$13*(Calculations!O197-Calculations!$C$8)-'Reaction Information'!$N$13*(Calculations!O197*LN(Calculations!O197/Calculations!$C$8)-Calculations!O197+Calculations!$C$8)-'Reaction Information'!$O$13*10^4*(((1/(Calculations!O197-Calculations!$C$13))-(1/(Calculations!$C$8-Calculations!$C$13)))*((Calculations!$C$13-Calculations!O197)/(Calculations!$C$13))-(Calculations!O197/(Calculations!$C$13*Calculations!$C$13))*LN((Calculations!$C$8*(Calculations!O197-Calculations!$C$13))/(Calculations!O197*(Calculations!$C$8-Calculations!$C$13))))+'Reaction Information'!$J$13*10^-1*(Calculations!M197-Calculations!$C$9)+'Reaction Information'!$K$13*10^2*LN((Calculations!$C$12+Calculations!M197)/(Calculations!$C$12+Calculations!$C$9))+(1/(Calculations!O197-Calculations!$C$13))*('Reaction Information'!$L$13*(Calculations!M197-Calculations!$C$9)+'Reaction Information'!$M$13*10^4*LN((Calculations!$C$12+Calculations!M197)/(Calculations!$C$12+Calculations!$C$9)))+calculateOmega(Calculations!M197,Calculations!N197,Calculations!Q197,'Reaction Information'!$C$13,'Reaction Information'!$P$13*10^5,'Reaction Information'!$Q$13)*((1/Calculations!S197)-1)-'Reaction Information'!$P$13*10^5*((1/Calculations!$C$10)-1)+'Reaction Information'!$P$13*10^5*Calculations!$C$14*(Calculations!O197-Calculations!$C$8))</f>
        <v>#VALUE!</v>
      </c>
      <c r="AG197" s="8" t="e">
        <f>IF(ISBLANK(Input!$AA$4),NA(),'Reaction Information'!$E$17-'Reaction Information'!$G$17*(Calculations!$O197-Calculations!$C$8)-'Reaction Information'!$N$17*(Calculations!$O197*LN(Calculations!$O197/Calculations!$C$8)-Calculations!$O197+Calculations!$C$8)-'Reaction Information'!$O$17*10^4*(((1/(Calculations!$O197-Calculations!$C$13))-(1/(Calculations!$C$8-Calculations!$C$13)))*((Calculations!$C$13-Calculations!$O197)/(Calculations!$C$13))-(Calculations!$O197/(Calculations!$C$13*Calculations!$C$13))*LN((Calculations!$C$8*(Calculations!$O197-Calculations!$C$13))/(Calculations!$O197*(Calculations!$C$8-Calculations!$C$13))))+'Reaction Information'!$J$17*10^-1*(Calculations!$M197-Calculations!$C$9)+'Reaction Information'!$K$17*10^2*LN((Calculations!$C$12+Calculations!$M197)/(Calculations!$C$12+Calculations!$C$9))+(1/(Calculations!$O197-Calculations!$C$13))*('Reaction Information'!$L$17*(Calculations!$M197-Calculations!$C$9)+'Reaction Information'!$M$17*10^4*LN((Calculations!$C$12+Calculations!$M197)/(Calculations!$C$12+Calculations!$C$9)))+calculateOmega(Calculations!M197,Calculations!N197,Calculations!Q197,'Reaction Information'!$C$17,'Reaction Information'!$P$17*10^5,'Reaction Information'!$Q$17)*((1/Calculations!$S197)-1)-'Reaction Information'!$P$17*10^5*((1/Calculations!$C$10)-1)+'Reaction Information'!$P$17*10^5*Calculations!$C$14*(Calculations!$O197-Calculations!$C$8))</f>
        <v>#N/A</v>
      </c>
      <c r="AH197" s="8" t="e">
        <f>IF(ISBLANK(Input!$AD$4),NA(),'Reaction Information'!$E$21-'Reaction Information'!$G$21*(Calculations!$O197-Calculations!$C$8)-'Reaction Information'!$N$21*(Calculations!$O197*LN(Calculations!$O197/Calculations!$C$8)-Calculations!$O197+Calculations!$C$8)-'Reaction Information'!$O$21*10^4*(((1/(Calculations!$O197-Calculations!$C$13))-(1/(Calculations!$C$8-Calculations!$C$13)))*((Calculations!$C$13-Calculations!$O197)/(Calculations!$C$13))-(Calculations!$O197/(Calculations!$C$13*Calculations!$C$13))*LN((Calculations!$C$8*(Calculations!$O197-Calculations!$C$13))/(Calculations!$O197*(Calculations!$C$8-Calculations!$C$13))))+'Reaction Information'!$J$21*10^-1*(Calculations!$M197-Calculations!$C$9)+'Reaction Information'!$K$21*10^2*LN((Calculations!$C$12+Calculations!$M197)/(Calculations!$C$12+Calculations!$C$9))+(1/(Calculations!$O197-Calculations!$C$13))*('Reaction Information'!$L$21*(Calculations!$M197-Calculations!$C$9)+'Reaction Information'!$M$21*10^4*LN((Calculations!$C$12+Calculations!$M197)/(Calculations!$C$12+Calculations!$C$9)))+calculateOmega(Calculations!M197,Calculations!N197,Calculations!Q197,'Reaction Information'!$C$21,'Reaction Information'!$P$21*10^5,'Reaction Information'!$Q$21)*((1/Calculations!$S197)-1)-'Reaction Information'!$P$21*10^5*((1/Calculations!$C$10)-1)+'Reaction Information'!$P$21*10^5*Calculations!$C$14*(Calculations!$O197-Calculations!$C$8))</f>
        <v>#N/A</v>
      </c>
      <c r="AI197" s="8" t="e">
        <f>IF(ISBLANK(Input!$AG$4),NA(),'Reaction Information'!$E$25-'Reaction Information'!$G$25*(Calculations!$O197-Calculations!$C$8)-'Reaction Information'!$N$25*(Calculations!$O197*LN(Calculations!$O197/Calculations!$C$8)-Calculations!$O197+Calculations!$C$8)-'Reaction Information'!$O$25*10^4*(((1/(Calculations!$O197-Calculations!$C$13))-(1/(Calculations!$C$8-Calculations!$C$13)))*((Calculations!$C$13-Calculations!$O197)/(Calculations!$C$13))-(Calculations!$O197/(Calculations!$C$13*Calculations!$C$13))*LN((Calculations!$C$8*(Calculations!$O197-Calculations!$C$13))/(Calculations!$O197*(Calculations!$C$8-Calculations!$C$13))))+'Reaction Information'!$J$25*10^-1*(Calculations!$M197-Calculations!$C$9)+'Reaction Information'!$K$25*10^2*LN((Calculations!$C$12+Calculations!$M197)/(Calculations!$C$12+Calculations!$C$9))+(1/(Calculations!$O197-Calculations!$C$13))*('Reaction Information'!$L$25*(Calculations!$M197-Calculations!$C$9)+'Reaction Information'!$M$25*10^4*LN((Calculations!$C$12+Calculations!$M197)/(Calculations!$C$12+Calculations!$C$9)))+calculateOmega(Calculations!M197,Calculations!N197,Calculations!Q197,'Reaction Information'!$C$25,'Reaction Information'!$P$25*10^5,'Reaction Information'!$Q$25)*((1/Calculations!$S197)-1)-'Reaction Information'!$P$25*10^5*((1/Calculations!$C$10)-1)+'Reaction Information'!$P$25*10^5*Calculations!$C$14*(Calculations!$O197-Calculations!$C$8))</f>
        <v>#N/A</v>
      </c>
      <c r="AJ197" s="8" t="e">
        <f>IF(ISBLANK(Input!$AJ$4),NA(),'Reaction Information'!$E$29-'Reaction Information'!$G$29*(Calculations!$O197-Calculations!$C$8)-'Reaction Information'!$N$29*(Calculations!$O197*LN(Calculations!$O197/Calculations!$C$8)-Calculations!$O197+Calculations!$C$8)-'Reaction Information'!$O$29*10^4*(((1/(Calculations!$O197-Calculations!$C$13))-(1/(Calculations!$C$8-Calculations!$C$13)))*((Calculations!$C$13-Calculations!$O197)/(Calculations!$C$13))-(Calculations!$O197/(Calculations!$C$13*Calculations!$C$13))*LN((Calculations!$C$8*(Calculations!$O197-Calculations!$C$13))/(Calculations!$O197*(Calculations!$C$8-Calculations!$C$13))))+'Reaction Information'!$J$29*10^-1*(Calculations!$M197-Calculations!$C$9)+'Reaction Information'!$K$29*10^2*LN((Calculations!$C$12+Calculations!$M197)/(Calculations!$C$12+Calculations!$C$9))+(1/(Calculations!$O197-Calculations!$C$13))*('Reaction Information'!$L$29*(Calculations!$M197-Calculations!$C$9)+'Reaction Information'!$M$29*10^4*LN((Calculations!$C$12+Calculations!$M197)/(Calculations!$C$12+Calculations!$C$9)))+calculateOmega(Calculations!M197,Calculations!N197,Calculations!Q197,'Reaction Information'!$C$29,'Reaction Information'!$P$29*10^5,'Reaction Information'!$Q$29)*((1/Calculations!$S197)-1)-'Reaction Information'!$P$29*10^5*((1/Calculations!$C$10)-1)+'Reaction Information'!$P$29*10^5*Calculations!$C$14*(Calculations!$O197-Calculations!$C$8))</f>
        <v>#N/A</v>
      </c>
      <c r="AK197" s="8" t="e">
        <f>IF(ISBLANK(Input!$AM$4),NA(),'Reaction Information'!$E$33-'Reaction Information'!$G$33*(Calculations!$O197-Calculations!$C$8)-'Reaction Information'!$N$33*(Calculations!$O197*LN(Calculations!$O197/Calculations!$C$8)-Calculations!$O197+Calculations!$C$8)-'Reaction Information'!$O$33*10^4*(((1/(Calculations!$O197-Calculations!$C$13))-(1/(Calculations!$C$8-Calculations!$C$13)))*((Calculations!$C$13-Calculations!$O197)/(Calculations!$C$13))-(Calculations!$O197/(Calculations!$C$13*Calculations!$C$13))*LN((Calculations!$C$8*(Calculations!$O197-Calculations!$C$13))/(Calculations!$O197*(Calculations!$C$8-Calculations!$C$13))))+'Reaction Information'!$J$33*10^-1*(Calculations!$M197-Calculations!$C$9)+'Reaction Information'!$K$33*10^2*LN((Calculations!$C$12+Calculations!$M197)/(Calculations!$C$12+Calculations!$C$9))+(1/(Calculations!$O197-Calculations!$C$13))*('Reaction Information'!$L$33*(Calculations!$M197-Calculations!$C$9)+'Reaction Information'!$M$33*10^4*LN((Calculations!$C$12+Calculations!$M197)/(Calculations!$C$12+Calculations!$C$9)))+calculateOmega(Calculations!M197,Calculations!N197,Calculations!Q197,'Reaction Information'!$C$33,'Reaction Information'!$P$33*10^5,'Reaction Information'!$Q$33)*((1/Calculations!$S197)-1)-'Reaction Information'!$P$33*10^5*((1/Calculations!$C$10)-1)+'Reaction Information'!$P$33*10^5*Calculations!$C$14*(Calculations!$O197-Calculations!$C$8))</f>
        <v>#N/A</v>
      </c>
      <c r="AL197" s="1">
        <f>Results!S199</f>
        <v>0</v>
      </c>
      <c r="AM197" s="1">
        <f>Results!T199</f>
        <v>0</v>
      </c>
      <c r="AN197" s="1">
        <f>Results!U199</f>
        <v>0</v>
      </c>
      <c r="AO197" s="1">
        <f>Results!V199</f>
        <v>0</v>
      </c>
      <c r="AP197" s="8" t="e">
        <f>IF(ISBLANK(Input!$BB$4),NA(),'Reaction Information'!$E$38-'Reaction Information'!$G$38*(Calculations!$O197-Calculations!$C$8)+'Reaction Information'!$I$38*(Calculations!$O197-Calculations!$C$8-Calculations!$O197*LN(Calculations!$O197/Calculations!$C$8))+'Reaction Information'!$J$38*0.001/2*(2*Calculations!$O197*Calculations!$C$8-Calculations!$O197^2-Calculations!$C$8^2) + 'Reaction Information'!$K$38*100000*(Calculations!$O197^2 + Calculations!$C$8^2 - 2*Calculations!$O197*Calculations!$C$8)/(2*Calculations!$O197*Calculations!$C$8^2))</f>
        <v>#N/A</v>
      </c>
      <c r="AQ197" s="8" t="e">
        <f>IF(ISBLANK(Input!$BE$4),NA(),'Reaction Information'!$E$42-'Reaction Information'!$G$42*(Calculations!$O197-Calculations!$C$8)+'Reaction Information'!$I$42*(Calculations!$O197-Calculations!$C$8-Calculations!$O197*LN(Calculations!$O197/Calculations!$C$8))+'Reaction Information'!$J$42*0.001/2*(2*Calculations!$O197*Calculations!$C$8-Calculations!$O197^2-Calculations!$C$8^2) + 'Reaction Information'!$K$42*100000*(Calculations!$O197^2 + Calculations!$C$8^2 - 2*Calculations!$O197*Calculations!$C$8)/(2*Calculations!$O197*Calculations!$C$8^2))</f>
        <v>#N/A</v>
      </c>
      <c r="AR197" s="8" t="e">
        <f>IF(AR$5="H2O", IF($D$24=3,IF(T197=0,NA(),T197),calculateGibbsOfWater(M197,N197,$D$24,$D$20,$D$19=3)),NA())</f>
        <v>#N/A</v>
      </c>
      <c r="AS197" s="8" t="e">
        <f>IF(ISBLANK(Input!$BK$4),NA(),'Reaction Information'!$E$46-'Reaction Information'!$G$46*(Calculations!O197-Calculations!$C$8)-'Reaction Information'!$N$46*(Calculations!O197*LN(Calculations!O197/Calculations!$C$8)-Calculations!O197+Calculations!$C$8)-'Reaction Information'!$O$46*10^4*(((1/(Calculations!O197-Calculations!$C$13))-(1/(Calculations!$C$8-Calculations!$C$13)))*((Calculations!$C$13-Calculations!O197)/(Calculations!$C$13))-(Calculations!O197/(Calculations!$C$13*Calculations!$C$13))*LN((Calculations!$C$8*(Calculations!O197-Calculations!$C$13))/(Calculations!O197*(Calculations!$C$8-Calculations!$C$13))))+'Reaction Information'!$J$46*10^-1*(Calculations!$M197-Calculations!$C$9)+'Reaction Information'!$K$46*10^2*LN((Calculations!$C$12+Calculations!$M197)/(Calculations!$C$12+Calculations!$C$9))+(1/(Calculations!O197-Calculations!$C$13))*('Reaction Information'!$L$46*(Calculations!$M197-Calculations!$C$9)+'Reaction Information'!$M$46*10^4*LN((Calculations!$C$12+Calculations!$M197)/(Calculations!$C$12+Calculations!$C$9)))+calculateOmega(Calculations!M197,Calculations!N197,Calculations!Q197,'Reaction Information'!$C$46,'Reaction Information'!$P$46*10^5,'Reaction Information'!$Q$46)*((1/Calculations!S197)-1)-'Reaction Information'!$P$46*10^5*((1/Calculations!$C$10)-1)+'Reaction Information'!$P$46*10^5*Calculations!$C$14*(Calculations!O197-Calculations!$C$8))</f>
        <v>#VALUE!</v>
      </c>
      <c r="AT197" s="8" t="e">
        <f>IF(ISBLANK(Input!$BN$4),NA(),'Reaction Information'!$E$50-'Reaction Information'!$G$50*(Calculations!O197-Calculations!$C$8)-'Reaction Information'!$N$50*(Calculations!O197*LN(Calculations!O197/Calculations!$C$8)-Calculations!O197+Calculations!$C$8)-'Reaction Information'!$O$50*10^4*(((1/(Calculations!O197-Calculations!$C$13))-(1/(Calculations!$C$8-Calculations!$C$13)))*((Calculations!$C$13-Calculations!O197)/(Calculations!$C$13))-(Calculations!O197/(Calculations!$C$13*Calculations!$C$13))*LN((Calculations!$C$8*(Calculations!O197-Calculations!$C$13))/(Calculations!O197*(Calculations!$C$8-Calculations!$C$13))))+'Reaction Information'!$J$50*10^-1*(Calculations!$M197-Calculations!$C$9)+'Reaction Information'!$K$50*10^2*LN((Calculations!$C$12+Calculations!$M197)/(Calculations!$C$12+Calculations!$C$9))+(1/(Calculations!O197-Calculations!$C$13))*('Reaction Information'!$L$50*(Calculations!$M197-Calculations!$C$9)+'Reaction Information'!$M$50*10^4*LN((Calculations!$C$12+Calculations!$M197)/(Calculations!$C$12+Calculations!$C$9)))+calculateOmega(Calculations!M197,Calculations!N197,Calculations!Q197,'Reaction Information'!$C$50,'Reaction Information'!$P$50*10^5,'Reaction Information'!$Q$50)*((1/Calculations!S197)-1)-'Reaction Information'!$P$50*10^5*((1/Calculations!$C$10)-1)+'Reaction Information'!$P$50*10^5*Calculations!$C$14*(Calculations!O197-Calculations!$C$8))</f>
        <v>#VALUE!</v>
      </c>
      <c r="AU197" s="8" t="e">
        <f>IF(ISBLANK(Input!$BQ$4),NA(),'Reaction Information'!$E$54-'Reaction Information'!$G$54*(Calculations!$O197-Calculations!$C$8)-'Reaction Information'!$N$54*(Calculations!$O197*LN(Calculations!$O197/Calculations!$C$8)-Calculations!$O197+Calculations!$C$8)-'Reaction Information'!$O$54*10^4*(((1/(Calculations!$O197-Calculations!$C$13))-(1/(Calculations!$C$8-Calculations!$C$13)))*((Calculations!$C$13-Calculations!$O197)/(Calculations!$C$13))-(Calculations!$O197/(Calculations!$C$13*Calculations!$C$13))*LN((Calculations!$C$8*(Calculations!$O197-Calculations!$C$13))/(Calculations!$O197*(Calculations!$C$8-Calculations!$C$13))))+'Reaction Information'!$J$54*10^-1*(Calculations!$M197-Calculations!$C$9)+'Reaction Information'!$K$54*10^2*LN((Calculations!$C$12+Calculations!$M197)/(Calculations!$C$12+Calculations!$C$9))+(1/(Calculations!$O197-Calculations!$C$13))*('Reaction Information'!$L$54*(Calculations!$M197-Calculations!$C$9)+'Reaction Information'!$M$54*10^4*LN((Calculations!$C$12+Calculations!$M197)/(Calculations!$C$12+Calculations!$C$9)))+calculateOmega(Calculations!M197,Calculations!N197,Calculations!Q197,'Reaction Information'!$C$54,'Reaction Information'!$P$54*10^5,'Reaction Information'!$Q$54)*((1/Calculations!$S197)-1)-'Reaction Information'!$P$54*10^5*((1/Calculations!$C$10)-1)+'Reaction Information'!$P$54*10^5*Calculations!$C$14*(Calculations!$O197-Calculations!$C$8))</f>
        <v>#N/A</v>
      </c>
      <c r="AV197" s="8" t="e">
        <f>IF(ISBLANK(Input!$BT$4),NA(),'Reaction Information'!$E$58-'Reaction Information'!$G$58*(Calculations!$O197-Calculations!$C$8)-'Reaction Information'!$N$58*(Calculations!$O197*LN(Calculations!$O197/Calculations!$C$8)-Calculations!$O197+Calculations!$C$8)-'Reaction Information'!$O$58*10^4*(((1/(Calculations!$O197-Calculations!$C$13))-(1/(Calculations!$C$8-Calculations!$C$13)))*((Calculations!$C$13-Calculations!$O197)/(Calculations!$C$13))-(Calculations!$O197/(Calculations!$C$13*Calculations!$C$13))*LN((Calculations!$C$8*(Calculations!$O197-Calculations!$C$13))/(Calculations!$O197*(Calculations!$C$8-Calculations!$C$13))))+'Reaction Information'!$J$58*10^-1*(Calculations!$M197-Calculations!$C$9)+'Reaction Information'!$K$58*10^2*LN((Calculations!$C$12+Calculations!$M197)/(Calculations!$C$12+Calculations!$C$9))+(1/(Calculations!$O197-Calculations!$C$13))*('Reaction Information'!$L$58*(Calculations!$M197-Calculations!$C$9)+'Reaction Information'!$M$58*10^4*LN((Calculations!$C$12+Calculations!$M197)/(Calculations!$C$12+Calculations!$C$9)))+calculateOmega(Calculations!M197,Calculations!N197,Calculations!Q197,'Reaction Information'!$C$58,'Reaction Information'!$P$58*10^5,'Reaction Information'!$Q$58)*((1/Calculations!$S197)-1)-'Reaction Information'!$P$58*10^5*((1/Calculations!$C$10)-1)+'Reaction Information'!$P$58*10^5*Calculations!$C$14*(Calculations!$O197-Calculations!$C$8))</f>
        <v>#N/A</v>
      </c>
      <c r="AW197" s="8" t="e">
        <f>IF(ISBLANK(Input!$BW$4),NA(),'Reaction Information'!$E$62-'Reaction Information'!$G$62*(Calculations!$O197-Calculations!$C$8)-'Reaction Information'!$N$62*(Calculations!$O197*LN(Calculations!$O197/Calculations!$C$8)-Calculations!$O197+Calculations!$C$8)-'Reaction Information'!$O$62*10^4*(((1/(Calculations!$O197-Calculations!$C$13))-(1/(Calculations!$C$8-Calculations!$C$13)))*((Calculations!$C$13-Calculations!$O197)/(Calculations!$C$13))-(Calculations!$O197/(Calculations!$C$13*Calculations!$C$13))*LN((Calculations!$C$8*(Calculations!$O197-Calculations!$C$13))/(Calculations!$O197*(Calculations!$C$8-Calculations!$C$13))))+'Reaction Information'!$J$62*10^-1*(Calculations!$M197-Calculations!$C$9)+'Reaction Information'!$K$62*10^2*LN((Calculations!$C$12+Calculations!$M197)/(Calculations!$C$12+Calculations!$C$9))+(1/(Calculations!$O197-Calculations!$C$13))*('Reaction Information'!$L$62*(Calculations!$M197-Calculations!$C$9)+'Reaction Information'!$M$62*10^4*LN((Calculations!$C$12+Calculations!$M197)/(Calculations!$C$12+Calculations!$C$9)))+calculateOmega(Calculations!M197,Calculations!N197,Calculations!Q197,'Reaction Information'!$C$62,'Reaction Information'!$P$62*10^5,'Reaction Information'!$Q$62)*((1/Calculations!$S197)-1)-'Reaction Information'!$P$62*10^5*((1/Calculations!$C$10)-1)+'Reaction Information'!$P$62*10^5*Calculations!$C$14*(Calculations!$O197-Calculations!$C$8))</f>
        <v>#N/A</v>
      </c>
      <c r="AX197" s="8" t="e">
        <f>IF(ISBLANK(Input!$BZ$4),NA(),'Reaction Information'!$E$66-'Reaction Information'!$G$66*(Calculations!$O197-Calculations!$C$8)-'Reaction Information'!$N$66*(Calculations!$O197*LN(Calculations!$O197/Calculations!$C$8)-Calculations!$O197+Calculations!$C$8)-'Reaction Information'!$O$66*10^4*(((1/(Calculations!$O197-Calculations!$C$13))-(1/(Calculations!$C$8-Calculations!$C$13)))*((Calculations!$C$13-Calculations!$O197)/(Calculations!$C$13))-(Calculations!$O197/(Calculations!$C$13*Calculations!$C$13))*LN((Calculations!$C$8*(Calculations!$O197-Calculations!$C$13))/(Calculations!$O197*(Calculations!$C$8-Calculations!$C$13))))+'Reaction Information'!$J$66*10^-1*(Calculations!$M197-Calculations!$C$9)+'Reaction Information'!$K$66*10^2*LN((Calculations!$C$12+Calculations!$M197)/(Calculations!$C$12+Calculations!$C$9))+(1/(Calculations!$O197-Calculations!$C$13))*('Reaction Information'!$L$66*(Calculations!$M197-Calculations!$C$9)+'Reaction Information'!$M$66*10^4*LN((Calculations!$C$12+Calculations!$M197)/(Calculations!$C$12+Calculations!$C$9)))+calculateOmega(Calculations!M197,Calculations!N197,Calculations!Q197,'Reaction Information'!$C$66,'Reaction Information'!$P$66*10^5,'Reaction Information'!$Q$66)*((1/Calculations!$S197)-1)-'Reaction Information'!$P$66*10^5*((1/Calculations!$C$10)-1)+'Reaction Information'!$P$66*10^5*Calculations!$C$14*(Calculations!$O197-Calculations!$C$8))</f>
        <v>#N/A</v>
      </c>
      <c r="AY197" s="31" t="e">
        <f>(AL197*Input!$AO$4+AM197*Input!$AR$4+AN197*Input!$AU$4+AO197*Input!$AX$4+IF(ISNA(AP197),0,AP197*Input!$BA$4)+IF(ISNA(AQ197),0,AQ197*Input!$BD$4)+IF(ISNA(AR197),0,AR197*Input!$BG$4)+IF(ISNA(AS197),0,AS197*Input!$BJ$4)+IF(ISNA(AT197),0,AT197*Input!$BM$4)+IF(ISNA(AU197),0,AU197*Input!$BP$4)+IF(ISNA(AV197),0,AV197*Input!$BS$4)+IF(ISNA(AW197),0,AW197*Input!$BV$4)+IF(ISNA(AX197),0,AX197*Input!$BY$4))-(Y197*Input!$B$4+Z197*Input!$E$4+AA197*Input!$H$4+AB197*Input!$K$4+IF(ISNA(AC197),0,AC197*Input!$N$4)+IF(ISNA(AD197),0,AD197*Input!$Q$4)+IF(ISNA(AE197),0,AE197*Input!$T$4)+IF(ISNA(AF197),0,AF197*Input!$W$4)+IF(ISNA(AG197),0,AG197*Input!$Z$4)+IF(ISNA(AH197),0,AH197*Input!$AC$4)+IF(ISNA(AI197),0,AI197*Input!$AF$4)+IF(ISNA(AJ197),0,AJ197*Input!$AI$4)+IF(ISNA(AK197),0,AK197*Input!$AL$4))</f>
        <v>#VALUE!</v>
      </c>
      <c r="AZ197" s="42" t="e">
        <f t="shared" si="54"/>
        <v>#VALUE!</v>
      </c>
      <c r="BA197" s="1" t="str">
        <f t="shared" si="46"/>
        <v/>
      </c>
      <c r="BB197" s="46" t="str">
        <f t="shared" si="47"/>
        <v/>
      </c>
      <c r="BC197" s="1"/>
      <c r="BD197" s="2" t="str">
        <f t="shared" si="48"/>
        <v/>
      </c>
      <c r="BE197" s="46" t="str">
        <f t="shared" si="49"/>
        <v/>
      </c>
      <c r="BF197" s="1">
        <f>Results!AJ199</f>
        <v>0</v>
      </c>
      <c r="BG197" s="1">
        <f>Results!AK199</f>
        <v>0</v>
      </c>
      <c r="BH197" s="1">
        <f>Results!AL199</f>
        <v>0</v>
      </c>
      <c r="BI197" s="1">
        <f>Results!AM199</f>
        <v>0</v>
      </c>
      <c r="BJ197" s="1" t="e">
        <f>IF(OR(ISNA('Reaction Information'!$D$5), $N197 = "", $D$27 = FALSE, 'Reaction Information'!$D$5 = ""), NA(), 24.465)</f>
        <v>#N/A</v>
      </c>
      <c r="BK197" s="1" t="e">
        <f>IF(OR(ISNA('Reaction Information'!$D$9), $N197 = "", $D$27 = FALSE, 'Reaction Information'!$D$9 = ""), NA(), 24.465)</f>
        <v>#N/A</v>
      </c>
      <c r="BL197" s="8" t="e">
        <f t="shared" si="55"/>
        <v>#VALUE!</v>
      </c>
      <c r="BM197" s="8" t="e">
        <f>IF(OR(ISBLANK(Input!$X$4),$D$27=FALSE),NA(),('Reaction Information'!$J$13/10+'Reaction Information'!$K$13*100/(Calculations!$C$12+Calculations!$M197)+('Reaction Information'!$L$13+'Reaction Information'!$M$13*10^4/(Calculations!$C$12+Calculations!$M197))/(Calculations!$O197-Calculations!$C$13) -calculateOmega(Calculations!$M197,Calculations!$N197,Calculations!$Q197,'Reaction Information'!$C$13,'Reaction Information'!$P$13*10^5,'Reaction Information'!$Q$13)*Calculations!$U197*10^-6 + (1/$S197 - 1)*calculate_domegadP(Calculations!$M197,Calculations!$N197,Calculations!$Q197,'Reaction Information'!$C$13,'Reaction Information'!$P$13*10^5,'Reaction Information'!$Q$13,$D$20,$D$19=3))*41.84)</f>
        <v>#VALUE!</v>
      </c>
      <c r="BN197" s="8" t="e">
        <f>IF(OR(ISBLANK(Input!$AA$4),$D$27=FALSE),NA(),('Reaction Information'!$J$17/10+'Reaction Information'!$K$17*100/(Calculations!$C$12+Calculations!$M197)+('Reaction Information'!$L$17+'Reaction Information'!$M$17*10000/(Calculations!$C$12+Calculations!$M197))/(Calculations!$O197-Calculations!$C$13)-calculateOmega(Calculations!M197,Calculations!N197,Calculations!Q197,'Reaction Information'!$C$17,'Reaction Information'!$P$17*10^5,'Reaction Information'!$Q$17)*Calculations!$U197*10^-6 + (1/$S197 - 1)*calculate_domegadP(Calculations!M197,Calculations!N197,Calculations!Q197,'Reaction Information'!$C$17,'Reaction Information'!$P$17*10^5,'Reaction Information'!$Q$17,$D$20,$D$19=3))*41.84)</f>
        <v>#N/A</v>
      </c>
      <c r="BO197" s="8" t="e">
        <f>IF(OR(ISBLANK(Input!$AD$4),$D$27=FALSE),NA(),('Reaction Information'!$J$21/10+'Reaction Information'!$K$21*100/(Calculations!$C$12+Calculations!$M197)+('Reaction Information'!$L$21+'Reaction Information'!$M$21*10000/(Calculations!$C$12+Calculations!$M197))/(Calculations!$O197-Calculations!$C$13)-calculateOmega(Calculations!M197,Calculations!N197,Calculations!Q197,'Reaction Information'!$C$21,'Reaction Information'!$P$21*10^5,'Reaction Information'!$Q$21)*Calculations!$U197*10^-6 + (1/$S197 - 1)*calculate_domegadP(Calculations!M197,Calculations!N197,Calculations!Q197,'Reaction Information'!$C$21,'Reaction Information'!$P$21*10^5,'Reaction Information'!$Q$21,$D$20,$D$19=3))*41.84)</f>
        <v>#N/A</v>
      </c>
      <c r="BP197" s="8" t="e">
        <f>IF(OR(ISBLANK(Input!$AG$4),$D$27=FALSE),NA(),('Reaction Information'!$J$25/10+'Reaction Information'!$K$25*100/(Calculations!$C$12+Calculations!$M197)+('Reaction Information'!$L$25+'Reaction Information'!$M$25*10000/(Calculations!$C$12+Calculations!$M197))/(Calculations!$O197-Calculations!$C$13)-calculateOmega(Calculations!M197,Calculations!N197,Calculations!Q197,'Reaction Information'!$C$25,'Reaction Information'!$P$25*10^5,'Reaction Information'!$Q$25)*Calculations!$U197*10^-6 + (1/$S197 - 1)*calculate_domegadP(Calculations!M197,Calculations!N197,Calculations!Q197,'Reaction Information'!$C$25,'Reaction Information'!$P$25*10^5,'Reaction Information'!$Q$25,$D$20,$D$19=3))*41.84)</f>
        <v>#N/A</v>
      </c>
      <c r="BQ197" s="8" t="e">
        <f>IF(OR(ISBLANK(Input!$AJ$4),$D$27=FALSE),NA(),('Reaction Information'!$J$29/10+'Reaction Information'!$K$29*100/(Calculations!$C$12+Calculations!$M197)+('Reaction Information'!$L$29+'Reaction Information'!$M$29*10000/(Calculations!$C$12+Calculations!$M197))/(Calculations!$O197-Calculations!$C$13)-calculateOmega(Calculations!M197,Calculations!N197,Calculations!Q197,'Reaction Information'!$C$29,'Reaction Information'!$P$29*10^5,'Reaction Information'!$Q$29)*Calculations!$U197*10^-6 + (1/$S197 - 1)*calculate_domegadP(Calculations!M197,Calculations!N197,Calculations!Q197,'Reaction Information'!$C$29,'Reaction Information'!$P$29*10^5,'Reaction Information'!$Q$29,$D$20,$D$19=3))*41.84)</f>
        <v>#N/A</v>
      </c>
      <c r="BR197" s="8" t="e">
        <f>IF(OR(ISBLANK(Input!$AM$4),$D$27=FALSE),NA(),('Reaction Information'!$J$33/10+'Reaction Information'!$K$33*100/(Calculations!$C$12+Calculations!$M197)+('Reaction Information'!$L$33+'Reaction Information'!$M$33*10000/(Calculations!$C$12+Calculations!$M197))/(Calculations!$O197-Calculations!$C$13)-calculateOmega(Calculations!M197,Calculations!N197,Calculations!Q197,'Reaction Information'!$C$33,'Reaction Information'!$P$33*10^5,'Reaction Information'!$Q$33)*Calculations!$U197*10^-6 + (1/$S197 - 1)*calculate_domegadP(Calculations!M197,Calculations!N197,Calculations!Q197,'Reaction Information'!$C$33,'Reaction Information'!$P$33*10^5,'Reaction Information'!$Q$33,$D$20,$D$19=3))*41.84)</f>
        <v>#N/A</v>
      </c>
      <c r="BS197" s="1">
        <f>Results!AW199</f>
        <v>0</v>
      </c>
      <c r="BT197" s="1">
        <f>Results!AX199</f>
        <v>0</v>
      </c>
      <c r="BU197" s="1">
        <f>Results!AY199</f>
        <v>0</v>
      </c>
      <c r="BV197" s="1">
        <f>Results!AZ199</f>
        <v>0</v>
      </c>
      <c r="BW197" s="1" t="e">
        <f>IF(OR(ISNA('Reaction Information'!$D$38), $N197 = "", $D$27 = FALSE, 'Reaction Information'!$D$38 = ""), NA(), 24.465)</f>
        <v>#N/A</v>
      </c>
      <c r="BX197" s="1" t="e">
        <f>IF(OR(ISNA('Reaction Information'!$D$42), $N197 = "", $D$27 = FALSE, 'Reaction Information'!$D$42 = ""), NA(), 24.465)</f>
        <v>#N/A</v>
      </c>
      <c r="BY197" s="8" t="e">
        <f t="shared" si="56"/>
        <v>#N/A</v>
      </c>
      <c r="BZ197" s="8" t="e">
        <f>IF(OR(ISBLANK(Input!$BK$4),$D$27=FALSE),NA(),('Reaction Information'!$J$46/10+'Reaction Information'!$K$46*100/(Calculations!$C$12+Calculations!$M197)+('Reaction Information'!$L$46+'Reaction Information'!$M$46*10000/(Calculations!$C$12+Calculations!$M197))/(Calculations!$O197-Calculations!$C$13)-calculateOmega(Calculations!M197,Calculations!N197,Calculations!Q197,'Reaction Information'!$C$46,'Reaction Information'!$P$46*10^5,'Reaction Information'!$Q$46)*Calculations!$U197*10^-6 + (1/$S197 - 1)*calculate_domegadP(Calculations!M197,Calculations!N197,Calculations!Q197,'Reaction Information'!$C$46,'Reaction Information'!$P$46*10^5,'Reaction Information'!$Q$46,$D$20,$D$19=3))*41.84)</f>
        <v>#VALUE!</v>
      </c>
      <c r="CA197" s="8" t="e">
        <f>IF(OR(ISBLANK(Input!$BN$4),$D$27=FALSE),NA(),('Reaction Information'!$J$50/10+'Reaction Information'!$K$50*100/(Calculations!$C$12+Calculations!$M197)+('Reaction Information'!$L$50+'Reaction Information'!$M$50*10000/(Calculations!$C$12+Calculations!$M197))/(Calculations!$O197-Calculations!$C$13)-calculateOmega(Calculations!M197,Calculations!N197,Calculations!Q197,'Reaction Information'!$C$50,'Reaction Information'!$P$50*10^5,'Reaction Information'!$Q$50)*Calculations!$U197*10^-6 + (1/$S197 - 1)*calculate_domegadP(Calculations!M197,Calculations!N197,Calculations!Q197,'Reaction Information'!$C$50,'Reaction Information'!$P$50*10^5,'Reaction Information'!$Q$50,$D$20,$D$19=3))*41.84)</f>
        <v>#VALUE!</v>
      </c>
      <c r="CB197" s="8" t="e">
        <f>IF(OR(ISBLANK(Input!$BQ$4),$D$27=FALSE),NA(),('Reaction Information'!$J$54/10+'Reaction Information'!$K$54*100/(Calculations!$C$12+Calculations!$M197)+('Reaction Information'!$L$54+'Reaction Information'!$M$54*10000/(Calculations!$C$12+Calculations!$M197))/(Calculations!$O197-Calculations!$C$13)-calculateOmega(Calculations!M197,Calculations!N197,Calculations!Q197,'Reaction Information'!$C$54,'Reaction Information'!$P$54*10^5,'Reaction Information'!$Q$54)*Calculations!$U197*10^-6 + (1/$S197 - 1)*calculate_domegadP(Calculations!M197,Calculations!N197,Calculations!Q197,'Reaction Information'!$C$54,'Reaction Information'!$P$54*10^5,'Reaction Information'!$Q$54,$D$20,$D$19=3))*41.84)</f>
        <v>#N/A</v>
      </c>
      <c r="CC197" s="8" t="e">
        <f>IF(OR(ISBLANK(Input!$BT$4),$D$27=FALSE),NA(),('Reaction Information'!$J$58/10+'Reaction Information'!$K$58*100/(Calculations!$C$12+Calculations!$M197)+('Reaction Information'!$L$58+'Reaction Information'!$M$58*10000/(Calculations!$C$12+Calculations!$M197))/(Calculations!$O197-Calculations!$C$13)-calculateOmega(Calculations!M197,Calculations!N197,Calculations!Q197,'Reaction Information'!$C$58,'Reaction Information'!$P$58*10^5,'Reaction Information'!$Q$58)*Calculations!$U197*10^-6 + (1/$S197 - 1)*calculate_domegadP(Calculations!M197,Calculations!N197,Calculations!Q197,'Reaction Information'!$C$58,'Reaction Information'!$P$58*10^5,'Reaction Information'!$Q$58,$D$20,$D$19=3))*41.84)</f>
        <v>#N/A</v>
      </c>
      <c r="CD197" s="8" t="e">
        <f>IF(OR(ISBLANK(Input!$BW$4),$D$27=FALSE),NA(),('Reaction Information'!$J$62/10+'Reaction Information'!$K$62*100/(Calculations!$C$12+Calculations!$M197)+('Reaction Information'!$L$62+'Reaction Information'!$M$62*10000/(Calculations!$C$12+Calculations!$M197))/(Calculations!$O197-Calculations!$C$13)-calculateOmega(Calculations!M197,Calculations!N197,Calculations!Q197,'Reaction Information'!$C$62,'Reaction Information'!$P$62*10^5,'Reaction Information'!$Q$62)*Calculations!$U197*10^-6 + (1/$S197 - 1)*calculate_domegadP(Calculations!M197,Calculations!N197,Calculations!Q197,'Reaction Information'!$C$62,'Reaction Information'!$P$62*10^5,'Reaction Information'!$Q$62,$D$20,$D$19=3))*41.84)</f>
        <v>#N/A</v>
      </c>
      <c r="CE197" s="8" t="e">
        <f>IF(OR(ISBLANK(Input!$BZ$4),$D$27=FALSE),NA(),('Reaction Information'!$J$66/10+'Reaction Information'!$K$66*100/(Calculations!$C$12+Calculations!$M197)+('Reaction Information'!$L$66+'Reaction Information'!$M$66*10000/(Calculations!$C$12+Calculations!$M197))/(Calculations!$O197-Calculations!$C$13)-calculateOmega(Calculations!M197,Calculations!N197,Calculations!Q197,'Reaction Information'!$C$66,'Reaction Information'!$P$66*10^5,'Reaction Information'!$Q$66)*Calculations!$U197*10^-6 + (1/$S197 - 1)*calculate_domegadP(Calculations!M197,Calculations!N197,Calculations!Q197,'Reaction Information'!$C$66,'Reaction Information'!$P$66*10^5,'Reaction Information'!$Q$66,$D$20,$D$19=3))*41.84)</f>
        <v>#N/A</v>
      </c>
      <c r="CF197" s="31" t="e">
        <f>(BS197*Input!$AO$4+BT197*Input!$AR$4+BU197*Input!$AU$4+BV197*Input!$AX$4+IF(ISNA(BW197),0,BW197*Input!$BA$4)+IF(ISNA(BX197),0,BX197*Input!$BD$4)+IF(ISNA(BY197),0,BY197*Input!$BG$4)+IF(ISNA(BZ197),0,BZ197*Input!$BJ$4)+IF(ISNA(CA197),0,CA197*Input!$BM$4)+IF(ISNA(CB197),0,CB197*Input!$BP$4)+IF(ISNA(CC197),0,CC197*Input!$BS$4)+IF(ISNA(CD197),0,CD197*Input!$BV$4)+IF(ISNA(CE197),0,CE197*Input!$BY$4))-(BF197*Input!$B$4+BG197*Input!$E$4+BH197*Input!$H$4+BI197*Input!$K$4+IF(ISNA(BJ197),0,BJ197*Input!$N$4)+IF(ISNA(BK197),0,BK197*Input!$Q$4)+IF(ISNA(BL197),0,BL197*Input!$T$4)+IF(ISNA(BM197),0,BM197*Input!$W$4)+IF(ISNA(BN197),0,BN197*Input!$Z$4)+IF(ISNA(BO197),0,BO197*Input!$AC$4)+IF(ISNA(BP197),0,BP197*Input!$AF$4)+IF(ISNA(BQ197),0,BQ197*Input!$AI$4)+IF(ISNA(BR197),0,BR197*Input!$AL$4))</f>
        <v>#VALUE!</v>
      </c>
      <c r="CG197" s="1" t="str">
        <f t="shared" si="50"/>
        <v/>
      </c>
      <c r="CH197" s="46" t="str">
        <f t="shared" si="51"/>
        <v/>
      </c>
      <c r="CI197" s="1"/>
    </row>
    <row r="198" spans="1:87" x14ac:dyDescent="0.2">
      <c r="A198" s="1"/>
      <c r="B198" s="1"/>
      <c r="C198" s="1"/>
      <c r="D198" s="1"/>
      <c r="E198" s="1"/>
      <c r="F198" s="2">
        <v>193</v>
      </c>
      <c r="G198" s="1" t="str">
        <f>IF(ISBLANK(Input!CB198), "", Input!CB198*1000)</f>
        <v/>
      </c>
      <c r="H198" s="1" t="str">
        <f>IF(ISBLANK(Input!CC198), "", Input!CC198)</f>
        <v/>
      </c>
      <c r="I198" s="1" t="str">
        <f>IF(Input!$CF$5 + Input!$CF$6*(FLOOR((Calculations!$F198-1)/(FLOOR((Input!$CF$12-Input!$CF$10)/Input!$CF$11,1)+1),1)) &gt; Input!$CF$7, "", (Input!$CF$5 + Input!$CF$6*(FLOOR((Calculations!$F198-1)/(FLOOR((Input!$CF$12-Input!$CF$10)/Input!$CF$11,1)+1),1)))*1000)</f>
        <v/>
      </c>
      <c r="J198" s="1" t="str">
        <f>IF(Calculations!I198 = "", "", Input!$CF$10 + Input!$CF$11*(Calculations!$F198-1) - (FLOOR((Input!$CF$12-Input!$CF$10)/Input!$CF$11,1)+1)*Input!$CF$11*FLOOR((Calculations!$F198-1)/(FLOOR((Input!$CF$12-Input!$CF$10)/Input!$CF$11,1)+1),1))</f>
        <v/>
      </c>
      <c r="K198" s="8" t="str">
        <f t="shared" si="52"/>
        <v/>
      </c>
      <c r="L198" s="117" t="str">
        <f>IF(OR(Input!$CJ$5 + Input!$CJ$6*(Calculations!F198-1) &gt; Input!$CJ$7, Input!$CJ$5 + Input!$CJ$6*(Calculations!F198-1) &gt; 350), "", Input!$CJ$5 + Input!$CJ$6*(Calculations!F198-1))</f>
        <v/>
      </c>
      <c r="M198" s="1" t="str">
        <f t="shared" si="42"/>
        <v/>
      </c>
      <c r="N198" s="1" t="str">
        <f t="shared" si="43"/>
        <v/>
      </c>
      <c r="O198" s="1" t="e">
        <f t="shared" ref="O198:O205" si="57">N198+273.15</f>
        <v>#VALUE!</v>
      </c>
      <c r="P198" s="1" t="e">
        <f>IF(OR($D$20=3,AND($D$21=TRUE,M198&lt;1000)),INDEX('Water Density'!$C$6:$CX$120,MATCH(Calculations!N198,'Water Density'!$B$6:$B$120),MATCH(Calculations!M198/1000,'Water Density'!$C$5:$CX$5)),NA())</f>
        <v>#N/A</v>
      </c>
      <c r="Q198" s="182" t="e">
        <f>IF(OR($D$20=3,AND($D$21=TRUE,M198&lt;1000)), IF(P198&lt;&gt;0,P198,NA()), calculateDensity(M198,N198,$D$20,0.01,$D$19 = 3))</f>
        <v>#VALUE!</v>
      </c>
      <c r="R198" s="1" t="e">
        <f>IF($D$22=5,INDEX('Dielectric Constant'!$C$6:$CX$120,MATCH(Calculations!N198,'Dielectric Constant'!$B$6:$B$120),MATCH(Calculations!M198/1000,'Dielectric Constant'!$C$5:$CX$5)),NA())</f>
        <v>#N/A</v>
      </c>
      <c r="S198" s="58" t="e">
        <f>IF($D$22=5, IF(R198&lt;&gt;0,R198,NA()), IF(AND($D$23,M198&lt;=5000,$D$19 &lt;&gt; 3),calculateEpsilon(Q198,N198,1,FALSE),calculateEpsilon(Q198,N198,$D$22,$D$19 = 3)))</f>
        <v>#VALUE!</v>
      </c>
      <c r="T198" s="1" t="e">
        <f>IF($D$24=3,INDEX('Water Free Energy'!$C$6:$CX$120,MATCH(Calculations!N198,'Water Free Energy'!$B$6:$B$120),MATCH(Calculations!M198/1000,'Water Free Energy'!$C$5:$CX$5)),NA())</f>
        <v>#N/A</v>
      </c>
      <c r="U198" s="179" t="e">
        <f>IF($D$27,calculateQ(M198,N198,Q198,$D$20,$D$22,$D$19=3)*10^6,NA())</f>
        <v>#VALUE!</v>
      </c>
      <c r="V198"/>
      <c r="W198" s="2" t="str">
        <f t="shared" si="44"/>
        <v/>
      </c>
      <c r="X198" s="1" t="str">
        <f t="shared" si="45"/>
        <v/>
      </c>
      <c r="Y198" s="1">
        <f>Results!F200</f>
        <v>0</v>
      </c>
      <c r="Z198" s="1">
        <f>Results!G200</f>
        <v>0</v>
      </c>
      <c r="AA198" s="1">
        <f>Results!H200</f>
        <v>0</v>
      </c>
      <c r="AB198" s="1">
        <f>Results!I200</f>
        <v>0</v>
      </c>
      <c r="AC198" s="1" t="e">
        <f>IF(ISBLANK(Input!$O$4),NA(),'Reaction Information'!$E$5-'Reaction Information'!$G$5*(Calculations!$O198-Calculations!$C$8)+'Reaction Information'!$I$5*(Calculations!$O198-Calculations!$C$8-Calculations!$O198*LN(Calculations!$O198/Calculations!$C$8))+'Reaction Information'!$J$5*0.001/2*(2*Calculations!$O198*Calculations!$C$8-Calculations!$O198^2-Calculations!$C$8^2) + 'Reaction Information'!$K$5*100000*(Calculations!$O198^2 + Calculations!$C$8^2 - 2*Calculations!$O198*Calculations!$C$8)/(2*Calculations!$O198*Calculations!$C$8^2))</f>
        <v>#N/A</v>
      </c>
      <c r="AD198" s="8" t="e">
        <f>IF(ISBLANK(Input!$R$4),NA(),'Reaction Information'!$E$9-'Reaction Information'!$G$9*(Calculations!$O198-Calculations!$C$8)+'Reaction Information'!$I$9*(Calculations!$O198-Calculations!$C$8-Calculations!$O198*LN(Calculations!$O198/Calculations!$C$8))+'Reaction Information'!$J$9*0.001/2*(2*Calculations!$O198*Calculations!$C$8-Calculations!$O198^2-Calculations!$C$8^2) + 'Reaction Information'!$K$9*100000*(Calculations!$O198^2 + Calculations!$C$8^2 - 2*Calculations!$O198*Calculations!$C$8)/(2*Calculations!$O198*Calculations!$C$8^2))</f>
        <v>#N/A</v>
      </c>
      <c r="AE198" s="8" t="e">
        <f>IF(AE$5="H2O",IF($D$24=3,IF(T198=0,NA(),T198),calculateGibbsOfWater(M198,N198,$D$24,$D$20,$D$19=3)),NA())</f>
        <v>#VALUE!</v>
      </c>
      <c r="AF198" s="8" t="e">
        <f>IF(ISBLANK(Input!$X$4),NA(),'Reaction Information'!$E$13-'Reaction Information'!$G$13*(Calculations!O198-Calculations!$C$8)-'Reaction Information'!$N$13*(Calculations!O198*LN(Calculations!O198/Calculations!$C$8)-Calculations!O198+Calculations!$C$8)-'Reaction Information'!$O$13*10^4*(((1/(Calculations!O198-Calculations!$C$13))-(1/(Calculations!$C$8-Calculations!$C$13)))*((Calculations!$C$13-Calculations!O198)/(Calculations!$C$13))-(Calculations!O198/(Calculations!$C$13*Calculations!$C$13))*LN((Calculations!$C$8*(Calculations!O198-Calculations!$C$13))/(Calculations!O198*(Calculations!$C$8-Calculations!$C$13))))+'Reaction Information'!$J$13*10^-1*(Calculations!M198-Calculations!$C$9)+'Reaction Information'!$K$13*10^2*LN((Calculations!$C$12+Calculations!M198)/(Calculations!$C$12+Calculations!$C$9))+(1/(Calculations!O198-Calculations!$C$13))*('Reaction Information'!$L$13*(Calculations!M198-Calculations!$C$9)+'Reaction Information'!$M$13*10^4*LN((Calculations!$C$12+Calculations!M198)/(Calculations!$C$12+Calculations!$C$9)))+calculateOmega(Calculations!M198,Calculations!N198,Calculations!Q198,'Reaction Information'!$C$13,'Reaction Information'!$P$13*10^5,'Reaction Information'!$Q$13)*((1/Calculations!S198)-1)-'Reaction Information'!$P$13*10^5*((1/Calculations!$C$10)-1)+'Reaction Information'!$P$13*10^5*Calculations!$C$14*(Calculations!O198-Calculations!$C$8))</f>
        <v>#VALUE!</v>
      </c>
      <c r="AG198" s="8" t="e">
        <f>IF(ISBLANK(Input!$AA$4),NA(),'Reaction Information'!$E$17-'Reaction Information'!$G$17*(Calculations!$O198-Calculations!$C$8)-'Reaction Information'!$N$17*(Calculations!$O198*LN(Calculations!$O198/Calculations!$C$8)-Calculations!$O198+Calculations!$C$8)-'Reaction Information'!$O$17*10^4*(((1/(Calculations!$O198-Calculations!$C$13))-(1/(Calculations!$C$8-Calculations!$C$13)))*((Calculations!$C$13-Calculations!$O198)/(Calculations!$C$13))-(Calculations!$O198/(Calculations!$C$13*Calculations!$C$13))*LN((Calculations!$C$8*(Calculations!$O198-Calculations!$C$13))/(Calculations!$O198*(Calculations!$C$8-Calculations!$C$13))))+'Reaction Information'!$J$17*10^-1*(Calculations!$M198-Calculations!$C$9)+'Reaction Information'!$K$17*10^2*LN((Calculations!$C$12+Calculations!$M198)/(Calculations!$C$12+Calculations!$C$9))+(1/(Calculations!$O198-Calculations!$C$13))*('Reaction Information'!$L$17*(Calculations!$M198-Calculations!$C$9)+'Reaction Information'!$M$17*10^4*LN((Calculations!$C$12+Calculations!$M198)/(Calculations!$C$12+Calculations!$C$9)))+calculateOmega(Calculations!M198,Calculations!N198,Calculations!Q198,'Reaction Information'!$C$17,'Reaction Information'!$P$17*10^5,'Reaction Information'!$Q$17)*((1/Calculations!$S198)-1)-'Reaction Information'!$P$17*10^5*((1/Calculations!$C$10)-1)+'Reaction Information'!$P$17*10^5*Calculations!$C$14*(Calculations!$O198-Calculations!$C$8))</f>
        <v>#N/A</v>
      </c>
      <c r="AH198" s="8" t="e">
        <f>IF(ISBLANK(Input!$AD$4),NA(),'Reaction Information'!$E$21-'Reaction Information'!$G$21*(Calculations!$O198-Calculations!$C$8)-'Reaction Information'!$N$21*(Calculations!$O198*LN(Calculations!$O198/Calculations!$C$8)-Calculations!$O198+Calculations!$C$8)-'Reaction Information'!$O$21*10^4*(((1/(Calculations!$O198-Calculations!$C$13))-(1/(Calculations!$C$8-Calculations!$C$13)))*((Calculations!$C$13-Calculations!$O198)/(Calculations!$C$13))-(Calculations!$O198/(Calculations!$C$13*Calculations!$C$13))*LN((Calculations!$C$8*(Calculations!$O198-Calculations!$C$13))/(Calculations!$O198*(Calculations!$C$8-Calculations!$C$13))))+'Reaction Information'!$J$21*10^-1*(Calculations!$M198-Calculations!$C$9)+'Reaction Information'!$K$21*10^2*LN((Calculations!$C$12+Calculations!$M198)/(Calculations!$C$12+Calculations!$C$9))+(1/(Calculations!$O198-Calculations!$C$13))*('Reaction Information'!$L$21*(Calculations!$M198-Calculations!$C$9)+'Reaction Information'!$M$21*10^4*LN((Calculations!$C$12+Calculations!$M198)/(Calculations!$C$12+Calculations!$C$9)))+calculateOmega(Calculations!M198,Calculations!N198,Calculations!Q198,'Reaction Information'!$C$21,'Reaction Information'!$P$21*10^5,'Reaction Information'!$Q$21)*((1/Calculations!$S198)-1)-'Reaction Information'!$P$21*10^5*((1/Calculations!$C$10)-1)+'Reaction Information'!$P$21*10^5*Calculations!$C$14*(Calculations!$O198-Calculations!$C$8))</f>
        <v>#N/A</v>
      </c>
      <c r="AI198" s="8" t="e">
        <f>IF(ISBLANK(Input!$AG$4),NA(),'Reaction Information'!$E$25-'Reaction Information'!$G$25*(Calculations!$O198-Calculations!$C$8)-'Reaction Information'!$N$25*(Calculations!$O198*LN(Calculations!$O198/Calculations!$C$8)-Calculations!$O198+Calculations!$C$8)-'Reaction Information'!$O$25*10^4*(((1/(Calculations!$O198-Calculations!$C$13))-(1/(Calculations!$C$8-Calculations!$C$13)))*((Calculations!$C$13-Calculations!$O198)/(Calculations!$C$13))-(Calculations!$O198/(Calculations!$C$13*Calculations!$C$13))*LN((Calculations!$C$8*(Calculations!$O198-Calculations!$C$13))/(Calculations!$O198*(Calculations!$C$8-Calculations!$C$13))))+'Reaction Information'!$J$25*10^-1*(Calculations!$M198-Calculations!$C$9)+'Reaction Information'!$K$25*10^2*LN((Calculations!$C$12+Calculations!$M198)/(Calculations!$C$12+Calculations!$C$9))+(1/(Calculations!$O198-Calculations!$C$13))*('Reaction Information'!$L$25*(Calculations!$M198-Calculations!$C$9)+'Reaction Information'!$M$25*10^4*LN((Calculations!$C$12+Calculations!$M198)/(Calculations!$C$12+Calculations!$C$9)))+calculateOmega(Calculations!M198,Calculations!N198,Calculations!Q198,'Reaction Information'!$C$25,'Reaction Information'!$P$25*10^5,'Reaction Information'!$Q$25)*((1/Calculations!$S198)-1)-'Reaction Information'!$P$25*10^5*((1/Calculations!$C$10)-1)+'Reaction Information'!$P$25*10^5*Calculations!$C$14*(Calculations!$O198-Calculations!$C$8))</f>
        <v>#N/A</v>
      </c>
      <c r="AJ198" s="8" t="e">
        <f>IF(ISBLANK(Input!$AJ$4),NA(),'Reaction Information'!$E$29-'Reaction Information'!$G$29*(Calculations!$O198-Calculations!$C$8)-'Reaction Information'!$N$29*(Calculations!$O198*LN(Calculations!$O198/Calculations!$C$8)-Calculations!$O198+Calculations!$C$8)-'Reaction Information'!$O$29*10^4*(((1/(Calculations!$O198-Calculations!$C$13))-(1/(Calculations!$C$8-Calculations!$C$13)))*((Calculations!$C$13-Calculations!$O198)/(Calculations!$C$13))-(Calculations!$O198/(Calculations!$C$13*Calculations!$C$13))*LN((Calculations!$C$8*(Calculations!$O198-Calculations!$C$13))/(Calculations!$O198*(Calculations!$C$8-Calculations!$C$13))))+'Reaction Information'!$J$29*10^-1*(Calculations!$M198-Calculations!$C$9)+'Reaction Information'!$K$29*10^2*LN((Calculations!$C$12+Calculations!$M198)/(Calculations!$C$12+Calculations!$C$9))+(1/(Calculations!$O198-Calculations!$C$13))*('Reaction Information'!$L$29*(Calculations!$M198-Calculations!$C$9)+'Reaction Information'!$M$29*10^4*LN((Calculations!$C$12+Calculations!$M198)/(Calculations!$C$12+Calculations!$C$9)))+calculateOmega(Calculations!M198,Calculations!N198,Calculations!Q198,'Reaction Information'!$C$29,'Reaction Information'!$P$29*10^5,'Reaction Information'!$Q$29)*((1/Calculations!$S198)-1)-'Reaction Information'!$P$29*10^5*((1/Calculations!$C$10)-1)+'Reaction Information'!$P$29*10^5*Calculations!$C$14*(Calculations!$O198-Calculations!$C$8))</f>
        <v>#N/A</v>
      </c>
      <c r="AK198" s="8" t="e">
        <f>IF(ISBLANK(Input!$AM$4),NA(),'Reaction Information'!$E$33-'Reaction Information'!$G$33*(Calculations!$O198-Calculations!$C$8)-'Reaction Information'!$N$33*(Calculations!$O198*LN(Calculations!$O198/Calculations!$C$8)-Calculations!$O198+Calculations!$C$8)-'Reaction Information'!$O$33*10^4*(((1/(Calculations!$O198-Calculations!$C$13))-(1/(Calculations!$C$8-Calculations!$C$13)))*((Calculations!$C$13-Calculations!$O198)/(Calculations!$C$13))-(Calculations!$O198/(Calculations!$C$13*Calculations!$C$13))*LN((Calculations!$C$8*(Calculations!$O198-Calculations!$C$13))/(Calculations!$O198*(Calculations!$C$8-Calculations!$C$13))))+'Reaction Information'!$J$33*10^-1*(Calculations!$M198-Calculations!$C$9)+'Reaction Information'!$K$33*10^2*LN((Calculations!$C$12+Calculations!$M198)/(Calculations!$C$12+Calculations!$C$9))+(1/(Calculations!$O198-Calculations!$C$13))*('Reaction Information'!$L$33*(Calculations!$M198-Calculations!$C$9)+'Reaction Information'!$M$33*10^4*LN((Calculations!$C$12+Calculations!$M198)/(Calculations!$C$12+Calculations!$C$9)))+calculateOmega(Calculations!M198,Calculations!N198,Calculations!Q198,'Reaction Information'!$C$33,'Reaction Information'!$P$33*10^5,'Reaction Information'!$Q$33)*((1/Calculations!$S198)-1)-'Reaction Information'!$P$33*10^5*((1/Calculations!$C$10)-1)+'Reaction Information'!$P$33*10^5*Calculations!$C$14*(Calculations!$O198-Calculations!$C$8))</f>
        <v>#N/A</v>
      </c>
      <c r="AL198" s="1">
        <f>Results!S200</f>
        <v>0</v>
      </c>
      <c r="AM198" s="1">
        <f>Results!T200</f>
        <v>0</v>
      </c>
      <c r="AN198" s="1">
        <f>Results!U200</f>
        <v>0</v>
      </c>
      <c r="AO198" s="1">
        <f>Results!V200</f>
        <v>0</v>
      </c>
      <c r="AP198" s="8" t="e">
        <f>IF(ISBLANK(Input!$BB$4),NA(),'Reaction Information'!$E$38-'Reaction Information'!$G$38*(Calculations!$O198-Calculations!$C$8)+'Reaction Information'!$I$38*(Calculations!$O198-Calculations!$C$8-Calculations!$O198*LN(Calculations!$O198/Calculations!$C$8))+'Reaction Information'!$J$38*0.001/2*(2*Calculations!$O198*Calculations!$C$8-Calculations!$O198^2-Calculations!$C$8^2) + 'Reaction Information'!$K$38*100000*(Calculations!$O198^2 + Calculations!$C$8^2 - 2*Calculations!$O198*Calculations!$C$8)/(2*Calculations!$O198*Calculations!$C$8^2))</f>
        <v>#N/A</v>
      </c>
      <c r="AQ198" s="8" t="e">
        <f>IF(ISBLANK(Input!$BE$4),NA(),'Reaction Information'!$E$42-'Reaction Information'!$G$42*(Calculations!$O198-Calculations!$C$8)+'Reaction Information'!$I$42*(Calculations!$O198-Calculations!$C$8-Calculations!$O198*LN(Calculations!$O198/Calculations!$C$8))+'Reaction Information'!$J$42*0.001/2*(2*Calculations!$O198*Calculations!$C$8-Calculations!$O198^2-Calculations!$C$8^2) + 'Reaction Information'!$K$42*100000*(Calculations!$O198^2 + Calculations!$C$8^2 - 2*Calculations!$O198*Calculations!$C$8)/(2*Calculations!$O198*Calculations!$C$8^2))</f>
        <v>#N/A</v>
      </c>
      <c r="AR198" s="8" t="e">
        <f>IF(AR$5="H2O", IF($D$24=3,IF(T198=0,NA(),T198),calculateGibbsOfWater(M198,N198,$D$24,$D$20,$D$19=3)),NA())</f>
        <v>#N/A</v>
      </c>
      <c r="AS198" s="8" t="e">
        <f>IF(ISBLANK(Input!$BK$4),NA(),'Reaction Information'!$E$46-'Reaction Information'!$G$46*(Calculations!O198-Calculations!$C$8)-'Reaction Information'!$N$46*(Calculations!O198*LN(Calculations!O198/Calculations!$C$8)-Calculations!O198+Calculations!$C$8)-'Reaction Information'!$O$46*10^4*(((1/(Calculations!O198-Calculations!$C$13))-(1/(Calculations!$C$8-Calculations!$C$13)))*((Calculations!$C$13-Calculations!O198)/(Calculations!$C$13))-(Calculations!O198/(Calculations!$C$13*Calculations!$C$13))*LN((Calculations!$C$8*(Calculations!O198-Calculations!$C$13))/(Calculations!O198*(Calculations!$C$8-Calculations!$C$13))))+'Reaction Information'!$J$46*10^-1*(Calculations!$M198-Calculations!$C$9)+'Reaction Information'!$K$46*10^2*LN((Calculations!$C$12+Calculations!$M198)/(Calculations!$C$12+Calculations!$C$9))+(1/(Calculations!O198-Calculations!$C$13))*('Reaction Information'!$L$46*(Calculations!$M198-Calculations!$C$9)+'Reaction Information'!$M$46*10^4*LN((Calculations!$C$12+Calculations!$M198)/(Calculations!$C$12+Calculations!$C$9)))+calculateOmega(Calculations!M198,Calculations!N198,Calculations!Q198,'Reaction Information'!$C$46,'Reaction Information'!$P$46*10^5,'Reaction Information'!$Q$46)*((1/Calculations!S198)-1)-'Reaction Information'!$P$46*10^5*((1/Calculations!$C$10)-1)+'Reaction Information'!$P$46*10^5*Calculations!$C$14*(Calculations!O198-Calculations!$C$8))</f>
        <v>#VALUE!</v>
      </c>
      <c r="AT198" s="8" t="e">
        <f>IF(ISBLANK(Input!$BN$4),NA(),'Reaction Information'!$E$50-'Reaction Information'!$G$50*(Calculations!O198-Calculations!$C$8)-'Reaction Information'!$N$50*(Calculations!O198*LN(Calculations!O198/Calculations!$C$8)-Calculations!O198+Calculations!$C$8)-'Reaction Information'!$O$50*10^4*(((1/(Calculations!O198-Calculations!$C$13))-(1/(Calculations!$C$8-Calculations!$C$13)))*((Calculations!$C$13-Calculations!O198)/(Calculations!$C$13))-(Calculations!O198/(Calculations!$C$13*Calculations!$C$13))*LN((Calculations!$C$8*(Calculations!O198-Calculations!$C$13))/(Calculations!O198*(Calculations!$C$8-Calculations!$C$13))))+'Reaction Information'!$J$50*10^-1*(Calculations!$M198-Calculations!$C$9)+'Reaction Information'!$K$50*10^2*LN((Calculations!$C$12+Calculations!$M198)/(Calculations!$C$12+Calculations!$C$9))+(1/(Calculations!O198-Calculations!$C$13))*('Reaction Information'!$L$50*(Calculations!$M198-Calculations!$C$9)+'Reaction Information'!$M$50*10^4*LN((Calculations!$C$12+Calculations!$M198)/(Calculations!$C$12+Calculations!$C$9)))+calculateOmega(Calculations!M198,Calculations!N198,Calculations!Q198,'Reaction Information'!$C$50,'Reaction Information'!$P$50*10^5,'Reaction Information'!$Q$50)*((1/Calculations!S198)-1)-'Reaction Information'!$P$50*10^5*((1/Calculations!$C$10)-1)+'Reaction Information'!$P$50*10^5*Calculations!$C$14*(Calculations!O198-Calculations!$C$8))</f>
        <v>#VALUE!</v>
      </c>
      <c r="AU198" s="8" t="e">
        <f>IF(ISBLANK(Input!$BQ$4),NA(),'Reaction Information'!$E$54-'Reaction Information'!$G$54*(Calculations!$O198-Calculations!$C$8)-'Reaction Information'!$N$54*(Calculations!$O198*LN(Calculations!$O198/Calculations!$C$8)-Calculations!$O198+Calculations!$C$8)-'Reaction Information'!$O$54*10^4*(((1/(Calculations!$O198-Calculations!$C$13))-(1/(Calculations!$C$8-Calculations!$C$13)))*((Calculations!$C$13-Calculations!$O198)/(Calculations!$C$13))-(Calculations!$O198/(Calculations!$C$13*Calculations!$C$13))*LN((Calculations!$C$8*(Calculations!$O198-Calculations!$C$13))/(Calculations!$O198*(Calculations!$C$8-Calculations!$C$13))))+'Reaction Information'!$J$54*10^-1*(Calculations!$M198-Calculations!$C$9)+'Reaction Information'!$K$54*10^2*LN((Calculations!$C$12+Calculations!$M198)/(Calculations!$C$12+Calculations!$C$9))+(1/(Calculations!$O198-Calculations!$C$13))*('Reaction Information'!$L$54*(Calculations!$M198-Calculations!$C$9)+'Reaction Information'!$M$54*10^4*LN((Calculations!$C$12+Calculations!$M198)/(Calculations!$C$12+Calculations!$C$9)))+calculateOmega(Calculations!M198,Calculations!N198,Calculations!Q198,'Reaction Information'!$C$54,'Reaction Information'!$P$54*10^5,'Reaction Information'!$Q$54)*((1/Calculations!$S198)-1)-'Reaction Information'!$P$54*10^5*((1/Calculations!$C$10)-1)+'Reaction Information'!$P$54*10^5*Calculations!$C$14*(Calculations!$O198-Calculations!$C$8))</f>
        <v>#N/A</v>
      </c>
      <c r="AV198" s="8" t="e">
        <f>IF(ISBLANK(Input!$BT$4),NA(),'Reaction Information'!$E$58-'Reaction Information'!$G$58*(Calculations!$O198-Calculations!$C$8)-'Reaction Information'!$N$58*(Calculations!$O198*LN(Calculations!$O198/Calculations!$C$8)-Calculations!$O198+Calculations!$C$8)-'Reaction Information'!$O$58*10^4*(((1/(Calculations!$O198-Calculations!$C$13))-(1/(Calculations!$C$8-Calculations!$C$13)))*((Calculations!$C$13-Calculations!$O198)/(Calculations!$C$13))-(Calculations!$O198/(Calculations!$C$13*Calculations!$C$13))*LN((Calculations!$C$8*(Calculations!$O198-Calculations!$C$13))/(Calculations!$O198*(Calculations!$C$8-Calculations!$C$13))))+'Reaction Information'!$J$58*10^-1*(Calculations!$M198-Calculations!$C$9)+'Reaction Information'!$K$58*10^2*LN((Calculations!$C$12+Calculations!$M198)/(Calculations!$C$12+Calculations!$C$9))+(1/(Calculations!$O198-Calculations!$C$13))*('Reaction Information'!$L$58*(Calculations!$M198-Calculations!$C$9)+'Reaction Information'!$M$58*10^4*LN((Calculations!$C$12+Calculations!$M198)/(Calculations!$C$12+Calculations!$C$9)))+calculateOmega(Calculations!M198,Calculations!N198,Calculations!Q198,'Reaction Information'!$C$58,'Reaction Information'!$P$58*10^5,'Reaction Information'!$Q$58)*((1/Calculations!$S198)-1)-'Reaction Information'!$P$58*10^5*((1/Calculations!$C$10)-1)+'Reaction Information'!$P$58*10^5*Calculations!$C$14*(Calculations!$O198-Calculations!$C$8))</f>
        <v>#N/A</v>
      </c>
      <c r="AW198" s="8" t="e">
        <f>IF(ISBLANK(Input!$BW$4),NA(),'Reaction Information'!$E$62-'Reaction Information'!$G$62*(Calculations!$O198-Calculations!$C$8)-'Reaction Information'!$N$62*(Calculations!$O198*LN(Calculations!$O198/Calculations!$C$8)-Calculations!$O198+Calculations!$C$8)-'Reaction Information'!$O$62*10^4*(((1/(Calculations!$O198-Calculations!$C$13))-(1/(Calculations!$C$8-Calculations!$C$13)))*((Calculations!$C$13-Calculations!$O198)/(Calculations!$C$13))-(Calculations!$O198/(Calculations!$C$13*Calculations!$C$13))*LN((Calculations!$C$8*(Calculations!$O198-Calculations!$C$13))/(Calculations!$O198*(Calculations!$C$8-Calculations!$C$13))))+'Reaction Information'!$J$62*10^-1*(Calculations!$M198-Calculations!$C$9)+'Reaction Information'!$K$62*10^2*LN((Calculations!$C$12+Calculations!$M198)/(Calculations!$C$12+Calculations!$C$9))+(1/(Calculations!$O198-Calculations!$C$13))*('Reaction Information'!$L$62*(Calculations!$M198-Calculations!$C$9)+'Reaction Information'!$M$62*10^4*LN((Calculations!$C$12+Calculations!$M198)/(Calculations!$C$12+Calculations!$C$9)))+calculateOmega(Calculations!M198,Calculations!N198,Calculations!Q198,'Reaction Information'!$C$62,'Reaction Information'!$P$62*10^5,'Reaction Information'!$Q$62)*((1/Calculations!$S198)-1)-'Reaction Information'!$P$62*10^5*((1/Calculations!$C$10)-1)+'Reaction Information'!$P$62*10^5*Calculations!$C$14*(Calculations!$O198-Calculations!$C$8))</f>
        <v>#N/A</v>
      </c>
      <c r="AX198" s="8" t="e">
        <f>IF(ISBLANK(Input!$BZ$4),NA(),'Reaction Information'!$E$66-'Reaction Information'!$G$66*(Calculations!$O198-Calculations!$C$8)-'Reaction Information'!$N$66*(Calculations!$O198*LN(Calculations!$O198/Calculations!$C$8)-Calculations!$O198+Calculations!$C$8)-'Reaction Information'!$O$66*10^4*(((1/(Calculations!$O198-Calculations!$C$13))-(1/(Calculations!$C$8-Calculations!$C$13)))*((Calculations!$C$13-Calculations!$O198)/(Calculations!$C$13))-(Calculations!$O198/(Calculations!$C$13*Calculations!$C$13))*LN((Calculations!$C$8*(Calculations!$O198-Calculations!$C$13))/(Calculations!$O198*(Calculations!$C$8-Calculations!$C$13))))+'Reaction Information'!$J$66*10^-1*(Calculations!$M198-Calculations!$C$9)+'Reaction Information'!$K$66*10^2*LN((Calculations!$C$12+Calculations!$M198)/(Calculations!$C$12+Calculations!$C$9))+(1/(Calculations!$O198-Calculations!$C$13))*('Reaction Information'!$L$66*(Calculations!$M198-Calculations!$C$9)+'Reaction Information'!$M$66*10^4*LN((Calculations!$C$12+Calculations!$M198)/(Calculations!$C$12+Calculations!$C$9)))+calculateOmega(Calculations!M198,Calculations!N198,Calculations!Q198,'Reaction Information'!$C$66,'Reaction Information'!$P$66*10^5,'Reaction Information'!$Q$66)*((1/Calculations!$S198)-1)-'Reaction Information'!$P$66*10^5*((1/Calculations!$C$10)-1)+'Reaction Information'!$P$66*10^5*Calculations!$C$14*(Calculations!$O198-Calculations!$C$8))</f>
        <v>#N/A</v>
      </c>
      <c r="AY198" s="31" t="e">
        <f>(AL198*Input!$AO$4+AM198*Input!$AR$4+AN198*Input!$AU$4+AO198*Input!$AX$4+IF(ISNA(AP198),0,AP198*Input!$BA$4)+IF(ISNA(AQ198),0,AQ198*Input!$BD$4)+IF(ISNA(AR198),0,AR198*Input!$BG$4)+IF(ISNA(AS198),0,AS198*Input!$BJ$4)+IF(ISNA(AT198),0,AT198*Input!$BM$4)+IF(ISNA(AU198),0,AU198*Input!$BP$4)+IF(ISNA(AV198),0,AV198*Input!$BS$4)+IF(ISNA(AW198),0,AW198*Input!$BV$4)+IF(ISNA(AX198),0,AX198*Input!$BY$4))-(Y198*Input!$B$4+Z198*Input!$E$4+AA198*Input!$H$4+AB198*Input!$K$4+IF(ISNA(AC198),0,AC198*Input!$N$4)+IF(ISNA(AD198),0,AD198*Input!$Q$4)+IF(ISNA(AE198),0,AE198*Input!$T$4)+IF(ISNA(AF198),0,AF198*Input!$W$4)+IF(ISNA(AG198),0,AG198*Input!$Z$4)+IF(ISNA(AH198),0,AH198*Input!$AC$4)+IF(ISNA(AI198),0,AI198*Input!$AF$4)+IF(ISNA(AJ198),0,AJ198*Input!$AI$4)+IF(ISNA(AK198),0,AK198*Input!$AL$4))</f>
        <v>#VALUE!</v>
      </c>
      <c r="AZ198" s="42" t="e">
        <f t="shared" ref="AZ198:AZ205" si="58">-AY198/(2.302585*O198*$C$11)</f>
        <v>#VALUE!</v>
      </c>
      <c r="BA198" s="1" t="str">
        <f t="shared" si="46"/>
        <v/>
      </c>
      <c r="BB198" s="46" t="str">
        <f t="shared" si="47"/>
        <v/>
      </c>
      <c r="BC198" s="1"/>
      <c r="BD198" s="2" t="str">
        <f t="shared" si="48"/>
        <v/>
      </c>
      <c r="BE198" s="46" t="str">
        <f t="shared" si="49"/>
        <v/>
      </c>
      <c r="BF198" s="1">
        <f>Results!AJ200</f>
        <v>0</v>
      </c>
      <c r="BG198" s="1">
        <f>Results!AK200</f>
        <v>0</v>
      </c>
      <c r="BH198" s="1">
        <f>Results!AL200</f>
        <v>0</v>
      </c>
      <c r="BI198" s="1">
        <f>Results!AM200</f>
        <v>0</v>
      </c>
      <c r="BJ198" s="1" t="e">
        <f>IF(OR(ISNA('Reaction Information'!$D$5), $N198 = "", $D$27 = FALSE, 'Reaction Information'!$D$5 = ""), NA(), 24.465)</f>
        <v>#N/A</v>
      </c>
      <c r="BK198" s="1" t="e">
        <f>IF(OR(ISNA('Reaction Information'!$D$9), $N198 = "", $D$27 = FALSE, 'Reaction Information'!$D$9 = ""), NA(), 24.465)</f>
        <v>#N/A</v>
      </c>
      <c r="BL198" s="8" t="e">
        <f t="shared" ref="BL198:BL205" si="59">IF(AND(BL$5="H2O",$D$27),18.01528/$Q198,NA())</f>
        <v>#VALUE!</v>
      </c>
      <c r="BM198" s="8" t="e">
        <f>IF(OR(ISBLANK(Input!$X$4),$D$27=FALSE),NA(),('Reaction Information'!$J$13/10+'Reaction Information'!$K$13*100/(Calculations!$C$12+Calculations!$M198)+('Reaction Information'!$L$13+'Reaction Information'!$M$13*10^4/(Calculations!$C$12+Calculations!$M198))/(Calculations!$O198-Calculations!$C$13) -calculateOmega(Calculations!$M198,Calculations!$N198,Calculations!$Q198,'Reaction Information'!$C$13,'Reaction Information'!$P$13*10^5,'Reaction Information'!$Q$13)*Calculations!$U198*10^-6 + (1/$S198 - 1)*calculate_domegadP(Calculations!$M198,Calculations!$N198,Calculations!$Q198,'Reaction Information'!$C$13,'Reaction Information'!$P$13*10^5,'Reaction Information'!$Q$13,$D$20,$D$19=3))*41.84)</f>
        <v>#VALUE!</v>
      </c>
      <c r="BN198" s="8" t="e">
        <f>IF(OR(ISBLANK(Input!$AA$4),$D$27=FALSE),NA(),('Reaction Information'!$J$17/10+'Reaction Information'!$K$17*100/(Calculations!$C$12+Calculations!$M198)+('Reaction Information'!$L$17+'Reaction Information'!$M$17*10000/(Calculations!$C$12+Calculations!$M198))/(Calculations!$O198-Calculations!$C$13)-calculateOmega(Calculations!M198,Calculations!N198,Calculations!Q198,'Reaction Information'!$C$17,'Reaction Information'!$P$17*10^5,'Reaction Information'!$Q$17)*Calculations!$U198*10^-6 + (1/$S198 - 1)*calculate_domegadP(Calculations!M198,Calculations!N198,Calculations!Q198,'Reaction Information'!$C$17,'Reaction Information'!$P$17*10^5,'Reaction Information'!$Q$17,$D$20,$D$19=3))*41.84)</f>
        <v>#N/A</v>
      </c>
      <c r="BO198" s="8" t="e">
        <f>IF(OR(ISBLANK(Input!$AD$4),$D$27=FALSE),NA(),('Reaction Information'!$J$21/10+'Reaction Information'!$K$21*100/(Calculations!$C$12+Calculations!$M198)+('Reaction Information'!$L$21+'Reaction Information'!$M$21*10000/(Calculations!$C$12+Calculations!$M198))/(Calculations!$O198-Calculations!$C$13)-calculateOmega(Calculations!M198,Calculations!N198,Calculations!Q198,'Reaction Information'!$C$21,'Reaction Information'!$P$21*10^5,'Reaction Information'!$Q$21)*Calculations!$U198*10^-6 + (1/$S198 - 1)*calculate_domegadP(Calculations!M198,Calculations!N198,Calculations!Q198,'Reaction Information'!$C$21,'Reaction Information'!$P$21*10^5,'Reaction Information'!$Q$21,$D$20,$D$19=3))*41.84)</f>
        <v>#N/A</v>
      </c>
      <c r="BP198" s="8" t="e">
        <f>IF(OR(ISBLANK(Input!$AG$4),$D$27=FALSE),NA(),('Reaction Information'!$J$25/10+'Reaction Information'!$K$25*100/(Calculations!$C$12+Calculations!$M198)+('Reaction Information'!$L$25+'Reaction Information'!$M$25*10000/(Calculations!$C$12+Calculations!$M198))/(Calculations!$O198-Calculations!$C$13)-calculateOmega(Calculations!M198,Calculations!N198,Calculations!Q198,'Reaction Information'!$C$25,'Reaction Information'!$P$25*10^5,'Reaction Information'!$Q$25)*Calculations!$U198*10^-6 + (1/$S198 - 1)*calculate_domegadP(Calculations!M198,Calculations!N198,Calculations!Q198,'Reaction Information'!$C$25,'Reaction Information'!$P$25*10^5,'Reaction Information'!$Q$25,$D$20,$D$19=3))*41.84)</f>
        <v>#N/A</v>
      </c>
      <c r="BQ198" s="8" t="e">
        <f>IF(OR(ISBLANK(Input!$AJ$4),$D$27=FALSE),NA(),('Reaction Information'!$J$29/10+'Reaction Information'!$K$29*100/(Calculations!$C$12+Calculations!$M198)+('Reaction Information'!$L$29+'Reaction Information'!$M$29*10000/(Calculations!$C$12+Calculations!$M198))/(Calculations!$O198-Calculations!$C$13)-calculateOmega(Calculations!M198,Calculations!N198,Calculations!Q198,'Reaction Information'!$C$29,'Reaction Information'!$P$29*10^5,'Reaction Information'!$Q$29)*Calculations!$U198*10^-6 + (1/$S198 - 1)*calculate_domegadP(Calculations!M198,Calculations!N198,Calculations!Q198,'Reaction Information'!$C$29,'Reaction Information'!$P$29*10^5,'Reaction Information'!$Q$29,$D$20,$D$19=3))*41.84)</f>
        <v>#N/A</v>
      </c>
      <c r="BR198" s="8" t="e">
        <f>IF(OR(ISBLANK(Input!$AM$4),$D$27=FALSE),NA(),('Reaction Information'!$J$33/10+'Reaction Information'!$K$33*100/(Calculations!$C$12+Calculations!$M198)+('Reaction Information'!$L$33+'Reaction Information'!$M$33*10000/(Calculations!$C$12+Calculations!$M198))/(Calculations!$O198-Calculations!$C$13)-calculateOmega(Calculations!M198,Calculations!N198,Calculations!Q198,'Reaction Information'!$C$33,'Reaction Information'!$P$33*10^5,'Reaction Information'!$Q$33)*Calculations!$U198*10^-6 + (1/$S198 - 1)*calculate_domegadP(Calculations!M198,Calculations!N198,Calculations!Q198,'Reaction Information'!$C$33,'Reaction Information'!$P$33*10^5,'Reaction Information'!$Q$33,$D$20,$D$19=3))*41.84)</f>
        <v>#N/A</v>
      </c>
      <c r="BS198" s="1">
        <f>Results!AW200</f>
        <v>0</v>
      </c>
      <c r="BT198" s="1">
        <f>Results!AX200</f>
        <v>0</v>
      </c>
      <c r="BU198" s="1">
        <f>Results!AY200</f>
        <v>0</v>
      </c>
      <c r="BV198" s="1">
        <f>Results!AZ200</f>
        <v>0</v>
      </c>
      <c r="BW198" s="1" t="e">
        <f>IF(OR(ISNA('Reaction Information'!$D$38), $N198 = "", $D$27 = FALSE, 'Reaction Information'!$D$38 = ""), NA(), 24.465)</f>
        <v>#N/A</v>
      </c>
      <c r="BX198" s="1" t="e">
        <f>IF(OR(ISNA('Reaction Information'!$D$42), $N198 = "", $D$27 = FALSE, 'Reaction Information'!$D$42 = ""), NA(), 24.465)</f>
        <v>#N/A</v>
      </c>
      <c r="BY198" s="8" t="e">
        <f t="shared" ref="BY198:BY205" si="60">IF(AND(BY$5="H2O",$D$27),18.01528/$Q198,NA())</f>
        <v>#N/A</v>
      </c>
      <c r="BZ198" s="8" t="e">
        <f>IF(OR(ISBLANK(Input!$BK$4),$D$27=FALSE),NA(),('Reaction Information'!$J$46/10+'Reaction Information'!$K$46*100/(Calculations!$C$12+Calculations!$M198)+('Reaction Information'!$L$46+'Reaction Information'!$M$46*10000/(Calculations!$C$12+Calculations!$M198))/(Calculations!$O198-Calculations!$C$13)-calculateOmega(Calculations!M198,Calculations!N198,Calculations!Q198,'Reaction Information'!$C$46,'Reaction Information'!$P$46*10^5,'Reaction Information'!$Q$46)*Calculations!$U198*10^-6 + (1/$S198 - 1)*calculate_domegadP(Calculations!M198,Calculations!N198,Calculations!Q198,'Reaction Information'!$C$46,'Reaction Information'!$P$46*10^5,'Reaction Information'!$Q$46,$D$20,$D$19=3))*41.84)</f>
        <v>#VALUE!</v>
      </c>
      <c r="CA198" s="8" t="e">
        <f>IF(OR(ISBLANK(Input!$BN$4),$D$27=FALSE),NA(),('Reaction Information'!$J$50/10+'Reaction Information'!$K$50*100/(Calculations!$C$12+Calculations!$M198)+('Reaction Information'!$L$50+'Reaction Information'!$M$50*10000/(Calculations!$C$12+Calculations!$M198))/(Calculations!$O198-Calculations!$C$13)-calculateOmega(Calculations!M198,Calculations!N198,Calculations!Q198,'Reaction Information'!$C$50,'Reaction Information'!$P$50*10^5,'Reaction Information'!$Q$50)*Calculations!$U198*10^-6 + (1/$S198 - 1)*calculate_domegadP(Calculations!M198,Calculations!N198,Calculations!Q198,'Reaction Information'!$C$50,'Reaction Information'!$P$50*10^5,'Reaction Information'!$Q$50,$D$20,$D$19=3))*41.84)</f>
        <v>#VALUE!</v>
      </c>
      <c r="CB198" s="8" t="e">
        <f>IF(OR(ISBLANK(Input!$BQ$4),$D$27=FALSE),NA(),('Reaction Information'!$J$54/10+'Reaction Information'!$K$54*100/(Calculations!$C$12+Calculations!$M198)+('Reaction Information'!$L$54+'Reaction Information'!$M$54*10000/(Calculations!$C$12+Calculations!$M198))/(Calculations!$O198-Calculations!$C$13)-calculateOmega(Calculations!M198,Calculations!N198,Calculations!Q198,'Reaction Information'!$C$54,'Reaction Information'!$P$54*10^5,'Reaction Information'!$Q$54)*Calculations!$U198*10^-6 + (1/$S198 - 1)*calculate_domegadP(Calculations!M198,Calculations!N198,Calculations!Q198,'Reaction Information'!$C$54,'Reaction Information'!$P$54*10^5,'Reaction Information'!$Q$54,$D$20,$D$19=3))*41.84)</f>
        <v>#N/A</v>
      </c>
      <c r="CC198" s="8" t="e">
        <f>IF(OR(ISBLANK(Input!$BT$4),$D$27=FALSE),NA(),('Reaction Information'!$J$58/10+'Reaction Information'!$K$58*100/(Calculations!$C$12+Calculations!$M198)+('Reaction Information'!$L$58+'Reaction Information'!$M$58*10000/(Calculations!$C$12+Calculations!$M198))/(Calculations!$O198-Calculations!$C$13)-calculateOmega(Calculations!M198,Calculations!N198,Calculations!Q198,'Reaction Information'!$C$58,'Reaction Information'!$P$58*10^5,'Reaction Information'!$Q$58)*Calculations!$U198*10^-6 + (1/$S198 - 1)*calculate_domegadP(Calculations!M198,Calculations!N198,Calculations!Q198,'Reaction Information'!$C$58,'Reaction Information'!$P$58*10^5,'Reaction Information'!$Q$58,$D$20,$D$19=3))*41.84)</f>
        <v>#N/A</v>
      </c>
      <c r="CD198" s="8" t="e">
        <f>IF(OR(ISBLANK(Input!$BW$4),$D$27=FALSE),NA(),('Reaction Information'!$J$62/10+'Reaction Information'!$K$62*100/(Calculations!$C$12+Calculations!$M198)+('Reaction Information'!$L$62+'Reaction Information'!$M$62*10000/(Calculations!$C$12+Calculations!$M198))/(Calculations!$O198-Calculations!$C$13)-calculateOmega(Calculations!M198,Calculations!N198,Calculations!Q198,'Reaction Information'!$C$62,'Reaction Information'!$P$62*10^5,'Reaction Information'!$Q$62)*Calculations!$U198*10^-6 + (1/$S198 - 1)*calculate_domegadP(Calculations!M198,Calculations!N198,Calculations!Q198,'Reaction Information'!$C$62,'Reaction Information'!$P$62*10^5,'Reaction Information'!$Q$62,$D$20,$D$19=3))*41.84)</f>
        <v>#N/A</v>
      </c>
      <c r="CE198" s="8" t="e">
        <f>IF(OR(ISBLANK(Input!$BZ$4),$D$27=FALSE),NA(),('Reaction Information'!$J$66/10+'Reaction Information'!$K$66*100/(Calculations!$C$12+Calculations!$M198)+('Reaction Information'!$L$66+'Reaction Information'!$M$66*10000/(Calculations!$C$12+Calculations!$M198))/(Calculations!$O198-Calculations!$C$13)-calculateOmega(Calculations!M198,Calculations!N198,Calculations!Q198,'Reaction Information'!$C$66,'Reaction Information'!$P$66*10^5,'Reaction Information'!$Q$66)*Calculations!$U198*10^-6 + (1/$S198 - 1)*calculate_domegadP(Calculations!M198,Calculations!N198,Calculations!Q198,'Reaction Information'!$C$66,'Reaction Information'!$P$66*10^5,'Reaction Information'!$Q$66,$D$20,$D$19=3))*41.84)</f>
        <v>#N/A</v>
      </c>
      <c r="CF198" s="31" t="e">
        <f>(BS198*Input!$AO$4+BT198*Input!$AR$4+BU198*Input!$AU$4+BV198*Input!$AX$4+IF(ISNA(BW198),0,BW198*Input!$BA$4)+IF(ISNA(BX198),0,BX198*Input!$BD$4)+IF(ISNA(BY198),0,BY198*Input!$BG$4)+IF(ISNA(BZ198),0,BZ198*Input!$BJ$4)+IF(ISNA(CA198),0,CA198*Input!$BM$4)+IF(ISNA(CB198),0,CB198*Input!$BP$4)+IF(ISNA(CC198),0,CC198*Input!$BS$4)+IF(ISNA(CD198),0,CD198*Input!$BV$4)+IF(ISNA(CE198),0,CE198*Input!$BY$4))-(BF198*Input!$B$4+BG198*Input!$E$4+BH198*Input!$H$4+BI198*Input!$K$4+IF(ISNA(BJ198),0,BJ198*Input!$N$4)+IF(ISNA(BK198),0,BK198*Input!$Q$4)+IF(ISNA(BL198),0,BL198*Input!$T$4)+IF(ISNA(BM198),0,BM198*Input!$W$4)+IF(ISNA(BN198),0,BN198*Input!$Z$4)+IF(ISNA(BO198),0,BO198*Input!$AC$4)+IF(ISNA(BP198),0,BP198*Input!$AF$4)+IF(ISNA(BQ198),0,BQ198*Input!$AI$4)+IF(ISNA(BR198),0,BR198*Input!$AL$4))</f>
        <v>#VALUE!</v>
      </c>
      <c r="CG198" s="1" t="str">
        <f t="shared" si="50"/>
        <v/>
      </c>
      <c r="CH198" s="46" t="str">
        <f t="shared" si="51"/>
        <v/>
      </c>
      <c r="CI198" s="1"/>
    </row>
    <row r="199" spans="1:87" x14ac:dyDescent="0.2">
      <c r="A199" s="1"/>
      <c r="B199" s="1"/>
      <c r="C199" s="1"/>
      <c r="D199" s="1"/>
      <c r="E199" s="1"/>
      <c r="F199" s="2">
        <v>194</v>
      </c>
      <c r="G199" s="1" t="str">
        <f>IF(ISBLANK(Input!CB199), "", Input!CB199*1000)</f>
        <v/>
      </c>
      <c r="H199" s="1" t="str">
        <f>IF(ISBLANK(Input!CC199), "", Input!CC199)</f>
        <v/>
      </c>
      <c r="I199" s="1" t="str">
        <f>IF(Input!$CF$5 + Input!$CF$6*(FLOOR((Calculations!$F199-1)/(FLOOR((Input!$CF$12-Input!$CF$10)/Input!$CF$11,1)+1),1)) &gt; Input!$CF$7, "", (Input!$CF$5 + Input!$CF$6*(FLOOR((Calculations!$F199-1)/(FLOOR((Input!$CF$12-Input!$CF$10)/Input!$CF$11,1)+1),1)))*1000)</f>
        <v/>
      </c>
      <c r="J199" s="1" t="str">
        <f>IF(Calculations!I199 = "", "", Input!$CF$10 + Input!$CF$11*(Calculations!$F199-1) - (FLOOR((Input!$CF$12-Input!$CF$10)/Input!$CF$11,1)+1)*Input!$CF$11*FLOOR((Calculations!$F199-1)/(FLOOR((Input!$CF$12-Input!$CF$10)/Input!$CF$11,1)+1),1))</f>
        <v/>
      </c>
      <c r="K199" s="8" t="str">
        <f t="shared" si="52"/>
        <v/>
      </c>
      <c r="L199" s="117" t="str">
        <f>IF(OR(Input!$CJ$5 + Input!$CJ$6*(Calculations!F199-1) &gt; Input!$CJ$7, Input!$CJ$5 + Input!$CJ$6*(Calculations!F199-1) &gt; 350), "", Input!$CJ$5 + Input!$CJ$6*(Calculations!F199-1))</f>
        <v/>
      </c>
      <c r="M199" s="1" t="str">
        <f t="shared" ref="M199:M205" si="61">CHOOSE($D$19,$G199,$I199,K199)</f>
        <v/>
      </c>
      <c r="N199" s="1" t="str">
        <f t="shared" ref="N199:N205" si="62">CHOOSE($D$19,$H199,$J199,L199)</f>
        <v/>
      </c>
      <c r="O199" s="1" t="e">
        <f t="shared" si="57"/>
        <v>#VALUE!</v>
      </c>
      <c r="P199" s="1" t="e">
        <f>IF(OR($D$20=3,AND($D$21=TRUE,M199&lt;1000)),INDEX('Water Density'!$C$6:$CX$120,MATCH(Calculations!N199,'Water Density'!$B$6:$B$120),MATCH(Calculations!M199/1000,'Water Density'!$C$5:$CX$5)),NA())</f>
        <v>#N/A</v>
      </c>
      <c r="Q199" s="182" t="e">
        <f>IF(OR($D$20=3,AND($D$21=TRUE,M199&lt;1000)), IF(P199&lt;&gt;0,P199,NA()), calculateDensity(M199,N199,$D$20,0.01,$D$19 = 3))</f>
        <v>#VALUE!</v>
      </c>
      <c r="R199" s="1" t="e">
        <f>IF($D$22=5,INDEX('Dielectric Constant'!$C$6:$CX$120,MATCH(Calculations!N199,'Dielectric Constant'!$B$6:$B$120),MATCH(Calculations!M199/1000,'Dielectric Constant'!$C$5:$CX$5)),NA())</f>
        <v>#N/A</v>
      </c>
      <c r="S199" s="58" t="e">
        <f>IF($D$22=5, IF(R199&lt;&gt;0,R199,NA()), IF(AND($D$23,M199&lt;=5000,$D$19 &lt;&gt; 3),calculateEpsilon(Q199,N199,1,FALSE),calculateEpsilon(Q199,N199,$D$22,$D$19 = 3)))</f>
        <v>#VALUE!</v>
      </c>
      <c r="T199" s="1" t="e">
        <f>IF($D$24=3,INDEX('Water Free Energy'!$C$6:$CX$120,MATCH(Calculations!N199,'Water Free Energy'!$B$6:$B$120),MATCH(Calculations!M199/1000,'Water Free Energy'!$C$5:$CX$5)),NA())</f>
        <v>#N/A</v>
      </c>
      <c r="U199" s="179" t="e">
        <f>IF($D$27,calculateQ(M199,N199,Q199,$D$20,$D$22,$D$19=3)*10^6,NA())</f>
        <v>#VALUE!</v>
      </c>
      <c r="V199"/>
      <c r="W199" s="2" t="str">
        <f t="shared" ref="W199:W205" si="63">$M199</f>
        <v/>
      </c>
      <c r="X199" s="1" t="str">
        <f t="shared" ref="X199:X205" si="64">$N199</f>
        <v/>
      </c>
      <c r="Y199" s="1">
        <f>Results!F201</f>
        <v>0</v>
      </c>
      <c r="Z199" s="1">
        <f>Results!G201</f>
        <v>0</v>
      </c>
      <c r="AA199" s="1">
        <f>Results!H201</f>
        <v>0</v>
      </c>
      <c r="AB199" s="1">
        <f>Results!I201</f>
        <v>0</v>
      </c>
      <c r="AC199" s="1" t="e">
        <f>IF(ISBLANK(Input!$O$4),NA(),'Reaction Information'!$E$5-'Reaction Information'!$G$5*(Calculations!$O199-Calculations!$C$8)+'Reaction Information'!$I$5*(Calculations!$O199-Calculations!$C$8-Calculations!$O199*LN(Calculations!$O199/Calculations!$C$8))+'Reaction Information'!$J$5*0.001/2*(2*Calculations!$O199*Calculations!$C$8-Calculations!$O199^2-Calculations!$C$8^2) + 'Reaction Information'!$K$5*100000*(Calculations!$O199^2 + Calculations!$C$8^2 - 2*Calculations!$O199*Calculations!$C$8)/(2*Calculations!$O199*Calculations!$C$8^2))</f>
        <v>#N/A</v>
      </c>
      <c r="AD199" s="8" t="e">
        <f>IF(ISBLANK(Input!$R$4),NA(),'Reaction Information'!$E$9-'Reaction Information'!$G$9*(Calculations!$O199-Calculations!$C$8)+'Reaction Information'!$I$9*(Calculations!$O199-Calculations!$C$8-Calculations!$O199*LN(Calculations!$O199/Calculations!$C$8))+'Reaction Information'!$J$9*0.001/2*(2*Calculations!$O199*Calculations!$C$8-Calculations!$O199^2-Calculations!$C$8^2) + 'Reaction Information'!$K$9*100000*(Calculations!$O199^2 + Calculations!$C$8^2 - 2*Calculations!$O199*Calculations!$C$8)/(2*Calculations!$O199*Calculations!$C$8^2))</f>
        <v>#N/A</v>
      </c>
      <c r="AE199" s="8" t="e">
        <f>IF(AE$5="H2O",IF($D$24=3,IF(T199=0,NA(),T199),calculateGibbsOfWater(M199,N199,$D$24,$D$20,$D$19=3)),NA())</f>
        <v>#VALUE!</v>
      </c>
      <c r="AF199" s="8" t="e">
        <f>IF(ISBLANK(Input!$X$4),NA(),'Reaction Information'!$E$13-'Reaction Information'!$G$13*(Calculations!O199-Calculations!$C$8)-'Reaction Information'!$N$13*(Calculations!O199*LN(Calculations!O199/Calculations!$C$8)-Calculations!O199+Calculations!$C$8)-'Reaction Information'!$O$13*10^4*(((1/(Calculations!O199-Calculations!$C$13))-(1/(Calculations!$C$8-Calculations!$C$13)))*((Calculations!$C$13-Calculations!O199)/(Calculations!$C$13))-(Calculations!O199/(Calculations!$C$13*Calculations!$C$13))*LN((Calculations!$C$8*(Calculations!O199-Calculations!$C$13))/(Calculations!O199*(Calculations!$C$8-Calculations!$C$13))))+'Reaction Information'!$J$13*10^-1*(Calculations!M199-Calculations!$C$9)+'Reaction Information'!$K$13*10^2*LN((Calculations!$C$12+Calculations!M199)/(Calculations!$C$12+Calculations!$C$9))+(1/(Calculations!O199-Calculations!$C$13))*('Reaction Information'!$L$13*(Calculations!M199-Calculations!$C$9)+'Reaction Information'!$M$13*10^4*LN((Calculations!$C$12+Calculations!M199)/(Calculations!$C$12+Calculations!$C$9)))+calculateOmega(Calculations!M199,Calculations!N199,Calculations!Q199,'Reaction Information'!$C$13,'Reaction Information'!$P$13*10^5,'Reaction Information'!$Q$13)*((1/Calculations!S199)-1)-'Reaction Information'!$P$13*10^5*((1/Calculations!$C$10)-1)+'Reaction Information'!$P$13*10^5*Calculations!$C$14*(Calculations!O199-Calculations!$C$8))</f>
        <v>#VALUE!</v>
      </c>
      <c r="AG199" s="8" t="e">
        <f>IF(ISBLANK(Input!$AA$4),NA(),'Reaction Information'!$E$17-'Reaction Information'!$G$17*(Calculations!$O199-Calculations!$C$8)-'Reaction Information'!$N$17*(Calculations!$O199*LN(Calculations!$O199/Calculations!$C$8)-Calculations!$O199+Calculations!$C$8)-'Reaction Information'!$O$17*10^4*(((1/(Calculations!$O199-Calculations!$C$13))-(1/(Calculations!$C$8-Calculations!$C$13)))*((Calculations!$C$13-Calculations!$O199)/(Calculations!$C$13))-(Calculations!$O199/(Calculations!$C$13*Calculations!$C$13))*LN((Calculations!$C$8*(Calculations!$O199-Calculations!$C$13))/(Calculations!$O199*(Calculations!$C$8-Calculations!$C$13))))+'Reaction Information'!$J$17*10^-1*(Calculations!$M199-Calculations!$C$9)+'Reaction Information'!$K$17*10^2*LN((Calculations!$C$12+Calculations!$M199)/(Calculations!$C$12+Calculations!$C$9))+(1/(Calculations!$O199-Calculations!$C$13))*('Reaction Information'!$L$17*(Calculations!$M199-Calculations!$C$9)+'Reaction Information'!$M$17*10^4*LN((Calculations!$C$12+Calculations!$M199)/(Calculations!$C$12+Calculations!$C$9)))+calculateOmega(Calculations!M199,Calculations!N199,Calculations!Q199,'Reaction Information'!$C$17,'Reaction Information'!$P$17*10^5,'Reaction Information'!$Q$17)*((1/Calculations!$S199)-1)-'Reaction Information'!$P$17*10^5*((1/Calculations!$C$10)-1)+'Reaction Information'!$P$17*10^5*Calculations!$C$14*(Calculations!$O199-Calculations!$C$8))</f>
        <v>#N/A</v>
      </c>
      <c r="AH199" s="8" t="e">
        <f>IF(ISBLANK(Input!$AD$4),NA(),'Reaction Information'!$E$21-'Reaction Information'!$G$21*(Calculations!$O199-Calculations!$C$8)-'Reaction Information'!$N$21*(Calculations!$O199*LN(Calculations!$O199/Calculations!$C$8)-Calculations!$O199+Calculations!$C$8)-'Reaction Information'!$O$21*10^4*(((1/(Calculations!$O199-Calculations!$C$13))-(1/(Calculations!$C$8-Calculations!$C$13)))*((Calculations!$C$13-Calculations!$O199)/(Calculations!$C$13))-(Calculations!$O199/(Calculations!$C$13*Calculations!$C$13))*LN((Calculations!$C$8*(Calculations!$O199-Calculations!$C$13))/(Calculations!$O199*(Calculations!$C$8-Calculations!$C$13))))+'Reaction Information'!$J$21*10^-1*(Calculations!$M199-Calculations!$C$9)+'Reaction Information'!$K$21*10^2*LN((Calculations!$C$12+Calculations!$M199)/(Calculations!$C$12+Calculations!$C$9))+(1/(Calculations!$O199-Calculations!$C$13))*('Reaction Information'!$L$21*(Calculations!$M199-Calculations!$C$9)+'Reaction Information'!$M$21*10^4*LN((Calculations!$C$12+Calculations!$M199)/(Calculations!$C$12+Calculations!$C$9)))+calculateOmega(Calculations!M199,Calculations!N199,Calculations!Q199,'Reaction Information'!$C$21,'Reaction Information'!$P$21*10^5,'Reaction Information'!$Q$21)*((1/Calculations!$S199)-1)-'Reaction Information'!$P$21*10^5*((1/Calculations!$C$10)-1)+'Reaction Information'!$P$21*10^5*Calculations!$C$14*(Calculations!$O199-Calculations!$C$8))</f>
        <v>#N/A</v>
      </c>
      <c r="AI199" s="8" t="e">
        <f>IF(ISBLANK(Input!$AG$4),NA(),'Reaction Information'!$E$25-'Reaction Information'!$G$25*(Calculations!$O199-Calculations!$C$8)-'Reaction Information'!$N$25*(Calculations!$O199*LN(Calculations!$O199/Calculations!$C$8)-Calculations!$O199+Calculations!$C$8)-'Reaction Information'!$O$25*10^4*(((1/(Calculations!$O199-Calculations!$C$13))-(1/(Calculations!$C$8-Calculations!$C$13)))*((Calculations!$C$13-Calculations!$O199)/(Calculations!$C$13))-(Calculations!$O199/(Calculations!$C$13*Calculations!$C$13))*LN((Calculations!$C$8*(Calculations!$O199-Calculations!$C$13))/(Calculations!$O199*(Calculations!$C$8-Calculations!$C$13))))+'Reaction Information'!$J$25*10^-1*(Calculations!$M199-Calculations!$C$9)+'Reaction Information'!$K$25*10^2*LN((Calculations!$C$12+Calculations!$M199)/(Calculations!$C$12+Calculations!$C$9))+(1/(Calculations!$O199-Calculations!$C$13))*('Reaction Information'!$L$25*(Calculations!$M199-Calculations!$C$9)+'Reaction Information'!$M$25*10^4*LN((Calculations!$C$12+Calculations!$M199)/(Calculations!$C$12+Calculations!$C$9)))+calculateOmega(Calculations!M199,Calculations!N199,Calculations!Q199,'Reaction Information'!$C$25,'Reaction Information'!$P$25*10^5,'Reaction Information'!$Q$25)*((1/Calculations!$S199)-1)-'Reaction Information'!$P$25*10^5*((1/Calculations!$C$10)-1)+'Reaction Information'!$P$25*10^5*Calculations!$C$14*(Calculations!$O199-Calculations!$C$8))</f>
        <v>#N/A</v>
      </c>
      <c r="AJ199" s="8" t="e">
        <f>IF(ISBLANK(Input!$AJ$4),NA(),'Reaction Information'!$E$29-'Reaction Information'!$G$29*(Calculations!$O199-Calculations!$C$8)-'Reaction Information'!$N$29*(Calculations!$O199*LN(Calculations!$O199/Calculations!$C$8)-Calculations!$O199+Calculations!$C$8)-'Reaction Information'!$O$29*10^4*(((1/(Calculations!$O199-Calculations!$C$13))-(1/(Calculations!$C$8-Calculations!$C$13)))*((Calculations!$C$13-Calculations!$O199)/(Calculations!$C$13))-(Calculations!$O199/(Calculations!$C$13*Calculations!$C$13))*LN((Calculations!$C$8*(Calculations!$O199-Calculations!$C$13))/(Calculations!$O199*(Calculations!$C$8-Calculations!$C$13))))+'Reaction Information'!$J$29*10^-1*(Calculations!$M199-Calculations!$C$9)+'Reaction Information'!$K$29*10^2*LN((Calculations!$C$12+Calculations!$M199)/(Calculations!$C$12+Calculations!$C$9))+(1/(Calculations!$O199-Calculations!$C$13))*('Reaction Information'!$L$29*(Calculations!$M199-Calculations!$C$9)+'Reaction Information'!$M$29*10^4*LN((Calculations!$C$12+Calculations!$M199)/(Calculations!$C$12+Calculations!$C$9)))+calculateOmega(Calculations!M199,Calculations!N199,Calculations!Q199,'Reaction Information'!$C$29,'Reaction Information'!$P$29*10^5,'Reaction Information'!$Q$29)*((1/Calculations!$S199)-1)-'Reaction Information'!$P$29*10^5*((1/Calculations!$C$10)-1)+'Reaction Information'!$P$29*10^5*Calculations!$C$14*(Calculations!$O199-Calculations!$C$8))</f>
        <v>#N/A</v>
      </c>
      <c r="AK199" s="8" t="e">
        <f>IF(ISBLANK(Input!$AM$4),NA(),'Reaction Information'!$E$33-'Reaction Information'!$G$33*(Calculations!$O199-Calculations!$C$8)-'Reaction Information'!$N$33*(Calculations!$O199*LN(Calculations!$O199/Calculations!$C$8)-Calculations!$O199+Calculations!$C$8)-'Reaction Information'!$O$33*10^4*(((1/(Calculations!$O199-Calculations!$C$13))-(1/(Calculations!$C$8-Calculations!$C$13)))*((Calculations!$C$13-Calculations!$O199)/(Calculations!$C$13))-(Calculations!$O199/(Calculations!$C$13*Calculations!$C$13))*LN((Calculations!$C$8*(Calculations!$O199-Calculations!$C$13))/(Calculations!$O199*(Calculations!$C$8-Calculations!$C$13))))+'Reaction Information'!$J$33*10^-1*(Calculations!$M199-Calculations!$C$9)+'Reaction Information'!$K$33*10^2*LN((Calculations!$C$12+Calculations!$M199)/(Calculations!$C$12+Calculations!$C$9))+(1/(Calculations!$O199-Calculations!$C$13))*('Reaction Information'!$L$33*(Calculations!$M199-Calculations!$C$9)+'Reaction Information'!$M$33*10^4*LN((Calculations!$C$12+Calculations!$M199)/(Calculations!$C$12+Calculations!$C$9)))+calculateOmega(Calculations!M199,Calculations!N199,Calculations!Q199,'Reaction Information'!$C$33,'Reaction Information'!$P$33*10^5,'Reaction Information'!$Q$33)*((1/Calculations!$S199)-1)-'Reaction Information'!$P$33*10^5*((1/Calculations!$C$10)-1)+'Reaction Information'!$P$33*10^5*Calculations!$C$14*(Calculations!$O199-Calculations!$C$8))</f>
        <v>#N/A</v>
      </c>
      <c r="AL199" s="1">
        <f>Results!S201</f>
        <v>0</v>
      </c>
      <c r="AM199" s="1">
        <f>Results!T201</f>
        <v>0</v>
      </c>
      <c r="AN199" s="1">
        <f>Results!U201</f>
        <v>0</v>
      </c>
      <c r="AO199" s="1">
        <f>Results!V201</f>
        <v>0</v>
      </c>
      <c r="AP199" s="8" t="e">
        <f>IF(ISBLANK(Input!$BB$4),NA(),'Reaction Information'!$E$38-'Reaction Information'!$G$38*(Calculations!$O199-Calculations!$C$8)+'Reaction Information'!$I$38*(Calculations!$O199-Calculations!$C$8-Calculations!$O199*LN(Calculations!$O199/Calculations!$C$8))+'Reaction Information'!$J$38*0.001/2*(2*Calculations!$O199*Calculations!$C$8-Calculations!$O199^2-Calculations!$C$8^2) + 'Reaction Information'!$K$38*100000*(Calculations!$O199^2 + Calculations!$C$8^2 - 2*Calculations!$O199*Calculations!$C$8)/(2*Calculations!$O199*Calculations!$C$8^2))</f>
        <v>#N/A</v>
      </c>
      <c r="AQ199" s="8" t="e">
        <f>IF(ISBLANK(Input!$BE$4),NA(),'Reaction Information'!$E$42-'Reaction Information'!$G$42*(Calculations!$O199-Calculations!$C$8)+'Reaction Information'!$I$42*(Calculations!$O199-Calculations!$C$8-Calculations!$O199*LN(Calculations!$O199/Calculations!$C$8))+'Reaction Information'!$J$42*0.001/2*(2*Calculations!$O199*Calculations!$C$8-Calculations!$O199^2-Calculations!$C$8^2) + 'Reaction Information'!$K$42*100000*(Calculations!$O199^2 + Calculations!$C$8^2 - 2*Calculations!$O199*Calculations!$C$8)/(2*Calculations!$O199*Calculations!$C$8^2))</f>
        <v>#N/A</v>
      </c>
      <c r="AR199" s="8" t="e">
        <f>IF(AR$5="H2O", IF($D$24=3,IF(T199=0,NA(),T199),calculateGibbsOfWater(M199,N199,$D$24,$D$20,$D$19=3)),NA())</f>
        <v>#N/A</v>
      </c>
      <c r="AS199" s="8" t="e">
        <f>IF(ISBLANK(Input!$BK$4),NA(),'Reaction Information'!$E$46-'Reaction Information'!$G$46*(Calculations!O199-Calculations!$C$8)-'Reaction Information'!$N$46*(Calculations!O199*LN(Calculations!O199/Calculations!$C$8)-Calculations!O199+Calculations!$C$8)-'Reaction Information'!$O$46*10^4*(((1/(Calculations!O199-Calculations!$C$13))-(1/(Calculations!$C$8-Calculations!$C$13)))*((Calculations!$C$13-Calculations!O199)/(Calculations!$C$13))-(Calculations!O199/(Calculations!$C$13*Calculations!$C$13))*LN((Calculations!$C$8*(Calculations!O199-Calculations!$C$13))/(Calculations!O199*(Calculations!$C$8-Calculations!$C$13))))+'Reaction Information'!$J$46*10^-1*(Calculations!$M199-Calculations!$C$9)+'Reaction Information'!$K$46*10^2*LN((Calculations!$C$12+Calculations!$M199)/(Calculations!$C$12+Calculations!$C$9))+(1/(Calculations!O199-Calculations!$C$13))*('Reaction Information'!$L$46*(Calculations!$M199-Calculations!$C$9)+'Reaction Information'!$M$46*10^4*LN((Calculations!$C$12+Calculations!$M199)/(Calculations!$C$12+Calculations!$C$9)))+calculateOmega(Calculations!M199,Calculations!N199,Calculations!Q199,'Reaction Information'!$C$46,'Reaction Information'!$P$46*10^5,'Reaction Information'!$Q$46)*((1/Calculations!S199)-1)-'Reaction Information'!$P$46*10^5*((1/Calculations!$C$10)-1)+'Reaction Information'!$P$46*10^5*Calculations!$C$14*(Calculations!O199-Calculations!$C$8))</f>
        <v>#VALUE!</v>
      </c>
      <c r="AT199" s="8" t="e">
        <f>IF(ISBLANK(Input!$BN$4),NA(),'Reaction Information'!$E$50-'Reaction Information'!$G$50*(Calculations!O199-Calculations!$C$8)-'Reaction Information'!$N$50*(Calculations!O199*LN(Calculations!O199/Calculations!$C$8)-Calculations!O199+Calculations!$C$8)-'Reaction Information'!$O$50*10^4*(((1/(Calculations!O199-Calculations!$C$13))-(1/(Calculations!$C$8-Calculations!$C$13)))*((Calculations!$C$13-Calculations!O199)/(Calculations!$C$13))-(Calculations!O199/(Calculations!$C$13*Calculations!$C$13))*LN((Calculations!$C$8*(Calculations!O199-Calculations!$C$13))/(Calculations!O199*(Calculations!$C$8-Calculations!$C$13))))+'Reaction Information'!$J$50*10^-1*(Calculations!$M199-Calculations!$C$9)+'Reaction Information'!$K$50*10^2*LN((Calculations!$C$12+Calculations!$M199)/(Calculations!$C$12+Calculations!$C$9))+(1/(Calculations!O199-Calculations!$C$13))*('Reaction Information'!$L$50*(Calculations!$M199-Calculations!$C$9)+'Reaction Information'!$M$50*10^4*LN((Calculations!$C$12+Calculations!$M199)/(Calculations!$C$12+Calculations!$C$9)))+calculateOmega(Calculations!M199,Calculations!N199,Calculations!Q199,'Reaction Information'!$C$50,'Reaction Information'!$P$50*10^5,'Reaction Information'!$Q$50)*((1/Calculations!S199)-1)-'Reaction Information'!$P$50*10^5*((1/Calculations!$C$10)-1)+'Reaction Information'!$P$50*10^5*Calculations!$C$14*(Calculations!O199-Calculations!$C$8))</f>
        <v>#VALUE!</v>
      </c>
      <c r="AU199" s="8" t="e">
        <f>IF(ISBLANK(Input!$BQ$4),NA(),'Reaction Information'!$E$54-'Reaction Information'!$G$54*(Calculations!$O199-Calculations!$C$8)-'Reaction Information'!$N$54*(Calculations!$O199*LN(Calculations!$O199/Calculations!$C$8)-Calculations!$O199+Calculations!$C$8)-'Reaction Information'!$O$54*10^4*(((1/(Calculations!$O199-Calculations!$C$13))-(1/(Calculations!$C$8-Calculations!$C$13)))*((Calculations!$C$13-Calculations!$O199)/(Calculations!$C$13))-(Calculations!$O199/(Calculations!$C$13*Calculations!$C$13))*LN((Calculations!$C$8*(Calculations!$O199-Calculations!$C$13))/(Calculations!$O199*(Calculations!$C$8-Calculations!$C$13))))+'Reaction Information'!$J$54*10^-1*(Calculations!$M199-Calculations!$C$9)+'Reaction Information'!$K$54*10^2*LN((Calculations!$C$12+Calculations!$M199)/(Calculations!$C$12+Calculations!$C$9))+(1/(Calculations!$O199-Calculations!$C$13))*('Reaction Information'!$L$54*(Calculations!$M199-Calculations!$C$9)+'Reaction Information'!$M$54*10^4*LN((Calculations!$C$12+Calculations!$M199)/(Calculations!$C$12+Calculations!$C$9)))+calculateOmega(Calculations!M199,Calculations!N199,Calculations!Q199,'Reaction Information'!$C$54,'Reaction Information'!$P$54*10^5,'Reaction Information'!$Q$54)*((1/Calculations!$S199)-1)-'Reaction Information'!$P$54*10^5*((1/Calculations!$C$10)-1)+'Reaction Information'!$P$54*10^5*Calculations!$C$14*(Calculations!$O199-Calculations!$C$8))</f>
        <v>#N/A</v>
      </c>
      <c r="AV199" s="8" t="e">
        <f>IF(ISBLANK(Input!$BT$4),NA(),'Reaction Information'!$E$58-'Reaction Information'!$G$58*(Calculations!$O199-Calculations!$C$8)-'Reaction Information'!$N$58*(Calculations!$O199*LN(Calculations!$O199/Calculations!$C$8)-Calculations!$O199+Calculations!$C$8)-'Reaction Information'!$O$58*10^4*(((1/(Calculations!$O199-Calculations!$C$13))-(1/(Calculations!$C$8-Calculations!$C$13)))*((Calculations!$C$13-Calculations!$O199)/(Calculations!$C$13))-(Calculations!$O199/(Calculations!$C$13*Calculations!$C$13))*LN((Calculations!$C$8*(Calculations!$O199-Calculations!$C$13))/(Calculations!$O199*(Calculations!$C$8-Calculations!$C$13))))+'Reaction Information'!$J$58*10^-1*(Calculations!$M199-Calculations!$C$9)+'Reaction Information'!$K$58*10^2*LN((Calculations!$C$12+Calculations!$M199)/(Calculations!$C$12+Calculations!$C$9))+(1/(Calculations!$O199-Calculations!$C$13))*('Reaction Information'!$L$58*(Calculations!$M199-Calculations!$C$9)+'Reaction Information'!$M$58*10^4*LN((Calculations!$C$12+Calculations!$M199)/(Calculations!$C$12+Calculations!$C$9)))+calculateOmega(Calculations!M199,Calculations!N199,Calculations!Q199,'Reaction Information'!$C$58,'Reaction Information'!$P$58*10^5,'Reaction Information'!$Q$58)*((1/Calculations!$S199)-1)-'Reaction Information'!$P$58*10^5*((1/Calculations!$C$10)-1)+'Reaction Information'!$P$58*10^5*Calculations!$C$14*(Calculations!$O199-Calculations!$C$8))</f>
        <v>#N/A</v>
      </c>
      <c r="AW199" s="8" t="e">
        <f>IF(ISBLANK(Input!$BW$4),NA(),'Reaction Information'!$E$62-'Reaction Information'!$G$62*(Calculations!$O199-Calculations!$C$8)-'Reaction Information'!$N$62*(Calculations!$O199*LN(Calculations!$O199/Calculations!$C$8)-Calculations!$O199+Calculations!$C$8)-'Reaction Information'!$O$62*10^4*(((1/(Calculations!$O199-Calculations!$C$13))-(1/(Calculations!$C$8-Calculations!$C$13)))*((Calculations!$C$13-Calculations!$O199)/(Calculations!$C$13))-(Calculations!$O199/(Calculations!$C$13*Calculations!$C$13))*LN((Calculations!$C$8*(Calculations!$O199-Calculations!$C$13))/(Calculations!$O199*(Calculations!$C$8-Calculations!$C$13))))+'Reaction Information'!$J$62*10^-1*(Calculations!$M199-Calculations!$C$9)+'Reaction Information'!$K$62*10^2*LN((Calculations!$C$12+Calculations!$M199)/(Calculations!$C$12+Calculations!$C$9))+(1/(Calculations!$O199-Calculations!$C$13))*('Reaction Information'!$L$62*(Calculations!$M199-Calculations!$C$9)+'Reaction Information'!$M$62*10^4*LN((Calculations!$C$12+Calculations!$M199)/(Calculations!$C$12+Calculations!$C$9)))+calculateOmega(Calculations!M199,Calculations!N199,Calculations!Q199,'Reaction Information'!$C$62,'Reaction Information'!$P$62*10^5,'Reaction Information'!$Q$62)*((1/Calculations!$S199)-1)-'Reaction Information'!$P$62*10^5*((1/Calculations!$C$10)-1)+'Reaction Information'!$P$62*10^5*Calculations!$C$14*(Calculations!$O199-Calculations!$C$8))</f>
        <v>#N/A</v>
      </c>
      <c r="AX199" s="8" t="e">
        <f>IF(ISBLANK(Input!$BZ$4),NA(),'Reaction Information'!$E$66-'Reaction Information'!$G$66*(Calculations!$O199-Calculations!$C$8)-'Reaction Information'!$N$66*(Calculations!$O199*LN(Calculations!$O199/Calculations!$C$8)-Calculations!$O199+Calculations!$C$8)-'Reaction Information'!$O$66*10^4*(((1/(Calculations!$O199-Calculations!$C$13))-(1/(Calculations!$C$8-Calculations!$C$13)))*((Calculations!$C$13-Calculations!$O199)/(Calculations!$C$13))-(Calculations!$O199/(Calculations!$C$13*Calculations!$C$13))*LN((Calculations!$C$8*(Calculations!$O199-Calculations!$C$13))/(Calculations!$O199*(Calculations!$C$8-Calculations!$C$13))))+'Reaction Information'!$J$66*10^-1*(Calculations!$M199-Calculations!$C$9)+'Reaction Information'!$K$66*10^2*LN((Calculations!$C$12+Calculations!$M199)/(Calculations!$C$12+Calculations!$C$9))+(1/(Calculations!$O199-Calculations!$C$13))*('Reaction Information'!$L$66*(Calculations!$M199-Calculations!$C$9)+'Reaction Information'!$M$66*10^4*LN((Calculations!$C$12+Calculations!$M199)/(Calculations!$C$12+Calculations!$C$9)))+calculateOmega(Calculations!M199,Calculations!N199,Calculations!Q199,'Reaction Information'!$C$66,'Reaction Information'!$P$66*10^5,'Reaction Information'!$Q$66)*((1/Calculations!$S199)-1)-'Reaction Information'!$P$66*10^5*((1/Calculations!$C$10)-1)+'Reaction Information'!$P$66*10^5*Calculations!$C$14*(Calculations!$O199-Calculations!$C$8))</f>
        <v>#N/A</v>
      </c>
      <c r="AY199" s="31" t="e">
        <f>(AL199*Input!$AO$4+AM199*Input!$AR$4+AN199*Input!$AU$4+AO199*Input!$AX$4+IF(ISNA(AP199),0,AP199*Input!$BA$4)+IF(ISNA(AQ199),0,AQ199*Input!$BD$4)+IF(ISNA(AR199),0,AR199*Input!$BG$4)+IF(ISNA(AS199),0,AS199*Input!$BJ$4)+IF(ISNA(AT199),0,AT199*Input!$BM$4)+IF(ISNA(AU199),0,AU199*Input!$BP$4)+IF(ISNA(AV199),0,AV199*Input!$BS$4)+IF(ISNA(AW199),0,AW199*Input!$BV$4)+IF(ISNA(AX199),0,AX199*Input!$BY$4))-(Y199*Input!$B$4+Z199*Input!$E$4+AA199*Input!$H$4+AB199*Input!$K$4+IF(ISNA(AC199),0,AC199*Input!$N$4)+IF(ISNA(AD199),0,AD199*Input!$Q$4)+IF(ISNA(AE199),0,AE199*Input!$T$4)+IF(ISNA(AF199),0,AF199*Input!$W$4)+IF(ISNA(AG199),0,AG199*Input!$Z$4)+IF(ISNA(AH199),0,AH199*Input!$AC$4)+IF(ISNA(AI199),0,AI199*Input!$AF$4)+IF(ISNA(AJ199),0,AJ199*Input!$AI$4)+IF(ISNA(AK199),0,AK199*Input!$AL$4))</f>
        <v>#VALUE!</v>
      </c>
      <c r="AZ199" s="42" t="e">
        <f t="shared" si="58"/>
        <v>#VALUE!</v>
      </c>
      <c r="BA199" s="1" t="str">
        <f t="shared" ref="BA199:BA205" si="65">$N199</f>
        <v/>
      </c>
      <c r="BB199" s="46" t="str">
        <f t="shared" ref="BB199:BB205" si="66">$M199</f>
        <v/>
      </c>
      <c r="BC199" s="1"/>
      <c r="BD199" s="2" t="str">
        <f t="shared" ref="BD199:BD205" si="67">$M199</f>
        <v/>
      </c>
      <c r="BE199" s="46" t="str">
        <f t="shared" ref="BE199:BE205" si="68">$N199</f>
        <v/>
      </c>
      <c r="BF199" s="1">
        <f>Results!AJ201</f>
        <v>0</v>
      </c>
      <c r="BG199" s="1">
        <f>Results!AK201</f>
        <v>0</v>
      </c>
      <c r="BH199" s="1">
        <f>Results!AL201</f>
        <v>0</v>
      </c>
      <c r="BI199" s="1">
        <f>Results!AM201</f>
        <v>0</v>
      </c>
      <c r="BJ199" s="1" t="e">
        <f>IF(OR(ISNA('Reaction Information'!$D$5), $N199 = "", $D$27 = FALSE, 'Reaction Information'!$D$5 = ""), NA(), 24.465)</f>
        <v>#N/A</v>
      </c>
      <c r="BK199" s="1" t="e">
        <f>IF(OR(ISNA('Reaction Information'!$D$9), $N199 = "", $D$27 = FALSE, 'Reaction Information'!$D$9 = ""), NA(), 24.465)</f>
        <v>#N/A</v>
      </c>
      <c r="BL199" s="8" t="e">
        <f t="shared" si="59"/>
        <v>#VALUE!</v>
      </c>
      <c r="BM199" s="8" t="e">
        <f>IF(OR(ISBLANK(Input!$X$4),$D$27=FALSE),NA(),('Reaction Information'!$J$13/10+'Reaction Information'!$K$13*100/(Calculations!$C$12+Calculations!$M199)+('Reaction Information'!$L$13+'Reaction Information'!$M$13*10^4/(Calculations!$C$12+Calculations!$M199))/(Calculations!$O199-Calculations!$C$13) -calculateOmega(Calculations!$M199,Calculations!$N199,Calculations!$Q199,'Reaction Information'!$C$13,'Reaction Information'!$P$13*10^5,'Reaction Information'!$Q$13)*Calculations!$U199*10^-6 + (1/$S199 - 1)*calculate_domegadP(Calculations!$M199,Calculations!$N199,Calculations!$Q199,'Reaction Information'!$C$13,'Reaction Information'!$P$13*10^5,'Reaction Information'!$Q$13,$D$20,$D$19=3))*41.84)</f>
        <v>#VALUE!</v>
      </c>
      <c r="BN199" s="8" t="e">
        <f>IF(OR(ISBLANK(Input!$AA$4),$D$27=FALSE),NA(),('Reaction Information'!$J$17/10+'Reaction Information'!$K$17*100/(Calculations!$C$12+Calculations!$M199)+('Reaction Information'!$L$17+'Reaction Information'!$M$17*10000/(Calculations!$C$12+Calculations!$M199))/(Calculations!$O199-Calculations!$C$13)-calculateOmega(Calculations!M199,Calculations!N199,Calculations!Q199,'Reaction Information'!$C$17,'Reaction Information'!$P$17*10^5,'Reaction Information'!$Q$17)*Calculations!$U199*10^-6 + (1/$S199 - 1)*calculate_domegadP(Calculations!M199,Calculations!N199,Calculations!Q199,'Reaction Information'!$C$17,'Reaction Information'!$P$17*10^5,'Reaction Information'!$Q$17,$D$20,$D$19=3))*41.84)</f>
        <v>#N/A</v>
      </c>
      <c r="BO199" s="8" t="e">
        <f>IF(OR(ISBLANK(Input!$AD$4),$D$27=FALSE),NA(),('Reaction Information'!$J$21/10+'Reaction Information'!$K$21*100/(Calculations!$C$12+Calculations!$M199)+('Reaction Information'!$L$21+'Reaction Information'!$M$21*10000/(Calculations!$C$12+Calculations!$M199))/(Calculations!$O199-Calculations!$C$13)-calculateOmega(Calculations!M199,Calculations!N199,Calculations!Q199,'Reaction Information'!$C$21,'Reaction Information'!$P$21*10^5,'Reaction Information'!$Q$21)*Calculations!$U199*10^-6 + (1/$S199 - 1)*calculate_domegadP(Calculations!M199,Calculations!N199,Calculations!Q199,'Reaction Information'!$C$21,'Reaction Information'!$P$21*10^5,'Reaction Information'!$Q$21,$D$20,$D$19=3))*41.84)</f>
        <v>#N/A</v>
      </c>
      <c r="BP199" s="8" t="e">
        <f>IF(OR(ISBLANK(Input!$AG$4),$D$27=FALSE),NA(),('Reaction Information'!$J$25/10+'Reaction Information'!$K$25*100/(Calculations!$C$12+Calculations!$M199)+('Reaction Information'!$L$25+'Reaction Information'!$M$25*10000/(Calculations!$C$12+Calculations!$M199))/(Calculations!$O199-Calculations!$C$13)-calculateOmega(Calculations!M199,Calculations!N199,Calculations!Q199,'Reaction Information'!$C$25,'Reaction Information'!$P$25*10^5,'Reaction Information'!$Q$25)*Calculations!$U199*10^-6 + (1/$S199 - 1)*calculate_domegadP(Calculations!M199,Calculations!N199,Calculations!Q199,'Reaction Information'!$C$25,'Reaction Information'!$P$25*10^5,'Reaction Information'!$Q$25,$D$20,$D$19=3))*41.84)</f>
        <v>#N/A</v>
      </c>
      <c r="BQ199" s="8" t="e">
        <f>IF(OR(ISBLANK(Input!$AJ$4),$D$27=FALSE),NA(),('Reaction Information'!$J$29/10+'Reaction Information'!$K$29*100/(Calculations!$C$12+Calculations!$M199)+('Reaction Information'!$L$29+'Reaction Information'!$M$29*10000/(Calculations!$C$12+Calculations!$M199))/(Calculations!$O199-Calculations!$C$13)-calculateOmega(Calculations!M199,Calculations!N199,Calculations!Q199,'Reaction Information'!$C$29,'Reaction Information'!$P$29*10^5,'Reaction Information'!$Q$29)*Calculations!$U199*10^-6 + (1/$S199 - 1)*calculate_domegadP(Calculations!M199,Calculations!N199,Calculations!Q199,'Reaction Information'!$C$29,'Reaction Information'!$P$29*10^5,'Reaction Information'!$Q$29,$D$20,$D$19=3))*41.84)</f>
        <v>#N/A</v>
      </c>
      <c r="BR199" s="8" t="e">
        <f>IF(OR(ISBLANK(Input!$AM$4),$D$27=FALSE),NA(),('Reaction Information'!$J$33/10+'Reaction Information'!$K$33*100/(Calculations!$C$12+Calculations!$M199)+('Reaction Information'!$L$33+'Reaction Information'!$M$33*10000/(Calculations!$C$12+Calculations!$M199))/(Calculations!$O199-Calculations!$C$13)-calculateOmega(Calculations!M199,Calculations!N199,Calculations!Q199,'Reaction Information'!$C$33,'Reaction Information'!$P$33*10^5,'Reaction Information'!$Q$33)*Calculations!$U199*10^-6 + (1/$S199 - 1)*calculate_domegadP(Calculations!M199,Calculations!N199,Calculations!Q199,'Reaction Information'!$C$33,'Reaction Information'!$P$33*10^5,'Reaction Information'!$Q$33,$D$20,$D$19=3))*41.84)</f>
        <v>#N/A</v>
      </c>
      <c r="BS199" s="1">
        <f>Results!AW201</f>
        <v>0</v>
      </c>
      <c r="BT199" s="1">
        <f>Results!AX201</f>
        <v>0</v>
      </c>
      <c r="BU199" s="1">
        <f>Results!AY201</f>
        <v>0</v>
      </c>
      <c r="BV199" s="1">
        <f>Results!AZ201</f>
        <v>0</v>
      </c>
      <c r="BW199" s="1" t="e">
        <f>IF(OR(ISNA('Reaction Information'!$D$38), $N199 = "", $D$27 = FALSE, 'Reaction Information'!$D$38 = ""), NA(), 24.465)</f>
        <v>#N/A</v>
      </c>
      <c r="BX199" s="1" t="e">
        <f>IF(OR(ISNA('Reaction Information'!$D$42), $N199 = "", $D$27 = FALSE, 'Reaction Information'!$D$42 = ""), NA(), 24.465)</f>
        <v>#N/A</v>
      </c>
      <c r="BY199" s="8" t="e">
        <f t="shared" si="60"/>
        <v>#N/A</v>
      </c>
      <c r="BZ199" s="8" t="e">
        <f>IF(OR(ISBLANK(Input!$BK$4),$D$27=FALSE),NA(),('Reaction Information'!$J$46/10+'Reaction Information'!$K$46*100/(Calculations!$C$12+Calculations!$M199)+('Reaction Information'!$L$46+'Reaction Information'!$M$46*10000/(Calculations!$C$12+Calculations!$M199))/(Calculations!$O199-Calculations!$C$13)-calculateOmega(Calculations!M199,Calculations!N199,Calculations!Q199,'Reaction Information'!$C$46,'Reaction Information'!$P$46*10^5,'Reaction Information'!$Q$46)*Calculations!$U199*10^-6 + (1/$S199 - 1)*calculate_domegadP(Calculations!M199,Calculations!N199,Calculations!Q199,'Reaction Information'!$C$46,'Reaction Information'!$P$46*10^5,'Reaction Information'!$Q$46,$D$20,$D$19=3))*41.84)</f>
        <v>#VALUE!</v>
      </c>
      <c r="CA199" s="8" t="e">
        <f>IF(OR(ISBLANK(Input!$BN$4),$D$27=FALSE),NA(),('Reaction Information'!$J$50/10+'Reaction Information'!$K$50*100/(Calculations!$C$12+Calculations!$M199)+('Reaction Information'!$L$50+'Reaction Information'!$M$50*10000/(Calculations!$C$12+Calculations!$M199))/(Calculations!$O199-Calculations!$C$13)-calculateOmega(Calculations!M199,Calculations!N199,Calculations!Q199,'Reaction Information'!$C$50,'Reaction Information'!$P$50*10^5,'Reaction Information'!$Q$50)*Calculations!$U199*10^-6 + (1/$S199 - 1)*calculate_domegadP(Calculations!M199,Calculations!N199,Calculations!Q199,'Reaction Information'!$C$50,'Reaction Information'!$P$50*10^5,'Reaction Information'!$Q$50,$D$20,$D$19=3))*41.84)</f>
        <v>#VALUE!</v>
      </c>
      <c r="CB199" s="8" t="e">
        <f>IF(OR(ISBLANK(Input!$BQ$4),$D$27=FALSE),NA(),('Reaction Information'!$J$54/10+'Reaction Information'!$K$54*100/(Calculations!$C$12+Calculations!$M199)+('Reaction Information'!$L$54+'Reaction Information'!$M$54*10000/(Calculations!$C$12+Calculations!$M199))/(Calculations!$O199-Calculations!$C$13)-calculateOmega(Calculations!M199,Calculations!N199,Calculations!Q199,'Reaction Information'!$C$54,'Reaction Information'!$P$54*10^5,'Reaction Information'!$Q$54)*Calculations!$U199*10^-6 + (1/$S199 - 1)*calculate_domegadP(Calculations!M199,Calculations!N199,Calculations!Q199,'Reaction Information'!$C$54,'Reaction Information'!$P$54*10^5,'Reaction Information'!$Q$54,$D$20,$D$19=3))*41.84)</f>
        <v>#N/A</v>
      </c>
      <c r="CC199" s="8" t="e">
        <f>IF(OR(ISBLANK(Input!$BT$4),$D$27=FALSE),NA(),('Reaction Information'!$J$58/10+'Reaction Information'!$K$58*100/(Calculations!$C$12+Calculations!$M199)+('Reaction Information'!$L$58+'Reaction Information'!$M$58*10000/(Calculations!$C$12+Calculations!$M199))/(Calculations!$O199-Calculations!$C$13)-calculateOmega(Calculations!M199,Calculations!N199,Calculations!Q199,'Reaction Information'!$C$58,'Reaction Information'!$P$58*10^5,'Reaction Information'!$Q$58)*Calculations!$U199*10^-6 + (1/$S199 - 1)*calculate_domegadP(Calculations!M199,Calculations!N199,Calculations!Q199,'Reaction Information'!$C$58,'Reaction Information'!$P$58*10^5,'Reaction Information'!$Q$58,$D$20,$D$19=3))*41.84)</f>
        <v>#N/A</v>
      </c>
      <c r="CD199" s="8" t="e">
        <f>IF(OR(ISBLANK(Input!$BW$4),$D$27=FALSE),NA(),('Reaction Information'!$J$62/10+'Reaction Information'!$K$62*100/(Calculations!$C$12+Calculations!$M199)+('Reaction Information'!$L$62+'Reaction Information'!$M$62*10000/(Calculations!$C$12+Calculations!$M199))/(Calculations!$O199-Calculations!$C$13)-calculateOmega(Calculations!M199,Calculations!N199,Calculations!Q199,'Reaction Information'!$C$62,'Reaction Information'!$P$62*10^5,'Reaction Information'!$Q$62)*Calculations!$U199*10^-6 + (1/$S199 - 1)*calculate_domegadP(Calculations!M199,Calculations!N199,Calculations!Q199,'Reaction Information'!$C$62,'Reaction Information'!$P$62*10^5,'Reaction Information'!$Q$62,$D$20,$D$19=3))*41.84)</f>
        <v>#N/A</v>
      </c>
      <c r="CE199" s="8" t="e">
        <f>IF(OR(ISBLANK(Input!$BZ$4),$D$27=FALSE),NA(),('Reaction Information'!$J$66/10+'Reaction Information'!$K$66*100/(Calculations!$C$12+Calculations!$M199)+('Reaction Information'!$L$66+'Reaction Information'!$M$66*10000/(Calculations!$C$12+Calculations!$M199))/(Calculations!$O199-Calculations!$C$13)-calculateOmega(Calculations!M199,Calculations!N199,Calculations!Q199,'Reaction Information'!$C$66,'Reaction Information'!$P$66*10^5,'Reaction Information'!$Q$66)*Calculations!$U199*10^-6 + (1/$S199 - 1)*calculate_domegadP(Calculations!M199,Calculations!N199,Calculations!Q199,'Reaction Information'!$C$66,'Reaction Information'!$P$66*10^5,'Reaction Information'!$Q$66,$D$20,$D$19=3))*41.84)</f>
        <v>#N/A</v>
      </c>
      <c r="CF199" s="31" t="e">
        <f>(BS199*Input!$AO$4+BT199*Input!$AR$4+BU199*Input!$AU$4+BV199*Input!$AX$4+IF(ISNA(BW199),0,BW199*Input!$BA$4)+IF(ISNA(BX199),0,BX199*Input!$BD$4)+IF(ISNA(BY199),0,BY199*Input!$BG$4)+IF(ISNA(BZ199),0,BZ199*Input!$BJ$4)+IF(ISNA(CA199),0,CA199*Input!$BM$4)+IF(ISNA(CB199),0,CB199*Input!$BP$4)+IF(ISNA(CC199),0,CC199*Input!$BS$4)+IF(ISNA(CD199),0,CD199*Input!$BV$4)+IF(ISNA(CE199),0,CE199*Input!$BY$4))-(BF199*Input!$B$4+BG199*Input!$E$4+BH199*Input!$H$4+BI199*Input!$K$4+IF(ISNA(BJ199),0,BJ199*Input!$N$4)+IF(ISNA(BK199),0,BK199*Input!$Q$4)+IF(ISNA(BL199),0,BL199*Input!$T$4)+IF(ISNA(BM199),0,BM199*Input!$W$4)+IF(ISNA(BN199),0,BN199*Input!$Z$4)+IF(ISNA(BO199),0,BO199*Input!$AC$4)+IF(ISNA(BP199),0,BP199*Input!$AF$4)+IF(ISNA(BQ199),0,BQ199*Input!$AI$4)+IF(ISNA(BR199),0,BR199*Input!$AL$4))</f>
        <v>#VALUE!</v>
      </c>
      <c r="CG199" s="1" t="str">
        <f t="shared" ref="CG199:CG205" si="69">$N199</f>
        <v/>
      </c>
      <c r="CH199" s="46" t="str">
        <f t="shared" ref="CH199:CH205" si="70">$M199</f>
        <v/>
      </c>
      <c r="CI199" s="1"/>
    </row>
    <row r="200" spans="1:87" x14ac:dyDescent="0.2">
      <c r="A200" s="1"/>
      <c r="B200" s="1"/>
      <c r="C200" s="1"/>
      <c r="D200" s="1"/>
      <c r="E200" s="1"/>
      <c r="F200" s="2">
        <v>195</v>
      </c>
      <c r="G200" s="1" t="str">
        <f>IF(ISBLANK(Input!CB200), "", Input!CB200*1000)</f>
        <v/>
      </c>
      <c r="H200" s="1" t="str">
        <f>IF(ISBLANK(Input!CC200), "", Input!CC200)</f>
        <v/>
      </c>
      <c r="I200" s="1" t="str">
        <f>IF(Input!$CF$5 + Input!$CF$6*(FLOOR((Calculations!$F200-1)/(FLOOR((Input!$CF$12-Input!$CF$10)/Input!$CF$11,1)+1),1)) &gt; Input!$CF$7, "", (Input!$CF$5 + Input!$CF$6*(FLOOR((Calculations!$F200-1)/(FLOOR((Input!$CF$12-Input!$CF$10)/Input!$CF$11,1)+1),1)))*1000)</f>
        <v/>
      </c>
      <c r="J200" s="1" t="str">
        <f>IF(Calculations!I200 = "", "", Input!$CF$10 + Input!$CF$11*(Calculations!$F200-1) - (FLOOR((Input!$CF$12-Input!$CF$10)/Input!$CF$11,1)+1)*Input!$CF$11*FLOOR((Calculations!$F200-1)/(FLOOR((Input!$CF$12-Input!$CF$10)/Input!$CF$11,1)+1),1))</f>
        <v/>
      </c>
      <c r="K200" s="8" t="str">
        <f t="shared" ref="K200:K205" si="71">IF(L200 = "", "", IF(L200&lt;100, 1, 2.1650906415E-11*L200^5 + 0.0008467019353*L200^2 - 0.17973651666*L200 + 10.7768850763807))</f>
        <v/>
      </c>
      <c r="L200" s="117" t="str">
        <f>IF(OR(Input!$CJ$5 + Input!$CJ$6*(Calculations!F200-1) &gt; Input!$CJ$7, Input!$CJ$5 + Input!$CJ$6*(Calculations!F200-1) &gt; 350), "", Input!$CJ$5 + Input!$CJ$6*(Calculations!F200-1))</f>
        <v/>
      </c>
      <c r="M200" s="1" t="str">
        <f t="shared" si="61"/>
        <v/>
      </c>
      <c r="N200" s="1" t="str">
        <f t="shared" si="62"/>
        <v/>
      </c>
      <c r="O200" s="1" t="e">
        <f t="shared" si="57"/>
        <v>#VALUE!</v>
      </c>
      <c r="P200" s="1" t="e">
        <f>IF(OR($D$20=3,AND($D$21=TRUE,M200&lt;1000)),INDEX('Water Density'!$C$6:$CX$120,MATCH(Calculations!N200,'Water Density'!$B$6:$B$120),MATCH(Calculations!M200/1000,'Water Density'!$C$5:$CX$5)),NA())</f>
        <v>#N/A</v>
      </c>
      <c r="Q200" s="182" t="e">
        <f>IF(OR($D$20=3,AND($D$21=TRUE,M200&lt;1000)), IF(P200&lt;&gt;0,P200,NA()), calculateDensity(M200,N200,$D$20,0.01,$D$19 = 3))</f>
        <v>#VALUE!</v>
      </c>
      <c r="R200" s="1" t="e">
        <f>IF($D$22=5,INDEX('Dielectric Constant'!$C$6:$CX$120,MATCH(Calculations!N200,'Dielectric Constant'!$B$6:$B$120),MATCH(Calculations!M200/1000,'Dielectric Constant'!$C$5:$CX$5)),NA())</f>
        <v>#N/A</v>
      </c>
      <c r="S200" s="58" t="e">
        <f>IF($D$22=5, IF(R200&lt;&gt;0,R200,NA()), IF(AND($D$23,M200&lt;=5000,$D$19 &lt;&gt; 3),calculateEpsilon(Q200,N200,1,FALSE),calculateEpsilon(Q200,N200,$D$22,$D$19 = 3)))</f>
        <v>#VALUE!</v>
      </c>
      <c r="T200" s="1" t="e">
        <f>IF($D$24=3,INDEX('Water Free Energy'!$C$6:$CX$120,MATCH(Calculations!N200,'Water Free Energy'!$B$6:$B$120),MATCH(Calculations!M200/1000,'Water Free Energy'!$C$5:$CX$5)),NA())</f>
        <v>#N/A</v>
      </c>
      <c r="U200" s="179" t="e">
        <f>IF($D$27,calculateQ(M200,N200,Q200,$D$20,$D$22,$D$19=3)*10^6,NA())</f>
        <v>#VALUE!</v>
      </c>
      <c r="V200"/>
      <c r="W200" s="2" t="str">
        <f t="shared" si="63"/>
        <v/>
      </c>
      <c r="X200" s="1" t="str">
        <f t="shared" si="64"/>
        <v/>
      </c>
      <c r="Y200" s="1">
        <f>Results!F202</f>
        <v>0</v>
      </c>
      <c r="Z200" s="1">
        <f>Results!G202</f>
        <v>0</v>
      </c>
      <c r="AA200" s="1">
        <f>Results!H202</f>
        <v>0</v>
      </c>
      <c r="AB200" s="1">
        <f>Results!I202</f>
        <v>0</v>
      </c>
      <c r="AC200" s="1" t="e">
        <f>IF(ISBLANK(Input!$O$4),NA(),'Reaction Information'!$E$5-'Reaction Information'!$G$5*(Calculations!$O200-Calculations!$C$8)+'Reaction Information'!$I$5*(Calculations!$O200-Calculations!$C$8-Calculations!$O200*LN(Calculations!$O200/Calculations!$C$8))+'Reaction Information'!$J$5*0.001/2*(2*Calculations!$O200*Calculations!$C$8-Calculations!$O200^2-Calculations!$C$8^2) + 'Reaction Information'!$K$5*100000*(Calculations!$O200^2 + Calculations!$C$8^2 - 2*Calculations!$O200*Calculations!$C$8)/(2*Calculations!$O200*Calculations!$C$8^2))</f>
        <v>#N/A</v>
      </c>
      <c r="AD200" s="8" t="e">
        <f>IF(ISBLANK(Input!$R$4),NA(),'Reaction Information'!$E$9-'Reaction Information'!$G$9*(Calculations!$O200-Calculations!$C$8)+'Reaction Information'!$I$9*(Calculations!$O200-Calculations!$C$8-Calculations!$O200*LN(Calculations!$O200/Calculations!$C$8))+'Reaction Information'!$J$9*0.001/2*(2*Calculations!$O200*Calculations!$C$8-Calculations!$O200^2-Calculations!$C$8^2) + 'Reaction Information'!$K$9*100000*(Calculations!$O200^2 + Calculations!$C$8^2 - 2*Calculations!$O200*Calculations!$C$8)/(2*Calculations!$O200*Calculations!$C$8^2))</f>
        <v>#N/A</v>
      </c>
      <c r="AE200" s="8" t="e">
        <f>IF(AE$5="H2O",IF($D$24=3,IF(T200=0,NA(),T200),calculateGibbsOfWater(M200,N200,$D$24,$D$20,$D$19=3)),NA())</f>
        <v>#VALUE!</v>
      </c>
      <c r="AF200" s="8" t="e">
        <f>IF(ISBLANK(Input!$X$4),NA(),'Reaction Information'!$E$13-'Reaction Information'!$G$13*(Calculations!O200-Calculations!$C$8)-'Reaction Information'!$N$13*(Calculations!O200*LN(Calculations!O200/Calculations!$C$8)-Calculations!O200+Calculations!$C$8)-'Reaction Information'!$O$13*10^4*(((1/(Calculations!O200-Calculations!$C$13))-(1/(Calculations!$C$8-Calculations!$C$13)))*((Calculations!$C$13-Calculations!O200)/(Calculations!$C$13))-(Calculations!O200/(Calculations!$C$13*Calculations!$C$13))*LN((Calculations!$C$8*(Calculations!O200-Calculations!$C$13))/(Calculations!O200*(Calculations!$C$8-Calculations!$C$13))))+'Reaction Information'!$J$13*10^-1*(Calculations!M200-Calculations!$C$9)+'Reaction Information'!$K$13*10^2*LN((Calculations!$C$12+Calculations!M200)/(Calculations!$C$12+Calculations!$C$9))+(1/(Calculations!O200-Calculations!$C$13))*('Reaction Information'!$L$13*(Calculations!M200-Calculations!$C$9)+'Reaction Information'!$M$13*10^4*LN((Calculations!$C$12+Calculations!M200)/(Calculations!$C$12+Calculations!$C$9)))+calculateOmega(Calculations!M200,Calculations!N200,Calculations!Q200,'Reaction Information'!$C$13,'Reaction Information'!$P$13*10^5,'Reaction Information'!$Q$13)*((1/Calculations!S200)-1)-'Reaction Information'!$P$13*10^5*((1/Calculations!$C$10)-1)+'Reaction Information'!$P$13*10^5*Calculations!$C$14*(Calculations!O200-Calculations!$C$8))</f>
        <v>#VALUE!</v>
      </c>
      <c r="AG200" s="8" t="e">
        <f>IF(ISBLANK(Input!$AA$4),NA(),'Reaction Information'!$E$17-'Reaction Information'!$G$17*(Calculations!$O200-Calculations!$C$8)-'Reaction Information'!$N$17*(Calculations!$O200*LN(Calculations!$O200/Calculations!$C$8)-Calculations!$O200+Calculations!$C$8)-'Reaction Information'!$O$17*10^4*(((1/(Calculations!$O200-Calculations!$C$13))-(1/(Calculations!$C$8-Calculations!$C$13)))*((Calculations!$C$13-Calculations!$O200)/(Calculations!$C$13))-(Calculations!$O200/(Calculations!$C$13*Calculations!$C$13))*LN((Calculations!$C$8*(Calculations!$O200-Calculations!$C$13))/(Calculations!$O200*(Calculations!$C$8-Calculations!$C$13))))+'Reaction Information'!$J$17*10^-1*(Calculations!$M200-Calculations!$C$9)+'Reaction Information'!$K$17*10^2*LN((Calculations!$C$12+Calculations!$M200)/(Calculations!$C$12+Calculations!$C$9))+(1/(Calculations!$O200-Calculations!$C$13))*('Reaction Information'!$L$17*(Calculations!$M200-Calculations!$C$9)+'Reaction Information'!$M$17*10^4*LN((Calculations!$C$12+Calculations!$M200)/(Calculations!$C$12+Calculations!$C$9)))+calculateOmega(Calculations!M200,Calculations!N200,Calculations!Q200,'Reaction Information'!$C$17,'Reaction Information'!$P$17*10^5,'Reaction Information'!$Q$17)*((1/Calculations!$S200)-1)-'Reaction Information'!$P$17*10^5*((1/Calculations!$C$10)-1)+'Reaction Information'!$P$17*10^5*Calculations!$C$14*(Calculations!$O200-Calculations!$C$8))</f>
        <v>#N/A</v>
      </c>
      <c r="AH200" s="8" t="e">
        <f>IF(ISBLANK(Input!$AD$4),NA(),'Reaction Information'!$E$21-'Reaction Information'!$G$21*(Calculations!$O200-Calculations!$C$8)-'Reaction Information'!$N$21*(Calculations!$O200*LN(Calculations!$O200/Calculations!$C$8)-Calculations!$O200+Calculations!$C$8)-'Reaction Information'!$O$21*10^4*(((1/(Calculations!$O200-Calculations!$C$13))-(1/(Calculations!$C$8-Calculations!$C$13)))*((Calculations!$C$13-Calculations!$O200)/(Calculations!$C$13))-(Calculations!$O200/(Calculations!$C$13*Calculations!$C$13))*LN((Calculations!$C$8*(Calculations!$O200-Calculations!$C$13))/(Calculations!$O200*(Calculations!$C$8-Calculations!$C$13))))+'Reaction Information'!$J$21*10^-1*(Calculations!$M200-Calculations!$C$9)+'Reaction Information'!$K$21*10^2*LN((Calculations!$C$12+Calculations!$M200)/(Calculations!$C$12+Calculations!$C$9))+(1/(Calculations!$O200-Calculations!$C$13))*('Reaction Information'!$L$21*(Calculations!$M200-Calculations!$C$9)+'Reaction Information'!$M$21*10^4*LN((Calculations!$C$12+Calculations!$M200)/(Calculations!$C$12+Calculations!$C$9)))+calculateOmega(Calculations!M200,Calculations!N200,Calculations!Q200,'Reaction Information'!$C$21,'Reaction Information'!$P$21*10^5,'Reaction Information'!$Q$21)*((1/Calculations!$S200)-1)-'Reaction Information'!$P$21*10^5*((1/Calculations!$C$10)-1)+'Reaction Information'!$P$21*10^5*Calculations!$C$14*(Calculations!$O200-Calculations!$C$8))</f>
        <v>#N/A</v>
      </c>
      <c r="AI200" s="8" t="e">
        <f>IF(ISBLANK(Input!$AG$4),NA(),'Reaction Information'!$E$25-'Reaction Information'!$G$25*(Calculations!$O200-Calculations!$C$8)-'Reaction Information'!$N$25*(Calculations!$O200*LN(Calculations!$O200/Calculations!$C$8)-Calculations!$O200+Calculations!$C$8)-'Reaction Information'!$O$25*10^4*(((1/(Calculations!$O200-Calculations!$C$13))-(1/(Calculations!$C$8-Calculations!$C$13)))*((Calculations!$C$13-Calculations!$O200)/(Calculations!$C$13))-(Calculations!$O200/(Calculations!$C$13*Calculations!$C$13))*LN((Calculations!$C$8*(Calculations!$O200-Calculations!$C$13))/(Calculations!$O200*(Calculations!$C$8-Calculations!$C$13))))+'Reaction Information'!$J$25*10^-1*(Calculations!$M200-Calculations!$C$9)+'Reaction Information'!$K$25*10^2*LN((Calculations!$C$12+Calculations!$M200)/(Calculations!$C$12+Calculations!$C$9))+(1/(Calculations!$O200-Calculations!$C$13))*('Reaction Information'!$L$25*(Calculations!$M200-Calculations!$C$9)+'Reaction Information'!$M$25*10^4*LN((Calculations!$C$12+Calculations!$M200)/(Calculations!$C$12+Calculations!$C$9)))+calculateOmega(Calculations!M200,Calculations!N200,Calculations!Q200,'Reaction Information'!$C$25,'Reaction Information'!$P$25*10^5,'Reaction Information'!$Q$25)*((1/Calculations!$S200)-1)-'Reaction Information'!$P$25*10^5*((1/Calculations!$C$10)-1)+'Reaction Information'!$P$25*10^5*Calculations!$C$14*(Calculations!$O200-Calculations!$C$8))</f>
        <v>#N/A</v>
      </c>
      <c r="AJ200" s="8" t="e">
        <f>IF(ISBLANK(Input!$AJ$4),NA(),'Reaction Information'!$E$29-'Reaction Information'!$G$29*(Calculations!$O200-Calculations!$C$8)-'Reaction Information'!$N$29*(Calculations!$O200*LN(Calculations!$O200/Calculations!$C$8)-Calculations!$O200+Calculations!$C$8)-'Reaction Information'!$O$29*10^4*(((1/(Calculations!$O200-Calculations!$C$13))-(1/(Calculations!$C$8-Calculations!$C$13)))*((Calculations!$C$13-Calculations!$O200)/(Calculations!$C$13))-(Calculations!$O200/(Calculations!$C$13*Calculations!$C$13))*LN((Calculations!$C$8*(Calculations!$O200-Calculations!$C$13))/(Calculations!$O200*(Calculations!$C$8-Calculations!$C$13))))+'Reaction Information'!$J$29*10^-1*(Calculations!$M200-Calculations!$C$9)+'Reaction Information'!$K$29*10^2*LN((Calculations!$C$12+Calculations!$M200)/(Calculations!$C$12+Calculations!$C$9))+(1/(Calculations!$O200-Calculations!$C$13))*('Reaction Information'!$L$29*(Calculations!$M200-Calculations!$C$9)+'Reaction Information'!$M$29*10^4*LN((Calculations!$C$12+Calculations!$M200)/(Calculations!$C$12+Calculations!$C$9)))+calculateOmega(Calculations!M200,Calculations!N200,Calculations!Q200,'Reaction Information'!$C$29,'Reaction Information'!$P$29*10^5,'Reaction Information'!$Q$29)*((1/Calculations!$S200)-1)-'Reaction Information'!$P$29*10^5*((1/Calculations!$C$10)-1)+'Reaction Information'!$P$29*10^5*Calculations!$C$14*(Calculations!$O200-Calculations!$C$8))</f>
        <v>#N/A</v>
      </c>
      <c r="AK200" s="8" t="e">
        <f>IF(ISBLANK(Input!$AM$4),NA(),'Reaction Information'!$E$33-'Reaction Information'!$G$33*(Calculations!$O200-Calculations!$C$8)-'Reaction Information'!$N$33*(Calculations!$O200*LN(Calculations!$O200/Calculations!$C$8)-Calculations!$O200+Calculations!$C$8)-'Reaction Information'!$O$33*10^4*(((1/(Calculations!$O200-Calculations!$C$13))-(1/(Calculations!$C$8-Calculations!$C$13)))*((Calculations!$C$13-Calculations!$O200)/(Calculations!$C$13))-(Calculations!$O200/(Calculations!$C$13*Calculations!$C$13))*LN((Calculations!$C$8*(Calculations!$O200-Calculations!$C$13))/(Calculations!$O200*(Calculations!$C$8-Calculations!$C$13))))+'Reaction Information'!$J$33*10^-1*(Calculations!$M200-Calculations!$C$9)+'Reaction Information'!$K$33*10^2*LN((Calculations!$C$12+Calculations!$M200)/(Calculations!$C$12+Calculations!$C$9))+(1/(Calculations!$O200-Calculations!$C$13))*('Reaction Information'!$L$33*(Calculations!$M200-Calculations!$C$9)+'Reaction Information'!$M$33*10^4*LN((Calculations!$C$12+Calculations!$M200)/(Calculations!$C$12+Calculations!$C$9)))+calculateOmega(Calculations!M200,Calculations!N200,Calculations!Q200,'Reaction Information'!$C$33,'Reaction Information'!$P$33*10^5,'Reaction Information'!$Q$33)*((1/Calculations!$S200)-1)-'Reaction Information'!$P$33*10^5*((1/Calculations!$C$10)-1)+'Reaction Information'!$P$33*10^5*Calculations!$C$14*(Calculations!$O200-Calculations!$C$8))</f>
        <v>#N/A</v>
      </c>
      <c r="AL200" s="1">
        <f>Results!S202</f>
        <v>0</v>
      </c>
      <c r="AM200" s="1">
        <f>Results!T202</f>
        <v>0</v>
      </c>
      <c r="AN200" s="1">
        <f>Results!U202</f>
        <v>0</v>
      </c>
      <c r="AO200" s="1">
        <f>Results!V202</f>
        <v>0</v>
      </c>
      <c r="AP200" s="8" t="e">
        <f>IF(ISBLANK(Input!$BB$4),NA(),'Reaction Information'!$E$38-'Reaction Information'!$G$38*(Calculations!$O200-Calculations!$C$8)+'Reaction Information'!$I$38*(Calculations!$O200-Calculations!$C$8-Calculations!$O200*LN(Calculations!$O200/Calculations!$C$8))+'Reaction Information'!$J$38*0.001/2*(2*Calculations!$O200*Calculations!$C$8-Calculations!$O200^2-Calculations!$C$8^2) + 'Reaction Information'!$K$38*100000*(Calculations!$O200^2 + Calculations!$C$8^2 - 2*Calculations!$O200*Calculations!$C$8)/(2*Calculations!$O200*Calculations!$C$8^2))</f>
        <v>#N/A</v>
      </c>
      <c r="AQ200" s="8" t="e">
        <f>IF(ISBLANK(Input!$BE$4),NA(),'Reaction Information'!$E$42-'Reaction Information'!$G$42*(Calculations!$O200-Calculations!$C$8)+'Reaction Information'!$I$42*(Calculations!$O200-Calculations!$C$8-Calculations!$O200*LN(Calculations!$O200/Calculations!$C$8))+'Reaction Information'!$J$42*0.001/2*(2*Calculations!$O200*Calculations!$C$8-Calculations!$O200^2-Calculations!$C$8^2) + 'Reaction Information'!$K$42*100000*(Calculations!$O200^2 + Calculations!$C$8^2 - 2*Calculations!$O200*Calculations!$C$8)/(2*Calculations!$O200*Calculations!$C$8^2))</f>
        <v>#N/A</v>
      </c>
      <c r="AR200" s="8" t="e">
        <f>IF(AR$5="H2O", IF($D$24=3,IF(T200=0,NA(),T200),calculateGibbsOfWater(M200,N200,$D$24,$D$20,$D$19=3)),NA())</f>
        <v>#N/A</v>
      </c>
      <c r="AS200" s="8" t="e">
        <f>IF(ISBLANK(Input!$BK$4),NA(),'Reaction Information'!$E$46-'Reaction Information'!$G$46*(Calculations!O200-Calculations!$C$8)-'Reaction Information'!$N$46*(Calculations!O200*LN(Calculations!O200/Calculations!$C$8)-Calculations!O200+Calculations!$C$8)-'Reaction Information'!$O$46*10^4*(((1/(Calculations!O200-Calculations!$C$13))-(1/(Calculations!$C$8-Calculations!$C$13)))*((Calculations!$C$13-Calculations!O200)/(Calculations!$C$13))-(Calculations!O200/(Calculations!$C$13*Calculations!$C$13))*LN((Calculations!$C$8*(Calculations!O200-Calculations!$C$13))/(Calculations!O200*(Calculations!$C$8-Calculations!$C$13))))+'Reaction Information'!$J$46*10^-1*(Calculations!$M200-Calculations!$C$9)+'Reaction Information'!$K$46*10^2*LN((Calculations!$C$12+Calculations!$M200)/(Calculations!$C$12+Calculations!$C$9))+(1/(Calculations!O200-Calculations!$C$13))*('Reaction Information'!$L$46*(Calculations!$M200-Calculations!$C$9)+'Reaction Information'!$M$46*10^4*LN((Calculations!$C$12+Calculations!$M200)/(Calculations!$C$12+Calculations!$C$9)))+calculateOmega(Calculations!M200,Calculations!N200,Calculations!Q200,'Reaction Information'!$C$46,'Reaction Information'!$P$46*10^5,'Reaction Information'!$Q$46)*((1/Calculations!S200)-1)-'Reaction Information'!$P$46*10^5*((1/Calculations!$C$10)-1)+'Reaction Information'!$P$46*10^5*Calculations!$C$14*(Calculations!O200-Calculations!$C$8))</f>
        <v>#VALUE!</v>
      </c>
      <c r="AT200" s="8" t="e">
        <f>IF(ISBLANK(Input!$BN$4),NA(),'Reaction Information'!$E$50-'Reaction Information'!$G$50*(Calculations!O200-Calculations!$C$8)-'Reaction Information'!$N$50*(Calculations!O200*LN(Calculations!O200/Calculations!$C$8)-Calculations!O200+Calculations!$C$8)-'Reaction Information'!$O$50*10^4*(((1/(Calculations!O200-Calculations!$C$13))-(1/(Calculations!$C$8-Calculations!$C$13)))*((Calculations!$C$13-Calculations!O200)/(Calculations!$C$13))-(Calculations!O200/(Calculations!$C$13*Calculations!$C$13))*LN((Calculations!$C$8*(Calculations!O200-Calculations!$C$13))/(Calculations!O200*(Calculations!$C$8-Calculations!$C$13))))+'Reaction Information'!$J$50*10^-1*(Calculations!$M200-Calculations!$C$9)+'Reaction Information'!$K$50*10^2*LN((Calculations!$C$12+Calculations!$M200)/(Calculations!$C$12+Calculations!$C$9))+(1/(Calculations!O200-Calculations!$C$13))*('Reaction Information'!$L$50*(Calculations!$M200-Calculations!$C$9)+'Reaction Information'!$M$50*10^4*LN((Calculations!$C$12+Calculations!$M200)/(Calculations!$C$12+Calculations!$C$9)))+calculateOmega(Calculations!M200,Calculations!N200,Calculations!Q200,'Reaction Information'!$C$50,'Reaction Information'!$P$50*10^5,'Reaction Information'!$Q$50)*((1/Calculations!S200)-1)-'Reaction Information'!$P$50*10^5*((1/Calculations!$C$10)-1)+'Reaction Information'!$P$50*10^5*Calculations!$C$14*(Calculations!O200-Calculations!$C$8))</f>
        <v>#VALUE!</v>
      </c>
      <c r="AU200" s="8" t="e">
        <f>IF(ISBLANK(Input!$BQ$4),NA(),'Reaction Information'!$E$54-'Reaction Information'!$G$54*(Calculations!$O200-Calculations!$C$8)-'Reaction Information'!$N$54*(Calculations!$O200*LN(Calculations!$O200/Calculations!$C$8)-Calculations!$O200+Calculations!$C$8)-'Reaction Information'!$O$54*10^4*(((1/(Calculations!$O200-Calculations!$C$13))-(1/(Calculations!$C$8-Calculations!$C$13)))*((Calculations!$C$13-Calculations!$O200)/(Calculations!$C$13))-(Calculations!$O200/(Calculations!$C$13*Calculations!$C$13))*LN((Calculations!$C$8*(Calculations!$O200-Calculations!$C$13))/(Calculations!$O200*(Calculations!$C$8-Calculations!$C$13))))+'Reaction Information'!$J$54*10^-1*(Calculations!$M200-Calculations!$C$9)+'Reaction Information'!$K$54*10^2*LN((Calculations!$C$12+Calculations!$M200)/(Calculations!$C$12+Calculations!$C$9))+(1/(Calculations!$O200-Calculations!$C$13))*('Reaction Information'!$L$54*(Calculations!$M200-Calculations!$C$9)+'Reaction Information'!$M$54*10^4*LN((Calculations!$C$12+Calculations!$M200)/(Calculations!$C$12+Calculations!$C$9)))+calculateOmega(Calculations!M200,Calculations!N200,Calculations!Q200,'Reaction Information'!$C$54,'Reaction Information'!$P$54*10^5,'Reaction Information'!$Q$54)*((1/Calculations!$S200)-1)-'Reaction Information'!$P$54*10^5*((1/Calculations!$C$10)-1)+'Reaction Information'!$P$54*10^5*Calculations!$C$14*(Calculations!$O200-Calculations!$C$8))</f>
        <v>#N/A</v>
      </c>
      <c r="AV200" s="8" t="e">
        <f>IF(ISBLANK(Input!$BT$4),NA(),'Reaction Information'!$E$58-'Reaction Information'!$G$58*(Calculations!$O200-Calculations!$C$8)-'Reaction Information'!$N$58*(Calculations!$O200*LN(Calculations!$O200/Calculations!$C$8)-Calculations!$O200+Calculations!$C$8)-'Reaction Information'!$O$58*10^4*(((1/(Calculations!$O200-Calculations!$C$13))-(1/(Calculations!$C$8-Calculations!$C$13)))*((Calculations!$C$13-Calculations!$O200)/(Calculations!$C$13))-(Calculations!$O200/(Calculations!$C$13*Calculations!$C$13))*LN((Calculations!$C$8*(Calculations!$O200-Calculations!$C$13))/(Calculations!$O200*(Calculations!$C$8-Calculations!$C$13))))+'Reaction Information'!$J$58*10^-1*(Calculations!$M200-Calculations!$C$9)+'Reaction Information'!$K$58*10^2*LN((Calculations!$C$12+Calculations!$M200)/(Calculations!$C$12+Calculations!$C$9))+(1/(Calculations!$O200-Calculations!$C$13))*('Reaction Information'!$L$58*(Calculations!$M200-Calculations!$C$9)+'Reaction Information'!$M$58*10^4*LN((Calculations!$C$12+Calculations!$M200)/(Calculations!$C$12+Calculations!$C$9)))+calculateOmega(Calculations!M200,Calculations!N200,Calculations!Q200,'Reaction Information'!$C$58,'Reaction Information'!$P$58*10^5,'Reaction Information'!$Q$58)*((1/Calculations!$S200)-1)-'Reaction Information'!$P$58*10^5*((1/Calculations!$C$10)-1)+'Reaction Information'!$P$58*10^5*Calculations!$C$14*(Calculations!$O200-Calculations!$C$8))</f>
        <v>#N/A</v>
      </c>
      <c r="AW200" s="8" t="e">
        <f>IF(ISBLANK(Input!$BW$4),NA(),'Reaction Information'!$E$62-'Reaction Information'!$G$62*(Calculations!$O200-Calculations!$C$8)-'Reaction Information'!$N$62*(Calculations!$O200*LN(Calculations!$O200/Calculations!$C$8)-Calculations!$O200+Calculations!$C$8)-'Reaction Information'!$O$62*10^4*(((1/(Calculations!$O200-Calculations!$C$13))-(1/(Calculations!$C$8-Calculations!$C$13)))*((Calculations!$C$13-Calculations!$O200)/(Calculations!$C$13))-(Calculations!$O200/(Calculations!$C$13*Calculations!$C$13))*LN((Calculations!$C$8*(Calculations!$O200-Calculations!$C$13))/(Calculations!$O200*(Calculations!$C$8-Calculations!$C$13))))+'Reaction Information'!$J$62*10^-1*(Calculations!$M200-Calculations!$C$9)+'Reaction Information'!$K$62*10^2*LN((Calculations!$C$12+Calculations!$M200)/(Calculations!$C$12+Calculations!$C$9))+(1/(Calculations!$O200-Calculations!$C$13))*('Reaction Information'!$L$62*(Calculations!$M200-Calculations!$C$9)+'Reaction Information'!$M$62*10^4*LN((Calculations!$C$12+Calculations!$M200)/(Calculations!$C$12+Calculations!$C$9)))+calculateOmega(Calculations!M200,Calculations!N200,Calculations!Q200,'Reaction Information'!$C$62,'Reaction Information'!$P$62*10^5,'Reaction Information'!$Q$62)*((1/Calculations!$S200)-1)-'Reaction Information'!$P$62*10^5*((1/Calculations!$C$10)-1)+'Reaction Information'!$P$62*10^5*Calculations!$C$14*(Calculations!$O200-Calculations!$C$8))</f>
        <v>#N/A</v>
      </c>
      <c r="AX200" s="8" t="e">
        <f>IF(ISBLANK(Input!$BZ$4),NA(),'Reaction Information'!$E$66-'Reaction Information'!$G$66*(Calculations!$O200-Calculations!$C$8)-'Reaction Information'!$N$66*(Calculations!$O200*LN(Calculations!$O200/Calculations!$C$8)-Calculations!$O200+Calculations!$C$8)-'Reaction Information'!$O$66*10^4*(((1/(Calculations!$O200-Calculations!$C$13))-(1/(Calculations!$C$8-Calculations!$C$13)))*((Calculations!$C$13-Calculations!$O200)/(Calculations!$C$13))-(Calculations!$O200/(Calculations!$C$13*Calculations!$C$13))*LN((Calculations!$C$8*(Calculations!$O200-Calculations!$C$13))/(Calculations!$O200*(Calculations!$C$8-Calculations!$C$13))))+'Reaction Information'!$J$66*10^-1*(Calculations!$M200-Calculations!$C$9)+'Reaction Information'!$K$66*10^2*LN((Calculations!$C$12+Calculations!$M200)/(Calculations!$C$12+Calculations!$C$9))+(1/(Calculations!$O200-Calculations!$C$13))*('Reaction Information'!$L$66*(Calculations!$M200-Calculations!$C$9)+'Reaction Information'!$M$66*10^4*LN((Calculations!$C$12+Calculations!$M200)/(Calculations!$C$12+Calculations!$C$9)))+calculateOmega(Calculations!M200,Calculations!N200,Calculations!Q200,'Reaction Information'!$C$66,'Reaction Information'!$P$66*10^5,'Reaction Information'!$Q$66)*((1/Calculations!$S200)-1)-'Reaction Information'!$P$66*10^5*((1/Calculations!$C$10)-1)+'Reaction Information'!$P$66*10^5*Calculations!$C$14*(Calculations!$O200-Calculations!$C$8))</f>
        <v>#N/A</v>
      </c>
      <c r="AY200" s="31" t="e">
        <f>(AL200*Input!$AO$4+AM200*Input!$AR$4+AN200*Input!$AU$4+AO200*Input!$AX$4+IF(ISNA(AP200),0,AP200*Input!$BA$4)+IF(ISNA(AQ200),0,AQ200*Input!$BD$4)+IF(ISNA(AR200),0,AR200*Input!$BG$4)+IF(ISNA(AS200),0,AS200*Input!$BJ$4)+IF(ISNA(AT200),0,AT200*Input!$BM$4)+IF(ISNA(AU200),0,AU200*Input!$BP$4)+IF(ISNA(AV200),0,AV200*Input!$BS$4)+IF(ISNA(AW200),0,AW200*Input!$BV$4)+IF(ISNA(AX200),0,AX200*Input!$BY$4))-(Y200*Input!$B$4+Z200*Input!$E$4+AA200*Input!$H$4+AB200*Input!$K$4+IF(ISNA(AC200),0,AC200*Input!$N$4)+IF(ISNA(AD200),0,AD200*Input!$Q$4)+IF(ISNA(AE200),0,AE200*Input!$T$4)+IF(ISNA(AF200),0,AF200*Input!$W$4)+IF(ISNA(AG200),0,AG200*Input!$Z$4)+IF(ISNA(AH200),0,AH200*Input!$AC$4)+IF(ISNA(AI200),0,AI200*Input!$AF$4)+IF(ISNA(AJ200),0,AJ200*Input!$AI$4)+IF(ISNA(AK200),0,AK200*Input!$AL$4))</f>
        <v>#VALUE!</v>
      </c>
      <c r="AZ200" s="42" t="e">
        <f t="shared" si="58"/>
        <v>#VALUE!</v>
      </c>
      <c r="BA200" s="1" t="str">
        <f t="shared" si="65"/>
        <v/>
      </c>
      <c r="BB200" s="46" t="str">
        <f t="shared" si="66"/>
        <v/>
      </c>
      <c r="BC200" s="1"/>
      <c r="BD200" s="2" t="str">
        <f t="shared" si="67"/>
        <v/>
      </c>
      <c r="BE200" s="46" t="str">
        <f t="shared" si="68"/>
        <v/>
      </c>
      <c r="BF200" s="1">
        <f>Results!AJ202</f>
        <v>0</v>
      </c>
      <c r="BG200" s="1">
        <f>Results!AK202</f>
        <v>0</v>
      </c>
      <c r="BH200" s="1">
        <f>Results!AL202</f>
        <v>0</v>
      </c>
      <c r="BI200" s="1">
        <f>Results!AM202</f>
        <v>0</v>
      </c>
      <c r="BJ200" s="1" t="e">
        <f>IF(OR(ISNA('Reaction Information'!$D$5), $N200 = "", $D$27 = FALSE, 'Reaction Information'!$D$5 = ""), NA(), 24.465)</f>
        <v>#N/A</v>
      </c>
      <c r="BK200" s="1" t="e">
        <f>IF(OR(ISNA('Reaction Information'!$D$9), $N200 = "", $D$27 = FALSE, 'Reaction Information'!$D$9 = ""), NA(), 24.465)</f>
        <v>#N/A</v>
      </c>
      <c r="BL200" s="8" t="e">
        <f t="shared" si="59"/>
        <v>#VALUE!</v>
      </c>
      <c r="BM200" s="8" t="e">
        <f>IF(OR(ISBLANK(Input!$X$4),$D$27=FALSE),NA(),('Reaction Information'!$J$13/10+'Reaction Information'!$K$13*100/(Calculations!$C$12+Calculations!$M200)+('Reaction Information'!$L$13+'Reaction Information'!$M$13*10^4/(Calculations!$C$12+Calculations!$M200))/(Calculations!$O200-Calculations!$C$13) -calculateOmega(Calculations!$M200,Calculations!$N200,Calculations!$Q200,'Reaction Information'!$C$13,'Reaction Information'!$P$13*10^5,'Reaction Information'!$Q$13)*Calculations!$U200*10^-6 + (1/$S200 - 1)*calculate_domegadP(Calculations!$M200,Calculations!$N200,Calculations!$Q200,'Reaction Information'!$C$13,'Reaction Information'!$P$13*10^5,'Reaction Information'!$Q$13,$D$20,$D$19=3))*41.84)</f>
        <v>#VALUE!</v>
      </c>
      <c r="BN200" s="8" t="e">
        <f>IF(OR(ISBLANK(Input!$AA$4),$D$27=FALSE),NA(),('Reaction Information'!$J$17/10+'Reaction Information'!$K$17*100/(Calculations!$C$12+Calculations!$M200)+('Reaction Information'!$L$17+'Reaction Information'!$M$17*10000/(Calculations!$C$12+Calculations!$M200))/(Calculations!$O200-Calculations!$C$13)-calculateOmega(Calculations!M200,Calculations!N200,Calculations!Q200,'Reaction Information'!$C$17,'Reaction Information'!$P$17*10^5,'Reaction Information'!$Q$17)*Calculations!$U200*10^-6 + (1/$S200 - 1)*calculate_domegadP(Calculations!M200,Calculations!N200,Calculations!Q200,'Reaction Information'!$C$17,'Reaction Information'!$P$17*10^5,'Reaction Information'!$Q$17,$D$20,$D$19=3))*41.84)</f>
        <v>#N/A</v>
      </c>
      <c r="BO200" s="8" t="e">
        <f>IF(OR(ISBLANK(Input!$AD$4),$D$27=FALSE),NA(),('Reaction Information'!$J$21/10+'Reaction Information'!$K$21*100/(Calculations!$C$12+Calculations!$M200)+('Reaction Information'!$L$21+'Reaction Information'!$M$21*10000/(Calculations!$C$12+Calculations!$M200))/(Calculations!$O200-Calculations!$C$13)-calculateOmega(Calculations!M200,Calculations!N200,Calculations!Q200,'Reaction Information'!$C$21,'Reaction Information'!$P$21*10^5,'Reaction Information'!$Q$21)*Calculations!$U200*10^-6 + (1/$S200 - 1)*calculate_domegadP(Calculations!M200,Calculations!N200,Calculations!Q200,'Reaction Information'!$C$21,'Reaction Information'!$P$21*10^5,'Reaction Information'!$Q$21,$D$20,$D$19=3))*41.84)</f>
        <v>#N/A</v>
      </c>
      <c r="BP200" s="8" t="e">
        <f>IF(OR(ISBLANK(Input!$AG$4),$D$27=FALSE),NA(),('Reaction Information'!$J$25/10+'Reaction Information'!$K$25*100/(Calculations!$C$12+Calculations!$M200)+('Reaction Information'!$L$25+'Reaction Information'!$M$25*10000/(Calculations!$C$12+Calculations!$M200))/(Calculations!$O200-Calculations!$C$13)-calculateOmega(Calculations!M200,Calculations!N200,Calculations!Q200,'Reaction Information'!$C$25,'Reaction Information'!$P$25*10^5,'Reaction Information'!$Q$25)*Calculations!$U200*10^-6 + (1/$S200 - 1)*calculate_domegadP(Calculations!M200,Calculations!N200,Calculations!Q200,'Reaction Information'!$C$25,'Reaction Information'!$P$25*10^5,'Reaction Information'!$Q$25,$D$20,$D$19=3))*41.84)</f>
        <v>#N/A</v>
      </c>
      <c r="BQ200" s="8" t="e">
        <f>IF(OR(ISBLANK(Input!$AJ$4),$D$27=FALSE),NA(),('Reaction Information'!$J$29/10+'Reaction Information'!$K$29*100/(Calculations!$C$12+Calculations!$M200)+('Reaction Information'!$L$29+'Reaction Information'!$M$29*10000/(Calculations!$C$12+Calculations!$M200))/(Calculations!$O200-Calculations!$C$13)-calculateOmega(Calculations!M200,Calculations!N200,Calculations!Q200,'Reaction Information'!$C$29,'Reaction Information'!$P$29*10^5,'Reaction Information'!$Q$29)*Calculations!$U200*10^-6 + (1/$S200 - 1)*calculate_domegadP(Calculations!M200,Calculations!N200,Calculations!Q200,'Reaction Information'!$C$29,'Reaction Information'!$P$29*10^5,'Reaction Information'!$Q$29,$D$20,$D$19=3))*41.84)</f>
        <v>#N/A</v>
      </c>
      <c r="BR200" s="8" t="e">
        <f>IF(OR(ISBLANK(Input!$AM$4),$D$27=FALSE),NA(),('Reaction Information'!$J$33/10+'Reaction Information'!$K$33*100/(Calculations!$C$12+Calculations!$M200)+('Reaction Information'!$L$33+'Reaction Information'!$M$33*10000/(Calculations!$C$12+Calculations!$M200))/(Calculations!$O200-Calculations!$C$13)-calculateOmega(Calculations!M200,Calculations!N200,Calculations!Q200,'Reaction Information'!$C$33,'Reaction Information'!$P$33*10^5,'Reaction Information'!$Q$33)*Calculations!$U200*10^-6 + (1/$S200 - 1)*calculate_domegadP(Calculations!M200,Calculations!N200,Calculations!Q200,'Reaction Information'!$C$33,'Reaction Information'!$P$33*10^5,'Reaction Information'!$Q$33,$D$20,$D$19=3))*41.84)</f>
        <v>#N/A</v>
      </c>
      <c r="BS200" s="1">
        <f>Results!AW202</f>
        <v>0</v>
      </c>
      <c r="BT200" s="1">
        <f>Results!AX202</f>
        <v>0</v>
      </c>
      <c r="BU200" s="1">
        <f>Results!AY202</f>
        <v>0</v>
      </c>
      <c r="BV200" s="1">
        <f>Results!AZ202</f>
        <v>0</v>
      </c>
      <c r="BW200" s="1" t="e">
        <f>IF(OR(ISNA('Reaction Information'!$D$38), $N200 = "", $D$27 = FALSE, 'Reaction Information'!$D$38 = ""), NA(), 24.465)</f>
        <v>#N/A</v>
      </c>
      <c r="BX200" s="1" t="e">
        <f>IF(OR(ISNA('Reaction Information'!$D$42), $N200 = "", $D$27 = FALSE, 'Reaction Information'!$D$42 = ""), NA(), 24.465)</f>
        <v>#N/A</v>
      </c>
      <c r="BY200" s="8" t="e">
        <f t="shared" si="60"/>
        <v>#N/A</v>
      </c>
      <c r="BZ200" s="8" t="e">
        <f>IF(OR(ISBLANK(Input!$BK$4),$D$27=FALSE),NA(),('Reaction Information'!$J$46/10+'Reaction Information'!$K$46*100/(Calculations!$C$12+Calculations!$M200)+('Reaction Information'!$L$46+'Reaction Information'!$M$46*10000/(Calculations!$C$12+Calculations!$M200))/(Calculations!$O200-Calculations!$C$13)-calculateOmega(Calculations!M200,Calculations!N200,Calculations!Q200,'Reaction Information'!$C$46,'Reaction Information'!$P$46*10^5,'Reaction Information'!$Q$46)*Calculations!$U200*10^-6 + (1/$S200 - 1)*calculate_domegadP(Calculations!M200,Calculations!N200,Calculations!Q200,'Reaction Information'!$C$46,'Reaction Information'!$P$46*10^5,'Reaction Information'!$Q$46,$D$20,$D$19=3))*41.84)</f>
        <v>#VALUE!</v>
      </c>
      <c r="CA200" s="8" t="e">
        <f>IF(OR(ISBLANK(Input!$BN$4),$D$27=FALSE),NA(),('Reaction Information'!$J$50/10+'Reaction Information'!$K$50*100/(Calculations!$C$12+Calculations!$M200)+('Reaction Information'!$L$50+'Reaction Information'!$M$50*10000/(Calculations!$C$12+Calculations!$M200))/(Calculations!$O200-Calculations!$C$13)-calculateOmega(Calculations!M200,Calculations!N200,Calculations!Q200,'Reaction Information'!$C$50,'Reaction Information'!$P$50*10^5,'Reaction Information'!$Q$50)*Calculations!$U200*10^-6 + (1/$S200 - 1)*calculate_domegadP(Calculations!M200,Calculations!N200,Calculations!Q200,'Reaction Information'!$C$50,'Reaction Information'!$P$50*10^5,'Reaction Information'!$Q$50,$D$20,$D$19=3))*41.84)</f>
        <v>#VALUE!</v>
      </c>
      <c r="CB200" s="8" t="e">
        <f>IF(OR(ISBLANK(Input!$BQ$4),$D$27=FALSE),NA(),('Reaction Information'!$J$54/10+'Reaction Information'!$K$54*100/(Calculations!$C$12+Calculations!$M200)+('Reaction Information'!$L$54+'Reaction Information'!$M$54*10000/(Calculations!$C$12+Calculations!$M200))/(Calculations!$O200-Calculations!$C$13)-calculateOmega(Calculations!M200,Calculations!N200,Calculations!Q200,'Reaction Information'!$C$54,'Reaction Information'!$P$54*10^5,'Reaction Information'!$Q$54)*Calculations!$U200*10^-6 + (1/$S200 - 1)*calculate_domegadP(Calculations!M200,Calculations!N200,Calculations!Q200,'Reaction Information'!$C$54,'Reaction Information'!$P$54*10^5,'Reaction Information'!$Q$54,$D$20,$D$19=3))*41.84)</f>
        <v>#N/A</v>
      </c>
      <c r="CC200" s="8" t="e">
        <f>IF(OR(ISBLANK(Input!$BT$4),$D$27=FALSE),NA(),('Reaction Information'!$J$58/10+'Reaction Information'!$K$58*100/(Calculations!$C$12+Calculations!$M200)+('Reaction Information'!$L$58+'Reaction Information'!$M$58*10000/(Calculations!$C$12+Calculations!$M200))/(Calculations!$O200-Calculations!$C$13)-calculateOmega(Calculations!M200,Calculations!N200,Calculations!Q200,'Reaction Information'!$C$58,'Reaction Information'!$P$58*10^5,'Reaction Information'!$Q$58)*Calculations!$U200*10^-6 + (1/$S200 - 1)*calculate_domegadP(Calculations!M200,Calculations!N200,Calculations!Q200,'Reaction Information'!$C$58,'Reaction Information'!$P$58*10^5,'Reaction Information'!$Q$58,$D$20,$D$19=3))*41.84)</f>
        <v>#N/A</v>
      </c>
      <c r="CD200" s="8" t="e">
        <f>IF(OR(ISBLANK(Input!$BW$4),$D$27=FALSE),NA(),('Reaction Information'!$J$62/10+'Reaction Information'!$K$62*100/(Calculations!$C$12+Calculations!$M200)+('Reaction Information'!$L$62+'Reaction Information'!$M$62*10000/(Calculations!$C$12+Calculations!$M200))/(Calculations!$O200-Calculations!$C$13)-calculateOmega(Calculations!M200,Calculations!N200,Calculations!Q200,'Reaction Information'!$C$62,'Reaction Information'!$P$62*10^5,'Reaction Information'!$Q$62)*Calculations!$U200*10^-6 + (1/$S200 - 1)*calculate_domegadP(Calculations!M200,Calculations!N200,Calculations!Q200,'Reaction Information'!$C$62,'Reaction Information'!$P$62*10^5,'Reaction Information'!$Q$62,$D$20,$D$19=3))*41.84)</f>
        <v>#N/A</v>
      </c>
      <c r="CE200" s="8" t="e">
        <f>IF(OR(ISBLANK(Input!$BZ$4),$D$27=FALSE),NA(),('Reaction Information'!$J$66/10+'Reaction Information'!$K$66*100/(Calculations!$C$12+Calculations!$M200)+('Reaction Information'!$L$66+'Reaction Information'!$M$66*10000/(Calculations!$C$12+Calculations!$M200))/(Calculations!$O200-Calculations!$C$13)-calculateOmega(Calculations!M200,Calculations!N200,Calculations!Q200,'Reaction Information'!$C$66,'Reaction Information'!$P$66*10^5,'Reaction Information'!$Q$66)*Calculations!$U200*10^-6 + (1/$S200 - 1)*calculate_domegadP(Calculations!M200,Calculations!N200,Calculations!Q200,'Reaction Information'!$C$66,'Reaction Information'!$P$66*10^5,'Reaction Information'!$Q$66,$D$20,$D$19=3))*41.84)</f>
        <v>#N/A</v>
      </c>
      <c r="CF200" s="31" t="e">
        <f>(BS200*Input!$AO$4+BT200*Input!$AR$4+BU200*Input!$AU$4+BV200*Input!$AX$4+IF(ISNA(BW200),0,BW200*Input!$BA$4)+IF(ISNA(BX200),0,BX200*Input!$BD$4)+IF(ISNA(BY200),0,BY200*Input!$BG$4)+IF(ISNA(BZ200),0,BZ200*Input!$BJ$4)+IF(ISNA(CA200),0,CA200*Input!$BM$4)+IF(ISNA(CB200),0,CB200*Input!$BP$4)+IF(ISNA(CC200),0,CC200*Input!$BS$4)+IF(ISNA(CD200),0,CD200*Input!$BV$4)+IF(ISNA(CE200),0,CE200*Input!$BY$4))-(BF200*Input!$B$4+BG200*Input!$E$4+BH200*Input!$H$4+BI200*Input!$K$4+IF(ISNA(BJ200),0,BJ200*Input!$N$4)+IF(ISNA(BK200),0,BK200*Input!$Q$4)+IF(ISNA(BL200),0,BL200*Input!$T$4)+IF(ISNA(BM200),0,BM200*Input!$W$4)+IF(ISNA(BN200),0,BN200*Input!$Z$4)+IF(ISNA(BO200),0,BO200*Input!$AC$4)+IF(ISNA(BP200),0,BP200*Input!$AF$4)+IF(ISNA(BQ200),0,BQ200*Input!$AI$4)+IF(ISNA(BR200),0,BR200*Input!$AL$4))</f>
        <v>#VALUE!</v>
      </c>
      <c r="CG200" s="1" t="str">
        <f t="shared" si="69"/>
        <v/>
      </c>
      <c r="CH200" s="46" t="str">
        <f t="shared" si="70"/>
        <v/>
      </c>
      <c r="CI200" s="1"/>
    </row>
    <row r="201" spans="1:87" x14ac:dyDescent="0.2">
      <c r="A201" s="1"/>
      <c r="B201" s="1"/>
      <c r="C201" s="1"/>
      <c r="D201" s="1"/>
      <c r="E201" s="1"/>
      <c r="F201" s="2">
        <v>196</v>
      </c>
      <c r="G201" s="1" t="str">
        <f>IF(ISBLANK(Input!CB201), "", Input!CB201*1000)</f>
        <v/>
      </c>
      <c r="H201" s="1" t="str">
        <f>IF(ISBLANK(Input!CC201), "", Input!CC201)</f>
        <v/>
      </c>
      <c r="I201" s="1" t="str">
        <f>IF(Input!$CF$5 + Input!$CF$6*(FLOOR((Calculations!$F201-1)/(FLOOR((Input!$CF$12-Input!$CF$10)/Input!$CF$11,1)+1),1)) &gt; Input!$CF$7, "", (Input!$CF$5 + Input!$CF$6*(FLOOR((Calculations!$F201-1)/(FLOOR((Input!$CF$12-Input!$CF$10)/Input!$CF$11,1)+1),1)))*1000)</f>
        <v/>
      </c>
      <c r="J201" s="1" t="str">
        <f>IF(Calculations!I201 = "", "", Input!$CF$10 + Input!$CF$11*(Calculations!$F201-1) - (FLOOR((Input!$CF$12-Input!$CF$10)/Input!$CF$11,1)+1)*Input!$CF$11*FLOOR((Calculations!$F201-1)/(FLOOR((Input!$CF$12-Input!$CF$10)/Input!$CF$11,1)+1),1))</f>
        <v/>
      </c>
      <c r="K201" s="8" t="str">
        <f t="shared" si="71"/>
        <v/>
      </c>
      <c r="L201" s="117" t="str">
        <f>IF(OR(Input!$CJ$5 + Input!$CJ$6*(Calculations!F201-1) &gt; Input!$CJ$7, Input!$CJ$5 + Input!$CJ$6*(Calculations!F201-1) &gt; 350), "", Input!$CJ$5 + Input!$CJ$6*(Calculations!F201-1))</f>
        <v/>
      </c>
      <c r="M201" s="1" t="str">
        <f t="shared" si="61"/>
        <v/>
      </c>
      <c r="N201" s="1" t="str">
        <f t="shared" si="62"/>
        <v/>
      </c>
      <c r="O201" s="1" t="e">
        <f t="shared" si="57"/>
        <v>#VALUE!</v>
      </c>
      <c r="P201" s="1" t="e">
        <f>IF(OR($D$20=3,AND($D$21=TRUE,M201&lt;1000)),INDEX('Water Density'!$C$6:$CX$120,MATCH(Calculations!N201,'Water Density'!$B$6:$B$120),MATCH(Calculations!M201/1000,'Water Density'!$C$5:$CX$5)),NA())</f>
        <v>#N/A</v>
      </c>
      <c r="Q201" s="182" t="e">
        <f>IF(OR($D$20=3,AND($D$21=TRUE,M201&lt;1000)), IF(P201&lt;&gt;0,P201,NA()), calculateDensity(M201,N201,$D$20,0.01,$D$19 = 3))</f>
        <v>#VALUE!</v>
      </c>
      <c r="R201" s="1" t="e">
        <f>IF($D$22=5,INDEX('Dielectric Constant'!$C$6:$CX$120,MATCH(Calculations!N201,'Dielectric Constant'!$B$6:$B$120),MATCH(Calculations!M201/1000,'Dielectric Constant'!$C$5:$CX$5)),NA())</f>
        <v>#N/A</v>
      </c>
      <c r="S201" s="58" t="e">
        <f>IF($D$22=5, IF(R201&lt;&gt;0,R201,NA()), IF(AND($D$23,M201&lt;=5000,$D$19 &lt;&gt; 3),calculateEpsilon(Q201,N201,1,FALSE),calculateEpsilon(Q201,N201,$D$22,$D$19 = 3)))</f>
        <v>#VALUE!</v>
      </c>
      <c r="T201" s="1" t="e">
        <f>IF($D$24=3,INDEX('Water Free Energy'!$C$6:$CX$120,MATCH(Calculations!N201,'Water Free Energy'!$B$6:$B$120),MATCH(Calculations!M201/1000,'Water Free Energy'!$C$5:$CX$5)),NA())</f>
        <v>#N/A</v>
      </c>
      <c r="U201" s="179" t="e">
        <f>IF($D$27,calculateQ(M201,N201,Q201,$D$20,$D$22,$D$19=3)*10^6,NA())</f>
        <v>#VALUE!</v>
      </c>
      <c r="V201"/>
      <c r="W201" s="2" t="str">
        <f t="shared" si="63"/>
        <v/>
      </c>
      <c r="X201" s="1" t="str">
        <f t="shared" si="64"/>
        <v/>
      </c>
      <c r="Y201" s="1">
        <f>Results!F203</f>
        <v>0</v>
      </c>
      <c r="Z201" s="1">
        <f>Results!G203</f>
        <v>0</v>
      </c>
      <c r="AA201" s="1">
        <f>Results!H203</f>
        <v>0</v>
      </c>
      <c r="AB201" s="1">
        <f>Results!I203</f>
        <v>0</v>
      </c>
      <c r="AC201" s="1" t="e">
        <f>IF(ISBLANK(Input!$O$4),NA(),'Reaction Information'!$E$5-'Reaction Information'!$G$5*(Calculations!$O201-Calculations!$C$8)+'Reaction Information'!$I$5*(Calculations!$O201-Calculations!$C$8-Calculations!$O201*LN(Calculations!$O201/Calculations!$C$8))+'Reaction Information'!$J$5*0.001/2*(2*Calculations!$O201*Calculations!$C$8-Calculations!$O201^2-Calculations!$C$8^2) + 'Reaction Information'!$K$5*100000*(Calculations!$O201^2 + Calculations!$C$8^2 - 2*Calculations!$O201*Calculations!$C$8)/(2*Calculations!$O201*Calculations!$C$8^2))</f>
        <v>#N/A</v>
      </c>
      <c r="AD201" s="8" t="e">
        <f>IF(ISBLANK(Input!$R$4),NA(),'Reaction Information'!$E$9-'Reaction Information'!$G$9*(Calculations!$O201-Calculations!$C$8)+'Reaction Information'!$I$9*(Calculations!$O201-Calculations!$C$8-Calculations!$O201*LN(Calculations!$O201/Calculations!$C$8))+'Reaction Information'!$J$9*0.001/2*(2*Calculations!$O201*Calculations!$C$8-Calculations!$O201^2-Calculations!$C$8^2) + 'Reaction Information'!$K$9*100000*(Calculations!$O201^2 + Calculations!$C$8^2 - 2*Calculations!$O201*Calculations!$C$8)/(2*Calculations!$O201*Calculations!$C$8^2))</f>
        <v>#N/A</v>
      </c>
      <c r="AE201" s="8" t="e">
        <f>IF(AE$5="H2O",IF($D$24=3,IF(T201=0,NA(),T201),calculateGibbsOfWater(M201,N201,$D$24,$D$20,$D$19=3)),NA())</f>
        <v>#VALUE!</v>
      </c>
      <c r="AF201" s="8" t="e">
        <f>IF(ISBLANK(Input!$X$4),NA(),'Reaction Information'!$E$13-'Reaction Information'!$G$13*(Calculations!O201-Calculations!$C$8)-'Reaction Information'!$N$13*(Calculations!O201*LN(Calculations!O201/Calculations!$C$8)-Calculations!O201+Calculations!$C$8)-'Reaction Information'!$O$13*10^4*(((1/(Calculations!O201-Calculations!$C$13))-(1/(Calculations!$C$8-Calculations!$C$13)))*((Calculations!$C$13-Calculations!O201)/(Calculations!$C$13))-(Calculations!O201/(Calculations!$C$13*Calculations!$C$13))*LN((Calculations!$C$8*(Calculations!O201-Calculations!$C$13))/(Calculations!O201*(Calculations!$C$8-Calculations!$C$13))))+'Reaction Information'!$J$13*10^-1*(Calculations!M201-Calculations!$C$9)+'Reaction Information'!$K$13*10^2*LN((Calculations!$C$12+Calculations!M201)/(Calculations!$C$12+Calculations!$C$9))+(1/(Calculations!O201-Calculations!$C$13))*('Reaction Information'!$L$13*(Calculations!M201-Calculations!$C$9)+'Reaction Information'!$M$13*10^4*LN((Calculations!$C$12+Calculations!M201)/(Calculations!$C$12+Calculations!$C$9)))+calculateOmega(Calculations!M201,Calculations!N201,Calculations!Q201,'Reaction Information'!$C$13,'Reaction Information'!$P$13*10^5,'Reaction Information'!$Q$13)*((1/Calculations!S201)-1)-'Reaction Information'!$P$13*10^5*((1/Calculations!$C$10)-1)+'Reaction Information'!$P$13*10^5*Calculations!$C$14*(Calculations!O201-Calculations!$C$8))</f>
        <v>#VALUE!</v>
      </c>
      <c r="AG201" s="8" t="e">
        <f>IF(ISBLANK(Input!$AA$4),NA(),'Reaction Information'!$E$17-'Reaction Information'!$G$17*(Calculations!$O201-Calculations!$C$8)-'Reaction Information'!$N$17*(Calculations!$O201*LN(Calculations!$O201/Calculations!$C$8)-Calculations!$O201+Calculations!$C$8)-'Reaction Information'!$O$17*10^4*(((1/(Calculations!$O201-Calculations!$C$13))-(1/(Calculations!$C$8-Calculations!$C$13)))*((Calculations!$C$13-Calculations!$O201)/(Calculations!$C$13))-(Calculations!$O201/(Calculations!$C$13*Calculations!$C$13))*LN((Calculations!$C$8*(Calculations!$O201-Calculations!$C$13))/(Calculations!$O201*(Calculations!$C$8-Calculations!$C$13))))+'Reaction Information'!$J$17*10^-1*(Calculations!$M201-Calculations!$C$9)+'Reaction Information'!$K$17*10^2*LN((Calculations!$C$12+Calculations!$M201)/(Calculations!$C$12+Calculations!$C$9))+(1/(Calculations!$O201-Calculations!$C$13))*('Reaction Information'!$L$17*(Calculations!$M201-Calculations!$C$9)+'Reaction Information'!$M$17*10^4*LN((Calculations!$C$12+Calculations!$M201)/(Calculations!$C$12+Calculations!$C$9)))+calculateOmega(Calculations!M201,Calculations!N201,Calculations!Q201,'Reaction Information'!$C$17,'Reaction Information'!$P$17*10^5,'Reaction Information'!$Q$17)*((1/Calculations!$S201)-1)-'Reaction Information'!$P$17*10^5*((1/Calculations!$C$10)-1)+'Reaction Information'!$P$17*10^5*Calculations!$C$14*(Calculations!$O201-Calculations!$C$8))</f>
        <v>#N/A</v>
      </c>
      <c r="AH201" s="8" t="e">
        <f>IF(ISBLANK(Input!$AD$4),NA(),'Reaction Information'!$E$21-'Reaction Information'!$G$21*(Calculations!$O201-Calculations!$C$8)-'Reaction Information'!$N$21*(Calculations!$O201*LN(Calculations!$O201/Calculations!$C$8)-Calculations!$O201+Calculations!$C$8)-'Reaction Information'!$O$21*10^4*(((1/(Calculations!$O201-Calculations!$C$13))-(1/(Calculations!$C$8-Calculations!$C$13)))*((Calculations!$C$13-Calculations!$O201)/(Calculations!$C$13))-(Calculations!$O201/(Calculations!$C$13*Calculations!$C$13))*LN((Calculations!$C$8*(Calculations!$O201-Calculations!$C$13))/(Calculations!$O201*(Calculations!$C$8-Calculations!$C$13))))+'Reaction Information'!$J$21*10^-1*(Calculations!$M201-Calculations!$C$9)+'Reaction Information'!$K$21*10^2*LN((Calculations!$C$12+Calculations!$M201)/(Calculations!$C$12+Calculations!$C$9))+(1/(Calculations!$O201-Calculations!$C$13))*('Reaction Information'!$L$21*(Calculations!$M201-Calculations!$C$9)+'Reaction Information'!$M$21*10^4*LN((Calculations!$C$12+Calculations!$M201)/(Calculations!$C$12+Calculations!$C$9)))+calculateOmega(Calculations!M201,Calculations!N201,Calculations!Q201,'Reaction Information'!$C$21,'Reaction Information'!$P$21*10^5,'Reaction Information'!$Q$21)*((1/Calculations!$S201)-1)-'Reaction Information'!$P$21*10^5*((1/Calculations!$C$10)-1)+'Reaction Information'!$P$21*10^5*Calculations!$C$14*(Calculations!$O201-Calculations!$C$8))</f>
        <v>#N/A</v>
      </c>
      <c r="AI201" s="8" t="e">
        <f>IF(ISBLANK(Input!$AG$4),NA(),'Reaction Information'!$E$25-'Reaction Information'!$G$25*(Calculations!$O201-Calculations!$C$8)-'Reaction Information'!$N$25*(Calculations!$O201*LN(Calculations!$O201/Calculations!$C$8)-Calculations!$O201+Calculations!$C$8)-'Reaction Information'!$O$25*10^4*(((1/(Calculations!$O201-Calculations!$C$13))-(1/(Calculations!$C$8-Calculations!$C$13)))*((Calculations!$C$13-Calculations!$O201)/(Calculations!$C$13))-(Calculations!$O201/(Calculations!$C$13*Calculations!$C$13))*LN((Calculations!$C$8*(Calculations!$O201-Calculations!$C$13))/(Calculations!$O201*(Calculations!$C$8-Calculations!$C$13))))+'Reaction Information'!$J$25*10^-1*(Calculations!$M201-Calculations!$C$9)+'Reaction Information'!$K$25*10^2*LN((Calculations!$C$12+Calculations!$M201)/(Calculations!$C$12+Calculations!$C$9))+(1/(Calculations!$O201-Calculations!$C$13))*('Reaction Information'!$L$25*(Calculations!$M201-Calculations!$C$9)+'Reaction Information'!$M$25*10^4*LN((Calculations!$C$12+Calculations!$M201)/(Calculations!$C$12+Calculations!$C$9)))+calculateOmega(Calculations!M201,Calculations!N201,Calculations!Q201,'Reaction Information'!$C$25,'Reaction Information'!$P$25*10^5,'Reaction Information'!$Q$25)*((1/Calculations!$S201)-1)-'Reaction Information'!$P$25*10^5*((1/Calculations!$C$10)-1)+'Reaction Information'!$P$25*10^5*Calculations!$C$14*(Calculations!$O201-Calculations!$C$8))</f>
        <v>#N/A</v>
      </c>
      <c r="AJ201" s="8" t="e">
        <f>IF(ISBLANK(Input!$AJ$4),NA(),'Reaction Information'!$E$29-'Reaction Information'!$G$29*(Calculations!$O201-Calculations!$C$8)-'Reaction Information'!$N$29*(Calculations!$O201*LN(Calculations!$O201/Calculations!$C$8)-Calculations!$O201+Calculations!$C$8)-'Reaction Information'!$O$29*10^4*(((1/(Calculations!$O201-Calculations!$C$13))-(1/(Calculations!$C$8-Calculations!$C$13)))*((Calculations!$C$13-Calculations!$O201)/(Calculations!$C$13))-(Calculations!$O201/(Calculations!$C$13*Calculations!$C$13))*LN((Calculations!$C$8*(Calculations!$O201-Calculations!$C$13))/(Calculations!$O201*(Calculations!$C$8-Calculations!$C$13))))+'Reaction Information'!$J$29*10^-1*(Calculations!$M201-Calculations!$C$9)+'Reaction Information'!$K$29*10^2*LN((Calculations!$C$12+Calculations!$M201)/(Calculations!$C$12+Calculations!$C$9))+(1/(Calculations!$O201-Calculations!$C$13))*('Reaction Information'!$L$29*(Calculations!$M201-Calculations!$C$9)+'Reaction Information'!$M$29*10^4*LN((Calculations!$C$12+Calculations!$M201)/(Calculations!$C$12+Calculations!$C$9)))+calculateOmega(Calculations!M201,Calculations!N201,Calculations!Q201,'Reaction Information'!$C$29,'Reaction Information'!$P$29*10^5,'Reaction Information'!$Q$29)*((1/Calculations!$S201)-1)-'Reaction Information'!$P$29*10^5*((1/Calculations!$C$10)-1)+'Reaction Information'!$P$29*10^5*Calculations!$C$14*(Calculations!$O201-Calculations!$C$8))</f>
        <v>#N/A</v>
      </c>
      <c r="AK201" s="8" t="e">
        <f>IF(ISBLANK(Input!$AM$4),NA(),'Reaction Information'!$E$33-'Reaction Information'!$G$33*(Calculations!$O201-Calculations!$C$8)-'Reaction Information'!$N$33*(Calculations!$O201*LN(Calculations!$O201/Calculations!$C$8)-Calculations!$O201+Calculations!$C$8)-'Reaction Information'!$O$33*10^4*(((1/(Calculations!$O201-Calculations!$C$13))-(1/(Calculations!$C$8-Calculations!$C$13)))*((Calculations!$C$13-Calculations!$O201)/(Calculations!$C$13))-(Calculations!$O201/(Calculations!$C$13*Calculations!$C$13))*LN((Calculations!$C$8*(Calculations!$O201-Calculations!$C$13))/(Calculations!$O201*(Calculations!$C$8-Calculations!$C$13))))+'Reaction Information'!$J$33*10^-1*(Calculations!$M201-Calculations!$C$9)+'Reaction Information'!$K$33*10^2*LN((Calculations!$C$12+Calculations!$M201)/(Calculations!$C$12+Calculations!$C$9))+(1/(Calculations!$O201-Calculations!$C$13))*('Reaction Information'!$L$33*(Calculations!$M201-Calculations!$C$9)+'Reaction Information'!$M$33*10^4*LN((Calculations!$C$12+Calculations!$M201)/(Calculations!$C$12+Calculations!$C$9)))+calculateOmega(Calculations!M201,Calculations!N201,Calculations!Q201,'Reaction Information'!$C$33,'Reaction Information'!$P$33*10^5,'Reaction Information'!$Q$33)*((1/Calculations!$S201)-1)-'Reaction Information'!$P$33*10^5*((1/Calculations!$C$10)-1)+'Reaction Information'!$P$33*10^5*Calculations!$C$14*(Calculations!$O201-Calculations!$C$8))</f>
        <v>#N/A</v>
      </c>
      <c r="AL201" s="1">
        <f>Results!S203</f>
        <v>0</v>
      </c>
      <c r="AM201" s="1">
        <f>Results!T203</f>
        <v>0</v>
      </c>
      <c r="AN201" s="1">
        <f>Results!U203</f>
        <v>0</v>
      </c>
      <c r="AO201" s="1">
        <f>Results!V203</f>
        <v>0</v>
      </c>
      <c r="AP201" s="8" t="e">
        <f>IF(ISBLANK(Input!$BB$4),NA(),'Reaction Information'!$E$38-'Reaction Information'!$G$38*(Calculations!$O201-Calculations!$C$8)+'Reaction Information'!$I$38*(Calculations!$O201-Calculations!$C$8-Calculations!$O201*LN(Calculations!$O201/Calculations!$C$8))+'Reaction Information'!$J$38*0.001/2*(2*Calculations!$O201*Calculations!$C$8-Calculations!$O201^2-Calculations!$C$8^2) + 'Reaction Information'!$K$38*100000*(Calculations!$O201^2 + Calculations!$C$8^2 - 2*Calculations!$O201*Calculations!$C$8)/(2*Calculations!$O201*Calculations!$C$8^2))</f>
        <v>#N/A</v>
      </c>
      <c r="AQ201" s="8" t="e">
        <f>IF(ISBLANK(Input!$BE$4),NA(),'Reaction Information'!$E$42-'Reaction Information'!$G$42*(Calculations!$O201-Calculations!$C$8)+'Reaction Information'!$I$42*(Calculations!$O201-Calculations!$C$8-Calculations!$O201*LN(Calculations!$O201/Calculations!$C$8))+'Reaction Information'!$J$42*0.001/2*(2*Calculations!$O201*Calculations!$C$8-Calculations!$O201^2-Calculations!$C$8^2) + 'Reaction Information'!$K$42*100000*(Calculations!$O201^2 + Calculations!$C$8^2 - 2*Calculations!$O201*Calculations!$C$8)/(2*Calculations!$O201*Calculations!$C$8^2))</f>
        <v>#N/A</v>
      </c>
      <c r="AR201" s="8" t="e">
        <f>IF(AR$5="H2O", IF($D$24=3,IF(T201=0,NA(),T201),calculateGibbsOfWater(M201,N201,$D$24,$D$20,$D$19=3)),NA())</f>
        <v>#N/A</v>
      </c>
      <c r="AS201" s="8" t="e">
        <f>IF(ISBLANK(Input!$BK$4),NA(),'Reaction Information'!$E$46-'Reaction Information'!$G$46*(Calculations!O201-Calculations!$C$8)-'Reaction Information'!$N$46*(Calculations!O201*LN(Calculations!O201/Calculations!$C$8)-Calculations!O201+Calculations!$C$8)-'Reaction Information'!$O$46*10^4*(((1/(Calculations!O201-Calculations!$C$13))-(1/(Calculations!$C$8-Calculations!$C$13)))*((Calculations!$C$13-Calculations!O201)/(Calculations!$C$13))-(Calculations!O201/(Calculations!$C$13*Calculations!$C$13))*LN((Calculations!$C$8*(Calculations!O201-Calculations!$C$13))/(Calculations!O201*(Calculations!$C$8-Calculations!$C$13))))+'Reaction Information'!$J$46*10^-1*(Calculations!$M201-Calculations!$C$9)+'Reaction Information'!$K$46*10^2*LN((Calculations!$C$12+Calculations!$M201)/(Calculations!$C$12+Calculations!$C$9))+(1/(Calculations!O201-Calculations!$C$13))*('Reaction Information'!$L$46*(Calculations!$M201-Calculations!$C$9)+'Reaction Information'!$M$46*10^4*LN((Calculations!$C$12+Calculations!$M201)/(Calculations!$C$12+Calculations!$C$9)))+calculateOmega(Calculations!M201,Calculations!N201,Calculations!Q201,'Reaction Information'!$C$46,'Reaction Information'!$P$46*10^5,'Reaction Information'!$Q$46)*((1/Calculations!S201)-1)-'Reaction Information'!$P$46*10^5*((1/Calculations!$C$10)-1)+'Reaction Information'!$P$46*10^5*Calculations!$C$14*(Calculations!O201-Calculations!$C$8))</f>
        <v>#VALUE!</v>
      </c>
      <c r="AT201" s="8" t="e">
        <f>IF(ISBLANK(Input!$BN$4),NA(),'Reaction Information'!$E$50-'Reaction Information'!$G$50*(Calculations!O201-Calculations!$C$8)-'Reaction Information'!$N$50*(Calculations!O201*LN(Calculations!O201/Calculations!$C$8)-Calculations!O201+Calculations!$C$8)-'Reaction Information'!$O$50*10^4*(((1/(Calculations!O201-Calculations!$C$13))-(1/(Calculations!$C$8-Calculations!$C$13)))*((Calculations!$C$13-Calculations!O201)/(Calculations!$C$13))-(Calculations!O201/(Calculations!$C$13*Calculations!$C$13))*LN((Calculations!$C$8*(Calculations!O201-Calculations!$C$13))/(Calculations!O201*(Calculations!$C$8-Calculations!$C$13))))+'Reaction Information'!$J$50*10^-1*(Calculations!$M201-Calculations!$C$9)+'Reaction Information'!$K$50*10^2*LN((Calculations!$C$12+Calculations!$M201)/(Calculations!$C$12+Calculations!$C$9))+(1/(Calculations!O201-Calculations!$C$13))*('Reaction Information'!$L$50*(Calculations!$M201-Calculations!$C$9)+'Reaction Information'!$M$50*10^4*LN((Calculations!$C$12+Calculations!$M201)/(Calculations!$C$12+Calculations!$C$9)))+calculateOmega(Calculations!M201,Calculations!N201,Calculations!Q201,'Reaction Information'!$C$50,'Reaction Information'!$P$50*10^5,'Reaction Information'!$Q$50)*((1/Calculations!S201)-1)-'Reaction Information'!$P$50*10^5*((1/Calculations!$C$10)-1)+'Reaction Information'!$P$50*10^5*Calculations!$C$14*(Calculations!O201-Calculations!$C$8))</f>
        <v>#VALUE!</v>
      </c>
      <c r="AU201" s="8" t="e">
        <f>IF(ISBLANK(Input!$BQ$4),NA(),'Reaction Information'!$E$54-'Reaction Information'!$G$54*(Calculations!$O201-Calculations!$C$8)-'Reaction Information'!$N$54*(Calculations!$O201*LN(Calculations!$O201/Calculations!$C$8)-Calculations!$O201+Calculations!$C$8)-'Reaction Information'!$O$54*10^4*(((1/(Calculations!$O201-Calculations!$C$13))-(1/(Calculations!$C$8-Calculations!$C$13)))*((Calculations!$C$13-Calculations!$O201)/(Calculations!$C$13))-(Calculations!$O201/(Calculations!$C$13*Calculations!$C$13))*LN((Calculations!$C$8*(Calculations!$O201-Calculations!$C$13))/(Calculations!$O201*(Calculations!$C$8-Calculations!$C$13))))+'Reaction Information'!$J$54*10^-1*(Calculations!$M201-Calculations!$C$9)+'Reaction Information'!$K$54*10^2*LN((Calculations!$C$12+Calculations!$M201)/(Calculations!$C$12+Calculations!$C$9))+(1/(Calculations!$O201-Calculations!$C$13))*('Reaction Information'!$L$54*(Calculations!$M201-Calculations!$C$9)+'Reaction Information'!$M$54*10^4*LN((Calculations!$C$12+Calculations!$M201)/(Calculations!$C$12+Calculations!$C$9)))+calculateOmega(Calculations!M201,Calculations!N201,Calculations!Q201,'Reaction Information'!$C$54,'Reaction Information'!$P$54*10^5,'Reaction Information'!$Q$54)*((1/Calculations!$S201)-1)-'Reaction Information'!$P$54*10^5*((1/Calculations!$C$10)-1)+'Reaction Information'!$P$54*10^5*Calculations!$C$14*(Calculations!$O201-Calculations!$C$8))</f>
        <v>#N/A</v>
      </c>
      <c r="AV201" s="8" t="e">
        <f>IF(ISBLANK(Input!$BT$4),NA(),'Reaction Information'!$E$58-'Reaction Information'!$G$58*(Calculations!$O201-Calculations!$C$8)-'Reaction Information'!$N$58*(Calculations!$O201*LN(Calculations!$O201/Calculations!$C$8)-Calculations!$O201+Calculations!$C$8)-'Reaction Information'!$O$58*10^4*(((1/(Calculations!$O201-Calculations!$C$13))-(1/(Calculations!$C$8-Calculations!$C$13)))*((Calculations!$C$13-Calculations!$O201)/(Calculations!$C$13))-(Calculations!$O201/(Calculations!$C$13*Calculations!$C$13))*LN((Calculations!$C$8*(Calculations!$O201-Calculations!$C$13))/(Calculations!$O201*(Calculations!$C$8-Calculations!$C$13))))+'Reaction Information'!$J$58*10^-1*(Calculations!$M201-Calculations!$C$9)+'Reaction Information'!$K$58*10^2*LN((Calculations!$C$12+Calculations!$M201)/(Calculations!$C$12+Calculations!$C$9))+(1/(Calculations!$O201-Calculations!$C$13))*('Reaction Information'!$L$58*(Calculations!$M201-Calculations!$C$9)+'Reaction Information'!$M$58*10^4*LN((Calculations!$C$12+Calculations!$M201)/(Calculations!$C$12+Calculations!$C$9)))+calculateOmega(Calculations!M201,Calculations!N201,Calculations!Q201,'Reaction Information'!$C$58,'Reaction Information'!$P$58*10^5,'Reaction Information'!$Q$58)*((1/Calculations!$S201)-1)-'Reaction Information'!$P$58*10^5*((1/Calculations!$C$10)-1)+'Reaction Information'!$P$58*10^5*Calculations!$C$14*(Calculations!$O201-Calculations!$C$8))</f>
        <v>#N/A</v>
      </c>
      <c r="AW201" s="8" t="e">
        <f>IF(ISBLANK(Input!$BW$4),NA(),'Reaction Information'!$E$62-'Reaction Information'!$G$62*(Calculations!$O201-Calculations!$C$8)-'Reaction Information'!$N$62*(Calculations!$O201*LN(Calculations!$O201/Calculations!$C$8)-Calculations!$O201+Calculations!$C$8)-'Reaction Information'!$O$62*10^4*(((1/(Calculations!$O201-Calculations!$C$13))-(1/(Calculations!$C$8-Calculations!$C$13)))*((Calculations!$C$13-Calculations!$O201)/(Calculations!$C$13))-(Calculations!$O201/(Calculations!$C$13*Calculations!$C$13))*LN((Calculations!$C$8*(Calculations!$O201-Calculations!$C$13))/(Calculations!$O201*(Calculations!$C$8-Calculations!$C$13))))+'Reaction Information'!$J$62*10^-1*(Calculations!$M201-Calculations!$C$9)+'Reaction Information'!$K$62*10^2*LN((Calculations!$C$12+Calculations!$M201)/(Calculations!$C$12+Calculations!$C$9))+(1/(Calculations!$O201-Calculations!$C$13))*('Reaction Information'!$L$62*(Calculations!$M201-Calculations!$C$9)+'Reaction Information'!$M$62*10^4*LN((Calculations!$C$12+Calculations!$M201)/(Calculations!$C$12+Calculations!$C$9)))+calculateOmega(Calculations!M201,Calculations!N201,Calculations!Q201,'Reaction Information'!$C$62,'Reaction Information'!$P$62*10^5,'Reaction Information'!$Q$62)*((1/Calculations!$S201)-1)-'Reaction Information'!$P$62*10^5*((1/Calculations!$C$10)-1)+'Reaction Information'!$P$62*10^5*Calculations!$C$14*(Calculations!$O201-Calculations!$C$8))</f>
        <v>#N/A</v>
      </c>
      <c r="AX201" s="8" t="e">
        <f>IF(ISBLANK(Input!$BZ$4),NA(),'Reaction Information'!$E$66-'Reaction Information'!$G$66*(Calculations!$O201-Calculations!$C$8)-'Reaction Information'!$N$66*(Calculations!$O201*LN(Calculations!$O201/Calculations!$C$8)-Calculations!$O201+Calculations!$C$8)-'Reaction Information'!$O$66*10^4*(((1/(Calculations!$O201-Calculations!$C$13))-(1/(Calculations!$C$8-Calculations!$C$13)))*((Calculations!$C$13-Calculations!$O201)/(Calculations!$C$13))-(Calculations!$O201/(Calculations!$C$13*Calculations!$C$13))*LN((Calculations!$C$8*(Calculations!$O201-Calculations!$C$13))/(Calculations!$O201*(Calculations!$C$8-Calculations!$C$13))))+'Reaction Information'!$J$66*10^-1*(Calculations!$M201-Calculations!$C$9)+'Reaction Information'!$K$66*10^2*LN((Calculations!$C$12+Calculations!$M201)/(Calculations!$C$12+Calculations!$C$9))+(1/(Calculations!$O201-Calculations!$C$13))*('Reaction Information'!$L$66*(Calculations!$M201-Calculations!$C$9)+'Reaction Information'!$M$66*10^4*LN((Calculations!$C$12+Calculations!$M201)/(Calculations!$C$12+Calculations!$C$9)))+calculateOmega(Calculations!M201,Calculations!N201,Calculations!Q201,'Reaction Information'!$C$66,'Reaction Information'!$P$66*10^5,'Reaction Information'!$Q$66)*((1/Calculations!$S201)-1)-'Reaction Information'!$P$66*10^5*((1/Calculations!$C$10)-1)+'Reaction Information'!$P$66*10^5*Calculations!$C$14*(Calculations!$O201-Calculations!$C$8))</f>
        <v>#N/A</v>
      </c>
      <c r="AY201" s="31" t="e">
        <f>(AL201*Input!$AO$4+AM201*Input!$AR$4+AN201*Input!$AU$4+AO201*Input!$AX$4+IF(ISNA(AP201),0,AP201*Input!$BA$4)+IF(ISNA(AQ201),0,AQ201*Input!$BD$4)+IF(ISNA(AR201),0,AR201*Input!$BG$4)+IF(ISNA(AS201),0,AS201*Input!$BJ$4)+IF(ISNA(AT201),0,AT201*Input!$BM$4)+IF(ISNA(AU201),0,AU201*Input!$BP$4)+IF(ISNA(AV201),0,AV201*Input!$BS$4)+IF(ISNA(AW201),0,AW201*Input!$BV$4)+IF(ISNA(AX201),0,AX201*Input!$BY$4))-(Y201*Input!$B$4+Z201*Input!$E$4+AA201*Input!$H$4+AB201*Input!$K$4+IF(ISNA(AC201),0,AC201*Input!$N$4)+IF(ISNA(AD201),0,AD201*Input!$Q$4)+IF(ISNA(AE201),0,AE201*Input!$T$4)+IF(ISNA(AF201),0,AF201*Input!$W$4)+IF(ISNA(AG201),0,AG201*Input!$Z$4)+IF(ISNA(AH201),0,AH201*Input!$AC$4)+IF(ISNA(AI201),0,AI201*Input!$AF$4)+IF(ISNA(AJ201),0,AJ201*Input!$AI$4)+IF(ISNA(AK201),0,AK201*Input!$AL$4))</f>
        <v>#VALUE!</v>
      </c>
      <c r="AZ201" s="42" t="e">
        <f t="shared" si="58"/>
        <v>#VALUE!</v>
      </c>
      <c r="BA201" s="1" t="str">
        <f t="shared" si="65"/>
        <v/>
      </c>
      <c r="BB201" s="46" t="str">
        <f t="shared" si="66"/>
        <v/>
      </c>
      <c r="BC201" s="1"/>
      <c r="BD201" s="2" t="str">
        <f t="shared" si="67"/>
        <v/>
      </c>
      <c r="BE201" s="46" t="str">
        <f t="shared" si="68"/>
        <v/>
      </c>
      <c r="BF201" s="1">
        <f>Results!AJ203</f>
        <v>0</v>
      </c>
      <c r="BG201" s="1">
        <f>Results!AK203</f>
        <v>0</v>
      </c>
      <c r="BH201" s="1">
        <f>Results!AL203</f>
        <v>0</v>
      </c>
      <c r="BI201" s="1">
        <f>Results!AM203</f>
        <v>0</v>
      </c>
      <c r="BJ201" s="1" t="e">
        <f>IF(OR(ISNA('Reaction Information'!$D$5), $N201 = "", $D$27 = FALSE, 'Reaction Information'!$D$5 = ""), NA(), 24.465)</f>
        <v>#N/A</v>
      </c>
      <c r="BK201" s="1" t="e">
        <f>IF(OR(ISNA('Reaction Information'!$D$9), $N201 = "", $D$27 = FALSE, 'Reaction Information'!$D$9 = ""), NA(), 24.465)</f>
        <v>#N/A</v>
      </c>
      <c r="BL201" s="8" t="e">
        <f t="shared" si="59"/>
        <v>#VALUE!</v>
      </c>
      <c r="BM201" s="8" t="e">
        <f>IF(OR(ISBLANK(Input!$X$4),$D$27=FALSE),NA(),('Reaction Information'!$J$13/10+'Reaction Information'!$K$13*100/(Calculations!$C$12+Calculations!$M201)+('Reaction Information'!$L$13+'Reaction Information'!$M$13*10^4/(Calculations!$C$12+Calculations!$M201))/(Calculations!$O201-Calculations!$C$13) -calculateOmega(Calculations!$M201,Calculations!$N201,Calculations!$Q201,'Reaction Information'!$C$13,'Reaction Information'!$P$13*10^5,'Reaction Information'!$Q$13)*Calculations!$U201*10^-6 + (1/$S201 - 1)*calculate_domegadP(Calculations!$M201,Calculations!$N201,Calculations!$Q201,'Reaction Information'!$C$13,'Reaction Information'!$P$13*10^5,'Reaction Information'!$Q$13,$D$20,$D$19=3))*41.84)</f>
        <v>#VALUE!</v>
      </c>
      <c r="BN201" s="8" t="e">
        <f>IF(OR(ISBLANK(Input!$AA$4),$D$27=FALSE),NA(),('Reaction Information'!$J$17/10+'Reaction Information'!$K$17*100/(Calculations!$C$12+Calculations!$M201)+('Reaction Information'!$L$17+'Reaction Information'!$M$17*10000/(Calculations!$C$12+Calculations!$M201))/(Calculations!$O201-Calculations!$C$13)-calculateOmega(Calculations!M201,Calculations!N201,Calculations!Q201,'Reaction Information'!$C$17,'Reaction Information'!$P$17*10^5,'Reaction Information'!$Q$17)*Calculations!$U201*10^-6 + (1/$S201 - 1)*calculate_domegadP(Calculations!M201,Calculations!N201,Calculations!Q201,'Reaction Information'!$C$17,'Reaction Information'!$P$17*10^5,'Reaction Information'!$Q$17,$D$20,$D$19=3))*41.84)</f>
        <v>#N/A</v>
      </c>
      <c r="BO201" s="8" t="e">
        <f>IF(OR(ISBLANK(Input!$AD$4),$D$27=FALSE),NA(),('Reaction Information'!$J$21/10+'Reaction Information'!$K$21*100/(Calculations!$C$12+Calculations!$M201)+('Reaction Information'!$L$21+'Reaction Information'!$M$21*10000/(Calculations!$C$12+Calculations!$M201))/(Calculations!$O201-Calculations!$C$13)-calculateOmega(Calculations!M201,Calculations!N201,Calculations!Q201,'Reaction Information'!$C$21,'Reaction Information'!$P$21*10^5,'Reaction Information'!$Q$21)*Calculations!$U201*10^-6 + (1/$S201 - 1)*calculate_domegadP(Calculations!M201,Calculations!N201,Calculations!Q201,'Reaction Information'!$C$21,'Reaction Information'!$P$21*10^5,'Reaction Information'!$Q$21,$D$20,$D$19=3))*41.84)</f>
        <v>#N/A</v>
      </c>
      <c r="BP201" s="8" t="e">
        <f>IF(OR(ISBLANK(Input!$AG$4),$D$27=FALSE),NA(),('Reaction Information'!$J$25/10+'Reaction Information'!$K$25*100/(Calculations!$C$12+Calculations!$M201)+('Reaction Information'!$L$25+'Reaction Information'!$M$25*10000/(Calculations!$C$12+Calculations!$M201))/(Calculations!$O201-Calculations!$C$13)-calculateOmega(Calculations!M201,Calculations!N201,Calculations!Q201,'Reaction Information'!$C$25,'Reaction Information'!$P$25*10^5,'Reaction Information'!$Q$25)*Calculations!$U201*10^-6 + (1/$S201 - 1)*calculate_domegadP(Calculations!M201,Calculations!N201,Calculations!Q201,'Reaction Information'!$C$25,'Reaction Information'!$P$25*10^5,'Reaction Information'!$Q$25,$D$20,$D$19=3))*41.84)</f>
        <v>#N/A</v>
      </c>
      <c r="BQ201" s="8" t="e">
        <f>IF(OR(ISBLANK(Input!$AJ$4),$D$27=FALSE),NA(),('Reaction Information'!$J$29/10+'Reaction Information'!$K$29*100/(Calculations!$C$12+Calculations!$M201)+('Reaction Information'!$L$29+'Reaction Information'!$M$29*10000/(Calculations!$C$12+Calculations!$M201))/(Calculations!$O201-Calculations!$C$13)-calculateOmega(Calculations!M201,Calculations!N201,Calculations!Q201,'Reaction Information'!$C$29,'Reaction Information'!$P$29*10^5,'Reaction Information'!$Q$29)*Calculations!$U201*10^-6 + (1/$S201 - 1)*calculate_domegadP(Calculations!M201,Calculations!N201,Calculations!Q201,'Reaction Information'!$C$29,'Reaction Information'!$P$29*10^5,'Reaction Information'!$Q$29,$D$20,$D$19=3))*41.84)</f>
        <v>#N/A</v>
      </c>
      <c r="BR201" s="8" t="e">
        <f>IF(OR(ISBLANK(Input!$AM$4),$D$27=FALSE),NA(),('Reaction Information'!$J$33/10+'Reaction Information'!$K$33*100/(Calculations!$C$12+Calculations!$M201)+('Reaction Information'!$L$33+'Reaction Information'!$M$33*10000/(Calculations!$C$12+Calculations!$M201))/(Calculations!$O201-Calculations!$C$13)-calculateOmega(Calculations!M201,Calculations!N201,Calculations!Q201,'Reaction Information'!$C$33,'Reaction Information'!$P$33*10^5,'Reaction Information'!$Q$33)*Calculations!$U201*10^-6 + (1/$S201 - 1)*calculate_domegadP(Calculations!M201,Calculations!N201,Calculations!Q201,'Reaction Information'!$C$33,'Reaction Information'!$P$33*10^5,'Reaction Information'!$Q$33,$D$20,$D$19=3))*41.84)</f>
        <v>#N/A</v>
      </c>
      <c r="BS201" s="1">
        <f>Results!AW203</f>
        <v>0</v>
      </c>
      <c r="BT201" s="1">
        <f>Results!AX203</f>
        <v>0</v>
      </c>
      <c r="BU201" s="1">
        <f>Results!AY203</f>
        <v>0</v>
      </c>
      <c r="BV201" s="1">
        <f>Results!AZ203</f>
        <v>0</v>
      </c>
      <c r="BW201" s="1" t="e">
        <f>IF(OR(ISNA('Reaction Information'!$D$38), $N201 = "", $D$27 = FALSE, 'Reaction Information'!$D$38 = ""), NA(), 24.465)</f>
        <v>#N/A</v>
      </c>
      <c r="BX201" s="1" t="e">
        <f>IF(OR(ISNA('Reaction Information'!$D$42), $N201 = "", $D$27 = FALSE, 'Reaction Information'!$D$42 = ""), NA(), 24.465)</f>
        <v>#N/A</v>
      </c>
      <c r="BY201" s="8" t="e">
        <f t="shared" si="60"/>
        <v>#N/A</v>
      </c>
      <c r="BZ201" s="8" t="e">
        <f>IF(OR(ISBLANK(Input!$BK$4),$D$27=FALSE),NA(),('Reaction Information'!$J$46/10+'Reaction Information'!$K$46*100/(Calculations!$C$12+Calculations!$M201)+('Reaction Information'!$L$46+'Reaction Information'!$M$46*10000/(Calculations!$C$12+Calculations!$M201))/(Calculations!$O201-Calculations!$C$13)-calculateOmega(Calculations!M201,Calculations!N201,Calculations!Q201,'Reaction Information'!$C$46,'Reaction Information'!$P$46*10^5,'Reaction Information'!$Q$46)*Calculations!$U201*10^-6 + (1/$S201 - 1)*calculate_domegadP(Calculations!M201,Calculations!N201,Calculations!Q201,'Reaction Information'!$C$46,'Reaction Information'!$P$46*10^5,'Reaction Information'!$Q$46,$D$20,$D$19=3))*41.84)</f>
        <v>#VALUE!</v>
      </c>
      <c r="CA201" s="8" t="e">
        <f>IF(OR(ISBLANK(Input!$BN$4),$D$27=FALSE),NA(),('Reaction Information'!$J$50/10+'Reaction Information'!$K$50*100/(Calculations!$C$12+Calculations!$M201)+('Reaction Information'!$L$50+'Reaction Information'!$M$50*10000/(Calculations!$C$12+Calculations!$M201))/(Calculations!$O201-Calculations!$C$13)-calculateOmega(Calculations!M201,Calculations!N201,Calculations!Q201,'Reaction Information'!$C$50,'Reaction Information'!$P$50*10^5,'Reaction Information'!$Q$50)*Calculations!$U201*10^-6 + (1/$S201 - 1)*calculate_domegadP(Calculations!M201,Calculations!N201,Calculations!Q201,'Reaction Information'!$C$50,'Reaction Information'!$P$50*10^5,'Reaction Information'!$Q$50,$D$20,$D$19=3))*41.84)</f>
        <v>#VALUE!</v>
      </c>
      <c r="CB201" s="8" t="e">
        <f>IF(OR(ISBLANK(Input!$BQ$4),$D$27=FALSE),NA(),('Reaction Information'!$J$54/10+'Reaction Information'!$K$54*100/(Calculations!$C$12+Calculations!$M201)+('Reaction Information'!$L$54+'Reaction Information'!$M$54*10000/(Calculations!$C$12+Calculations!$M201))/(Calculations!$O201-Calculations!$C$13)-calculateOmega(Calculations!M201,Calculations!N201,Calculations!Q201,'Reaction Information'!$C$54,'Reaction Information'!$P$54*10^5,'Reaction Information'!$Q$54)*Calculations!$U201*10^-6 + (1/$S201 - 1)*calculate_domegadP(Calculations!M201,Calculations!N201,Calculations!Q201,'Reaction Information'!$C$54,'Reaction Information'!$P$54*10^5,'Reaction Information'!$Q$54,$D$20,$D$19=3))*41.84)</f>
        <v>#N/A</v>
      </c>
      <c r="CC201" s="8" t="e">
        <f>IF(OR(ISBLANK(Input!$BT$4),$D$27=FALSE),NA(),('Reaction Information'!$J$58/10+'Reaction Information'!$K$58*100/(Calculations!$C$12+Calculations!$M201)+('Reaction Information'!$L$58+'Reaction Information'!$M$58*10000/(Calculations!$C$12+Calculations!$M201))/(Calculations!$O201-Calculations!$C$13)-calculateOmega(Calculations!M201,Calculations!N201,Calculations!Q201,'Reaction Information'!$C$58,'Reaction Information'!$P$58*10^5,'Reaction Information'!$Q$58)*Calculations!$U201*10^-6 + (1/$S201 - 1)*calculate_domegadP(Calculations!M201,Calculations!N201,Calculations!Q201,'Reaction Information'!$C$58,'Reaction Information'!$P$58*10^5,'Reaction Information'!$Q$58,$D$20,$D$19=3))*41.84)</f>
        <v>#N/A</v>
      </c>
      <c r="CD201" s="8" t="e">
        <f>IF(OR(ISBLANK(Input!$BW$4),$D$27=FALSE),NA(),('Reaction Information'!$J$62/10+'Reaction Information'!$K$62*100/(Calculations!$C$12+Calculations!$M201)+('Reaction Information'!$L$62+'Reaction Information'!$M$62*10000/(Calculations!$C$12+Calculations!$M201))/(Calculations!$O201-Calculations!$C$13)-calculateOmega(Calculations!M201,Calculations!N201,Calculations!Q201,'Reaction Information'!$C$62,'Reaction Information'!$P$62*10^5,'Reaction Information'!$Q$62)*Calculations!$U201*10^-6 + (1/$S201 - 1)*calculate_domegadP(Calculations!M201,Calculations!N201,Calculations!Q201,'Reaction Information'!$C$62,'Reaction Information'!$P$62*10^5,'Reaction Information'!$Q$62,$D$20,$D$19=3))*41.84)</f>
        <v>#N/A</v>
      </c>
      <c r="CE201" s="8" t="e">
        <f>IF(OR(ISBLANK(Input!$BZ$4),$D$27=FALSE),NA(),('Reaction Information'!$J$66/10+'Reaction Information'!$K$66*100/(Calculations!$C$12+Calculations!$M201)+('Reaction Information'!$L$66+'Reaction Information'!$M$66*10000/(Calculations!$C$12+Calculations!$M201))/(Calculations!$O201-Calculations!$C$13)-calculateOmega(Calculations!M201,Calculations!N201,Calculations!Q201,'Reaction Information'!$C$66,'Reaction Information'!$P$66*10^5,'Reaction Information'!$Q$66)*Calculations!$U201*10^-6 + (1/$S201 - 1)*calculate_domegadP(Calculations!M201,Calculations!N201,Calculations!Q201,'Reaction Information'!$C$66,'Reaction Information'!$P$66*10^5,'Reaction Information'!$Q$66,$D$20,$D$19=3))*41.84)</f>
        <v>#N/A</v>
      </c>
      <c r="CF201" s="31" t="e">
        <f>(BS201*Input!$AO$4+BT201*Input!$AR$4+BU201*Input!$AU$4+BV201*Input!$AX$4+IF(ISNA(BW201),0,BW201*Input!$BA$4)+IF(ISNA(BX201),0,BX201*Input!$BD$4)+IF(ISNA(BY201),0,BY201*Input!$BG$4)+IF(ISNA(BZ201),0,BZ201*Input!$BJ$4)+IF(ISNA(CA201),0,CA201*Input!$BM$4)+IF(ISNA(CB201),0,CB201*Input!$BP$4)+IF(ISNA(CC201),0,CC201*Input!$BS$4)+IF(ISNA(CD201),0,CD201*Input!$BV$4)+IF(ISNA(CE201),0,CE201*Input!$BY$4))-(BF201*Input!$B$4+BG201*Input!$E$4+BH201*Input!$H$4+BI201*Input!$K$4+IF(ISNA(BJ201),0,BJ201*Input!$N$4)+IF(ISNA(BK201),0,BK201*Input!$Q$4)+IF(ISNA(BL201),0,BL201*Input!$T$4)+IF(ISNA(BM201),0,BM201*Input!$W$4)+IF(ISNA(BN201),0,BN201*Input!$Z$4)+IF(ISNA(BO201),0,BO201*Input!$AC$4)+IF(ISNA(BP201),0,BP201*Input!$AF$4)+IF(ISNA(BQ201),0,BQ201*Input!$AI$4)+IF(ISNA(BR201),0,BR201*Input!$AL$4))</f>
        <v>#VALUE!</v>
      </c>
      <c r="CG201" s="1" t="str">
        <f t="shared" si="69"/>
        <v/>
      </c>
      <c r="CH201" s="46" t="str">
        <f t="shared" si="70"/>
        <v/>
      </c>
      <c r="CI201" s="1"/>
    </row>
    <row r="202" spans="1:87" x14ac:dyDescent="0.2">
      <c r="A202" s="1"/>
      <c r="B202" s="1"/>
      <c r="C202" s="1"/>
      <c r="D202" s="1"/>
      <c r="E202" s="1"/>
      <c r="F202" s="2">
        <v>197</v>
      </c>
      <c r="G202" s="1" t="str">
        <f>IF(ISBLANK(Input!CB202), "", Input!CB202*1000)</f>
        <v/>
      </c>
      <c r="H202" s="1" t="str">
        <f>IF(ISBLANK(Input!CC202), "", Input!CC202)</f>
        <v/>
      </c>
      <c r="I202" s="1" t="str">
        <f>IF(Input!$CF$5 + Input!$CF$6*(FLOOR((Calculations!$F202-1)/(FLOOR((Input!$CF$12-Input!$CF$10)/Input!$CF$11,1)+1),1)) &gt; Input!$CF$7, "", (Input!$CF$5 + Input!$CF$6*(FLOOR((Calculations!$F202-1)/(FLOOR((Input!$CF$12-Input!$CF$10)/Input!$CF$11,1)+1),1)))*1000)</f>
        <v/>
      </c>
      <c r="J202" s="1" t="str">
        <f>IF(Calculations!I202 = "", "", Input!$CF$10 + Input!$CF$11*(Calculations!$F202-1) - (FLOOR((Input!$CF$12-Input!$CF$10)/Input!$CF$11,1)+1)*Input!$CF$11*FLOOR((Calculations!$F202-1)/(FLOOR((Input!$CF$12-Input!$CF$10)/Input!$CF$11,1)+1),1))</f>
        <v/>
      </c>
      <c r="K202" s="8" t="str">
        <f t="shared" si="71"/>
        <v/>
      </c>
      <c r="L202" s="117" t="str">
        <f>IF(OR(Input!$CJ$5 + Input!$CJ$6*(Calculations!F202-1) &gt; Input!$CJ$7, Input!$CJ$5 + Input!$CJ$6*(Calculations!F202-1) &gt; 350), "", Input!$CJ$5 + Input!$CJ$6*(Calculations!F202-1))</f>
        <v/>
      </c>
      <c r="M202" s="1" t="str">
        <f t="shared" si="61"/>
        <v/>
      </c>
      <c r="N202" s="1" t="str">
        <f t="shared" si="62"/>
        <v/>
      </c>
      <c r="O202" s="1" t="e">
        <f t="shared" si="57"/>
        <v>#VALUE!</v>
      </c>
      <c r="P202" s="1" t="e">
        <f>IF(OR($D$20=3,AND($D$21=TRUE,M202&lt;1000)),INDEX('Water Density'!$C$6:$CX$120,MATCH(Calculations!N202,'Water Density'!$B$6:$B$120),MATCH(Calculations!M202/1000,'Water Density'!$C$5:$CX$5)),NA())</f>
        <v>#N/A</v>
      </c>
      <c r="Q202" s="182" t="e">
        <f>IF(OR($D$20=3,AND($D$21=TRUE,M202&lt;1000)), IF(P202&lt;&gt;0,P202,NA()), calculateDensity(M202,N202,$D$20,0.01,$D$19 = 3))</f>
        <v>#VALUE!</v>
      </c>
      <c r="R202" s="1" t="e">
        <f>IF($D$22=5,INDEX('Dielectric Constant'!$C$6:$CX$120,MATCH(Calculations!N202,'Dielectric Constant'!$B$6:$B$120),MATCH(Calculations!M202/1000,'Dielectric Constant'!$C$5:$CX$5)),NA())</f>
        <v>#N/A</v>
      </c>
      <c r="S202" s="58" t="e">
        <f>IF($D$22=5, IF(R202&lt;&gt;0,R202,NA()), IF(AND($D$23,M202&lt;=5000,$D$19 &lt;&gt; 3),calculateEpsilon(Q202,N202,1,FALSE),calculateEpsilon(Q202,N202,$D$22,$D$19 = 3)))</f>
        <v>#VALUE!</v>
      </c>
      <c r="T202" s="1" t="e">
        <f>IF($D$24=3,INDEX('Water Free Energy'!$C$6:$CX$120,MATCH(Calculations!N202,'Water Free Energy'!$B$6:$B$120),MATCH(Calculations!M202/1000,'Water Free Energy'!$C$5:$CX$5)),NA())</f>
        <v>#N/A</v>
      </c>
      <c r="U202" s="179" t="e">
        <f>IF($D$27,calculateQ(M202,N202,Q202,$D$20,$D$22,$D$19=3)*10^6,NA())</f>
        <v>#VALUE!</v>
      </c>
      <c r="V202"/>
      <c r="W202" s="2" t="str">
        <f t="shared" si="63"/>
        <v/>
      </c>
      <c r="X202" s="1" t="str">
        <f t="shared" si="64"/>
        <v/>
      </c>
      <c r="Y202" s="1">
        <f>Results!F204</f>
        <v>0</v>
      </c>
      <c r="Z202" s="1">
        <f>Results!G204</f>
        <v>0</v>
      </c>
      <c r="AA202" s="1">
        <f>Results!H204</f>
        <v>0</v>
      </c>
      <c r="AB202" s="1">
        <f>Results!I204</f>
        <v>0</v>
      </c>
      <c r="AC202" s="1" t="e">
        <f>IF(ISBLANK(Input!$O$4),NA(),'Reaction Information'!$E$5-'Reaction Information'!$G$5*(Calculations!$O202-Calculations!$C$8)+'Reaction Information'!$I$5*(Calculations!$O202-Calculations!$C$8-Calculations!$O202*LN(Calculations!$O202/Calculations!$C$8))+'Reaction Information'!$J$5*0.001/2*(2*Calculations!$O202*Calculations!$C$8-Calculations!$O202^2-Calculations!$C$8^2) + 'Reaction Information'!$K$5*100000*(Calculations!$O202^2 + Calculations!$C$8^2 - 2*Calculations!$O202*Calculations!$C$8)/(2*Calculations!$O202*Calculations!$C$8^2))</f>
        <v>#N/A</v>
      </c>
      <c r="AD202" s="8" t="e">
        <f>IF(ISBLANK(Input!$R$4),NA(),'Reaction Information'!$E$9-'Reaction Information'!$G$9*(Calculations!$O202-Calculations!$C$8)+'Reaction Information'!$I$9*(Calculations!$O202-Calculations!$C$8-Calculations!$O202*LN(Calculations!$O202/Calculations!$C$8))+'Reaction Information'!$J$9*0.001/2*(2*Calculations!$O202*Calculations!$C$8-Calculations!$O202^2-Calculations!$C$8^2) + 'Reaction Information'!$K$9*100000*(Calculations!$O202^2 + Calculations!$C$8^2 - 2*Calculations!$O202*Calculations!$C$8)/(2*Calculations!$O202*Calculations!$C$8^2))</f>
        <v>#N/A</v>
      </c>
      <c r="AE202" s="8" t="e">
        <f>IF(AE$5="H2O",IF($D$24=3,IF(T202=0,NA(),T202),calculateGibbsOfWater(M202,N202,$D$24,$D$20,$D$19=3)),NA())</f>
        <v>#VALUE!</v>
      </c>
      <c r="AF202" s="8" t="e">
        <f>IF(ISBLANK(Input!$X$4),NA(),'Reaction Information'!$E$13-'Reaction Information'!$G$13*(Calculations!O202-Calculations!$C$8)-'Reaction Information'!$N$13*(Calculations!O202*LN(Calculations!O202/Calculations!$C$8)-Calculations!O202+Calculations!$C$8)-'Reaction Information'!$O$13*10^4*(((1/(Calculations!O202-Calculations!$C$13))-(1/(Calculations!$C$8-Calculations!$C$13)))*((Calculations!$C$13-Calculations!O202)/(Calculations!$C$13))-(Calculations!O202/(Calculations!$C$13*Calculations!$C$13))*LN((Calculations!$C$8*(Calculations!O202-Calculations!$C$13))/(Calculations!O202*(Calculations!$C$8-Calculations!$C$13))))+'Reaction Information'!$J$13*10^-1*(Calculations!M202-Calculations!$C$9)+'Reaction Information'!$K$13*10^2*LN((Calculations!$C$12+Calculations!M202)/(Calculations!$C$12+Calculations!$C$9))+(1/(Calculations!O202-Calculations!$C$13))*('Reaction Information'!$L$13*(Calculations!M202-Calculations!$C$9)+'Reaction Information'!$M$13*10^4*LN((Calculations!$C$12+Calculations!M202)/(Calculations!$C$12+Calculations!$C$9)))+calculateOmega(Calculations!M202,Calculations!N202,Calculations!Q202,'Reaction Information'!$C$13,'Reaction Information'!$P$13*10^5,'Reaction Information'!$Q$13)*((1/Calculations!S202)-1)-'Reaction Information'!$P$13*10^5*((1/Calculations!$C$10)-1)+'Reaction Information'!$P$13*10^5*Calculations!$C$14*(Calculations!O202-Calculations!$C$8))</f>
        <v>#VALUE!</v>
      </c>
      <c r="AG202" s="8" t="e">
        <f>IF(ISBLANK(Input!$AA$4),NA(),'Reaction Information'!$E$17-'Reaction Information'!$G$17*(Calculations!$O202-Calculations!$C$8)-'Reaction Information'!$N$17*(Calculations!$O202*LN(Calculations!$O202/Calculations!$C$8)-Calculations!$O202+Calculations!$C$8)-'Reaction Information'!$O$17*10^4*(((1/(Calculations!$O202-Calculations!$C$13))-(1/(Calculations!$C$8-Calculations!$C$13)))*((Calculations!$C$13-Calculations!$O202)/(Calculations!$C$13))-(Calculations!$O202/(Calculations!$C$13*Calculations!$C$13))*LN((Calculations!$C$8*(Calculations!$O202-Calculations!$C$13))/(Calculations!$O202*(Calculations!$C$8-Calculations!$C$13))))+'Reaction Information'!$J$17*10^-1*(Calculations!$M202-Calculations!$C$9)+'Reaction Information'!$K$17*10^2*LN((Calculations!$C$12+Calculations!$M202)/(Calculations!$C$12+Calculations!$C$9))+(1/(Calculations!$O202-Calculations!$C$13))*('Reaction Information'!$L$17*(Calculations!$M202-Calculations!$C$9)+'Reaction Information'!$M$17*10^4*LN((Calculations!$C$12+Calculations!$M202)/(Calculations!$C$12+Calculations!$C$9)))+calculateOmega(Calculations!M202,Calculations!N202,Calculations!Q202,'Reaction Information'!$C$17,'Reaction Information'!$P$17*10^5,'Reaction Information'!$Q$17)*((1/Calculations!$S202)-1)-'Reaction Information'!$P$17*10^5*((1/Calculations!$C$10)-1)+'Reaction Information'!$P$17*10^5*Calculations!$C$14*(Calculations!$O202-Calculations!$C$8))</f>
        <v>#N/A</v>
      </c>
      <c r="AH202" s="8" t="e">
        <f>IF(ISBLANK(Input!$AD$4),NA(),'Reaction Information'!$E$21-'Reaction Information'!$G$21*(Calculations!$O202-Calculations!$C$8)-'Reaction Information'!$N$21*(Calculations!$O202*LN(Calculations!$O202/Calculations!$C$8)-Calculations!$O202+Calculations!$C$8)-'Reaction Information'!$O$21*10^4*(((1/(Calculations!$O202-Calculations!$C$13))-(1/(Calculations!$C$8-Calculations!$C$13)))*((Calculations!$C$13-Calculations!$O202)/(Calculations!$C$13))-(Calculations!$O202/(Calculations!$C$13*Calculations!$C$13))*LN((Calculations!$C$8*(Calculations!$O202-Calculations!$C$13))/(Calculations!$O202*(Calculations!$C$8-Calculations!$C$13))))+'Reaction Information'!$J$21*10^-1*(Calculations!$M202-Calculations!$C$9)+'Reaction Information'!$K$21*10^2*LN((Calculations!$C$12+Calculations!$M202)/(Calculations!$C$12+Calculations!$C$9))+(1/(Calculations!$O202-Calculations!$C$13))*('Reaction Information'!$L$21*(Calculations!$M202-Calculations!$C$9)+'Reaction Information'!$M$21*10^4*LN((Calculations!$C$12+Calculations!$M202)/(Calculations!$C$12+Calculations!$C$9)))+calculateOmega(Calculations!M202,Calculations!N202,Calculations!Q202,'Reaction Information'!$C$21,'Reaction Information'!$P$21*10^5,'Reaction Information'!$Q$21)*((1/Calculations!$S202)-1)-'Reaction Information'!$P$21*10^5*((1/Calculations!$C$10)-1)+'Reaction Information'!$P$21*10^5*Calculations!$C$14*(Calculations!$O202-Calculations!$C$8))</f>
        <v>#N/A</v>
      </c>
      <c r="AI202" s="8" t="e">
        <f>IF(ISBLANK(Input!$AG$4),NA(),'Reaction Information'!$E$25-'Reaction Information'!$G$25*(Calculations!$O202-Calculations!$C$8)-'Reaction Information'!$N$25*(Calculations!$O202*LN(Calculations!$O202/Calculations!$C$8)-Calculations!$O202+Calculations!$C$8)-'Reaction Information'!$O$25*10^4*(((1/(Calculations!$O202-Calculations!$C$13))-(1/(Calculations!$C$8-Calculations!$C$13)))*((Calculations!$C$13-Calculations!$O202)/(Calculations!$C$13))-(Calculations!$O202/(Calculations!$C$13*Calculations!$C$13))*LN((Calculations!$C$8*(Calculations!$O202-Calculations!$C$13))/(Calculations!$O202*(Calculations!$C$8-Calculations!$C$13))))+'Reaction Information'!$J$25*10^-1*(Calculations!$M202-Calculations!$C$9)+'Reaction Information'!$K$25*10^2*LN((Calculations!$C$12+Calculations!$M202)/(Calculations!$C$12+Calculations!$C$9))+(1/(Calculations!$O202-Calculations!$C$13))*('Reaction Information'!$L$25*(Calculations!$M202-Calculations!$C$9)+'Reaction Information'!$M$25*10^4*LN((Calculations!$C$12+Calculations!$M202)/(Calculations!$C$12+Calculations!$C$9)))+calculateOmega(Calculations!M202,Calculations!N202,Calculations!Q202,'Reaction Information'!$C$25,'Reaction Information'!$P$25*10^5,'Reaction Information'!$Q$25)*((1/Calculations!$S202)-1)-'Reaction Information'!$P$25*10^5*((1/Calculations!$C$10)-1)+'Reaction Information'!$P$25*10^5*Calculations!$C$14*(Calculations!$O202-Calculations!$C$8))</f>
        <v>#N/A</v>
      </c>
      <c r="AJ202" s="8" t="e">
        <f>IF(ISBLANK(Input!$AJ$4),NA(),'Reaction Information'!$E$29-'Reaction Information'!$G$29*(Calculations!$O202-Calculations!$C$8)-'Reaction Information'!$N$29*(Calculations!$O202*LN(Calculations!$O202/Calculations!$C$8)-Calculations!$O202+Calculations!$C$8)-'Reaction Information'!$O$29*10^4*(((1/(Calculations!$O202-Calculations!$C$13))-(1/(Calculations!$C$8-Calculations!$C$13)))*((Calculations!$C$13-Calculations!$O202)/(Calculations!$C$13))-(Calculations!$O202/(Calculations!$C$13*Calculations!$C$13))*LN((Calculations!$C$8*(Calculations!$O202-Calculations!$C$13))/(Calculations!$O202*(Calculations!$C$8-Calculations!$C$13))))+'Reaction Information'!$J$29*10^-1*(Calculations!$M202-Calculations!$C$9)+'Reaction Information'!$K$29*10^2*LN((Calculations!$C$12+Calculations!$M202)/(Calculations!$C$12+Calculations!$C$9))+(1/(Calculations!$O202-Calculations!$C$13))*('Reaction Information'!$L$29*(Calculations!$M202-Calculations!$C$9)+'Reaction Information'!$M$29*10^4*LN((Calculations!$C$12+Calculations!$M202)/(Calculations!$C$12+Calculations!$C$9)))+calculateOmega(Calculations!M202,Calculations!N202,Calculations!Q202,'Reaction Information'!$C$29,'Reaction Information'!$P$29*10^5,'Reaction Information'!$Q$29)*((1/Calculations!$S202)-1)-'Reaction Information'!$P$29*10^5*((1/Calculations!$C$10)-1)+'Reaction Information'!$P$29*10^5*Calculations!$C$14*(Calculations!$O202-Calculations!$C$8))</f>
        <v>#N/A</v>
      </c>
      <c r="AK202" s="8" t="e">
        <f>IF(ISBLANK(Input!$AM$4),NA(),'Reaction Information'!$E$33-'Reaction Information'!$G$33*(Calculations!$O202-Calculations!$C$8)-'Reaction Information'!$N$33*(Calculations!$O202*LN(Calculations!$O202/Calculations!$C$8)-Calculations!$O202+Calculations!$C$8)-'Reaction Information'!$O$33*10^4*(((1/(Calculations!$O202-Calculations!$C$13))-(1/(Calculations!$C$8-Calculations!$C$13)))*((Calculations!$C$13-Calculations!$O202)/(Calculations!$C$13))-(Calculations!$O202/(Calculations!$C$13*Calculations!$C$13))*LN((Calculations!$C$8*(Calculations!$O202-Calculations!$C$13))/(Calculations!$O202*(Calculations!$C$8-Calculations!$C$13))))+'Reaction Information'!$J$33*10^-1*(Calculations!$M202-Calculations!$C$9)+'Reaction Information'!$K$33*10^2*LN((Calculations!$C$12+Calculations!$M202)/(Calculations!$C$12+Calculations!$C$9))+(1/(Calculations!$O202-Calculations!$C$13))*('Reaction Information'!$L$33*(Calculations!$M202-Calculations!$C$9)+'Reaction Information'!$M$33*10^4*LN((Calculations!$C$12+Calculations!$M202)/(Calculations!$C$12+Calculations!$C$9)))+calculateOmega(Calculations!M202,Calculations!N202,Calculations!Q202,'Reaction Information'!$C$33,'Reaction Information'!$P$33*10^5,'Reaction Information'!$Q$33)*((1/Calculations!$S202)-1)-'Reaction Information'!$P$33*10^5*((1/Calculations!$C$10)-1)+'Reaction Information'!$P$33*10^5*Calculations!$C$14*(Calculations!$O202-Calculations!$C$8))</f>
        <v>#N/A</v>
      </c>
      <c r="AL202" s="1">
        <f>Results!S204</f>
        <v>0</v>
      </c>
      <c r="AM202" s="1">
        <f>Results!T204</f>
        <v>0</v>
      </c>
      <c r="AN202" s="1">
        <f>Results!U204</f>
        <v>0</v>
      </c>
      <c r="AO202" s="1">
        <f>Results!V204</f>
        <v>0</v>
      </c>
      <c r="AP202" s="8" t="e">
        <f>IF(ISBLANK(Input!$BB$4),NA(),'Reaction Information'!$E$38-'Reaction Information'!$G$38*(Calculations!$O202-Calculations!$C$8)+'Reaction Information'!$I$38*(Calculations!$O202-Calculations!$C$8-Calculations!$O202*LN(Calculations!$O202/Calculations!$C$8))+'Reaction Information'!$J$38*0.001/2*(2*Calculations!$O202*Calculations!$C$8-Calculations!$O202^2-Calculations!$C$8^2) + 'Reaction Information'!$K$38*100000*(Calculations!$O202^2 + Calculations!$C$8^2 - 2*Calculations!$O202*Calculations!$C$8)/(2*Calculations!$O202*Calculations!$C$8^2))</f>
        <v>#N/A</v>
      </c>
      <c r="AQ202" s="8" t="e">
        <f>IF(ISBLANK(Input!$BE$4),NA(),'Reaction Information'!$E$42-'Reaction Information'!$G$42*(Calculations!$O202-Calculations!$C$8)+'Reaction Information'!$I$42*(Calculations!$O202-Calculations!$C$8-Calculations!$O202*LN(Calculations!$O202/Calculations!$C$8))+'Reaction Information'!$J$42*0.001/2*(2*Calculations!$O202*Calculations!$C$8-Calculations!$O202^2-Calculations!$C$8^2) + 'Reaction Information'!$K$42*100000*(Calculations!$O202^2 + Calculations!$C$8^2 - 2*Calculations!$O202*Calculations!$C$8)/(2*Calculations!$O202*Calculations!$C$8^2))</f>
        <v>#N/A</v>
      </c>
      <c r="AR202" s="8" t="e">
        <f>IF(AR$5="H2O", IF($D$24=3,IF(T202=0,NA(),T202),calculateGibbsOfWater(M202,N202,$D$24,$D$20,$D$19=3)),NA())</f>
        <v>#N/A</v>
      </c>
      <c r="AS202" s="8" t="e">
        <f>IF(ISBLANK(Input!$BK$4),NA(),'Reaction Information'!$E$46-'Reaction Information'!$G$46*(Calculations!O202-Calculations!$C$8)-'Reaction Information'!$N$46*(Calculations!O202*LN(Calculations!O202/Calculations!$C$8)-Calculations!O202+Calculations!$C$8)-'Reaction Information'!$O$46*10^4*(((1/(Calculations!O202-Calculations!$C$13))-(1/(Calculations!$C$8-Calculations!$C$13)))*((Calculations!$C$13-Calculations!O202)/(Calculations!$C$13))-(Calculations!O202/(Calculations!$C$13*Calculations!$C$13))*LN((Calculations!$C$8*(Calculations!O202-Calculations!$C$13))/(Calculations!O202*(Calculations!$C$8-Calculations!$C$13))))+'Reaction Information'!$J$46*10^-1*(Calculations!$M202-Calculations!$C$9)+'Reaction Information'!$K$46*10^2*LN((Calculations!$C$12+Calculations!$M202)/(Calculations!$C$12+Calculations!$C$9))+(1/(Calculations!O202-Calculations!$C$13))*('Reaction Information'!$L$46*(Calculations!$M202-Calculations!$C$9)+'Reaction Information'!$M$46*10^4*LN((Calculations!$C$12+Calculations!$M202)/(Calculations!$C$12+Calculations!$C$9)))+calculateOmega(Calculations!M202,Calculations!N202,Calculations!Q202,'Reaction Information'!$C$46,'Reaction Information'!$P$46*10^5,'Reaction Information'!$Q$46)*((1/Calculations!S202)-1)-'Reaction Information'!$P$46*10^5*((1/Calculations!$C$10)-1)+'Reaction Information'!$P$46*10^5*Calculations!$C$14*(Calculations!O202-Calculations!$C$8))</f>
        <v>#VALUE!</v>
      </c>
      <c r="AT202" s="8" t="e">
        <f>IF(ISBLANK(Input!$BN$4),NA(),'Reaction Information'!$E$50-'Reaction Information'!$G$50*(Calculations!O202-Calculations!$C$8)-'Reaction Information'!$N$50*(Calculations!O202*LN(Calculations!O202/Calculations!$C$8)-Calculations!O202+Calculations!$C$8)-'Reaction Information'!$O$50*10^4*(((1/(Calculations!O202-Calculations!$C$13))-(1/(Calculations!$C$8-Calculations!$C$13)))*((Calculations!$C$13-Calculations!O202)/(Calculations!$C$13))-(Calculations!O202/(Calculations!$C$13*Calculations!$C$13))*LN((Calculations!$C$8*(Calculations!O202-Calculations!$C$13))/(Calculations!O202*(Calculations!$C$8-Calculations!$C$13))))+'Reaction Information'!$J$50*10^-1*(Calculations!$M202-Calculations!$C$9)+'Reaction Information'!$K$50*10^2*LN((Calculations!$C$12+Calculations!$M202)/(Calculations!$C$12+Calculations!$C$9))+(1/(Calculations!O202-Calculations!$C$13))*('Reaction Information'!$L$50*(Calculations!$M202-Calculations!$C$9)+'Reaction Information'!$M$50*10^4*LN((Calculations!$C$12+Calculations!$M202)/(Calculations!$C$12+Calculations!$C$9)))+calculateOmega(Calculations!M202,Calculations!N202,Calculations!Q202,'Reaction Information'!$C$50,'Reaction Information'!$P$50*10^5,'Reaction Information'!$Q$50)*((1/Calculations!S202)-1)-'Reaction Information'!$P$50*10^5*((1/Calculations!$C$10)-1)+'Reaction Information'!$P$50*10^5*Calculations!$C$14*(Calculations!O202-Calculations!$C$8))</f>
        <v>#VALUE!</v>
      </c>
      <c r="AU202" s="8" t="e">
        <f>IF(ISBLANK(Input!$BQ$4),NA(),'Reaction Information'!$E$54-'Reaction Information'!$G$54*(Calculations!$O202-Calculations!$C$8)-'Reaction Information'!$N$54*(Calculations!$O202*LN(Calculations!$O202/Calculations!$C$8)-Calculations!$O202+Calculations!$C$8)-'Reaction Information'!$O$54*10^4*(((1/(Calculations!$O202-Calculations!$C$13))-(1/(Calculations!$C$8-Calculations!$C$13)))*((Calculations!$C$13-Calculations!$O202)/(Calculations!$C$13))-(Calculations!$O202/(Calculations!$C$13*Calculations!$C$13))*LN((Calculations!$C$8*(Calculations!$O202-Calculations!$C$13))/(Calculations!$O202*(Calculations!$C$8-Calculations!$C$13))))+'Reaction Information'!$J$54*10^-1*(Calculations!$M202-Calculations!$C$9)+'Reaction Information'!$K$54*10^2*LN((Calculations!$C$12+Calculations!$M202)/(Calculations!$C$12+Calculations!$C$9))+(1/(Calculations!$O202-Calculations!$C$13))*('Reaction Information'!$L$54*(Calculations!$M202-Calculations!$C$9)+'Reaction Information'!$M$54*10^4*LN((Calculations!$C$12+Calculations!$M202)/(Calculations!$C$12+Calculations!$C$9)))+calculateOmega(Calculations!M202,Calculations!N202,Calculations!Q202,'Reaction Information'!$C$54,'Reaction Information'!$P$54*10^5,'Reaction Information'!$Q$54)*((1/Calculations!$S202)-1)-'Reaction Information'!$P$54*10^5*((1/Calculations!$C$10)-1)+'Reaction Information'!$P$54*10^5*Calculations!$C$14*(Calculations!$O202-Calculations!$C$8))</f>
        <v>#N/A</v>
      </c>
      <c r="AV202" s="8" t="e">
        <f>IF(ISBLANK(Input!$BT$4),NA(),'Reaction Information'!$E$58-'Reaction Information'!$G$58*(Calculations!$O202-Calculations!$C$8)-'Reaction Information'!$N$58*(Calculations!$O202*LN(Calculations!$O202/Calculations!$C$8)-Calculations!$O202+Calculations!$C$8)-'Reaction Information'!$O$58*10^4*(((1/(Calculations!$O202-Calculations!$C$13))-(1/(Calculations!$C$8-Calculations!$C$13)))*((Calculations!$C$13-Calculations!$O202)/(Calculations!$C$13))-(Calculations!$O202/(Calculations!$C$13*Calculations!$C$13))*LN((Calculations!$C$8*(Calculations!$O202-Calculations!$C$13))/(Calculations!$O202*(Calculations!$C$8-Calculations!$C$13))))+'Reaction Information'!$J$58*10^-1*(Calculations!$M202-Calculations!$C$9)+'Reaction Information'!$K$58*10^2*LN((Calculations!$C$12+Calculations!$M202)/(Calculations!$C$12+Calculations!$C$9))+(1/(Calculations!$O202-Calculations!$C$13))*('Reaction Information'!$L$58*(Calculations!$M202-Calculations!$C$9)+'Reaction Information'!$M$58*10^4*LN((Calculations!$C$12+Calculations!$M202)/(Calculations!$C$12+Calculations!$C$9)))+calculateOmega(Calculations!M202,Calculations!N202,Calculations!Q202,'Reaction Information'!$C$58,'Reaction Information'!$P$58*10^5,'Reaction Information'!$Q$58)*((1/Calculations!$S202)-1)-'Reaction Information'!$P$58*10^5*((1/Calculations!$C$10)-1)+'Reaction Information'!$P$58*10^5*Calculations!$C$14*(Calculations!$O202-Calculations!$C$8))</f>
        <v>#N/A</v>
      </c>
      <c r="AW202" s="8" t="e">
        <f>IF(ISBLANK(Input!$BW$4),NA(),'Reaction Information'!$E$62-'Reaction Information'!$G$62*(Calculations!$O202-Calculations!$C$8)-'Reaction Information'!$N$62*(Calculations!$O202*LN(Calculations!$O202/Calculations!$C$8)-Calculations!$O202+Calculations!$C$8)-'Reaction Information'!$O$62*10^4*(((1/(Calculations!$O202-Calculations!$C$13))-(1/(Calculations!$C$8-Calculations!$C$13)))*((Calculations!$C$13-Calculations!$O202)/(Calculations!$C$13))-(Calculations!$O202/(Calculations!$C$13*Calculations!$C$13))*LN((Calculations!$C$8*(Calculations!$O202-Calculations!$C$13))/(Calculations!$O202*(Calculations!$C$8-Calculations!$C$13))))+'Reaction Information'!$J$62*10^-1*(Calculations!$M202-Calculations!$C$9)+'Reaction Information'!$K$62*10^2*LN((Calculations!$C$12+Calculations!$M202)/(Calculations!$C$12+Calculations!$C$9))+(1/(Calculations!$O202-Calculations!$C$13))*('Reaction Information'!$L$62*(Calculations!$M202-Calculations!$C$9)+'Reaction Information'!$M$62*10^4*LN((Calculations!$C$12+Calculations!$M202)/(Calculations!$C$12+Calculations!$C$9)))+calculateOmega(Calculations!M202,Calculations!N202,Calculations!Q202,'Reaction Information'!$C$62,'Reaction Information'!$P$62*10^5,'Reaction Information'!$Q$62)*((1/Calculations!$S202)-1)-'Reaction Information'!$P$62*10^5*((1/Calculations!$C$10)-1)+'Reaction Information'!$P$62*10^5*Calculations!$C$14*(Calculations!$O202-Calculations!$C$8))</f>
        <v>#N/A</v>
      </c>
      <c r="AX202" s="8" t="e">
        <f>IF(ISBLANK(Input!$BZ$4),NA(),'Reaction Information'!$E$66-'Reaction Information'!$G$66*(Calculations!$O202-Calculations!$C$8)-'Reaction Information'!$N$66*(Calculations!$O202*LN(Calculations!$O202/Calculations!$C$8)-Calculations!$O202+Calculations!$C$8)-'Reaction Information'!$O$66*10^4*(((1/(Calculations!$O202-Calculations!$C$13))-(1/(Calculations!$C$8-Calculations!$C$13)))*((Calculations!$C$13-Calculations!$O202)/(Calculations!$C$13))-(Calculations!$O202/(Calculations!$C$13*Calculations!$C$13))*LN((Calculations!$C$8*(Calculations!$O202-Calculations!$C$13))/(Calculations!$O202*(Calculations!$C$8-Calculations!$C$13))))+'Reaction Information'!$J$66*10^-1*(Calculations!$M202-Calculations!$C$9)+'Reaction Information'!$K$66*10^2*LN((Calculations!$C$12+Calculations!$M202)/(Calculations!$C$12+Calculations!$C$9))+(1/(Calculations!$O202-Calculations!$C$13))*('Reaction Information'!$L$66*(Calculations!$M202-Calculations!$C$9)+'Reaction Information'!$M$66*10^4*LN((Calculations!$C$12+Calculations!$M202)/(Calculations!$C$12+Calculations!$C$9)))+calculateOmega(Calculations!M202,Calculations!N202,Calculations!Q202,'Reaction Information'!$C$66,'Reaction Information'!$P$66*10^5,'Reaction Information'!$Q$66)*((1/Calculations!$S202)-1)-'Reaction Information'!$P$66*10^5*((1/Calculations!$C$10)-1)+'Reaction Information'!$P$66*10^5*Calculations!$C$14*(Calculations!$O202-Calculations!$C$8))</f>
        <v>#N/A</v>
      </c>
      <c r="AY202" s="31" t="e">
        <f>(AL202*Input!$AO$4+AM202*Input!$AR$4+AN202*Input!$AU$4+AO202*Input!$AX$4+IF(ISNA(AP202),0,AP202*Input!$BA$4)+IF(ISNA(AQ202),0,AQ202*Input!$BD$4)+IF(ISNA(AR202),0,AR202*Input!$BG$4)+IF(ISNA(AS202),0,AS202*Input!$BJ$4)+IF(ISNA(AT202),0,AT202*Input!$BM$4)+IF(ISNA(AU202),0,AU202*Input!$BP$4)+IF(ISNA(AV202),0,AV202*Input!$BS$4)+IF(ISNA(AW202),0,AW202*Input!$BV$4)+IF(ISNA(AX202),0,AX202*Input!$BY$4))-(Y202*Input!$B$4+Z202*Input!$E$4+AA202*Input!$H$4+AB202*Input!$K$4+IF(ISNA(AC202),0,AC202*Input!$N$4)+IF(ISNA(AD202),0,AD202*Input!$Q$4)+IF(ISNA(AE202),0,AE202*Input!$T$4)+IF(ISNA(AF202),0,AF202*Input!$W$4)+IF(ISNA(AG202),0,AG202*Input!$Z$4)+IF(ISNA(AH202),0,AH202*Input!$AC$4)+IF(ISNA(AI202),0,AI202*Input!$AF$4)+IF(ISNA(AJ202),0,AJ202*Input!$AI$4)+IF(ISNA(AK202),0,AK202*Input!$AL$4))</f>
        <v>#VALUE!</v>
      </c>
      <c r="AZ202" s="42" t="e">
        <f t="shared" si="58"/>
        <v>#VALUE!</v>
      </c>
      <c r="BA202" s="1" t="str">
        <f t="shared" si="65"/>
        <v/>
      </c>
      <c r="BB202" s="46" t="str">
        <f t="shared" si="66"/>
        <v/>
      </c>
      <c r="BC202" s="1"/>
      <c r="BD202" s="2" t="str">
        <f t="shared" si="67"/>
        <v/>
      </c>
      <c r="BE202" s="46" t="str">
        <f t="shared" si="68"/>
        <v/>
      </c>
      <c r="BF202" s="1">
        <f>Results!AJ204</f>
        <v>0</v>
      </c>
      <c r="BG202" s="1">
        <f>Results!AK204</f>
        <v>0</v>
      </c>
      <c r="BH202" s="1">
        <f>Results!AL204</f>
        <v>0</v>
      </c>
      <c r="BI202" s="1">
        <f>Results!AM204</f>
        <v>0</v>
      </c>
      <c r="BJ202" s="1" t="e">
        <f>IF(OR(ISNA('Reaction Information'!$D$5), $N202 = "", $D$27 = FALSE, 'Reaction Information'!$D$5 = ""), NA(), 24.465)</f>
        <v>#N/A</v>
      </c>
      <c r="BK202" s="1" t="e">
        <f>IF(OR(ISNA('Reaction Information'!$D$9), $N202 = "", $D$27 = FALSE, 'Reaction Information'!$D$9 = ""), NA(), 24.465)</f>
        <v>#N/A</v>
      </c>
      <c r="BL202" s="8" t="e">
        <f t="shared" si="59"/>
        <v>#VALUE!</v>
      </c>
      <c r="BM202" s="8" t="e">
        <f>IF(OR(ISBLANK(Input!$X$4),$D$27=FALSE),NA(),('Reaction Information'!$J$13/10+'Reaction Information'!$K$13*100/(Calculations!$C$12+Calculations!$M202)+('Reaction Information'!$L$13+'Reaction Information'!$M$13*10^4/(Calculations!$C$12+Calculations!$M202))/(Calculations!$O202-Calculations!$C$13) -calculateOmega(Calculations!$M202,Calculations!$N202,Calculations!$Q202,'Reaction Information'!$C$13,'Reaction Information'!$P$13*10^5,'Reaction Information'!$Q$13)*Calculations!$U202*10^-6 + (1/$S202 - 1)*calculate_domegadP(Calculations!$M202,Calculations!$N202,Calculations!$Q202,'Reaction Information'!$C$13,'Reaction Information'!$P$13*10^5,'Reaction Information'!$Q$13,$D$20,$D$19=3))*41.84)</f>
        <v>#VALUE!</v>
      </c>
      <c r="BN202" s="8" t="e">
        <f>IF(OR(ISBLANK(Input!$AA$4),$D$27=FALSE),NA(),('Reaction Information'!$J$17/10+'Reaction Information'!$K$17*100/(Calculations!$C$12+Calculations!$M202)+('Reaction Information'!$L$17+'Reaction Information'!$M$17*10000/(Calculations!$C$12+Calculations!$M202))/(Calculations!$O202-Calculations!$C$13)-calculateOmega(Calculations!M202,Calculations!N202,Calculations!Q202,'Reaction Information'!$C$17,'Reaction Information'!$P$17*10^5,'Reaction Information'!$Q$17)*Calculations!$U202*10^-6 + (1/$S202 - 1)*calculate_domegadP(Calculations!M202,Calculations!N202,Calculations!Q202,'Reaction Information'!$C$17,'Reaction Information'!$P$17*10^5,'Reaction Information'!$Q$17,$D$20,$D$19=3))*41.84)</f>
        <v>#N/A</v>
      </c>
      <c r="BO202" s="8" t="e">
        <f>IF(OR(ISBLANK(Input!$AD$4),$D$27=FALSE),NA(),('Reaction Information'!$J$21/10+'Reaction Information'!$K$21*100/(Calculations!$C$12+Calculations!$M202)+('Reaction Information'!$L$21+'Reaction Information'!$M$21*10000/(Calculations!$C$12+Calculations!$M202))/(Calculations!$O202-Calculations!$C$13)-calculateOmega(Calculations!M202,Calculations!N202,Calculations!Q202,'Reaction Information'!$C$21,'Reaction Information'!$P$21*10^5,'Reaction Information'!$Q$21)*Calculations!$U202*10^-6 + (1/$S202 - 1)*calculate_domegadP(Calculations!M202,Calculations!N202,Calculations!Q202,'Reaction Information'!$C$21,'Reaction Information'!$P$21*10^5,'Reaction Information'!$Q$21,$D$20,$D$19=3))*41.84)</f>
        <v>#N/A</v>
      </c>
      <c r="BP202" s="8" t="e">
        <f>IF(OR(ISBLANK(Input!$AG$4),$D$27=FALSE),NA(),('Reaction Information'!$J$25/10+'Reaction Information'!$K$25*100/(Calculations!$C$12+Calculations!$M202)+('Reaction Information'!$L$25+'Reaction Information'!$M$25*10000/(Calculations!$C$12+Calculations!$M202))/(Calculations!$O202-Calculations!$C$13)-calculateOmega(Calculations!M202,Calculations!N202,Calculations!Q202,'Reaction Information'!$C$25,'Reaction Information'!$P$25*10^5,'Reaction Information'!$Q$25)*Calculations!$U202*10^-6 + (1/$S202 - 1)*calculate_domegadP(Calculations!M202,Calculations!N202,Calculations!Q202,'Reaction Information'!$C$25,'Reaction Information'!$P$25*10^5,'Reaction Information'!$Q$25,$D$20,$D$19=3))*41.84)</f>
        <v>#N/A</v>
      </c>
      <c r="BQ202" s="8" t="e">
        <f>IF(OR(ISBLANK(Input!$AJ$4),$D$27=FALSE),NA(),('Reaction Information'!$J$29/10+'Reaction Information'!$K$29*100/(Calculations!$C$12+Calculations!$M202)+('Reaction Information'!$L$29+'Reaction Information'!$M$29*10000/(Calculations!$C$12+Calculations!$M202))/(Calculations!$O202-Calculations!$C$13)-calculateOmega(Calculations!M202,Calculations!N202,Calculations!Q202,'Reaction Information'!$C$29,'Reaction Information'!$P$29*10^5,'Reaction Information'!$Q$29)*Calculations!$U202*10^-6 + (1/$S202 - 1)*calculate_domegadP(Calculations!M202,Calculations!N202,Calculations!Q202,'Reaction Information'!$C$29,'Reaction Information'!$P$29*10^5,'Reaction Information'!$Q$29,$D$20,$D$19=3))*41.84)</f>
        <v>#N/A</v>
      </c>
      <c r="BR202" s="8" t="e">
        <f>IF(OR(ISBLANK(Input!$AM$4),$D$27=FALSE),NA(),('Reaction Information'!$J$33/10+'Reaction Information'!$K$33*100/(Calculations!$C$12+Calculations!$M202)+('Reaction Information'!$L$33+'Reaction Information'!$M$33*10000/(Calculations!$C$12+Calculations!$M202))/(Calculations!$O202-Calculations!$C$13)-calculateOmega(Calculations!M202,Calculations!N202,Calculations!Q202,'Reaction Information'!$C$33,'Reaction Information'!$P$33*10^5,'Reaction Information'!$Q$33)*Calculations!$U202*10^-6 + (1/$S202 - 1)*calculate_domegadP(Calculations!M202,Calculations!N202,Calculations!Q202,'Reaction Information'!$C$33,'Reaction Information'!$P$33*10^5,'Reaction Information'!$Q$33,$D$20,$D$19=3))*41.84)</f>
        <v>#N/A</v>
      </c>
      <c r="BS202" s="1">
        <f>Results!AW204</f>
        <v>0</v>
      </c>
      <c r="BT202" s="1">
        <f>Results!AX204</f>
        <v>0</v>
      </c>
      <c r="BU202" s="1">
        <f>Results!AY204</f>
        <v>0</v>
      </c>
      <c r="BV202" s="1">
        <f>Results!AZ204</f>
        <v>0</v>
      </c>
      <c r="BW202" s="1" t="e">
        <f>IF(OR(ISNA('Reaction Information'!$D$38), $N202 = "", $D$27 = FALSE, 'Reaction Information'!$D$38 = ""), NA(), 24.465)</f>
        <v>#N/A</v>
      </c>
      <c r="BX202" s="1" t="e">
        <f>IF(OR(ISNA('Reaction Information'!$D$42), $N202 = "", $D$27 = FALSE, 'Reaction Information'!$D$42 = ""), NA(), 24.465)</f>
        <v>#N/A</v>
      </c>
      <c r="BY202" s="8" t="e">
        <f t="shared" si="60"/>
        <v>#N/A</v>
      </c>
      <c r="BZ202" s="8" t="e">
        <f>IF(OR(ISBLANK(Input!$BK$4),$D$27=FALSE),NA(),('Reaction Information'!$J$46/10+'Reaction Information'!$K$46*100/(Calculations!$C$12+Calculations!$M202)+('Reaction Information'!$L$46+'Reaction Information'!$M$46*10000/(Calculations!$C$12+Calculations!$M202))/(Calculations!$O202-Calculations!$C$13)-calculateOmega(Calculations!M202,Calculations!N202,Calculations!Q202,'Reaction Information'!$C$46,'Reaction Information'!$P$46*10^5,'Reaction Information'!$Q$46)*Calculations!$U202*10^-6 + (1/$S202 - 1)*calculate_domegadP(Calculations!M202,Calculations!N202,Calculations!Q202,'Reaction Information'!$C$46,'Reaction Information'!$P$46*10^5,'Reaction Information'!$Q$46,$D$20,$D$19=3))*41.84)</f>
        <v>#VALUE!</v>
      </c>
      <c r="CA202" s="8" t="e">
        <f>IF(OR(ISBLANK(Input!$BN$4),$D$27=FALSE),NA(),('Reaction Information'!$J$50/10+'Reaction Information'!$K$50*100/(Calculations!$C$12+Calculations!$M202)+('Reaction Information'!$L$50+'Reaction Information'!$M$50*10000/(Calculations!$C$12+Calculations!$M202))/(Calculations!$O202-Calculations!$C$13)-calculateOmega(Calculations!M202,Calculations!N202,Calculations!Q202,'Reaction Information'!$C$50,'Reaction Information'!$P$50*10^5,'Reaction Information'!$Q$50)*Calculations!$U202*10^-6 + (1/$S202 - 1)*calculate_domegadP(Calculations!M202,Calculations!N202,Calculations!Q202,'Reaction Information'!$C$50,'Reaction Information'!$P$50*10^5,'Reaction Information'!$Q$50,$D$20,$D$19=3))*41.84)</f>
        <v>#VALUE!</v>
      </c>
      <c r="CB202" s="8" t="e">
        <f>IF(OR(ISBLANK(Input!$BQ$4),$D$27=FALSE),NA(),('Reaction Information'!$J$54/10+'Reaction Information'!$K$54*100/(Calculations!$C$12+Calculations!$M202)+('Reaction Information'!$L$54+'Reaction Information'!$M$54*10000/(Calculations!$C$12+Calculations!$M202))/(Calculations!$O202-Calculations!$C$13)-calculateOmega(Calculations!M202,Calculations!N202,Calculations!Q202,'Reaction Information'!$C$54,'Reaction Information'!$P$54*10^5,'Reaction Information'!$Q$54)*Calculations!$U202*10^-6 + (1/$S202 - 1)*calculate_domegadP(Calculations!M202,Calculations!N202,Calculations!Q202,'Reaction Information'!$C$54,'Reaction Information'!$P$54*10^5,'Reaction Information'!$Q$54,$D$20,$D$19=3))*41.84)</f>
        <v>#N/A</v>
      </c>
      <c r="CC202" s="8" t="e">
        <f>IF(OR(ISBLANK(Input!$BT$4),$D$27=FALSE),NA(),('Reaction Information'!$J$58/10+'Reaction Information'!$K$58*100/(Calculations!$C$12+Calculations!$M202)+('Reaction Information'!$L$58+'Reaction Information'!$M$58*10000/(Calculations!$C$12+Calculations!$M202))/(Calculations!$O202-Calculations!$C$13)-calculateOmega(Calculations!M202,Calculations!N202,Calculations!Q202,'Reaction Information'!$C$58,'Reaction Information'!$P$58*10^5,'Reaction Information'!$Q$58)*Calculations!$U202*10^-6 + (1/$S202 - 1)*calculate_domegadP(Calculations!M202,Calculations!N202,Calculations!Q202,'Reaction Information'!$C$58,'Reaction Information'!$P$58*10^5,'Reaction Information'!$Q$58,$D$20,$D$19=3))*41.84)</f>
        <v>#N/A</v>
      </c>
      <c r="CD202" s="8" t="e">
        <f>IF(OR(ISBLANK(Input!$BW$4),$D$27=FALSE),NA(),('Reaction Information'!$J$62/10+'Reaction Information'!$K$62*100/(Calculations!$C$12+Calculations!$M202)+('Reaction Information'!$L$62+'Reaction Information'!$M$62*10000/(Calculations!$C$12+Calculations!$M202))/(Calculations!$O202-Calculations!$C$13)-calculateOmega(Calculations!M202,Calculations!N202,Calculations!Q202,'Reaction Information'!$C$62,'Reaction Information'!$P$62*10^5,'Reaction Information'!$Q$62)*Calculations!$U202*10^-6 + (1/$S202 - 1)*calculate_domegadP(Calculations!M202,Calculations!N202,Calculations!Q202,'Reaction Information'!$C$62,'Reaction Information'!$P$62*10^5,'Reaction Information'!$Q$62,$D$20,$D$19=3))*41.84)</f>
        <v>#N/A</v>
      </c>
      <c r="CE202" s="8" t="e">
        <f>IF(OR(ISBLANK(Input!$BZ$4),$D$27=FALSE),NA(),('Reaction Information'!$J$66/10+'Reaction Information'!$K$66*100/(Calculations!$C$12+Calculations!$M202)+('Reaction Information'!$L$66+'Reaction Information'!$M$66*10000/(Calculations!$C$12+Calculations!$M202))/(Calculations!$O202-Calculations!$C$13)-calculateOmega(Calculations!M202,Calculations!N202,Calculations!Q202,'Reaction Information'!$C$66,'Reaction Information'!$P$66*10^5,'Reaction Information'!$Q$66)*Calculations!$U202*10^-6 + (1/$S202 - 1)*calculate_domegadP(Calculations!M202,Calculations!N202,Calculations!Q202,'Reaction Information'!$C$66,'Reaction Information'!$P$66*10^5,'Reaction Information'!$Q$66,$D$20,$D$19=3))*41.84)</f>
        <v>#N/A</v>
      </c>
      <c r="CF202" s="31" t="e">
        <f>(BS202*Input!$AO$4+BT202*Input!$AR$4+BU202*Input!$AU$4+BV202*Input!$AX$4+IF(ISNA(BW202),0,BW202*Input!$BA$4)+IF(ISNA(BX202),0,BX202*Input!$BD$4)+IF(ISNA(BY202),0,BY202*Input!$BG$4)+IF(ISNA(BZ202),0,BZ202*Input!$BJ$4)+IF(ISNA(CA202),0,CA202*Input!$BM$4)+IF(ISNA(CB202),0,CB202*Input!$BP$4)+IF(ISNA(CC202),0,CC202*Input!$BS$4)+IF(ISNA(CD202),0,CD202*Input!$BV$4)+IF(ISNA(CE202),0,CE202*Input!$BY$4))-(BF202*Input!$B$4+BG202*Input!$E$4+BH202*Input!$H$4+BI202*Input!$K$4+IF(ISNA(BJ202),0,BJ202*Input!$N$4)+IF(ISNA(BK202),0,BK202*Input!$Q$4)+IF(ISNA(BL202),0,BL202*Input!$T$4)+IF(ISNA(BM202),0,BM202*Input!$W$4)+IF(ISNA(BN202),0,BN202*Input!$Z$4)+IF(ISNA(BO202),0,BO202*Input!$AC$4)+IF(ISNA(BP202),0,BP202*Input!$AF$4)+IF(ISNA(BQ202),0,BQ202*Input!$AI$4)+IF(ISNA(BR202),0,BR202*Input!$AL$4))</f>
        <v>#VALUE!</v>
      </c>
      <c r="CG202" s="1" t="str">
        <f t="shared" si="69"/>
        <v/>
      </c>
      <c r="CH202" s="46" t="str">
        <f t="shared" si="70"/>
        <v/>
      </c>
      <c r="CI202" s="1"/>
    </row>
    <row r="203" spans="1:87" x14ac:dyDescent="0.2">
      <c r="A203" s="1"/>
      <c r="B203" s="1"/>
      <c r="C203" s="1"/>
      <c r="D203" s="1"/>
      <c r="E203" s="1"/>
      <c r="F203" s="2">
        <v>198</v>
      </c>
      <c r="G203" s="1" t="str">
        <f>IF(ISBLANK(Input!CB203), "", Input!CB203*1000)</f>
        <v/>
      </c>
      <c r="H203" s="1" t="str">
        <f>IF(ISBLANK(Input!CC203), "", Input!CC203)</f>
        <v/>
      </c>
      <c r="I203" s="1" t="str">
        <f>IF(Input!$CF$5 + Input!$CF$6*(FLOOR((Calculations!$F203-1)/(FLOOR((Input!$CF$12-Input!$CF$10)/Input!$CF$11,1)+1),1)) &gt; Input!$CF$7, "", (Input!$CF$5 + Input!$CF$6*(FLOOR((Calculations!$F203-1)/(FLOOR((Input!$CF$12-Input!$CF$10)/Input!$CF$11,1)+1),1)))*1000)</f>
        <v/>
      </c>
      <c r="J203" s="1" t="str">
        <f>IF(Calculations!I203 = "", "", Input!$CF$10 + Input!$CF$11*(Calculations!$F203-1) - (FLOOR((Input!$CF$12-Input!$CF$10)/Input!$CF$11,1)+1)*Input!$CF$11*FLOOR((Calculations!$F203-1)/(FLOOR((Input!$CF$12-Input!$CF$10)/Input!$CF$11,1)+1),1))</f>
        <v/>
      </c>
      <c r="K203" s="8" t="str">
        <f t="shared" si="71"/>
        <v/>
      </c>
      <c r="L203" s="117" t="str">
        <f>IF(OR(Input!$CJ$5 + Input!$CJ$6*(Calculations!F203-1) &gt; Input!$CJ$7, Input!$CJ$5 + Input!$CJ$6*(Calculations!F203-1) &gt; 350), "", Input!$CJ$5 + Input!$CJ$6*(Calculations!F203-1))</f>
        <v/>
      </c>
      <c r="M203" s="1" t="str">
        <f t="shared" si="61"/>
        <v/>
      </c>
      <c r="N203" s="1" t="str">
        <f t="shared" si="62"/>
        <v/>
      </c>
      <c r="O203" s="1" t="e">
        <f t="shared" si="57"/>
        <v>#VALUE!</v>
      </c>
      <c r="P203" s="1" t="e">
        <f>IF(OR($D$20=3,AND($D$21=TRUE,M203&lt;1000)),INDEX('Water Density'!$C$6:$CX$120,MATCH(Calculations!N203,'Water Density'!$B$6:$B$120),MATCH(Calculations!M203/1000,'Water Density'!$C$5:$CX$5)),NA())</f>
        <v>#N/A</v>
      </c>
      <c r="Q203" s="182" t="e">
        <f>IF(OR($D$20=3,AND($D$21=TRUE,M203&lt;1000)), IF(P203&lt;&gt;0,P203,NA()), calculateDensity(M203,N203,$D$20,0.01,$D$19 = 3))</f>
        <v>#VALUE!</v>
      </c>
      <c r="R203" s="1" t="e">
        <f>IF($D$22=5,INDEX('Dielectric Constant'!$C$6:$CX$120,MATCH(Calculations!N203,'Dielectric Constant'!$B$6:$B$120),MATCH(Calculations!M203/1000,'Dielectric Constant'!$C$5:$CX$5)),NA())</f>
        <v>#N/A</v>
      </c>
      <c r="S203" s="58" t="e">
        <f>IF($D$22=5, IF(R203&lt;&gt;0,R203,NA()), IF(AND($D$23,M203&lt;=5000,$D$19 &lt;&gt; 3),calculateEpsilon(Q203,N203,1,FALSE),calculateEpsilon(Q203,N203,$D$22,$D$19 = 3)))</f>
        <v>#VALUE!</v>
      </c>
      <c r="T203" s="1" t="e">
        <f>IF($D$24=3,INDEX('Water Free Energy'!$C$6:$CX$120,MATCH(Calculations!N203,'Water Free Energy'!$B$6:$B$120),MATCH(Calculations!M203/1000,'Water Free Energy'!$C$5:$CX$5)),NA())</f>
        <v>#N/A</v>
      </c>
      <c r="U203" s="179" t="e">
        <f>IF($D$27,calculateQ(M203,N203,Q203,$D$20,$D$22,$D$19=3)*10^6,NA())</f>
        <v>#VALUE!</v>
      </c>
      <c r="V203"/>
      <c r="W203" s="2" t="str">
        <f t="shared" si="63"/>
        <v/>
      </c>
      <c r="X203" s="1" t="str">
        <f t="shared" si="64"/>
        <v/>
      </c>
      <c r="Y203" s="1">
        <f>Results!F205</f>
        <v>0</v>
      </c>
      <c r="Z203" s="1">
        <f>Results!G205</f>
        <v>0</v>
      </c>
      <c r="AA203" s="1">
        <f>Results!H205</f>
        <v>0</v>
      </c>
      <c r="AB203" s="1">
        <f>Results!I205</f>
        <v>0</v>
      </c>
      <c r="AC203" s="1" t="e">
        <f>IF(ISBLANK(Input!$O$4),NA(),'Reaction Information'!$E$5-'Reaction Information'!$G$5*(Calculations!$O203-Calculations!$C$8)+'Reaction Information'!$I$5*(Calculations!$O203-Calculations!$C$8-Calculations!$O203*LN(Calculations!$O203/Calculations!$C$8))+'Reaction Information'!$J$5*0.001/2*(2*Calculations!$O203*Calculations!$C$8-Calculations!$O203^2-Calculations!$C$8^2) + 'Reaction Information'!$K$5*100000*(Calculations!$O203^2 + Calculations!$C$8^2 - 2*Calculations!$O203*Calculations!$C$8)/(2*Calculations!$O203*Calculations!$C$8^2))</f>
        <v>#N/A</v>
      </c>
      <c r="AD203" s="8" t="e">
        <f>IF(ISBLANK(Input!$R$4),NA(),'Reaction Information'!$E$9-'Reaction Information'!$G$9*(Calculations!$O203-Calculations!$C$8)+'Reaction Information'!$I$9*(Calculations!$O203-Calculations!$C$8-Calculations!$O203*LN(Calculations!$O203/Calculations!$C$8))+'Reaction Information'!$J$9*0.001/2*(2*Calculations!$O203*Calculations!$C$8-Calculations!$O203^2-Calculations!$C$8^2) + 'Reaction Information'!$K$9*100000*(Calculations!$O203^2 + Calculations!$C$8^2 - 2*Calculations!$O203*Calculations!$C$8)/(2*Calculations!$O203*Calculations!$C$8^2))</f>
        <v>#N/A</v>
      </c>
      <c r="AE203" s="8" t="e">
        <f>IF(AE$5="H2O",IF($D$24=3,IF(T203=0,NA(),T203),calculateGibbsOfWater(M203,N203,$D$24,$D$20,$D$19=3)),NA())</f>
        <v>#VALUE!</v>
      </c>
      <c r="AF203" s="8" t="e">
        <f>IF(ISBLANK(Input!$X$4),NA(),'Reaction Information'!$E$13-'Reaction Information'!$G$13*(Calculations!O203-Calculations!$C$8)-'Reaction Information'!$N$13*(Calculations!O203*LN(Calculations!O203/Calculations!$C$8)-Calculations!O203+Calculations!$C$8)-'Reaction Information'!$O$13*10^4*(((1/(Calculations!O203-Calculations!$C$13))-(1/(Calculations!$C$8-Calculations!$C$13)))*((Calculations!$C$13-Calculations!O203)/(Calculations!$C$13))-(Calculations!O203/(Calculations!$C$13*Calculations!$C$13))*LN((Calculations!$C$8*(Calculations!O203-Calculations!$C$13))/(Calculations!O203*(Calculations!$C$8-Calculations!$C$13))))+'Reaction Information'!$J$13*10^-1*(Calculations!M203-Calculations!$C$9)+'Reaction Information'!$K$13*10^2*LN((Calculations!$C$12+Calculations!M203)/(Calculations!$C$12+Calculations!$C$9))+(1/(Calculations!O203-Calculations!$C$13))*('Reaction Information'!$L$13*(Calculations!M203-Calculations!$C$9)+'Reaction Information'!$M$13*10^4*LN((Calculations!$C$12+Calculations!M203)/(Calculations!$C$12+Calculations!$C$9)))+calculateOmega(Calculations!M203,Calculations!N203,Calculations!Q203,'Reaction Information'!$C$13,'Reaction Information'!$P$13*10^5,'Reaction Information'!$Q$13)*((1/Calculations!S203)-1)-'Reaction Information'!$P$13*10^5*((1/Calculations!$C$10)-1)+'Reaction Information'!$P$13*10^5*Calculations!$C$14*(Calculations!O203-Calculations!$C$8))</f>
        <v>#VALUE!</v>
      </c>
      <c r="AG203" s="8" t="e">
        <f>IF(ISBLANK(Input!$AA$4),NA(),'Reaction Information'!$E$17-'Reaction Information'!$G$17*(Calculations!$O203-Calculations!$C$8)-'Reaction Information'!$N$17*(Calculations!$O203*LN(Calculations!$O203/Calculations!$C$8)-Calculations!$O203+Calculations!$C$8)-'Reaction Information'!$O$17*10^4*(((1/(Calculations!$O203-Calculations!$C$13))-(1/(Calculations!$C$8-Calculations!$C$13)))*((Calculations!$C$13-Calculations!$O203)/(Calculations!$C$13))-(Calculations!$O203/(Calculations!$C$13*Calculations!$C$13))*LN((Calculations!$C$8*(Calculations!$O203-Calculations!$C$13))/(Calculations!$O203*(Calculations!$C$8-Calculations!$C$13))))+'Reaction Information'!$J$17*10^-1*(Calculations!$M203-Calculations!$C$9)+'Reaction Information'!$K$17*10^2*LN((Calculations!$C$12+Calculations!$M203)/(Calculations!$C$12+Calculations!$C$9))+(1/(Calculations!$O203-Calculations!$C$13))*('Reaction Information'!$L$17*(Calculations!$M203-Calculations!$C$9)+'Reaction Information'!$M$17*10^4*LN((Calculations!$C$12+Calculations!$M203)/(Calculations!$C$12+Calculations!$C$9)))+calculateOmega(Calculations!M203,Calculations!N203,Calculations!Q203,'Reaction Information'!$C$17,'Reaction Information'!$P$17*10^5,'Reaction Information'!$Q$17)*((1/Calculations!$S203)-1)-'Reaction Information'!$P$17*10^5*((1/Calculations!$C$10)-1)+'Reaction Information'!$P$17*10^5*Calculations!$C$14*(Calculations!$O203-Calculations!$C$8))</f>
        <v>#N/A</v>
      </c>
      <c r="AH203" s="8" t="e">
        <f>IF(ISBLANK(Input!$AD$4),NA(),'Reaction Information'!$E$21-'Reaction Information'!$G$21*(Calculations!$O203-Calculations!$C$8)-'Reaction Information'!$N$21*(Calculations!$O203*LN(Calculations!$O203/Calculations!$C$8)-Calculations!$O203+Calculations!$C$8)-'Reaction Information'!$O$21*10^4*(((1/(Calculations!$O203-Calculations!$C$13))-(1/(Calculations!$C$8-Calculations!$C$13)))*((Calculations!$C$13-Calculations!$O203)/(Calculations!$C$13))-(Calculations!$O203/(Calculations!$C$13*Calculations!$C$13))*LN((Calculations!$C$8*(Calculations!$O203-Calculations!$C$13))/(Calculations!$O203*(Calculations!$C$8-Calculations!$C$13))))+'Reaction Information'!$J$21*10^-1*(Calculations!$M203-Calculations!$C$9)+'Reaction Information'!$K$21*10^2*LN((Calculations!$C$12+Calculations!$M203)/(Calculations!$C$12+Calculations!$C$9))+(1/(Calculations!$O203-Calculations!$C$13))*('Reaction Information'!$L$21*(Calculations!$M203-Calculations!$C$9)+'Reaction Information'!$M$21*10^4*LN((Calculations!$C$12+Calculations!$M203)/(Calculations!$C$12+Calculations!$C$9)))+calculateOmega(Calculations!M203,Calculations!N203,Calculations!Q203,'Reaction Information'!$C$21,'Reaction Information'!$P$21*10^5,'Reaction Information'!$Q$21)*((1/Calculations!$S203)-1)-'Reaction Information'!$P$21*10^5*((1/Calculations!$C$10)-1)+'Reaction Information'!$P$21*10^5*Calculations!$C$14*(Calculations!$O203-Calculations!$C$8))</f>
        <v>#N/A</v>
      </c>
      <c r="AI203" s="8" t="e">
        <f>IF(ISBLANK(Input!$AG$4),NA(),'Reaction Information'!$E$25-'Reaction Information'!$G$25*(Calculations!$O203-Calculations!$C$8)-'Reaction Information'!$N$25*(Calculations!$O203*LN(Calculations!$O203/Calculations!$C$8)-Calculations!$O203+Calculations!$C$8)-'Reaction Information'!$O$25*10^4*(((1/(Calculations!$O203-Calculations!$C$13))-(1/(Calculations!$C$8-Calculations!$C$13)))*((Calculations!$C$13-Calculations!$O203)/(Calculations!$C$13))-(Calculations!$O203/(Calculations!$C$13*Calculations!$C$13))*LN((Calculations!$C$8*(Calculations!$O203-Calculations!$C$13))/(Calculations!$O203*(Calculations!$C$8-Calculations!$C$13))))+'Reaction Information'!$J$25*10^-1*(Calculations!$M203-Calculations!$C$9)+'Reaction Information'!$K$25*10^2*LN((Calculations!$C$12+Calculations!$M203)/(Calculations!$C$12+Calculations!$C$9))+(1/(Calculations!$O203-Calculations!$C$13))*('Reaction Information'!$L$25*(Calculations!$M203-Calculations!$C$9)+'Reaction Information'!$M$25*10^4*LN((Calculations!$C$12+Calculations!$M203)/(Calculations!$C$12+Calculations!$C$9)))+calculateOmega(Calculations!M203,Calculations!N203,Calculations!Q203,'Reaction Information'!$C$25,'Reaction Information'!$P$25*10^5,'Reaction Information'!$Q$25)*((1/Calculations!$S203)-1)-'Reaction Information'!$P$25*10^5*((1/Calculations!$C$10)-1)+'Reaction Information'!$P$25*10^5*Calculations!$C$14*(Calculations!$O203-Calculations!$C$8))</f>
        <v>#N/A</v>
      </c>
      <c r="AJ203" s="8" t="e">
        <f>IF(ISBLANK(Input!$AJ$4),NA(),'Reaction Information'!$E$29-'Reaction Information'!$G$29*(Calculations!$O203-Calculations!$C$8)-'Reaction Information'!$N$29*(Calculations!$O203*LN(Calculations!$O203/Calculations!$C$8)-Calculations!$O203+Calculations!$C$8)-'Reaction Information'!$O$29*10^4*(((1/(Calculations!$O203-Calculations!$C$13))-(1/(Calculations!$C$8-Calculations!$C$13)))*((Calculations!$C$13-Calculations!$O203)/(Calculations!$C$13))-(Calculations!$O203/(Calculations!$C$13*Calculations!$C$13))*LN((Calculations!$C$8*(Calculations!$O203-Calculations!$C$13))/(Calculations!$O203*(Calculations!$C$8-Calculations!$C$13))))+'Reaction Information'!$J$29*10^-1*(Calculations!$M203-Calculations!$C$9)+'Reaction Information'!$K$29*10^2*LN((Calculations!$C$12+Calculations!$M203)/(Calculations!$C$12+Calculations!$C$9))+(1/(Calculations!$O203-Calculations!$C$13))*('Reaction Information'!$L$29*(Calculations!$M203-Calculations!$C$9)+'Reaction Information'!$M$29*10^4*LN((Calculations!$C$12+Calculations!$M203)/(Calculations!$C$12+Calculations!$C$9)))+calculateOmega(Calculations!M203,Calculations!N203,Calculations!Q203,'Reaction Information'!$C$29,'Reaction Information'!$P$29*10^5,'Reaction Information'!$Q$29)*((1/Calculations!$S203)-1)-'Reaction Information'!$P$29*10^5*((1/Calculations!$C$10)-1)+'Reaction Information'!$P$29*10^5*Calculations!$C$14*(Calculations!$O203-Calculations!$C$8))</f>
        <v>#N/A</v>
      </c>
      <c r="AK203" s="8" t="e">
        <f>IF(ISBLANK(Input!$AM$4),NA(),'Reaction Information'!$E$33-'Reaction Information'!$G$33*(Calculations!$O203-Calculations!$C$8)-'Reaction Information'!$N$33*(Calculations!$O203*LN(Calculations!$O203/Calculations!$C$8)-Calculations!$O203+Calculations!$C$8)-'Reaction Information'!$O$33*10^4*(((1/(Calculations!$O203-Calculations!$C$13))-(1/(Calculations!$C$8-Calculations!$C$13)))*((Calculations!$C$13-Calculations!$O203)/(Calculations!$C$13))-(Calculations!$O203/(Calculations!$C$13*Calculations!$C$13))*LN((Calculations!$C$8*(Calculations!$O203-Calculations!$C$13))/(Calculations!$O203*(Calculations!$C$8-Calculations!$C$13))))+'Reaction Information'!$J$33*10^-1*(Calculations!$M203-Calculations!$C$9)+'Reaction Information'!$K$33*10^2*LN((Calculations!$C$12+Calculations!$M203)/(Calculations!$C$12+Calculations!$C$9))+(1/(Calculations!$O203-Calculations!$C$13))*('Reaction Information'!$L$33*(Calculations!$M203-Calculations!$C$9)+'Reaction Information'!$M$33*10^4*LN((Calculations!$C$12+Calculations!$M203)/(Calculations!$C$12+Calculations!$C$9)))+calculateOmega(Calculations!M203,Calculations!N203,Calculations!Q203,'Reaction Information'!$C$33,'Reaction Information'!$P$33*10^5,'Reaction Information'!$Q$33)*((1/Calculations!$S203)-1)-'Reaction Information'!$P$33*10^5*((1/Calculations!$C$10)-1)+'Reaction Information'!$P$33*10^5*Calculations!$C$14*(Calculations!$O203-Calculations!$C$8))</f>
        <v>#N/A</v>
      </c>
      <c r="AL203" s="1">
        <f>Results!S205</f>
        <v>0</v>
      </c>
      <c r="AM203" s="1">
        <f>Results!T205</f>
        <v>0</v>
      </c>
      <c r="AN203" s="1">
        <f>Results!U205</f>
        <v>0</v>
      </c>
      <c r="AO203" s="1">
        <f>Results!V205</f>
        <v>0</v>
      </c>
      <c r="AP203" s="8" t="e">
        <f>IF(ISBLANK(Input!$BB$4),NA(),'Reaction Information'!$E$38-'Reaction Information'!$G$38*(Calculations!$O203-Calculations!$C$8)+'Reaction Information'!$I$38*(Calculations!$O203-Calculations!$C$8-Calculations!$O203*LN(Calculations!$O203/Calculations!$C$8))+'Reaction Information'!$J$38*0.001/2*(2*Calculations!$O203*Calculations!$C$8-Calculations!$O203^2-Calculations!$C$8^2) + 'Reaction Information'!$K$38*100000*(Calculations!$O203^2 + Calculations!$C$8^2 - 2*Calculations!$O203*Calculations!$C$8)/(2*Calculations!$O203*Calculations!$C$8^2))</f>
        <v>#N/A</v>
      </c>
      <c r="AQ203" s="8" t="e">
        <f>IF(ISBLANK(Input!$BE$4),NA(),'Reaction Information'!$E$42-'Reaction Information'!$G$42*(Calculations!$O203-Calculations!$C$8)+'Reaction Information'!$I$42*(Calculations!$O203-Calculations!$C$8-Calculations!$O203*LN(Calculations!$O203/Calculations!$C$8))+'Reaction Information'!$J$42*0.001/2*(2*Calculations!$O203*Calculations!$C$8-Calculations!$O203^2-Calculations!$C$8^2) + 'Reaction Information'!$K$42*100000*(Calculations!$O203^2 + Calculations!$C$8^2 - 2*Calculations!$O203*Calculations!$C$8)/(2*Calculations!$O203*Calculations!$C$8^2))</f>
        <v>#N/A</v>
      </c>
      <c r="AR203" s="8" t="e">
        <f>IF(AR$5="H2O", IF($D$24=3,IF(T203=0,NA(),T203),calculateGibbsOfWater(M203,N203,$D$24,$D$20,$D$19=3)),NA())</f>
        <v>#N/A</v>
      </c>
      <c r="AS203" s="8" t="e">
        <f>IF(ISBLANK(Input!$BK$4),NA(),'Reaction Information'!$E$46-'Reaction Information'!$G$46*(Calculations!O203-Calculations!$C$8)-'Reaction Information'!$N$46*(Calculations!O203*LN(Calculations!O203/Calculations!$C$8)-Calculations!O203+Calculations!$C$8)-'Reaction Information'!$O$46*10^4*(((1/(Calculations!O203-Calculations!$C$13))-(1/(Calculations!$C$8-Calculations!$C$13)))*((Calculations!$C$13-Calculations!O203)/(Calculations!$C$13))-(Calculations!O203/(Calculations!$C$13*Calculations!$C$13))*LN((Calculations!$C$8*(Calculations!O203-Calculations!$C$13))/(Calculations!O203*(Calculations!$C$8-Calculations!$C$13))))+'Reaction Information'!$J$46*10^-1*(Calculations!$M203-Calculations!$C$9)+'Reaction Information'!$K$46*10^2*LN((Calculations!$C$12+Calculations!$M203)/(Calculations!$C$12+Calculations!$C$9))+(1/(Calculations!O203-Calculations!$C$13))*('Reaction Information'!$L$46*(Calculations!$M203-Calculations!$C$9)+'Reaction Information'!$M$46*10^4*LN((Calculations!$C$12+Calculations!$M203)/(Calculations!$C$12+Calculations!$C$9)))+calculateOmega(Calculations!M203,Calculations!N203,Calculations!Q203,'Reaction Information'!$C$46,'Reaction Information'!$P$46*10^5,'Reaction Information'!$Q$46)*((1/Calculations!S203)-1)-'Reaction Information'!$P$46*10^5*((1/Calculations!$C$10)-1)+'Reaction Information'!$P$46*10^5*Calculations!$C$14*(Calculations!O203-Calculations!$C$8))</f>
        <v>#VALUE!</v>
      </c>
      <c r="AT203" s="8" t="e">
        <f>IF(ISBLANK(Input!$BN$4),NA(),'Reaction Information'!$E$50-'Reaction Information'!$G$50*(Calculations!O203-Calculations!$C$8)-'Reaction Information'!$N$50*(Calculations!O203*LN(Calculations!O203/Calculations!$C$8)-Calculations!O203+Calculations!$C$8)-'Reaction Information'!$O$50*10^4*(((1/(Calculations!O203-Calculations!$C$13))-(1/(Calculations!$C$8-Calculations!$C$13)))*((Calculations!$C$13-Calculations!O203)/(Calculations!$C$13))-(Calculations!O203/(Calculations!$C$13*Calculations!$C$13))*LN((Calculations!$C$8*(Calculations!O203-Calculations!$C$13))/(Calculations!O203*(Calculations!$C$8-Calculations!$C$13))))+'Reaction Information'!$J$50*10^-1*(Calculations!$M203-Calculations!$C$9)+'Reaction Information'!$K$50*10^2*LN((Calculations!$C$12+Calculations!$M203)/(Calculations!$C$12+Calculations!$C$9))+(1/(Calculations!O203-Calculations!$C$13))*('Reaction Information'!$L$50*(Calculations!$M203-Calculations!$C$9)+'Reaction Information'!$M$50*10^4*LN((Calculations!$C$12+Calculations!$M203)/(Calculations!$C$12+Calculations!$C$9)))+calculateOmega(Calculations!M203,Calculations!N203,Calculations!Q203,'Reaction Information'!$C$50,'Reaction Information'!$P$50*10^5,'Reaction Information'!$Q$50)*((1/Calculations!S203)-1)-'Reaction Information'!$P$50*10^5*((1/Calculations!$C$10)-1)+'Reaction Information'!$P$50*10^5*Calculations!$C$14*(Calculations!O203-Calculations!$C$8))</f>
        <v>#VALUE!</v>
      </c>
      <c r="AU203" s="8" t="e">
        <f>IF(ISBLANK(Input!$BQ$4),NA(),'Reaction Information'!$E$54-'Reaction Information'!$G$54*(Calculations!$O203-Calculations!$C$8)-'Reaction Information'!$N$54*(Calculations!$O203*LN(Calculations!$O203/Calculations!$C$8)-Calculations!$O203+Calculations!$C$8)-'Reaction Information'!$O$54*10^4*(((1/(Calculations!$O203-Calculations!$C$13))-(1/(Calculations!$C$8-Calculations!$C$13)))*((Calculations!$C$13-Calculations!$O203)/(Calculations!$C$13))-(Calculations!$O203/(Calculations!$C$13*Calculations!$C$13))*LN((Calculations!$C$8*(Calculations!$O203-Calculations!$C$13))/(Calculations!$O203*(Calculations!$C$8-Calculations!$C$13))))+'Reaction Information'!$J$54*10^-1*(Calculations!$M203-Calculations!$C$9)+'Reaction Information'!$K$54*10^2*LN((Calculations!$C$12+Calculations!$M203)/(Calculations!$C$12+Calculations!$C$9))+(1/(Calculations!$O203-Calculations!$C$13))*('Reaction Information'!$L$54*(Calculations!$M203-Calculations!$C$9)+'Reaction Information'!$M$54*10^4*LN((Calculations!$C$12+Calculations!$M203)/(Calculations!$C$12+Calculations!$C$9)))+calculateOmega(Calculations!M203,Calculations!N203,Calculations!Q203,'Reaction Information'!$C$54,'Reaction Information'!$P$54*10^5,'Reaction Information'!$Q$54)*((1/Calculations!$S203)-1)-'Reaction Information'!$P$54*10^5*((1/Calculations!$C$10)-1)+'Reaction Information'!$P$54*10^5*Calculations!$C$14*(Calculations!$O203-Calculations!$C$8))</f>
        <v>#N/A</v>
      </c>
      <c r="AV203" s="8" t="e">
        <f>IF(ISBLANK(Input!$BT$4),NA(),'Reaction Information'!$E$58-'Reaction Information'!$G$58*(Calculations!$O203-Calculations!$C$8)-'Reaction Information'!$N$58*(Calculations!$O203*LN(Calculations!$O203/Calculations!$C$8)-Calculations!$O203+Calculations!$C$8)-'Reaction Information'!$O$58*10^4*(((1/(Calculations!$O203-Calculations!$C$13))-(1/(Calculations!$C$8-Calculations!$C$13)))*((Calculations!$C$13-Calculations!$O203)/(Calculations!$C$13))-(Calculations!$O203/(Calculations!$C$13*Calculations!$C$13))*LN((Calculations!$C$8*(Calculations!$O203-Calculations!$C$13))/(Calculations!$O203*(Calculations!$C$8-Calculations!$C$13))))+'Reaction Information'!$J$58*10^-1*(Calculations!$M203-Calculations!$C$9)+'Reaction Information'!$K$58*10^2*LN((Calculations!$C$12+Calculations!$M203)/(Calculations!$C$12+Calculations!$C$9))+(1/(Calculations!$O203-Calculations!$C$13))*('Reaction Information'!$L$58*(Calculations!$M203-Calculations!$C$9)+'Reaction Information'!$M$58*10^4*LN((Calculations!$C$12+Calculations!$M203)/(Calculations!$C$12+Calculations!$C$9)))+calculateOmega(Calculations!M203,Calculations!N203,Calculations!Q203,'Reaction Information'!$C$58,'Reaction Information'!$P$58*10^5,'Reaction Information'!$Q$58)*((1/Calculations!$S203)-1)-'Reaction Information'!$P$58*10^5*((1/Calculations!$C$10)-1)+'Reaction Information'!$P$58*10^5*Calculations!$C$14*(Calculations!$O203-Calculations!$C$8))</f>
        <v>#N/A</v>
      </c>
      <c r="AW203" s="8" t="e">
        <f>IF(ISBLANK(Input!$BW$4),NA(),'Reaction Information'!$E$62-'Reaction Information'!$G$62*(Calculations!$O203-Calculations!$C$8)-'Reaction Information'!$N$62*(Calculations!$O203*LN(Calculations!$O203/Calculations!$C$8)-Calculations!$O203+Calculations!$C$8)-'Reaction Information'!$O$62*10^4*(((1/(Calculations!$O203-Calculations!$C$13))-(1/(Calculations!$C$8-Calculations!$C$13)))*((Calculations!$C$13-Calculations!$O203)/(Calculations!$C$13))-(Calculations!$O203/(Calculations!$C$13*Calculations!$C$13))*LN((Calculations!$C$8*(Calculations!$O203-Calculations!$C$13))/(Calculations!$O203*(Calculations!$C$8-Calculations!$C$13))))+'Reaction Information'!$J$62*10^-1*(Calculations!$M203-Calculations!$C$9)+'Reaction Information'!$K$62*10^2*LN((Calculations!$C$12+Calculations!$M203)/(Calculations!$C$12+Calculations!$C$9))+(1/(Calculations!$O203-Calculations!$C$13))*('Reaction Information'!$L$62*(Calculations!$M203-Calculations!$C$9)+'Reaction Information'!$M$62*10^4*LN((Calculations!$C$12+Calculations!$M203)/(Calculations!$C$12+Calculations!$C$9)))+calculateOmega(Calculations!M203,Calculations!N203,Calculations!Q203,'Reaction Information'!$C$62,'Reaction Information'!$P$62*10^5,'Reaction Information'!$Q$62)*((1/Calculations!$S203)-1)-'Reaction Information'!$P$62*10^5*((1/Calculations!$C$10)-1)+'Reaction Information'!$P$62*10^5*Calculations!$C$14*(Calculations!$O203-Calculations!$C$8))</f>
        <v>#N/A</v>
      </c>
      <c r="AX203" s="8" t="e">
        <f>IF(ISBLANK(Input!$BZ$4),NA(),'Reaction Information'!$E$66-'Reaction Information'!$G$66*(Calculations!$O203-Calculations!$C$8)-'Reaction Information'!$N$66*(Calculations!$O203*LN(Calculations!$O203/Calculations!$C$8)-Calculations!$O203+Calculations!$C$8)-'Reaction Information'!$O$66*10^4*(((1/(Calculations!$O203-Calculations!$C$13))-(1/(Calculations!$C$8-Calculations!$C$13)))*((Calculations!$C$13-Calculations!$O203)/(Calculations!$C$13))-(Calculations!$O203/(Calculations!$C$13*Calculations!$C$13))*LN((Calculations!$C$8*(Calculations!$O203-Calculations!$C$13))/(Calculations!$O203*(Calculations!$C$8-Calculations!$C$13))))+'Reaction Information'!$J$66*10^-1*(Calculations!$M203-Calculations!$C$9)+'Reaction Information'!$K$66*10^2*LN((Calculations!$C$12+Calculations!$M203)/(Calculations!$C$12+Calculations!$C$9))+(1/(Calculations!$O203-Calculations!$C$13))*('Reaction Information'!$L$66*(Calculations!$M203-Calculations!$C$9)+'Reaction Information'!$M$66*10^4*LN((Calculations!$C$12+Calculations!$M203)/(Calculations!$C$12+Calculations!$C$9)))+calculateOmega(Calculations!M203,Calculations!N203,Calculations!Q203,'Reaction Information'!$C$66,'Reaction Information'!$P$66*10^5,'Reaction Information'!$Q$66)*((1/Calculations!$S203)-1)-'Reaction Information'!$P$66*10^5*((1/Calculations!$C$10)-1)+'Reaction Information'!$P$66*10^5*Calculations!$C$14*(Calculations!$O203-Calculations!$C$8))</f>
        <v>#N/A</v>
      </c>
      <c r="AY203" s="31" t="e">
        <f>(AL203*Input!$AO$4+AM203*Input!$AR$4+AN203*Input!$AU$4+AO203*Input!$AX$4+IF(ISNA(AP203),0,AP203*Input!$BA$4)+IF(ISNA(AQ203),0,AQ203*Input!$BD$4)+IF(ISNA(AR203),0,AR203*Input!$BG$4)+IF(ISNA(AS203),0,AS203*Input!$BJ$4)+IF(ISNA(AT203),0,AT203*Input!$BM$4)+IF(ISNA(AU203),0,AU203*Input!$BP$4)+IF(ISNA(AV203),0,AV203*Input!$BS$4)+IF(ISNA(AW203),0,AW203*Input!$BV$4)+IF(ISNA(AX203),0,AX203*Input!$BY$4))-(Y203*Input!$B$4+Z203*Input!$E$4+AA203*Input!$H$4+AB203*Input!$K$4+IF(ISNA(AC203),0,AC203*Input!$N$4)+IF(ISNA(AD203),0,AD203*Input!$Q$4)+IF(ISNA(AE203),0,AE203*Input!$T$4)+IF(ISNA(AF203),0,AF203*Input!$W$4)+IF(ISNA(AG203),0,AG203*Input!$Z$4)+IF(ISNA(AH203),0,AH203*Input!$AC$4)+IF(ISNA(AI203),0,AI203*Input!$AF$4)+IF(ISNA(AJ203),0,AJ203*Input!$AI$4)+IF(ISNA(AK203),0,AK203*Input!$AL$4))</f>
        <v>#VALUE!</v>
      </c>
      <c r="AZ203" s="42" t="e">
        <f t="shared" si="58"/>
        <v>#VALUE!</v>
      </c>
      <c r="BA203" s="1" t="str">
        <f t="shared" si="65"/>
        <v/>
      </c>
      <c r="BB203" s="46" t="str">
        <f t="shared" si="66"/>
        <v/>
      </c>
      <c r="BC203" s="1"/>
      <c r="BD203" s="2" t="str">
        <f t="shared" si="67"/>
        <v/>
      </c>
      <c r="BE203" s="46" t="str">
        <f t="shared" si="68"/>
        <v/>
      </c>
      <c r="BF203" s="1">
        <f>Results!AJ205</f>
        <v>0</v>
      </c>
      <c r="BG203" s="1">
        <f>Results!AK205</f>
        <v>0</v>
      </c>
      <c r="BH203" s="1">
        <f>Results!AL205</f>
        <v>0</v>
      </c>
      <c r="BI203" s="1">
        <f>Results!AM205</f>
        <v>0</v>
      </c>
      <c r="BJ203" s="1" t="e">
        <f>IF(OR(ISNA('Reaction Information'!$D$5), $N203 = "", $D$27 = FALSE, 'Reaction Information'!$D$5 = ""), NA(), 24.465)</f>
        <v>#N/A</v>
      </c>
      <c r="BK203" s="1" t="e">
        <f>IF(OR(ISNA('Reaction Information'!$D$9), $N203 = "", $D$27 = FALSE, 'Reaction Information'!$D$9 = ""), NA(), 24.465)</f>
        <v>#N/A</v>
      </c>
      <c r="BL203" s="8" t="e">
        <f t="shared" si="59"/>
        <v>#VALUE!</v>
      </c>
      <c r="BM203" s="8" t="e">
        <f>IF(OR(ISBLANK(Input!$X$4),$D$27=FALSE),NA(),('Reaction Information'!$J$13/10+'Reaction Information'!$K$13*100/(Calculations!$C$12+Calculations!$M203)+('Reaction Information'!$L$13+'Reaction Information'!$M$13*10^4/(Calculations!$C$12+Calculations!$M203))/(Calculations!$O203-Calculations!$C$13) -calculateOmega(Calculations!$M203,Calculations!$N203,Calculations!$Q203,'Reaction Information'!$C$13,'Reaction Information'!$P$13*10^5,'Reaction Information'!$Q$13)*Calculations!$U203*10^-6 + (1/$S203 - 1)*calculate_domegadP(Calculations!$M203,Calculations!$N203,Calculations!$Q203,'Reaction Information'!$C$13,'Reaction Information'!$P$13*10^5,'Reaction Information'!$Q$13,$D$20,$D$19=3))*41.84)</f>
        <v>#VALUE!</v>
      </c>
      <c r="BN203" s="8" t="e">
        <f>IF(OR(ISBLANK(Input!$AA$4),$D$27=FALSE),NA(),('Reaction Information'!$J$17/10+'Reaction Information'!$K$17*100/(Calculations!$C$12+Calculations!$M203)+('Reaction Information'!$L$17+'Reaction Information'!$M$17*10000/(Calculations!$C$12+Calculations!$M203))/(Calculations!$O203-Calculations!$C$13)-calculateOmega(Calculations!M203,Calculations!N203,Calculations!Q203,'Reaction Information'!$C$17,'Reaction Information'!$P$17*10^5,'Reaction Information'!$Q$17)*Calculations!$U203*10^-6 + (1/$S203 - 1)*calculate_domegadP(Calculations!M203,Calculations!N203,Calculations!Q203,'Reaction Information'!$C$17,'Reaction Information'!$P$17*10^5,'Reaction Information'!$Q$17,$D$20,$D$19=3))*41.84)</f>
        <v>#N/A</v>
      </c>
      <c r="BO203" s="8" t="e">
        <f>IF(OR(ISBLANK(Input!$AD$4),$D$27=FALSE),NA(),('Reaction Information'!$J$21/10+'Reaction Information'!$K$21*100/(Calculations!$C$12+Calculations!$M203)+('Reaction Information'!$L$21+'Reaction Information'!$M$21*10000/(Calculations!$C$12+Calculations!$M203))/(Calculations!$O203-Calculations!$C$13)-calculateOmega(Calculations!M203,Calculations!N203,Calculations!Q203,'Reaction Information'!$C$21,'Reaction Information'!$P$21*10^5,'Reaction Information'!$Q$21)*Calculations!$U203*10^-6 + (1/$S203 - 1)*calculate_domegadP(Calculations!M203,Calculations!N203,Calculations!Q203,'Reaction Information'!$C$21,'Reaction Information'!$P$21*10^5,'Reaction Information'!$Q$21,$D$20,$D$19=3))*41.84)</f>
        <v>#N/A</v>
      </c>
      <c r="BP203" s="8" t="e">
        <f>IF(OR(ISBLANK(Input!$AG$4),$D$27=FALSE),NA(),('Reaction Information'!$J$25/10+'Reaction Information'!$K$25*100/(Calculations!$C$12+Calculations!$M203)+('Reaction Information'!$L$25+'Reaction Information'!$M$25*10000/(Calculations!$C$12+Calculations!$M203))/(Calculations!$O203-Calculations!$C$13)-calculateOmega(Calculations!M203,Calculations!N203,Calculations!Q203,'Reaction Information'!$C$25,'Reaction Information'!$P$25*10^5,'Reaction Information'!$Q$25)*Calculations!$U203*10^-6 + (1/$S203 - 1)*calculate_domegadP(Calculations!M203,Calculations!N203,Calculations!Q203,'Reaction Information'!$C$25,'Reaction Information'!$P$25*10^5,'Reaction Information'!$Q$25,$D$20,$D$19=3))*41.84)</f>
        <v>#N/A</v>
      </c>
      <c r="BQ203" s="8" t="e">
        <f>IF(OR(ISBLANK(Input!$AJ$4),$D$27=FALSE),NA(),('Reaction Information'!$J$29/10+'Reaction Information'!$K$29*100/(Calculations!$C$12+Calculations!$M203)+('Reaction Information'!$L$29+'Reaction Information'!$M$29*10000/(Calculations!$C$12+Calculations!$M203))/(Calculations!$O203-Calculations!$C$13)-calculateOmega(Calculations!M203,Calculations!N203,Calculations!Q203,'Reaction Information'!$C$29,'Reaction Information'!$P$29*10^5,'Reaction Information'!$Q$29)*Calculations!$U203*10^-6 + (1/$S203 - 1)*calculate_domegadP(Calculations!M203,Calculations!N203,Calculations!Q203,'Reaction Information'!$C$29,'Reaction Information'!$P$29*10^5,'Reaction Information'!$Q$29,$D$20,$D$19=3))*41.84)</f>
        <v>#N/A</v>
      </c>
      <c r="BR203" s="8" t="e">
        <f>IF(OR(ISBLANK(Input!$AM$4),$D$27=FALSE),NA(),('Reaction Information'!$J$33/10+'Reaction Information'!$K$33*100/(Calculations!$C$12+Calculations!$M203)+('Reaction Information'!$L$33+'Reaction Information'!$M$33*10000/(Calculations!$C$12+Calculations!$M203))/(Calculations!$O203-Calculations!$C$13)-calculateOmega(Calculations!M203,Calculations!N203,Calculations!Q203,'Reaction Information'!$C$33,'Reaction Information'!$P$33*10^5,'Reaction Information'!$Q$33)*Calculations!$U203*10^-6 + (1/$S203 - 1)*calculate_domegadP(Calculations!M203,Calculations!N203,Calculations!Q203,'Reaction Information'!$C$33,'Reaction Information'!$P$33*10^5,'Reaction Information'!$Q$33,$D$20,$D$19=3))*41.84)</f>
        <v>#N/A</v>
      </c>
      <c r="BS203" s="1">
        <f>Results!AW205</f>
        <v>0</v>
      </c>
      <c r="BT203" s="1">
        <f>Results!AX205</f>
        <v>0</v>
      </c>
      <c r="BU203" s="1">
        <f>Results!AY205</f>
        <v>0</v>
      </c>
      <c r="BV203" s="1">
        <f>Results!AZ205</f>
        <v>0</v>
      </c>
      <c r="BW203" s="1" t="e">
        <f>IF(OR(ISNA('Reaction Information'!$D$38), $N203 = "", $D$27 = FALSE, 'Reaction Information'!$D$38 = ""), NA(), 24.465)</f>
        <v>#N/A</v>
      </c>
      <c r="BX203" s="1" t="e">
        <f>IF(OR(ISNA('Reaction Information'!$D$42), $N203 = "", $D$27 = FALSE, 'Reaction Information'!$D$42 = ""), NA(), 24.465)</f>
        <v>#N/A</v>
      </c>
      <c r="BY203" s="8" t="e">
        <f t="shared" si="60"/>
        <v>#N/A</v>
      </c>
      <c r="BZ203" s="8" t="e">
        <f>IF(OR(ISBLANK(Input!$BK$4),$D$27=FALSE),NA(),('Reaction Information'!$J$46/10+'Reaction Information'!$K$46*100/(Calculations!$C$12+Calculations!$M203)+('Reaction Information'!$L$46+'Reaction Information'!$M$46*10000/(Calculations!$C$12+Calculations!$M203))/(Calculations!$O203-Calculations!$C$13)-calculateOmega(Calculations!M203,Calculations!N203,Calculations!Q203,'Reaction Information'!$C$46,'Reaction Information'!$P$46*10^5,'Reaction Information'!$Q$46)*Calculations!$U203*10^-6 + (1/$S203 - 1)*calculate_domegadP(Calculations!M203,Calculations!N203,Calculations!Q203,'Reaction Information'!$C$46,'Reaction Information'!$P$46*10^5,'Reaction Information'!$Q$46,$D$20,$D$19=3))*41.84)</f>
        <v>#VALUE!</v>
      </c>
      <c r="CA203" s="8" t="e">
        <f>IF(OR(ISBLANK(Input!$BN$4),$D$27=FALSE),NA(),('Reaction Information'!$J$50/10+'Reaction Information'!$K$50*100/(Calculations!$C$12+Calculations!$M203)+('Reaction Information'!$L$50+'Reaction Information'!$M$50*10000/(Calculations!$C$12+Calculations!$M203))/(Calculations!$O203-Calculations!$C$13)-calculateOmega(Calculations!M203,Calculations!N203,Calculations!Q203,'Reaction Information'!$C$50,'Reaction Information'!$P$50*10^5,'Reaction Information'!$Q$50)*Calculations!$U203*10^-6 + (1/$S203 - 1)*calculate_domegadP(Calculations!M203,Calculations!N203,Calculations!Q203,'Reaction Information'!$C$50,'Reaction Information'!$P$50*10^5,'Reaction Information'!$Q$50,$D$20,$D$19=3))*41.84)</f>
        <v>#VALUE!</v>
      </c>
      <c r="CB203" s="8" t="e">
        <f>IF(OR(ISBLANK(Input!$BQ$4),$D$27=FALSE),NA(),('Reaction Information'!$J$54/10+'Reaction Information'!$K$54*100/(Calculations!$C$12+Calculations!$M203)+('Reaction Information'!$L$54+'Reaction Information'!$M$54*10000/(Calculations!$C$12+Calculations!$M203))/(Calculations!$O203-Calculations!$C$13)-calculateOmega(Calculations!M203,Calculations!N203,Calculations!Q203,'Reaction Information'!$C$54,'Reaction Information'!$P$54*10^5,'Reaction Information'!$Q$54)*Calculations!$U203*10^-6 + (1/$S203 - 1)*calculate_domegadP(Calculations!M203,Calculations!N203,Calculations!Q203,'Reaction Information'!$C$54,'Reaction Information'!$P$54*10^5,'Reaction Information'!$Q$54,$D$20,$D$19=3))*41.84)</f>
        <v>#N/A</v>
      </c>
      <c r="CC203" s="8" t="e">
        <f>IF(OR(ISBLANK(Input!$BT$4),$D$27=FALSE),NA(),('Reaction Information'!$J$58/10+'Reaction Information'!$K$58*100/(Calculations!$C$12+Calculations!$M203)+('Reaction Information'!$L$58+'Reaction Information'!$M$58*10000/(Calculations!$C$12+Calculations!$M203))/(Calculations!$O203-Calculations!$C$13)-calculateOmega(Calculations!M203,Calculations!N203,Calculations!Q203,'Reaction Information'!$C$58,'Reaction Information'!$P$58*10^5,'Reaction Information'!$Q$58)*Calculations!$U203*10^-6 + (1/$S203 - 1)*calculate_domegadP(Calculations!M203,Calculations!N203,Calculations!Q203,'Reaction Information'!$C$58,'Reaction Information'!$P$58*10^5,'Reaction Information'!$Q$58,$D$20,$D$19=3))*41.84)</f>
        <v>#N/A</v>
      </c>
      <c r="CD203" s="8" t="e">
        <f>IF(OR(ISBLANK(Input!$BW$4),$D$27=FALSE),NA(),('Reaction Information'!$J$62/10+'Reaction Information'!$K$62*100/(Calculations!$C$12+Calculations!$M203)+('Reaction Information'!$L$62+'Reaction Information'!$M$62*10000/(Calculations!$C$12+Calculations!$M203))/(Calculations!$O203-Calculations!$C$13)-calculateOmega(Calculations!M203,Calculations!N203,Calculations!Q203,'Reaction Information'!$C$62,'Reaction Information'!$P$62*10^5,'Reaction Information'!$Q$62)*Calculations!$U203*10^-6 + (1/$S203 - 1)*calculate_domegadP(Calculations!M203,Calculations!N203,Calculations!Q203,'Reaction Information'!$C$62,'Reaction Information'!$P$62*10^5,'Reaction Information'!$Q$62,$D$20,$D$19=3))*41.84)</f>
        <v>#N/A</v>
      </c>
      <c r="CE203" s="8" t="e">
        <f>IF(OR(ISBLANK(Input!$BZ$4),$D$27=FALSE),NA(),('Reaction Information'!$J$66/10+'Reaction Information'!$K$66*100/(Calculations!$C$12+Calculations!$M203)+('Reaction Information'!$L$66+'Reaction Information'!$M$66*10000/(Calculations!$C$12+Calculations!$M203))/(Calculations!$O203-Calculations!$C$13)-calculateOmega(Calculations!M203,Calculations!N203,Calculations!Q203,'Reaction Information'!$C$66,'Reaction Information'!$P$66*10^5,'Reaction Information'!$Q$66)*Calculations!$U203*10^-6 + (1/$S203 - 1)*calculate_domegadP(Calculations!M203,Calculations!N203,Calculations!Q203,'Reaction Information'!$C$66,'Reaction Information'!$P$66*10^5,'Reaction Information'!$Q$66,$D$20,$D$19=3))*41.84)</f>
        <v>#N/A</v>
      </c>
      <c r="CF203" s="31" t="e">
        <f>(BS203*Input!$AO$4+BT203*Input!$AR$4+BU203*Input!$AU$4+BV203*Input!$AX$4+IF(ISNA(BW203),0,BW203*Input!$BA$4)+IF(ISNA(BX203),0,BX203*Input!$BD$4)+IF(ISNA(BY203),0,BY203*Input!$BG$4)+IF(ISNA(BZ203),0,BZ203*Input!$BJ$4)+IF(ISNA(CA203),0,CA203*Input!$BM$4)+IF(ISNA(CB203),0,CB203*Input!$BP$4)+IF(ISNA(CC203),0,CC203*Input!$BS$4)+IF(ISNA(CD203),0,CD203*Input!$BV$4)+IF(ISNA(CE203),0,CE203*Input!$BY$4))-(BF203*Input!$B$4+BG203*Input!$E$4+BH203*Input!$H$4+BI203*Input!$K$4+IF(ISNA(BJ203),0,BJ203*Input!$N$4)+IF(ISNA(BK203),0,BK203*Input!$Q$4)+IF(ISNA(BL203),0,BL203*Input!$T$4)+IF(ISNA(BM203),0,BM203*Input!$W$4)+IF(ISNA(BN203),0,BN203*Input!$Z$4)+IF(ISNA(BO203),0,BO203*Input!$AC$4)+IF(ISNA(BP203),0,BP203*Input!$AF$4)+IF(ISNA(BQ203),0,BQ203*Input!$AI$4)+IF(ISNA(BR203),0,BR203*Input!$AL$4))</f>
        <v>#VALUE!</v>
      </c>
      <c r="CG203" s="1" t="str">
        <f t="shared" si="69"/>
        <v/>
      </c>
      <c r="CH203" s="46" t="str">
        <f t="shared" si="70"/>
        <v/>
      </c>
      <c r="CI203" s="1"/>
    </row>
    <row r="204" spans="1:87" x14ac:dyDescent="0.2">
      <c r="A204" s="1"/>
      <c r="B204" s="1"/>
      <c r="C204" s="1"/>
      <c r="D204" s="1"/>
      <c r="E204" s="1"/>
      <c r="F204" s="2">
        <v>199</v>
      </c>
      <c r="G204" s="1" t="str">
        <f>IF(ISBLANK(Input!CB204), "", Input!CB204*1000)</f>
        <v/>
      </c>
      <c r="H204" s="1" t="str">
        <f>IF(ISBLANK(Input!CC204), "", Input!CC204)</f>
        <v/>
      </c>
      <c r="I204" s="1" t="str">
        <f>IF(Input!$CF$5 + Input!$CF$6*(FLOOR((Calculations!$F204-1)/(FLOOR((Input!$CF$12-Input!$CF$10)/Input!$CF$11,1)+1),1)) &gt; Input!$CF$7, "", (Input!$CF$5 + Input!$CF$6*(FLOOR((Calculations!$F204-1)/(FLOOR((Input!$CF$12-Input!$CF$10)/Input!$CF$11,1)+1),1)))*1000)</f>
        <v/>
      </c>
      <c r="J204" s="1" t="str">
        <f>IF(Calculations!I204 = "", "", Input!$CF$10 + Input!$CF$11*(Calculations!$F204-1) - (FLOOR((Input!$CF$12-Input!$CF$10)/Input!$CF$11,1)+1)*Input!$CF$11*FLOOR((Calculations!$F204-1)/(FLOOR((Input!$CF$12-Input!$CF$10)/Input!$CF$11,1)+1),1))</f>
        <v/>
      </c>
      <c r="K204" s="8" t="str">
        <f t="shared" si="71"/>
        <v/>
      </c>
      <c r="L204" s="117" t="str">
        <f>IF(OR(Input!$CJ$5 + Input!$CJ$6*(Calculations!F204-1) &gt; Input!$CJ$7, Input!$CJ$5 + Input!$CJ$6*(Calculations!F204-1) &gt; 350), "", Input!$CJ$5 + Input!$CJ$6*(Calculations!F204-1))</f>
        <v/>
      </c>
      <c r="M204" s="1" t="str">
        <f t="shared" si="61"/>
        <v/>
      </c>
      <c r="N204" s="1" t="str">
        <f t="shared" si="62"/>
        <v/>
      </c>
      <c r="O204" s="1" t="e">
        <f t="shared" si="57"/>
        <v>#VALUE!</v>
      </c>
      <c r="P204" s="1" t="e">
        <f>IF(OR($D$20=3,AND($D$21=TRUE,M204&lt;1000)),INDEX('Water Density'!$C$6:$CX$120,MATCH(Calculations!N204,'Water Density'!$B$6:$B$120),MATCH(Calculations!M204/1000,'Water Density'!$C$5:$CX$5)),NA())</f>
        <v>#N/A</v>
      </c>
      <c r="Q204" s="182" t="e">
        <f>IF(OR($D$20=3,AND($D$21=TRUE,M204&lt;1000)), IF(P204&lt;&gt;0,P204,NA()), calculateDensity(M204,N204,$D$20,0.01,$D$19 = 3))</f>
        <v>#VALUE!</v>
      </c>
      <c r="R204" s="1" t="e">
        <f>IF($D$22=5,INDEX('Dielectric Constant'!$C$6:$CX$120,MATCH(Calculations!N204,'Dielectric Constant'!$B$6:$B$120),MATCH(Calculations!M204/1000,'Dielectric Constant'!$C$5:$CX$5)),NA())</f>
        <v>#N/A</v>
      </c>
      <c r="S204" s="58" t="e">
        <f>IF($D$22=5, IF(R204&lt;&gt;0,R204,NA()), IF(AND($D$23,M204&lt;=5000,$D$19 &lt;&gt; 3),calculateEpsilon(Q204,N204,1,FALSE),calculateEpsilon(Q204,N204,$D$22,$D$19 = 3)))</f>
        <v>#VALUE!</v>
      </c>
      <c r="T204" s="1" t="e">
        <f>IF($D$24=3,INDEX('Water Free Energy'!$C$6:$CX$120,MATCH(Calculations!N204,'Water Free Energy'!$B$6:$B$120),MATCH(Calculations!M204/1000,'Water Free Energy'!$C$5:$CX$5)),NA())</f>
        <v>#N/A</v>
      </c>
      <c r="U204" s="179" t="e">
        <f>IF($D$27,calculateQ(M204,N204,Q204,$D$20,$D$22,$D$19=3)*10^6,NA())</f>
        <v>#VALUE!</v>
      </c>
      <c r="V204"/>
      <c r="W204" s="2" t="str">
        <f t="shared" si="63"/>
        <v/>
      </c>
      <c r="X204" s="1" t="str">
        <f t="shared" si="64"/>
        <v/>
      </c>
      <c r="Y204" s="1">
        <f>Results!F206</f>
        <v>0</v>
      </c>
      <c r="Z204" s="1">
        <f>Results!G206</f>
        <v>0</v>
      </c>
      <c r="AA204" s="1">
        <f>Results!H206</f>
        <v>0</v>
      </c>
      <c r="AB204" s="1">
        <f>Results!I206</f>
        <v>0</v>
      </c>
      <c r="AC204" s="1" t="e">
        <f>IF(ISBLANK(Input!$O$4),NA(),'Reaction Information'!$E$5-'Reaction Information'!$G$5*(Calculations!$O204-Calculations!$C$8)+'Reaction Information'!$I$5*(Calculations!$O204-Calculations!$C$8-Calculations!$O204*LN(Calculations!$O204/Calculations!$C$8))+'Reaction Information'!$J$5*0.001/2*(2*Calculations!$O204*Calculations!$C$8-Calculations!$O204^2-Calculations!$C$8^2) + 'Reaction Information'!$K$5*100000*(Calculations!$O204^2 + Calculations!$C$8^2 - 2*Calculations!$O204*Calculations!$C$8)/(2*Calculations!$O204*Calculations!$C$8^2))</f>
        <v>#N/A</v>
      </c>
      <c r="AD204" s="8" t="e">
        <f>IF(ISBLANK(Input!$R$4),NA(),'Reaction Information'!$E$9-'Reaction Information'!$G$9*(Calculations!$O204-Calculations!$C$8)+'Reaction Information'!$I$9*(Calculations!$O204-Calculations!$C$8-Calculations!$O204*LN(Calculations!$O204/Calculations!$C$8))+'Reaction Information'!$J$9*0.001/2*(2*Calculations!$O204*Calculations!$C$8-Calculations!$O204^2-Calculations!$C$8^2) + 'Reaction Information'!$K$9*100000*(Calculations!$O204^2 + Calculations!$C$8^2 - 2*Calculations!$O204*Calculations!$C$8)/(2*Calculations!$O204*Calculations!$C$8^2))</f>
        <v>#N/A</v>
      </c>
      <c r="AE204" s="8" t="e">
        <f>IF(AE$5="H2O",IF($D$24=3,IF(T204=0,NA(),T204),calculateGibbsOfWater(M204,N204,$D$24,$D$20,$D$19=3)),NA())</f>
        <v>#VALUE!</v>
      </c>
      <c r="AF204" s="8" t="e">
        <f>IF(ISBLANK(Input!$X$4),NA(),'Reaction Information'!$E$13-'Reaction Information'!$G$13*(Calculations!O204-Calculations!$C$8)-'Reaction Information'!$N$13*(Calculations!O204*LN(Calculations!O204/Calculations!$C$8)-Calculations!O204+Calculations!$C$8)-'Reaction Information'!$O$13*10^4*(((1/(Calculations!O204-Calculations!$C$13))-(1/(Calculations!$C$8-Calculations!$C$13)))*((Calculations!$C$13-Calculations!O204)/(Calculations!$C$13))-(Calculations!O204/(Calculations!$C$13*Calculations!$C$13))*LN((Calculations!$C$8*(Calculations!O204-Calculations!$C$13))/(Calculations!O204*(Calculations!$C$8-Calculations!$C$13))))+'Reaction Information'!$J$13*10^-1*(Calculations!M204-Calculations!$C$9)+'Reaction Information'!$K$13*10^2*LN((Calculations!$C$12+Calculations!M204)/(Calculations!$C$12+Calculations!$C$9))+(1/(Calculations!O204-Calculations!$C$13))*('Reaction Information'!$L$13*(Calculations!M204-Calculations!$C$9)+'Reaction Information'!$M$13*10^4*LN((Calculations!$C$12+Calculations!M204)/(Calculations!$C$12+Calculations!$C$9)))+calculateOmega(Calculations!M204,Calculations!N204,Calculations!Q204,'Reaction Information'!$C$13,'Reaction Information'!$P$13*10^5,'Reaction Information'!$Q$13)*((1/Calculations!S204)-1)-'Reaction Information'!$P$13*10^5*((1/Calculations!$C$10)-1)+'Reaction Information'!$P$13*10^5*Calculations!$C$14*(Calculations!O204-Calculations!$C$8))</f>
        <v>#VALUE!</v>
      </c>
      <c r="AG204" s="8" t="e">
        <f>IF(ISBLANK(Input!$AA$4),NA(),'Reaction Information'!$E$17-'Reaction Information'!$G$17*(Calculations!$O204-Calculations!$C$8)-'Reaction Information'!$N$17*(Calculations!$O204*LN(Calculations!$O204/Calculations!$C$8)-Calculations!$O204+Calculations!$C$8)-'Reaction Information'!$O$17*10^4*(((1/(Calculations!$O204-Calculations!$C$13))-(1/(Calculations!$C$8-Calculations!$C$13)))*((Calculations!$C$13-Calculations!$O204)/(Calculations!$C$13))-(Calculations!$O204/(Calculations!$C$13*Calculations!$C$13))*LN((Calculations!$C$8*(Calculations!$O204-Calculations!$C$13))/(Calculations!$O204*(Calculations!$C$8-Calculations!$C$13))))+'Reaction Information'!$J$17*10^-1*(Calculations!$M204-Calculations!$C$9)+'Reaction Information'!$K$17*10^2*LN((Calculations!$C$12+Calculations!$M204)/(Calculations!$C$12+Calculations!$C$9))+(1/(Calculations!$O204-Calculations!$C$13))*('Reaction Information'!$L$17*(Calculations!$M204-Calculations!$C$9)+'Reaction Information'!$M$17*10^4*LN((Calculations!$C$12+Calculations!$M204)/(Calculations!$C$12+Calculations!$C$9)))+calculateOmega(Calculations!M204,Calculations!N204,Calculations!Q204,'Reaction Information'!$C$17,'Reaction Information'!$P$17*10^5,'Reaction Information'!$Q$17)*((1/Calculations!$S204)-1)-'Reaction Information'!$P$17*10^5*((1/Calculations!$C$10)-1)+'Reaction Information'!$P$17*10^5*Calculations!$C$14*(Calculations!$O204-Calculations!$C$8))</f>
        <v>#N/A</v>
      </c>
      <c r="AH204" s="8" t="e">
        <f>IF(ISBLANK(Input!$AD$4),NA(),'Reaction Information'!$E$21-'Reaction Information'!$G$21*(Calculations!$O204-Calculations!$C$8)-'Reaction Information'!$N$21*(Calculations!$O204*LN(Calculations!$O204/Calculations!$C$8)-Calculations!$O204+Calculations!$C$8)-'Reaction Information'!$O$21*10^4*(((1/(Calculations!$O204-Calculations!$C$13))-(1/(Calculations!$C$8-Calculations!$C$13)))*((Calculations!$C$13-Calculations!$O204)/(Calculations!$C$13))-(Calculations!$O204/(Calculations!$C$13*Calculations!$C$13))*LN((Calculations!$C$8*(Calculations!$O204-Calculations!$C$13))/(Calculations!$O204*(Calculations!$C$8-Calculations!$C$13))))+'Reaction Information'!$J$21*10^-1*(Calculations!$M204-Calculations!$C$9)+'Reaction Information'!$K$21*10^2*LN((Calculations!$C$12+Calculations!$M204)/(Calculations!$C$12+Calculations!$C$9))+(1/(Calculations!$O204-Calculations!$C$13))*('Reaction Information'!$L$21*(Calculations!$M204-Calculations!$C$9)+'Reaction Information'!$M$21*10^4*LN((Calculations!$C$12+Calculations!$M204)/(Calculations!$C$12+Calculations!$C$9)))+calculateOmega(Calculations!M204,Calculations!N204,Calculations!Q204,'Reaction Information'!$C$21,'Reaction Information'!$P$21*10^5,'Reaction Information'!$Q$21)*((1/Calculations!$S204)-1)-'Reaction Information'!$P$21*10^5*((1/Calculations!$C$10)-1)+'Reaction Information'!$P$21*10^5*Calculations!$C$14*(Calculations!$O204-Calculations!$C$8))</f>
        <v>#N/A</v>
      </c>
      <c r="AI204" s="8" t="e">
        <f>IF(ISBLANK(Input!$AG$4),NA(),'Reaction Information'!$E$25-'Reaction Information'!$G$25*(Calculations!$O204-Calculations!$C$8)-'Reaction Information'!$N$25*(Calculations!$O204*LN(Calculations!$O204/Calculations!$C$8)-Calculations!$O204+Calculations!$C$8)-'Reaction Information'!$O$25*10^4*(((1/(Calculations!$O204-Calculations!$C$13))-(1/(Calculations!$C$8-Calculations!$C$13)))*((Calculations!$C$13-Calculations!$O204)/(Calculations!$C$13))-(Calculations!$O204/(Calculations!$C$13*Calculations!$C$13))*LN((Calculations!$C$8*(Calculations!$O204-Calculations!$C$13))/(Calculations!$O204*(Calculations!$C$8-Calculations!$C$13))))+'Reaction Information'!$J$25*10^-1*(Calculations!$M204-Calculations!$C$9)+'Reaction Information'!$K$25*10^2*LN((Calculations!$C$12+Calculations!$M204)/(Calculations!$C$12+Calculations!$C$9))+(1/(Calculations!$O204-Calculations!$C$13))*('Reaction Information'!$L$25*(Calculations!$M204-Calculations!$C$9)+'Reaction Information'!$M$25*10^4*LN((Calculations!$C$12+Calculations!$M204)/(Calculations!$C$12+Calculations!$C$9)))+calculateOmega(Calculations!M204,Calculations!N204,Calculations!Q204,'Reaction Information'!$C$25,'Reaction Information'!$P$25*10^5,'Reaction Information'!$Q$25)*((1/Calculations!$S204)-1)-'Reaction Information'!$P$25*10^5*((1/Calculations!$C$10)-1)+'Reaction Information'!$P$25*10^5*Calculations!$C$14*(Calculations!$O204-Calculations!$C$8))</f>
        <v>#N/A</v>
      </c>
      <c r="AJ204" s="8" t="e">
        <f>IF(ISBLANK(Input!$AJ$4),NA(),'Reaction Information'!$E$29-'Reaction Information'!$G$29*(Calculations!$O204-Calculations!$C$8)-'Reaction Information'!$N$29*(Calculations!$O204*LN(Calculations!$O204/Calculations!$C$8)-Calculations!$O204+Calculations!$C$8)-'Reaction Information'!$O$29*10^4*(((1/(Calculations!$O204-Calculations!$C$13))-(1/(Calculations!$C$8-Calculations!$C$13)))*((Calculations!$C$13-Calculations!$O204)/(Calculations!$C$13))-(Calculations!$O204/(Calculations!$C$13*Calculations!$C$13))*LN((Calculations!$C$8*(Calculations!$O204-Calculations!$C$13))/(Calculations!$O204*(Calculations!$C$8-Calculations!$C$13))))+'Reaction Information'!$J$29*10^-1*(Calculations!$M204-Calculations!$C$9)+'Reaction Information'!$K$29*10^2*LN((Calculations!$C$12+Calculations!$M204)/(Calculations!$C$12+Calculations!$C$9))+(1/(Calculations!$O204-Calculations!$C$13))*('Reaction Information'!$L$29*(Calculations!$M204-Calculations!$C$9)+'Reaction Information'!$M$29*10^4*LN((Calculations!$C$12+Calculations!$M204)/(Calculations!$C$12+Calculations!$C$9)))+calculateOmega(Calculations!M204,Calculations!N204,Calculations!Q204,'Reaction Information'!$C$29,'Reaction Information'!$P$29*10^5,'Reaction Information'!$Q$29)*((1/Calculations!$S204)-1)-'Reaction Information'!$P$29*10^5*((1/Calculations!$C$10)-1)+'Reaction Information'!$P$29*10^5*Calculations!$C$14*(Calculations!$O204-Calculations!$C$8))</f>
        <v>#N/A</v>
      </c>
      <c r="AK204" s="8" t="e">
        <f>IF(ISBLANK(Input!$AM$4),NA(),'Reaction Information'!$E$33-'Reaction Information'!$G$33*(Calculations!$O204-Calculations!$C$8)-'Reaction Information'!$N$33*(Calculations!$O204*LN(Calculations!$O204/Calculations!$C$8)-Calculations!$O204+Calculations!$C$8)-'Reaction Information'!$O$33*10^4*(((1/(Calculations!$O204-Calculations!$C$13))-(1/(Calculations!$C$8-Calculations!$C$13)))*((Calculations!$C$13-Calculations!$O204)/(Calculations!$C$13))-(Calculations!$O204/(Calculations!$C$13*Calculations!$C$13))*LN((Calculations!$C$8*(Calculations!$O204-Calculations!$C$13))/(Calculations!$O204*(Calculations!$C$8-Calculations!$C$13))))+'Reaction Information'!$J$33*10^-1*(Calculations!$M204-Calculations!$C$9)+'Reaction Information'!$K$33*10^2*LN((Calculations!$C$12+Calculations!$M204)/(Calculations!$C$12+Calculations!$C$9))+(1/(Calculations!$O204-Calculations!$C$13))*('Reaction Information'!$L$33*(Calculations!$M204-Calculations!$C$9)+'Reaction Information'!$M$33*10^4*LN((Calculations!$C$12+Calculations!$M204)/(Calculations!$C$12+Calculations!$C$9)))+calculateOmega(Calculations!M204,Calculations!N204,Calculations!Q204,'Reaction Information'!$C$33,'Reaction Information'!$P$33*10^5,'Reaction Information'!$Q$33)*((1/Calculations!$S204)-1)-'Reaction Information'!$P$33*10^5*((1/Calculations!$C$10)-1)+'Reaction Information'!$P$33*10^5*Calculations!$C$14*(Calculations!$O204-Calculations!$C$8))</f>
        <v>#N/A</v>
      </c>
      <c r="AL204" s="1">
        <f>Results!S206</f>
        <v>0</v>
      </c>
      <c r="AM204" s="1">
        <f>Results!T206</f>
        <v>0</v>
      </c>
      <c r="AN204" s="1">
        <f>Results!U206</f>
        <v>0</v>
      </c>
      <c r="AO204" s="1">
        <f>Results!V206</f>
        <v>0</v>
      </c>
      <c r="AP204" s="8" t="e">
        <f>IF(ISBLANK(Input!$BB$4),NA(),'Reaction Information'!$E$38-'Reaction Information'!$G$38*(Calculations!$O204-Calculations!$C$8)+'Reaction Information'!$I$38*(Calculations!$O204-Calculations!$C$8-Calculations!$O204*LN(Calculations!$O204/Calculations!$C$8))+'Reaction Information'!$J$38*0.001/2*(2*Calculations!$O204*Calculations!$C$8-Calculations!$O204^2-Calculations!$C$8^2) + 'Reaction Information'!$K$38*100000*(Calculations!$O204^2 + Calculations!$C$8^2 - 2*Calculations!$O204*Calculations!$C$8)/(2*Calculations!$O204*Calculations!$C$8^2))</f>
        <v>#N/A</v>
      </c>
      <c r="AQ204" s="8" t="e">
        <f>IF(ISBLANK(Input!$BE$4),NA(),'Reaction Information'!$E$42-'Reaction Information'!$G$42*(Calculations!$O204-Calculations!$C$8)+'Reaction Information'!$I$42*(Calculations!$O204-Calculations!$C$8-Calculations!$O204*LN(Calculations!$O204/Calculations!$C$8))+'Reaction Information'!$J$42*0.001/2*(2*Calculations!$O204*Calculations!$C$8-Calculations!$O204^2-Calculations!$C$8^2) + 'Reaction Information'!$K$42*100000*(Calculations!$O204^2 + Calculations!$C$8^2 - 2*Calculations!$O204*Calculations!$C$8)/(2*Calculations!$O204*Calculations!$C$8^2))</f>
        <v>#N/A</v>
      </c>
      <c r="AR204" s="8" t="e">
        <f>IF(AR$5="H2O", IF($D$24=3,IF(T204=0,NA(),T204),calculateGibbsOfWater(M204,N204,$D$24,$D$20,$D$19=3)),NA())</f>
        <v>#N/A</v>
      </c>
      <c r="AS204" s="8" t="e">
        <f>IF(ISBLANK(Input!$BK$4),NA(),'Reaction Information'!$E$46-'Reaction Information'!$G$46*(Calculations!O204-Calculations!$C$8)-'Reaction Information'!$N$46*(Calculations!O204*LN(Calculations!O204/Calculations!$C$8)-Calculations!O204+Calculations!$C$8)-'Reaction Information'!$O$46*10^4*(((1/(Calculations!O204-Calculations!$C$13))-(1/(Calculations!$C$8-Calculations!$C$13)))*((Calculations!$C$13-Calculations!O204)/(Calculations!$C$13))-(Calculations!O204/(Calculations!$C$13*Calculations!$C$13))*LN((Calculations!$C$8*(Calculations!O204-Calculations!$C$13))/(Calculations!O204*(Calculations!$C$8-Calculations!$C$13))))+'Reaction Information'!$J$46*10^-1*(Calculations!$M204-Calculations!$C$9)+'Reaction Information'!$K$46*10^2*LN((Calculations!$C$12+Calculations!$M204)/(Calculations!$C$12+Calculations!$C$9))+(1/(Calculations!O204-Calculations!$C$13))*('Reaction Information'!$L$46*(Calculations!$M204-Calculations!$C$9)+'Reaction Information'!$M$46*10^4*LN((Calculations!$C$12+Calculations!$M204)/(Calculations!$C$12+Calculations!$C$9)))+calculateOmega(Calculations!M204,Calculations!N204,Calculations!Q204,'Reaction Information'!$C$46,'Reaction Information'!$P$46*10^5,'Reaction Information'!$Q$46)*((1/Calculations!S204)-1)-'Reaction Information'!$P$46*10^5*((1/Calculations!$C$10)-1)+'Reaction Information'!$P$46*10^5*Calculations!$C$14*(Calculations!O204-Calculations!$C$8))</f>
        <v>#VALUE!</v>
      </c>
      <c r="AT204" s="8" t="e">
        <f>IF(ISBLANK(Input!$BN$4),NA(),'Reaction Information'!$E$50-'Reaction Information'!$G$50*(Calculations!O204-Calculations!$C$8)-'Reaction Information'!$N$50*(Calculations!O204*LN(Calculations!O204/Calculations!$C$8)-Calculations!O204+Calculations!$C$8)-'Reaction Information'!$O$50*10^4*(((1/(Calculations!O204-Calculations!$C$13))-(1/(Calculations!$C$8-Calculations!$C$13)))*((Calculations!$C$13-Calculations!O204)/(Calculations!$C$13))-(Calculations!O204/(Calculations!$C$13*Calculations!$C$13))*LN((Calculations!$C$8*(Calculations!O204-Calculations!$C$13))/(Calculations!O204*(Calculations!$C$8-Calculations!$C$13))))+'Reaction Information'!$J$50*10^-1*(Calculations!$M204-Calculations!$C$9)+'Reaction Information'!$K$50*10^2*LN((Calculations!$C$12+Calculations!$M204)/(Calculations!$C$12+Calculations!$C$9))+(1/(Calculations!O204-Calculations!$C$13))*('Reaction Information'!$L$50*(Calculations!$M204-Calculations!$C$9)+'Reaction Information'!$M$50*10^4*LN((Calculations!$C$12+Calculations!$M204)/(Calculations!$C$12+Calculations!$C$9)))+calculateOmega(Calculations!M204,Calculations!N204,Calculations!Q204,'Reaction Information'!$C$50,'Reaction Information'!$P$50*10^5,'Reaction Information'!$Q$50)*((1/Calculations!S204)-1)-'Reaction Information'!$P$50*10^5*((1/Calculations!$C$10)-1)+'Reaction Information'!$P$50*10^5*Calculations!$C$14*(Calculations!O204-Calculations!$C$8))</f>
        <v>#VALUE!</v>
      </c>
      <c r="AU204" s="8" t="e">
        <f>IF(ISBLANK(Input!$BQ$4),NA(),'Reaction Information'!$E$54-'Reaction Information'!$G$54*(Calculations!$O204-Calculations!$C$8)-'Reaction Information'!$N$54*(Calculations!$O204*LN(Calculations!$O204/Calculations!$C$8)-Calculations!$O204+Calculations!$C$8)-'Reaction Information'!$O$54*10^4*(((1/(Calculations!$O204-Calculations!$C$13))-(1/(Calculations!$C$8-Calculations!$C$13)))*((Calculations!$C$13-Calculations!$O204)/(Calculations!$C$13))-(Calculations!$O204/(Calculations!$C$13*Calculations!$C$13))*LN((Calculations!$C$8*(Calculations!$O204-Calculations!$C$13))/(Calculations!$O204*(Calculations!$C$8-Calculations!$C$13))))+'Reaction Information'!$J$54*10^-1*(Calculations!$M204-Calculations!$C$9)+'Reaction Information'!$K$54*10^2*LN((Calculations!$C$12+Calculations!$M204)/(Calculations!$C$12+Calculations!$C$9))+(1/(Calculations!$O204-Calculations!$C$13))*('Reaction Information'!$L$54*(Calculations!$M204-Calculations!$C$9)+'Reaction Information'!$M$54*10^4*LN((Calculations!$C$12+Calculations!$M204)/(Calculations!$C$12+Calculations!$C$9)))+calculateOmega(Calculations!M204,Calculations!N204,Calculations!Q204,'Reaction Information'!$C$54,'Reaction Information'!$P$54*10^5,'Reaction Information'!$Q$54)*((1/Calculations!$S204)-1)-'Reaction Information'!$P$54*10^5*((1/Calculations!$C$10)-1)+'Reaction Information'!$P$54*10^5*Calculations!$C$14*(Calculations!$O204-Calculations!$C$8))</f>
        <v>#N/A</v>
      </c>
      <c r="AV204" s="8" t="e">
        <f>IF(ISBLANK(Input!$BT$4),NA(),'Reaction Information'!$E$58-'Reaction Information'!$G$58*(Calculations!$O204-Calculations!$C$8)-'Reaction Information'!$N$58*(Calculations!$O204*LN(Calculations!$O204/Calculations!$C$8)-Calculations!$O204+Calculations!$C$8)-'Reaction Information'!$O$58*10^4*(((1/(Calculations!$O204-Calculations!$C$13))-(1/(Calculations!$C$8-Calculations!$C$13)))*((Calculations!$C$13-Calculations!$O204)/(Calculations!$C$13))-(Calculations!$O204/(Calculations!$C$13*Calculations!$C$13))*LN((Calculations!$C$8*(Calculations!$O204-Calculations!$C$13))/(Calculations!$O204*(Calculations!$C$8-Calculations!$C$13))))+'Reaction Information'!$J$58*10^-1*(Calculations!$M204-Calculations!$C$9)+'Reaction Information'!$K$58*10^2*LN((Calculations!$C$12+Calculations!$M204)/(Calculations!$C$12+Calculations!$C$9))+(1/(Calculations!$O204-Calculations!$C$13))*('Reaction Information'!$L$58*(Calculations!$M204-Calculations!$C$9)+'Reaction Information'!$M$58*10^4*LN((Calculations!$C$12+Calculations!$M204)/(Calculations!$C$12+Calculations!$C$9)))+calculateOmega(Calculations!M204,Calculations!N204,Calculations!Q204,'Reaction Information'!$C$58,'Reaction Information'!$P$58*10^5,'Reaction Information'!$Q$58)*((1/Calculations!$S204)-1)-'Reaction Information'!$P$58*10^5*((1/Calculations!$C$10)-1)+'Reaction Information'!$P$58*10^5*Calculations!$C$14*(Calculations!$O204-Calculations!$C$8))</f>
        <v>#N/A</v>
      </c>
      <c r="AW204" s="8" t="e">
        <f>IF(ISBLANK(Input!$BW$4),NA(),'Reaction Information'!$E$62-'Reaction Information'!$G$62*(Calculations!$O204-Calculations!$C$8)-'Reaction Information'!$N$62*(Calculations!$O204*LN(Calculations!$O204/Calculations!$C$8)-Calculations!$O204+Calculations!$C$8)-'Reaction Information'!$O$62*10^4*(((1/(Calculations!$O204-Calculations!$C$13))-(1/(Calculations!$C$8-Calculations!$C$13)))*((Calculations!$C$13-Calculations!$O204)/(Calculations!$C$13))-(Calculations!$O204/(Calculations!$C$13*Calculations!$C$13))*LN((Calculations!$C$8*(Calculations!$O204-Calculations!$C$13))/(Calculations!$O204*(Calculations!$C$8-Calculations!$C$13))))+'Reaction Information'!$J$62*10^-1*(Calculations!$M204-Calculations!$C$9)+'Reaction Information'!$K$62*10^2*LN((Calculations!$C$12+Calculations!$M204)/(Calculations!$C$12+Calculations!$C$9))+(1/(Calculations!$O204-Calculations!$C$13))*('Reaction Information'!$L$62*(Calculations!$M204-Calculations!$C$9)+'Reaction Information'!$M$62*10^4*LN((Calculations!$C$12+Calculations!$M204)/(Calculations!$C$12+Calculations!$C$9)))+calculateOmega(Calculations!M204,Calculations!N204,Calculations!Q204,'Reaction Information'!$C$62,'Reaction Information'!$P$62*10^5,'Reaction Information'!$Q$62)*((1/Calculations!$S204)-1)-'Reaction Information'!$P$62*10^5*((1/Calculations!$C$10)-1)+'Reaction Information'!$P$62*10^5*Calculations!$C$14*(Calculations!$O204-Calculations!$C$8))</f>
        <v>#N/A</v>
      </c>
      <c r="AX204" s="8" t="e">
        <f>IF(ISBLANK(Input!$BZ$4),NA(),'Reaction Information'!$E$66-'Reaction Information'!$G$66*(Calculations!$O204-Calculations!$C$8)-'Reaction Information'!$N$66*(Calculations!$O204*LN(Calculations!$O204/Calculations!$C$8)-Calculations!$O204+Calculations!$C$8)-'Reaction Information'!$O$66*10^4*(((1/(Calculations!$O204-Calculations!$C$13))-(1/(Calculations!$C$8-Calculations!$C$13)))*((Calculations!$C$13-Calculations!$O204)/(Calculations!$C$13))-(Calculations!$O204/(Calculations!$C$13*Calculations!$C$13))*LN((Calculations!$C$8*(Calculations!$O204-Calculations!$C$13))/(Calculations!$O204*(Calculations!$C$8-Calculations!$C$13))))+'Reaction Information'!$J$66*10^-1*(Calculations!$M204-Calculations!$C$9)+'Reaction Information'!$K$66*10^2*LN((Calculations!$C$12+Calculations!$M204)/(Calculations!$C$12+Calculations!$C$9))+(1/(Calculations!$O204-Calculations!$C$13))*('Reaction Information'!$L$66*(Calculations!$M204-Calculations!$C$9)+'Reaction Information'!$M$66*10^4*LN((Calculations!$C$12+Calculations!$M204)/(Calculations!$C$12+Calculations!$C$9)))+calculateOmega(Calculations!M204,Calculations!N204,Calculations!Q204,'Reaction Information'!$C$66,'Reaction Information'!$P$66*10^5,'Reaction Information'!$Q$66)*((1/Calculations!$S204)-1)-'Reaction Information'!$P$66*10^5*((1/Calculations!$C$10)-1)+'Reaction Information'!$P$66*10^5*Calculations!$C$14*(Calculations!$O204-Calculations!$C$8))</f>
        <v>#N/A</v>
      </c>
      <c r="AY204" s="31" t="e">
        <f>(AL204*Input!$AO$4+AM204*Input!$AR$4+AN204*Input!$AU$4+AO204*Input!$AX$4+IF(ISNA(AP204),0,AP204*Input!$BA$4)+IF(ISNA(AQ204),0,AQ204*Input!$BD$4)+IF(ISNA(AR204),0,AR204*Input!$BG$4)+IF(ISNA(AS204),0,AS204*Input!$BJ$4)+IF(ISNA(AT204),0,AT204*Input!$BM$4)+IF(ISNA(AU204),0,AU204*Input!$BP$4)+IF(ISNA(AV204),0,AV204*Input!$BS$4)+IF(ISNA(AW204),0,AW204*Input!$BV$4)+IF(ISNA(AX204),0,AX204*Input!$BY$4))-(Y204*Input!$B$4+Z204*Input!$E$4+AA204*Input!$H$4+AB204*Input!$K$4+IF(ISNA(AC204),0,AC204*Input!$N$4)+IF(ISNA(AD204),0,AD204*Input!$Q$4)+IF(ISNA(AE204),0,AE204*Input!$T$4)+IF(ISNA(AF204),0,AF204*Input!$W$4)+IF(ISNA(AG204),0,AG204*Input!$Z$4)+IF(ISNA(AH204),0,AH204*Input!$AC$4)+IF(ISNA(AI204),0,AI204*Input!$AF$4)+IF(ISNA(AJ204),0,AJ204*Input!$AI$4)+IF(ISNA(AK204),0,AK204*Input!$AL$4))</f>
        <v>#VALUE!</v>
      </c>
      <c r="AZ204" s="42" t="e">
        <f t="shared" si="58"/>
        <v>#VALUE!</v>
      </c>
      <c r="BA204" s="1" t="str">
        <f t="shared" si="65"/>
        <v/>
      </c>
      <c r="BB204" s="46" t="str">
        <f t="shared" si="66"/>
        <v/>
      </c>
      <c r="BC204" s="1"/>
      <c r="BD204" s="2" t="str">
        <f t="shared" si="67"/>
        <v/>
      </c>
      <c r="BE204" s="46" t="str">
        <f t="shared" si="68"/>
        <v/>
      </c>
      <c r="BF204" s="1">
        <f>Results!AJ206</f>
        <v>0</v>
      </c>
      <c r="BG204" s="1">
        <f>Results!AK206</f>
        <v>0</v>
      </c>
      <c r="BH204" s="1">
        <f>Results!AL206</f>
        <v>0</v>
      </c>
      <c r="BI204" s="1">
        <f>Results!AM206</f>
        <v>0</v>
      </c>
      <c r="BJ204" s="1" t="e">
        <f>IF(OR(ISNA('Reaction Information'!$D$5), $N204 = "", $D$27 = FALSE, 'Reaction Information'!$D$5 = ""), NA(), 24.465)</f>
        <v>#N/A</v>
      </c>
      <c r="BK204" s="1" t="e">
        <f>IF(OR(ISNA('Reaction Information'!$D$9), $N204 = "", $D$27 = FALSE, 'Reaction Information'!$D$9 = ""), NA(), 24.465)</f>
        <v>#N/A</v>
      </c>
      <c r="BL204" s="8" t="e">
        <f t="shared" si="59"/>
        <v>#VALUE!</v>
      </c>
      <c r="BM204" s="8" t="e">
        <f>IF(OR(ISBLANK(Input!$X$4),$D$27=FALSE),NA(),('Reaction Information'!$J$13/10+'Reaction Information'!$K$13*100/(Calculations!$C$12+Calculations!$M204)+('Reaction Information'!$L$13+'Reaction Information'!$M$13*10^4/(Calculations!$C$12+Calculations!$M204))/(Calculations!$O204-Calculations!$C$13) -calculateOmega(Calculations!$M204,Calculations!$N204,Calculations!$Q204,'Reaction Information'!$C$13,'Reaction Information'!$P$13*10^5,'Reaction Information'!$Q$13)*Calculations!$U204*10^-6 + (1/$S204 - 1)*calculate_domegadP(Calculations!$M204,Calculations!$N204,Calculations!$Q204,'Reaction Information'!$C$13,'Reaction Information'!$P$13*10^5,'Reaction Information'!$Q$13,$D$20,$D$19=3))*41.84)</f>
        <v>#VALUE!</v>
      </c>
      <c r="BN204" s="8" t="e">
        <f>IF(OR(ISBLANK(Input!$AA$4),$D$27=FALSE),NA(),('Reaction Information'!$J$17/10+'Reaction Information'!$K$17*100/(Calculations!$C$12+Calculations!$M204)+('Reaction Information'!$L$17+'Reaction Information'!$M$17*10000/(Calculations!$C$12+Calculations!$M204))/(Calculations!$O204-Calculations!$C$13)-calculateOmega(Calculations!M204,Calculations!N204,Calculations!Q204,'Reaction Information'!$C$17,'Reaction Information'!$P$17*10^5,'Reaction Information'!$Q$17)*Calculations!$U204*10^-6 + (1/$S204 - 1)*calculate_domegadP(Calculations!M204,Calculations!N204,Calculations!Q204,'Reaction Information'!$C$17,'Reaction Information'!$P$17*10^5,'Reaction Information'!$Q$17,$D$20,$D$19=3))*41.84)</f>
        <v>#N/A</v>
      </c>
      <c r="BO204" s="8" t="e">
        <f>IF(OR(ISBLANK(Input!$AD$4),$D$27=FALSE),NA(),('Reaction Information'!$J$21/10+'Reaction Information'!$K$21*100/(Calculations!$C$12+Calculations!$M204)+('Reaction Information'!$L$21+'Reaction Information'!$M$21*10000/(Calculations!$C$12+Calculations!$M204))/(Calculations!$O204-Calculations!$C$13)-calculateOmega(Calculations!M204,Calculations!N204,Calculations!Q204,'Reaction Information'!$C$21,'Reaction Information'!$P$21*10^5,'Reaction Information'!$Q$21)*Calculations!$U204*10^-6 + (1/$S204 - 1)*calculate_domegadP(Calculations!M204,Calculations!N204,Calculations!Q204,'Reaction Information'!$C$21,'Reaction Information'!$P$21*10^5,'Reaction Information'!$Q$21,$D$20,$D$19=3))*41.84)</f>
        <v>#N/A</v>
      </c>
      <c r="BP204" s="8" t="e">
        <f>IF(OR(ISBLANK(Input!$AG$4),$D$27=FALSE),NA(),('Reaction Information'!$J$25/10+'Reaction Information'!$K$25*100/(Calculations!$C$12+Calculations!$M204)+('Reaction Information'!$L$25+'Reaction Information'!$M$25*10000/(Calculations!$C$12+Calculations!$M204))/(Calculations!$O204-Calculations!$C$13)-calculateOmega(Calculations!M204,Calculations!N204,Calculations!Q204,'Reaction Information'!$C$25,'Reaction Information'!$P$25*10^5,'Reaction Information'!$Q$25)*Calculations!$U204*10^-6 + (1/$S204 - 1)*calculate_domegadP(Calculations!M204,Calculations!N204,Calculations!Q204,'Reaction Information'!$C$25,'Reaction Information'!$P$25*10^5,'Reaction Information'!$Q$25,$D$20,$D$19=3))*41.84)</f>
        <v>#N/A</v>
      </c>
      <c r="BQ204" s="8" t="e">
        <f>IF(OR(ISBLANK(Input!$AJ$4),$D$27=FALSE),NA(),('Reaction Information'!$J$29/10+'Reaction Information'!$K$29*100/(Calculations!$C$12+Calculations!$M204)+('Reaction Information'!$L$29+'Reaction Information'!$M$29*10000/(Calculations!$C$12+Calculations!$M204))/(Calculations!$O204-Calculations!$C$13)-calculateOmega(Calculations!M204,Calculations!N204,Calculations!Q204,'Reaction Information'!$C$29,'Reaction Information'!$P$29*10^5,'Reaction Information'!$Q$29)*Calculations!$U204*10^-6 + (1/$S204 - 1)*calculate_domegadP(Calculations!M204,Calculations!N204,Calculations!Q204,'Reaction Information'!$C$29,'Reaction Information'!$P$29*10^5,'Reaction Information'!$Q$29,$D$20,$D$19=3))*41.84)</f>
        <v>#N/A</v>
      </c>
      <c r="BR204" s="8" t="e">
        <f>IF(OR(ISBLANK(Input!$AM$4),$D$27=FALSE),NA(),('Reaction Information'!$J$33/10+'Reaction Information'!$K$33*100/(Calculations!$C$12+Calculations!$M204)+('Reaction Information'!$L$33+'Reaction Information'!$M$33*10000/(Calculations!$C$12+Calculations!$M204))/(Calculations!$O204-Calculations!$C$13)-calculateOmega(Calculations!M204,Calculations!N204,Calculations!Q204,'Reaction Information'!$C$33,'Reaction Information'!$P$33*10^5,'Reaction Information'!$Q$33)*Calculations!$U204*10^-6 + (1/$S204 - 1)*calculate_domegadP(Calculations!M204,Calculations!N204,Calculations!Q204,'Reaction Information'!$C$33,'Reaction Information'!$P$33*10^5,'Reaction Information'!$Q$33,$D$20,$D$19=3))*41.84)</f>
        <v>#N/A</v>
      </c>
      <c r="BS204" s="1">
        <f>Results!AW206</f>
        <v>0</v>
      </c>
      <c r="BT204" s="1">
        <f>Results!AX206</f>
        <v>0</v>
      </c>
      <c r="BU204" s="1">
        <f>Results!AY206</f>
        <v>0</v>
      </c>
      <c r="BV204" s="1">
        <f>Results!AZ206</f>
        <v>0</v>
      </c>
      <c r="BW204" s="1" t="e">
        <f>IF(OR(ISNA('Reaction Information'!$D$38), $N204 = "", $D$27 = FALSE, 'Reaction Information'!$D$38 = ""), NA(), 24.465)</f>
        <v>#N/A</v>
      </c>
      <c r="BX204" s="1" t="e">
        <f>IF(OR(ISNA('Reaction Information'!$D$42), $N204 = "", $D$27 = FALSE, 'Reaction Information'!$D$42 = ""), NA(), 24.465)</f>
        <v>#N/A</v>
      </c>
      <c r="BY204" s="8" t="e">
        <f t="shared" si="60"/>
        <v>#N/A</v>
      </c>
      <c r="BZ204" s="8" t="e">
        <f>IF(OR(ISBLANK(Input!$BK$4),$D$27=FALSE),NA(),('Reaction Information'!$J$46/10+'Reaction Information'!$K$46*100/(Calculations!$C$12+Calculations!$M204)+('Reaction Information'!$L$46+'Reaction Information'!$M$46*10000/(Calculations!$C$12+Calculations!$M204))/(Calculations!$O204-Calculations!$C$13)-calculateOmega(Calculations!M204,Calculations!N204,Calculations!Q204,'Reaction Information'!$C$46,'Reaction Information'!$P$46*10^5,'Reaction Information'!$Q$46)*Calculations!$U204*10^-6 + (1/$S204 - 1)*calculate_domegadP(Calculations!M204,Calculations!N204,Calculations!Q204,'Reaction Information'!$C$46,'Reaction Information'!$P$46*10^5,'Reaction Information'!$Q$46,$D$20,$D$19=3))*41.84)</f>
        <v>#VALUE!</v>
      </c>
      <c r="CA204" s="8" t="e">
        <f>IF(OR(ISBLANK(Input!$BN$4),$D$27=FALSE),NA(),('Reaction Information'!$J$50/10+'Reaction Information'!$K$50*100/(Calculations!$C$12+Calculations!$M204)+('Reaction Information'!$L$50+'Reaction Information'!$M$50*10000/(Calculations!$C$12+Calculations!$M204))/(Calculations!$O204-Calculations!$C$13)-calculateOmega(Calculations!M204,Calculations!N204,Calculations!Q204,'Reaction Information'!$C$50,'Reaction Information'!$P$50*10^5,'Reaction Information'!$Q$50)*Calculations!$U204*10^-6 + (1/$S204 - 1)*calculate_domegadP(Calculations!M204,Calculations!N204,Calculations!Q204,'Reaction Information'!$C$50,'Reaction Information'!$P$50*10^5,'Reaction Information'!$Q$50,$D$20,$D$19=3))*41.84)</f>
        <v>#VALUE!</v>
      </c>
      <c r="CB204" s="8" t="e">
        <f>IF(OR(ISBLANK(Input!$BQ$4),$D$27=FALSE),NA(),('Reaction Information'!$J$54/10+'Reaction Information'!$K$54*100/(Calculations!$C$12+Calculations!$M204)+('Reaction Information'!$L$54+'Reaction Information'!$M$54*10000/(Calculations!$C$12+Calculations!$M204))/(Calculations!$O204-Calculations!$C$13)-calculateOmega(Calculations!M204,Calculations!N204,Calculations!Q204,'Reaction Information'!$C$54,'Reaction Information'!$P$54*10^5,'Reaction Information'!$Q$54)*Calculations!$U204*10^-6 + (1/$S204 - 1)*calculate_domegadP(Calculations!M204,Calculations!N204,Calculations!Q204,'Reaction Information'!$C$54,'Reaction Information'!$P$54*10^5,'Reaction Information'!$Q$54,$D$20,$D$19=3))*41.84)</f>
        <v>#N/A</v>
      </c>
      <c r="CC204" s="8" t="e">
        <f>IF(OR(ISBLANK(Input!$BT$4),$D$27=FALSE),NA(),('Reaction Information'!$J$58/10+'Reaction Information'!$K$58*100/(Calculations!$C$12+Calculations!$M204)+('Reaction Information'!$L$58+'Reaction Information'!$M$58*10000/(Calculations!$C$12+Calculations!$M204))/(Calculations!$O204-Calculations!$C$13)-calculateOmega(Calculations!M204,Calculations!N204,Calculations!Q204,'Reaction Information'!$C$58,'Reaction Information'!$P$58*10^5,'Reaction Information'!$Q$58)*Calculations!$U204*10^-6 + (1/$S204 - 1)*calculate_domegadP(Calculations!M204,Calculations!N204,Calculations!Q204,'Reaction Information'!$C$58,'Reaction Information'!$P$58*10^5,'Reaction Information'!$Q$58,$D$20,$D$19=3))*41.84)</f>
        <v>#N/A</v>
      </c>
      <c r="CD204" s="8" t="e">
        <f>IF(OR(ISBLANK(Input!$BW$4),$D$27=FALSE),NA(),('Reaction Information'!$J$62/10+'Reaction Information'!$K$62*100/(Calculations!$C$12+Calculations!$M204)+('Reaction Information'!$L$62+'Reaction Information'!$M$62*10000/(Calculations!$C$12+Calculations!$M204))/(Calculations!$O204-Calculations!$C$13)-calculateOmega(Calculations!M204,Calculations!N204,Calculations!Q204,'Reaction Information'!$C$62,'Reaction Information'!$P$62*10^5,'Reaction Information'!$Q$62)*Calculations!$U204*10^-6 + (1/$S204 - 1)*calculate_domegadP(Calculations!M204,Calculations!N204,Calculations!Q204,'Reaction Information'!$C$62,'Reaction Information'!$P$62*10^5,'Reaction Information'!$Q$62,$D$20,$D$19=3))*41.84)</f>
        <v>#N/A</v>
      </c>
      <c r="CE204" s="8" t="e">
        <f>IF(OR(ISBLANK(Input!$BZ$4),$D$27=FALSE),NA(),('Reaction Information'!$J$66/10+'Reaction Information'!$K$66*100/(Calculations!$C$12+Calculations!$M204)+('Reaction Information'!$L$66+'Reaction Information'!$M$66*10000/(Calculations!$C$12+Calculations!$M204))/(Calculations!$O204-Calculations!$C$13)-calculateOmega(Calculations!M204,Calculations!N204,Calculations!Q204,'Reaction Information'!$C$66,'Reaction Information'!$P$66*10^5,'Reaction Information'!$Q$66)*Calculations!$U204*10^-6 + (1/$S204 - 1)*calculate_domegadP(Calculations!M204,Calculations!N204,Calculations!Q204,'Reaction Information'!$C$66,'Reaction Information'!$P$66*10^5,'Reaction Information'!$Q$66,$D$20,$D$19=3))*41.84)</f>
        <v>#N/A</v>
      </c>
      <c r="CF204" s="31" t="e">
        <f>(BS204*Input!$AO$4+BT204*Input!$AR$4+BU204*Input!$AU$4+BV204*Input!$AX$4+IF(ISNA(BW204),0,BW204*Input!$BA$4)+IF(ISNA(BX204),0,BX204*Input!$BD$4)+IF(ISNA(BY204),0,BY204*Input!$BG$4)+IF(ISNA(BZ204),0,BZ204*Input!$BJ$4)+IF(ISNA(CA204),0,CA204*Input!$BM$4)+IF(ISNA(CB204),0,CB204*Input!$BP$4)+IF(ISNA(CC204),0,CC204*Input!$BS$4)+IF(ISNA(CD204),0,CD204*Input!$BV$4)+IF(ISNA(CE204),0,CE204*Input!$BY$4))-(BF204*Input!$B$4+BG204*Input!$E$4+BH204*Input!$H$4+BI204*Input!$K$4+IF(ISNA(BJ204),0,BJ204*Input!$N$4)+IF(ISNA(BK204),0,BK204*Input!$Q$4)+IF(ISNA(BL204),0,BL204*Input!$T$4)+IF(ISNA(BM204),0,BM204*Input!$W$4)+IF(ISNA(BN204),0,BN204*Input!$Z$4)+IF(ISNA(BO204),0,BO204*Input!$AC$4)+IF(ISNA(BP204),0,BP204*Input!$AF$4)+IF(ISNA(BQ204),0,BQ204*Input!$AI$4)+IF(ISNA(BR204),0,BR204*Input!$AL$4))</f>
        <v>#VALUE!</v>
      </c>
      <c r="CG204" s="1" t="str">
        <f t="shared" si="69"/>
        <v/>
      </c>
      <c r="CH204" s="46" t="str">
        <f t="shared" si="70"/>
        <v/>
      </c>
      <c r="CI204" s="1"/>
    </row>
    <row r="205" spans="1:87" x14ac:dyDescent="0.2">
      <c r="A205" s="1"/>
      <c r="B205" s="1"/>
      <c r="C205" s="1"/>
      <c r="D205" s="1"/>
      <c r="E205" s="1"/>
      <c r="F205" s="76">
        <v>200</v>
      </c>
      <c r="G205" s="68" t="str">
        <f>IF(ISBLANK(Input!CB205), "", Input!CB205*1000)</f>
        <v/>
      </c>
      <c r="H205" s="68" t="str">
        <f>IF(ISBLANK(Input!CC205), "", Input!CC205)</f>
        <v/>
      </c>
      <c r="I205" s="68" t="str">
        <f>IF(Input!$CF$5 + Input!$CF$6*(FLOOR((Calculations!$F205-1)/(FLOOR((Input!$CF$12-Input!$CF$10)/Input!$CF$11,1)+1),1)) &gt; Input!$CF$7, "", (Input!$CF$5 + Input!$CF$6*(FLOOR((Calculations!$F205-1)/(FLOOR((Input!$CF$12-Input!$CF$10)/Input!$CF$11,1)+1),1)))*1000)</f>
        <v/>
      </c>
      <c r="J205" s="68" t="str">
        <f>IF(Calculations!I205 = "", "", Input!$CF$10 + Input!$CF$11*(Calculations!$F205-1) - (FLOOR((Input!$CF$12-Input!$CF$10)/Input!$CF$11,1)+1)*Input!$CF$11*FLOOR((Calculations!$F205-1)/(FLOOR((Input!$CF$12-Input!$CF$10)/Input!$CF$11,1)+1),1))</f>
        <v/>
      </c>
      <c r="K205" s="26" t="str">
        <f t="shared" si="71"/>
        <v/>
      </c>
      <c r="L205" s="187" t="str">
        <f>IF(OR(Input!$CJ$5 + Input!$CJ$6*(Calculations!F205-1) &gt; Input!$CJ$7, Input!$CJ$5 + Input!$CJ$6*(Calculations!F205-1) &gt; 350), "", Input!$CJ$5 + Input!$CJ$6*(Calculations!F205-1))</f>
        <v/>
      </c>
      <c r="M205" s="68" t="str">
        <f t="shared" si="61"/>
        <v/>
      </c>
      <c r="N205" s="68" t="str">
        <f t="shared" si="62"/>
        <v/>
      </c>
      <c r="O205" s="68" t="e">
        <f t="shared" si="57"/>
        <v>#VALUE!</v>
      </c>
      <c r="P205" s="68" t="e">
        <f>IF(OR($D$20=3,AND($D$21=TRUE,M205&lt;1000)),INDEX('Water Density'!$C$6:$CX$120,MATCH(Calculations!N205,'Water Density'!$B$6:$B$120),MATCH(Calculations!M205/1000,'Water Density'!$C$5:$CX$5)),NA())</f>
        <v>#N/A</v>
      </c>
      <c r="Q205" s="183" t="e">
        <f>IF(OR($D$20=3,AND($D$21=TRUE,M205&lt;1000)), IF(P205&lt;&gt;0,P205,NA()), calculateDensity(M205,N205,$D$20,0.01,$D$19 = 3))</f>
        <v>#VALUE!</v>
      </c>
      <c r="R205" s="68" t="e">
        <f>IF($D$22=5,INDEX('Dielectric Constant'!$C$6:$CX$120,MATCH(Calculations!N205,'Dielectric Constant'!$B$6:$B$120),MATCH(Calculations!M205/1000,'Dielectric Constant'!$C$5:$CX$5)),NA())</f>
        <v>#N/A</v>
      </c>
      <c r="S205" s="59" t="e">
        <f>IF($D$22=5, IF(R205&lt;&gt;0,R205,NA()), IF(AND($D$23,M205&lt;=5000,$D$19 &lt;&gt; 3),calculateEpsilon(Q205,N205,1,FALSE),calculateEpsilon(Q205,N205,$D$22,$D$19 = 3)))</f>
        <v>#VALUE!</v>
      </c>
      <c r="T205" s="68" t="e">
        <f>IF($D$24=3,INDEX('Water Free Energy'!$C$6:$CX$120,MATCH(Calculations!N205,'Water Free Energy'!$B$6:$B$120),MATCH(Calculations!M205/1000,'Water Free Energy'!$C$5:$CX$5)),NA())</f>
        <v>#N/A</v>
      </c>
      <c r="U205" s="180" t="e">
        <f>IF($D$27,calculateQ(M205,N205,Q205,$D$20,$D$22,$D$19=3)*10^6,NA())</f>
        <v>#VALUE!</v>
      </c>
      <c r="V205"/>
      <c r="W205" s="76" t="str">
        <f t="shared" si="63"/>
        <v/>
      </c>
      <c r="X205" s="68" t="str">
        <f t="shared" si="64"/>
        <v/>
      </c>
      <c r="Y205" s="68">
        <f>Results!F207</f>
        <v>0</v>
      </c>
      <c r="Z205" s="68">
        <f>Results!G207</f>
        <v>0</v>
      </c>
      <c r="AA205" s="68">
        <f>Results!H207</f>
        <v>0</v>
      </c>
      <c r="AB205" s="68">
        <f>Results!I207</f>
        <v>0</v>
      </c>
      <c r="AC205" s="68" t="e">
        <f>IF(ISBLANK(Input!$O$4),NA(),'Reaction Information'!$E$5-'Reaction Information'!$G$5*(Calculations!$O205-Calculations!$C$8)+'Reaction Information'!$I$5*(Calculations!$O205-Calculations!$C$8-Calculations!$O205*LN(Calculations!$O205/Calculations!$C$8))+'Reaction Information'!$J$5*0.001/2*(2*Calculations!$O205*Calculations!$C$8-Calculations!$O205^2-Calculations!$C$8^2) + 'Reaction Information'!$K$5*100000*(Calculations!$O205^2 + Calculations!$C$8^2 - 2*Calculations!$O205*Calculations!$C$8)/(2*Calculations!$O205*Calculations!$C$8^2))</f>
        <v>#N/A</v>
      </c>
      <c r="AD205" s="26" t="e">
        <f>IF(ISBLANK(Input!$R$4),NA(),'Reaction Information'!$E$9-'Reaction Information'!$G$9*(Calculations!$O205-Calculations!$C$8)+'Reaction Information'!$I$9*(Calculations!$O205-Calculations!$C$8-Calculations!$O205*LN(Calculations!$O205/Calculations!$C$8))+'Reaction Information'!$J$9*0.001/2*(2*Calculations!$O205*Calculations!$C$8-Calculations!$O205^2-Calculations!$C$8^2) + 'Reaction Information'!$K$9*100000*(Calculations!$O205^2 + Calculations!$C$8^2 - 2*Calculations!$O205*Calculations!$C$8)/(2*Calculations!$O205*Calculations!$C$8^2))</f>
        <v>#N/A</v>
      </c>
      <c r="AE205" s="26" t="e">
        <f>IF(AE$5="H2O",IF($D$24=3,IF(T205=0,NA(),T205),calculateGibbsOfWater(M205,N205,$D$24,$D$20,$D$19=3)),NA())</f>
        <v>#VALUE!</v>
      </c>
      <c r="AF205" s="26" t="e">
        <f>IF(ISBLANK(Input!$X$4),NA(),'Reaction Information'!$E$13-'Reaction Information'!$G$13*(Calculations!O205-Calculations!$C$8)-'Reaction Information'!$N$13*(Calculations!O205*LN(Calculations!O205/Calculations!$C$8)-Calculations!O205+Calculations!$C$8)-'Reaction Information'!$O$13*10^4*(((1/(Calculations!O205-Calculations!$C$13))-(1/(Calculations!$C$8-Calculations!$C$13)))*((Calculations!$C$13-Calculations!O205)/(Calculations!$C$13))-(Calculations!O205/(Calculations!$C$13*Calculations!$C$13))*LN((Calculations!$C$8*(Calculations!O205-Calculations!$C$13))/(Calculations!O205*(Calculations!$C$8-Calculations!$C$13))))+'Reaction Information'!$J$13*10^-1*(Calculations!M205-Calculations!$C$9)+'Reaction Information'!$K$13*10^2*LN((Calculations!$C$12+Calculations!M205)/(Calculations!$C$12+Calculations!$C$9))+(1/(Calculations!O205-Calculations!$C$13))*('Reaction Information'!$L$13*(Calculations!M205-Calculations!$C$9)+'Reaction Information'!$M$13*10^4*LN((Calculations!$C$12+Calculations!M205)/(Calculations!$C$12+Calculations!$C$9)))+calculateOmega(Calculations!M205,Calculations!N205,Calculations!Q205,'Reaction Information'!$C$13,'Reaction Information'!$P$13*10^5,'Reaction Information'!$Q$13)*((1/Calculations!S205)-1)-'Reaction Information'!$P$13*10^5*((1/Calculations!$C$10)-1)+'Reaction Information'!$P$13*10^5*Calculations!$C$14*(Calculations!O205-Calculations!$C$8))</f>
        <v>#VALUE!</v>
      </c>
      <c r="AG205" s="26" t="e">
        <f>IF(ISBLANK(Input!$AA$4),NA(),'Reaction Information'!$E$17-'Reaction Information'!$G$17*(Calculations!$O205-Calculations!$C$8)-'Reaction Information'!$N$17*(Calculations!$O205*LN(Calculations!$O205/Calculations!$C$8)-Calculations!$O205+Calculations!$C$8)-'Reaction Information'!$O$17*10^4*(((1/(Calculations!$O205-Calculations!$C$13))-(1/(Calculations!$C$8-Calculations!$C$13)))*((Calculations!$C$13-Calculations!$O205)/(Calculations!$C$13))-(Calculations!$O205/(Calculations!$C$13*Calculations!$C$13))*LN((Calculations!$C$8*(Calculations!$O205-Calculations!$C$13))/(Calculations!$O205*(Calculations!$C$8-Calculations!$C$13))))+'Reaction Information'!$J$17*10^-1*(Calculations!$M205-Calculations!$C$9)+'Reaction Information'!$K$17*10^2*LN((Calculations!$C$12+Calculations!$M205)/(Calculations!$C$12+Calculations!$C$9))+(1/(Calculations!$O205-Calculations!$C$13))*('Reaction Information'!$L$17*(Calculations!$M205-Calculations!$C$9)+'Reaction Information'!$M$17*10^4*LN((Calculations!$C$12+Calculations!$M205)/(Calculations!$C$12+Calculations!$C$9)))+calculateOmega(Calculations!M205,Calculations!N205,Calculations!Q205,'Reaction Information'!$C$17,'Reaction Information'!$P$17*10^5,'Reaction Information'!$Q$17)*((1/Calculations!$S205)-1)-'Reaction Information'!$P$17*10^5*((1/Calculations!$C$10)-1)+'Reaction Information'!$P$17*10^5*Calculations!$C$14*(Calculations!$O205-Calculations!$C$8))</f>
        <v>#N/A</v>
      </c>
      <c r="AH205" s="26" t="e">
        <f>IF(ISBLANK(Input!$AD$4),NA(),'Reaction Information'!$E$21-'Reaction Information'!$G$21*(Calculations!$O205-Calculations!$C$8)-'Reaction Information'!$N$21*(Calculations!$O205*LN(Calculations!$O205/Calculations!$C$8)-Calculations!$O205+Calculations!$C$8)-'Reaction Information'!$O$21*10^4*(((1/(Calculations!$O205-Calculations!$C$13))-(1/(Calculations!$C$8-Calculations!$C$13)))*((Calculations!$C$13-Calculations!$O205)/(Calculations!$C$13))-(Calculations!$O205/(Calculations!$C$13*Calculations!$C$13))*LN((Calculations!$C$8*(Calculations!$O205-Calculations!$C$13))/(Calculations!$O205*(Calculations!$C$8-Calculations!$C$13))))+'Reaction Information'!$J$21*10^-1*(Calculations!$M205-Calculations!$C$9)+'Reaction Information'!$K$21*10^2*LN((Calculations!$C$12+Calculations!$M205)/(Calculations!$C$12+Calculations!$C$9))+(1/(Calculations!$O205-Calculations!$C$13))*('Reaction Information'!$L$21*(Calculations!$M205-Calculations!$C$9)+'Reaction Information'!$M$21*10^4*LN((Calculations!$C$12+Calculations!$M205)/(Calculations!$C$12+Calculations!$C$9)))+calculateOmega(Calculations!M205,Calculations!N205,Calculations!Q205,'Reaction Information'!$C$21,'Reaction Information'!$P$21*10^5,'Reaction Information'!$Q$21)*((1/Calculations!$S205)-1)-'Reaction Information'!$P$21*10^5*((1/Calculations!$C$10)-1)+'Reaction Information'!$P$21*10^5*Calculations!$C$14*(Calculations!$O205-Calculations!$C$8))</f>
        <v>#N/A</v>
      </c>
      <c r="AI205" s="26" t="e">
        <f>IF(ISBLANK(Input!$AG$4),NA(),'Reaction Information'!$E$25-'Reaction Information'!$G$25*(Calculations!$O205-Calculations!$C$8)-'Reaction Information'!$N$25*(Calculations!$O205*LN(Calculations!$O205/Calculations!$C$8)-Calculations!$O205+Calculations!$C$8)-'Reaction Information'!$O$25*10^4*(((1/(Calculations!$O205-Calculations!$C$13))-(1/(Calculations!$C$8-Calculations!$C$13)))*((Calculations!$C$13-Calculations!$O205)/(Calculations!$C$13))-(Calculations!$O205/(Calculations!$C$13*Calculations!$C$13))*LN((Calculations!$C$8*(Calculations!$O205-Calculations!$C$13))/(Calculations!$O205*(Calculations!$C$8-Calculations!$C$13))))+'Reaction Information'!$J$25*10^-1*(Calculations!$M205-Calculations!$C$9)+'Reaction Information'!$K$25*10^2*LN((Calculations!$C$12+Calculations!$M205)/(Calculations!$C$12+Calculations!$C$9))+(1/(Calculations!$O205-Calculations!$C$13))*('Reaction Information'!$L$25*(Calculations!$M205-Calculations!$C$9)+'Reaction Information'!$M$25*10^4*LN((Calculations!$C$12+Calculations!$M205)/(Calculations!$C$12+Calculations!$C$9)))+calculateOmega(Calculations!M205,Calculations!N205,Calculations!Q205,'Reaction Information'!$C$25,'Reaction Information'!$P$25*10^5,'Reaction Information'!$Q$25)*((1/Calculations!$S205)-1)-'Reaction Information'!$P$25*10^5*((1/Calculations!$C$10)-1)+'Reaction Information'!$P$25*10^5*Calculations!$C$14*(Calculations!$O205-Calculations!$C$8))</f>
        <v>#N/A</v>
      </c>
      <c r="AJ205" s="26" t="e">
        <f>IF(ISBLANK(Input!$AJ$4),NA(),'Reaction Information'!$E$29-'Reaction Information'!$G$29*(Calculations!$O205-Calculations!$C$8)-'Reaction Information'!$N$29*(Calculations!$O205*LN(Calculations!$O205/Calculations!$C$8)-Calculations!$O205+Calculations!$C$8)-'Reaction Information'!$O$29*10^4*(((1/(Calculations!$O205-Calculations!$C$13))-(1/(Calculations!$C$8-Calculations!$C$13)))*((Calculations!$C$13-Calculations!$O205)/(Calculations!$C$13))-(Calculations!$O205/(Calculations!$C$13*Calculations!$C$13))*LN((Calculations!$C$8*(Calculations!$O205-Calculations!$C$13))/(Calculations!$O205*(Calculations!$C$8-Calculations!$C$13))))+'Reaction Information'!$J$29*10^-1*(Calculations!$M205-Calculations!$C$9)+'Reaction Information'!$K$29*10^2*LN((Calculations!$C$12+Calculations!$M205)/(Calculations!$C$12+Calculations!$C$9))+(1/(Calculations!$O205-Calculations!$C$13))*('Reaction Information'!$L$29*(Calculations!$M205-Calculations!$C$9)+'Reaction Information'!$M$29*10^4*LN((Calculations!$C$12+Calculations!$M205)/(Calculations!$C$12+Calculations!$C$9)))+calculateOmega(Calculations!M205,Calculations!N205,Calculations!Q205,'Reaction Information'!$C$29,'Reaction Information'!$P$29*10^5,'Reaction Information'!$Q$29)*((1/Calculations!$S205)-1)-'Reaction Information'!$P$29*10^5*((1/Calculations!$C$10)-1)+'Reaction Information'!$P$29*10^5*Calculations!$C$14*(Calculations!$O205-Calculations!$C$8))</f>
        <v>#N/A</v>
      </c>
      <c r="AK205" s="26" t="e">
        <f>IF(ISBLANK(Input!$AM$4),NA(),'Reaction Information'!$E$33-'Reaction Information'!$G$33*(Calculations!$O205-Calculations!$C$8)-'Reaction Information'!$N$33*(Calculations!$O205*LN(Calculations!$O205/Calculations!$C$8)-Calculations!$O205+Calculations!$C$8)-'Reaction Information'!$O$33*10^4*(((1/(Calculations!$O205-Calculations!$C$13))-(1/(Calculations!$C$8-Calculations!$C$13)))*((Calculations!$C$13-Calculations!$O205)/(Calculations!$C$13))-(Calculations!$O205/(Calculations!$C$13*Calculations!$C$13))*LN((Calculations!$C$8*(Calculations!$O205-Calculations!$C$13))/(Calculations!$O205*(Calculations!$C$8-Calculations!$C$13))))+'Reaction Information'!$J$33*10^-1*(Calculations!$M205-Calculations!$C$9)+'Reaction Information'!$K$33*10^2*LN((Calculations!$C$12+Calculations!$M205)/(Calculations!$C$12+Calculations!$C$9))+(1/(Calculations!$O205-Calculations!$C$13))*('Reaction Information'!$L$33*(Calculations!$M205-Calculations!$C$9)+'Reaction Information'!$M$33*10^4*LN((Calculations!$C$12+Calculations!$M205)/(Calculations!$C$12+Calculations!$C$9)))+calculateOmega(Calculations!M205,Calculations!N205,Calculations!Q205,'Reaction Information'!$C$33,'Reaction Information'!$P$33*10^5,'Reaction Information'!$Q$33)*((1/Calculations!$S205)-1)-'Reaction Information'!$P$33*10^5*((1/Calculations!$C$10)-1)+'Reaction Information'!$P$33*10^5*Calculations!$C$14*(Calculations!$O205-Calculations!$C$8))</f>
        <v>#N/A</v>
      </c>
      <c r="AL205" s="68">
        <f>Results!S207</f>
        <v>0</v>
      </c>
      <c r="AM205" s="68">
        <f>Results!T207</f>
        <v>0</v>
      </c>
      <c r="AN205" s="68">
        <f>Results!U207</f>
        <v>0</v>
      </c>
      <c r="AO205" s="68">
        <f>Results!V207</f>
        <v>0</v>
      </c>
      <c r="AP205" s="26" t="e">
        <f>IF(ISBLANK(Input!$BB$4),NA(),'Reaction Information'!$E$38-'Reaction Information'!$G$38*(Calculations!$O205-Calculations!$C$8)+'Reaction Information'!$I$38*(Calculations!$O205-Calculations!$C$8-Calculations!$O205*LN(Calculations!$O205/Calculations!$C$8))+'Reaction Information'!$J$38*0.001/2*(2*Calculations!$O205*Calculations!$C$8-Calculations!$O205^2-Calculations!$C$8^2) + 'Reaction Information'!$K$38*100000*(Calculations!$O205^2 + Calculations!$C$8^2 - 2*Calculations!$O205*Calculations!$C$8)/(2*Calculations!$O205*Calculations!$C$8^2))</f>
        <v>#N/A</v>
      </c>
      <c r="AQ205" s="26" t="e">
        <f>IF(ISBLANK(Input!$BE$4),NA(),'Reaction Information'!$E$42-'Reaction Information'!$G$42*(Calculations!$O205-Calculations!$C$8)+'Reaction Information'!$I$42*(Calculations!$O205-Calculations!$C$8-Calculations!$O205*LN(Calculations!$O205/Calculations!$C$8))+'Reaction Information'!$J$42*0.001/2*(2*Calculations!$O205*Calculations!$C$8-Calculations!$O205^2-Calculations!$C$8^2) + 'Reaction Information'!$K$42*100000*(Calculations!$O205^2 + Calculations!$C$8^2 - 2*Calculations!$O205*Calculations!$C$8)/(2*Calculations!$O205*Calculations!$C$8^2))</f>
        <v>#N/A</v>
      </c>
      <c r="AR205" s="26" t="e">
        <f>IF(AR$5="H2O", IF($D$24=3,IF(T205=0,NA(),T205),calculateGibbsOfWater(M205,N205,$D$24,$D$20,$D$19=3)),NA())</f>
        <v>#N/A</v>
      </c>
      <c r="AS205" s="26" t="e">
        <f>IF(ISBLANK(Input!$BK$4),NA(),'Reaction Information'!$E$46-'Reaction Information'!$G$46*(Calculations!O205-Calculations!$C$8)-'Reaction Information'!$N$46*(Calculations!O205*LN(Calculations!O205/Calculations!$C$8)-Calculations!O205+Calculations!$C$8)-'Reaction Information'!$O$46*10^4*(((1/(Calculations!O205-Calculations!$C$13))-(1/(Calculations!$C$8-Calculations!$C$13)))*((Calculations!$C$13-Calculations!O205)/(Calculations!$C$13))-(Calculations!O205/(Calculations!$C$13*Calculations!$C$13))*LN((Calculations!$C$8*(Calculations!O205-Calculations!$C$13))/(Calculations!O205*(Calculations!$C$8-Calculations!$C$13))))+'Reaction Information'!$J$46*10^-1*(Calculations!$M205-Calculations!$C$9)+'Reaction Information'!$K$46*10^2*LN((Calculations!$C$12+Calculations!$M205)/(Calculations!$C$12+Calculations!$C$9))+(1/(Calculations!O205-Calculations!$C$13))*('Reaction Information'!$L$46*(Calculations!$M205-Calculations!$C$9)+'Reaction Information'!$M$46*10^4*LN((Calculations!$C$12+Calculations!$M205)/(Calculations!$C$12+Calculations!$C$9)))+calculateOmega(Calculations!M205,Calculations!N205,Calculations!Q205,'Reaction Information'!$C$46,'Reaction Information'!$P$46*10^5,'Reaction Information'!$Q$46)*((1/Calculations!S205)-1)-'Reaction Information'!$P$46*10^5*((1/Calculations!$C$10)-1)+'Reaction Information'!$P$46*10^5*Calculations!$C$14*(Calculations!O205-Calculations!$C$8))</f>
        <v>#VALUE!</v>
      </c>
      <c r="AT205" s="26" t="e">
        <f>IF(ISBLANK(Input!$BN$4),NA(),'Reaction Information'!$E$50-'Reaction Information'!$G$50*(Calculations!O205-Calculations!$C$8)-'Reaction Information'!$N$50*(Calculations!O205*LN(Calculations!O205/Calculations!$C$8)-Calculations!O205+Calculations!$C$8)-'Reaction Information'!$O$50*10^4*(((1/(Calculations!O205-Calculations!$C$13))-(1/(Calculations!$C$8-Calculations!$C$13)))*((Calculations!$C$13-Calculations!O205)/(Calculations!$C$13))-(Calculations!O205/(Calculations!$C$13*Calculations!$C$13))*LN((Calculations!$C$8*(Calculations!O205-Calculations!$C$13))/(Calculations!O205*(Calculations!$C$8-Calculations!$C$13))))+'Reaction Information'!$J$50*10^-1*(Calculations!$M205-Calculations!$C$9)+'Reaction Information'!$K$50*10^2*LN((Calculations!$C$12+Calculations!$M205)/(Calculations!$C$12+Calculations!$C$9))+(1/(Calculations!O205-Calculations!$C$13))*('Reaction Information'!$L$50*(Calculations!$M205-Calculations!$C$9)+'Reaction Information'!$M$50*10^4*LN((Calculations!$C$12+Calculations!$M205)/(Calculations!$C$12+Calculations!$C$9)))+calculateOmega(Calculations!M205,Calculations!N205,Calculations!Q205,'Reaction Information'!$C$50,'Reaction Information'!$P$50*10^5,'Reaction Information'!$Q$50)*((1/Calculations!S205)-1)-'Reaction Information'!$P$50*10^5*((1/Calculations!$C$10)-1)+'Reaction Information'!$P$50*10^5*Calculations!$C$14*(Calculations!O205-Calculations!$C$8))</f>
        <v>#VALUE!</v>
      </c>
      <c r="AU205" s="26" t="e">
        <f>IF(ISBLANK(Input!$BQ$4),NA(),'Reaction Information'!$E$54-'Reaction Information'!$G$54*(Calculations!$O205-Calculations!$C$8)-'Reaction Information'!$N$54*(Calculations!$O205*LN(Calculations!$O205/Calculations!$C$8)-Calculations!$O205+Calculations!$C$8)-'Reaction Information'!$O$54*10^4*(((1/(Calculations!$O205-Calculations!$C$13))-(1/(Calculations!$C$8-Calculations!$C$13)))*((Calculations!$C$13-Calculations!$O205)/(Calculations!$C$13))-(Calculations!$O205/(Calculations!$C$13*Calculations!$C$13))*LN((Calculations!$C$8*(Calculations!$O205-Calculations!$C$13))/(Calculations!$O205*(Calculations!$C$8-Calculations!$C$13))))+'Reaction Information'!$J$54*10^-1*(Calculations!$M205-Calculations!$C$9)+'Reaction Information'!$K$54*10^2*LN((Calculations!$C$12+Calculations!$M205)/(Calculations!$C$12+Calculations!$C$9))+(1/(Calculations!$O205-Calculations!$C$13))*('Reaction Information'!$L$54*(Calculations!$M205-Calculations!$C$9)+'Reaction Information'!$M$54*10^4*LN((Calculations!$C$12+Calculations!$M205)/(Calculations!$C$12+Calculations!$C$9)))+calculateOmega(Calculations!M205,Calculations!N205,Calculations!Q205,'Reaction Information'!$C$54,'Reaction Information'!$P$54*10^5,'Reaction Information'!$Q$54)*((1/Calculations!$S205)-1)-'Reaction Information'!$P$54*10^5*((1/Calculations!$C$10)-1)+'Reaction Information'!$P$54*10^5*Calculations!$C$14*(Calculations!$O205-Calculations!$C$8))</f>
        <v>#N/A</v>
      </c>
      <c r="AV205" s="26" t="e">
        <f>IF(ISBLANK(Input!$BT$4),NA(),'Reaction Information'!$E$58-'Reaction Information'!$G$58*(Calculations!$O205-Calculations!$C$8)-'Reaction Information'!$N$58*(Calculations!$O205*LN(Calculations!$O205/Calculations!$C$8)-Calculations!$O205+Calculations!$C$8)-'Reaction Information'!$O$58*10^4*(((1/(Calculations!$O205-Calculations!$C$13))-(1/(Calculations!$C$8-Calculations!$C$13)))*((Calculations!$C$13-Calculations!$O205)/(Calculations!$C$13))-(Calculations!$O205/(Calculations!$C$13*Calculations!$C$13))*LN((Calculations!$C$8*(Calculations!$O205-Calculations!$C$13))/(Calculations!$O205*(Calculations!$C$8-Calculations!$C$13))))+'Reaction Information'!$J$58*10^-1*(Calculations!$M205-Calculations!$C$9)+'Reaction Information'!$K$58*10^2*LN((Calculations!$C$12+Calculations!$M205)/(Calculations!$C$12+Calculations!$C$9))+(1/(Calculations!$O205-Calculations!$C$13))*('Reaction Information'!$L$58*(Calculations!$M205-Calculations!$C$9)+'Reaction Information'!$M$58*10^4*LN((Calculations!$C$12+Calculations!$M205)/(Calculations!$C$12+Calculations!$C$9)))+calculateOmega(Calculations!M205,Calculations!N205,Calculations!Q205,'Reaction Information'!$C$58,'Reaction Information'!$P$58*10^5,'Reaction Information'!$Q$58)*((1/Calculations!$S205)-1)-'Reaction Information'!$P$58*10^5*((1/Calculations!$C$10)-1)+'Reaction Information'!$P$58*10^5*Calculations!$C$14*(Calculations!$O205-Calculations!$C$8))</f>
        <v>#N/A</v>
      </c>
      <c r="AW205" s="26" t="e">
        <f>IF(ISBLANK(Input!$BW$4),NA(),'Reaction Information'!$E$62-'Reaction Information'!$G$62*(Calculations!$O205-Calculations!$C$8)-'Reaction Information'!$N$62*(Calculations!$O205*LN(Calculations!$O205/Calculations!$C$8)-Calculations!$O205+Calculations!$C$8)-'Reaction Information'!$O$62*10^4*(((1/(Calculations!$O205-Calculations!$C$13))-(1/(Calculations!$C$8-Calculations!$C$13)))*((Calculations!$C$13-Calculations!$O205)/(Calculations!$C$13))-(Calculations!$O205/(Calculations!$C$13*Calculations!$C$13))*LN((Calculations!$C$8*(Calculations!$O205-Calculations!$C$13))/(Calculations!$O205*(Calculations!$C$8-Calculations!$C$13))))+'Reaction Information'!$J$62*10^-1*(Calculations!$M205-Calculations!$C$9)+'Reaction Information'!$K$62*10^2*LN((Calculations!$C$12+Calculations!$M205)/(Calculations!$C$12+Calculations!$C$9))+(1/(Calculations!$O205-Calculations!$C$13))*('Reaction Information'!$L$62*(Calculations!$M205-Calculations!$C$9)+'Reaction Information'!$M$62*10^4*LN((Calculations!$C$12+Calculations!$M205)/(Calculations!$C$12+Calculations!$C$9)))+calculateOmega(Calculations!M205,Calculations!N205,Calculations!Q205,'Reaction Information'!$C$62,'Reaction Information'!$P$62*10^5,'Reaction Information'!$Q$62)*((1/Calculations!$S205)-1)-'Reaction Information'!$P$62*10^5*((1/Calculations!$C$10)-1)+'Reaction Information'!$P$62*10^5*Calculations!$C$14*(Calculations!$O205-Calculations!$C$8))</f>
        <v>#N/A</v>
      </c>
      <c r="AX205" s="26" t="e">
        <f>IF(ISBLANK(Input!$BZ$4),NA(),'Reaction Information'!$E$66-'Reaction Information'!$G$66*(Calculations!$O205-Calculations!$C$8)-'Reaction Information'!$N$66*(Calculations!$O205*LN(Calculations!$O205/Calculations!$C$8)-Calculations!$O205+Calculations!$C$8)-'Reaction Information'!$O$66*10^4*(((1/(Calculations!$O205-Calculations!$C$13))-(1/(Calculations!$C$8-Calculations!$C$13)))*((Calculations!$C$13-Calculations!$O205)/(Calculations!$C$13))-(Calculations!$O205/(Calculations!$C$13*Calculations!$C$13))*LN((Calculations!$C$8*(Calculations!$O205-Calculations!$C$13))/(Calculations!$O205*(Calculations!$C$8-Calculations!$C$13))))+'Reaction Information'!$J$66*10^-1*(Calculations!$M205-Calculations!$C$9)+'Reaction Information'!$K$66*10^2*LN((Calculations!$C$12+Calculations!$M205)/(Calculations!$C$12+Calculations!$C$9))+(1/(Calculations!$O205-Calculations!$C$13))*('Reaction Information'!$L$66*(Calculations!$M205-Calculations!$C$9)+'Reaction Information'!$M$66*10^4*LN((Calculations!$C$12+Calculations!$M205)/(Calculations!$C$12+Calculations!$C$9)))+calculateOmega(Calculations!M205,Calculations!N205,Calculations!Q205,'Reaction Information'!$C$66,'Reaction Information'!$P$66*10^5,'Reaction Information'!$Q$66)*((1/Calculations!$S205)-1)-'Reaction Information'!$P$66*10^5*((1/Calculations!$C$10)-1)+'Reaction Information'!$P$66*10^5*Calculations!$C$14*(Calculations!$O205-Calculations!$C$8))</f>
        <v>#N/A</v>
      </c>
      <c r="AY205" s="78" t="e">
        <f>(AL205*Input!$AO$4+AM205*Input!$AR$4+AN205*Input!$AU$4+AO205*Input!$AX$4+IF(ISNA(AP205),0,AP205*Input!$BA$4)+IF(ISNA(AQ205),0,AQ205*Input!$BD$4)+IF(ISNA(AR205),0,AR205*Input!$BG$4)+IF(ISNA(AS205),0,AS205*Input!$BJ$4)+IF(ISNA(AT205),0,AT205*Input!$BM$4)+IF(ISNA(AU205),0,AU205*Input!$BP$4)+IF(ISNA(AV205),0,AV205*Input!$BS$4)+IF(ISNA(AW205),0,AW205*Input!$BV$4)+IF(ISNA(AX205),0,AX205*Input!$BY$4))-(Y205*Input!$B$4+Z205*Input!$E$4+AA205*Input!$H$4+AB205*Input!$K$4+IF(ISNA(AC205),0,AC205*Input!$N$4)+IF(ISNA(AD205),0,AD205*Input!$Q$4)+IF(ISNA(AE205),0,AE205*Input!$T$4)+IF(ISNA(AF205),0,AF205*Input!$W$4)+IF(ISNA(AG205),0,AG205*Input!$Z$4)+IF(ISNA(AH205),0,AH205*Input!$AC$4)+IF(ISNA(AI205),0,AI205*Input!$AF$4)+IF(ISNA(AJ205),0,AJ205*Input!$AI$4)+IF(ISNA(AK205),0,AK205*Input!$AL$4))</f>
        <v>#VALUE!</v>
      </c>
      <c r="AZ205" s="53" t="e">
        <f t="shared" si="58"/>
        <v>#VALUE!</v>
      </c>
      <c r="BA205" s="68" t="str">
        <f t="shared" si="65"/>
        <v/>
      </c>
      <c r="BB205" s="77" t="str">
        <f t="shared" si="66"/>
        <v/>
      </c>
      <c r="BC205" s="1"/>
      <c r="BD205" s="76" t="str">
        <f t="shared" si="67"/>
        <v/>
      </c>
      <c r="BE205" s="77" t="str">
        <f t="shared" si="68"/>
        <v/>
      </c>
      <c r="BF205" s="68">
        <f>Results!AJ207</f>
        <v>0</v>
      </c>
      <c r="BG205" s="68">
        <f>Results!AK207</f>
        <v>0</v>
      </c>
      <c r="BH205" s="68">
        <f>Results!AL207</f>
        <v>0</v>
      </c>
      <c r="BI205" s="68">
        <f>Results!AM207</f>
        <v>0</v>
      </c>
      <c r="BJ205" s="68" t="e">
        <f>IF(OR(ISNA('Reaction Information'!$D$5), $N205 = "", $D$27 = FALSE, 'Reaction Information'!$D$5 = ""), NA(), 24.465)</f>
        <v>#N/A</v>
      </c>
      <c r="BK205" s="68" t="e">
        <f>IF(OR(ISNA('Reaction Information'!$D$9), $N205 = "", $D$27 = FALSE, 'Reaction Information'!$D$9 = ""), NA(), 24.465)</f>
        <v>#N/A</v>
      </c>
      <c r="BL205" s="26" t="e">
        <f t="shared" si="59"/>
        <v>#VALUE!</v>
      </c>
      <c r="BM205" s="26" t="e">
        <f>IF(OR(ISBLANK(Input!$X$4),$D$27=FALSE),NA(),('Reaction Information'!$J$13/10+'Reaction Information'!$K$13*100/(Calculations!$C$12+Calculations!$M205)+('Reaction Information'!$L$13+'Reaction Information'!$M$13*10^4/(Calculations!$C$12+Calculations!$M205))/(Calculations!$O205-Calculations!$C$13) -calculateOmega(Calculations!$M205,Calculations!$N205,Calculations!$Q205,'Reaction Information'!$C$13,'Reaction Information'!$P$13*10^5,'Reaction Information'!$Q$13)*Calculations!$U205*10^-6 + (1/$S205 - 1)*calculate_domegadP(Calculations!$M205,Calculations!$N205,Calculations!$Q205,'Reaction Information'!$C$13,'Reaction Information'!$P$13*10^5,'Reaction Information'!$Q$13,$D$20,$D$19=3))*41.84)</f>
        <v>#VALUE!</v>
      </c>
      <c r="BN205" s="26" t="e">
        <f>IF(OR(ISBLANK(Input!$AA$4),$D$27=FALSE),NA(),('Reaction Information'!$J$17/10+'Reaction Information'!$K$17*100/(Calculations!$C$12+Calculations!$M205)+('Reaction Information'!$L$17+'Reaction Information'!$M$17*10000/(Calculations!$C$12+Calculations!$M205))/(Calculations!$O205-Calculations!$C$13)-calculateOmega(Calculations!M205,Calculations!N205,Calculations!Q205,'Reaction Information'!$C$17,'Reaction Information'!$P$17*10^5,'Reaction Information'!$Q$17)*Calculations!$U205*10^-6 + (1/$S205 - 1)*calculate_domegadP(Calculations!M205,Calculations!N205,Calculations!Q205,'Reaction Information'!$C$17,'Reaction Information'!$P$17*10^5,'Reaction Information'!$Q$17,$D$20,$D$19=3))*41.84)</f>
        <v>#N/A</v>
      </c>
      <c r="BO205" s="26" t="e">
        <f>IF(OR(ISBLANK(Input!$AD$4),$D$27=FALSE),NA(),('Reaction Information'!$J$21/10+'Reaction Information'!$K$21*100/(Calculations!$C$12+Calculations!$M205)+('Reaction Information'!$L$21+'Reaction Information'!$M$21*10000/(Calculations!$C$12+Calculations!$M205))/(Calculations!$O205-Calculations!$C$13)-calculateOmega(Calculations!M205,Calculations!N205,Calculations!Q205,'Reaction Information'!$C$21,'Reaction Information'!$P$21*10^5,'Reaction Information'!$Q$21)*Calculations!$U205*10^-6 + (1/$S205 - 1)*calculate_domegadP(Calculations!M205,Calculations!N205,Calculations!Q205,'Reaction Information'!$C$21,'Reaction Information'!$P$21*10^5,'Reaction Information'!$Q$21,$D$20,$D$19=3))*41.84)</f>
        <v>#N/A</v>
      </c>
      <c r="BP205" s="26" t="e">
        <f>IF(OR(ISBLANK(Input!$AG$4),$D$27=FALSE),NA(),('Reaction Information'!$J$25/10+'Reaction Information'!$K$25*100/(Calculations!$C$12+Calculations!$M205)+('Reaction Information'!$L$25+'Reaction Information'!$M$25*10000/(Calculations!$C$12+Calculations!$M205))/(Calculations!$O205-Calculations!$C$13)-calculateOmega(Calculations!M205,Calculations!N205,Calculations!Q205,'Reaction Information'!$C$25,'Reaction Information'!$P$25*10^5,'Reaction Information'!$Q$25)*Calculations!$U205*10^-6 + (1/$S205 - 1)*calculate_domegadP(Calculations!M205,Calculations!N205,Calculations!Q205,'Reaction Information'!$C$25,'Reaction Information'!$P$25*10^5,'Reaction Information'!$Q$25,$D$20,$D$19=3))*41.84)</f>
        <v>#N/A</v>
      </c>
      <c r="BQ205" s="26" t="e">
        <f>IF(OR(ISBLANK(Input!$AJ$4),$D$27=FALSE),NA(),('Reaction Information'!$J$29/10+'Reaction Information'!$K$29*100/(Calculations!$C$12+Calculations!$M205)+('Reaction Information'!$L$29+'Reaction Information'!$M$29*10000/(Calculations!$C$12+Calculations!$M205))/(Calculations!$O205-Calculations!$C$13)-calculateOmega(Calculations!M205,Calculations!N205,Calculations!Q205,'Reaction Information'!$C$29,'Reaction Information'!$P$29*10^5,'Reaction Information'!$Q$29)*Calculations!$U205*10^-6 + (1/$S205 - 1)*calculate_domegadP(Calculations!M205,Calculations!N205,Calculations!Q205,'Reaction Information'!$C$29,'Reaction Information'!$P$29*10^5,'Reaction Information'!$Q$29,$D$20,$D$19=3))*41.84)</f>
        <v>#N/A</v>
      </c>
      <c r="BR205" s="26" t="e">
        <f>IF(OR(ISBLANK(Input!$AM$4),$D$27=FALSE),NA(),('Reaction Information'!$J$33/10+'Reaction Information'!$K$33*100/(Calculations!$C$12+Calculations!$M205)+('Reaction Information'!$L$33+'Reaction Information'!$M$33*10000/(Calculations!$C$12+Calculations!$M205))/(Calculations!$O205-Calculations!$C$13)-calculateOmega(Calculations!M205,Calculations!N205,Calculations!Q205,'Reaction Information'!$C$33,'Reaction Information'!$P$33*10^5,'Reaction Information'!$Q$33)*Calculations!$U205*10^-6 + (1/$S205 - 1)*calculate_domegadP(Calculations!M205,Calculations!N205,Calculations!Q205,'Reaction Information'!$C$33,'Reaction Information'!$P$33*10^5,'Reaction Information'!$Q$33,$D$20,$D$19=3))*41.84)</f>
        <v>#N/A</v>
      </c>
      <c r="BS205" s="68">
        <f>Results!AW207</f>
        <v>0</v>
      </c>
      <c r="BT205" s="68">
        <f>Results!AX207</f>
        <v>0</v>
      </c>
      <c r="BU205" s="68">
        <f>Results!AY207</f>
        <v>0</v>
      </c>
      <c r="BV205" s="68">
        <f>Results!AZ207</f>
        <v>0</v>
      </c>
      <c r="BW205" s="68" t="e">
        <f>IF(OR(ISNA('Reaction Information'!$D$38), $N205 = "", $D$27 = FALSE, 'Reaction Information'!$D$38 = ""), NA(), 24.465)</f>
        <v>#N/A</v>
      </c>
      <c r="BX205" s="68" t="e">
        <f>IF(OR(ISNA('Reaction Information'!$D$42), $N205 = "", $D$27 = FALSE, 'Reaction Information'!$D$42 = ""), NA(), 24.465)</f>
        <v>#N/A</v>
      </c>
      <c r="BY205" s="26" t="e">
        <f t="shared" si="60"/>
        <v>#N/A</v>
      </c>
      <c r="BZ205" s="26" t="e">
        <f>IF(OR(ISBLANK(Input!$BK$4),$D$27=FALSE),NA(),('Reaction Information'!$J$46/10+'Reaction Information'!$K$46*100/(Calculations!$C$12+Calculations!$M205)+('Reaction Information'!$L$46+'Reaction Information'!$M$46*10000/(Calculations!$C$12+Calculations!$M205))/(Calculations!$O205-Calculations!$C$13)-calculateOmega(Calculations!M205,Calculations!N205,Calculations!Q205,'Reaction Information'!$C$46,'Reaction Information'!$P$46*10^5,'Reaction Information'!$Q$46)*Calculations!$U205*10^-6 + (1/$S205 - 1)*calculate_domegadP(Calculations!M205,Calculations!N205,Calculations!Q205,'Reaction Information'!$C$46,'Reaction Information'!$P$46*10^5,'Reaction Information'!$Q$46,$D$20,$D$19=3))*41.84)</f>
        <v>#VALUE!</v>
      </c>
      <c r="CA205" s="26" t="e">
        <f>IF(OR(ISBLANK(Input!$BN$4),$D$27=FALSE),NA(),('Reaction Information'!$J$50/10+'Reaction Information'!$K$50*100/(Calculations!$C$12+Calculations!$M205)+('Reaction Information'!$L$50+'Reaction Information'!$M$50*10000/(Calculations!$C$12+Calculations!$M205))/(Calculations!$O205-Calculations!$C$13)-calculateOmega(Calculations!M205,Calculations!N205,Calculations!Q205,'Reaction Information'!$C$50,'Reaction Information'!$P$50*10^5,'Reaction Information'!$Q$50)*Calculations!$U205*10^-6 + (1/$S205 - 1)*calculate_domegadP(Calculations!M205,Calculations!N205,Calculations!Q205,'Reaction Information'!$C$50,'Reaction Information'!$P$50*10^5,'Reaction Information'!$Q$50,$D$20,$D$19=3))*41.84)</f>
        <v>#VALUE!</v>
      </c>
      <c r="CB205" s="26" t="e">
        <f>IF(OR(ISBLANK(Input!$BQ$4),$D$27=FALSE),NA(),('Reaction Information'!$J$54/10+'Reaction Information'!$K$54*100/(Calculations!$C$12+Calculations!$M205)+('Reaction Information'!$L$54+'Reaction Information'!$M$54*10000/(Calculations!$C$12+Calculations!$M205))/(Calculations!$O205-Calculations!$C$13)-calculateOmega(Calculations!M205,Calculations!N205,Calculations!Q205,'Reaction Information'!$C$54,'Reaction Information'!$P$54*10^5,'Reaction Information'!$Q$54)*Calculations!$U205*10^-6 + (1/$S205 - 1)*calculate_domegadP(Calculations!M205,Calculations!N205,Calculations!Q205,'Reaction Information'!$C$54,'Reaction Information'!$P$54*10^5,'Reaction Information'!$Q$54,$D$20,$D$19=3))*41.84)</f>
        <v>#N/A</v>
      </c>
      <c r="CC205" s="26" t="e">
        <f>IF(OR(ISBLANK(Input!$BT$4),$D$27=FALSE),NA(),('Reaction Information'!$J$58/10+'Reaction Information'!$K$58*100/(Calculations!$C$12+Calculations!$M205)+('Reaction Information'!$L$58+'Reaction Information'!$M$58*10000/(Calculations!$C$12+Calculations!$M205))/(Calculations!$O205-Calculations!$C$13)-calculateOmega(Calculations!M205,Calculations!N205,Calculations!Q205,'Reaction Information'!$C$58,'Reaction Information'!$P$58*10^5,'Reaction Information'!$Q$58)*Calculations!$U205*10^-6 + (1/$S205 - 1)*calculate_domegadP(Calculations!M205,Calculations!N205,Calculations!Q205,'Reaction Information'!$C$58,'Reaction Information'!$P$58*10^5,'Reaction Information'!$Q$58,$D$20,$D$19=3))*41.84)</f>
        <v>#N/A</v>
      </c>
      <c r="CD205" s="26" t="e">
        <f>IF(OR(ISBLANK(Input!$BW$4),$D$27=FALSE),NA(),('Reaction Information'!$J$62/10+'Reaction Information'!$K$62*100/(Calculations!$C$12+Calculations!$M205)+('Reaction Information'!$L$62+'Reaction Information'!$M$62*10000/(Calculations!$C$12+Calculations!$M205))/(Calculations!$O205-Calculations!$C$13)-calculateOmega(Calculations!M205,Calculations!N205,Calculations!Q205,'Reaction Information'!$C$62,'Reaction Information'!$P$62*10^5,'Reaction Information'!$Q$62)*Calculations!$U205*10^-6 + (1/$S205 - 1)*calculate_domegadP(Calculations!M205,Calculations!N205,Calculations!Q205,'Reaction Information'!$C$62,'Reaction Information'!$P$62*10^5,'Reaction Information'!$Q$62,$D$20,$D$19=3))*41.84)</f>
        <v>#N/A</v>
      </c>
      <c r="CE205" s="26" t="e">
        <f>IF(OR(ISBLANK(Input!$BZ$4),$D$27=FALSE),NA(),('Reaction Information'!$J$66/10+'Reaction Information'!$K$66*100/(Calculations!$C$12+Calculations!$M205)+('Reaction Information'!$L$66+'Reaction Information'!$M$66*10000/(Calculations!$C$12+Calculations!$M205))/(Calculations!$O205-Calculations!$C$13)-calculateOmega(Calculations!M205,Calculations!N205,Calculations!Q205,'Reaction Information'!$C$66,'Reaction Information'!$P$66*10^5,'Reaction Information'!$Q$66)*Calculations!$U205*10^-6 + (1/$S205 - 1)*calculate_domegadP(Calculations!M205,Calculations!N205,Calculations!Q205,'Reaction Information'!$C$66,'Reaction Information'!$P$66*10^5,'Reaction Information'!$Q$66,$D$20,$D$19=3))*41.84)</f>
        <v>#N/A</v>
      </c>
      <c r="CF205" s="78" t="e">
        <f>(BS205*Input!$AO$4+BT205*Input!$AR$4+BU205*Input!$AU$4+BV205*Input!$AX$4+IF(ISNA(BW205),0,BW205*Input!$BA$4)+IF(ISNA(BX205),0,BX205*Input!$BD$4)+IF(ISNA(BY205),0,BY205*Input!$BG$4)+IF(ISNA(BZ205),0,BZ205*Input!$BJ$4)+IF(ISNA(CA205),0,CA205*Input!$BM$4)+IF(ISNA(CB205),0,CB205*Input!$BP$4)+IF(ISNA(CC205),0,CC205*Input!$BS$4)+IF(ISNA(CD205),0,CD205*Input!$BV$4)+IF(ISNA(CE205),0,CE205*Input!$BY$4))-(BF205*Input!$B$4+BG205*Input!$E$4+BH205*Input!$H$4+BI205*Input!$K$4+IF(ISNA(BJ205),0,BJ205*Input!$N$4)+IF(ISNA(BK205),0,BK205*Input!$Q$4)+IF(ISNA(BL205),0,BL205*Input!$T$4)+IF(ISNA(BM205),0,BM205*Input!$W$4)+IF(ISNA(BN205),0,BN205*Input!$Z$4)+IF(ISNA(BO205),0,BO205*Input!$AC$4)+IF(ISNA(BP205),0,BP205*Input!$AF$4)+IF(ISNA(BQ205),0,BQ205*Input!$AI$4)+IF(ISNA(BR205),0,BR205*Input!$AL$4))</f>
        <v>#VALUE!</v>
      </c>
      <c r="CG205" s="68" t="str">
        <f t="shared" si="69"/>
        <v/>
      </c>
      <c r="CH205" s="77" t="str">
        <f t="shared" si="70"/>
        <v/>
      </c>
      <c r="CI205" s="1"/>
    </row>
  </sheetData>
  <mergeCells count="48">
    <mergeCell ref="C48:D48"/>
    <mergeCell ref="C47:D47"/>
    <mergeCell ref="B46:D46"/>
    <mergeCell ref="B39:D39"/>
    <mergeCell ref="C49:D49"/>
    <mergeCell ref="C41:D41"/>
    <mergeCell ref="C42:D42"/>
    <mergeCell ref="C43:D43"/>
    <mergeCell ref="C44:D44"/>
    <mergeCell ref="C40:D40"/>
    <mergeCell ref="B24:C24"/>
    <mergeCell ref="B18:D18"/>
    <mergeCell ref="B19:C19"/>
    <mergeCell ref="B20:C20"/>
    <mergeCell ref="B22:C22"/>
    <mergeCell ref="B23:C23"/>
    <mergeCell ref="B21:C21"/>
    <mergeCell ref="C37:D37"/>
    <mergeCell ref="B25:C25"/>
    <mergeCell ref="B26:C26"/>
    <mergeCell ref="C30:D30"/>
    <mergeCell ref="C31:D31"/>
    <mergeCell ref="C35:D35"/>
    <mergeCell ref="C36:D36"/>
    <mergeCell ref="B34:D34"/>
    <mergeCell ref="C32:D32"/>
    <mergeCell ref="B29:D29"/>
    <mergeCell ref="B27:C27"/>
    <mergeCell ref="BD2:CH2"/>
    <mergeCell ref="AY4:AY5"/>
    <mergeCell ref="W2:BB2"/>
    <mergeCell ref="CF4:CF5"/>
    <mergeCell ref="AZ4:AZ5"/>
    <mergeCell ref="Y4:AX4"/>
    <mergeCell ref="BF4:CE4"/>
    <mergeCell ref="F2:U2"/>
    <mergeCell ref="I4:J4"/>
    <mergeCell ref="F4:F5"/>
    <mergeCell ref="K4:L4"/>
    <mergeCell ref="B2:D2"/>
    <mergeCell ref="B4:D4"/>
    <mergeCell ref="T4:T5"/>
    <mergeCell ref="P4:P5"/>
    <mergeCell ref="Q4:Q5"/>
    <mergeCell ref="S4:S5"/>
    <mergeCell ref="R4:R5"/>
    <mergeCell ref="M4:N4"/>
    <mergeCell ref="G4:H4"/>
  </mergeCells>
  <pageMargins left="0.7" right="0.7" top="0.75" bottom="0.75" header="0.3" footer="0.3"/>
  <pageSetup orientation="portrait" horizontalDpi="0" verticalDpi="0"/>
  <ignoredErrors>
    <ignoredError sqref="J7:J205" 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304" t="s">
        <v>646</v>
      </c>
      <c r="D2" s="304"/>
      <c r="E2" s="304"/>
      <c r="F2" s="304"/>
      <c r="G2" s="304"/>
      <c r="H2" s="304"/>
      <c r="I2" s="304"/>
      <c r="J2" s="304"/>
      <c r="K2" s="303" t="s">
        <v>645</v>
      </c>
      <c r="L2" s="303"/>
      <c r="M2" s="200"/>
      <c r="N2" s="148"/>
      <c r="O2" s="148"/>
    </row>
    <row r="4" spans="1:104" ht="19" x14ac:dyDescent="0.2">
      <c r="B4" s="302" t="s">
        <v>547</v>
      </c>
      <c r="C4" s="302" t="s">
        <v>644</v>
      </c>
      <c r="D4" s="302"/>
      <c r="E4" s="302"/>
      <c r="F4" s="302"/>
      <c r="G4" s="302"/>
      <c r="H4" s="302"/>
      <c r="I4" s="302"/>
      <c r="J4" s="302"/>
      <c r="K4" s="302"/>
      <c r="L4" s="302"/>
      <c r="M4" s="302"/>
      <c r="N4" s="302"/>
      <c r="O4" s="302"/>
      <c r="P4" s="302"/>
      <c r="Q4" s="302"/>
      <c r="R4" s="302"/>
      <c r="S4" s="302"/>
      <c r="T4" s="302"/>
      <c r="U4" s="302"/>
      <c r="V4" s="302"/>
      <c r="W4" s="302" t="s">
        <v>644</v>
      </c>
      <c r="X4" s="302"/>
      <c r="Y4" s="302"/>
      <c r="Z4" s="302"/>
      <c r="AA4" s="302"/>
      <c r="AB4" s="302"/>
      <c r="AC4" s="302"/>
      <c r="AD4" s="302"/>
      <c r="AE4" s="302"/>
      <c r="AF4" s="302"/>
      <c r="AG4" s="302"/>
      <c r="AH4" s="302"/>
      <c r="AI4" s="302"/>
      <c r="AJ4" s="302"/>
      <c r="AK4" s="302"/>
      <c r="AL4" s="302"/>
      <c r="AM4" s="302"/>
      <c r="AN4" s="302"/>
      <c r="AO4" s="302"/>
      <c r="AP4" s="302"/>
      <c r="AQ4" s="302" t="s">
        <v>644</v>
      </c>
      <c r="AR4" s="302"/>
      <c r="AS4" s="302"/>
      <c r="AT4" s="302"/>
      <c r="AU4" s="302"/>
      <c r="AV4" s="302"/>
      <c r="AW4" s="302"/>
      <c r="AX4" s="302"/>
      <c r="AY4" s="302"/>
      <c r="AZ4" s="302"/>
      <c r="BA4" s="302"/>
      <c r="BB4" s="302"/>
      <c r="BC4" s="302"/>
      <c r="BD4" s="302"/>
      <c r="BE4" s="302"/>
      <c r="BF4" s="302"/>
      <c r="BG4" s="302"/>
      <c r="BH4" s="302"/>
      <c r="BI4" s="302"/>
      <c r="BJ4" s="302"/>
      <c r="BK4" s="302" t="s">
        <v>644</v>
      </c>
      <c r="BL4" s="302"/>
      <c r="BM4" s="302"/>
      <c r="BN4" s="302"/>
      <c r="BO4" s="302"/>
      <c r="BP4" s="302"/>
      <c r="BQ4" s="302"/>
      <c r="BR4" s="302"/>
      <c r="BS4" s="302"/>
      <c r="BT4" s="302"/>
      <c r="BU4" s="302"/>
      <c r="BV4" s="302"/>
      <c r="BW4" s="302"/>
      <c r="BX4" s="302"/>
      <c r="BY4" s="302"/>
      <c r="BZ4" s="302"/>
      <c r="CA4" s="302"/>
      <c r="CB4" s="302"/>
      <c r="CC4" s="302"/>
      <c r="CD4" s="302"/>
      <c r="CE4" s="302" t="s">
        <v>644</v>
      </c>
      <c r="CF4" s="302"/>
      <c r="CG4" s="302"/>
      <c r="CH4" s="302"/>
      <c r="CI4" s="302"/>
      <c r="CJ4" s="302"/>
      <c r="CK4" s="302"/>
      <c r="CL4" s="302"/>
      <c r="CM4" s="302"/>
      <c r="CN4" s="302"/>
      <c r="CO4" s="302"/>
      <c r="CP4" s="302"/>
      <c r="CQ4" s="302"/>
      <c r="CR4" s="302"/>
      <c r="CS4" s="302"/>
      <c r="CT4" s="302"/>
      <c r="CU4" s="302"/>
      <c r="CV4" s="302"/>
      <c r="CW4" s="302"/>
      <c r="CX4" s="302"/>
    </row>
    <row r="5" spans="1:104" x14ac:dyDescent="0.2">
      <c r="B5" s="302"/>
      <c r="C5" s="189">
        <v>0.25</v>
      </c>
      <c r="D5" s="189">
        <v>0.5</v>
      </c>
      <c r="E5" s="189">
        <v>0.75</v>
      </c>
      <c r="F5" s="189">
        <v>1</v>
      </c>
      <c r="G5" s="189">
        <v>1.25</v>
      </c>
      <c r="H5" s="189">
        <v>1.5</v>
      </c>
      <c r="I5" s="189">
        <v>1.75</v>
      </c>
      <c r="J5" s="189">
        <v>2</v>
      </c>
      <c r="K5" s="189">
        <v>2.25</v>
      </c>
      <c r="L5" s="189">
        <v>2.5</v>
      </c>
      <c r="M5" s="189">
        <v>2.75</v>
      </c>
      <c r="N5" s="189">
        <v>3</v>
      </c>
      <c r="O5" s="189">
        <v>3.25</v>
      </c>
      <c r="P5" s="189">
        <v>3.5</v>
      </c>
      <c r="Q5" s="189">
        <v>3.75</v>
      </c>
      <c r="R5" s="189">
        <v>4</v>
      </c>
      <c r="S5" s="189">
        <v>4.25</v>
      </c>
      <c r="T5" s="189">
        <v>4.5</v>
      </c>
      <c r="U5" s="189">
        <v>4.75</v>
      </c>
      <c r="V5" s="189">
        <v>5</v>
      </c>
      <c r="W5" s="189">
        <v>5.5</v>
      </c>
      <c r="X5" s="189">
        <v>6</v>
      </c>
      <c r="Y5" s="189">
        <v>6.5</v>
      </c>
      <c r="Z5" s="189">
        <v>7</v>
      </c>
      <c r="AA5" s="189">
        <v>7.5</v>
      </c>
      <c r="AB5" s="189">
        <v>8</v>
      </c>
      <c r="AC5" s="189">
        <v>8.5</v>
      </c>
      <c r="AD5" s="189">
        <v>9</v>
      </c>
      <c r="AE5" s="189">
        <v>9.5</v>
      </c>
      <c r="AF5" s="189">
        <v>10</v>
      </c>
      <c r="AG5" s="189">
        <v>10.5</v>
      </c>
      <c r="AH5" s="189">
        <v>11</v>
      </c>
      <c r="AI5" s="189">
        <v>11.5</v>
      </c>
      <c r="AJ5" s="189">
        <v>12</v>
      </c>
      <c r="AK5" s="189">
        <v>12.5</v>
      </c>
      <c r="AL5" s="189">
        <v>13</v>
      </c>
      <c r="AM5" s="189">
        <v>13.5</v>
      </c>
      <c r="AN5" s="189">
        <v>14</v>
      </c>
      <c r="AO5" s="189">
        <v>14.5</v>
      </c>
      <c r="AP5" s="189">
        <v>15</v>
      </c>
      <c r="AQ5" s="189">
        <v>15.5</v>
      </c>
      <c r="AR5" s="189">
        <v>16</v>
      </c>
      <c r="AS5" s="189">
        <v>16.5</v>
      </c>
      <c r="AT5" s="189">
        <v>17</v>
      </c>
      <c r="AU5" s="189">
        <v>17.5</v>
      </c>
      <c r="AV5" s="189">
        <v>18</v>
      </c>
      <c r="AW5" s="189">
        <v>18.5</v>
      </c>
      <c r="AX5" s="189">
        <v>19</v>
      </c>
      <c r="AY5" s="189">
        <v>19.5</v>
      </c>
      <c r="AZ5" s="189">
        <v>20</v>
      </c>
      <c r="BA5" s="189">
        <v>20.5</v>
      </c>
      <c r="BB5" s="189">
        <v>21</v>
      </c>
      <c r="BC5" s="189">
        <v>21.5</v>
      </c>
      <c r="BD5" s="189">
        <v>22</v>
      </c>
      <c r="BE5" s="189">
        <v>22.5</v>
      </c>
      <c r="BF5" s="189">
        <v>23</v>
      </c>
      <c r="BG5" s="189">
        <v>23.5</v>
      </c>
      <c r="BH5" s="189">
        <v>24</v>
      </c>
      <c r="BI5" s="189">
        <v>24.5</v>
      </c>
      <c r="BJ5" s="189">
        <v>25</v>
      </c>
      <c r="BK5" s="189">
        <v>25.5</v>
      </c>
      <c r="BL5" s="189">
        <v>26</v>
      </c>
      <c r="BM5" s="189">
        <v>26.5</v>
      </c>
      <c r="BN5" s="189">
        <v>27</v>
      </c>
      <c r="BO5" s="189">
        <v>27.5</v>
      </c>
      <c r="BP5" s="189">
        <v>28</v>
      </c>
      <c r="BQ5" s="189">
        <v>28.5</v>
      </c>
      <c r="BR5" s="189">
        <v>29</v>
      </c>
      <c r="BS5" s="189">
        <v>29.5</v>
      </c>
      <c r="BT5" s="189">
        <v>30</v>
      </c>
      <c r="BU5" s="189">
        <v>30.5</v>
      </c>
      <c r="BV5" s="189">
        <v>31</v>
      </c>
      <c r="BW5" s="189">
        <v>31.5</v>
      </c>
      <c r="BX5" s="189">
        <v>32</v>
      </c>
      <c r="BY5" s="189">
        <v>32.5</v>
      </c>
      <c r="BZ5" s="189">
        <v>33</v>
      </c>
      <c r="CA5" s="189">
        <v>33.5</v>
      </c>
      <c r="CB5" s="189">
        <v>34</v>
      </c>
      <c r="CC5" s="189">
        <v>34.5</v>
      </c>
      <c r="CD5" s="189">
        <v>35</v>
      </c>
      <c r="CE5" s="189">
        <v>35.5</v>
      </c>
      <c r="CF5" s="189">
        <v>36</v>
      </c>
      <c r="CG5" s="189">
        <v>36.5</v>
      </c>
      <c r="CH5" s="189">
        <v>37</v>
      </c>
      <c r="CI5" s="189">
        <v>37.5</v>
      </c>
      <c r="CJ5" s="189">
        <v>38</v>
      </c>
      <c r="CK5" s="189">
        <v>38.5</v>
      </c>
      <c r="CL5" s="189">
        <v>39</v>
      </c>
      <c r="CM5" s="189">
        <v>39.5</v>
      </c>
      <c r="CN5" s="189">
        <v>40</v>
      </c>
      <c r="CO5" s="189">
        <v>40.5</v>
      </c>
      <c r="CP5" s="189">
        <v>41</v>
      </c>
      <c r="CQ5" s="189">
        <v>41.5</v>
      </c>
      <c r="CR5" s="189">
        <v>42</v>
      </c>
      <c r="CS5" s="189">
        <v>42.5</v>
      </c>
      <c r="CT5" s="189">
        <v>43</v>
      </c>
      <c r="CU5" s="189">
        <v>43.5</v>
      </c>
      <c r="CV5" s="189">
        <v>44</v>
      </c>
      <c r="CW5" s="189">
        <v>44.5</v>
      </c>
      <c r="CX5" s="189">
        <v>45</v>
      </c>
      <c r="CY5" s="30"/>
      <c r="CZ5" s="30"/>
    </row>
    <row r="6" spans="1:104" x14ac:dyDescent="0.2">
      <c r="B6" s="189">
        <v>100</v>
      </c>
      <c r="C6" s="190">
        <v>0.97</v>
      </c>
      <c r="D6" s="144">
        <v>0.98</v>
      </c>
      <c r="E6" s="144">
        <v>0.99</v>
      </c>
      <c r="F6" s="144">
        <v>1</v>
      </c>
      <c r="G6" s="144">
        <v>1.0089999999999999</v>
      </c>
      <c r="H6" s="144">
        <v>1.0169999999999999</v>
      </c>
      <c r="I6" s="144">
        <v>1.026</v>
      </c>
      <c r="J6" s="144">
        <v>1.0329999999999999</v>
      </c>
      <c r="K6" s="144">
        <v>1.0409999999999999</v>
      </c>
      <c r="L6" s="144">
        <v>1.048</v>
      </c>
      <c r="M6" s="144">
        <v>1.056</v>
      </c>
      <c r="N6" s="144">
        <v>1.0620000000000001</v>
      </c>
      <c r="O6" s="144">
        <v>1.069</v>
      </c>
      <c r="P6" s="144">
        <v>1.0760000000000001</v>
      </c>
      <c r="Q6" s="144">
        <v>1.0820000000000001</v>
      </c>
      <c r="R6" s="144">
        <v>1.0880000000000001</v>
      </c>
      <c r="S6" s="144">
        <v>1.0940000000000001</v>
      </c>
      <c r="T6" s="144">
        <v>1.1000000000000001</v>
      </c>
      <c r="U6" s="144">
        <v>1.105</v>
      </c>
      <c r="V6" s="144">
        <v>1.111</v>
      </c>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c r="BH6" s="191"/>
      <c r="BI6" s="191"/>
      <c r="BJ6" s="191"/>
      <c r="BK6" s="191"/>
      <c r="BL6" s="191"/>
      <c r="BM6" s="191"/>
      <c r="BN6" s="191"/>
      <c r="BO6" s="191"/>
      <c r="BP6" s="191"/>
      <c r="BQ6" s="191"/>
      <c r="BR6" s="191"/>
      <c r="BS6" s="191"/>
      <c r="BT6" s="191"/>
      <c r="BU6" s="191"/>
      <c r="BV6" s="191"/>
      <c r="BW6" s="191"/>
      <c r="BX6" s="191"/>
      <c r="BY6" s="191"/>
      <c r="BZ6" s="191"/>
      <c r="CA6" s="191"/>
      <c r="CB6" s="191"/>
      <c r="CC6" s="191"/>
      <c r="CD6" s="191"/>
      <c r="CE6" s="191"/>
      <c r="CF6" s="191"/>
      <c r="CG6" s="191"/>
      <c r="CH6" s="191"/>
      <c r="CI6" s="191"/>
      <c r="CJ6" s="191"/>
      <c r="CK6" s="191"/>
      <c r="CL6" s="191"/>
      <c r="CM6" s="191"/>
      <c r="CN6" s="191"/>
      <c r="CO6" s="191"/>
      <c r="CP6" s="191"/>
      <c r="CQ6" s="191"/>
      <c r="CR6" s="191"/>
      <c r="CS6" s="191"/>
      <c r="CT6" s="191"/>
      <c r="CU6" s="191"/>
      <c r="CV6" s="191"/>
      <c r="CW6" s="191"/>
      <c r="CX6" s="192"/>
    </row>
    <row r="7" spans="1:104" x14ac:dyDescent="0.2">
      <c r="B7" s="189">
        <v>110</v>
      </c>
      <c r="C7" s="193">
        <v>0.96299999999999997</v>
      </c>
      <c r="D7" s="145">
        <v>0.97299999999999998</v>
      </c>
      <c r="E7" s="145">
        <v>0.98399999999999999</v>
      </c>
      <c r="F7" s="145">
        <v>0.99299999999999999</v>
      </c>
      <c r="G7" s="145">
        <v>1.002</v>
      </c>
      <c r="H7" s="145">
        <v>1.0109999999999999</v>
      </c>
      <c r="I7" s="145">
        <v>1.0189999999999999</v>
      </c>
      <c r="J7" s="145">
        <v>1.0269999999999999</v>
      </c>
      <c r="K7" s="145">
        <v>1.0349999999999999</v>
      </c>
      <c r="L7" s="145">
        <v>1.0429999999999999</v>
      </c>
      <c r="M7" s="145">
        <v>1.05</v>
      </c>
      <c r="N7" s="145">
        <v>1.0569999999999999</v>
      </c>
      <c r="O7" s="145">
        <v>1.0640000000000001</v>
      </c>
      <c r="P7" s="145">
        <v>1.07</v>
      </c>
      <c r="Q7" s="145">
        <v>1.0760000000000001</v>
      </c>
      <c r="R7" s="145">
        <v>1.083</v>
      </c>
      <c r="S7" s="145">
        <v>1.089</v>
      </c>
      <c r="T7" s="145">
        <v>1.0940000000000001</v>
      </c>
      <c r="U7" s="145">
        <v>1.1000000000000001</v>
      </c>
      <c r="V7" s="145">
        <v>1.1060000000000001</v>
      </c>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194"/>
    </row>
    <row r="8" spans="1:104" x14ac:dyDescent="0.2">
      <c r="B8" s="189">
        <v>120</v>
      </c>
      <c r="C8" s="193">
        <v>0.95499999999999996</v>
      </c>
      <c r="D8" s="145">
        <v>0.96599999999999997</v>
      </c>
      <c r="E8" s="145">
        <v>0.97699999999999998</v>
      </c>
      <c r="F8" s="145">
        <v>0.98699999999999999</v>
      </c>
      <c r="G8" s="145">
        <v>0.996</v>
      </c>
      <c r="H8" s="145">
        <v>1.0049999999999999</v>
      </c>
      <c r="I8" s="145">
        <v>1.0129999999999999</v>
      </c>
      <c r="J8" s="145">
        <v>1.0209999999999999</v>
      </c>
      <c r="K8" s="145">
        <v>1.0289999999999999</v>
      </c>
      <c r="L8" s="145">
        <v>1.0369999999999999</v>
      </c>
      <c r="M8" s="145">
        <v>1.044</v>
      </c>
      <c r="N8" s="145">
        <v>1.0509999999999999</v>
      </c>
      <c r="O8" s="145">
        <v>1.0580000000000001</v>
      </c>
      <c r="P8" s="145">
        <v>1.0640000000000001</v>
      </c>
      <c r="Q8" s="145">
        <v>1.071</v>
      </c>
      <c r="R8" s="145">
        <v>1.077</v>
      </c>
      <c r="S8" s="145">
        <v>1.083</v>
      </c>
      <c r="T8" s="145">
        <v>1.089</v>
      </c>
      <c r="U8" s="145">
        <v>1.095</v>
      </c>
      <c r="V8" s="145">
        <v>1.1000000000000001</v>
      </c>
      <c r="W8" s="91"/>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194"/>
    </row>
    <row r="9" spans="1:104" x14ac:dyDescent="0.2">
      <c r="B9" s="189">
        <v>125</v>
      </c>
      <c r="C9" s="193">
        <v>0.95099999999999996</v>
      </c>
      <c r="D9" s="145">
        <v>0.96299999999999997</v>
      </c>
      <c r="E9" s="145">
        <v>0.97299999999999998</v>
      </c>
      <c r="F9" s="145">
        <v>0.98299999999999998</v>
      </c>
      <c r="G9" s="145">
        <v>0.99199999999999999</v>
      </c>
      <c r="H9" s="145">
        <v>1.0009999999999999</v>
      </c>
      <c r="I9" s="145">
        <v>1.01</v>
      </c>
      <c r="J9" s="145">
        <v>1.018</v>
      </c>
      <c r="K9" s="145">
        <v>1.026</v>
      </c>
      <c r="L9" s="145">
        <v>1.034</v>
      </c>
      <c r="M9" s="145">
        <v>1.0409999999999999</v>
      </c>
      <c r="N9" s="145">
        <v>1.048</v>
      </c>
      <c r="O9" s="145">
        <v>1.0549999999999999</v>
      </c>
      <c r="P9" s="145">
        <v>1.0620000000000001</v>
      </c>
      <c r="Q9" s="145">
        <v>1.0680000000000001</v>
      </c>
      <c r="R9" s="145">
        <v>1.0740000000000001</v>
      </c>
      <c r="S9" s="145">
        <v>1.08</v>
      </c>
      <c r="T9" s="145">
        <v>1.0860000000000001</v>
      </c>
      <c r="U9" s="145">
        <v>1.0920000000000001</v>
      </c>
      <c r="V9" s="145">
        <v>1.0980000000000001</v>
      </c>
      <c r="W9" s="91"/>
      <c r="X9" s="91"/>
      <c r="Y9" s="91"/>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194"/>
    </row>
    <row r="10" spans="1:104" x14ac:dyDescent="0.2">
      <c r="B10" s="189">
        <v>130</v>
      </c>
      <c r="C10" s="193">
        <v>0.94699999999999995</v>
      </c>
      <c r="D10" s="145">
        <v>0.95899999999999996</v>
      </c>
      <c r="E10" s="145">
        <v>0.96899999999999997</v>
      </c>
      <c r="F10" s="145">
        <v>0.98</v>
      </c>
      <c r="G10" s="145">
        <v>0.98899999999999999</v>
      </c>
      <c r="H10" s="145">
        <v>0.998</v>
      </c>
      <c r="I10" s="145">
        <v>1.0069999999999999</v>
      </c>
      <c r="J10" s="145">
        <v>1.0149999999999999</v>
      </c>
      <c r="K10" s="145">
        <v>1.0229999999999999</v>
      </c>
      <c r="L10" s="145">
        <v>1.0309999999999999</v>
      </c>
      <c r="M10" s="145">
        <v>1.038</v>
      </c>
      <c r="N10" s="145">
        <v>1.0449999999999999</v>
      </c>
      <c r="O10" s="145">
        <v>1.052</v>
      </c>
      <c r="P10" s="145">
        <v>1.0589999999999999</v>
      </c>
      <c r="Q10" s="145">
        <v>1.0649999999999999</v>
      </c>
      <c r="R10" s="145">
        <v>1.071</v>
      </c>
      <c r="S10" s="145">
        <v>1.0780000000000001</v>
      </c>
      <c r="T10" s="145">
        <v>1.0840000000000001</v>
      </c>
      <c r="U10" s="145">
        <v>1.089</v>
      </c>
      <c r="V10" s="145">
        <v>1.095</v>
      </c>
      <c r="W10" s="91"/>
      <c r="X10" s="91"/>
      <c r="Y10" s="91"/>
      <c r="Z10" s="91"/>
      <c r="AA10" s="91"/>
      <c r="AB10" s="91"/>
      <c r="AC10" s="91"/>
      <c r="AD10" s="91"/>
      <c r="AE10" s="91"/>
      <c r="AF10" s="91"/>
      <c r="AG10" s="91"/>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c r="CK10" s="91"/>
      <c r="CL10" s="91"/>
      <c r="CM10" s="91"/>
      <c r="CN10" s="91"/>
      <c r="CO10" s="91"/>
      <c r="CP10" s="91"/>
      <c r="CQ10" s="91"/>
      <c r="CR10" s="91"/>
      <c r="CS10" s="91"/>
      <c r="CT10" s="91"/>
      <c r="CU10" s="91"/>
      <c r="CV10" s="91"/>
      <c r="CW10" s="91"/>
      <c r="CX10" s="194"/>
    </row>
    <row r="11" spans="1:104" x14ac:dyDescent="0.2">
      <c r="B11" s="189">
        <v>140</v>
      </c>
      <c r="C11" s="193">
        <v>0.93899999999999995</v>
      </c>
      <c r="D11" s="145">
        <v>0.95099999999999996</v>
      </c>
      <c r="E11" s="145">
        <v>0.96199999999999997</v>
      </c>
      <c r="F11" s="145">
        <v>0.97199999999999998</v>
      </c>
      <c r="G11" s="145">
        <v>0.98199999999999998</v>
      </c>
      <c r="H11" s="145">
        <v>0.99099999999999999</v>
      </c>
      <c r="I11" s="145">
        <v>1</v>
      </c>
      <c r="J11" s="145">
        <v>1.008</v>
      </c>
      <c r="K11" s="145">
        <v>1.0169999999999999</v>
      </c>
      <c r="L11" s="145">
        <v>1.024</v>
      </c>
      <c r="M11" s="145">
        <v>1.032</v>
      </c>
      <c r="N11" s="145">
        <v>1.0389999999999999</v>
      </c>
      <c r="O11" s="145">
        <v>1.046</v>
      </c>
      <c r="P11" s="145">
        <v>1.0529999999999999</v>
      </c>
      <c r="Q11" s="145">
        <v>1.0589999999999999</v>
      </c>
      <c r="R11" s="145">
        <v>1.0660000000000001</v>
      </c>
      <c r="S11" s="145">
        <v>1.0720000000000001</v>
      </c>
      <c r="T11" s="145">
        <v>1.0780000000000001</v>
      </c>
      <c r="U11" s="145">
        <v>1.0840000000000001</v>
      </c>
      <c r="V11" s="145">
        <v>1.0900000000000001</v>
      </c>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1"/>
      <c r="CT11" s="91"/>
      <c r="CU11" s="91"/>
      <c r="CV11" s="91"/>
      <c r="CW11" s="91"/>
      <c r="CX11" s="194"/>
    </row>
    <row r="12" spans="1:104" x14ac:dyDescent="0.2">
      <c r="B12" s="189">
        <v>150</v>
      </c>
      <c r="C12" s="193">
        <v>0.93</v>
      </c>
      <c r="D12" s="145">
        <v>0.94299999999999995</v>
      </c>
      <c r="E12" s="145">
        <v>0.95399999999999996</v>
      </c>
      <c r="F12" s="145">
        <v>0.96499999999999997</v>
      </c>
      <c r="G12" s="145">
        <v>0.97499999999999998</v>
      </c>
      <c r="H12" s="145">
        <v>0.98399999999999999</v>
      </c>
      <c r="I12" s="145">
        <v>0.99299999999999999</v>
      </c>
      <c r="J12" s="145">
        <v>1.002</v>
      </c>
      <c r="K12" s="145">
        <v>1.01</v>
      </c>
      <c r="L12" s="145">
        <v>1.018</v>
      </c>
      <c r="M12" s="145">
        <v>1.026</v>
      </c>
      <c r="N12" s="145">
        <v>1.0329999999999999</v>
      </c>
      <c r="O12" s="145">
        <v>1.04</v>
      </c>
      <c r="P12" s="145">
        <v>1.0469999999999999</v>
      </c>
      <c r="Q12" s="145">
        <v>1.054</v>
      </c>
      <c r="R12" s="145">
        <v>1.06</v>
      </c>
      <c r="S12" s="145">
        <v>1.0660000000000001</v>
      </c>
      <c r="T12" s="145">
        <v>1.0720000000000001</v>
      </c>
      <c r="U12" s="145">
        <v>1.0780000000000001</v>
      </c>
      <c r="V12" s="145">
        <v>1.0840000000000001</v>
      </c>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1"/>
      <c r="CF12" s="91"/>
      <c r="CG12" s="91"/>
      <c r="CH12" s="91"/>
      <c r="CI12" s="91"/>
      <c r="CJ12" s="91"/>
      <c r="CK12" s="91"/>
      <c r="CL12" s="91"/>
      <c r="CM12" s="91"/>
      <c r="CN12" s="91"/>
      <c r="CO12" s="91"/>
      <c r="CP12" s="91"/>
      <c r="CQ12" s="91"/>
      <c r="CR12" s="91"/>
      <c r="CS12" s="91"/>
      <c r="CT12" s="91"/>
      <c r="CU12" s="91"/>
      <c r="CV12" s="91"/>
      <c r="CW12" s="91"/>
      <c r="CX12" s="194"/>
    </row>
    <row r="13" spans="1:104" x14ac:dyDescent="0.2">
      <c r="B13" s="189">
        <v>160</v>
      </c>
      <c r="C13" s="193">
        <v>0.92100000000000004</v>
      </c>
      <c r="D13" s="145">
        <v>0.93400000000000005</v>
      </c>
      <c r="E13" s="145">
        <v>0.94599999999999995</v>
      </c>
      <c r="F13" s="145">
        <v>0.95699999999999996</v>
      </c>
      <c r="G13" s="145">
        <v>0.96699999999999997</v>
      </c>
      <c r="H13" s="145">
        <v>0.97699999999999998</v>
      </c>
      <c r="I13" s="145">
        <v>0.98599999999999999</v>
      </c>
      <c r="J13" s="145">
        <v>0.995</v>
      </c>
      <c r="K13" s="145">
        <v>1.0029999999999999</v>
      </c>
      <c r="L13" s="145">
        <v>1.0109999999999999</v>
      </c>
      <c r="M13" s="145">
        <v>1.0189999999999999</v>
      </c>
      <c r="N13" s="145">
        <v>1.0269999999999999</v>
      </c>
      <c r="O13" s="145">
        <v>1.034</v>
      </c>
      <c r="P13" s="145">
        <v>1.0409999999999999</v>
      </c>
      <c r="Q13" s="145">
        <v>1.048</v>
      </c>
      <c r="R13" s="145">
        <v>1.054</v>
      </c>
      <c r="S13" s="145">
        <v>1.0609999999999999</v>
      </c>
      <c r="T13" s="145">
        <v>1.0669999999999999</v>
      </c>
      <c r="U13" s="145">
        <v>1.073</v>
      </c>
      <c r="V13" s="145">
        <v>1.079</v>
      </c>
      <c r="W13" s="91"/>
      <c r="X13" s="91"/>
      <c r="Y13" s="91"/>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1"/>
      <c r="CT13" s="91"/>
      <c r="CU13" s="91"/>
      <c r="CV13" s="91"/>
      <c r="CW13" s="91"/>
      <c r="CX13" s="194"/>
    </row>
    <row r="14" spans="1:104" x14ac:dyDescent="0.2">
      <c r="B14" s="189">
        <v>170</v>
      </c>
      <c r="C14" s="193">
        <v>0.91200000000000003</v>
      </c>
      <c r="D14" s="145">
        <v>0.92500000000000004</v>
      </c>
      <c r="E14" s="145">
        <v>0.93799999999999994</v>
      </c>
      <c r="F14" s="145">
        <v>0.94899999999999995</v>
      </c>
      <c r="G14" s="145">
        <v>0.96</v>
      </c>
      <c r="H14" s="145">
        <v>0.97</v>
      </c>
      <c r="I14" s="145">
        <v>0.97899999999999998</v>
      </c>
      <c r="J14" s="145">
        <v>0.98799999999999999</v>
      </c>
      <c r="K14" s="145">
        <v>0.997</v>
      </c>
      <c r="L14" s="145">
        <v>1.0049999999999999</v>
      </c>
      <c r="M14" s="145">
        <v>1.0129999999999999</v>
      </c>
      <c r="N14" s="145">
        <v>1.02</v>
      </c>
      <c r="O14" s="145">
        <v>1.028</v>
      </c>
      <c r="P14" s="145">
        <v>1.0349999999999999</v>
      </c>
      <c r="Q14" s="145">
        <v>1.042</v>
      </c>
      <c r="R14" s="145">
        <v>1.048</v>
      </c>
      <c r="S14" s="145">
        <v>1.0549999999999999</v>
      </c>
      <c r="T14" s="145">
        <v>1.0609999999999999</v>
      </c>
      <c r="U14" s="145">
        <v>1.0669999999999999</v>
      </c>
      <c r="V14" s="145">
        <v>1.073</v>
      </c>
      <c r="W14" s="91"/>
      <c r="X14" s="91"/>
      <c r="Y14" s="91"/>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1"/>
      <c r="CF14" s="91"/>
      <c r="CG14" s="91"/>
      <c r="CH14" s="91"/>
      <c r="CI14" s="91"/>
      <c r="CJ14" s="91"/>
      <c r="CK14" s="91"/>
      <c r="CL14" s="91"/>
      <c r="CM14" s="91"/>
      <c r="CN14" s="91"/>
      <c r="CO14" s="91"/>
      <c r="CP14" s="91"/>
      <c r="CQ14" s="91"/>
      <c r="CR14" s="91"/>
      <c r="CS14" s="91"/>
      <c r="CT14" s="91"/>
      <c r="CU14" s="91"/>
      <c r="CV14" s="91"/>
      <c r="CW14" s="91"/>
      <c r="CX14" s="194"/>
    </row>
    <row r="15" spans="1:104" x14ac:dyDescent="0.2">
      <c r="B15" s="189">
        <v>175</v>
      </c>
      <c r="C15" s="193">
        <v>0.90700000000000003</v>
      </c>
      <c r="D15" s="145">
        <v>0.92100000000000004</v>
      </c>
      <c r="E15" s="145">
        <v>0.93300000000000005</v>
      </c>
      <c r="F15" s="145">
        <v>0.94499999999999995</v>
      </c>
      <c r="G15" s="145">
        <v>0.95599999999999996</v>
      </c>
      <c r="H15" s="145">
        <v>0.96599999999999997</v>
      </c>
      <c r="I15" s="145">
        <v>0.97499999999999998</v>
      </c>
      <c r="J15" s="145">
        <v>0.98499999999999999</v>
      </c>
      <c r="K15" s="145">
        <v>0.99299999999999999</v>
      </c>
      <c r="L15" s="145">
        <v>1.002</v>
      </c>
      <c r="M15" s="145">
        <v>1.01</v>
      </c>
      <c r="N15" s="145">
        <v>1.0169999999999999</v>
      </c>
      <c r="O15" s="145">
        <v>1.0249999999999999</v>
      </c>
      <c r="P15" s="145">
        <v>1.032</v>
      </c>
      <c r="Q15" s="145">
        <v>1.0389999999999999</v>
      </c>
      <c r="R15" s="145">
        <v>1.0449999999999999</v>
      </c>
      <c r="S15" s="145">
        <v>1.052</v>
      </c>
      <c r="T15" s="145">
        <v>1.0580000000000001</v>
      </c>
      <c r="U15" s="145">
        <v>1.0640000000000001</v>
      </c>
      <c r="V15" s="145">
        <v>1.07</v>
      </c>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K15" s="91"/>
      <c r="CL15" s="91"/>
      <c r="CM15" s="91"/>
      <c r="CN15" s="91"/>
      <c r="CO15" s="91"/>
      <c r="CP15" s="91"/>
      <c r="CQ15" s="91"/>
      <c r="CR15" s="91"/>
      <c r="CS15" s="91"/>
      <c r="CT15" s="91"/>
      <c r="CU15" s="91"/>
      <c r="CV15" s="91"/>
      <c r="CW15" s="91"/>
      <c r="CX15" s="194"/>
    </row>
    <row r="16" spans="1:104" x14ac:dyDescent="0.2">
      <c r="B16" s="189">
        <v>180</v>
      </c>
      <c r="C16" s="193">
        <v>0.90200000000000002</v>
      </c>
      <c r="D16" s="145">
        <v>0.91600000000000004</v>
      </c>
      <c r="E16" s="145">
        <v>0.92900000000000005</v>
      </c>
      <c r="F16" s="145">
        <v>0.94099999999999995</v>
      </c>
      <c r="G16" s="145">
        <v>0.95199999999999996</v>
      </c>
      <c r="H16" s="145">
        <v>0.96199999999999997</v>
      </c>
      <c r="I16" s="145">
        <v>0.97199999999999998</v>
      </c>
      <c r="J16" s="145">
        <v>0.98099999999999998</v>
      </c>
      <c r="K16" s="145">
        <v>0.99</v>
      </c>
      <c r="L16" s="145">
        <v>0.998</v>
      </c>
      <c r="M16" s="145">
        <v>1.006</v>
      </c>
      <c r="N16" s="145">
        <v>1.014</v>
      </c>
      <c r="O16" s="145">
        <v>1.0209999999999999</v>
      </c>
      <c r="P16" s="145">
        <v>1.0289999999999999</v>
      </c>
      <c r="Q16" s="145">
        <v>1.036</v>
      </c>
      <c r="R16" s="145">
        <v>1.042</v>
      </c>
      <c r="S16" s="145">
        <v>1.0489999999999999</v>
      </c>
      <c r="T16" s="145">
        <v>1.0549999999999999</v>
      </c>
      <c r="U16" s="145">
        <v>1.0620000000000001</v>
      </c>
      <c r="V16" s="145">
        <v>1.0680000000000001</v>
      </c>
      <c r="W16" s="91"/>
      <c r="X16" s="91"/>
      <c r="Y16" s="91"/>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1"/>
      <c r="CF16" s="91"/>
      <c r="CG16" s="91"/>
      <c r="CH16" s="91"/>
      <c r="CI16" s="91"/>
      <c r="CJ16" s="91"/>
      <c r="CK16" s="91"/>
      <c r="CL16" s="91"/>
      <c r="CM16" s="91"/>
      <c r="CN16" s="91"/>
      <c r="CO16" s="91"/>
      <c r="CP16" s="91"/>
      <c r="CQ16" s="91"/>
      <c r="CR16" s="91"/>
      <c r="CS16" s="91"/>
      <c r="CT16" s="91"/>
      <c r="CU16" s="91"/>
      <c r="CV16" s="91"/>
      <c r="CW16" s="91"/>
      <c r="CX16" s="194"/>
    </row>
    <row r="17" spans="2:102" x14ac:dyDescent="0.2">
      <c r="B17" s="189">
        <v>190</v>
      </c>
      <c r="C17" s="193">
        <v>0.89200000000000002</v>
      </c>
      <c r="D17" s="145">
        <v>0.90700000000000003</v>
      </c>
      <c r="E17" s="145">
        <v>0.92</v>
      </c>
      <c r="F17" s="145">
        <v>0.93200000000000005</v>
      </c>
      <c r="G17" s="145">
        <v>0.94399999999999995</v>
      </c>
      <c r="H17" s="145">
        <v>0.95399999999999996</v>
      </c>
      <c r="I17" s="145">
        <v>0.96399999999999997</v>
      </c>
      <c r="J17" s="145">
        <v>0.97399999999999998</v>
      </c>
      <c r="K17" s="145">
        <v>0.98299999999999998</v>
      </c>
      <c r="L17" s="145">
        <v>0.99099999999999999</v>
      </c>
      <c r="M17" s="145">
        <v>1</v>
      </c>
      <c r="N17" s="145">
        <v>1.0069999999999999</v>
      </c>
      <c r="O17" s="145">
        <v>1.0149999999999999</v>
      </c>
      <c r="P17" s="145">
        <v>1.022</v>
      </c>
      <c r="Q17" s="145">
        <v>1.03</v>
      </c>
      <c r="R17" s="145">
        <v>1.036</v>
      </c>
      <c r="S17" s="145">
        <v>1.0429999999999999</v>
      </c>
      <c r="T17" s="145">
        <v>1.05</v>
      </c>
      <c r="U17" s="145">
        <v>1.056</v>
      </c>
      <c r="V17" s="145">
        <v>1.0620000000000001</v>
      </c>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1"/>
      <c r="CT17" s="91"/>
      <c r="CU17" s="91"/>
      <c r="CV17" s="91"/>
      <c r="CW17" s="91"/>
      <c r="CX17" s="194"/>
    </row>
    <row r="18" spans="2:102" x14ac:dyDescent="0.2">
      <c r="B18" s="189">
        <v>200</v>
      </c>
      <c r="C18" s="193">
        <v>0.88100000000000001</v>
      </c>
      <c r="D18" s="145">
        <v>0.89700000000000002</v>
      </c>
      <c r="E18" s="145">
        <v>0.91100000000000003</v>
      </c>
      <c r="F18" s="145">
        <v>0.92400000000000004</v>
      </c>
      <c r="G18" s="145">
        <v>0.93500000000000005</v>
      </c>
      <c r="H18" s="145">
        <v>0.94599999999999995</v>
      </c>
      <c r="I18" s="145">
        <v>0.95699999999999996</v>
      </c>
      <c r="J18" s="145">
        <v>0.96599999999999997</v>
      </c>
      <c r="K18" s="145">
        <v>0.97599999999999998</v>
      </c>
      <c r="L18" s="145">
        <v>0.98399999999999999</v>
      </c>
      <c r="M18" s="145">
        <v>0.99299999999999999</v>
      </c>
      <c r="N18" s="145">
        <v>1.0009999999999999</v>
      </c>
      <c r="O18" s="145">
        <v>1.0089999999999999</v>
      </c>
      <c r="P18" s="145">
        <v>1.016</v>
      </c>
      <c r="Q18" s="145">
        <v>1.0229999999999999</v>
      </c>
      <c r="R18" s="145">
        <v>1.03</v>
      </c>
      <c r="S18" s="145">
        <v>1.0369999999999999</v>
      </c>
      <c r="T18" s="145">
        <v>1.044</v>
      </c>
      <c r="U18" s="145">
        <v>1.05</v>
      </c>
      <c r="V18" s="145">
        <v>1.056</v>
      </c>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1"/>
      <c r="CF18" s="91"/>
      <c r="CG18" s="91"/>
      <c r="CH18" s="91"/>
      <c r="CI18" s="91"/>
      <c r="CJ18" s="91"/>
      <c r="CK18" s="91"/>
      <c r="CL18" s="91"/>
      <c r="CM18" s="91"/>
      <c r="CN18" s="91"/>
      <c r="CO18" s="91"/>
      <c r="CP18" s="91"/>
      <c r="CQ18" s="91"/>
      <c r="CR18" s="91"/>
      <c r="CS18" s="91"/>
      <c r="CT18" s="91"/>
      <c r="CU18" s="91"/>
      <c r="CV18" s="91"/>
      <c r="CW18" s="91"/>
      <c r="CX18" s="194"/>
    </row>
    <row r="19" spans="2:102" x14ac:dyDescent="0.2">
      <c r="B19" s="189">
        <v>210</v>
      </c>
      <c r="C19" s="193">
        <v>0.87</v>
      </c>
      <c r="D19" s="145">
        <v>0.88700000000000001</v>
      </c>
      <c r="E19" s="145">
        <v>0.90200000000000002</v>
      </c>
      <c r="F19" s="145">
        <v>0.91500000000000004</v>
      </c>
      <c r="G19" s="145">
        <v>0.92700000000000005</v>
      </c>
      <c r="H19" s="145">
        <v>0.93799999999999994</v>
      </c>
      <c r="I19" s="145">
        <v>0.94899999999999995</v>
      </c>
      <c r="J19" s="145">
        <v>0.95899999999999996</v>
      </c>
      <c r="K19" s="145">
        <v>0.96799999999999997</v>
      </c>
      <c r="L19" s="145">
        <v>0.97699999999999998</v>
      </c>
      <c r="M19" s="145">
        <v>0.98599999999999999</v>
      </c>
      <c r="N19" s="145">
        <v>0.99399999999999999</v>
      </c>
      <c r="O19" s="145">
        <v>1.002</v>
      </c>
      <c r="P19" s="145">
        <v>1.01</v>
      </c>
      <c r="Q19" s="145">
        <v>1.0169999999999999</v>
      </c>
      <c r="R19" s="145">
        <v>1.024</v>
      </c>
      <c r="S19" s="145">
        <v>1.0309999999999999</v>
      </c>
      <c r="T19" s="145">
        <v>1.038</v>
      </c>
      <c r="U19" s="145">
        <v>1.044</v>
      </c>
      <c r="V19" s="145">
        <v>1.0509999999999999</v>
      </c>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1"/>
      <c r="CT19" s="91"/>
      <c r="CU19" s="91"/>
      <c r="CV19" s="91"/>
      <c r="CW19" s="91"/>
      <c r="CX19" s="194"/>
    </row>
    <row r="20" spans="2:102" x14ac:dyDescent="0.2">
      <c r="B20" s="189">
        <v>220</v>
      </c>
      <c r="C20" s="193">
        <v>0.85899999999999999</v>
      </c>
      <c r="D20" s="145">
        <v>0.876</v>
      </c>
      <c r="E20" s="145">
        <v>0.89200000000000002</v>
      </c>
      <c r="F20" s="145">
        <v>0.90600000000000003</v>
      </c>
      <c r="G20" s="145">
        <v>0.91800000000000004</v>
      </c>
      <c r="H20" s="145">
        <v>0.93</v>
      </c>
      <c r="I20" s="145">
        <v>0.94099999999999995</v>
      </c>
      <c r="J20" s="145">
        <v>0.95099999999999996</v>
      </c>
      <c r="K20" s="145">
        <v>0.96099999999999997</v>
      </c>
      <c r="L20" s="145">
        <v>0.97</v>
      </c>
      <c r="M20" s="145">
        <v>0.97899999999999998</v>
      </c>
      <c r="N20" s="145">
        <v>0.98799999999999999</v>
      </c>
      <c r="O20" s="145">
        <v>0.996</v>
      </c>
      <c r="P20" s="145">
        <v>1.0029999999999999</v>
      </c>
      <c r="Q20" s="145">
        <v>1.0109999999999999</v>
      </c>
      <c r="R20" s="145">
        <v>1.018</v>
      </c>
      <c r="S20" s="145">
        <v>1.0249999999999999</v>
      </c>
      <c r="T20" s="145">
        <v>1.032</v>
      </c>
      <c r="U20" s="145">
        <v>1.0389999999999999</v>
      </c>
      <c r="V20" s="145">
        <v>1.0449999999999999</v>
      </c>
      <c r="W20" s="91"/>
      <c r="X20" s="91"/>
      <c r="Y20" s="91"/>
      <c r="Z20" s="91"/>
      <c r="AA20" s="91"/>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1"/>
      <c r="CF20" s="91"/>
      <c r="CG20" s="91"/>
      <c r="CH20" s="91"/>
      <c r="CI20" s="91"/>
      <c r="CJ20" s="91"/>
      <c r="CK20" s="91"/>
      <c r="CL20" s="91"/>
      <c r="CM20" s="91"/>
      <c r="CN20" s="91"/>
      <c r="CO20" s="91"/>
      <c r="CP20" s="91"/>
      <c r="CQ20" s="91"/>
      <c r="CR20" s="91"/>
      <c r="CS20" s="91"/>
      <c r="CT20" s="91"/>
      <c r="CU20" s="91"/>
      <c r="CV20" s="91"/>
      <c r="CW20" s="91"/>
      <c r="CX20" s="194"/>
    </row>
    <row r="21" spans="2:102" x14ac:dyDescent="0.2">
      <c r="B21" s="189">
        <v>225</v>
      </c>
      <c r="C21" s="193">
        <v>0.85299999999999998</v>
      </c>
      <c r="D21" s="145">
        <v>0.871</v>
      </c>
      <c r="E21" s="145">
        <v>0.88700000000000001</v>
      </c>
      <c r="F21" s="145">
        <v>0.90100000000000002</v>
      </c>
      <c r="G21" s="145">
        <v>0.91400000000000003</v>
      </c>
      <c r="H21" s="145">
        <v>0.92600000000000005</v>
      </c>
      <c r="I21" s="145">
        <v>0.93700000000000006</v>
      </c>
      <c r="J21" s="145">
        <v>0.94699999999999995</v>
      </c>
      <c r="K21" s="145">
        <v>0.95699999999999996</v>
      </c>
      <c r="L21" s="145">
        <v>0.96699999999999997</v>
      </c>
      <c r="M21" s="145">
        <v>0.97599999999999998</v>
      </c>
      <c r="N21" s="145">
        <v>0.98399999999999999</v>
      </c>
      <c r="O21" s="145">
        <v>0.99199999999999999</v>
      </c>
      <c r="P21" s="145">
        <v>1</v>
      </c>
      <c r="Q21" s="145">
        <v>1.008</v>
      </c>
      <c r="R21" s="145">
        <v>1.0149999999999999</v>
      </c>
      <c r="S21" s="145">
        <v>1.022</v>
      </c>
      <c r="T21" s="145">
        <v>1.0289999999999999</v>
      </c>
      <c r="U21" s="145">
        <v>1.036</v>
      </c>
      <c r="V21" s="145">
        <v>1.042</v>
      </c>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K21" s="91"/>
      <c r="CL21" s="91"/>
      <c r="CM21" s="91"/>
      <c r="CN21" s="91"/>
      <c r="CO21" s="91"/>
      <c r="CP21" s="91"/>
      <c r="CQ21" s="91"/>
      <c r="CR21" s="91"/>
      <c r="CS21" s="91"/>
      <c r="CT21" s="91"/>
      <c r="CU21" s="91"/>
      <c r="CV21" s="91"/>
      <c r="CW21" s="91"/>
      <c r="CX21" s="194"/>
    </row>
    <row r="22" spans="2:102" x14ac:dyDescent="0.2">
      <c r="B22" s="189">
        <v>230</v>
      </c>
      <c r="C22" s="193">
        <v>0.84699999999999998</v>
      </c>
      <c r="D22" s="145">
        <v>0.86599999999999999</v>
      </c>
      <c r="E22" s="145">
        <v>0.88200000000000001</v>
      </c>
      <c r="F22" s="145">
        <v>0.89600000000000002</v>
      </c>
      <c r="G22" s="145">
        <v>0.90900000000000003</v>
      </c>
      <c r="H22" s="145">
        <v>0.92200000000000004</v>
      </c>
      <c r="I22" s="145">
        <v>0.93300000000000005</v>
      </c>
      <c r="J22" s="145">
        <v>0.94399999999999995</v>
      </c>
      <c r="K22" s="145">
        <v>0.95399999999999996</v>
      </c>
      <c r="L22" s="145">
        <v>0.96299999999999997</v>
      </c>
      <c r="M22" s="145">
        <v>0.97199999999999998</v>
      </c>
      <c r="N22" s="145">
        <v>0.98099999999999998</v>
      </c>
      <c r="O22" s="145">
        <v>0.98899999999999999</v>
      </c>
      <c r="P22" s="145">
        <v>0.997</v>
      </c>
      <c r="Q22" s="145">
        <v>1.0049999999999999</v>
      </c>
      <c r="R22" s="145">
        <v>1.012</v>
      </c>
      <c r="S22" s="145">
        <v>1.0189999999999999</v>
      </c>
      <c r="T22" s="145">
        <v>1.026</v>
      </c>
      <c r="U22" s="145">
        <v>1.0329999999999999</v>
      </c>
      <c r="V22" s="145">
        <v>1.0389999999999999</v>
      </c>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1"/>
      <c r="CT22" s="91"/>
      <c r="CU22" s="91"/>
      <c r="CV22" s="91"/>
      <c r="CW22" s="91"/>
      <c r="CX22" s="194"/>
    </row>
    <row r="23" spans="2:102" x14ac:dyDescent="0.2">
      <c r="B23" s="189">
        <v>240</v>
      </c>
      <c r="C23" s="193">
        <v>0.83399999999999996</v>
      </c>
      <c r="D23" s="145">
        <v>0.85399999999999998</v>
      </c>
      <c r="E23" s="145">
        <v>0.871</v>
      </c>
      <c r="F23" s="145">
        <v>0.88700000000000001</v>
      </c>
      <c r="G23" s="145">
        <v>0.9</v>
      </c>
      <c r="H23" s="145">
        <v>0.91300000000000003</v>
      </c>
      <c r="I23" s="145">
        <v>0.92500000000000004</v>
      </c>
      <c r="J23" s="145">
        <v>0.93600000000000005</v>
      </c>
      <c r="K23" s="145">
        <v>0.94599999999999995</v>
      </c>
      <c r="L23" s="145">
        <v>0.95599999999999996</v>
      </c>
      <c r="M23" s="145">
        <v>0.96499999999999997</v>
      </c>
      <c r="N23" s="145">
        <v>0.97399999999999998</v>
      </c>
      <c r="O23" s="145">
        <v>0.98199999999999998</v>
      </c>
      <c r="P23" s="145">
        <v>0.99</v>
      </c>
      <c r="Q23" s="145">
        <v>0.998</v>
      </c>
      <c r="R23" s="145">
        <v>1.006</v>
      </c>
      <c r="S23" s="145">
        <v>1.0129999999999999</v>
      </c>
      <c r="T23" s="145">
        <v>1.02</v>
      </c>
      <c r="U23" s="145">
        <v>1.0269999999999999</v>
      </c>
      <c r="V23" s="145">
        <v>1.034</v>
      </c>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1"/>
      <c r="CT23" s="91"/>
      <c r="CU23" s="91"/>
      <c r="CV23" s="91"/>
      <c r="CW23" s="91"/>
      <c r="CX23" s="194"/>
    </row>
    <row r="24" spans="2:102" x14ac:dyDescent="0.2">
      <c r="B24" s="189">
        <v>250</v>
      </c>
      <c r="C24" s="193">
        <v>0.82099999999999995</v>
      </c>
      <c r="D24" s="145">
        <v>0.84299999999999997</v>
      </c>
      <c r="E24" s="145">
        <v>0.86099999999999999</v>
      </c>
      <c r="F24" s="145">
        <v>0.877</v>
      </c>
      <c r="G24" s="145">
        <v>0.89100000000000001</v>
      </c>
      <c r="H24" s="145">
        <v>0.90400000000000003</v>
      </c>
      <c r="I24" s="145">
        <v>0.91600000000000004</v>
      </c>
      <c r="J24" s="145">
        <v>0.92800000000000005</v>
      </c>
      <c r="K24" s="145">
        <v>0.93799999999999994</v>
      </c>
      <c r="L24" s="145">
        <v>0.94799999999999995</v>
      </c>
      <c r="M24" s="145">
        <v>0.95799999999999996</v>
      </c>
      <c r="N24" s="145">
        <v>0.96699999999999997</v>
      </c>
      <c r="O24" s="145">
        <v>0.97499999999999998</v>
      </c>
      <c r="P24" s="145">
        <v>0.98399999999999999</v>
      </c>
      <c r="Q24" s="145">
        <v>0.99199999999999999</v>
      </c>
      <c r="R24" s="145">
        <v>0.999</v>
      </c>
      <c r="S24" s="145">
        <v>1.0069999999999999</v>
      </c>
      <c r="T24" s="145">
        <v>1.014</v>
      </c>
      <c r="U24" s="145">
        <v>1.0209999999999999</v>
      </c>
      <c r="V24" s="145">
        <v>1.028</v>
      </c>
      <c r="W24" s="91"/>
      <c r="X24" s="91"/>
      <c r="Y24" s="91"/>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194"/>
    </row>
    <row r="25" spans="2:102" x14ac:dyDescent="0.2">
      <c r="B25" s="189">
        <v>260</v>
      </c>
      <c r="C25" s="193">
        <v>0.80700000000000005</v>
      </c>
      <c r="D25" s="145">
        <v>0.83</v>
      </c>
      <c r="E25" s="145">
        <v>0.85</v>
      </c>
      <c r="F25" s="145">
        <v>0.86699999999999999</v>
      </c>
      <c r="G25" s="145">
        <v>0.88200000000000001</v>
      </c>
      <c r="H25" s="145">
        <v>0.89500000000000002</v>
      </c>
      <c r="I25" s="145">
        <v>0.90800000000000003</v>
      </c>
      <c r="J25" s="145">
        <v>0.91900000000000004</v>
      </c>
      <c r="K25" s="145">
        <v>0.93</v>
      </c>
      <c r="L25" s="145">
        <v>0.94099999999999995</v>
      </c>
      <c r="M25" s="145">
        <v>0.95</v>
      </c>
      <c r="N25" s="145">
        <v>0.96</v>
      </c>
      <c r="O25" s="145">
        <v>0.96899999999999997</v>
      </c>
      <c r="P25" s="145">
        <v>0.97699999999999998</v>
      </c>
      <c r="Q25" s="145">
        <v>0.98499999999999999</v>
      </c>
      <c r="R25" s="145">
        <v>0.99299999999999999</v>
      </c>
      <c r="S25" s="145">
        <v>1.0009999999999999</v>
      </c>
      <c r="T25" s="145">
        <v>1.008</v>
      </c>
      <c r="U25" s="145">
        <v>1.0149999999999999</v>
      </c>
      <c r="V25" s="145">
        <v>1.022</v>
      </c>
      <c r="W25" s="91"/>
      <c r="X25" s="91"/>
      <c r="Y25" s="91"/>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1"/>
      <c r="CF25" s="91"/>
      <c r="CG25" s="91"/>
      <c r="CH25" s="91"/>
      <c r="CI25" s="91"/>
      <c r="CJ25" s="91"/>
      <c r="CK25" s="91"/>
      <c r="CL25" s="91"/>
      <c r="CM25" s="91"/>
      <c r="CN25" s="91"/>
      <c r="CO25" s="91"/>
      <c r="CP25" s="91"/>
      <c r="CQ25" s="91"/>
      <c r="CR25" s="91"/>
      <c r="CS25" s="91"/>
      <c r="CT25" s="91"/>
      <c r="CU25" s="91"/>
      <c r="CV25" s="91"/>
      <c r="CW25" s="91"/>
      <c r="CX25" s="194"/>
    </row>
    <row r="26" spans="2:102" x14ac:dyDescent="0.2">
      <c r="B26" s="189">
        <v>270</v>
      </c>
      <c r="C26" s="193">
        <v>0.79300000000000004</v>
      </c>
      <c r="D26" s="145">
        <v>0.81799999999999995</v>
      </c>
      <c r="E26" s="145">
        <v>0.83799999999999997</v>
      </c>
      <c r="F26" s="145">
        <v>0.85599999999999998</v>
      </c>
      <c r="G26" s="145">
        <v>0.872</v>
      </c>
      <c r="H26" s="145">
        <v>0.88600000000000001</v>
      </c>
      <c r="I26" s="145">
        <v>0.89900000000000002</v>
      </c>
      <c r="J26" s="145">
        <v>0.91100000000000003</v>
      </c>
      <c r="K26" s="145">
        <v>0.92200000000000004</v>
      </c>
      <c r="L26" s="145">
        <v>0.93300000000000005</v>
      </c>
      <c r="M26" s="145">
        <v>0.94299999999999995</v>
      </c>
      <c r="N26" s="145">
        <v>0.95299999999999996</v>
      </c>
      <c r="O26" s="145">
        <v>0.96199999999999997</v>
      </c>
      <c r="P26" s="145">
        <v>0.97</v>
      </c>
      <c r="Q26" s="145">
        <v>0.97899999999999998</v>
      </c>
      <c r="R26" s="145">
        <v>0.98699999999999999</v>
      </c>
      <c r="S26" s="145">
        <v>0.995</v>
      </c>
      <c r="T26" s="145">
        <v>1.002</v>
      </c>
      <c r="U26" s="145">
        <v>1.0089999999999999</v>
      </c>
      <c r="V26" s="145">
        <v>1.016</v>
      </c>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1"/>
      <c r="CT26" s="91"/>
      <c r="CU26" s="91"/>
      <c r="CV26" s="91"/>
      <c r="CW26" s="91"/>
      <c r="CX26" s="194"/>
    </row>
    <row r="27" spans="2:102" x14ac:dyDescent="0.2">
      <c r="B27" s="189">
        <v>275</v>
      </c>
      <c r="C27" s="193">
        <v>0.78500000000000003</v>
      </c>
      <c r="D27" s="145">
        <v>0.81100000000000005</v>
      </c>
      <c r="E27" s="145">
        <v>0.83299999999999996</v>
      </c>
      <c r="F27" s="145">
        <v>0.85099999999999998</v>
      </c>
      <c r="G27" s="145">
        <v>0.86699999999999999</v>
      </c>
      <c r="H27" s="145">
        <v>0.88100000000000001</v>
      </c>
      <c r="I27" s="145">
        <v>0.89500000000000002</v>
      </c>
      <c r="J27" s="145">
        <v>0.90700000000000003</v>
      </c>
      <c r="K27" s="145">
        <v>0.91800000000000004</v>
      </c>
      <c r="L27" s="145">
        <v>0.92900000000000005</v>
      </c>
      <c r="M27" s="145">
        <v>0.93899999999999995</v>
      </c>
      <c r="N27" s="145">
        <v>0.94899999999999995</v>
      </c>
      <c r="O27" s="145">
        <v>0.95799999999999996</v>
      </c>
      <c r="P27" s="145">
        <v>0.96699999999999997</v>
      </c>
      <c r="Q27" s="145">
        <v>0.97499999999999998</v>
      </c>
      <c r="R27" s="145">
        <v>0.98399999999999999</v>
      </c>
      <c r="S27" s="145">
        <v>0.99099999999999999</v>
      </c>
      <c r="T27" s="145">
        <v>0.999</v>
      </c>
      <c r="U27" s="145">
        <v>1.006</v>
      </c>
      <c r="V27" s="145">
        <v>1.0129999999999999</v>
      </c>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1"/>
      <c r="CT27" s="91"/>
      <c r="CU27" s="91"/>
      <c r="CV27" s="91"/>
      <c r="CW27" s="91"/>
      <c r="CX27" s="194"/>
    </row>
    <row r="28" spans="2:102" x14ac:dyDescent="0.2">
      <c r="B28" s="189">
        <v>280</v>
      </c>
      <c r="C28" s="193">
        <v>0.77700000000000002</v>
      </c>
      <c r="D28" s="145">
        <v>0.80500000000000005</v>
      </c>
      <c r="E28" s="145">
        <v>0.82699999999999996</v>
      </c>
      <c r="F28" s="145">
        <v>0.84499999999999997</v>
      </c>
      <c r="G28" s="145">
        <v>0.86199999999999999</v>
      </c>
      <c r="H28" s="145">
        <v>0.877</v>
      </c>
      <c r="I28" s="145">
        <v>0.89</v>
      </c>
      <c r="J28" s="145">
        <v>0.90300000000000002</v>
      </c>
      <c r="K28" s="145">
        <v>0.91400000000000003</v>
      </c>
      <c r="L28" s="145">
        <v>0.92500000000000004</v>
      </c>
      <c r="M28" s="145">
        <v>0.93600000000000005</v>
      </c>
      <c r="N28" s="145">
        <v>0.94499999999999995</v>
      </c>
      <c r="O28" s="145">
        <v>0.95499999999999996</v>
      </c>
      <c r="P28" s="145">
        <v>0.96399999999999997</v>
      </c>
      <c r="Q28" s="145">
        <v>0.97199999999999998</v>
      </c>
      <c r="R28" s="145">
        <v>0.98</v>
      </c>
      <c r="S28" s="145">
        <v>0.98799999999999999</v>
      </c>
      <c r="T28" s="145">
        <v>0.996</v>
      </c>
      <c r="U28" s="145">
        <v>1.0029999999999999</v>
      </c>
      <c r="V28" s="145">
        <v>1.01</v>
      </c>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1"/>
      <c r="CT28" s="91"/>
      <c r="CU28" s="91"/>
      <c r="CV28" s="91"/>
      <c r="CW28" s="91"/>
      <c r="CX28" s="194"/>
    </row>
    <row r="29" spans="2:102" x14ac:dyDescent="0.2">
      <c r="B29" s="189">
        <v>290</v>
      </c>
      <c r="C29" s="193">
        <v>0.76100000000000001</v>
      </c>
      <c r="D29" s="145">
        <v>0.79100000000000004</v>
      </c>
      <c r="E29" s="145">
        <v>0.81499999999999995</v>
      </c>
      <c r="F29" s="145">
        <v>0.83399999999999996</v>
      </c>
      <c r="G29" s="145">
        <v>0.85199999999999998</v>
      </c>
      <c r="H29" s="145">
        <v>0.86699999999999999</v>
      </c>
      <c r="I29" s="145">
        <v>0.88100000000000001</v>
      </c>
      <c r="J29" s="145">
        <v>0.89400000000000002</v>
      </c>
      <c r="K29" s="145">
        <v>0.90600000000000003</v>
      </c>
      <c r="L29" s="145">
        <v>0.91800000000000004</v>
      </c>
      <c r="M29" s="145">
        <v>0.92800000000000005</v>
      </c>
      <c r="N29" s="145">
        <v>0.93799999999999994</v>
      </c>
      <c r="O29" s="145">
        <v>0.94799999999999995</v>
      </c>
      <c r="P29" s="145">
        <v>0.95699999999999996</v>
      </c>
      <c r="Q29" s="145">
        <v>0.96599999999999997</v>
      </c>
      <c r="R29" s="145">
        <v>0.97399999999999998</v>
      </c>
      <c r="S29" s="145">
        <v>0.98199999999999998</v>
      </c>
      <c r="T29" s="145">
        <v>0.99</v>
      </c>
      <c r="U29" s="145">
        <v>0.997</v>
      </c>
      <c r="V29" s="145">
        <v>1.0049999999999999</v>
      </c>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1"/>
      <c r="CT29" s="91"/>
      <c r="CU29" s="91"/>
      <c r="CV29" s="91"/>
      <c r="CW29" s="91"/>
      <c r="CX29" s="194"/>
    </row>
    <row r="30" spans="2:102" x14ac:dyDescent="0.2">
      <c r="B30" s="189">
        <v>300</v>
      </c>
      <c r="C30" s="193">
        <v>0.74299999999999999</v>
      </c>
      <c r="D30" s="145">
        <v>0.77700000000000002</v>
      </c>
      <c r="E30" s="145">
        <v>0.80200000000000005</v>
      </c>
      <c r="F30" s="145">
        <v>0.82299999999999995</v>
      </c>
      <c r="G30" s="145">
        <v>0.84099999999999997</v>
      </c>
      <c r="H30" s="145">
        <v>0.85799999999999998</v>
      </c>
      <c r="I30" s="145">
        <v>0.872</v>
      </c>
      <c r="J30" s="145">
        <v>0.88600000000000001</v>
      </c>
      <c r="K30" s="145">
        <v>0.89800000000000002</v>
      </c>
      <c r="L30" s="145">
        <v>0.91</v>
      </c>
      <c r="M30" s="145">
        <v>0.92100000000000004</v>
      </c>
      <c r="N30" s="145">
        <v>0.93100000000000005</v>
      </c>
      <c r="O30" s="145">
        <v>0.94099999999999995</v>
      </c>
      <c r="P30" s="145">
        <v>0.95</v>
      </c>
      <c r="Q30" s="145">
        <v>0.95899999999999996</v>
      </c>
      <c r="R30" s="145">
        <v>0.96699999999999997</v>
      </c>
      <c r="S30" s="145">
        <v>0.97599999999999998</v>
      </c>
      <c r="T30" s="145">
        <v>0.98399999999999999</v>
      </c>
      <c r="U30" s="145">
        <v>0.99099999999999999</v>
      </c>
      <c r="V30" s="145">
        <v>0.999</v>
      </c>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194"/>
    </row>
    <row r="31" spans="2:102" x14ac:dyDescent="0.2">
      <c r="B31" s="189">
        <v>310</v>
      </c>
      <c r="C31" s="193">
        <v>0.72399999999999998</v>
      </c>
      <c r="D31" s="145">
        <v>0.76200000000000001</v>
      </c>
      <c r="E31" s="145">
        <v>0.78900000000000003</v>
      </c>
      <c r="F31" s="145">
        <v>0.81200000000000006</v>
      </c>
      <c r="G31" s="145">
        <v>0.83099999999999996</v>
      </c>
      <c r="H31" s="145">
        <v>0.84799999999999998</v>
      </c>
      <c r="I31" s="145">
        <v>0.86299999999999999</v>
      </c>
      <c r="J31" s="145">
        <v>0.877</v>
      </c>
      <c r="K31" s="145">
        <v>0.89</v>
      </c>
      <c r="L31" s="145">
        <v>0.90200000000000002</v>
      </c>
      <c r="M31" s="145">
        <v>0.91300000000000003</v>
      </c>
      <c r="N31" s="145">
        <v>0.92300000000000004</v>
      </c>
      <c r="O31" s="145">
        <v>0.93300000000000005</v>
      </c>
      <c r="P31" s="145">
        <v>0.94299999999999995</v>
      </c>
      <c r="Q31" s="145">
        <v>0.95199999999999996</v>
      </c>
      <c r="R31" s="145">
        <v>0.96099999999999997</v>
      </c>
      <c r="S31" s="145">
        <v>0.96899999999999997</v>
      </c>
      <c r="T31" s="145">
        <v>0.97699999999999998</v>
      </c>
      <c r="U31" s="145">
        <v>0.98499999999999999</v>
      </c>
      <c r="V31" s="145">
        <v>0.99299999999999999</v>
      </c>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1"/>
      <c r="CT31" s="91"/>
      <c r="CU31" s="91"/>
      <c r="CV31" s="91"/>
      <c r="CW31" s="91"/>
      <c r="CX31" s="194"/>
    </row>
    <row r="32" spans="2:102" x14ac:dyDescent="0.2">
      <c r="B32" s="189">
        <v>320</v>
      </c>
      <c r="C32" s="193">
        <v>0.70399999999999996</v>
      </c>
      <c r="D32" s="145">
        <v>0.746</v>
      </c>
      <c r="E32" s="145">
        <v>0.77600000000000002</v>
      </c>
      <c r="F32" s="145">
        <v>0.8</v>
      </c>
      <c r="G32" s="145">
        <v>0.82</v>
      </c>
      <c r="H32" s="145">
        <v>0.83799999999999997</v>
      </c>
      <c r="I32" s="145">
        <v>0.85399999999999998</v>
      </c>
      <c r="J32" s="145">
        <v>0.86799999999999999</v>
      </c>
      <c r="K32" s="145">
        <v>0.88100000000000001</v>
      </c>
      <c r="L32" s="145">
        <v>0.89400000000000002</v>
      </c>
      <c r="M32" s="145">
        <v>0.90500000000000003</v>
      </c>
      <c r="N32" s="145">
        <v>0.91600000000000004</v>
      </c>
      <c r="O32" s="145">
        <v>0.92600000000000005</v>
      </c>
      <c r="P32" s="145">
        <v>0.93600000000000005</v>
      </c>
      <c r="Q32" s="145">
        <v>0.94499999999999995</v>
      </c>
      <c r="R32" s="145">
        <v>0.95399999999999996</v>
      </c>
      <c r="S32" s="145">
        <v>0.96299999999999997</v>
      </c>
      <c r="T32" s="145">
        <v>0.97099999999999997</v>
      </c>
      <c r="U32" s="145">
        <v>0.97899999999999998</v>
      </c>
      <c r="V32" s="145">
        <v>0.98699999999999999</v>
      </c>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1"/>
      <c r="CT32" s="91"/>
      <c r="CU32" s="91"/>
      <c r="CV32" s="91"/>
      <c r="CW32" s="91"/>
      <c r="CX32" s="194"/>
    </row>
    <row r="33" spans="2:102" x14ac:dyDescent="0.2">
      <c r="B33" s="189">
        <v>325</v>
      </c>
      <c r="C33" s="193">
        <v>0.69299999999999995</v>
      </c>
      <c r="D33" s="145">
        <v>0.73799999999999999</v>
      </c>
      <c r="E33" s="145">
        <v>0.76900000000000002</v>
      </c>
      <c r="F33" s="145">
        <v>0.79400000000000004</v>
      </c>
      <c r="G33" s="145">
        <v>0.81399999999999995</v>
      </c>
      <c r="H33" s="145">
        <v>0.83299999999999996</v>
      </c>
      <c r="I33" s="145">
        <v>0.84899999999999998</v>
      </c>
      <c r="J33" s="145">
        <v>0.86299999999999999</v>
      </c>
      <c r="K33" s="145">
        <v>0.877</v>
      </c>
      <c r="L33" s="145">
        <v>0.88900000000000001</v>
      </c>
      <c r="M33" s="145">
        <v>0.90100000000000002</v>
      </c>
      <c r="N33" s="145">
        <v>0.91200000000000003</v>
      </c>
      <c r="O33" s="145">
        <v>0.92300000000000004</v>
      </c>
      <c r="P33" s="145">
        <v>0.93200000000000005</v>
      </c>
      <c r="Q33" s="145">
        <v>0.94199999999999995</v>
      </c>
      <c r="R33" s="145">
        <v>0.95099999999999996</v>
      </c>
      <c r="S33" s="145">
        <v>0.96</v>
      </c>
      <c r="T33" s="145">
        <v>0.96799999999999997</v>
      </c>
      <c r="U33" s="145">
        <v>0.97599999999999998</v>
      </c>
      <c r="V33" s="145">
        <v>0.98399999999999999</v>
      </c>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1"/>
      <c r="CT33" s="91"/>
      <c r="CU33" s="91"/>
      <c r="CV33" s="91"/>
      <c r="CW33" s="91"/>
      <c r="CX33" s="194"/>
    </row>
    <row r="34" spans="2:102" x14ac:dyDescent="0.2">
      <c r="B34" s="189">
        <v>330</v>
      </c>
      <c r="C34" s="193">
        <v>0.68100000000000005</v>
      </c>
      <c r="D34" s="145">
        <v>0.72899999999999998</v>
      </c>
      <c r="E34" s="145">
        <v>0.76200000000000001</v>
      </c>
      <c r="F34" s="145">
        <v>0.78800000000000003</v>
      </c>
      <c r="G34" s="145">
        <v>0.80900000000000005</v>
      </c>
      <c r="H34" s="145">
        <v>0.82699999999999996</v>
      </c>
      <c r="I34" s="145">
        <v>0.84399999999999997</v>
      </c>
      <c r="J34" s="145">
        <v>0.85899999999999999</v>
      </c>
      <c r="K34" s="145">
        <v>0.873</v>
      </c>
      <c r="L34" s="145">
        <v>0.88500000000000001</v>
      </c>
      <c r="M34" s="145">
        <v>0.89700000000000002</v>
      </c>
      <c r="N34" s="145">
        <v>0.90800000000000003</v>
      </c>
      <c r="O34" s="145">
        <v>0.91900000000000004</v>
      </c>
      <c r="P34" s="145">
        <v>0.92900000000000005</v>
      </c>
      <c r="Q34" s="145">
        <v>0.93799999999999994</v>
      </c>
      <c r="R34" s="145">
        <v>0.94799999999999995</v>
      </c>
      <c r="S34" s="145">
        <v>0.95599999999999996</v>
      </c>
      <c r="T34" s="145">
        <v>0.96499999999999997</v>
      </c>
      <c r="U34" s="145">
        <v>0.97299999999999998</v>
      </c>
      <c r="V34" s="145">
        <v>0.98099999999999998</v>
      </c>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1"/>
      <c r="CT34" s="91"/>
      <c r="CU34" s="91"/>
      <c r="CV34" s="91"/>
      <c r="CW34" s="91"/>
      <c r="CX34" s="194"/>
    </row>
    <row r="35" spans="2:102" x14ac:dyDescent="0.2">
      <c r="B35" s="189">
        <v>340</v>
      </c>
      <c r="C35" s="193">
        <v>0.65500000000000003</v>
      </c>
      <c r="D35" s="145">
        <v>0.71199999999999997</v>
      </c>
      <c r="E35" s="145">
        <v>0.748</v>
      </c>
      <c r="F35" s="145">
        <v>0.77500000000000002</v>
      </c>
      <c r="G35" s="145">
        <v>0.79800000000000004</v>
      </c>
      <c r="H35" s="145">
        <v>0.81699999999999995</v>
      </c>
      <c r="I35" s="145">
        <v>0.83399999999999996</v>
      </c>
      <c r="J35" s="145">
        <v>0.85</v>
      </c>
      <c r="K35" s="145">
        <v>0.86399999999999999</v>
      </c>
      <c r="L35" s="145">
        <v>0.877</v>
      </c>
      <c r="M35" s="145">
        <v>0.88900000000000001</v>
      </c>
      <c r="N35" s="145">
        <v>0.90100000000000002</v>
      </c>
      <c r="O35" s="145">
        <v>0.91200000000000003</v>
      </c>
      <c r="P35" s="145">
        <v>0.92200000000000004</v>
      </c>
      <c r="Q35" s="145">
        <v>0.93200000000000005</v>
      </c>
      <c r="R35" s="145">
        <v>0.94099999999999995</v>
      </c>
      <c r="S35" s="145">
        <v>0.95</v>
      </c>
      <c r="T35" s="145">
        <v>0.95799999999999996</v>
      </c>
      <c r="U35" s="145">
        <v>0.96699999999999997</v>
      </c>
      <c r="V35" s="145">
        <v>0.97499999999999998</v>
      </c>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194"/>
    </row>
    <row r="36" spans="2:102" x14ac:dyDescent="0.2">
      <c r="B36" s="189">
        <v>350</v>
      </c>
      <c r="C36" s="193">
        <v>0.626</v>
      </c>
      <c r="D36" s="145">
        <v>0.69299999999999995</v>
      </c>
      <c r="E36" s="145">
        <v>0.73299999999999998</v>
      </c>
      <c r="F36" s="145">
        <v>0.76200000000000001</v>
      </c>
      <c r="G36" s="145">
        <v>0.78600000000000003</v>
      </c>
      <c r="H36" s="145">
        <v>0.80600000000000005</v>
      </c>
      <c r="I36" s="145">
        <v>0.82399999999999995</v>
      </c>
      <c r="J36" s="145">
        <v>0.84099999999999997</v>
      </c>
      <c r="K36" s="145">
        <v>0.85499999999999998</v>
      </c>
      <c r="L36" s="145">
        <v>0.86899999999999999</v>
      </c>
      <c r="M36" s="145">
        <v>0.88100000000000001</v>
      </c>
      <c r="N36" s="145">
        <v>0.89300000000000002</v>
      </c>
      <c r="O36" s="145">
        <v>0.90400000000000003</v>
      </c>
      <c r="P36" s="145">
        <v>0.91500000000000004</v>
      </c>
      <c r="Q36" s="145">
        <v>0.92500000000000004</v>
      </c>
      <c r="R36" s="145">
        <v>0.93400000000000005</v>
      </c>
      <c r="S36" s="145">
        <v>0.94299999999999995</v>
      </c>
      <c r="T36" s="145">
        <v>0.95199999999999996</v>
      </c>
      <c r="U36" s="145">
        <v>0.96</v>
      </c>
      <c r="V36" s="145">
        <v>0.96899999999999997</v>
      </c>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1"/>
      <c r="CT36" s="91"/>
      <c r="CU36" s="91"/>
      <c r="CV36" s="91"/>
      <c r="CW36" s="91"/>
      <c r="CX36" s="194"/>
    </row>
    <row r="37" spans="2:102" x14ac:dyDescent="0.2">
      <c r="B37" s="189">
        <v>360</v>
      </c>
      <c r="C37" s="193">
        <v>0.58899999999999997</v>
      </c>
      <c r="D37" s="145">
        <v>0.67400000000000004</v>
      </c>
      <c r="E37" s="145">
        <v>0.71699999999999997</v>
      </c>
      <c r="F37" s="145">
        <v>0.749</v>
      </c>
      <c r="G37" s="145">
        <v>0.77400000000000002</v>
      </c>
      <c r="H37" s="145">
        <v>0.79600000000000004</v>
      </c>
      <c r="I37" s="145">
        <v>0.81399999999999995</v>
      </c>
      <c r="J37" s="145">
        <v>0.83099999999999996</v>
      </c>
      <c r="K37" s="145">
        <v>0.84599999999999997</v>
      </c>
      <c r="L37" s="145">
        <v>0.86</v>
      </c>
      <c r="M37" s="145">
        <v>0.873</v>
      </c>
      <c r="N37" s="145">
        <v>0.88500000000000001</v>
      </c>
      <c r="O37" s="145">
        <v>0.89700000000000002</v>
      </c>
      <c r="P37" s="145">
        <v>0.90700000000000003</v>
      </c>
      <c r="Q37" s="145">
        <v>0.91800000000000004</v>
      </c>
      <c r="R37" s="145">
        <v>0.92700000000000005</v>
      </c>
      <c r="S37" s="145">
        <v>0.93700000000000006</v>
      </c>
      <c r="T37" s="145">
        <v>0.94599999999999995</v>
      </c>
      <c r="U37" s="145">
        <v>0.95399999999999996</v>
      </c>
      <c r="V37" s="145">
        <v>0.96299999999999997</v>
      </c>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1"/>
      <c r="CT37" s="91"/>
      <c r="CU37" s="91"/>
      <c r="CV37" s="91"/>
      <c r="CW37" s="91"/>
      <c r="CX37" s="194"/>
    </row>
    <row r="38" spans="2:102" x14ac:dyDescent="0.2">
      <c r="B38" s="189">
        <v>370</v>
      </c>
      <c r="C38" s="193">
        <v>0.54</v>
      </c>
      <c r="D38" s="145">
        <v>0.65200000000000002</v>
      </c>
      <c r="E38" s="145">
        <v>0.70099999999999996</v>
      </c>
      <c r="F38" s="145">
        <v>0.73499999999999999</v>
      </c>
      <c r="G38" s="145">
        <v>0.76200000000000001</v>
      </c>
      <c r="H38" s="145">
        <v>0.78500000000000003</v>
      </c>
      <c r="I38" s="145">
        <v>0.80400000000000005</v>
      </c>
      <c r="J38" s="145">
        <v>0.82199999999999995</v>
      </c>
      <c r="K38" s="145">
        <v>0.83699999999999997</v>
      </c>
      <c r="L38" s="145">
        <v>0.85199999999999998</v>
      </c>
      <c r="M38" s="145">
        <v>0.86499999999999999</v>
      </c>
      <c r="N38" s="145">
        <v>0.878</v>
      </c>
      <c r="O38" s="145">
        <v>0.88900000000000001</v>
      </c>
      <c r="P38" s="145">
        <v>0.9</v>
      </c>
      <c r="Q38" s="145">
        <v>0.91100000000000003</v>
      </c>
      <c r="R38" s="145">
        <v>0.92100000000000004</v>
      </c>
      <c r="S38" s="145">
        <v>0.93</v>
      </c>
      <c r="T38" s="145">
        <v>0.93899999999999995</v>
      </c>
      <c r="U38" s="145">
        <v>0.94799999999999995</v>
      </c>
      <c r="V38" s="145">
        <v>0.95599999999999996</v>
      </c>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194"/>
    </row>
    <row r="39" spans="2:102" x14ac:dyDescent="0.2">
      <c r="B39" s="189">
        <v>375</v>
      </c>
      <c r="C39" s="193">
        <v>0.505</v>
      </c>
      <c r="D39" s="145">
        <v>0.64100000000000001</v>
      </c>
      <c r="E39" s="145">
        <v>0.69299999999999995</v>
      </c>
      <c r="F39" s="145">
        <v>0.72899999999999998</v>
      </c>
      <c r="G39" s="145">
        <v>0.75600000000000001</v>
      </c>
      <c r="H39" s="145">
        <v>0.77900000000000003</v>
      </c>
      <c r="I39" s="145">
        <v>0.79900000000000004</v>
      </c>
      <c r="J39" s="145">
        <v>0.81699999999999995</v>
      </c>
      <c r="K39" s="145">
        <v>0.83299999999999996</v>
      </c>
      <c r="L39" s="145">
        <v>0.84799999999999998</v>
      </c>
      <c r="M39" s="145">
        <v>0.86099999999999999</v>
      </c>
      <c r="N39" s="145">
        <v>0.874</v>
      </c>
      <c r="O39" s="145">
        <v>0.88500000000000001</v>
      </c>
      <c r="P39" s="145">
        <v>0.89700000000000002</v>
      </c>
      <c r="Q39" s="145">
        <v>0.90700000000000003</v>
      </c>
      <c r="R39" s="145">
        <v>0.91700000000000004</v>
      </c>
      <c r="S39" s="145">
        <v>0.92700000000000005</v>
      </c>
      <c r="T39" s="145">
        <v>0.93600000000000005</v>
      </c>
      <c r="U39" s="145">
        <v>0.94499999999999995</v>
      </c>
      <c r="V39" s="145">
        <v>0.95299999999999996</v>
      </c>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194"/>
    </row>
    <row r="40" spans="2:102" x14ac:dyDescent="0.2">
      <c r="B40" s="189">
        <v>380</v>
      </c>
      <c r="C40" s="193">
        <v>0.45</v>
      </c>
      <c r="D40" s="145">
        <v>0.63</v>
      </c>
      <c r="E40" s="145">
        <v>0.68500000000000005</v>
      </c>
      <c r="F40" s="145">
        <v>0.72199999999999998</v>
      </c>
      <c r="G40" s="145">
        <v>0.75</v>
      </c>
      <c r="H40" s="145">
        <v>0.77400000000000002</v>
      </c>
      <c r="I40" s="145">
        <v>0.79400000000000004</v>
      </c>
      <c r="J40" s="145">
        <v>0.81200000000000006</v>
      </c>
      <c r="K40" s="145">
        <v>0.82799999999999996</v>
      </c>
      <c r="L40" s="145">
        <v>0.84299999999999997</v>
      </c>
      <c r="M40" s="145">
        <v>0.85699999999999998</v>
      </c>
      <c r="N40" s="145">
        <v>0.87</v>
      </c>
      <c r="O40" s="145">
        <v>0.88200000000000001</v>
      </c>
      <c r="P40" s="145">
        <v>0.89300000000000002</v>
      </c>
      <c r="Q40" s="145">
        <v>0.90400000000000003</v>
      </c>
      <c r="R40" s="145">
        <v>0.91400000000000003</v>
      </c>
      <c r="S40" s="145">
        <v>0.92400000000000004</v>
      </c>
      <c r="T40" s="145">
        <v>0.93300000000000005</v>
      </c>
      <c r="U40" s="145">
        <v>0.94199999999999995</v>
      </c>
      <c r="V40" s="145">
        <v>0.95</v>
      </c>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194"/>
    </row>
    <row r="41" spans="2:102" x14ac:dyDescent="0.2">
      <c r="B41" s="189">
        <v>390</v>
      </c>
      <c r="C41" s="193">
        <v>0.216</v>
      </c>
      <c r="D41" s="145">
        <v>0.60499999999999998</v>
      </c>
      <c r="E41" s="145">
        <v>0.66700000000000004</v>
      </c>
      <c r="F41" s="145">
        <v>0.70699999999999996</v>
      </c>
      <c r="G41" s="145">
        <v>0.73799999999999999</v>
      </c>
      <c r="H41" s="145">
        <v>0.76200000000000001</v>
      </c>
      <c r="I41" s="145">
        <v>0.78400000000000003</v>
      </c>
      <c r="J41" s="145">
        <v>0.80200000000000005</v>
      </c>
      <c r="K41" s="145">
        <v>0.81899999999999995</v>
      </c>
      <c r="L41" s="145">
        <v>0.83499999999999996</v>
      </c>
      <c r="M41" s="145">
        <v>0.84899999999999998</v>
      </c>
      <c r="N41" s="145">
        <v>0.86199999999999999</v>
      </c>
      <c r="O41" s="145">
        <v>0.874</v>
      </c>
      <c r="P41" s="145">
        <v>0.88600000000000001</v>
      </c>
      <c r="Q41" s="145">
        <v>0.89700000000000002</v>
      </c>
      <c r="R41" s="145">
        <v>0.90700000000000003</v>
      </c>
      <c r="S41" s="145">
        <v>0.91700000000000004</v>
      </c>
      <c r="T41" s="145">
        <v>0.92600000000000005</v>
      </c>
      <c r="U41" s="145">
        <v>0.93500000000000005</v>
      </c>
      <c r="V41" s="145">
        <v>0.94399999999999995</v>
      </c>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194"/>
    </row>
    <row r="42" spans="2:102" x14ac:dyDescent="0.2">
      <c r="B42" s="189">
        <v>400</v>
      </c>
      <c r="C42" s="193">
        <v>0.16700000000000001</v>
      </c>
      <c r="D42" s="145">
        <v>0.57799999999999996</v>
      </c>
      <c r="E42" s="145">
        <v>0.64900000000000002</v>
      </c>
      <c r="F42" s="145">
        <v>0.69299999999999995</v>
      </c>
      <c r="G42" s="145">
        <v>0.72499999999999998</v>
      </c>
      <c r="H42" s="145">
        <v>0.751</v>
      </c>
      <c r="I42" s="145">
        <v>0.77300000000000002</v>
      </c>
      <c r="J42" s="145">
        <v>0.79300000000000004</v>
      </c>
      <c r="K42" s="145">
        <v>0.81</v>
      </c>
      <c r="L42" s="145">
        <v>0.82599999999999996</v>
      </c>
      <c r="M42" s="145">
        <v>0.84</v>
      </c>
      <c r="N42" s="145">
        <v>0.85399999999999998</v>
      </c>
      <c r="O42" s="145">
        <v>0.86599999999999999</v>
      </c>
      <c r="P42" s="145">
        <v>0.878</v>
      </c>
      <c r="Q42" s="145">
        <v>0.88900000000000001</v>
      </c>
      <c r="R42" s="145">
        <v>0.9</v>
      </c>
      <c r="S42" s="145">
        <v>0.91</v>
      </c>
      <c r="T42" s="145">
        <v>0.92</v>
      </c>
      <c r="U42" s="145">
        <v>0.92900000000000005</v>
      </c>
      <c r="V42" s="145">
        <v>0.93799999999999994</v>
      </c>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1"/>
      <c r="CT42" s="91"/>
      <c r="CU42" s="91"/>
      <c r="CV42" s="91"/>
      <c r="CW42" s="91"/>
      <c r="CX42" s="194"/>
    </row>
    <row r="43" spans="2:102" x14ac:dyDescent="0.2">
      <c r="B43" s="189">
        <v>410</v>
      </c>
      <c r="C43" s="193">
        <v>0.14499999999999999</v>
      </c>
      <c r="D43" s="145">
        <v>0.54800000000000004</v>
      </c>
      <c r="E43" s="145">
        <v>0.63</v>
      </c>
      <c r="F43" s="145">
        <v>0.67800000000000005</v>
      </c>
      <c r="G43" s="145">
        <v>0.71199999999999997</v>
      </c>
      <c r="H43" s="145">
        <v>0.73899999999999999</v>
      </c>
      <c r="I43" s="145">
        <v>0.76300000000000001</v>
      </c>
      <c r="J43" s="145">
        <v>0.78300000000000003</v>
      </c>
      <c r="K43" s="145">
        <v>0.80100000000000005</v>
      </c>
      <c r="L43" s="145">
        <v>0.81699999999999995</v>
      </c>
      <c r="M43" s="145">
        <v>0.83199999999999996</v>
      </c>
      <c r="N43" s="145">
        <v>0.84599999999999997</v>
      </c>
      <c r="O43" s="145">
        <v>0.85899999999999999</v>
      </c>
      <c r="P43" s="145">
        <v>0.871</v>
      </c>
      <c r="Q43" s="145">
        <v>0.88200000000000001</v>
      </c>
      <c r="R43" s="145">
        <v>0.89300000000000002</v>
      </c>
      <c r="S43" s="145">
        <v>0.90400000000000003</v>
      </c>
      <c r="T43" s="145">
        <v>0.91300000000000003</v>
      </c>
      <c r="U43" s="145">
        <v>0.92300000000000004</v>
      </c>
      <c r="V43" s="145">
        <v>0.93200000000000005</v>
      </c>
      <c r="W43" s="91"/>
      <c r="X43" s="91"/>
      <c r="Y43" s="91"/>
      <c r="Z43" s="91"/>
      <c r="AA43" s="91"/>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1"/>
      <c r="CT43" s="91"/>
      <c r="CU43" s="91"/>
      <c r="CV43" s="91"/>
      <c r="CW43" s="91"/>
      <c r="CX43" s="194"/>
    </row>
    <row r="44" spans="2:102" x14ac:dyDescent="0.2">
      <c r="B44" s="189">
        <v>420</v>
      </c>
      <c r="C44" s="193">
        <v>0.13200000000000001</v>
      </c>
      <c r="D44" s="145">
        <v>0.51600000000000001</v>
      </c>
      <c r="E44" s="145">
        <v>0.61099999999999999</v>
      </c>
      <c r="F44" s="145">
        <v>0.66200000000000003</v>
      </c>
      <c r="G44" s="145">
        <v>0.69899999999999995</v>
      </c>
      <c r="H44" s="145">
        <v>0.72799999999999998</v>
      </c>
      <c r="I44" s="145">
        <v>0.752</v>
      </c>
      <c r="J44" s="145">
        <v>0.77300000000000002</v>
      </c>
      <c r="K44" s="145">
        <v>0.79100000000000004</v>
      </c>
      <c r="L44" s="145">
        <v>0.80800000000000005</v>
      </c>
      <c r="M44" s="145">
        <v>0.82399999999999995</v>
      </c>
      <c r="N44" s="145">
        <v>0.83799999999999997</v>
      </c>
      <c r="O44" s="145">
        <v>0.85099999999999998</v>
      </c>
      <c r="P44" s="145">
        <v>0.86399999999999999</v>
      </c>
      <c r="Q44" s="145">
        <v>0.875</v>
      </c>
      <c r="R44" s="145">
        <v>0.88600000000000001</v>
      </c>
      <c r="S44" s="145">
        <v>0.89700000000000002</v>
      </c>
      <c r="T44" s="145">
        <v>0.90700000000000003</v>
      </c>
      <c r="U44" s="145">
        <v>0.91600000000000004</v>
      </c>
      <c r="V44" s="145">
        <v>0.92600000000000005</v>
      </c>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1"/>
      <c r="CT44" s="91"/>
      <c r="CU44" s="91"/>
      <c r="CV44" s="91"/>
      <c r="CW44" s="91"/>
      <c r="CX44" s="194"/>
    </row>
    <row r="45" spans="2:102" x14ac:dyDescent="0.2">
      <c r="B45" s="189">
        <v>425</v>
      </c>
      <c r="C45" s="193">
        <v>0.127</v>
      </c>
      <c r="D45" s="145">
        <v>0.498</v>
      </c>
      <c r="E45" s="145">
        <v>0.60099999999999998</v>
      </c>
      <c r="F45" s="145">
        <v>0.65400000000000003</v>
      </c>
      <c r="G45" s="145">
        <v>0.69199999999999995</v>
      </c>
      <c r="H45" s="145">
        <v>0.72199999999999998</v>
      </c>
      <c r="I45" s="145">
        <v>0.746</v>
      </c>
      <c r="J45" s="145">
        <v>0.76800000000000002</v>
      </c>
      <c r="K45" s="145">
        <v>0.78700000000000003</v>
      </c>
      <c r="L45" s="145">
        <v>0.80400000000000005</v>
      </c>
      <c r="M45" s="145">
        <v>0.81899999999999995</v>
      </c>
      <c r="N45" s="145">
        <v>0.83399999999999996</v>
      </c>
      <c r="O45" s="145">
        <v>0.84699999999999998</v>
      </c>
      <c r="P45" s="145">
        <v>0.86</v>
      </c>
      <c r="Q45" s="145">
        <v>0.872</v>
      </c>
      <c r="R45" s="145">
        <v>0.88300000000000001</v>
      </c>
      <c r="S45" s="145">
        <v>0.89300000000000002</v>
      </c>
      <c r="T45" s="145">
        <v>0.90400000000000003</v>
      </c>
      <c r="U45" s="145">
        <v>0.91300000000000003</v>
      </c>
      <c r="V45" s="145">
        <v>0.92300000000000004</v>
      </c>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1"/>
      <c r="CT45" s="91"/>
      <c r="CU45" s="91"/>
      <c r="CV45" s="91"/>
      <c r="CW45" s="91"/>
      <c r="CX45" s="194"/>
    </row>
    <row r="46" spans="2:102" x14ac:dyDescent="0.2">
      <c r="B46" s="189">
        <v>430</v>
      </c>
      <c r="C46" s="193">
        <v>0.122</v>
      </c>
      <c r="D46" s="145">
        <v>0.48</v>
      </c>
      <c r="E46" s="145">
        <v>0.59</v>
      </c>
      <c r="F46" s="145">
        <v>0.64600000000000002</v>
      </c>
      <c r="G46" s="145">
        <v>0.68500000000000005</v>
      </c>
      <c r="H46" s="145">
        <v>0.71599999999999997</v>
      </c>
      <c r="I46" s="145">
        <v>0.74099999999999999</v>
      </c>
      <c r="J46" s="145">
        <v>0.76300000000000001</v>
      </c>
      <c r="K46" s="145">
        <v>0.78200000000000003</v>
      </c>
      <c r="L46" s="145">
        <v>0.79900000000000004</v>
      </c>
      <c r="M46" s="145">
        <v>0.81499999999999995</v>
      </c>
      <c r="N46" s="145">
        <v>0.83</v>
      </c>
      <c r="O46" s="145">
        <v>0.84299999999999997</v>
      </c>
      <c r="P46" s="145">
        <v>0.85599999999999998</v>
      </c>
      <c r="Q46" s="145">
        <v>0.86799999999999999</v>
      </c>
      <c r="R46" s="145">
        <v>0.879</v>
      </c>
      <c r="S46" s="145">
        <v>0.89</v>
      </c>
      <c r="T46" s="145">
        <v>0.9</v>
      </c>
      <c r="U46" s="145">
        <v>0.91</v>
      </c>
      <c r="V46" s="145">
        <v>0.92</v>
      </c>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1"/>
      <c r="CT46" s="91"/>
      <c r="CU46" s="91"/>
      <c r="CV46" s="91"/>
      <c r="CW46" s="91"/>
      <c r="CX46" s="194"/>
    </row>
    <row r="47" spans="2:102" x14ac:dyDescent="0.2">
      <c r="B47" s="189">
        <v>440</v>
      </c>
      <c r="C47" s="193">
        <v>0.115</v>
      </c>
      <c r="D47" s="145">
        <v>0.442</v>
      </c>
      <c r="E47" s="145">
        <v>0.56899999999999995</v>
      </c>
      <c r="F47" s="145">
        <v>0.63</v>
      </c>
      <c r="G47" s="145">
        <v>0.67200000000000004</v>
      </c>
      <c r="H47" s="145">
        <v>0.70399999999999996</v>
      </c>
      <c r="I47" s="145">
        <v>0.73</v>
      </c>
      <c r="J47" s="145">
        <v>0.753</v>
      </c>
      <c r="K47" s="145">
        <v>0.77300000000000002</v>
      </c>
      <c r="L47" s="145">
        <v>0.79100000000000004</v>
      </c>
      <c r="M47" s="145">
        <v>0.80700000000000005</v>
      </c>
      <c r="N47" s="145">
        <v>0.82199999999999995</v>
      </c>
      <c r="O47" s="145">
        <v>0.83599999999999997</v>
      </c>
      <c r="P47" s="145">
        <v>0.84899999999999998</v>
      </c>
      <c r="Q47" s="145">
        <v>0.86099999999999999</v>
      </c>
      <c r="R47" s="145">
        <v>0.872</v>
      </c>
      <c r="S47" s="145">
        <v>0.88300000000000001</v>
      </c>
      <c r="T47" s="145">
        <v>0.89400000000000002</v>
      </c>
      <c r="U47" s="145">
        <v>0.90400000000000003</v>
      </c>
      <c r="V47" s="145">
        <v>0.91300000000000003</v>
      </c>
      <c r="W47" s="91"/>
      <c r="X47" s="91"/>
      <c r="Y47" s="91"/>
      <c r="Z47" s="91"/>
      <c r="AA47" s="91"/>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1"/>
      <c r="CT47" s="91"/>
      <c r="CU47" s="91"/>
      <c r="CV47" s="91"/>
      <c r="CW47" s="91"/>
      <c r="CX47" s="194"/>
    </row>
    <row r="48" spans="2:102" x14ac:dyDescent="0.2">
      <c r="B48" s="189">
        <v>450</v>
      </c>
      <c r="C48" s="193">
        <v>0.109</v>
      </c>
      <c r="D48" s="145">
        <v>0.40200000000000002</v>
      </c>
      <c r="E48" s="145">
        <v>0.54700000000000004</v>
      </c>
      <c r="F48" s="145">
        <v>0.61399999999999999</v>
      </c>
      <c r="G48" s="145">
        <v>0.65800000000000003</v>
      </c>
      <c r="H48" s="145">
        <v>0.69199999999999995</v>
      </c>
      <c r="I48" s="145">
        <v>0.71899999999999997</v>
      </c>
      <c r="J48" s="145">
        <v>0.74299999999999999</v>
      </c>
      <c r="K48" s="145">
        <v>0.76300000000000001</v>
      </c>
      <c r="L48" s="145">
        <v>0.78200000000000003</v>
      </c>
      <c r="M48" s="145">
        <v>0.79800000000000004</v>
      </c>
      <c r="N48" s="145">
        <v>0.81399999999999995</v>
      </c>
      <c r="O48" s="145">
        <v>0.82799999999999996</v>
      </c>
      <c r="P48" s="145">
        <v>0.84099999999999997</v>
      </c>
      <c r="Q48" s="145">
        <v>0.85399999999999998</v>
      </c>
      <c r="R48" s="145">
        <v>0.86499999999999999</v>
      </c>
      <c r="S48" s="145">
        <v>0.877</v>
      </c>
      <c r="T48" s="145">
        <v>0.88700000000000001</v>
      </c>
      <c r="U48" s="145">
        <v>0.89700000000000002</v>
      </c>
      <c r="V48" s="145">
        <v>0.90700000000000003</v>
      </c>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1"/>
      <c r="CT48" s="91"/>
      <c r="CU48" s="91"/>
      <c r="CV48" s="91"/>
      <c r="CW48" s="91"/>
      <c r="CX48" s="194"/>
    </row>
    <row r="49" spans="2:102" x14ac:dyDescent="0.2">
      <c r="B49" s="189">
        <v>460</v>
      </c>
      <c r="C49" s="193">
        <v>0.104</v>
      </c>
      <c r="D49" s="145">
        <v>0.36399999999999999</v>
      </c>
      <c r="E49" s="145">
        <v>0.52500000000000002</v>
      </c>
      <c r="F49" s="145">
        <v>0.59699999999999998</v>
      </c>
      <c r="G49" s="145">
        <v>0.64400000000000002</v>
      </c>
      <c r="H49" s="145">
        <v>0.67900000000000005</v>
      </c>
      <c r="I49" s="145">
        <v>0.70799999999999996</v>
      </c>
      <c r="J49" s="145">
        <v>0.73199999999999998</v>
      </c>
      <c r="K49" s="145">
        <v>0.754</v>
      </c>
      <c r="L49" s="145">
        <v>0.77300000000000002</v>
      </c>
      <c r="M49" s="145">
        <v>0.79</v>
      </c>
      <c r="N49" s="145">
        <v>0.80500000000000005</v>
      </c>
      <c r="O49" s="145">
        <v>0.82</v>
      </c>
      <c r="P49" s="145">
        <v>0.83399999999999996</v>
      </c>
      <c r="Q49" s="145">
        <v>0.84599999999999997</v>
      </c>
      <c r="R49" s="145">
        <v>0.85799999999999998</v>
      </c>
      <c r="S49" s="145">
        <v>0.87</v>
      </c>
      <c r="T49" s="145">
        <v>0.88100000000000001</v>
      </c>
      <c r="U49" s="145">
        <v>0.89100000000000001</v>
      </c>
      <c r="V49" s="145">
        <v>0.90100000000000002</v>
      </c>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1"/>
      <c r="CT49" s="91"/>
      <c r="CU49" s="91"/>
      <c r="CV49" s="91"/>
      <c r="CW49" s="91"/>
      <c r="CX49" s="194"/>
    </row>
    <row r="50" spans="2:102" x14ac:dyDescent="0.2">
      <c r="B50" s="189">
        <v>470</v>
      </c>
      <c r="C50" s="193">
        <v>0.1</v>
      </c>
      <c r="D50" s="145">
        <v>0.33</v>
      </c>
      <c r="E50" s="145">
        <v>0.502</v>
      </c>
      <c r="F50" s="145">
        <v>0.57999999999999996</v>
      </c>
      <c r="G50" s="145">
        <v>0.63</v>
      </c>
      <c r="H50" s="145">
        <v>0.66700000000000004</v>
      </c>
      <c r="I50" s="145">
        <v>0.69699999999999995</v>
      </c>
      <c r="J50" s="145">
        <v>0.72199999999999998</v>
      </c>
      <c r="K50" s="145">
        <v>0.74399999999999999</v>
      </c>
      <c r="L50" s="145">
        <v>0.76400000000000001</v>
      </c>
      <c r="M50" s="145">
        <v>0.78100000000000003</v>
      </c>
      <c r="N50" s="145">
        <v>0.79700000000000004</v>
      </c>
      <c r="O50" s="145">
        <v>0.81200000000000006</v>
      </c>
      <c r="P50" s="145">
        <v>0.82599999999999996</v>
      </c>
      <c r="Q50" s="145">
        <v>0.83899999999999997</v>
      </c>
      <c r="R50" s="145">
        <v>0.85099999999999998</v>
      </c>
      <c r="S50" s="145">
        <v>0.86299999999999999</v>
      </c>
      <c r="T50" s="145">
        <v>0.874</v>
      </c>
      <c r="U50" s="145">
        <v>0.88500000000000001</v>
      </c>
      <c r="V50" s="145">
        <v>0.89500000000000002</v>
      </c>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c r="CP50" s="91"/>
      <c r="CQ50" s="91"/>
      <c r="CR50" s="91"/>
      <c r="CS50" s="91"/>
      <c r="CT50" s="91"/>
      <c r="CU50" s="91"/>
      <c r="CV50" s="91"/>
      <c r="CW50" s="91"/>
      <c r="CX50" s="194"/>
    </row>
    <row r="51" spans="2:102" x14ac:dyDescent="0.2">
      <c r="B51" s="189">
        <v>475</v>
      </c>
      <c r="C51" s="193">
        <v>9.8000000000000004E-2</v>
      </c>
      <c r="D51" s="145">
        <v>0.315</v>
      </c>
      <c r="E51" s="145">
        <v>0.49</v>
      </c>
      <c r="F51" s="145">
        <v>0.57099999999999995</v>
      </c>
      <c r="G51" s="145">
        <v>0.623</v>
      </c>
      <c r="H51" s="145">
        <v>0.66100000000000003</v>
      </c>
      <c r="I51" s="145">
        <v>0.69099999999999995</v>
      </c>
      <c r="J51" s="145">
        <v>0.71699999999999997</v>
      </c>
      <c r="K51" s="145">
        <v>0.73899999999999999</v>
      </c>
      <c r="L51" s="145">
        <v>0.75900000000000001</v>
      </c>
      <c r="M51" s="145">
        <v>0.77700000000000002</v>
      </c>
      <c r="N51" s="145">
        <v>0.79300000000000004</v>
      </c>
      <c r="O51" s="145">
        <v>0.80800000000000005</v>
      </c>
      <c r="P51" s="145">
        <v>0.82199999999999995</v>
      </c>
      <c r="Q51" s="145">
        <v>0.83599999999999997</v>
      </c>
      <c r="R51" s="145">
        <v>0.84799999999999998</v>
      </c>
      <c r="S51" s="145">
        <v>0.86</v>
      </c>
      <c r="T51" s="145">
        <v>0.871</v>
      </c>
      <c r="U51" s="145">
        <v>0.88100000000000001</v>
      </c>
      <c r="V51" s="145">
        <v>0.89200000000000002</v>
      </c>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c r="CH51" s="91"/>
      <c r="CI51" s="91"/>
      <c r="CJ51" s="91"/>
      <c r="CK51" s="91"/>
      <c r="CL51" s="91"/>
      <c r="CM51" s="91"/>
      <c r="CN51" s="91"/>
      <c r="CO51" s="91"/>
      <c r="CP51" s="91"/>
      <c r="CQ51" s="91"/>
      <c r="CR51" s="91"/>
      <c r="CS51" s="91"/>
      <c r="CT51" s="91"/>
      <c r="CU51" s="91"/>
      <c r="CV51" s="91"/>
      <c r="CW51" s="91"/>
      <c r="CX51" s="194"/>
    </row>
    <row r="52" spans="2:102" x14ac:dyDescent="0.2">
      <c r="B52" s="189">
        <v>480</v>
      </c>
      <c r="C52" s="193">
        <v>9.6000000000000002E-2</v>
      </c>
      <c r="D52" s="145">
        <v>0.30099999999999999</v>
      </c>
      <c r="E52" s="145">
        <v>0.47899999999999998</v>
      </c>
      <c r="F52" s="145">
        <v>0.56299999999999994</v>
      </c>
      <c r="G52" s="145">
        <v>0.61599999999999999</v>
      </c>
      <c r="H52" s="145">
        <v>0.65500000000000003</v>
      </c>
      <c r="I52" s="145">
        <v>0.68600000000000005</v>
      </c>
      <c r="J52" s="145">
        <v>0.71199999999999997</v>
      </c>
      <c r="K52" s="145">
        <v>0.73399999999999999</v>
      </c>
      <c r="L52" s="145">
        <v>0.755</v>
      </c>
      <c r="M52" s="145">
        <v>0.77300000000000002</v>
      </c>
      <c r="N52" s="145">
        <v>0.78900000000000003</v>
      </c>
      <c r="O52" s="145">
        <v>0.80400000000000005</v>
      </c>
      <c r="P52" s="145">
        <v>0.81899999999999995</v>
      </c>
      <c r="Q52" s="145">
        <v>0.83199999999999996</v>
      </c>
      <c r="R52" s="145">
        <v>0.84399999999999997</v>
      </c>
      <c r="S52" s="145">
        <v>0.85599999999999998</v>
      </c>
      <c r="T52" s="145">
        <v>0.86799999999999999</v>
      </c>
      <c r="U52" s="145">
        <v>0.878</v>
      </c>
      <c r="V52" s="145">
        <v>0.88800000000000001</v>
      </c>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1"/>
      <c r="CT52" s="91"/>
      <c r="CU52" s="91"/>
      <c r="CV52" s="91"/>
      <c r="CW52" s="91"/>
      <c r="CX52" s="194"/>
    </row>
    <row r="53" spans="2:102" x14ac:dyDescent="0.2">
      <c r="B53" s="189">
        <v>490</v>
      </c>
      <c r="C53" s="193">
        <v>9.2999999999999999E-2</v>
      </c>
      <c r="D53" s="145">
        <v>0.27700000000000002</v>
      </c>
      <c r="E53" s="145">
        <v>0.45600000000000002</v>
      </c>
      <c r="F53" s="145">
        <v>0.54600000000000004</v>
      </c>
      <c r="G53" s="145">
        <v>0.60099999999999998</v>
      </c>
      <c r="H53" s="145">
        <v>0.64200000000000002</v>
      </c>
      <c r="I53" s="145">
        <v>0.67400000000000004</v>
      </c>
      <c r="J53" s="145">
        <v>0.70099999999999996</v>
      </c>
      <c r="K53" s="145">
        <v>0.72499999999999998</v>
      </c>
      <c r="L53" s="145">
        <v>0.746</v>
      </c>
      <c r="M53" s="145">
        <v>0.76400000000000001</v>
      </c>
      <c r="N53" s="145">
        <v>0.78100000000000003</v>
      </c>
      <c r="O53" s="145">
        <v>0.79700000000000004</v>
      </c>
      <c r="P53" s="145">
        <v>0.81100000000000005</v>
      </c>
      <c r="Q53" s="145">
        <v>0.82499999999999996</v>
      </c>
      <c r="R53" s="145">
        <v>0.83699999999999997</v>
      </c>
      <c r="S53" s="145">
        <v>0.84899999999999998</v>
      </c>
      <c r="T53" s="145">
        <v>0.86099999999999999</v>
      </c>
      <c r="U53" s="145">
        <v>0.872</v>
      </c>
      <c r="V53" s="145">
        <v>0.88200000000000001</v>
      </c>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c r="CD53" s="91"/>
      <c r="CE53" s="91"/>
      <c r="CF53" s="91"/>
      <c r="CG53" s="91"/>
      <c r="CH53" s="91"/>
      <c r="CI53" s="91"/>
      <c r="CJ53" s="91"/>
      <c r="CK53" s="91"/>
      <c r="CL53" s="91"/>
      <c r="CM53" s="91"/>
      <c r="CN53" s="91"/>
      <c r="CO53" s="91"/>
      <c r="CP53" s="91"/>
      <c r="CQ53" s="91"/>
      <c r="CR53" s="91"/>
      <c r="CS53" s="91"/>
      <c r="CT53" s="91"/>
      <c r="CU53" s="91"/>
      <c r="CV53" s="91"/>
      <c r="CW53" s="91"/>
      <c r="CX53" s="194"/>
    </row>
    <row r="54" spans="2:102" x14ac:dyDescent="0.2">
      <c r="B54" s="189">
        <v>500</v>
      </c>
      <c r="C54" s="193">
        <v>0.09</v>
      </c>
      <c r="D54" s="145">
        <v>0.25700000000000001</v>
      </c>
      <c r="E54" s="145">
        <v>0.433</v>
      </c>
      <c r="F54" s="145">
        <v>0.52800000000000002</v>
      </c>
      <c r="G54" s="145">
        <v>0.58699999999999997</v>
      </c>
      <c r="H54" s="145">
        <v>0.63</v>
      </c>
      <c r="I54" s="145">
        <v>0.66300000000000003</v>
      </c>
      <c r="J54" s="145">
        <v>0.69099999999999995</v>
      </c>
      <c r="K54" s="145">
        <v>0.71499999999999997</v>
      </c>
      <c r="L54" s="145">
        <v>0.73599999999999999</v>
      </c>
      <c r="M54" s="145">
        <v>0.75600000000000001</v>
      </c>
      <c r="N54" s="145">
        <v>0.77300000000000002</v>
      </c>
      <c r="O54" s="145">
        <v>0.78900000000000003</v>
      </c>
      <c r="P54" s="145">
        <v>0.80400000000000005</v>
      </c>
      <c r="Q54" s="145">
        <v>0.81699999999999995</v>
      </c>
      <c r="R54" s="145">
        <v>0.83</v>
      </c>
      <c r="S54" s="145">
        <v>0.84299999999999997</v>
      </c>
      <c r="T54" s="145">
        <v>0.85399999999999998</v>
      </c>
      <c r="U54" s="145">
        <v>0.86499999999999999</v>
      </c>
      <c r="V54" s="145">
        <v>0.876</v>
      </c>
      <c r="W54" s="91"/>
      <c r="X54" s="91"/>
      <c r="Y54" s="91"/>
      <c r="Z54" s="91"/>
      <c r="AA54" s="91"/>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91"/>
      <c r="AZ54" s="91"/>
      <c r="BA54" s="91"/>
      <c r="BB54" s="91"/>
      <c r="BC54" s="91"/>
      <c r="BD54" s="91"/>
      <c r="BE54" s="91"/>
      <c r="BF54" s="91"/>
      <c r="BG54" s="91"/>
      <c r="BH54" s="91"/>
      <c r="BI54" s="91"/>
      <c r="BJ54" s="91"/>
      <c r="BK54" s="91"/>
      <c r="BL54" s="91"/>
      <c r="BM54" s="91"/>
      <c r="BN54" s="91"/>
      <c r="BO54" s="91"/>
      <c r="BP54" s="91"/>
      <c r="BQ54" s="91"/>
      <c r="BR54" s="91"/>
      <c r="BS54" s="91"/>
      <c r="BT54" s="91"/>
      <c r="BU54" s="91"/>
      <c r="BV54" s="91"/>
      <c r="BW54" s="91"/>
      <c r="BX54" s="91"/>
      <c r="BY54" s="91"/>
      <c r="BZ54" s="91"/>
      <c r="CA54" s="91"/>
      <c r="CB54" s="91"/>
      <c r="CC54" s="91"/>
      <c r="CD54" s="91"/>
      <c r="CE54" s="91"/>
      <c r="CF54" s="91"/>
      <c r="CG54" s="91"/>
      <c r="CH54" s="91"/>
      <c r="CI54" s="91"/>
      <c r="CJ54" s="91"/>
      <c r="CK54" s="91"/>
      <c r="CL54" s="91"/>
      <c r="CM54" s="91"/>
      <c r="CN54" s="91"/>
      <c r="CO54" s="91"/>
      <c r="CP54" s="91"/>
      <c r="CQ54" s="91"/>
      <c r="CR54" s="91"/>
      <c r="CS54" s="91"/>
      <c r="CT54" s="91"/>
      <c r="CU54" s="91"/>
      <c r="CV54" s="91"/>
      <c r="CW54" s="91"/>
      <c r="CX54" s="194"/>
    </row>
    <row r="55" spans="2:102" x14ac:dyDescent="0.2">
      <c r="B55" s="189">
        <v>510</v>
      </c>
      <c r="C55" s="193">
        <v>8.6999999999999994E-2</v>
      </c>
      <c r="D55" s="145">
        <v>0.24</v>
      </c>
      <c r="E55" s="145">
        <v>0.41099999999999998</v>
      </c>
      <c r="F55" s="145">
        <v>0.51100000000000001</v>
      </c>
      <c r="G55" s="145">
        <v>0.57299999999999995</v>
      </c>
      <c r="H55" s="145">
        <v>0.61699999999999999</v>
      </c>
      <c r="I55" s="145">
        <v>0.65200000000000002</v>
      </c>
      <c r="J55" s="145">
        <v>0.68100000000000005</v>
      </c>
      <c r="K55" s="145">
        <v>0.70599999999999996</v>
      </c>
      <c r="L55" s="145">
        <v>0.72699999999999998</v>
      </c>
      <c r="M55" s="145">
        <v>0.747</v>
      </c>
      <c r="N55" s="145">
        <v>0.76500000000000001</v>
      </c>
      <c r="O55" s="145">
        <v>0.78100000000000003</v>
      </c>
      <c r="P55" s="145">
        <v>0.79600000000000004</v>
      </c>
      <c r="Q55" s="145">
        <v>0.81</v>
      </c>
      <c r="R55" s="145">
        <v>0.82299999999999995</v>
      </c>
      <c r="S55" s="145">
        <v>0.83599999999999997</v>
      </c>
      <c r="T55" s="145">
        <v>0.84799999999999998</v>
      </c>
      <c r="U55" s="145">
        <v>0.85899999999999999</v>
      </c>
      <c r="V55" s="145">
        <v>0.87</v>
      </c>
      <c r="W55" s="91"/>
      <c r="X55" s="91"/>
      <c r="Y55" s="91"/>
      <c r="Z55" s="91"/>
      <c r="AA55" s="91"/>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91"/>
      <c r="AZ55" s="91"/>
      <c r="BA55" s="91"/>
      <c r="BB55" s="91"/>
      <c r="BC55" s="91"/>
      <c r="BD55" s="91"/>
      <c r="BE55" s="91"/>
      <c r="BF55" s="91"/>
      <c r="BG55" s="91"/>
      <c r="BH55" s="91"/>
      <c r="BI55" s="91"/>
      <c r="BJ55" s="91"/>
      <c r="BK55" s="91"/>
      <c r="BL55" s="91"/>
      <c r="BM55" s="91"/>
      <c r="BN55" s="91"/>
      <c r="BO55" s="91"/>
      <c r="BP55" s="91"/>
      <c r="BQ55" s="91"/>
      <c r="BR55" s="91"/>
      <c r="BS55" s="91"/>
      <c r="BT55" s="91"/>
      <c r="BU55" s="91"/>
      <c r="BV55" s="91"/>
      <c r="BW55" s="91"/>
      <c r="BX55" s="91"/>
      <c r="BY55" s="91"/>
      <c r="BZ55" s="91"/>
      <c r="CA55" s="91"/>
      <c r="CB55" s="91"/>
      <c r="CC55" s="91"/>
      <c r="CD55" s="91"/>
      <c r="CE55" s="91"/>
      <c r="CF55" s="91"/>
      <c r="CG55" s="91"/>
      <c r="CH55" s="91"/>
      <c r="CI55" s="91"/>
      <c r="CJ55" s="91"/>
      <c r="CK55" s="91"/>
      <c r="CL55" s="91"/>
      <c r="CM55" s="91"/>
      <c r="CN55" s="91"/>
      <c r="CO55" s="91"/>
      <c r="CP55" s="91"/>
      <c r="CQ55" s="91"/>
      <c r="CR55" s="91"/>
      <c r="CS55" s="91"/>
      <c r="CT55" s="91"/>
      <c r="CU55" s="91"/>
      <c r="CV55" s="91"/>
      <c r="CW55" s="91"/>
      <c r="CX55" s="194"/>
    </row>
    <row r="56" spans="2:102" x14ac:dyDescent="0.2">
      <c r="B56" s="189">
        <v>520</v>
      </c>
      <c r="C56" s="193">
        <v>8.5000000000000006E-2</v>
      </c>
      <c r="D56" s="145">
        <v>0.22600000000000001</v>
      </c>
      <c r="E56" s="145">
        <v>0.39100000000000001</v>
      </c>
      <c r="F56" s="145">
        <v>0.49399999999999999</v>
      </c>
      <c r="G56" s="145">
        <v>0.55800000000000005</v>
      </c>
      <c r="H56" s="145">
        <v>0.60499999999999998</v>
      </c>
      <c r="I56" s="145">
        <v>0.64100000000000001</v>
      </c>
      <c r="J56" s="145">
        <v>0.67100000000000004</v>
      </c>
      <c r="K56" s="145">
        <v>0.69599999999999995</v>
      </c>
      <c r="L56" s="145">
        <v>0.71799999999999997</v>
      </c>
      <c r="M56" s="145">
        <v>0.73799999999999999</v>
      </c>
      <c r="N56" s="145">
        <v>0.75700000000000001</v>
      </c>
      <c r="O56" s="145">
        <v>0.77300000000000002</v>
      </c>
      <c r="P56" s="145">
        <v>0.78900000000000003</v>
      </c>
      <c r="Q56" s="145">
        <v>0.80300000000000005</v>
      </c>
      <c r="R56" s="145">
        <v>0.81599999999999995</v>
      </c>
      <c r="S56" s="145">
        <v>0.82899999999999996</v>
      </c>
      <c r="T56" s="145">
        <v>0.84099999999999997</v>
      </c>
      <c r="U56" s="145">
        <v>0.85299999999999998</v>
      </c>
      <c r="V56" s="145">
        <v>0.86399999999999999</v>
      </c>
      <c r="W56" s="91"/>
      <c r="X56" s="91"/>
      <c r="Y56" s="91"/>
      <c r="Z56" s="91"/>
      <c r="AA56" s="91"/>
      <c r="AB56" s="91"/>
      <c r="AC56" s="91"/>
      <c r="AD56" s="91"/>
      <c r="AE56" s="91"/>
      <c r="AF56" s="91"/>
      <c r="AG56" s="91"/>
      <c r="AH56" s="91"/>
      <c r="AI56" s="91"/>
      <c r="AJ56" s="91"/>
      <c r="AK56" s="91"/>
      <c r="AL56" s="91"/>
      <c r="AM56" s="91"/>
      <c r="AN56" s="91"/>
      <c r="AO56" s="91"/>
      <c r="AP56" s="91"/>
      <c r="AQ56" s="91"/>
      <c r="AR56" s="91"/>
      <c r="AS56" s="91"/>
      <c r="AT56" s="91"/>
      <c r="AU56" s="91"/>
      <c r="AV56" s="91"/>
      <c r="AW56" s="91"/>
      <c r="AX56" s="91"/>
      <c r="AY56" s="91"/>
      <c r="AZ56" s="91"/>
      <c r="BA56" s="91"/>
      <c r="BB56" s="91"/>
      <c r="BC56" s="91"/>
      <c r="BD56" s="91"/>
      <c r="BE56" s="91"/>
      <c r="BF56" s="91"/>
      <c r="BG56" s="91"/>
      <c r="BH56" s="91"/>
      <c r="BI56" s="91"/>
      <c r="BJ56" s="91"/>
      <c r="BK56" s="91"/>
      <c r="BL56" s="91"/>
      <c r="BM56" s="91"/>
      <c r="BN56" s="91"/>
      <c r="BO56" s="91"/>
      <c r="BP56" s="91"/>
      <c r="BQ56" s="91"/>
      <c r="BR56" s="91"/>
      <c r="BS56" s="91"/>
      <c r="BT56" s="91"/>
      <c r="BU56" s="91"/>
      <c r="BV56" s="91"/>
      <c r="BW56" s="91"/>
      <c r="BX56" s="91"/>
      <c r="BY56" s="91"/>
      <c r="BZ56" s="91"/>
      <c r="CA56" s="91"/>
      <c r="CB56" s="91"/>
      <c r="CC56" s="91"/>
      <c r="CD56" s="91"/>
      <c r="CE56" s="91"/>
      <c r="CF56" s="91"/>
      <c r="CG56" s="91"/>
      <c r="CH56" s="91"/>
      <c r="CI56" s="91"/>
      <c r="CJ56" s="91"/>
      <c r="CK56" s="91"/>
      <c r="CL56" s="91"/>
      <c r="CM56" s="91"/>
      <c r="CN56" s="91"/>
      <c r="CO56" s="91"/>
      <c r="CP56" s="91"/>
      <c r="CQ56" s="91"/>
      <c r="CR56" s="91"/>
      <c r="CS56" s="91"/>
      <c r="CT56" s="91"/>
      <c r="CU56" s="91"/>
      <c r="CV56" s="91"/>
      <c r="CW56" s="91"/>
      <c r="CX56" s="194"/>
    </row>
    <row r="57" spans="2:102" x14ac:dyDescent="0.2">
      <c r="B57" s="189">
        <v>525</v>
      </c>
      <c r="C57" s="193">
        <v>8.4000000000000005E-2</v>
      </c>
      <c r="D57" s="145">
        <v>0.22</v>
      </c>
      <c r="E57" s="145">
        <v>0.38100000000000001</v>
      </c>
      <c r="F57" s="145">
        <v>0.48499999999999999</v>
      </c>
      <c r="G57" s="145">
        <v>0.55100000000000005</v>
      </c>
      <c r="H57" s="145">
        <v>0.59799999999999998</v>
      </c>
      <c r="I57" s="145">
        <v>0.63500000000000001</v>
      </c>
      <c r="J57" s="145">
        <v>0.66500000000000004</v>
      </c>
      <c r="K57" s="145">
        <v>0.69099999999999995</v>
      </c>
      <c r="L57" s="145">
        <v>0.71399999999999997</v>
      </c>
      <c r="M57" s="145">
        <v>0.73399999999999999</v>
      </c>
      <c r="N57" s="145">
        <v>0.753</v>
      </c>
      <c r="O57" s="145">
        <v>0.76900000000000002</v>
      </c>
      <c r="P57" s="145">
        <v>0.78500000000000003</v>
      </c>
      <c r="Q57" s="145">
        <v>0.79900000000000004</v>
      </c>
      <c r="R57" s="145">
        <v>0.81299999999999994</v>
      </c>
      <c r="S57" s="145">
        <v>0.82599999999999996</v>
      </c>
      <c r="T57" s="145">
        <v>0.83799999999999997</v>
      </c>
      <c r="U57" s="145">
        <v>0.85</v>
      </c>
      <c r="V57" s="145">
        <v>0.86099999999999999</v>
      </c>
      <c r="W57" s="91"/>
      <c r="X57" s="91"/>
      <c r="Y57" s="91"/>
      <c r="Z57" s="91"/>
      <c r="AA57" s="91"/>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91"/>
      <c r="AZ57" s="91"/>
      <c r="BA57" s="91"/>
      <c r="BB57" s="91"/>
      <c r="BC57" s="91"/>
      <c r="BD57" s="91"/>
      <c r="BE57" s="91"/>
      <c r="BF57" s="91"/>
      <c r="BG57" s="91"/>
      <c r="BH57" s="91"/>
      <c r="BI57" s="91"/>
      <c r="BJ57" s="91"/>
      <c r="BK57" s="91"/>
      <c r="BL57" s="91"/>
      <c r="BM57" s="91"/>
      <c r="BN57" s="91"/>
      <c r="BO57" s="91"/>
      <c r="BP57" s="91"/>
      <c r="BQ57" s="91"/>
      <c r="BR57" s="91"/>
      <c r="BS57" s="91"/>
      <c r="BT57" s="91"/>
      <c r="BU57" s="91"/>
      <c r="BV57" s="91"/>
      <c r="BW57" s="91"/>
      <c r="BX57" s="91"/>
      <c r="BY57" s="91"/>
      <c r="BZ57" s="91"/>
      <c r="CA57" s="91"/>
      <c r="CB57" s="91"/>
      <c r="CC57" s="91"/>
      <c r="CD57" s="91"/>
      <c r="CE57" s="91"/>
      <c r="CF57" s="91"/>
      <c r="CG57" s="91"/>
      <c r="CH57" s="91"/>
      <c r="CI57" s="91"/>
      <c r="CJ57" s="91"/>
      <c r="CK57" s="91"/>
      <c r="CL57" s="91"/>
      <c r="CM57" s="91"/>
      <c r="CN57" s="91"/>
      <c r="CO57" s="91"/>
      <c r="CP57" s="91"/>
      <c r="CQ57" s="91"/>
      <c r="CR57" s="91"/>
      <c r="CS57" s="91"/>
      <c r="CT57" s="91"/>
      <c r="CU57" s="91"/>
      <c r="CV57" s="91"/>
      <c r="CW57" s="91"/>
      <c r="CX57" s="194"/>
    </row>
    <row r="58" spans="2:102" x14ac:dyDescent="0.2">
      <c r="B58" s="189">
        <v>530</v>
      </c>
      <c r="C58" s="193">
        <v>8.3000000000000004E-2</v>
      </c>
      <c r="D58" s="145">
        <v>0.215</v>
      </c>
      <c r="E58" s="145">
        <v>0.371</v>
      </c>
      <c r="F58" s="145">
        <v>0.47699999999999998</v>
      </c>
      <c r="G58" s="145">
        <v>0.54400000000000004</v>
      </c>
      <c r="H58" s="145">
        <v>0.59199999999999997</v>
      </c>
      <c r="I58" s="145">
        <v>0.63</v>
      </c>
      <c r="J58" s="145">
        <v>0.66</v>
      </c>
      <c r="K58" s="145">
        <v>0.68600000000000005</v>
      </c>
      <c r="L58" s="145">
        <v>0.70899999999999996</v>
      </c>
      <c r="M58" s="145">
        <v>0.73</v>
      </c>
      <c r="N58" s="145">
        <v>0.748</v>
      </c>
      <c r="O58" s="145">
        <v>0.76500000000000001</v>
      </c>
      <c r="P58" s="145">
        <v>0.78100000000000003</v>
      </c>
      <c r="Q58" s="145">
        <v>0.79600000000000004</v>
      </c>
      <c r="R58" s="145">
        <v>0.81</v>
      </c>
      <c r="S58" s="145">
        <v>0.82199999999999995</v>
      </c>
      <c r="T58" s="145">
        <v>0.83499999999999996</v>
      </c>
      <c r="U58" s="145">
        <v>0.84599999999999997</v>
      </c>
      <c r="V58" s="145">
        <v>0.85699999999999998</v>
      </c>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1"/>
      <c r="CT58" s="91"/>
      <c r="CU58" s="91"/>
      <c r="CV58" s="91"/>
      <c r="CW58" s="91"/>
      <c r="CX58" s="194"/>
    </row>
    <row r="59" spans="2:102" x14ac:dyDescent="0.2">
      <c r="B59" s="189">
        <v>540</v>
      </c>
      <c r="C59" s="193">
        <v>8.1000000000000003E-2</v>
      </c>
      <c r="D59" s="145">
        <v>0.20399999999999999</v>
      </c>
      <c r="E59" s="145">
        <v>0.35299999999999998</v>
      </c>
      <c r="F59" s="145">
        <v>0.46</v>
      </c>
      <c r="G59" s="145">
        <v>0.53</v>
      </c>
      <c r="H59" s="145">
        <v>0.57999999999999996</v>
      </c>
      <c r="I59" s="145">
        <v>0.61799999999999999</v>
      </c>
      <c r="J59" s="145">
        <v>0.65</v>
      </c>
      <c r="K59" s="145">
        <v>0.67700000000000005</v>
      </c>
      <c r="L59" s="145">
        <v>0.7</v>
      </c>
      <c r="M59" s="145">
        <v>0.72099999999999997</v>
      </c>
      <c r="N59" s="145">
        <v>0.74</v>
      </c>
      <c r="O59" s="145">
        <v>0.75800000000000001</v>
      </c>
      <c r="P59" s="145">
        <v>0.77400000000000002</v>
      </c>
      <c r="Q59" s="145">
        <v>0.78900000000000003</v>
      </c>
      <c r="R59" s="145">
        <v>0.80300000000000005</v>
      </c>
      <c r="S59" s="145">
        <v>0.81599999999999995</v>
      </c>
      <c r="T59" s="145">
        <v>0.82799999999999996</v>
      </c>
      <c r="U59" s="145">
        <v>0.84</v>
      </c>
      <c r="V59" s="145">
        <v>0.85099999999999998</v>
      </c>
      <c r="W59" s="91"/>
      <c r="X59" s="91"/>
      <c r="Y59" s="91"/>
      <c r="Z59" s="91"/>
      <c r="AA59" s="91"/>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1"/>
      <c r="CT59" s="91"/>
      <c r="CU59" s="91"/>
      <c r="CV59" s="91"/>
      <c r="CW59" s="91"/>
      <c r="CX59" s="194"/>
    </row>
    <row r="60" spans="2:102" x14ac:dyDescent="0.2">
      <c r="B60" s="189">
        <v>550</v>
      </c>
      <c r="C60" s="193">
        <v>7.9000000000000001E-2</v>
      </c>
      <c r="D60" s="145">
        <v>0.19600000000000001</v>
      </c>
      <c r="E60" s="145">
        <v>0.33700000000000002</v>
      </c>
      <c r="F60" s="145">
        <v>0.44400000000000001</v>
      </c>
      <c r="G60" s="145">
        <v>0.51600000000000001</v>
      </c>
      <c r="H60" s="145">
        <v>0.56699999999999995</v>
      </c>
      <c r="I60" s="145">
        <v>0.60699999999999998</v>
      </c>
      <c r="J60" s="145">
        <v>0.64</v>
      </c>
      <c r="K60" s="145">
        <v>0.66700000000000004</v>
      </c>
      <c r="L60" s="145">
        <v>0.69199999999999995</v>
      </c>
      <c r="M60" s="145">
        <v>0.71299999999999997</v>
      </c>
      <c r="N60" s="145">
        <v>0.73199999999999998</v>
      </c>
      <c r="O60" s="145">
        <v>0.75</v>
      </c>
      <c r="P60" s="145">
        <v>0.76600000000000001</v>
      </c>
      <c r="Q60" s="145">
        <v>0.78100000000000003</v>
      </c>
      <c r="R60" s="145">
        <v>0.79600000000000004</v>
      </c>
      <c r="S60" s="145">
        <v>0.80900000000000005</v>
      </c>
      <c r="T60" s="145">
        <v>0.82199999999999995</v>
      </c>
      <c r="U60" s="145">
        <v>0.83399999999999996</v>
      </c>
      <c r="V60" s="145">
        <v>0.84499999999999997</v>
      </c>
      <c r="W60" s="91"/>
      <c r="X60" s="91"/>
      <c r="Y60" s="91"/>
      <c r="Z60" s="91"/>
      <c r="AA60" s="91"/>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91"/>
      <c r="AZ60" s="91"/>
      <c r="BA60" s="91"/>
      <c r="BB60" s="91"/>
      <c r="BC60" s="91"/>
      <c r="BD60" s="91"/>
      <c r="BE60" s="91"/>
      <c r="BF60" s="91"/>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91"/>
      <c r="CH60" s="91"/>
      <c r="CI60" s="91"/>
      <c r="CJ60" s="91"/>
      <c r="CK60" s="91"/>
      <c r="CL60" s="91"/>
      <c r="CM60" s="91"/>
      <c r="CN60" s="91"/>
      <c r="CO60" s="91"/>
      <c r="CP60" s="91"/>
      <c r="CQ60" s="91"/>
      <c r="CR60" s="91"/>
      <c r="CS60" s="91"/>
      <c r="CT60" s="91"/>
      <c r="CU60" s="91"/>
      <c r="CV60" s="91"/>
      <c r="CW60" s="91"/>
      <c r="CX60" s="194"/>
    </row>
    <row r="61" spans="2:102" x14ac:dyDescent="0.2">
      <c r="B61" s="189">
        <v>560</v>
      </c>
      <c r="C61" s="193">
        <v>7.6999999999999999E-2</v>
      </c>
      <c r="D61" s="145">
        <v>0.188</v>
      </c>
      <c r="E61" s="145">
        <v>0.32200000000000001</v>
      </c>
      <c r="F61" s="145">
        <v>0.42899999999999999</v>
      </c>
      <c r="G61" s="145">
        <v>0.502</v>
      </c>
      <c r="H61" s="145">
        <v>0.55500000000000005</v>
      </c>
      <c r="I61" s="145">
        <v>0.59599999999999997</v>
      </c>
      <c r="J61" s="145">
        <v>0.63</v>
      </c>
      <c r="K61" s="145">
        <v>0.65800000000000003</v>
      </c>
      <c r="L61" s="145">
        <v>0.68300000000000005</v>
      </c>
      <c r="M61" s="145">
        <v>0.70499999999999996</v>
      </c>
      <c r="N61" s="145">
        <v>0.72399999999999998</v>
      </c>
      <c r="O61" s="145">
        <v>0.74199999999999999</v>
      </c>
      <c r="P61" s="145">
        <v>0.75900000000000001</v>
      </c>
      <c r="Q61" s="145">
        <v>0.77400000000000002</v>
      </c>
      <c r="R61" s="145">
        <v>0.78900000000000003</v>
      </c>
      <c r="S61" s="145">
        <v>0.80200000000000005</v>
      </c>
      <c r="T61" s="145">
        <v>0.81499999999999995</v>
      </c>
      <c r="U61" s="145">
        <v>0.82699999999999996</v>
      </c>
      <c r="V61" s="145">
        <v>0.83899999999999997</v>
      </c>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1"/>
      <c r="CT61" s="91"/>
      <c r="CU61" s="91"/>
      <c r="CV61" s="91"/>
      <c r="CW61" s="91"/>
      <c r="CX61" s="194"/>
    </row>
    <row r="62" spans="2:102" x14ac:dyDescent="0.2">
      <c r="B62" s="189">
        <v>570</v>
      </c>
      <c r="C62" s="193">
        <v>7.4999999999999997E-2</v>
      </c>
      <c r="D62" s="145">
        <v>0.18099999999999999</v>
      </c>
      <c r="E62" s="145">
        <v>0.308</v>
      </c>
      <c r="F62" s="145">
        <v>0.41399999999999998</v>
      </c>
      <c r="G62" s="145">
        <v>0.48899999999999999</v>
      </c>
      <c r="H62" s="145">
        <v>0.54300000000000004</v>
      </c>
      <c r="I62" s="145">
        <v>0.58499999999999996</v>
      </c>
      <c r="J62" s="145">
        <v>0.62</v>
      </c>
      <c r="K62" s="145">
        <v>0.64900000000000002</v>
      </c>
      <c r="L62" s="145">
        <v>0.67400000000000004</v>
      </c>
      <c r="M62" s="145">
        <v>0.69599999999999995</v>
      </c>
      <c r="N62" s="145">
        <v>0.71599999999999997</v>
      </c>
      <c r="O62" s="145">
        <v>0.73499999999999999</v>
      </c>
      <c r="P62" s="145">
        <v>0.752</v>
      </c>
      <c r="Q62" s="145">
        <v>0.76700000000000002</v>
      </c>
      <c r="R62" s="145">
        <v>0.78200000000000003</v>
      </c>
      <c r="S62" s="145">
        <v>0.79600000000000004</v>
      </c>
      <c r="T62" s="145">
        <v>0.80900000000000005</v>
      </c>
      <c r="U62" s="145">
        <v>0.82099999999999995</v>
      </c>
      <c r="V62" s="145">
        <v>0.83299999999999996</v>
      </c>
      <c r="W62" s="91"/>
      <c r="X62" s="91"/>
      <c r="Y62" s="91"/>
      <c r="Z62" s="91"/>
      <c r="AA62" s="91"/>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91"/>
      <c r="AZ62" s="91"/>
      <c r="BA62" s="91"/>
      <c r="BB62" s="91"/>
      <c r="BC62" s="91"/>
      <c r="BD62" s="91"/>
      <c r="BE62" s="91"/>
      <c r="BF62" s="91"/>
      <c r="BG62" s="91"/>
      <c r="BH62" s="91"/>
      <c r="BI62" s="91"/>
      <c r="BJ62" s="91"/>
      <c r="BK62" s="91"/>
      <c r="BL62" s="91"/>
      <c r="BM62" s="91"/>
      <c r="BN62" s="91"/>
      <c r="BO62" s="91"/>
      <c r="BP62" s="91"/>
      <c r="BQ62" s="91"/>
      <c r="BR62" s="91"/>
      <c r="BS62" s="91"/>
      <c r="BT62" s="91"/>
      <c r="BU62" s="91"/>
      <c r="BV62" s="91"/>
      <c r="BW62" s="91"/>
      <c r="BX62" s="91"/>
      <c r="BY62" s="91"/>
      <c r="BZ62" s="91"/>
      <c r="CA62" s="91"/>
      <c r="CB62" s="91"/>
      <c r="CC62" s="91"/>
      <c r="CD62" s="91"/>
      <c r="CE62" s="91"/>
      <c r="CF62" s="91"/>
      <c r="CG62" s="91"/>
      <c r="CH62" s="91"/>
      <c r="CI62" s="91"/>
      <c r="CJ62" s="91"/>
      <c r="CK62" s="91"/>
      <c r="CL62" s="91"/>
      <c r="CM62" s="91"/>
      <c r="CN62" s="91"/>
      <c r="CO62" s="91"/>
      <c r="CP62" s="91"/>
      <c r="CQ62" s="91"/>
      <c r="CR62" s="91"/>
      <c r="CS62" s="91"/>
      <c r="CT62" s="91"/>
      <c r="CU62" s="91"/>
      <c r="CV62" s="91"/>
      <c r="CW62" s="91"/>
      <c r="CX62" s="194"/>
    </row>
    <row r="63" spans="2:102" x14ac:dyDescent="0.2">
      <c r="B63" s="189">
        <v>575</v>
      </c>
      <c r="C63" s="193">
        <v>7.3999999999999996E-2</v>
      </c>
      <c r="D63" s="145">
        <v>0.17799999999999999</v>
      </c>
      <c r="E63" s="145">
        <v>0.30199999999999999</v>
      </c>
      <c r="F63" s="145">
        <v>0.40699999999999997</v>
      </c>
      <c r="G63" s="145">
        <v>0.48199999999999998</v>
      </c>
      <c r="H63" s="145">
        <v>0.53700000000000003</v>
      </c>
      <c r="I63" s="145">
        <v>0.57999999999999996</v>
      </c>
      <c r="J63" s="145">
        <v>0.61499999999999999</v>
      </c>
      <c r="K63" s="145">
        <v>0.64400000000000002</v>
      </c>
      <c r="L63" s="145">
        <v>0.66900000000000004</v>
      </c>
      <c r="M63" s="145">
        <v>0.69199999999999995</v>
      </c>
      <c r="N63" s="145">
        <v>0.71199999999999997</v>
      </c>
      <c r="O63" s="145">
        <v>0.73099999999999998</v>
      </c>
      <c r="P63" s="145">
        <v>0.748</v>
      </c>
      <c r="Q63" s="145">
        <v>0.76400000000000001</v>
      </c>
      <c r="R63" s="145">
        <v>0.77800000000000002</v>
      </c>
      <c r="S63" s="145">
        <v>0.79200000000000004</v>
      </c>
      <c r="T63" s="145">
        <v>0.80500000000000005</v>
      </c>
      <c r="U63" s="145">
        <v>0.81799999999999995</v>
      </c>
      <c r="V63" s="145">
        <v>0.83</v>
      </c>
      <c r="W63" s="91"/>
      <c r="X63" s="91"/>
      <c r="Y63" s="91"/>
      <c r="Z63" s="91"/>
      <c r="AA63" s="91"/>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91"/>
      <c r="AZ63" s="91"/>
      <c r="BA63" s="91"/>
      <c r="BB63" s="91"/>
      <c r="BC63" s="91"/>
      <c r="BD63" s="91"/>
      <c r="BE63" s="91"/>
      <c r="BF63" s="91"/>
      <c r="BG63" s="91"/>
      <c r="BH63" s="91"/>
      <c r="BI63" s="91"/>
      <c r="BJ63" s="91"/>
      <c r="BK63" s="91"/>
      <c r="BL63" s="91"/>
      <c r="BM63" s="91"/>
      <c r="BN63" s="91"/>
      <c r="BO63" s="91"/>
      <c r="BP63" s="91"/>
      <c r="BQ63" s="91"/>
      <c r="BR63" s="91"/>
      <c r="BS63" s="91"/>
      <c r="BT63" s="91"/>
      <c r="BU63" s="91"/>
      <c r="BV63" s="91"/>
      <c r="BW63" s="91"/>
      <c r="BX63" s="91"/>
      <c r="BY63" s="91"/>
      <c r="BZ63" s="91"/>
      <c r="CA63" s="91"/>
      <c r="CB63" s="91"/>
      <c r="CC63" s="91"/>
      <c r="CD63" s="91"/>
      <c r="CE63" s="91"/>
      <c r="CF63" s="91"/>
      <c r="CG63" s="91"/>
      <c r="CH63" s="91"/>
      <c r="CI63" s="91"/>
      <c r="CJ63" s="91"/>
      <c r="CK63" s="91"/>
      <c r="CL63" s="91"/>
      <c r="CM63" s="91"/>
      <c r="CN63" s="91"/>
      <c r="CO63" s="91"/>
      <c r="CP63" s="91"/>
      <c r="CQ63" s="91"/>
      <c r="CR63" s="91"/>
      <c r="CS63" s="91"/>
      <c r="CT63" s="91"/>
      <c r="CU63" s="91"/>
      <c r="CV63" s="91"/>
      <c r="CW63" s="91"/>
      <c r="CX63" s="194"/>
    </row>
    <row r="64" spans="2:102" x14ac:dyDescent="0.2">
      <c r="B64" s="189">
        <v>580</v>
      </c>
      <c r="C64" s="193">
        <v>7.3999999999999996E-2</v>
      </c>
      <c r="D64" s="145">
        <v>0.17499999999999999</v>
      </c>
      <c r="E64" s="145">
        <v>0.29499999999999998</v>
      </c>
      <c r="F64" s="145">
        <v>0.4</v>
      </c>
      <c r="G64" s="145">
        <v>0.47599999999999998</v>
      </c>
      <c r="H64" s="145">
        <v>0.53100000000000003</v>
      </c>
      <c r="I64" s="145">
        <v>0.57499999999999996</v>
      </c>
      <c r="J64" s="145">
        <v>0.61</v>
      </c>
      <c r="K64" s="145">
        <v>0.63900000000000001</v>
      </c>
      <c r="L64" s="145">
        <v>0.66500000000000004</v>
      </c>
      <c r="M64" s="145">
        <v>0.68799999999999994</v>
      </c>
      <c r="N64" s="145">
        <v>0.70799999999999996</v>
      </c>
      <c r="O64" s="145">
        <v>0.72699999999999998</v>
      </c>
      <c r="P64" s="145">
        <v>0.74399999999999999</v>
      </c>
      <c r="Q64" s="145">
        <v>0.76</v>
      </c>
      <c r="R64" s="145">
        <v>0.77500000000000002</v>
      </c>
      <c r="S64" s="145">
        <v>0.78900000000000003</v>
      </c>
      <c r="T64" s="145">
        <v>0.80200000000000005</v>
      </c>
      <c r="U64" s="145">
        <v>0.81499999999999995</v>
      </c>
      <c r="V64" s="145">
        <v>0.82699999999999996</v>
      </c>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1"/>
      <c r="CT64" s="91"/>
      <c r="CU64" s="91"/>
      <c r="CV64" s="91"/>
      <c r="CW64" s="91"/>
      <c r="CX64" s="194"/>
    </row>
    <row r="65" spans="2:102" x14ac:dyDescent="0.2">
      <c r="B65" s="189">
        <v>590</v>
      </c>
      <c r="C65" s="193">
        <v>7.1999999999999995E-2</v>
      </c>
      <c r="D65" s="145">
        <v>0.16900000000000001</v>
      </c>
      <c r="E65" s="145">
        <v>0.28399999999999997</v>
      </c>
      <c r="F65" s="145">
        <v>0.38700000000000001</v>
      </c>
      <c r="G65" s="145">
        <v>0.46300000000000002</v>
      </c>
      <c r="H65" s="145">
        <v>0.52</v>
      </c>
      <c r="I65" s="145">
        <v>0.56399999999999995</v>
      </c>
      <c r="J65" s="145">
        <v>0.6</v>
      </c>
      <c r="K65" s="145">
        <v>0.63</v>
      </c>
      <c r="L65" s="145">
        <v>0.65600000000000003</v>
      </c>
      <c r="M65" s="145">
        <v>0.68</v>
      </c>
      <c r="N65" s="145">
        <v>0.7</v>
      </c>
      <c r="O65" s="145">
        <v>0.71899999999999997</v>
      </c>
      <c r="P65" s="145">
        <v>0.73699999999999999</v>
      </c>
      <c r="Q65" s="145">
        <v>0.753</v>
      </c>
      <c r="R65" s="145">
        <v>0.76800000000000002</v>
      </c>
      <c r="S65" s="145">
        <v>0.78200000000000003</v>
      </c>
      <c r="T65" s="145">
        <v>0.79600000000000004</v>
      </c>
      <c r="U65" s="145">
        <v>0.80900000000000005</v>
      </c>
      <c r="V65" s="145">
        <v>0.82099999999999995</v>
      </c>
      <c r="W65" s="91"/>
      <c r="X65" s="91"/>
      <c r="Y65" s="91"/>
      <c r="Z65" s="91"/>
      <c r="AA65" s="91"/>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91"/>
      <c r="AZ65" s="91"/>
      <c r="BA65" s="91"/>
      <c r="BB65" s="91"/>
      <c r="BC65" s="91"/>
      <c r="BD65" s="91"/>
      <c r="BE65" s="91"/>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c r="CD65" s="91"/>
      <c r="CE65" s="91"/>
      <c r="CF65" s="91"/>
      <c r="CG65" s="91"/>
      <c r="CH65" s="91"/>
      <c r="CI65" s="91"/>
      <c r="CJ65" s="91"/>
      <c r="CK65" s="91"/>
      <c r="CL65" s="91"/>
      <c r="CM65" s="91"/>
      <c r="CN65" s="91"/>
      <c r="CO65" s="91"/>
      <c r="CP65" s="91"/>
      <c r="CQ65" s="91"/>
      <c r="CR65" s="91"/>
      <c r="CS65" s="91"/>
      <c r="CT65" s="91"/>
      <c r="CU65" s="91"/>
      <c r="CV65" s="91"/>
      <c r="CW65" s="91"/>
      <c r="CX65" s="194"/>
    </row>
    <row r="66" spans="2:102" x14ac:dyDescent="0.2">
      <c r="B66" s="189">
        <v>600</v>
      </c>
      <c r="C66" s="193">
        <v>7.0999999999999994E-2</v>
      </c>
      <c r="D66" s="145">
        <v>0.16400000000000001</v>
      </c>
      <c r="E66" s="145">
        <v>0.27400000000000002</v>
      </c>
      <c r="F66" s="145">
        <v>0.374</v>
      </c>
      <c r="G66" s="145">
        <v>0.45100000000000001</v>
      </c>
      <c r="H66" s="145">
        <v>0.50800000000000001</v>
      </c>
      <c r="I66" s="145">
        <v>0.55300000000000005</v>
      </c>
      <c r="J66" s="145">
        <v>0.59</v>
      </c>
      <c r="K66" s="145">
        <v>0.621</v>
      </c>
      <c r="L66" s="145">
        <v>0.64800000000000002</v>
      </c>
      <c r="M66" s="145">
        <v>0.67100000000000004</v>
      </c>
      <c r="N66" s="145">
        <v>0.69299999999999995</v>
      </c>
      <c r="O66" s="145">
        <v>0.71199999999999997</v>
      </c>
      <c r="P66" s="145">
        <v>0.73</v>
      </c>
      <c r="Q66" s="145">
        <v>0.746</v>
      </c>
      <c r="R66" s="145">
        <v>0.76100000000000001</v>
      </c>
      <c r="S66" s="145">
        <v>0.77600000000000002</v>
      </c>
      <c r="T66" s="145">
        <v>0.78900000000000003</v>
      </c>
      <c r="U66" s="145">
        <v>0.80200000000000005</v>
      </c>
      <c r="V66" s="145">
        <v>0.81499999999999995</v>
      </c>
      <c r="W66" s="91"/>
      <c r="X66" s="91"/>
      <c r="Y66" s="91"/>
      <c r="Z66" s="91"/>
      <c r="AA66" s="91"/>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1"/>
      <c r="CT66" s="91"/>
      <c r="CU66" s="91"/>
      <c r="CV66" s="91"/>
      <c r="CW66" s="91"/>
      <c r="CX66" s="194"/>
    </row>
    <row r="67" spans="2:102" x14ac:dyDescent="0.2">
      <c r="B67" s="189">
        <v>610</v>
      </c>
      <c r="C67" s="193">
        <v>6.9000000000000006E-2</v>
      </c>
      <c r="D67" s="145">
        <v>0.159</v>
      </c>
      <c r="E67" s="145">
        <v>0.26400000000000001</v>
      </c>
      <c r="F67" s="145">
        <v>0.36199999999999999</v>
      </c>
      <c r="G67" s="145">
        <v>0.439</v>
      </c>
      <c r="H67" s="145">
        <v>0.497</v>
      </c>
      <c r="I67" s="145">
        <v>0.54300000000000004</v>
      </c>
      <c r="J67" s="145">
        <v>0.57999999999999996</v>
      </c>
      <c r="K67" s="145">
        <v>0.61199999999999999</v>
      </c>
      <c r="L67" s="145">
        <v>0.63900000000000001</v>
      </c>
      <c r="M67" s="145">
        <v>0.66300000000000003</v>
      </c>
      <c r="N67" s="145">
        <v>0.68500000000000005</v>
      </c>
      <c r="O67" s="145">
        <v>0.70399999999999996</v>
      </c>
      <c r="P67" s="145">
        <v>0.72199999999999998</v>
      </c>
      <c r="Q67" s="145">
        <v>0.73899999999999999</v>
      </c>
      <c r="R67" s="145">
        <v>0.755</v>
      </c>
      <c r="S67" s="145">
        <v>0.76900000000000002</v>
      </c>
      <c r="T67" s="145">
        <v>0.78300000000000003</v>
      </c>
      <c r="U67" s="145">
        <v>0.79600000000000004</v>
      </c>
      <c r="V67" s="145">
        <v>0.80900000000000005</v>
      </c>
      <c r="W67" s="91"/>
      <c r="X67" s="91"/>
      <c r="Y67" s="91"/>
      <c r="Z67" s="91"/>
      <c r="AA67" s="91"/>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91"/>
      <c r="AZ67" s="91"/>
      <c r="BA67" s="91"/>
      <c r="BB67" s="91"/>
      <c r="BC67" s="91"/>
      <c r="BD67" s="91"/>
      <c r="BE67" s="91"/>
      <c r="BF67" s="91"/>
      <c r="BG67" s="91"/>
      <c r="BH67" s="91"/>
      <c r="BI67" s="91"/>
      <c r="BJ67" s="91"/>
      <c r="BK67" s="91"/>
      <c r="BL67" s="91"/>
      <c r="BM67" s="91"/>
      <c r="BN67" s="91"/>
      <c r="BO67" s="91"/>
      <c r="BP67" s="91"/>
      <c r="BQ67" s="91"/>
      <c r="BR67" s="91"/>
      <c r="BS67" s="91"/>
      <c r="BT67" s="91"/>
      <c r="BU67" s="91"/>
      <c r="BV67" s="91"/>
      <c r="BW67" s="91"/>
      <c r="BX67" s="91"/>
      <c r="BY67" s="91"/>
      <c r="BZ67" s="91"/>
      <c r="CA67" s="91"/>
      <c r="CB67" s="91"/>
      <c r="CC67" s="91"/>
      <c r="CD67" s="91"/>
      <c r="CE67" s="91"/>
      <c r="CF67" s="91"/>
      <c r="CG67" s="91"/>
      <c r="CH67" s="91"/>
      <c r="CI67" s="91"/>
      <c r="CJ67" s="91"/>
      <c r="CK67" s="91"/>
      <c r="CL67" s="91"/>
      <c r="CM67" s="91"/>
      <c r="CN67" s="91"/>
      <c r="CO67" s="91"/>
      <c r="CP67" s="91"/>
      <c r="CQ67" s="91"/>
      <c r="CR67" s="91"/>
      <c r="CS67" s="91"/>
      <c r="CT67" s="91"/>
      <c r="CU67" s="91"/>
      <c r="CV67" s="91"/>
      <c r="CW67" s="91"/>
      <c r="CX67" s="194"/>
    </row>
    <row r="68" spans="2:102" x14ac:dyDescent="0.2">
      <c r="B68" s="189">
        <v>620</v>
      </c>
      <c r="C68" s="193">
        <v>6.8000000000000005E-2</v>
      </c>
      <c r="D68" s="145">
        <v>0.155</v>
      </c>
      <c r="E68" s="145">
        <v>0.25600000000000001</v>
      </c>
      <c r="F68" s="145">
        <v>0.35099999999999998</v>
      </c>
      <c r="G68" s="145">
        <v>0.42699999999999999</v>
      </c>
      <c r="H68" s="145">
        <v>0.48599999999999999</v>
      </c>
      <c r="I68" s="145">
        <v>0.53300000000000003</v>
      </c>
      <c r="J68" s="145">
        <v>0.57099999999999995</v>
      </c>
      <c r="K68" s="145">
        <v>0.60299999999999998</v>
      </c>
      <c r="L68" s="145">
        <v>0.63100000000000001</v>
      </c>
      <c r="M68" s="145">
        <v>0.65500000000000003</v>
      </c>
      <c r="N68" s="145">
        <v>0.67700000000000005</v>
      </c>
      <c r="O68" s="145">
        <v>0.69699999999999995</v>
      </c>
      <c r="P68" s="145">
        <v>0.71499999999999997</v>
      </c>
      <c r="Q68" s="145">
        <v>0.73199999999999998</v>
      </c>
      <c r="R68" s="145">
        <v>0.748</v>
      </c>
      <c r="S68" s="145">
        <v>0.76300000000000001</v>
      </c>
      <c r="T68" s="145">
        <v>0.77700000000000002</v>
      </c>
      <c r="U68" s="145">
        <v>0.79</v>
      </c>
      <c r="V68" s="145">
        <v>0.80300000000000005</v>
      </c>
      <c r="W68" s="91"/>
      <c r="X68" s="91"/>
      <c r="Y68" s="91"/>
      <c r="Z68" s="91"/>
      <c r="AA68" s="91"/>
      <c r="AB68" s="91"/>
      <c r="AC68" s="91"/>
      <c r="AD68" s="91"/>
      <c r="AE68" s="91"/>
      <c r="AF68" s="91"/>
      <c r="AG68" s="91"/>
      <c r="AH68" s="91"/>
      <c r="AI68" s="91"/>
      <c r="AJ68" s="91"/>
      <c r="AK68" s="91"/>
      <c r="AL68" s="91"/>
      <c r="AM68" s="91"/>
      <c r="AN68" s="91"/>
      <c r="AO68" s="91"/>
      <c r="AP68" s="91"/>
      <c r="AQ68" s="91"/>
      <c r="AR68" s="91"/>
      <c r="AS68" s="91"/>
      <c r="AT68" s="91"/>
      <c r="AU68" s="91"/>
      <c r="AV68" s="91"/>
      <c r="AW68" s="91"/>
      <c r="AX68" s="91"/>
      <c r="AY68" s="91"/>
      <c r="AZ68" s="91"/>
      <c r="BA68" s="91"/>
      <c r="BB68" s="91"/>
      <c r="BC68" s="91"/>
      <c r="BD68" s="91"/>
      <c r="BE68" s="91"/>
      <c r="BF68" s="91"/>
      <c r="BG68" s="91"/>
      <c r="BH68" s="91"/>
      <c r="BI68" s="91"/>
      <c r="BJ68" s="91"/>
      <c r="BK68" s="91"/>
      <c r="BL68" s="91"/>
      <c r="BM68" s="91"/>
      <c r="BN68" s="91"/>
      <c r="BO68" s="91"/>
      <c r="BP68" s="91"/>
      <c r="BQ68" s="91"/>
      <c r="BR68" s="91"/>
      <c r="BS68" s="91"/>
      <c r="BT68" s="91"/>
      <c r="BU68" s="91"/>
      <c r="BV68" s="91"/>
      <c r="BW68" s="91"/>
      <c r="BX68" s="91"/>
      <c r="BY68" s="91"/>
      <c r="BZ68" s="91"/>
      <c r="CA68" s="91"/>
      <c r="CB68" s="91"/>
      <c r="CC68" s="91"/>
      <c r="CD68" s="91"/>
      <c r="CE68" s="91"/>
      <c r="CF68" s="91"/>
      <c r="CG68" s="91"/>
      <c r="CH68" s="91"/>
      <c r="CI68" s="91"/>
      <c r="CJ68" s="91"/>
      <c r="CK68" s="91"/>
      <c r="CL68" s="91"/>
      <c r="CM68" s="91"/>
      <c r="CN68" s="91"/>
      <c r="CO68" s="91"/>
      <c r="CP68" s="91"/>
      <c r="CQ68" s="91"/>
      <c r="CR68" s="91"/>
      <c r="CS68" s="91"/>
      <c r="CT68" s="91"/>
      <c r="CU68" s="91"/>
      <c r="CV68" s="91"/>
      <c r="CW68" s="91"/>
      <c r="CX68" s="194"/>
    </row>
    <row r="69" spans="2:102" x14ac:dyDescent="0.2">
      <c r="B69" s="189">
        <v>625</v>
      </c>
      <c r="C69" s="193">
        <v>6.8000000000000005E-2</v>
      </c>
      <c r="D69" s="145">
        <v>0.153</v>
      </c>
      <c r="E69" s="145">
        <v>0.252</v>
      </c>
      <c r="F69" s="145">
        <v>0.34499999999999997</v>
      </c>
      <c r="G69" s="145">
        <v>0.42199999999999999</v>
      </c>
      <c r="H69" s="145">
        <v>0.48099999999999998</v>
      </c>
      <c r="I69" s="145">
        <v>0.52800000000000002</v>
      </c>
      <c r="J69" s="145">
        <v>0.56599999999999995</v>
      </c>
      <c r="K69" s="145">
        <v>0.59799999999999998</v>
      </c>
      <c r="L69" s="145">
        <v>0.626</v>
      </c>
      <c r="M69" s="145">
        <v>0.65100000000000002</v>
      </c>
      <c r="N69" s="145">
        <v>0.67300000000000004</v>
      </c>
      <c r="O69" s="145">
        <v>0.69299999999999995</v>
      </c>
      <c r="P69" s="145">
        <v>0.71199999999999997</v>
      </c>
      <c r="Q69" s="145">
        <v>0.72899999999999998</v>
      </c>
      <c r="R69" s="145">
        <v>0.745</v>
      </c>
      <c r="S69" s="145">
        <v>0.76</v>
      </c>
      <c r="T69" s="145">
        <v>0.77400000000000002</v>
      </c>
      <c r="U69" s="145">
        <v>0.78700000000000003</v>
      </c>
      <c r="V69" s="145">
        <v>0.8</v>
      </c>
      <c r="W69" s="91"/>
      <c r="X69" s="91"/>
      <c r="Y69" s="91"/>
      <c r="Z69" s="91"/>
      <c r="AA69" s="91"/>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91"/>
      <c r="AZ69" s="91"/>
      <c r="BA69" s="91"/>
      <c r="BB69" s="91"/>
      <c r="BC69" s="91"/>
      <c r="BD69" s="91"/>
      <c r="BE69" s="91"/>
      <c r="BF69" s="91"/>
      <c r="BG69" s="91"/>
      <c r="BH69" s="91"/>
      <c r="BI69" s="91"/>
      <c r="BJ69" s="91"/>
      <c r="BK69" s="91"/>
      <c r="BL69" s="91"/>
      <c r="BM69" s="91"/>
      <c r="BN69" s="91"/>
      <c r="BO69" s="91"/>
      <c r="BP69" s="91"/>
      <c r="BQ69" s="91"/>
      <c r="BR69" s="91"/>
      <c r="BS69" s="91"/>
      <c r="BT69" s="91"/>
      <c r="BU69" s="91"/>
      <c r="BV69" s="91"/>
      <c r="BW69" s="91"/>
      <c r="BX69" s="91"/>
      <c r="BY69" s="91"/>
      <c r="BZ69" s="91"/>
      <c r="CA69" s="91"/>
      <c r="CB69" s="91"/>
      <c r="CC69" s="91"/>
      <c r="CD69" s="91"/>
      <c r="CE69" s="91"/>
      <c r="CF69" s="91"/>
      <c r="CG69" s="91"/>
      <c r="CH69" s="91"/>
      <c r="CI69" s="91"/>
      <c r="CJ69" s="91"/>
      <c r="CK69" s="91"/>
      <c r="CL69" s="91"/>
      <c r="CM69" s="91"/>
      <c r="CN69" s="91"/>
      <c r="CO69" s="91"/>
      <c r="CP69" s="91"/>
      <c r="CQ69" s="91"/>
      <c r="CR69" s="91"/>
      <c r="CS69" s="91"/>
      <c r="CT69" s="91"/>
      <c r="CU69" s="91"/>
      <c r="CV69" s="91"/>
      <c r="CW69" s="91"/>
      <c r="CX69" s="194"/>
    </row>
    <row r="70" spans="2:102" x14ac:dyDescent="0.2">
      <c r="B70" s="189">
        <v>630</v>
      </c>
      <c r="C70" s="193">
        <v>6.7000000000000004E-2</v>
      </c>
      <c r="D70" s="145">
        <v>0.151</v>
      </c>
      <c r="E70" s="145">
        <v>0.248</v>
      </c>
      <c r="F70" s="145">
        <v>0.34</v>
      </c>
      <c r="G70" s="145">
        <v>0.41599999999999998</v>
      </c>
      <c r="H70" s="145">
        <v>0.47599999999999998</v>
      </c>
      <c r="I70" s="145">
        <v>0.52300000000000002</v>
      </c>
      <c r="J70" s="145">
        <v>0.56100000000000005</v>
      </c>
      <c r="K70" s="145">
        <v>0.59399999999999997</v>
      </c>
      <c r="L70" s="145">
        <v>0.622</v>
      </c>
      <c r="M70" s="145">
        <v>0.64700000000000002</v>
      </c>
      <c r="N70" s="145">
        <v>0.66900000000000004</v>
      </c>
      <c r="O70" s="145">
        <v>0.69</v>
      </c>
      <c r="P70" s="145">
        <v>0.70799999999999996</v>
      </c>
      <c r="Q70" s="145">
        <v>0.72499999999999998</v>
      </c>
      <c r="R70" s="145">
        <v>0.74099999999999999</v>
      </c>
      <c r="S70" s="145">
        <v>0.75600000000000001</v>
      </c>
      <c r="T70" s="145">
        <v>0.77100000000000002</v>
      </c>
      <c r="U70" s="145">
        <v>0.78400000000000003</v>
      </c>
      <c r="V70" s="145">
        <v>0.79700000000000004</v>
      </c>
      <c r="W70" s="91"/>
      <c r="X70" s="91"/>
      <c r="Y70" s="91"/>
      <c r="Z70" s="91"/>
      <c r="AA70" s="91"/>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91"/>
      <c r="AZ70" s="91"/>
      <c r="BA70" s="91"/>
      <c r="BB70" s="91"/>
      <c r="BC70" s="91"/>
      <c r="BD70" s="91"/>
      <c r="BE70" s="91"/>
      <c r="BF70" s="91"/>
      <c r="BG70" s="91"/>
      <c r="BH70" s="91"/>
      <c r="BI70" s="91"/>
      <c r="BJ70" s="91"/>
      <c r="BK70" s="91"/>
      <c r="BL70" s="91"/>
      <c r="BM70" s="91"/>
      <c r="BN70" s="91"/>
      <c r="BO70" s="91"/>
      <c r="BP70" s="91"/>
      <c r="BQ70" s="91"/>
      <c r="BR70" s="91"/>
      <c r="BS70" s="91"/>
      <c r="BT70" s="91"/>
      <c r="BU70" s="91"/>
      <c r="BV70" s="91"/>
      <c r="BW70" s="91"/>
      <c r="BX70" s="91"/>
      <c r="BY70" s="91"/>
      <c r="BZ70" s="91"/>
      <c r="CA70" s="91"/>
      <c r="CB70" s="91"/>
      <c r="CC70" s="91"/>
      <c r="CD70" s="91"/>
      <c r="CE70" s="91"/>
      <c r="CF70" s="91"/>
      <c r="CG70" s="91"/>
      <c r="CH70" s="91"/>
      <c r="CI70" s="91"/>
      <c r="CJ70" s="91"/>
      <c r="CK70" s="91"/>
      <c r="CL70" s="91"/>
      <c r="CM70" s="91"/>
      <c r="CN70" s="91"/>
      <c r="CO70" s="91"/>
      <c r="CP70" s="91"/>
      <c r="CQ70" s="91"/>
      <c r="CR70" s="91"/>
      <c r="CS70" s="91"/>
      <c r="CT70" s="91"/>
      <c r="CU70" s="91"/>
      <c r="CV70" s="91"/>
      <c r="CW70" s="91"/>
      <c r="CX70" s="194"/>
    </row>
    <row r="71" spans="2:102" x14ac:dyDescent="0.2">
      <c r="B71" s="189">
        <v>640</v>
      </c>
      <c r="C71" s="193">
        <v>6.6000000000000003E-2</v>
      </c>
      <c r="D71" s="145">
        <v>0.14699999999999999</v>
      </c>
      <c r="E71" s="145">
        <v>0.24</v>
      </c>
      <c r="F71" s="145">
        <v>0.33</v>
      </c>
      <c r="G71" s="145">
        <v>0.40600000000000003</v>
      </c>
      <c r="H71" s="145">
        <v>0.46500000000000002</v>
      </c>
      <c r="I71" s="145">
        <v>0.51300000000000001</v>
      </c>
      <c r="J71" s="145">
        <v>0.55200000000000005</v>
      </c>
      <c r="K71" s="145">
        <v>0.58499999999999996</v>
      </c>
      <c r="L71" s="145">
        <v>0.61399999999999999</v>
      </c>
      <c r="M71" s="145">
        <v>0.63900000000000001</v>
      </c>
      <c r="N71" s="145">
        <v>0.66200000000000003</v>
      </c>
      <c r="O71" s="145">
        <v>0.68200000000000005</v>
      </c>
      <c r="P71" s="145">
        <v>0.70099999999999996</v>
      </c>
      <c r="Q71" s="145">
        <v>0.71899999999999997</v>
      </c>
      <c r="R71" s="145">
        <v>0.73499999999999999</v>
      </c>
      <c r="S71" s="145">
        <v>0.75</v>
      </c>
      <c r="T71" s="145">
        <v>0.76400000000000001</v>
      </c>
      <c r="U71" s="145">
        <v>0.77800000000000002</v>
      </c>
      <c r="V71" s="145">
        <v>0.79100000000000004</v>
      </c>
      <c r="W71" s="91"/>
      <c r="X71" s="91"/>
      <c r="Y71" s="91"/>
      <c r="Z71" s="91"/>
      <c r="AA71" s="91"/>
      <c r="AB71" s="91"/>
      <c r="AC71" s="91"/>
      <c r="AD71" s="91"/>
      <c r="AE71" s="91"/>
      <c r="AF71" s="91"/>
      <c r="AG71" s="91"/>
      <c r="AH71" s="91"/>
      <c r="AI71" s="91"/>
      <c r="AJ71" s="91"/>
      <c r="AK71" s="91"/>
      <c r="AL71" s="91"/>
      <c r="AM71" s="91"/>
      <c r="AN71" s="91"/>
      <c r="AO71" s="91"/>
      <c r="AP71" s="91"/>
      <c r="AQ71" s="91"/>
      <c r="AR71" s="91"/>
      <c r="AS71" s="91"/>
      <c r="AT71" s="91"/>
      <c r="AU71" s="91"/>
      <c r="AV71" s="91"/>
      <c r="AW71" s="91"/>
      <c r="AX71" s="91"/>
      <c r="AY71" s="91"/>
      <c r="AZ71" s="91"/>
      <c r="BA71" s="91"/>
      <c r="BB71" s="91"/>
      <c r="BC71" s="91"/>
      <c r="BD71" s="91"/>
      <c r="BE71" s="91"/>
      <c r="BF71" s="91"/>
      <c r="BG71" s="91"/>
      <c r="BH71" s="91"/>
      <c r="BI71" s="91"/>
      <c r="BJ71" s="91"/>
      <c r="BK71" s="91"/>
      <c r="BL71" s="91"/>
      <c r="BM71" s="91"/>
      <c r="BN71" s="91"/>
      <c r="BO71" s="91"/>
      <c r="BP71" s="91"/>
      <c r="BQ71" s="91"/>
      <c r="BR71" s="91"/>
      <c r="BS71" s="91"/>
      <c r="BT71" s="91"/>
      <c r="BU71" s="91"/>
      <c r="BV71" s="91"/>
      <c r="BW71" s="91"/>
      <c r="BX71" s="91"/>
      <c r="BY71" s="91"/>
      <c r="BZ71" s="91"/>
      <c r="CA71" s="91"/>
      <c r="CB71" s="91"/>
      <c r="CC71" s="91"/>
      <c r="CD71" s="91"/>
      <c r="CE71" s="91"/>
      <c r="CF71" s="91"/>
      <c r="CG71" s="91"/>
      <c r="CH71" s="91"/>
      <c r="CI71" s="91"/>
      <c r="CJ71" s="91"/>
      <c r="CK71" s="91"/>
      <c r="CL71" s="91"/>
      <c r="CM71" s="91"/>
      <c r="CN71" s="91"/>
      <c r="CO71" s="91"/>
      <c r="CP71" s="91"/>
      <c r="CQ71" s="91"/>
      <c r="CR71" s="91"/>
      <c r="CS71" s="91"/>
      <c r="CT71" s="91"/>
      <c r="CU71" s="91"/>
      <c r="CV71" s="91"/>
      <c r="CW71" s="91"/>
      <c r="CX71" s="194"/>
    </row>
    <row r="72" spans="2:102" x14ac:dyDescent="0.2">
      <c r="B72" s="189">
        <v>650</v>
      </c>
      <c r="C72" s="193">
        <v>6.5000000000000002E-2</v>
      </c>
      <c r="D72" s="145">
        <v>0.14399999999999999</v>
      </c>
      <c r="E72" s="145">
        <v>0.23400000000000001</v>
      </c>
      <c r="F72" s="145">
        <v>0.32100000000000001</v>
      </c>
      <c r="G72" s="145">
        <v>0.39500000000000002</v>
      </c>
      <c r="H72" s="145">
        <v>0.45500000000000002</v>
      </c>
      <c r="I72" s="145">
        <v>0.503</v>
      </c>
      <c r="J72" s="145">
        <v>0.54300000000000004</v>
      </c>
      <c r="K72" s="145">
        <v>0.57699999999999996</v>
      </c>
      <c r="L72" s="145">
        <v>0.60599999999999998</v>
      </c>
      <c r="M72" s="145">
        <v>0.63100000000000001</v>
      </c>
      <c r="N72" s="145">
        <v>0.65400000000000003</v>
      </c>
      <c r="O72" s="145">
        <v>0.67500000000000004</v>
      </c>
      <c r="P72" s="145">
        <v>0.69399999999999995</v>
      </c>
      <c r="Q72" s="145">
        <v>0.71199999999999997</v>
      </c>
      <c r="R72" s="145">
        <v>0.72799999999999998</v>
      </c>
      <c r="S72" s="145">
        <v>0.74399999999999999</v>
      </c>
      <c r="T72" s="145">
        <v>0.75800000000000001</v>
      </c>
      <c r="U72" s="145">
        <v>0.77200000000000002</v>
      </c>
      <c r="V72" s="145">
        <v>0.78500000000000003</v>
      </c>
      <c r="W72" s="91"/>
      <c r="X72" s="91"/>
      <c r="Y72" s="91"/>
      <c r="Z72" s="91"/>
      <c r="AA72" s="91"/>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91"/>
      <c r="AZ72" s="91"/>
      <c r="BA72" s="91"/>
      <c r="BB72" s="91"/>
      <c r="BC72" s="91"/>
      <c r="BD72" s="91"/>
      <c r="BE72" s="91"/>
      <c r="BF72" s="91"/>
      <c r="BG72" s="91"/>
      <c r="BH72" s="91"/>
      <c r="BI72" s="91"/>
      <c r="BJ72" s="91"/>
      <c r="BK72" s="91"/>
      <c r="BL72" s="91"/>
      <c r="BM72" s="91"/>
      <c r="BN72" s="91"/>
      <c r="BO72" s="91"/>
      <c r="BP72" s="91"/>
      <c r="BQ72" s="91"/>
      <c r="BR72" s="91"/>
      <c r="BS72" s="91"/>
      <c r="BT72" s="91"/>
      <c r="BU72" s="91"/>
      <c r="BV72" s="91"/>
      <c r="BW72" s="91"/>
      <c r="BX72" s="91"/>
      <c r="BY72" s="91"/>
      <c r="BZ72" s="91"/>
      <c r="CA72" s="91"/>
      <c r="CB72" s="91"/>
      <c r="CC72" s="91"/>
      <c r="CD72" s="91"/>
      <c r="CE72" s="91"/>
      <c r="CF72" s="91"/>
      <c r="CG72" s="91"/>
      <c r="CH72" s="91"/>
      <c r="CI72" s="91"/>
      <c r="CJ72" s="91"/>
      <c r="CK72" s="91"/>
      <c r="CL72" s="91"/>
      <c r="CM72" s="91"/>
      <c r="CN72" s="91"/>
      <c r="CO72" s="91"/>
      <c r="CP72" s="91"/>
      <c r="CQ72" s="91"/>
      <c r="CR72" s="91"/>
      <c r="CS72" s="91"/>
      <c r="CT72" s="91"/>
      <c r="CU72" s="91"/>
      <c r="CV72" s="91"/>
      <c r="CW72" s="91"/>
      <c r="CX72" s="194"/>
    </row>
    <row r="73" spans="2:102" x14ac:dyDescent="0.2">
      <c r="B73" s="189">
        <v>660</v>
      </c>
      <c r="C73" s="193">
        <v>6.4000000000000001E-2</v>
      </c>
      <c r="D73" s="145">
        <v>0.14099999999999999</v>
      </c>
      <c r="E73" s="145">
        <v>0.22700000000000001</v>
      </c>
      <c r="F73" s="145">
        <v>0.312</v>
      </c>
      <c r="G73" s="145">
        <v>0.38600000000000001</v>
      </c>
      <c r="H73" s="145">
        <v>0.44500000000000001</v>
      </c>
      <c r="I73" s="145">
        <v>0.49399999999999999</v>
      </c>
      <c r="J73" s="145">
        <v>0.53400000000000003</v>
      </c>
      <c r="K73" s="145">
        <v>0.56799999999999995</v>
      </c>
      <c r="L73" s="145">
        <v>0.59799999999999998</v>
      </c>
      <c r="M73" s="145">
        <v>0.624</v>
      </c>
      <c r="N73" s="145">
        <v>0.64700000000000002</v>
      </c>
      <c r="O73" s="145">
        <v>0.66800000000000004</v>
      </c>
      <c r="P73" s="145">
        <v>0.68700000000000006</v>
      </c>
      <c r="Q73" s="145">
        <v>0.70499999999999996</v>
      </c>
      <c r="R73" s="145">
        <v>0.72199999999999998</v>
      </c>
      <c r="S73" s="145">
        <v>0.73699999999999999</v>
      </c>
      <c r="T73" s="145">
        <v>0.752</v>
      </c>
      <c r="U73" s="145">
        <v>0.76600000000000001</v>
      </c>
      <c r="V73" s="145">
        <v>0.77900000000000003</v>
      </c>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1"/>
      <c r="CT73" s="91"/>
      <c r="CU73" s="91"/>
      <c r="CV73" s="91"/>
      <c r="CW73" s="91"/>
      <c r="CX73" s="194"/>
    </row>
    <row r="74" spans="2:102" x14ac:dyDescent="0.2">
      <c r="B74" s="189">
        <v>670</v>
      </c>
      <c r="C74" s="193">
        <v>6.3E-2</v>
      </c>
      <c r="D74" s="145">
        <v>0.13800000000000001</v>
      </c>
      <c r="E74" s="145">
        <v>0.222</v>
      </c>
      <c r="F74" s="145">
        <v>0.30399999999999999</v>
      </c>
      <c r="G74" s="145">
        <v>0.376</v>
      </c>
      <c r="H74" s="145">
        <v>0.436</v>
      </c>
      <c r="I74" s="145">
        <v>0.48499999999999999</v>
      </c>
      <c r="J74" s="145">
        <v>0.52500000000000002</v>
      </c>
      <c r="K74" s="145">
        <v>0.56000000000000005</v>
      </c>
      <c r="L74" s="145">
        <v>0.59</v>
      </c>
      <c r="M74" s="145">
        <v>0.61599999999999999</v>
      </c>
      <c r="N74" s="145">
        <v>0.64</v>
      </c>
      <c r="O74" s="145">
        <v>0.66100000000000003</v>
      </c>
      <c r="P74" s="145">
        <v>0.68</v>
      </c>
      <c r="Q74" s="145">
        <v>0.69899999999999995</v>
      </c>
      <c r="R74" s="145">
        <v>0.71499999999999997</v>
      </c>
      <c r="S74" s="145">
        <v>0.73099999999999998</v>
      </c>
      <c r="T74" s="145">
        <v>0.746</v>
      </c>
      <c r="U74" s="145">
        <v>0.76</v>
      </c>
      <c r="V74" s="145">
        <v>0.77300000000000002</v>
      </c>
      <c r="W74" s="91"/>
      <c r="X74" s="91"/>
      <c r="Y74" s="91"/>
      <c r="Z74" s="91"/>
      <c r="AA74" s="91"/>
      <c r="AB74" s="91"/>
      <c r="AC74" s="91"/>
      <c r="AD74" s="91"/>
      <c r="AE74" s="91"/>
      <c r="AF74" s="91"/>
      <c r="AG74" s="91"/>
      <c r="AH74" s="91"/>
      <c r="AI74" s="91"/>
      <c r="AJ74" s="91"/>
      <c r="AK74" s="91"/>
      <c r="AL74" s="91"/>
      <c r="AM74" s="91"/>
      <c r="AN74" s="91"/>
      <c r="AO74" s="91"/>
      <c r="AP74" s="91"/>
      <c r="AQ74" s="91"/>
      <c r="AR74" s="91"/>
      <c r="AS74" s="91"/>
      <c r="AT74" s="91"/>
      <c r="AU74" s="91"/>
      <c r="AV74" s="91"/>
      <c r="AW74" s="91"/>
      <c r="AX74" s="91"/>
      <c r="AY74" s="91"/>
      <c r="AZ74" s="91"/>
      <c r="BA74" s="91"/>
      <c r="BB74" s="91"/>
      <c r="BC74" s="91"/>
      <c r="BD74" s="91"/>
      <c r="BE74" s="91"/>
      <c r="BF74" s="91"/>
      <c r="BG74" s="91"/>
      <c r="BH74" s="91"/>
      <c r="BI74" s="91"/>
      <c r="BJ74" s="91"/>
      <c r="BK74" s="91"/>
      <c r="BL74" s="91"/>
      <c r="BM74" s="91"/>
      <c r="BN74" s="91"/>
      <c r="BO74" s="91"/>
      <c r="BP74" s="91"/>
      <c r="BQ74" s="91"/>
      <c r="BR74" s="91"/>
      <c r="BS74" s="91"/>
      <c r="BT74" s="91"/>
      <c r="BU74" s="91"/>
      <c r="BV74" s="91"/>
      <c r="BW74" s="91"/>
      <c r="BX74" s="91"/>
      <c r="BY74" s="91"/>
      <c r="BZ74" s="91"/>
      <c r="CA74" s="91"/>
      <c r="CB74" s="91"/>
      <c r="CC74" s="91"/>
      <c r="CD74" s="91"/>
      <c r="CE74" s="91"/>
      <c r="CF74" s="91"/>
      <c r="CG74" s="91"/>
      <c r="CH74" s="91"/>
      <c r="CI74" s="91"/>
      <c r="CJ74" s="91"/>
      <c r="CK74" s="91"/>
      <c r="CL74" s="91"/>
      <c r="CM74" s="91"/>
      <c r="CN74" s="91"/>
      <c r="CO74" s="91"/>
      <c r="CP74" s="91"/>
      <c r="CQ74" s="91"/>
      <c r="CR74" s="91"/>
      <c r="CS74" s="91"/>
      <c r="CT74" s="91"/>
      <c r="CU74" s="91"/>
      <c r="CV74" s="91"/>
      <c r="CW74" s="91"/>
      <c r="CX74" s="194"/>
    </row>
    <row r="75" spans="2:102" x14ac:dyDescent="0.2">
      <c r="B75" s="189">
        <v>675</v>
      </c>
      <c r="C75" s="193">
        <v>6.2E-2</v>
      </c>
      <c r="D75" s="145">
        <v>0.13600000000000001</v>
      </c>
      <c r="E75" s="145">
        <v>0.219</v>
      </c>
      <c r="F75" s="145">
        <v>0.3</v>
      </c>
      <c r="G75" s="145">
        <v>0.372</v>
      </c>
      <c r="H75" s="145">
        <v>0.43099999999999999</v>
      </c>
      <c r="I75" s="145">
        <v>0.48</v>
      </c>
      <c r="J75" s="145">
        <v>0.52100000000000002</v>
      </c>
      <c r="K75" s="145">
        <v>0.55600000000000005</v>
      </c>
      <c r="L75" s="145">
        <v>0.58599999999999997</v>
      </c>
      <c r="M75" s="145">
        <v>0.61199999999999999</v>
      </c>
      <c r="N75" s="145">
        <v>0.63600000000000001</v>
      </c>
      <c r="O75" s="145">
        <v>0.65700000000000003</v>
      </c>
      <c r="P75" s="145">
        <v>0.67700000000000005</v>
      </c>
      <c r="Q75" s="145">
        <v>0.69499999999999995</v>
      </c>
      <c r="R75" s="145">
        <v>0.71199999999999997</v>
      </c>
      <c r="S75" s="145">
        <v>0.72799999999999998</v>
      </c>
      <c r="T75" s="145">
        <v>0.74299999999999999</v>
      </c>
      <c r="U75" s="145">
        <v>0.75700000000000001</v>
      </c>
      <c r="V75" s="145">
        <v>0.77</v>
      </c>
      <c r="W75" s="91"/>
      <c r="X75" s="91"/>
      <c r="Y75" s="91"/>
      <c r="Z75" s="91"/>
      <c r="AA75" s="91"/>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1"/>
      <c r="CT75" s="91"/>
      <c r="CU75" s="91"/>
      <c r="CV75" s="91"/>
      <c r="CW75" s="91"/>
      <c r="CX75" s="194"/>
    </row>
    <row r="76" spans="2:102" x14ac:dyDescent="0.2">
      <c r="B76" s="189">
        <v>680</v>
      </c>
      <c r="C76" s="193">
        <v>6.2E-2</v>
      </c>
      <c r="D76" s="145">
        <v>0.13500000000000001</v>
      </c>
      <c r="E76" s="145">
        <v>0.216</v>
      </c>
      <c r="F76" s="145">
        <v>0.29599999999999999</v>
      </c>
      <c r="G76" s="145">
        <v>0.36799999999999999</v>
      </c>
      <c r="H76" s="145">
        <v>0.42699999999999999</v>
      </c>
      <c r="I76" s="145">
        <v>0.47599999999999998</v>
      </c>
      <c r="J76" s="145">
        <v>0.51700000000000002</v>
      </c>
      <c r="K76" s="145">
        <v>0.55200000000000005</v>
      </c>
      <c r="L76" s="145">
        <v>0.58199999999999996</v>
      </c>
      <c r="M76" s="145">
        <v>0.60799999999999998</v>
      </c>
      <c r="N76" s="145">
        <v>0.63200000000000001</v>
      </c>
      <c r="O76" s="145">
        <v>0.65400000000000003</v>
      </c>
      <c r="P76" s="145">
        <v>0.67400000000000004</v>
      </c>
      <c r="Q76" s="145">
        <v>0.69199999999999995</v>
      </c>
      <c r="R76" s="145">
        <v>0.70899999999999996</v>
      </c>
      <c r="S76" s="145">
        <v>0.72499999999999998</v>
      </c>
      <c r="T76" s="145">
        <v>0.74</v>
      </c>
      <c r="U76" s="145">
        <v>0.754</v>
      </c>
      <c r="V76" s="145">
        <v>0.76700000000000002</v>
      </c>
      <c r="W76" s="91"/>
      <c r="X76" s="91"/>
      <c r="Y76" s="91"/>
      <c r="Z76" s="91"/>
      <c r="AA76" s="91"/>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91"/>
      <c r="AZ76" s="91"/>
      <c r="BA76" s="91"/>
      <c r="BB76" s="91"/>
      <c r="BC76" s="91"/>
      <c r="BD76" s="91"/>
      <c r="BE76" s="91"/>
      <c r="BF76" s="91"/>
      <c r="BG76" s="91"/>
      <c r="BH76" s="91"/>
      <c r="BI76" s="91"/>
      <c r="BJ76" s="91"/>
      <c r="BK76" s="91"/>
      <c r="BL76" s="91"/>
      <c r="BM76" s="91"/>
      <c r="BN76" s="91"/>
      <c r="BO76" s="91"/>
      <c r="BP76" s="91"/>
      <c r="BQ76" s="91"/>
      <c r="BR76" s="91"/>
      <c r="BS76" s="91"/>
      <c r="BT76" s="91"/>
      <c r="BU76" s="91"/>
      <c r="BV76" s="91"/>
      <c r="BW76" s="91"/>
      <c r="BX76" s="91"/>
      <c r="BY76" s="91"/>
      <c r="BZ76" s="91"/>
      <c r="CA76" s="91"/>
      <c r="CB76" s="91"/>
      <c r="CC76" s="91"/>
      <c r="CD76" s="91"/>
      <c r="CE76" s="91"/>
      <c r="CF76" s="91"/>
      <c r="CG76" s="91"/>
      <c r="CH76" s="91"/>
      <c r="CI76" s="91"/>
      <c r="CJ76" s="91"/>
      <c r="CK76" s="91"/>
      <c r="CL76" s="91"/>
      <c r="CM76" s="91"/>
      <c r="CN76" s="91"/>
      <c r="CO76" s="91"/>
      <c r="CP76" s="91"/>
      <c r="CQ76" s="91"/>
      <c r="CR76" s="91"/>
      <c r="CS76" s="91"/>
      <c r="CT76" s="91"/>
      <c r="CU76" s="91"/>
      <c r="CV76" s="91"/>
      <c r="CW76" s="91"/>
      <c r="CX76" s="194"/>
    </row>
    <row r="77" spans="2:102" x14ac:dyDescent="0.2">
      <c r="B77" s="189">
        <v>690</v>
      </c>
      <c r="C77" s="193">
        <v>6.0999999999999999E-2</v>
      </c>
      <c r="D77" s="145">
        <v>0.13200000000000001</v>
      </c>
      <c r="E77" s="145">
        <v>0.21099999999999999</v>
      </c>
      <c r="F77" s="145">
        <v>0.28899999999999998</v>
      </c>
      <c r="G77" s="145">
        <v>0.35899999999999999</v>
      </c>
      <c r="H77" s="145">
        <v>0.41799999999999998</v>
      </c>
      <c r="I77" s="145">
        <v>0.46700000000000003</v>
      </c>
      <c r="J77" s="145">
        <v>0.50800000000000001</v>
      </c>
      <c r="K77" s="145">
        <v>0.54400000000000004</v>
      </c>
      <c r="L77" s="145">
        <v>0.57399999999999995</v>
      </c>
      <c r="M77" s="145">
        <v>0.60099999999999998</v>
      </c>
      <c r="N77" s="145">
        <v>0.625</v>
      </c>
      <c r="O77" s="145">
        <v>0.64700000000000002</v>
      </c>
      <c r="P77" s="145">
        <v>0.66700000000000004</v>
      </c>
      <c r="Q77" s="145">
        <v>0.68500000000000005</v>
      </c>
      <c r="R77" s="145">
        <v>0.70299999999999996</v>
      </c>
      <c r="S77" s="145">
        <v>0.71899999999999997</v>
      </c>
      <c r="T77" s="145">
        <v>0.73399999999999999</v>
      </c>
      <c r="U77" s="145">
        <v>0.748</v>
      </c>
      <c r="V77" s="145">
        <v>0.76200000000000001</v>
      </c>
      <c r="W77" s="91"/>
      <c r="X77" s="91"/>
      <c r="Y77" s="91"/>
      <c r="Z77" s="91"/>
      <c r="AA77" s="91"/>
      <c r="AB77" s="91"/>
      <c r="AC77" s="91"/>
      <c r="AD77" s="91"/>
      <c r="AE77" s="91"/>
      <c r="AF77" s="91"/>
      <c r="AG77" s="91"/>
      <c r="AH77" s="91"/>
      <c r="AI77" s="91"/>
      <c r="AJ77" s="91"/>
      <c r="AK77" s="91"/>
      <c r="AL77" s="91"/>
      <c r="AM77" s="91"/>
      <c r="AN77" s="91"/>
      <c r="AO77" s="91"/>
      <c r="AP77" s="91"/>
      <c r="AQ77" s="91"/>
      <c r="AR77" s="91"/>
      <c r="AS77" s="91"/>
      <c r="AT77" s="91"/>
      <c r="AU77" s="91"/>
      <c r="AV77" s="91"/>
      <c r="AW77" s="91"/>
      <c r="AX77" s="91"/>
      <c r="AY77" s="91"/>
      <c r="AZ77" s="91"/>
      <c r="BA77" s="91"/>
      <c r="BB77" s="91"/>
      <c r="BC77" s="91"/>
      <c r="BD77" s="91"/>
      <c r="BE77" s="91"/>
      <c r="BF77" s="91"/>
      <c r="BG77" s="91"/>
      <c r="BH77" s="91"/>
      <c r="BI77" s="91"/>
      <c r="BJ77" s="91"/>
      <c r="BK77" s="91"/>
      <c r="BL77" s="91"/>
      <c r="BM77" s="91"/>
      <c r="BN77" s="91"/>
      <c r="BO77" s="91"/>
      <c r="BP77" s="91"/>
      <c r="BQ77" s="91"/>
      <c r="BR77" s="91"/>
      <c r="BS77" s="91"/>
      <c r="BT77" s="91"/>
      <c r="BU77" s="91"/>
      <c r="BV77" s="91"/>
      <c r="BW77" s="91"/>
      <c r="BX77" s="91"/>
      <c r="BY77" s="91"/>
      <c r="BZ77" s="91"/>
      <c r="CA77" s="91"/>
      <c r="CB77" s="91"/>
      <c r="CC77" s="91"/>
      <c r="CD77" s="91"/>
      <c r="CE77" s="91"/>
      <c r="CF77" s="91"/>
      <c r="CG77" s="91"/>
      <c r="CH77" s="91"/>
      <c r="CI77" s="91"/>
      <c r="CJ77" s="91"/>
      <c r="CK77" s="91"/>
      <c r="CL77" s="91"/>
      <c r="CM77" s="91"/>
      <c r="CN77" s="91"/>
      <c r="CO77" s="91"/>
      <c r="CP77" s="91"/>
      <c r="CQ77" s="91"/>
      <c r="CR77" s="91"/>
      <c r="CS77" s="91"/>
      <c r="CT77" s="91"/>
      <c r="CU77" s="91"/>
      <c r="CV77" s="91"/>
      <c r="CW77" s="91"/>
      <c r="CX77" s="194"/>
    </row>
    <row r="78" spans="2:102" x14ac:dyDescent="0.2">
      <c r="B78" s="189">
        <v>700</v>
      </c>
      <c r="C78" s="193">
        <v>0.06</v>
      </c>
      <c r="D78" s="145">
        <v>0.13</v>
      </c>
      <c r="E78" s="145">
        <v>0.20599999999999999</v>
      </c>
      <c r="F78" s="145">
        <v>0.28199999999999997</v>
      </c>
      <c r="G78" s="145">
        <v>0.35099999999999998</v>
      </c>
      <c r="H78" s="145">
        <v>0.41</v>
      </c>
      <c r="I78" s="145">
        <v>0.45900000000000002</v>
      </c>
      <c r="J78" s="145">
        <v>0.5</v>
      </c>
      <c r="K78" s="145">
        <v>0.53600000000000003</v>
      </c>
      <c r="L78" s="145">
        <v>0.56599999999999995</v>
      </c>
      <c r="M78" s="145">
        <v>0.59399999999999997</v>
      </c>
      <c r="N78" s="145">
        <v>0.61799999999999999</v>
      </c>
      <c r="O78" s="145">
        <v>0.64</v>
      </c>
      <c r="P78" s="145">
        <v>0.66</v>
      </c>
      <c r="Q78" s="145">
        <v>0.67900000000000005</v>
      </c>
      <c r="R78" s="145">
        <v>0.69599999999999995</v>
      </c>
      <c r="S78" s="145">
        <v>0.71299999999999997</v>
      </c>
      <c r="T78" s="145">
        <v>0.72799999999999998</v>
      </c>
      <c r="U78" s="145">
        <v>0.74199999999999999</v>
      </c>
      <c r="V78" s="145">
        <v>0.75600000000000001</v>
      </c>
      <c r="W78" s="91"/>
      <c r="X78" s="91"/>
      <c r="Y78" s="91"/>
      <c r="Z78" s="91"/>
      <c r="AA78" s="91"/>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91"/>
      <c r="AZ78" s="91"/>
      <c r="BA78" s="91"/>
      <c r="BB78" s="91"/>
      <c r="BC78" s="91"/>
      <c r="BD78" s="91"/>
      <c r="BE78" s="91"/>
      <c r="BF78" s="91"/>
      <c r="BG78" s="91"/>
      <c r="BH78" s="91"/>
      <c r="BI78" s="91"/>
      <c r="BJ78" s="91"/>
      <c r="BK78" s="91"/>
      <c r="BL78" s="91"/>
      <c r="BM78" s="91"/>
      <c r="BN78" s="91"/>
      <c r="BO78" s="91"/>
      <c r="BP78" s="91"/>
      <c r="BQ78" s="91"/>
      <c r="BR78" s="91"/>
      <c r="BS78" s="91"/>
      <c r="BT78" s="91"/>
      <c r="BU78" s="91"/>
      <c r="BV78" s="91"/>
      <c r="BW78" s="91"/>
      <c r="BX78" s="91"/>
      <c r="BY78" s="91"/>
      <c r="BZ78" s="91"/>
      <c r="CA78" s="91"/>
      <c r="CB78" s="91"/>
      <c r="CC78" s="91"/>
      <c r="CD78" s="91"/>
      <c r="CE78" s="91"/>
      <c r="CF78" s="91"/>
      <c r="CG78" s="91"/>
      <c r="CH78" s="91"/>
      <c r="CI78" s="91"/>
      <c r="CJ78" s="91"/>
      <c r="CK78" s="91"/>
      <c r="CL78" s="91"/>
      <c r="CM78" s="91"/>
      <c r="CN78" s="91"/>
      <c r="CO78" s="91"/>
      <c r="CP78" s="91"/>
      <c r="CQ78" s="91"/>
      <c r="CR78" s="91"/>
      <c r="CS78" s="91"/>
      <c r="CT78" s="91"/>
      <c r="CU78" s="91"/>
      <c r="CV78" s="91"/>
      <c r="CW78" s="91"/>
      <c r="CX78" s="194"/>
    </row>
    <row r="79" spans="2:102" x14ac:dyDescent="0.2">
      <c r="B79" s="189">
        <v>710</v>
      </c>
      <c r="C79" s="193">
        <v>5.8999999999999997E-2</v>
      </c>
      <c r="D79" s="145">
        <v>0.127</v>
      </c>
      <c r="E79" s="145">
        <v>0.20200000000000001</v>
      </c>
      <c r="F79" s="145">
        <v>0.27600000000000002</v>
      </c>
      <c r="G79" s="145">
        <v>0.34300000000000003</v>
      </c>
      <c r="H79" s="145">
        <v>0.40200000000000002</v>
      </c>
      <c r="I79" s="145">
        <v>0.45100000000000001</v>
      </c>
      <c r="J79" s="145">
        <v>0.49199999999999999</v>
      </c>
      <c r="K79" s="145">
        <v>0.52800000000000002</v>
      </c>
      <c r="L79" s="145">
        <v>0.55900000000000005</v>
      </c>
      <c r="M79" s="145">
        <v>0.58599999999999997</v>
      </c>
      <c r="N79" s="145">
        <v>0.61099999999999999</v>
      </c>
      <c r="O79" s="145">
        <v>0.63300000000000001</v>
      </c>
      <c r="P79" s="145">
        <v>0.65400000000000003</v>
      </c>
      <c r="Q79" s="145">
        <v>0.67300000000000004</v>
      </c>
      <c r="R79" s="145">
        <v>0.69</v>
      </c>
      <c r="S79" s="145">
        <v>0.70699999999999996</v>
      </c>
      <c r="T79" s="145">
        <v>0.72199999999999998</v>
      </c>
      <c r="U79" s="145">
        <v>0.73699999999999999</v>
      </c>
      <c r="V79" s="145">
        <v>0.75</v>
      </c>
      <c r="W79" s="91"/>
      <c r="X79" s="91"/>
      <c r="Y79" s="91"/>
      <c r="Z79" s="91"/>
      <c r="AA79" s="91"/>
      <c r="AB79" s="91"/>
      <c r="AC79" s="91"/>
      <c r="AD79" s="91"/>
      <c r="AE79" s="91"/>
      <c r="AF79" s="91"/>
      <c r="AG79" s="91"/>
      <c r="AH79" s="91"/>
      <c r="AI79" s="91"/>
      <c r="AJ79" s="91"/>
      <c r="AK79" s="91"/>
      <c r="AL79" s="91"/>
      <c r="AM79" s="91"/>
      <c r="AN79" s="91"/>
      <c r="AO79" s="91"/>
      <c r="AP79" s="91"/>
      <c r="AQ79" s="91"/>
      <c r="AR79" s="91"/>
      <c r="AS79" s="91"/>
      <c r="AT79" s="91"/>
      <c r="AU79" s="91"/>
      <c r="AV79" s="91"/>
      <c r="AW79" s="91"/>
      <c r="AX79" s="91"/>
      <c r="AY79" s="91"/>
      <c r="AZ79" s="91"/>
      <c r="BA79" s="91"/>
      <c r="BB79" s="91"/>
      <c r="BC79" s="91"/>
      <c r="BD79" s="91"/>
      <c r="BE79" s="91"/>
      <c r="BF79" s="91"/>
      <c r="BG79" s="91"/>
      <c r="BH79" s="91"/>
      <c r="BI79" s="91"/>
      <c r="BJ79" s="91"/>
      <c r="BK79" s="91"/>
      <c r="BL79" s="91"/>
      <c r="BM79" s="91"/>
      <c r="BN79" s="91"/>
      <c r="BO79" s="91"/>
      <c r="BP79" s="91"/>
      <c r="BQ79" s="91"/>
      <c r="BR79" s="91"/>
      <c r="BS79" s="91"/>
      <c r="BT79" s="91"/>
      <c r="BU79" s="91"/>
      <c r="BV79" s="91"/>
      <c r="BW79" s="91"/>
      <c r="BX79" s="91"/>
      <c r="BY79" s="91"/>
      <c r="BZ79" s="91"/>
      <c r="CA79" s="91"/>
      <c r="CB79" s="91"/>
      <c r="CC79" s="91"/>
      <c r="CD79" s="91"/>
      <c r="CE79" s="91"/>
      <c r="CF79" s="91"/>
      <c r="CG79" s="91"/>
      <c r="CH79" s="91"/>
      <c r="CI79" s="91"/>
      <c r="CJ79" s="91"/>
      <c r="CK79" s="91"/>
      <c r="CL79" s="91"/>
      <c r="CM79" s="91"/>
      <c r="CN79" s="91"/>
      <c r="CO79" s="91"/>
      <c r="CP79" s="91"/>
      <c r="CQ79" s="91"/>
      <c r="CR79" s="91"/>
      <c r="CS79" s="91"/>
      <c r="CT79" s="91"/>
      <c r="CU79" s="91"/>
      <c r="CV79" s="91"/>
      <c r="CW79" s="91"/>
      <c r="CX79" s="194"/>
    </row>
    <row r="80" spans="2:102" x14ac:dyDescent="0.2">
      <c r="B80" s="189">
        <v>720</v>
      </c>
      <c r="C80" s="193">
        <v>5.8000000000000003E-2</v>
      </c>
      <c r="D80" s="145">
        <v>0.125</v>
      </c>
      <c r="E80" s="145">
        <v>0.19700000000000001</v>
      </c>
      <c r="F80" s="145">
        <v>0.27</v>
      </c>
      <c r="G80" s="145">
        <v>0.33600000000000002</v>
      </c>
      <c r="H80" s="145">
        <v>0.39400000000000002</v>
      </c>
      <c r="I80" s="145">
        <v>0.443</v>
      </c>
      <c r="J80" s="145">
        <v>0.48399999999999999</v>
      </c>
      <c r="K80" s="145">
        <v>0.52</v>
      </c>
      <c r="L80" s="145">
        <v>0.55200000000000005</v>
      </c>
      <c r="M80" s="145">
        <v>0.57899999999999996</v>
      </c>
      <c r="N80" s="145">
        <v>0.60399999999999998</v>
      </c>
      <c r="O80" s="145">
        <v>0.627</v>
      </c>
      <c r="P80" s="145">
        <v>0.64700000000000002</v>
      </c>
      <c r="Q80" s="145">
        <v>0.66600000000000004</v>
      </c>
      <c r="R80" s="145">
        <v>0.68400000000000005</v>
      </c>
      <c r="S80" s="145">
        <v>0.70099999999999996</v>
      </c>
      <c r="T80" s="145">
        <v>0.71599999999999997</v>
      </c>
      <c r="U80" s="145">
        <v>0.73099999999999998</v>
      </c>
      <c r="V80" s="145">
        <v>0.745</v>
      </c>
      <c r="W80" s="91"/>
      <c r="X80" s="91"/>
      <c r="Y80" s="91"/>
      <c r="Z80" s="91"/>
      <c r="AA80" s="91"/>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91"/>
      <c r="AZ80" s="91"/>
      <c r="BA80" s="91"/>
      <c r="BB80" s="91"/>
      <c r="BC80" s="91"/>
      <c r="BD80" s="91"/>
      <c r="BE80" s="91"/>
      <c r="BF80" s="91"/>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K80" s="91"/>
      <c r="CL80" s="91"/>
      <c r="CM80" s="91"/>
      <c r="CN80" s="91"/>
      <c r="CO80" s="91"/>
      <c r="CP80" s="91"/>
      <c r="CQ80" s="91"/>
      <c r="CR80" s="91"/>
      <c r="CS80" s="91"/>
      <c r="CT80" s="91"/>
      <c r="CU80" s="91"/>
      <c r="CV80" s="91"/>
      <c r="CW80" s="91"/>
      <c r="CX80" s="194"/>
    </row>
    <row r="81" spans="2:102" x14ac:dyDescent="0.2">
      <c r="B81" s="189">
        <v>725</v>
      </c>
      <c r="C81" s="193">
        <v>5.8000000000000003E-2</v>
      </c>
      <c r="D81" s="145">
        <v>0.124</v>
      </c>
      <c r="E81" s="145">
        <v>0.19500000000000001</v>
      </c>
      <c r="F81" s="145">
        <v>0.26700000000000002</v>
      </c>
      <c r="G81" s="145">
        <v>0.33300000000000002</v>
      </c>
      <c r="H81" s="145">
        <v>0.39</v>
      </c>
      <c r="I81" s="145">
        <v>0.439</v>
      </c>
      <c r="J81" s="145">
        <v>0.48099999999999998</v>
      </c>
      <c r="K81" s="145">
        <v>0.51700000000000002</v>
      </c>
      <c r="L81" s="145">
        <v>0.54800000000000004</v>
      </c>
      <c r="M81" s="145">
        <v>0.57599999999999996</v>
      </c>
      <c r="N81" s="145">
        <v>0.60099999999999998</v>
      </c>
      <c r="O81" s="145">
        <v>0.623</v>
      </c>
      <c r="P81" s="145">
        <v>0.64400000000000002</v>
      </c>
      <c r="Q81" s="145">
        <v>0.66300000000000003</v>
      </c>
      <c r="R81" s="145">
        <v>0.68100000000000005</v>
      </c>
      <c r="S81" s="145">
        <v>0.69799999999999995</v>
      </c>
      <c r="T81" s="145">
        <v>0.71299999999999997</v>
      </c>
      <c r="U81" s="145">
        <v>0.72799999999999998</v>
      </c>
      <c r="V81" s="145">
        <v>0.74199999999999999</v>
      </c>
      <c r="W81" s="91"/>
      <c r="X81" s="91"/>
      <c r="Y81" s="91"/>
      <c r="Z81" s="91"/>
      <c r="AA81" s="91"/>
      <c r="AB81" s="91"/>
      <c r="AC81" s="91"/>
      <c r="AD81" s="91"/>
      <c r="AE81" s="91"/>
      <c r="AF81" s="91"/>
      <c r="AG81" s="91"/>
      <c r="AH81" s="91"/>
      <c r="AI81" s="91"/>
      <c r="AJ81" s="91"/>
      <c r="AK81" s="91"/>
      <c r="AL81" s="91"/>
      <c r="AM81" s="91"/>
      <c r="AN81" s="91"/>
      <c r="AO81" s="91"/>
      <c r="AP81" s="91"/>
      <c r="AQ81" s="91"/>
      <c r="AR81" s="91"/>
      <c r="AS81" s="91"/>
      <c r="AT81" s="91"/>
      <c r="AU81" s="91"/>
      <c r="AV81" s="91"/>
      <c r="AW81" s="91"/>
      <c r="AX81" s="91"/>
      <c r="AY81" s="91"/>
      <c r="AZ81" s="91"/>
      <c r="BA81" s="91"/>
      <c r="BB81" s="91"/>
      <c r="BC81" s="91"/>
      <c r="BD81" s="91"/>
      <c r="BE81" s="91"/>
      <c r="BF81" s="91"/>
      <c r="BG81" s="91"/>
      <c r="BH81" s="91"/>
      <c r="BI81" s="91"/>
      <c r="BJ81" s="91"/>
      <c r="BK81" s="91"/>
      <c r="BL81" s="91"/>
      <c r="BM81" s="91"/>
      <c r="BN81" s="91"/>
      <c r="BO81" s="91"/>
      <c r="BP81" s="91"/>
      <c r="BQ81" s="91"/>
      <c r="BR81" s="91"/>
      <c r="BS81" s="91"/>
      <c r="BT81" s="91"/>
      <c r="BU81" s="91"/>
      <c r="BV81" s="91"/>
      <c r="BW81" s="91"/>
      <c r="BX81" s="91"/>
      <c r="BY81" s="91"/>
      <c r="BZ81" s="91"/>
      <c r="CA81" s="91"/>
      <c r="CB81" s="91"/>
      <c r="CC81" s="91"/>
      <c r="CD81" s="91"/>
      <c r="CE81" s="91"/>
      <c r="CF81" s="91"/>
      <c r="CG81" s="91"/>
      <c r="CH81" s="91"/>
      <c r="CI81" s="91"/>
      <c r="CJ81" s="91"/>
      <c r="CK81" s="91"/>
      <c r="CL81" s="91"/>
      <c r="CM81" s="91"/>
      <c r="CN81" s="91"/>
      <c r="CO81" s="91"/>
      <c r="CP81" s="91"/>
      <c r="CQ81" s="91"/>
      <c r="CR81" s="91"/>
      <c r="CS81" s="91"/>
      <c r="CT81" s="91"/>
      <c r="CU81" s="91"/>
      <c r="CV81" s="91"/>
      <c r="CW81" s="91"/>
      <c r="CX81" s="194"/>
    </row>
    <row r="82" spans="2:102" x14ac:dyDescent="0.2">
      <c r="B82" s="189">
        <v>730</v>
      </c>
      <c r="C82" s="193">
        <v>5.8000000000000003E-2</v>
      </c>
      <c r="D82" s="145">
        <v>0.123</v>
      </c>
      <c r="E82" s="145">
        <v>0.193</v>
      </c>
      <c r="F82" s="145">
        <v>0.26400000000000001</v>
      </c>
      <c r="G82" s="145">
        <v>0.32900000000000001</v>
      </c>
      <c r="H82" s="145">
        <v>0.38600000000000001</v>
      </c>
      <c r="I82" s="145">
        <v>0.435</v>
      </c>
      <c r="J82" s="145">
        <v>0.47699999999999998</v>
      </c>
      <c r="K82" s="145">
        <v>0.51300000000000001</v>
      </c>
      <c r="L82" s="145">
        <v>0.54400000000000004</v>
      </c>
      <c r="M82" s="145">
        <v>0.57199999999999995</v>
      </c>
      <c r="N82" s="145">
        <v>0.59699999999999998</v>
      </c>
      <c r="O82" s="145">
        <v>0.62</v>
      </c>
      <c r="P82" s="145">
        <v>0.64100000000000001</v>
      </c>
      <c r="Q82" s="145">
        <v>0.66</v>
      </c>
      <c r="R82" s="145">
        <v>0.67800000000000005</v>
      </c>
      <c r="S82" s="145">
        <v>0.69499999999999995</v>
      </c>
      <c r="T82" s="145">
        <v>0.71</v>
      </c>
      <c r="U82" s="145">
        <v>0.72499999999999998</v>
      </c>
      <c r="V82" s="145">
        <v>0.73899999999999999</v>
      </c>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1"/>
      <c r="CT82" s="91"/>
      <c r="CU82" s="91"/>
      <c r="CV82" s="91"/>
      <c r="CW82" s="91"/>
      <c r="CX82" s="194"/>
    </row>
    <row r="83" spans="2:102" x14ac:dyDescent="0.2">
      <c r="B83" s="189">
        <v>740</v>
      </c>
      <c r="C83" s="193">
        <v>5.7000000000000002E-2</v>
      </c>
      <c r="D83" s="145">
        <v>0.121</v>
      </c>
      <c r="E83" s="145">
        <v>0.19</v>
      </c>
      <c r="F83" s="145">
        <v>0.25900000000000001</v>
      </c>
      <c r="G83" s="145">
        <v>0.32300000000000001</v>
      </c>
      <c r="H83" s="145">
        <v>0.379</v>
      </c>
      <c r="I83" s="145">
        <v>0.42799999999999999</v>
      </c>
      <c r="J83" s="145">
        <v>0.46899999999999997</v>
      </c>
      <c r="K83" s="145">
        <v>0.50600000000000001</v>
      </c>
      <c r="L83" s="145">
        <v>0.53700000000000003</v>
      </c>
      <c r="M83" s="145">
        <v>0.56499999999999995</v>
      </c>
      <c r="N83" s="145">
        <v>0.59099999999999997</v>
      </c>
      <c r="O83" s="145">
        <v>0.61399999999999999</v>
      </c>
      <c r="P83" s="145">
        <v>0.63500000000000001</v>
      </c>
      <c r="Q83" s="145">
        <v>0.65400000000000003</v>
      </c>
      <c r="R83" s="145">
        <v>0.67200000000000004</v>
      </c>
      <c r="S83" s="145">
        <v>0.68899999999999995</v>
      </c>
      <c r="T83" s="145">
        <v>0.70499999999999996</v>
      </c>
      <c r="U83" s="145">
        <v>0.72</v>
      </c>
      <c r="V83" s="145">
        <v>0.73399999999999999</v>
      </c>
      <c r="W83" s="91"/>
      <c r="X83" s="91"/>
      <c r="Y83" s="91"/>
      <c r="Z83" s="91"/>
      <c r="AA83" s="91"/>
      <c r="AB83" s="91"/>
      <c r="AC83" s="91"/>
      <c r="AD83" s="91"/>
      <c r="AE83" s="91"/>
      <c r="AF83" s="91"/>
      <c r="AG83" s="91"/>
      <c r="AH83" s="91"/>
      <c r="AI83" s="91"/>
      <c r="AJ83" s="91"/>
      <c r="AK83" s="91"/>
      <c r="AL83" s="91"/>
      <c r="AM83" s="91"/>
      <c r="AN83" s="91"/>
      <c r="AO83" s="91"/>
      <c r="AP83" s="91"/>
      <c r="AQ83" s="91"/>
      <c r="AR83" s="91"/>
      <c r="AS83" s="91"/>
      <c r="AT83" s="91"/>
      <c r="AU83" s="91"/>
      <c r="AV83" s="91"/>
      <c r="AW83" s="91"/>
      <c r="AX83" s="91"/>
      <c r="AY83" s="91"/>
      <c r="AZ83" s="91"/>
      <c r="BA83" s="91"/>
      <c r="BB83" s="91"/>
      <c r="BC83" s="91"/>
      <c r="BD83" s="91"/>
      <c r="BE83" s="91"/>
      <c r="BF83" s="91"/>
      <c r="BG83" s="91"/>
      <c r="BH83" s="91"/>
      <c r="BI83" s="91"/>
      <c r="BJ83" s="91"/>
      <c r="BK83" s="91"/>
      <c r="BL83" s="91"/>
      <c r="BM83" s="91"/>
      <c r="BN83" s="91"/>
      <c r="BO83" s="91"/>
      <c r="BP83" s="91"/>
      <c r="BQ83" s="91"/>
      <c r="BR83" s="91"/>
      <c r="BS83" s="91"/>
      <c r="BT83" s="91"/>
      <c r="BU83" s="91"/>
      <c r="BV83" s="91"/>
      <c r="BW83" s="91"/>
      <c r="BX83" s="91"/>
      <c r="BY83" s="91"/>
      <c r="BZ83" s="91"/>
      <c r="CA83" s="91"/>
      <c r="CB83" s="91"/>
      <c r="CC83" s="91"/>
      <c r="CD83" s="91"/>
      <c r="CE83" s="91"/>
      <c r="CF83" s="91"/>
      <c r="CG83" s="91"/>
      <c r="CH83" s="91"/>
      <c r="CI83" s="91"/>
      <c r="CJ83" s="91"/>
      <c r="CK83" s="91"/>
      <c r="CL83" s="91"/>
      <c r="CM83" s="91"/>
      <c r="CN83" s="91"/>
      <c r="CO83" s="91"/>
      <c r="CP83" s="91"/>
      <c r="CQ83" s="91"/>
      <c r="CR83" s="91"/>
      <c r="CS83" s="91"/>
      <c r="CT83" s="91"/>
      <c r="CU83" s="91"/>
      <c r="CV83" s="91"/>
      <c r="CW83" s="91"/>
      <c r="CX83" s="194"/>
    </row>
    <row r="84" spans="2:102" x14ac:dyDescent="0.2">
      <c r="B84" s="189">
        <v>750</v>
      </c>
      <c r="C84" s="193">
        <v>5.6000000000000001E-2</v>
      </c>
      <c r="D84" s="145">
        <v>0.11899999999999999</v>
      </c>
      <c r="E84" s="145">
        <v>0.186</v>
      </c>
      <c r="F84" s="145">
        <v>0.253</v>
      </c>
      <c r="G84" s="145">
        <v>0.316</v>
      </c>
      <c r="H84" s="145">
        <v>0.372</v>
      </c>
      <c r="I84" s="145">
        <v>0.42</v>
      </c>
      <c r="J84" s="145">
        <v>0.46200000000000002</v>
      </c>
      <c r="K84" s="145">
        <v>0.498</v>
      </c>
      <c r="L84" s="145">
        <v>0.53</v>
      </c>
      <c r="M84" s="145">
        <v>0.55900000000000005</v>
      </c>
      <c r="N84" s="145">
        <v>0.58399999999999996</v>
      </c>
      <c r="O84" s="145">
        <v>0.60699999999999998</v>
      </c>
      <c r="P84" s="145">
        <v>0.628</v>
      </c>
      <c r="Q84" s="145">
        <v>0.64800000000000002</v>
      </c>
      <c r="R84" s="145">
        <v>0.66600000000000004</v>
      </c>
      <c r="S84" s="145">
        <v>0.68300000000000005</v>
      </c>
      <c r="T84" s="145">
        <v>0.69899999999999995</v>
      </c>
      <c r="U84" s="145">
        <v>0.71399999999999997</v>
      </c>
      <c r="V84" s="145">
        <v>0.72799999999999998</v>
      </c>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1"/>
      <c r="CT84" s="91"/>
      <c r="CU84" s="91"/>
      <c r="CV84" s="91"/>
      <c r="CW84" s="91"/>
      <c r="CX84" s="194"/>
    </row>
    <row r="85" spans="2:102" x14ac:dyDescent="0.2">
      <c r="B85" s="189">
        <v>760</v>
      </c>
      <c r="C85" s="193">
        <v>5.5E-2</v>
      </c>
      <c r="D85" s="145">
        <v>0.11700000000000001</v>
      </c>
      <c r="E85" s="145">
        <v>0.183</v>
      </c>
      <c r="F85" s="145">
        <v>0.248</v>
      </c>
      <c r="G85" s="145">
        <v>0.31</v>
      </c>
      <c r="H85" s="145">
        <v>0.36499999999999999</v>
      </c>
      <c r="I85" s="145">
        <v>0.41299999999999998</v>
      </c>
      <c r="J85" s="145">
        <v>0.45500000000000002</v>
      </c>
      <c r="K85" s="145">
        <v>0.49099999999999999</v>
      </c>
      <c r="L85" s="145">
        <v>0.52300000000000002</v>
      </c>
      <c r="M85" s="145">
        <v>0.55200000000000005</v>
      </c>
      <c r="N85" s="145">
        <v>0.57799999999999996</v>
      </c>
      <c r="O85" s="145">
        <v>0.60099999999999998</v>
      </c>
      <c r="P85" s="145">
        <v>0.622</v>
      </c>
      <c r="Q85" s="145">
        <v>0.64200000000000002</v>
      </c>
      <c r="R85" s="145">
        <v>0.66</v>
      </c>
      <c r="S85" s="145">
        <v>0.67700000000000005</v>
      </c>
      <c r="T85" s="145">
        <v>0.69299999999999995</v>
      </c>
      <c r="U85" s="145">
        <v>0.70799999999999996</v>
      </c>
      <c r="V85" s="145">
        <v>0.72299999999999998</v>
      </c>
      <c r="W85" s="91"/>
      <c r="X85" s="91"/>
      <c r="Y85" s="91"/>
      <c r="Z85" s="91"/>
      <c r="AA85" s="91"/>
      <c r="AB85" s="91"/>
      <c r="AC85" s="91"/>
      <c r="AD85" s="91"/>
      <c r="AE85" s="91"/>
      <c r="AF85" s="91"/>
      <c r="AG85" s="91"/>
      <c r="AH85" s="91"/>
      <c r="AI85" s="91"/>
      <c r="AJ85" s="91"/>
      <c r="AK85" s="91"/>
      <c r="AL85" s="91"/>
      <c r="AM85" s="91"/>
      <c r="AN85" s="91"/>
      <c r="AO85" s="91"/>
      <c r="AP85" s="91"/>
      <c r="AQ85" s="91"/>
      <c r="AR85" s="91"/>
      <c r="AS85" s="91"/>
      <c r="AT85" s="91"/>
      <c r="AU85" s="91"/>
      <c r="AV85" s="91"/>
      <c r="AW85" s="91"/>
      <c r="AX85" s="91"/>
      <c r="AY85" s="91"/>
      <c r="AZ85" s="91"/>
      <c r="BA85" s="91"/>
      <c r="BB85" s="91"/>
      <c r="BC85" s="91"/>
      <c r="BD85" s="91"/>
      <c r="BE85" s="91"/>
      <c r="BF85" s="91"/>
      <c r="BG85" s="91"/>
      <c r="BH85" s="91"/>
      <c r="BI85" s="91"/>
      <c r="BJ85" s="91"/>
      <c r="BK85" s="91"/>
      <c r="BL85" s="91"/>
      <c r="BM85" s="91"/>
      <c r="BN85" s="91"/>
      <c r="BO85" s="91"/>
      <c r="BP85" s="91"/>
      <c r="BQ85" s="91"/>
      <c r="BR85" s="91"/>
      <c r="BS85" s="91"/>
      <c r="BT85" s="91"/>
      <c r="BU85" s="91"/>
      <c r="BV85" s="91"/>
      <c r="BW85" s="91"/>
      <c r="BX85" s="91"/>
      <c r="BY85" s="91"/>
      <c r="BZ85" s="91"/>
      <c r="CA85" s="91"/>
      <c r="CB85" s="91"/>
      <c r="CC85" s="91"/>
      <c r="CD85" s="91"/>
      <c r="CE85" s="91"/>
      <c r="CF85" s="91"/>
      <c r="CG85" s="91"/>
      <c r="CH85" s="91"/>
      <c r="CI85" s="91"/>
      <c r="CJ85" s="91"/>
      <c r="CK85" s="91"/>
      <c r="CL85" s="91"/>
      <c r="CM85" s="91"/>
      <c r="CN85" s="91"/>
      <c r="CO85" s="91"/>
      <c r="CP85" s="91"/>
      <c r="CQ85" s="91"/>
      <c r="CR85" s="91"/>
      <c r="CS85" s="91"/>
      <c r="CT85" s="91"/>
      <c r="CU85" s="91"/>
      <c r="CV85" s="91"/>
      <c r="CW85" s="91"/>
      <c r="CX85" s="194"/>
    </row>
    <row r="86" spans="2:102" x14ac:dyDescent="0.2">
      <c r="B86" s="189">
        <v>770</v>
      </c>
      <c r="C86" s="193">
        <v>5.5E-2</v>
      </c>
      <c r="D86" s="145">
        <v>0.115</v>
      </c>
      <c r="E86" s="145">
        <v>0.17899999999999999</v>
      </c>
      <c r="F86" s="145">
        <v>0.24399999999999999</v>
      </c>
      <c r="G86" s="145">
        <v>0.30399999999999999</v>
      </c>
      <c r="H86" s="145">
        <v>0.35899999999999999</v>
      </c>
      <c r="I86" s="145">
        <v>0.40699999999999997</v>
      </c>
      <c r="J86" s="145">
        <v>0.44800000000000001</v>
      </c>
      <c r="K86" s="145">
        <v>0.48499999999999999</v>
      </c>
      <c r="L86" s="145">
        <v>0.51700000000000002</v>
      </c>
      <c r="M86" s="145">
        <v>0.54500000000000004</v>
      </c>
      <c r="N86" s="145">
        <v>0.57099999999999995</v>
      </c>
      <c r="O86" s="145">
        <v>0.59499999999999997</v>
      </c>
      <c r="P86" s="145">
        <v>0.61599999999999999</v>
      </c>
      <c r="Q86" s="145">
        <v>0.63600000000000001</v>
      </c>
      <c r="R86" s="145">
        <v>0.65400000000000003</v>
      </c>
      <c r="S86" s="145">
        <v>0.67200000000000004</v>
      </c>
      <c r="T86" s="145">
        <v>0.68799999999999994</v>
      </c>
      <c r="U86" s="145">
        <v>0.70299999999999996</v>
      </c>
      <c r="V86" s="145">
        <v>0.71699999999999997</v>
      </c>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1"/>
      <c r="CT86" s="91"/>
      <c r="CU86" s="91"/>
      <c r="CV86" s="91"/>
      <c r="CW86" s="91"/>
      <c r="CX86" s="194"/>
    </row>
    <row r="87" spans="2:102" x14ac:dyDescent="0.2">
      <c r="B87" s="189">
        <v>775</v>
      </c>
      <c r="C87" s="193">
        <v>5.3999999999999999E-2</v>
      </c>
      <c r="D87" s="145">
        <v>0.114</v>
      </c>
      <c r="E87" s="145">
        <v>0.17799999999999999</v>
      </c>
      <c r="F87" s="145">
        <v>0.24199999999999999</v>
      </c>
      <c r="G87" s="145">
        <v>0.30199999999999999</v>
      </c>
      <c r="H87" s="145">
        <v>0.35599999999999998</v>
      </c>
      <c r="I87" s="145">
        <v>0.40300000000000002</v>
      </c>
      <c r="J87" s="145">
        <v>0.44500000000000001</v>
      </c>
      <c r="K87" s="145">
        <v>0.48099999999999998</v>
      </c>
      <c r="L87" s="145">
        <v>0.51300000000000001</v>
      </c>
      <c r="M87" s="145">
        <v>0.54200000000000004</v>
      </c>
      <c r="N87" s="145">
        <v>0.56799999999999995</v>
      </c>
      <c r="O87" s="145">
        <v>0.59099999999999997</v>
      </c>
      <c r="P87" s="145">
        <v>0.61299999999999999</v>
      </c>
      <c r="Q87" s="145">
        <v>0.63300000000000001</v>
      </c>
      <c r="R87" s="145">
        <v>0.65100000000000002</v>
      </c>
      <c r="S87" s="145">
        <v>0.66900000000000004</v>
      </c>
      <c r="T87" s="145">
        <v>0.68500000000000005</v>
      </c>
      <c r="U87" s="145">
        <v>0.7</v>
      </c>
      <c r="V87" s="145">
        <v>0.71499999999999997</v>
      </c>
      <c r="W87" s="91"/>
      <c r="X87" s="91"/>
      <c r="Y87" s="91"/>
      <c r="Z87" s="91"/>
      <c r="AA87" s="91"/>
      <c r="AB87" s="91"/>
      <c r="AC87" s="91"/>
      <c r="AD87" s="91"/>
      <c r="AE87" s="91"/>
      <c r="AF87" s="91"/>
      <c r="AG87" s="91"/>
      <c r="AH87" s="91"/>
      <c r="AI87" s="91"/>
      <c r="AJ87" s="91"/>
      <c r="AK87" s="91"/>
      <c r="AL87" s="91"/>
      <c r="AM87" s="91"/>
      <c r="AN87" s="91"/>
      <c r="AO87" s="91"/>
      <c r="AP87" s="91"/>
      <c r="AQ87" s="91"/>
      <c r="AR87" s="91"/>
      <c r="AS87" s="91"/>
      <c r="AT87" s="91"/>
      <c r="AU87" s="91"/>
      <c r="AV87" s="91"/>
      <c r="AW87" s="91"/>
      <c r="AX87" s="91"/>
      <c r="AY87" s="91"/>
      <c r="AZ87" s="91"/>
      <c r="BA87" s="91"/>
      <c r="BB87" s="91"/>
      <c r="BC87" s="91"/>
      <c r="BD87" s="91"/>
      <c r="BE87" s="91"/>
      <c r="BF87" s="91"/>
      <c r="BG87" s="91"/>
      <c r="BH87" s="91"/>
      <c r="BI87" s="91"/>
      <c r="BJ87" s="91"/>
      <c r="BK87" s="91"/>
      <c r="BL87" s="91"/>
      <c r="BM87" s="91"/>
      <c r="BN87" s="91"/>
      <c r="BO87" s="91"/>
      <c r="BP87" s="91"/>
      <c r="BQ87" s="91"/>
      <c r="BR87" s="91"/>
      <c r="BS87" s="91"/>
      <c r="BT87" s="91"/>
      <c r="BU87" s="91"/>
      <c r="BV87" s="91"/>
      <c r="BW87" s="91"/>
      <c r="BX87" s="91"/>
      <c r="BY87" s="91"/>
      <c r="BZ87" s="91"/>
      <c r="CA87" s="91"/>
      <c r="CB87" s="91"/>
      <c r="CC87" s="91"/>
      <c r="CD87" s="91"/>
      <c r="CE87" s="91"/>
      <c r="CF87" s="91"/>
      <c r="CG87" s="91"/>
      <c r="CH87" s="91"/>
      <c r="CI87" s="91"/>
      <c r="CJ87" s="91"/>
      <c r="CK87" s="91"/>
      <c r="CL87" s="91"/>
      <c r="CM87" s="91"/>
      <c r="CN87" s="91"/>
      <c r="CO87" s="91"/>
      <c r="CP87" s="91"/>
      <c r="CQ87" s="91"/>
      <c r="CR87" s="91"/>
      <c r="CS87" s="91"/>
      <c r="CT87" s="91"/>
      <c r="CU87" s="91"/>
      <c r="CV87" s="91"/>
      <c r="CW87" s="91"/>
      <c r="CX87" s="194"/>
    </row>
    <row r="88" spans="2:102" x14ac:dyDescent="0.2">
      <c r="B88" s="189">
        <v>780</v>
      </c>
      <c r="C88" s="193">
        <v>5.3999999999999999E-2</v>
      </c>
      <c r="D88" s="145">
        <v>0.113</v>
      </c>
      <c r="E88" s="145">
        <v>0.17599999999999999</v>
      </c>
      <c r="F88" s="145">
        <v>0.23899999999999999</v>
      </c>
      <c r="G88" s="145">
        <v>0.29899999999999999</v>
      </c>
      <c r="H88" s="145">
        <v>0.35299999999999998</v>
      </c>
      <c r="I88" s="145">
        <v>0.4</v>
      </c>
      <c r="J88" s="145">
        <v>0.442</v>
      </c>
      <c r="K88" s="145">
        <v>0.47799999999999998</v>
      </c>
      <c r="L88" s="145">
        <v>0.51</v>
      </c>
      <c r="M88" s="145">
        <v>0.53900000000000003</v>
      </c>
      <c r="N88" s="145">
        <v>0.56499999999999995</v>
      </c>
      <c r="O88" s="145">
        <v>0.58799999999999997</v>
      </c>
      <c r="P88" s="145">
        <v>0.61</v>
      </c>
      <c r="Q88" s="145">
        <v>0.63</v>
      </c>
      <c r="R88" s="145">
        <v>0.64900000000000002</v>
      </c>
      <c r="S88" s="145">
        <v>0.66600000000000004</v>
      </c>
      <c r="T88" s="145">
        <v>0.68200000000000005</v>
      </c>
      <c r="U88" s="145">
        <v>0.69799999999999995</v>
      </c>
      <c r="V88" s="145">
        <v>0.71199999999999997</v>
      </c>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1"/>
      <c r="CT88" s="91"/>
      <c r="CU88" s="91"/>
      <c r="CV88" s="91"/>
      <c r="CW88" s="91"/>
      <c r="CX88" s="194"/>
    </row>
    <row r="89" spans="2:102" x14ac:dyDescent="0.2">
      <c r="B89" s="189">
        <v>790</v>
      </c>
      <c r="C89" s="193">
        <v>5.2999999999999999E-2</v>
      </c>
      <c r="D89" s="145">
        <v>0.112</v>
      </c>
      <c r="E89" s="145">
        <v>0.17299999999999999</v>
      </c>
      <c r="F89" s="145">
        <v>0.23499999999999999</v>
      </c>
      <c r="G89" s="145">
        <v>0.29399999999999998</v>
      </c>
      <c r="H89" s="145">
        <v>0.34699999999999998</v>
      </c>
      <c r="I89" s="145">
        <v>0.39400000000000002</v>
      </c>
      <c r="J89" s="145">
        <v>0.435</v>
      </c>
      <c r="K89" s="145">
        <v>0.47099999999999997</v>
      </c>
      <c r="L89" s="145">
        <v>0.504</v>
      </c>
      <c r="M89" s="145">
        <v>0.53300000000000003</v>
      </c>
      <c r="N89" s="145">
        <v>0.55900000000000005</v>
      </c>
      <c r="O89" s="145">
        <v>0.58199999999999996</v>
      </c>
      <c r="P89" s="145">
        <v>0.60399999999999998</v>
      </c>
      <c r="Q89" s="145">
        <v>0.624</v>
      </c>
      <c r="R89" s="145">
        <v>0.64300000000000002</v>
      </c>
      <c r="S89" s="145">
        <v>0.66</v>
      </c>
      <c r="T89" s="145">
        <v>0.67700000000000005</v>
      </c>
      <c r="U89" s="145">
        <v>0.69199999999999995</v>
      </c>
      <c r="V89" s="145">
        <v>0.70699999999999996</v>
      </c>
      <c r="W89" s="91"/>
      <c r="X89" s="91"/>
      <c r="Y89" s="91"/>
      <c r="Z89" s="91"/>
      <c r="AA89" s="91"/>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1"/>
      <c r="CT89" s="91"/>
      <c r="CU89" s="91"/>
      <c r="CV89" s="91"/>
      <c r="CW89" s="91"/>
      <c r="CX89" s="194"/>
    </row>
    <row r="90" spans="2:102" x14ac:dyDescent="0.2">
      <c r="B90" s="189">
        <v>800</v>
      </c>
      <c r="C90" s="193">
        <v>5.2999999999999999E-2</v>
      </c>
      <c r="D90" s="145">
        <v>0.11</v>
      </c>
      <c r="E90" s="145">
        <v>0.17100000000000001</v>
      </c>
      <c r="F90" s="145">
        <v>0.23100000000000001</v>
      </c>
      <c r="G90" s="145">
        <v>0.28799999999999998</v>
      </c>
      <c r="H90" s="145">
        <v>0.34100000000000003</v>
      </c>
      <c r="I90" s="145">
        <v>0.38700000000000001</v>
      </c>
      <c r="J90" s="145">
        <v>0.42899999999999999</v>
      </c>
      <c r="K90" s="145">
        <v>0.46500000000000002</v>
      </c>
      <c r="L90" s="145">
        <v>0.497</v>
      </c>
      <c r="M90" s="145">
        <v>0.52600000000000002</v>
      </c>
      <c r="N90" s="145">
        <v>0.55300000000000005</v>
      </c>
      <c r="O90" s="145">
        <v>0.57599999999999996</v>
      </c>
      <c r="P90" s="145">
        <v>0.59799999999999998</v>
      </c>
      <c r="Q90" s="145">
        <v>0.61799999999999999</v>
      </c>
      <c r="R90" s="145">
        <v>0.63700000000000001</v>
      </c>
      <c r="S90" s="145">
        <v>0.65500000000000003</v>
      </c>
      <c r="T90" s="145">
        <v>0.67100000000000004</v>
      </c>
      <c r="U90" s="145">
        <v>0.68700000000000006</v>
      </c>
      <c r="V90" s="145">
        <v>0.70199999999999996</v>
      </c>
      <c r="W90" s="91"/>
      <c r="X90" s="91"/>
      <c r="Y90" s="91"/>
      <c r="Z90" s="91"/>
      <c r="AA90" s="91"/>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91"/>
      <c r="AZ90" s="91"/>
      <c r="BA90" s="91"/>
      <c r="BB90" s="91"/>
      <c r="BC90" s="91"/>
      <c r="BD90" s="91"/>
      <c r="BE90" s="91"/>
      <c r="BF90" s="91"/>
      <c r="BG90" s="91"/>
      <c r="BH90" s="91"/>
      <c r="BI90" s="91"/>
      <c r="BJ90" s="91"/>
      <c r="BK90" s="91"/>
      <c r="BL90" s="91"/>
      <c r="BM90" s="91"/>
      <c r="BN90" s="91"/>
      <c r="BO90" s="91"/>
      <c r="BP90" s="91"/>
      <c r="BQ90" s="91"/>
      <c r="BR90" s="91"/>
      <c r="BS90" s="91"/>
      <c r="BT90" s="91"/>
      <c r="BU90" s="91"/>
      <c r="BV90" s="91"/>
      <c r="BW90" s="91"/>
      <c r="BX90" s="91"/>
      <c r="BY90" s="91"/>
      <c r="BZ90" s="91"/>
      <c r="CA90" s="91"/>
      <c r="CB90" s="91"/>
      <c r="CC90" s="91"/>
      <c r="CD90" s="91"/>
      <c r="CE90" s="91"/>
      <c r="CF90" s="91"/>
      <c r="CG90" s="91"/>
      <c r="CH90" s="91"/>
      <c r="CI90" s="91"/>
      <c r="CJ90" s="91"/>
      <c r="CK90" s="91"/>
      <c r="CL90" s="91"/>
      <c r="CM90" s="91"/>
      <c r="CN90" s="91"/>
      <c r="CO90" s="91"/>
      <c r="CP90" s="91"/>
      <c r="CQ90" s="91"/>
      <c r="CR90" s="91"/>
      <c r="CS90" s="91"/>
      <c r="CT90" s="91"/>
      <c r="CU90" s="91"/>
      <c r="CV90" s="91"/>
      <c r="CW90" s="91"/>
      <c r="CX90" s="194"/>
    </row>
    <row r="91" spans="2:102" x14ac:dyDescent="0.2">
      <c r="B91" s="189">
        <v>810</v>
      </c>
      <c r="C91" s="193">
        <v>5.1999999999999998E-2</v>
      </c>
      <c r="D91" s="145">
        <v>0.109</v>
      </c>
      <c r="E91" s="145">
        <v>0.16800000000000001</v>
      </c>
      <c r="F91" s="145">
        <v>0.22700000000000001</v>
      </c>
      <c r="G91" s="145">
        <v>0.28399999999999997</v>
      </c>
      <c r="H91" s="145">
        <v>0.33500000000000002</v>
      </c>
      <c r="I91" s="145">
        <v>0.38200000000000001</v>
      </c>
      <c r="J91" s="145">
        <v>0.42299999999999999</v>
      </c>
      <c r="K91" s="145">
        <v>0.45900000000000002</v>
      </c>
      <c r="L91" s="145">
        <v>0.49099999999999999</v>
      </c>
      <c r="M91" s="145">
        <v>0.52</v>
      </c>
      <c r="N91" s="145">
        <v>0.54700000000000004</v>
      </c>
      <c r="O91" s="145">
        <v>0.57099999999999995</v>
      </c>
      <c r="P91" s="145">
        <v>0.59299999999999997</v>
      </c>
      <c r="Q91" s="145">
        <v>0.61299999999999999</v>
      </c>
      <c r="R91" s="145">
        <v>0.63200000000000001</v>
      </c>
      <c r="S91" s="145">
        <v>0.64900000000000002</v>
      </c>
      <c r="T91" s="145">
        <v>0.66600000000000004</v>
      </c>
      <c r="U91" s="145">
        <v>0.68200000000000005</v>
      </c>
      <c r="V91" s="145">
        <v>0.69699999999999995</v>
      </c>
      <c r="W91" s="91"/>
      <c r="X91" s="91"/>
      <c r="Y91" s="91"/>
      <c r="Z91" s="91"/>
      <c r="AA91" s="91"/>
      <c r="AB91" s="91"/>
      <c r="AC91" s="91"/>
      <c r="AD91" s="91"/>
      <c r="AE91" s="91"/>
      <c r="AF91" s="91"/>
      <c r="AG91" s="91"/>
      <c r="AH91" s="91"/>
      <c r="AI91" s="91"/>
      <c r="AJ91" s="91"/>
      <c r="AK91" s="91"/>
      <c r="AL91" s="91"/>
      <c r="AM91" s="91"/>
      <c r="AN91" s="91"/>
      <c r="AO91" s="91"/>
      <c r="AP91" s="91"/>
      <c r="AQ91" s="91"/>
      <c r="AR91" s="91"/>
      <c r="AS91" s="91"/>
      <c r="AT91" s="91"/>
      <c r="AU91" s="91"/>
      <c r="AV91" s="91"/>
      <c r="AW91" s="91"/>
      <c r="AX91" s="91"/>
      <c r="AY91" s="91"/>
      <c r="AZ91" s="91"/>
      <c r="BA91" s="91"/>
      <c r="BB91" s="91"/>
      <c r="BC91" s="91"/>
      <c r="BD91" s="91"/>
      <c r="BE91" s="91"/>
      <c r="BF91" s="91"/>
      <c r="BG91" s="91"/>
      <c r="BH91" s="91"/>
      <c r="BI91" s="91"/>
      <c r="BJ91" s="91"/>
      <c r="BK91" s="91"/>
      <c r="BL91" s="91"/>
      <c r="BM91" s="91"/>
      <c r="BN91" s="91"/>
      <c r="BO91" s="91"/>
      <c r="BP91" s="91"/>
      <c r="BQ91" s="91"/>
      <c r="BR91" s="91"/>
      <c r="BS91" s="91"/>
      <c r="BT91" s="91"/>
      <c r="BU91" s="91"/>
      <c r="BV91" s="91"/>
      <c r="BW91" s="91"/>
      <c r="BX91" s="91"/>
      <c r="BY91" s="91"/>
      <c r="BZ91" s="91"/>
      <c r="CA91" s="91"/>
      <c r="CB91" s="91"/>
      <c r="CC91" s="91"/>
      <c r="CD91" s="91"/>
      <c r="CE91" s="91"/>
      <c r="CF91" s="91"/>
      <c r="CG91" s="91"/>
      <c r="CH91" s="91"/>
      <c r="CI91" s="91"/>
      <c r="CJ91" s="91"/>
      <c r="CK91" s="91"/>
      <c r="CL91" s="91"/>
      <c r="CM91" s="91"/>
      <c r="CN91" s="91"/>
      <c r="CO91" s="91"/>
      <c r="CP91" s="91"/>
      <c r="CQ91" s="91"/>
      <c r="CR91" s="91"/>
      <c r="CS91" s="91"/>
      <c r="CT91" s="91"/>
      <c r="CU91" s="91"/>
      <c r="CV91" s="91"/>
      <c r="CW91" s="91"/>
      <c r="CX91" s="194"/>
    </row>
    <row r="92" spans="2:102" x14ac:dyDescent="0.2">
      <c r="B92" s="189">
        <v>820</v>
      </c>
      <c r="C92" s="193">
        <v>5.1999999999999998E-2</v>
      </c>
      <c r="D92" s="145">
        <v>0.107</v>
      </c>
      <c r="E92" s="145">
        <v>0.16500000000000001</v>
      </c>
      <c r="F92" s="145">
        <v>0.223</v>
      </c>
      <c r="G92" s="145">
        <v>0.27900000000000003</v>
      </c>
      <c r="H92" s="145">
        <v>0.33</v>
      </c>
      <c r="I92" s="145">
        <v>0.376</v>
      </c>
      <c r="J92" s="145">
        <v>0.41699999999999998</v>
      </c>
      <c r="K92" s="145">
        <v>0.45300000000000001</v>
      </c>
      <c r="L92" s="145">
        <v>0.48499999999999999</v>
      </c>
      <c r="M92" s="145">
        <v>0.51400000000000001</v>
      </c>
      <c r="N92" s="145">
        <v>0.54100000000000004</v>
      </c>
      <c r="O92" s="145">
        <v>0.56499999999999995</v>
      </c>
      <c r="P92" s="145">
        <v>0.58699999999999997</v>
      </c>
      <c r="Q92" s="145">
        <v>0.60699999999999998</v>
      </c>
      <c r="R92" s="145">
        <v>0.626</v>
      </c>
      <c r="S92" s="145">
        <v>0.64400000000000002</v>
      </c>
      <c r="T92" s="145">
        <v>0.66100000000000003</v>
      </c>
      <c r="U92" s="145">
        <v>0.67700000000000005</v>
      </c>
      <c r="V92" s="145">
        <v>0.69199999999999995</v>
      </c>
      <c r="W92" s="91"/>
      <c r="X92" s="91"/>
      <c r="Y92" s="91"/>
      <c r="Z92" s="91"/>
      <c r="AA92" s="91"/>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1"/>
      <c r="CL92" s="91"/>
      <c r="CM92" s="91"/>
      <c r="CN92" s="91"/>
      <c r="CO92" s="91"/>
      <c r="CP92" s="91"/>
      <c r="CQ92" s="91"/>
      <c r="CR92" s="91"/>
      <c r="CS92" s="91"/>
      <c r="CT92" s="91"/>
      <c r="CU92" s="91"/>
      <c r="CV92" s="91"/>
      <c r="CW92" s="91"/>
      <c r="CX92" s="194"/>
    </row>
    <row r="93" spans="2:102" x14ac:dyDescent="0.2">
      <c r="B93" s="189">
        <v>825</v>
      </c>
      <c r="C93" s="193">
        <v>5.0999999999999997E-2</v>
      </c>
      <c r="D93" s="145">
        <v>0.106</v>
      </c>
      <c r="E93" s="145">
        <v>0.16400000000000001</v>
      </c>
      <c r="F93" s="145">
        <v>0.222</v>
      </c>
      <c r="G93" s="145">
        <v>0.27700000000000002</v>
      </c>
      <c r="H93" s="145">
        <v>0.32700000000000001</v>
      </c>
      <c r="I93" s="145">
        <v>0.373</v>
      </c>
      <c r="J93" s="145">
        <v>0.41399999999999998</v>
      </c>
      <c r="K93" s="145">
        <v>0.45</v>
      </c>
      <c r="L93" s="145">
        <v>0.48199999999999998</v>
      </c>
      <c r="M93" s="145">
        <v>0.51100000000000001</v>
      </c>
      <c r="N93" s="145">
        <v>0.53800000000000003</v>
      </c>
      <c r="O93" s="145">
        <v>0.56200000000000006</v>
      </c>
      <c r="P93" s="145">
        <v>0.58399999999999996</v>
      </c>
      <c r="Q93" s="145">
        <v>0.60499999999999998</v>
      </c>
      <c r="R93" s="145">
        <v>0.624</v>
      </c>
      <c r="S93" s="145">
        <v>0.64100000000000001</v>
      </c>
      <c r="T93" s="145">
        <v>0.65800000000000003</v>
      </c>
      <c r="U93" s="145">
        <v>0.67400000000000004</v>
      </c>
      <c r="V93" s="145">
        <v>0.68899999999999995</v>
      </c>
      <c r="W93" s="91"/>
      <c r="X93" s="91"/>
      <c r="Y93" s="91"/>
      <c r="Z93" s="91"/>
      <c r="AA93" s="91"/>
      <c r="AB93" s="91"/>
      <c r="AC93" s="91"/>
      <c r="AD93" s="91"/>
      <c r="AE93" s="91"/>
      <c r="AF93" s="91"/>
      <c r="AG93" s="91"/>
      <c r="AH93" s="91"/>
      <c r="AI93" s="91"/>
      <c r="AJ93" s="91"/>
      <c r="AK93" s="91"/>
      <c r="AL93" s="91"/>
      <c r="AM93" s="91"/>
      <c r="AN93" s="91"/>
      <c r="AO93" s="91"/>
      <c r="AP93" s="91"/>
      <c r="AQ93" s="91"/>
      <c r="AR93" s="91"/>
      <c r="AS93" s="91"/>
      <c r="AT93" s="91"/>
      <c r="AU93" s="91"/>
      <c r="AV93" s="91"/>
      <c r="AW93" s="91"/>
      <c r="AX93" s="91"/>
      <c r="AY93" s="91"/>
      <c r="AZ93" s="91"/>
      <c r="BA93" s="91"/>
      <c r="BB93" s="91"/>
      <c r="BC93" s="91"/>
      <c r="BD93" s="91"/>
      <c r="BE93" s="91"/>
      <c r="BF93" s="91"/>
      <c r="BG93" s="91"/>
      <c r="BH93" s="91"/>
      <c r="BI93" s="91"/>
      <c r="BJ93" s="91"/>
      <c r="BK93" s="91"/>
      <c r="BL93" s="91"/>
      <c r="BM93" s="91"/>
      <c r="BN93" s="91"/>
      <c r="BO93" s="91"/>
      <c r="BP93" s="91"/>
      <c r="BQ93" s="91"/>
      <c r="BR93" s="91"/>
      <c r="BS93" s="91"/>
      <c r="BT93" s="91"/>
      <c r="BU93" s="91"/>
      <c r="BV93" s="91"/>
      <c r="BW93" s="91"/>
      <c r="BX93" s="91"/>
      <c r="BY93" s="91"/>
      <c r="BZ93" s="91"/>
      <c r="CA93" s="91"/>
      <c r="CB93" s="91"/>
      <c r="CC93" s="91"/>
      <c r="CD93" s="91"/>
      <c r="CE93" s="91"/>
      <c r="CF93" s="91"/>
      <c r="CG93" s="91"/>
      <c r="CH93" s="91"/>
      <c r="CI93" s="91"/>
      <c r="CJ93" s="91"/>
      <c r="CK93" s="91"/>
      <c r="CL93" s="91"/>
      <c r="CM93" s="91"/>
      <c r="CN93" s="91"/>
      <c r="CO93" s="91"/>
      <c r="CP93" s="91"/>
      <c r="CQ93" s="91"/>
      <c r="CR93" s="91"/>
      <c r="CS93" s="91"/>
      <c r="CT93" s="91"/>
      <c r="CU93" s="91"/>
      <c r="CV93" s="91"/>
      <c r="CW93" s="91"/>
      <c r="CX93" s="194"/>
    </row>
    <row r="94" spans="2:102" x14ac:dyDescent="0.2">
      <c r="B94" s="189">
        <v>830</v>
      </c>
      <c r="C94" s="193">
        <v>5.0999999999999997E-2</v>
      </c>
      <c r="D94" s="145">
        <v>0.106</v>
      </c>
      <c r="E94" s="145">
        <v>0.16300000000000001</v>
      </c>
      <c r="F94" s="145">
        <v>0.22</v>
      </c>
      <c r="G94" s="145">
        <v>0.27400000000000002</v>
      </c>
      <c r="H94" s="145">
        <v>0.32500000000000001</v>
      </c>
      <c r="I94" s="145">
        <v>0.37</v>
      </c>
      <c r="J94" s="145">
        <v>0.41099999999999998</v>
      </c>
      <c r="K94" s="145">
        <v>0.44700000000000001</v>
      </c>
      <c r="L94" s="145">
        <v>0.47899999999999998</v>
      </c>
      <c r="M94" s="145">
        <v>0.50900000000000001</v>
      </c>
      <c r="N94" s="145">
        <v>0.53500000000000003</v>
      </c>
      <c r="O94" s="145">
        <v>0.55900000000000005</v>
      </c>
      <c r="P94" s="145">
        <v>0.58099999999999996</v>
      </c>
      <c r="Q94" s="145">
        <v>0.60199999999999998</v>
      </c>
      <c r="R94" s="145">
        <v>0.621</v>
      </c>
      <c r="S94" s="145">
        <v>0.63900000000000001</v>
      </c>
      <c r="T94" s="145">
        <v>0.65600000000000003</v>
      </c>
      <c r="U94" s="145">
        <v>0.67100000000000004</v>
      </c>
      <c r="V94" s="145">
        <v>0.68700000000000006</v>
      </c>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K94" s="91"/>
      <c r="CL94" s="91"/>
      <c r="CM94" s="91"/>
      <c r="CN94" s="91"/>
      <c r="CO94" s="91"/>
      <c r="CP94" s="91"/>
      <c r="CQ94" s="91"/>
      <c r="CR94" s="91"/>
      <c r="CS94" s="91"/>
      <c r="CT94" s="91"/>
      <c r="CU94" s="91"/>
      <c r="CV94" s="91"/>
      <c r="CW94" s="91"/>
      <c r="CX94" s="194"/>
    </row>
    <row r="95" spans="2:102" x14ac:dyDescent="0.2">
      <c r="B95" s="189">
        <v>840</v>
      </c>
      <c r="C95" s="193">
        <v>0.05</v>
      </c>
      <c r="D95" s="145">
        <v>0.104</v>
      </c>
      <c r="E95" s="145">
        <v>0.16</v>
      </c>
      <c r="F95" s="145">
        <v>0.216</v>
      </c>
      <c r="G95" s="145">
        <v>0.27</v>
      </c>
      <c r="H95" s="145">
        <v>0.32</v>
      </c>
      <c r="I95" s="145">
        <v>0.36499999999999999</v>
      </c>
      <c r="J95" s="145">
        <v>0.40500000000000003</v>
      </c>
      <c r="K95" s="145">
        <v>0.441</v>
      </c>
      <c r="L95" s="145">
        <v>0.47399999999999998</v>
      </c>
      <c r="M95" s="145">
        <v>0.503</v>
      </c>
      <c r="N95" s="145">
        <v>0.52900000000000003</v>
      </c>
      <c r="O95" s="145">
        <v>0.55300000000000005</v>
      </c>
      <c r="P95" s="145">
        <v>0.57599999999999996</v>
      </c>
      <c r="Q95" s="145">
        <v>0.59599999999999997</v>
      </c>
      <c r="R95" s="145">
        <v>0.61599999999999999</v>
      </c>
      <c r="S95" s="145">
        <v>0.63400000000000001</v>
      </c>
      <c r="T95" s="145">
        <v>0.65</v>
      </c>
      <c r="U95" s="145">
        <v>0.66600000000000004</v>
      </c>
      <c r="V95" s="145">
        <v>0.68200000000000005</v>
      </c>
      <c r="W95" s="91"/>
      <c r="X95" s="91"/>
      <c r="Y95" s="91"/>
      <c r="Z95" s="91"/>
      <c r="AA95" s="91"/>
      <c r="AB95" s="91"/>
      <c r="AC95" s="91"/>
      <c r="AD95" s="91"/>
      <c r="AE95" s="91"/>
      <c r="AF95" s="91"/>
      <c r="AG95" s="91"/>
      <c r="AH95" s="91"/>
      <c r="AI95" s="91"/>
      <c r="AJ95" s="91"/>
      <c r="AK95" s="91"/>
      <c r="AL95" s="91"/>
      <c r="AM95" s="91"/>
      <c r="AN95" s="91"/>
      <c r="AO95" s="91"/>
      <c r="AP95" s="91"/>
      <c r="AQ95" s="91"/>
      <c r="AR95" s="91"/>
      <c r="AS95" s="91"/>
      <c r="AT95" s="91"/>
      <c r="AU95" s="91"/>
      <c r="AV95" s="91"/>
      <c r="AW95" s="91"/>
      <c r="AX95" s="91"/>
      <c r="AY95" s="91"/>
      <c r="AZ95" s="91"/>
      <c r="BA95" s="91"/>
      <c r="BB95" s="91"/>
      <c r="BC95" s="91"/>
      <c r="BD95" s="91"/>
      <c r="BE95" s="91"/>
      <c r="BF95" s="91"/>
      <c r="BG95" s="91"/>
      <c r="BH95" s="91"/>
      <c r="BI95" s="91"/>
      <c r="BJ95" s="91"/>
      <c r="BK95" s="91"/>
      <c r="BL95" s="91"/>
      <c r="BM95" s="91"/>
      <c r="BN95" s="91"/>
      <c r="BO95" s="91"/>
      <c r="BP95" s="91"/>
      <c r="BQ95" s="91"/>
      <c r="BR95" s="91"/>
      <c r="BS95" s="91"/>
      <c r="BT95" s="91"/>
      <c r="BU95" s="91"/>
      <c r="BV95" s="91"/>
      <c r="BW95" s="91"/>
      <c r="BX95" s="91"/>
      <c r="BY95" s="91"/>
      <c r="BZ95" s="91"/>
      <c r="CA95" s="91"/>
      <c r="CB95" s="91"/>
      <c r="CC95" s="91"/>
      <c r="CD95" s="91"/>
      <c r="CE95" s="91"/>
      <c r="CF95" s="91"/>
      <c r="CG95" s="91"/>
      <c r="CH95" s="91"/>
      <c r="CI95" s="91"/>
      <c r="CJ95" s="91"/>
      <c r="CK95" s="91"/>
      <c r="CL95" s="91"/>
      <c r="CM95" s="91"/>
      <c r="CN95" s="91"/>
      <c r="CO95" s="91"/>
      <c r="CP95" s="91"/>
      <c r="CQ95" s="91"/>
      <c r="CR95" s="91"/>
      <c r="CS95" s="91"/>
      <c r="CT95" s="91"/>
      <c r="CU95" s="91"/>
      <c r="CV95" s="91"/>
      <c r="CW95" s="91"/>
      <c r="CX95" s="194"/>
    </row>
    <row r="96" spans="2:102" x14ac:dyDescent="0.2">
      <c r="B96" s="189">
        <v>850</v>
      </c>
      <c r="C96" s="193">
        <v>0.05</v>
      </c>
      <c r="D96" s="145">
        <v>0.10299999999999999</v>
      </c>
      <c r="E96" s="145">
        <v>0.158</v>
      </c>
      <c r="F96" s="145">
        <v>0.21299999999999999</v>
      </c>
      <c r="G96" s="145">
        <v>0.26600000000000001</v>
      </c>
      <c r="H96" s="145">
        <v>0.315</v>
      </c>
      <c r="I96" s="145">
        <v>0.36</v>
      </c>
      <c r="J96" s="145">
        <v>0.4</v>
      </c>
      <c r="K96" s="145">
        <v>0.436</v>
      </c>
      <c r="L96" s="145">
        <v>0.46800000000000003</v>
      </c>
      <c r="M96" s="145">
        <v>0.497</v>
      </c>
      <c r="N96" s="145">
        <v>0.52400000000000002</v>
      </c>
      <c r="O96" s="145">
        <v>0.54800000000000004</v>
      </c>
      <c r="P96" s="145">
        <v>0.56999999999999995</v>
      </c>
      <c r="Q96" s="145">
        <v>0.59099999999999997</v>
      </c>
      <c r="R96" s="145">
        <v>0.61</v>
      </c>
      <c r="S96" s="145">
        <v>0.628</v>
      </c>
      <c r="T96" s="145">
        <v>0.64500000000000002</v>
      </c>
      <c r="U96" s="145">
        <v>0.66100000000000003</v>
      </c>
      <c r="V96" s="145">
        <v>0.67700000000000005</v>
      </c>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c r="BO96" s="91"/>
      <c r="BP96" s="91"/>
      <c r="BQ96" s="91"/>
      <c r="BR96" s="91"/>
      <c r="BS96" s="91"/>
      <c r="BT96" s="91"/>
      <c r="BU96" s="91"/>
      <c r="BV96" s="91"/>
      <c r="BW96" s="91"/>
      <c r="BX96" s="91"/>
      <c r="BY96" s="91"/>
      <c r="BZ96" s="91"/>
      <c r="CA96" s="91"/>
      <c r="CB96" s="91"/>
      <c r="CC96" s="91"/>
      <c r="CD96" s="91"/>
      <c r="CE96" s="91"/>
      <c r="CF96" s="91"/>
      <c r="CG96" s="91"/>
      <c r="CH96" s="91"/>
      <c r="CI96" s="91"/>
      <c r="CJ96" s="91"/>
      <c r="CK96" s="91"/>
      <c r="CL96" s="91"/>
      <c r="CM96" s="91"/>
      <c r="CN96" s="91"/>
      <c r="CO96" s="91"/>
      <c r="CP96" s="91"/>
      <c r="CQ96" s="91"/>
      <c r="CR96" s="91"/>
      <c r="CS96" s="91"/>
      <c r="CT96" s="91"/>
      <c r="CU96" s="91"/>
      <c r="CV96" s="91"/>
      <c r="CW96" s="91"/>
      <c r="CX96" s="194"/>
    </row>
    <row r="97" spans="2:102" x14ac:dyDescent="0.2">
      <c r="B97" s="189">
        <v>860</v>
      </c>
      <c r="C97" s="193">
        <v>4.9000000000000002E-2</v>
      </c>
      <c r="D97" s="145">
        <v>0.10199999999999999</v>
      </c>
      <c r="E97" s="145">
        <v>0.156</v>
      </c>
      <c r="F97" s="145">
        <v>0.21</v>
      </c>
      <c r="G97" s="145">
        <v>0.26200000000000001</v>
      </c>
      <c r="H97" s="145">
        <v>0.31</v>
      </c>
      <c r="I97" s="145">
        <v>0.35399999999999998</v>
      </c>
      <c r="J97" s="145">
        <v>0.39400000000000002</v>
      </c>
      <c r="K97" s="145">
        <v>0.43</v>
      </c>
      <c r="L97" s="145">
        <v>0.46200000000000002</v>
      </c>
      <c r="M97" s="145">
        <v>0.49199999999999999</v>
      </c>
      <c r="N97" s="145">
        <v>0.51800000000000002</v>
      </c>
      <c r="O97" s="145">
        <v>0.54300000000000004</v>
      </c>
      <c r="P97" s="145">
        <v>0.56499999999999995</v>
      </c>
      <c r="Q97" s="145">
        <v>0.58599999999999997</v>
      </c>
      <c r="R97" s="145">
        <v>0.60499999999999998</v>
      </c>
      <c r="S97" s="145">
        <v>0.623</v>
      </c>
      <c r="T97" s="145">
        <v>0.64</v>
      </c>
      <c r="U97" s="145">
        <v>0.65600000000000003</v>
      </c>
      <c r="V97" s="145">
        <v>0.67200000000000004</v>
      </c>
      <c r="W97" s="91"/>
      <c r="X97" s="91"/>
      <c r="Y97" s="91"/>
      <c r="Z97" s="91"/>
      <c r="AA97" s="91"/>
      <c r="AB97" s="91"/>
      <c r="AC97" s="91"/>
      <c r="AD97" s="91"/>
      <c r="AE97" s="91"/>
      <c r="AF97" s="91"/>
      <c r="AG97" s="91"/>
      <c r="AH97" s="91"/>
      <c r="AI97" s="91"/>
      <c r="AJ97" s="91"/>
      <c r="AK97" s="91"/>
      <c r="AL97" s="91"/>
      <c r="AM97" s="91"/>
      <c r="AN97" s="91"/>
      <c r="AO97" s="91"/>
      <c r="AP97" s="91"/>
      <c r="AQ97" s="91"/>
      <c r="AR97" s="91"/>
      <c r="AS97" s="91"/>
      <c r="AT97" s="91"/>
      <c r="AU97" s="91"/>
      <c r="AV97" s="91"/>
      <c r="AW97" s="91"/>
      <c r="AX97" s="91"/>
      <c r="AY97" s="91"/>
      <c r="AZ97" s="91"/>
      <c r="BA97" s="91"/>
      <c r="BB97" s="91"/>
      <c r="BC97" s="91"/>
      <c r="BD97" s="91"/>
      <c r="BE97" s="91"/>
      <c r="BF97" s="91"/>
      <c r="BG97" s="91"/>
      <c r="BH97" s="91"/>
      <c r="BI97" s="91"/>
      <c r="BJ97" s="91"/>
      <c r="BK97" s="91"/>
      <c r="BL97" s="91"/>
      <c r="BM97" s="91"/>
      <c r="BN97" s="91"/>
      <c r="BO97" s="91"/>
      <c r="BP97" s="91"/>
      <c r="BQ97" s="91"/>
      <c r="BR97" s="91"/>
      <c r="BS97" s="91"/>
      <c r="BT97" s="91"/>
      <c r="BU97" s="91"/>
      <c r="BV97" s="91"/>
      <c r="BW97" s="91"/>
      <c r="BX97" s="91"/>
      <c r="BY97" s="91"/>
      <c r="BZ97" s="91"/>
      <c r="CA97" s="91"/>
      <c r="CB97" s="91"/>
      <c r="CC97" s="91"/>
      <c r="CD97" s="91"/>
      <c r="CE97" s="91"/>
      <c r="CF97" s="91"/>
      <c r="CG97" s="91"/>
      <c r="CH97" s="91"/>
      <c r="CI97" s="91"/>
      <c r="CJ97" s="91"/>
      <c r="CK97" s="91"/>
      <c r="CL97" s="91"/>
      <c r="CM97" s="91"/>
      <c r="CN97" s="91"/>
      <c r="CO97" s="91"/>
      <c r="CP97" s="91"/>
      <c r="CQ97" s="91"/>
      <c r="CR97" s="91"/>
      <c r="CS97" s="91"/>
      <c r="CT97" s="91"/>
      <c r="CU97" s="91"/>
      <c r="CV97" s="91"/>
      <c r="CW97" s="91"/>
      <c r="CX97" s="194"/>
    </row>
    <row r="98" spans="2:102" x14ac:dyDescent="0.2">
      <c r="B98" s="189">
        <v>870</v>
      </c>
      <c r="C98" s="193">
        <v>4.9000000000000002E-2</v>
      </c>
      <c r="D98" s="145">
        <v>0.1</v>
      </c>
      <c r="E98" s="145">
        <v>0.154</v>
      </c>
      <c r="F98" s="145">
        <v>0.20699999999999999</v>
      </c>
      <c r="G98" s="145">
        <v>0.25800000000000001</v>
      </c>
      <c r="H98" s="145">
        <v>0.30599999999999999</v>
      </c>
      <c r="I98" s="145">
        <v>0.35</v>
      </c>
      <c r="J98" s="145">
        <v>0.38900000000000001</v>
      </c>
      <c r="K98" s="145">
        <v>0.42499999999999999</v>
      </c>
      <c r="L98" s="145">
        <v>0.45700000000000002</v>
      </c>
      <c r="M98" s="145">
        <v>0.48599999999999999</v>
      </c>
      <c r="N98" s="145">
        <v>0.51300000000000001</v>
      </c>
      <c r="O98" s="145">
        <v>0.53700000000000003</v>
      </c>
      <c r="P98" s="145">
        <v>0.56000000000000005</v>
      </c>
      <c r="Q98" s="145">
        <v>0.58099999999999996</v>
      </c>
      <c r="R98" s="145">
        <v>0.6</v>
      </c>
      <c r="S98" s="145">
        <v>0.61799999999999999</v>
      </c>
      <c r="T98" s="145">
        <v>0.63500000000000001</v>
      </c>
      <c r="U98" s="145">
        <v>0.65200000000000002</v>
      </c>
      <c r="V98" s="145">
        <v>0.66700000000000004</v>
      </c>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c r="BO98" s="91"/>
      <c r="BP98" s="91"/>
      <c r="BQ98" s="91"/>
      <c r="BR98" s="91"/>
      <c r="BS98" s="91"/>
      <c r="BT98" s="91"/>
      <c r="BU98" s="91"/>
      <c r="BV98" s="91"/>
      <c r="BW98" s="91"/>
      <c r="BX98" s="91"/>
      <c r="BY98" s="91"/>
      <c r="BZ98" s="91"/>
      <c r="CA98" s="91"/>
      <c r="CB98" s="91"/>
      <c r="CC98" s="91"/>
      <c r="CD98" s="91"/>
      <c r="CE98" s="91"/>
      <c r="CF98" s="91"/>
      <c r="CG98" s="91"/>
      <c r="CH98" s="91"/>
      <c r="CI98" s="91"/>
      <c r="CJ98" s="91"/>
      <c r="CK98" s="91"/>
      <c r="CL98" s="91"/>
      <c r="CM98" s="91"/>
      <c r="CN98" s="91"/>
      <c r="CO98" s="91"/>
      <c r="CP98" s="91"/>
      <c r="CQ98" s="91"/>
      <c r="CR98" s="91"/>
      <c r="CS98" s="91"/>
      <c r="CT98" s="91"/>
      <c r="CU98" s="91"/>
      <c r="CV98" s="91"/>
      <c r="CW98" s="91"/>
      <c r="CX98" s="194"/>
    </row>
    <row r="99" spans="2:102" x14ac:dyDescent="0.2">
      <c r="B99" s="189">
        <v>875</v>
      </c>
      <c r="C99" s="193">
        <v>4.9000000000000002E-2</v>
      </c>
      <c r="D99" s="145">
        <v>0.1</v>
      </c>
      <c r="E99" s="145">
        <v>0.153</v>
      </c>
      <c r="F99" s="145">
        <v>0.20499999999999999</v>
      </c>
      <c r="G99" s="145">
        <v>0.25600000000000001</v>
      </c>
      <c r="H99" s="145">
        <v>0.30399999999999999</v>
      </c>
      <c r="I99" s="145">
        <v>0.34699999999999998</v>
      </c>
      <c r="J99" s="145">
        <v>0.38700000000000001</v>
      </c>
      <c r="K99" s="145">
        <v>0.42199999999999999</v>
      </c>
      <c r="L99" s="145">
        <v>0.45400000000000001</v>
      </c>
      <c r="M99" s="145">
        <v>0.48399999999999999</v>
      </c>
      <c r="N99" s="145">
        <v>0.51</v>
      </c>
      <c r="O99" s="145">
        <v>0.53500000000000003</v>
      </c>
      <c r="P99" s="145">
        <v>0.55700000000000005</v>
      </c>
      <c r="Q99" s="145">
        <v>0.57799999999999996</v>
      </c>
      <c r="R99" s="145">
        <v>0.59799999999999998</v>
      </c>
      <c r="S99" s="145">
        <v>0.61599999999999999</v>
      </c>
      <c r="T99" s="145">
        <v>0.63300000000000001</v>
      </c>
      <c r="U99" s="145">
        <v>0.64900000000000002</v>
      </c>
      <c r="V99" s="145">
        <v>0.66500000000000004</v>
      </c>
      <c r="W99" s="91"/>
      <c r="X99" s="91"/>
      <c r="Y99" s="91"/>
      <c r="Z99" s="91"/>
      <c r="AA99" s="91"/>
      <c r="AB99" s="91"/>
      <c r="AC99" s="91"/>
      <c r="AD99" s="91"/>
      <c r="AE99" s="91"/>
      <c r="AF99" s="91"/>
      <c r="AG99" s="91"/>
      <c r="AH99" s="91"/>
      <c r="AI99" s="91"/>
      <c r="AJ99" s="91"/>
      <c r="AK99" s="91"/>
      <c r="AL99" s="91"/>
      <c r="AM99" s="91"/>
      <c r="AN99" s="91"/>
      <c r="AO99" s="91"/>
      <c r="AP99" s="91"/>
      <c r="AQ99" s="91"/>
      <c r="AR99" s="91"/>
      <c r="AS99" s="91"/>
      <c r="AT99" s="91"/>
      <c r="AU99" s="91"/>
      <c r="AV99" s="91"/>
      <c r="AW99" s="91"/>
      <c r="AX99" s="91"/>
      <c r="AY99" s="91"/>
      <c r="AZ99" s="91"/>
      <c r="BA99" s="91"/>
      <c r="BB99" s="91"/>
      <c r="BC99" s="91"/>
      <c r="BD99" s="91"/>
      <c r="BE99" s="91"/>
      <c r="BF99" s="91"/>
      <c r="BG99" s="91"/>
      <c r="BH99" s="91"/>
      <c r="BI99" s="91"/>
      <c r="BJ99" s="91"/>
      <c r="BK99" s="91"/>
      <c r="BL99" s="91"/>
      <c r="BM99" s="91"/>
      <c r="BN99" s="91"/>
      <c r="BO99" s="91"/>
      <c r="BP99" s="91"/>
      <c r="BQ99" s="91"/>
      <c r="BR99" s="91"/>
      <c r="BS99" s="91"/>
      <c r="BT99" s="91"/>
      <c r="BU99" s="91"/>
      <c r="BV99" s="91"/>
      <c r="BW99" s="91"/>
      <c r="BX99" s="91"/>
      <c r="BY99" s="91"/>
      <c r="BZ99" s="91"/>
      <c r="CA99" s="91"/>
      <c r="CB99" s="91"/>
      <c r="CC99" s="91"/>
      <c r="CD99" s="91"/>
      <c r="CE99" s="91"/>
      <c r="CF99" s="91"/>
      <c r="CG99" s="91"/>
      <c r="CH99" s="91"/>
      <c r="CI99" s="91"/>
      <c r="CJ99" s="91"/>
      <c r="CK99" s="91"/>
      <c r="CL99" s="91"/>
      <c r="CM99" s="91"/>
      <c r="CN99" s="91"/>
      <c r="CO99" s="91"/>
      <c r="CP99" s="91"/>
      <c r="CQ99" s="91"/>
      <c r="CR99" s="91"/>
      <c r="CS99" s="91"/>
      <c r="CT99" s="91"/>
      <c r="CU99" s="91"/>
      <c r="CV99" s="91"/>
      <c r="CW99" s="91"/>
      <c r="CX99" s="194"/>
    </row>
    <row r="100" spans="2:102" x14ac:dyDescent="0.2">
      <c r="B100" s="189">
        <v>880</v>
      </c>
      <c r="C100" s="193">
        <v>4.8000000000000001E-2</v>
      </c>
      <c r="D100" s="145">
        <v>9.9000000000000005E-2</v>
      </c>
      <c r="E100" s="145">
        <v>0.152</v>
      </c>
      <c r="F100" s="145">
        <v>0.20399999999999999</v>
      </c>
      <c r="G100" s="145">
        <v>0.254</v>
      </c>
      <c r="H100" s="145">
        <v>0.30199999999999999</v>
      </c>
      <c r="I100" s="145">
        <v>0.34499999999999997</v>
      </c>
      <c r="J100" s="145">
        <v>0.38400000000000001</v>
      </c>
      <c r="K100" s="145">
        <v>0.42</v>
      </c>
      <c r="L100" s="145">
        <v>0.45200000000000001</v>
      </c>
      <c r="M100" s="145">
        <v>0.48099999999999998</v>
      </c>
      <c r="N100" s="145">
        <v>0.50800000000000001</v>
      </c>
      <c r="O100" s="145">
        <v>0.53200000000000003</v>
      </c>
      <c r="P100" s="145">
        <v>0.55500000000000005</v>
      </c>
      <c r="Q100" s="145">
        <v>0.57499999999999996</v>
      </c>
      <c r="R100" s="145">
        <v>0.59499999999999997</v>
      </c>
      <c r="S100" s="145">
        <v>0.61299999999999999</v>
      </c>
      <c r="T100" s="145">
        <v>0.63</v>
      </c>
      <c r="U100" s="145">
        <v>0.64700000000000002</v>
      </c>
      <c r="V100" s="145">
        <v>0.66200000000000003</v>
      </c>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c r="BO100" s="91"/>
      <c r="BP100" s="91"/>
      <c r="BQ100" s="91"/>
      <c r="BR100" s="91"/>
      <c r="BS100" s="91"/>
      <c r="BT100" s="91"/>
      <c r="BU100" s="91"/>
      <c r="BV100" s="91"/>
      <c r="BW100" s="91"/>
      <c r="BX100" s="91"/>
      <c r="BY100" s="91"/>
      <c r="BZ100" s="91"/>
      <c r="CA100" s="91"/>
      <c r="CB100" s="91"/>
      <c r="CC100" s="91"/>
      <c r="CD100" s="91"/>
      <c r="CE100" s="91"/>
      <c r="CF100" s="91"/>
      <c r="CG100" s="91"/>
      <c r="CH100" s="91"/>
      <c r="CI100" s="91"/>
      <c r="CJ100" s="91"/>
      <c r="CK100" s="91"/>
      <c r="CL100" s="91"/>
      <c r="CM100" s="91"/>
      <c r="CN100" s="91"/>
      <c r="CO100" s="91"/>
      <c r="CP100" s="91"/>
      <c r="CQ100" s="91"/>
      <c r="CR100" s="91"/>
      <c r="CS100" s="91"/>
      <c r="CT100" s="91"/>
      <c r="CU100" s="91"/>
      <c r="CV100" s="91"/>
      <c r="CW100" s="91"/>
      <c r="CX100" s="194"/>
    </row>
    <row r="101" spans="2:102" x14ac:dyDescent="0.2">
      <c r="B101" s="189">
        <v>890</v>
      </c>
      <c r="C101" s="193">
        <v>4.8000000000000001E-2</v>
      </c>
      <c r="D101" s="145">
        <v>9.8000000000000004E-2</v>
      </c>
      <c r="E101" s="145">
        <v>0.15</v>
      </c>
      <c r="F101" s="145">
        <v>0.20100000000000001</v>
      </c>
      <c r="G101" s="145">
        <v>0.251</v>
      </c>
      <c r="H101" s="145">
        <v>0.29699999999999999</v>
      </c>
      <c r="I101" s="145">
        <v>0.34</v>
      </c>
      <c r="J101" s="145">
        <v>0.379</v>
      </c>
      <c r="K101" s="145">
        <v>0.41499999999999998</v>
      </c>
      <c r="L101" s="145">
        <v>0.44700000000000001</v>
      </c>
      <c r="M101" s="145">
        <v>0.47599999999999998</v>
      </c>
      <c r="N101" s="145">
        <v>0.502</v>
      </c>
      <c r="O101" s="145">
        <v>0.52700000000000002</v>
      </c>
      <c r="P101" s="145">
        <v>0.54900000000000004</v>
      </c>
      <c r="Q101" s="145">
        <v>0.56999999999999995</v>
      </c>
      <c r="R101" s="145">
        <v>0.59</v>
      </c>
      <c r="S101" s="145">
        <v>0.60799999999999998</v>
      </c>
      <c r="T101" s="145">
        <v>0.626</v>
      </c>
      <c r="U101" s="145">
        <v>0.64200000000000002</v>
      </c>
      <c r="V101" s="145">
        <v>0.65700000000000003</v>
      </c>
      <c r="W101" s="91"/>
      <c r="X101" s="91"/>
      <c r="Y101" s="91"/>
      <c r="Z101" s="91"/>
      <c r="AA101" s="91"/>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1"/>
      <c r="CT101" s="91"/>
      <c r="CU101" s="91"/>
      <c r="CV101" s="91"/>
      <c r="CW101" s="91"/>
      <c r="CX101" s="194"/>
    </row>
    <row r="102" spans="2:102" x14ac:dyDescent="0.2">
      <c r="B102" s="189">
        <v>900</v>
      </c>
      <c r="C102" s="193">
        <v>4.7E-2</v>
      </c>
      <c r="D102" s="145">
        <v>9.7000000000000003E-2</v>
      </c>
      <c r="E102" s="145">
        <v>0.14799999999999999</v>
      </c>
      <c r="F102" s="145">
        <v>0.19800000000000001</v>
      </c>
      <c r="G102" s="145">
        <v>0.247</v>
      </c>
      <c r="H102" s="145">
        <v>0.29299999999999998</v>
      </c>
      <c r="I102" s="145">
        <v>0.33600000000000002</v>
      </c>
      <c r="J102" s="145">
        <v>0.374</v>
      </c>
      <c r="K102" s="145">
        <v>0.41</v>
      </c>
      <c r="L102" s="145">
        <v>0.442</v>
      </c>
      <c r="M102" s="145">
        <v>0.47099999999999997</v>
      </c>
      <c r="N102" s="145">
        <v>0.497</v>
      </c>
      <c r="O102" s="145">
        <v>0.52200000000000002</v>
      </c>
      <c r="P102" s="145">
        <v>0.54400000000000004</v>
      </c>
      <c r="Q102" s="145">
        <v>0.56599999999999995</v>
      </c>
      <c r="R102" s="145">
        <v>0.58499999999999996</v>
      </c>
      <c r="S102" s="145">
        <v>0.60399999999999998</v>
      </c>
      <c r="T102" s="145">
        <v>0.621</v>
      </c>
      <c r="U102" s="145">
        <v>0.63700000000000001</v>
      </c>
      <c r="V102" s="145">
        <v>0.65300000000000002</v>
      </c>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1"/>
      <c r="CT102" s="91"/>
      <c r="CU102" s="91"/>
      <c r="CV102" s="91"/>
      <c r="CW102" s="91"/>
      <c r="CX102" s="194"/>
    </row>
    <row r="103" spans="2:102" x14ac:dyDescent="0.2">
      <c r="B103" s="195">
        <v>910</v>
      </c>
      <c r="C103" s="193">
        <v>4.7E-2</v>
      </c>
      <c r="D103" s="145">
        <v>9.6000000000000002E-2</v>
      </c>
      <c r="E103" s="145">
        <v>0.14599999999999999</v>
      </c>
      <c r="F103" s="145">
        <v>0.19600000000000001</v>
      </c>
      <c r="G103" s="145">
        <v>0.24399999999999999</v>
      </c>
      <c r="H103" s="145">
        <v>0.28899999999999998</v>
      </c>
      <c r="I103" s="145">
        <v>0.33100000000000002</v>
      </c>
      <c r="J103" s="145">
        <v>0.37</v>
      </c>
      <c r="K103" s="145">
        <v>0.40500000000000003</v>
      </c>
      <c r="L103" s="145">
        <v>0.437</v>
      </c>
      <c r="M103" s="145">
        <v>0.46600000000000003</v>
      </c>
      <c r="N103" s="145">
        <v>0.49199999999999999</v>
      </c>
      <c r="O103" s="145">
        <v>0.51700000000000002</v>
      </c>
      <c r="P103" s="145">
        <v>0.54</v>
      </c>
      <c r="Q103" s="145">
        <v>0.56100000000000005</v>
      </c>
      <c r="R103" s="145">
        <v>0.57999999999999996</v>
      </c>
      <c r="S103" s="145">
        <v>0.59899999999999998</v>
      </c>
      <c r="T103" s="145">
        <v>0.61599999999999999</v>
      </c>
      <c r="U103" s="145">
        <v>0.63300000000000001</v>
      </c>
      <c r="V103" s="145">
        <v>0.64800000000000002</v>
      </c>
      <c r="W103" s="91"/>
      <c r="X103" s="91"/>
      <c r="Y103" s="91"/>
      <c r="Z103" s="91"/>
      <c r="AA103" s="91"/>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1"/>
      <c r="CT103" s="91"/>
      <c r="CU103" s="91"/>
      <c r="CV103" s="91"/>
      <c r="CW103" s="91"/>
      <c r="CX103" s="194"/>
    </row>
    <row r="104" spans="2:102" x14ac:dyDescent="0.2">
      <c r="B104" s="195">
        <v>920</v>
      </c>
      <c r="C104" s="193">
        <v>4.5999999999999999E-2</v>
      </c>
      <c r="D104" s="145">
        <v>9.5000000000000001E-2</v>
      </c>
      <c r="E104" s="145">
        <v>0.14399999999999999</v>
      </c>
      <c r="F104" s="145">
        <v>0.193</v>
      </c>
      <c r="G104" s="145">
        <v>0.24099999999999999</v>
      </c>
      <c r="H104" s="145">
        <v>0.28599999999999998</v>
      </c>
      <c r="I104" s="145">
        <v>0.32700000000000001</v>
      </c>
      <c r="J104" s="145">
        <v>0.36499999999999999</v>
      </c>
      <c r="K104" s="145">
        <v>0.4</v>
      </c>
      <c r="L104" s="145">
        <v>0.432</v>
      </c>
      <c r="M104" s="145">
        <v>0.46100000000000002</v>
      </c>
      <c r="N104" s="145">
        <v>0.48699999999999999</v>
      </c>
      <c r="O104" s="145">
        <v>0.51200000000000001</v>
      </c>
      <c r="P104" s="145">
        <v>0.53500000000000003</v>
      </c>
      <c r="Q104" s="145">
        <v>0.55600000000000005</v>
      </c>
      <c r="R104" s="145">
        <v>0.57599999999999996</v>
      </c>
      <c r="S104" s="145">
        <v>0.59399999999999997</v>
      </c>
      <c r="T104" s="145">
        <v>0.61199999999999999</v>
      </c>
      <c r="U104" s="145">
        <v>0.628</v>
      </c>
      <c r="V104" s="145">
        <v>0.64400000000000002</v>
      </c>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1"/>
      <c r="CT104" s="91"/>
      <c r="CU104" s="91"/>
      <c r="CV104" s="91"/>
      <c r="CW104" s="91"/>
      <c r="CX104" s="194"/>
    </row>
    <row r="105" spans="2:102" x14ac:dyDescent="0.2">
      <c r="B105" s="195">
        <v>925</v>
      </c>
      <c r="C105" s="193">
        <v>4.5999999999999999E-2</v>
      </c>
      <c r="D105" s="145">
        <v>9.4E-2</v>
      </c>
      <c r="E105" s="145">
        <v>0.14299999999999999</v>
      </c>
      <c r="F105" s="145">
        <v>0.192</v>
      </c>
      <c r="G105" s="145">
        <v>0.23899999999999999</v>
      </c>
      <c r="H105" s="145">
        <v>0.28399999999999997</v>
      </c>
      <c r="I105" s="145">
        <v>0.32500000000000001</v>
      </c>
      <c r="J105" s="145">
        <v>0.36299999999999999</v>
      </c>
      <c r="K105" s="145">
        <v>0.39800000000000002</v>
      </c>
      <c r="L105" s="145">
        <v>0.42899999999999999</v>
      </c>
      <c r="M105" s="145">
        <v>0.45800000000000002</v>
      </c>
      <c r="N105" s="145">
        <v>0.48499999999999999</v>
      </c>
      <c r="O105" s="145">
        <v>0.51</v>
      </c>
      <c r="P105" s="145">
        <v>0.53200000000000003</v>
      </c>
      <c r="Q105" s="145">
        <v>0.55300000000000005</v>
      </c>
      <c r="R105" s="145">
        <v>0.57299999999999995</v>
      </c>
      <c r="S105" s="145">
        <v>0.59199999999999997</v>
      </c>
      <c r="T105" s="145">
        <v>0.60899999999999999</v>
      </c>
      <c r="U105" s="145">
        <v>0.626</v>
      </c>
      <c r="V105" s="145">
        <v>0.64100000000000001</v>
      </c>
      <c r="W105" s="91"/>
      <c r="X105" s="91"/>
      <c r="Y105" s="91"/>
      <c r="Z105" s="91"/>
      <c r="AA105" s="91"/>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1"/>
      <c r="CT105" s="91"/>
      <c r="CU105" s="91"/>
      <c r="CV105" s="91"/>
      <c r="CW105" s="91"/>
      <c r="CX105" s="194"/>
    </row>
    <row r="106" spans="2:102" x14ac:dyDescent="0.2">
      <c r="B106" s="195">
        <v>930</v>
      </c>
      <c r="C106" s="193">
        <v>4.5999999999999999E-2</v>
      </c>
      <c r="D106" s="145">
        <v>9.4E-2</v>
      </c>
      <c r="E106" s="145">
        <v>0.14199999999999999</v>
      </c>
      <c r="F106" s="145">
        <v>0.191</v>
      </c>
      <c r="G106" s="145">
        <v>0.23799999999999999</v>
      </c>
      <c r="H106" s="145">
        <v>0.28199999999999997</v>
      </c>
      <c r="I106" s="145">
        <v>0.32300000000000001</v>
      </c>
      <c r="J106" s="145">
        <v>0.36099999999999999</v>
      </c>
      <c r="K106" s="145">
        <v>0.39600000000000002</v>
      </c>
      <c r="L106" s="145">
        <v>0.42699999999999999</v>
      </c>
      <c r="M106" s="145">
        <v>0.45600000000000002</v>
      </c>
      <c r="N106" s="145">
        <v>0.48299999999999998</v>
      </c>
      <c r="O106" s="145">
        <v>0.50700000000000001</v>
      </c>
      <c r="P106" s="145">
        <v>0.53</v>
      </c>
      <c r="Q106" s="145">
        <v>0.55100000000000005</v>
      </c>
      <c r="R106" s="145">
        <v>0.57099999999999995</v>
      </c>
      <c r="S106" s="145">
        <v>0.58899999999999997</v>
      </c>
      <c r="T106" s="145">
        <v>0.60699999999999998</v>
      </c>
      <c r="U106" s="145">
        <v>0.623</v>
      </c>
      <c r="V106" s="145">
        <v>0.63900000000000001</v>
      </c>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1"/>
      <c r="CT106" s="91"/>
      <c r="CU106" s="91"/>
      <c r="CV106" s="91"/>
      <c r="CW106" s="91"/>
      <c r="CX106" s="194"/>
    </row>
    <row r="107" spans="2:102" x14ac:dyDescent="0.2">
      <c r="B107" s="195">
        <v>940</v>
      </c>
      <c r="C107" s="193">
        <v>4.5999999999999999E-2</v>
      </c>
      <c r="D107" s="145">
        <v>9.2999999999999999E-2</v>
      </c>
      <c r="E107" s="145">
        <v>0.14099999999999999</v>
      </c>
      <c r="F107" s="145">
        <v>0.188</v>
      </c>
      <c r="G107" s="145">
        <v>0.23499999999999999</v>
      </c>
      <c r="H107" s="145">
        <v>0.27800000000000002</v>
      </c>
      <c r="I107" s="145">
        <v>0.31900000000000001</v>
      </c>
      <c r="J107" s="145">
        <v>0.35699999999999998</v>
      </c>
      <c r="K107" s="145">
        <v>0.39100000000000001</v>
      </c>
      <c r="L107" s="145">
        <v>0.42299999999999999</v>
      </c>
      <c r="M107" s="145">
        <v>0.45100000000000001</v>
      </c>
      <c r="N107" s="145">
        <v>0.47799999999999998</v>
      </c>
      <c r="O107" s="145">
        <v>0.503</v>
      </c>
      <c r="P107" s="145">
        <v>0.52500000000000002</v>
      </c>
      <c r="Q107" s="145">
        <v>0.54600000000000004</v>
      </c>
      <c r="R107" s="145">
        <v>0.56599999999999995</v>
      </c>
      <c r="S107" s="145">
        <v>0.58499999999999996</v>
      </c>
      <c r="T107" s="145">
        <v>0.60199999999999998</v>
      </c>
      <c r="U107" s="145">
        <v>0.61899999999999999</v>
      </c>
      <c r="V107" s="145">
        <v>0.63500000000000001</v>
      </c>
      <c r="W107" s="91"/>
      <c r="X107" s="91"/>
      <c r="Y107" s="91"/>
      <c r="Z107" s="91"/>
      <c r="AA107" s="91"/>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91"/>
      <c r="AZ107" s="91"/>
      <c r="BA107" s="91"/>
      <c r="BB107" s="91"/>
      <c r="BC107" s="91"/>
      <c r="BD107" s="91"/>
      <c r="BE107" s="91"/>
      <c r="BF107" s="91"/>
      <c r="BG107" s="91"/>
      <c r="BH107" s="91"/>
      <c r="BI107" s="91"/>
      <c r="BJ107" s="91"/>
      <c r="BK107" s="91"/>
      <c r="BL107" s="91"/>
      <c r="BM107" s="91"/>
      <c r="BN107" s="91"/>
      <c r="BO107" s="91"/>
      <c r="BP107" s="91"/>
      <c r="BQ107" s="91"/>
      <c r="BR107" s="91"/>
      <c r="BS107" s="91"/>
      <c r="BT107" s="91"/>
      <c r="BU107" s="91"/>
      <c r="BV107" s="91"/>
      <c r="BW107" s="91"/>
      <c r="BX107" s="91"/>
      <c r="BY107" s="91"/>
      <c r="BZ107" s="91"/>
      <c r="CA107" s="91"/>
      <c r="CB107" s="91"/>
      <c r="CC107" s="91"/>
      <c r="CD107" s="91"/>
      <c r="CE107" s="91"/>
      <c r="CF107" s="91"/>
      <c r="CG107" s="91"/>
      <c r="CH107" s="91"/>
      <c r="CI107" s="91"/>
      <c r="CJ107" s="91"/>
      <c r="CK107" s="91"/>
      <c r="CL107" s="91"/>
      <c r="CM107" s="91"/>
      <c r="CN107" s="91"/>
      <c r="CO107" s="91"/>
      <c r="CP107" s="91"/>
      <c r="CQ107" s="91"/>
      <c r="CR107" s="91"/>
      <c r="CS107" s="91"/>
      <c r="CT107" s="91"/>
      <c r="CU107" s="91"/>
      <c r="CV107" s="91"/>
      <c r="CW107" s="91"/>
      <c r="CX107" s="194"/>
    </row>
    <row r="108" spans="2:102" x14ac:dyDescent="0.2">
      <c r="B108" s="195">
        <v>950</v>
      </c>
      <c r="C108" s="193">
        <v>4.4999999999999998E-2</v>
      </c>
      <c r="D108" s="145">
        <v>9.1999999999999998E-2</v>
      </c>
      <c r="E108" s="145">
        <v>0.13900000000000001</v>
      </c>
      <c r="F108" s="145">
        <v>0.186</v>
      </c>
      <c r="G108" s="145">
        <v>0.23200000000000001</v>
      </c>
      <c r="H108" s="145">
        <v>0.27500000000000002</v>
      </c>
      <c r="I108" s="145">
        <v>0.315</v>
      </c>
      <c r="J108" s="145">
        <v>0.35299999999999998</v>
      </c>
      <c r="K108" s="145">
        <v>0.38700000000000001</v>
      </c>
      <c r="L108" s="145">
        <v>0.41799999999999998</v>
      </c>
      <c r="M108" s="145">
        <v>0.44700000000000001</v>
      </c>
      <c r="N108" s="145">
        <v>0.47299999999999998</v>
      </c>
      <c r="O108" s="145">
        <v>0.498</v>
      </c>
      <c r="P108" s="145">
        <v>0.52100000000000002</v>
      </c>
      <c r="Q108" s="145">
        <v>0.54200000000000004</v>
      </c>
      <c r="R108" s="145">
        <v>0.56200000000000006</v>
      </c>
      <c r="S108" s="145">
        <v>0.57999999999999996</v>
      </c>
      <c r="T108" s="145">
        <v>0.59799999999999998</v>
      </c>
      <c r="U108" s="145">
        <v>0.61499999999999999</v>
      </c>
      <c r="V108" s="145">
        <v>0.63</v>
      </c>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91"/>
      <c r="AZ108" s="91"/>
      <c r="BA108" s="91"/>
      <c r="BB108" s="91"/>
      <c r="BC108" s="91"/>
      <c r="BD108" s="91"/>
      <c r="BE108" s="91"/>
      <c r="BF108" s="91"/>
      <c r="BG108" s="91"/>
      <c r="BH108" s="91"/>
      <c r="BI108" s="91"/>
      <c r="BJ108" s="91"/>
      <c r="BK108" s="91"/>
      <c r="BL108" s="91"/>
      <c r="BM108" s="91"/>
      <c r="BN108" s="91"/>
      <c r="BO108" s="91"/>
      <c r="BP108" s="91"/>
      <c r="BQ108" s="91"/>
      <c r="BR108" s="91"/>
      <c r="BS108" s="91"/>
      <c r="BT108" s="91"/>
      <c r="BU108" s="91"/>
      <c r="BV108" s="91"/>
      <c r="BW108" s="91"/>
      <c r="BX108" s="91"/>
      <c r="BY108" s="91"/>
      <c r="BZ108" s="91"/>
      <c r="CA108" s="91"/>
      <c r="CB108" s="91"/>
      <c r="CC108" s="91"/>
      <c r="CD108" s="91"/>
      <c r="CE108" s="91"/>
      <c r="CF108" s="91"/>
      <c r="CG108" s="91"/>
      <c r="CH108" s="91"/>
      <c r="CI108" s="91"/>
      <c r="CJ108" s="91"/>
      <c r="CK108" s="91"/>
      <c r="CL108" s="91"/>
      <c r="CM108" s="91"/>
      <c r="CN108" s="91"/>
      <c r="CO108" s="91"/>
      <c r="CP108" s="91"/>
      <c r="CQ108" s="91"/>
      <c r="CR108" s="91"/>
      <c r="CS108" s="91"/>
      <c r="CT108" s="91"/>
      <c r="CU108" s="91"/>
      <c r="CV108" s="91"/>
      <c r="CW108" s="91"/>
      <c r="CX108" s="194"/>
    </row>
    <row r="109" spans="2:102" x14ac:dyDescent="0.2">
      <c r="B109" s="195">
        <v>960</v>
      </c>
      <c r="C109" s="193">
        <v>4.4999999999999998E-2</v>
      </c>
      <c r="D109" s="145">
        <v>9.0999999999999998E-2</v>
      </c>
      <c r="E109" s="145">
        <v>0.13700000000000001</v>
      </c>
      <c r="F109" s="145">
        <v>0.184</v>
      </c>
      <c r="G109" s="145">
        <v>0.22900000000000001</v>
      </c>
      <c r="H109" s="145">
        <v>0.27200000000000002</v>
      </c>
      <c r="I109" s="145">
        <v>0.312</v>
      </c>
      <c r="J109" s="145">
        <v>0.34799999999999998</v>
      </c>
      <c r="K109" s="145">
        <v>0.38200000000000001</v>
      </c>
      <c r="L109" s="145">
        <v>0.41399999999999998</v>
      </c>
      <c r="M109" s="145">
        <v>0.442</v>
      </c>
      <c r="N109" s="145">
        <v>0.46899999999999997</v>
      </c>
      <c r="O109" s="145">
        <v>0.49299999999999999</v>
      </c>
      <c r="P109" s="145">
        <v>0.51600000000000001</v>
      </c>
      <c r="Q109" s="145">
        <v>0.53700000000000003</v>
      </c>
      <c r="R109" s="145">
        <v>0.55700000000000005</v>
      </c>
      <c r="S109" s="145">
        <v>0.57599999999999996</v>
      </c>
      <c r="T109" s="145">
        <v>0.59299999999999997</v>
      </c>
      <c r="U109" s="145">
        <v>0.61</v>
      </c>
      <c r="V109" s="145">
        <v>0.626</v>
      </c>
      <c r="W109" s="91"/>
      <c r="X109" s="91"/>
      <c r="Y109" s="91"/>
      <c r="Z109" s="91"/>
      <c r="AA109" s="91"/>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91"/>
      <c r="AZ109" s="91"/>
      <c r="BA109" s="91"/>
      <c r="BB109" s="91"/>
      <c r="BC109" s="91"/>
      <c r="BD109" s="91"/>
      <c r="BE109" s="91"/>
      <c r="BF109" s="91"/>
      <c r="BG109" s="91"/>
      <c r="BH109" s="91"/>
      <c r="BI109" s="91"/>
      <c r="BJ109" s="91"/>
      <c r="BK109" s="91"/>
      <c r="BL109" s="91"/>
      <c r="BM109" s="91"/>
      <c r="BN109" s="91"/>
      <c r="BO109" s="91"/>
      <c r="BP109" s="91"/>
      <c r="BQ109" s="91"/>
      <c r="BR109" s="91"/>
      <c r="BS109" s="91"/>
      <c r="BT109" s="91"/>
      <c r="BU109" s="91"/>
      <c r="BV109" s="91"/>
      <c r="BW109" s="91"/>
      <c r="BX109" s="91"/>
      <c r="BY109" s="91"/>
      <c r="BZ109" s="91"/>
      <c r="CA109" s="91"/>
      <c r="CB109" s="91"/>
      <c r="CC109" s="91"/>
      <c r="CD109" s="91"/>
      <c r="CE109" s="91"/>
      <c r="CF109" s="91"/>
      <c r="CG109" s="91"/>
      <c r="CH109" s="91"/>
      <c r="CI109" s="91"/>
      <c r="CJ109" s="91"/>
      <c r="CK109" s="91"/>
      <c r="CL109" s="91"/>
      <c r="CM109" s="91"/>
      <c r="CN109" s="91"/>
      <c r="CO109" s="91"/>
      <c r="CP109" s="91"/>
      <c r="CQ109" s="91"/>
      <c r="CR109" s="91"/>
      <c r="CS109" s="91"/>
      <c r="CT109" s="91"/>
      <c r="CU109" s="91"/>
      <c r="CV109" s="91"/>
      <c r="CW109" s="91"/>
      <c r="CX109" s="194"/>
    </row>
    <row r="110" spans="2:102" x14ac:dyDescent="0.2">
      <c r="B110" s="195">
        <v>970</v>
      </c>
      <c r="C110" s="193">
        <v>4.3999999999999997E-2</v>
      </c>
      <c r="D110" s="145">
        <v>0.09</v>
      </c>
      <c r="E110" s="145">
        <v>0.13600000000000001</v>
      </c>
      <c r="F110" s="145">
        <v>0.182</v>
      </c>
      <c r="G110" s="145">
        <v>0.22600000000000001</v>
      </c>
      <c r="H110" s="145">
        <v>0.26800000000000002</v>
      </c>
      <c r="I110" s="145">
        <v>0.308</v>
      </c>
      <c r="J110" s="145">
        <v>0.34499999999999997</v>
      </c>
      <c r="K110" s="145">
        <v>0.378</v>
      </c>
      <c r="L110" s="145">
        <v>0.40899999999999997</v>
      </c>
      <c r="M110" s="145">
        <v>0.438</v>
      </c>
      <c r="N110" s="145">
        <v>0.46400000000000002</v>
      </c>
      <c r="O110" s="145">
        <v>0.48899999999999999</v>
      </c>
      <c r="P110" s="145">
        <v>0.51200000000000001</v>
      </c>
      <c r="Q110" s="145">
        <v>0.53300000000000003</v>
      </c>
      <c r="R110" s="145">
        <v>0.55300000000000005</v>
      </c>
      <c r="S110" s="145">
        <v>0.57099999999999995</v>
      </c>
      <c r="T110" s="145">
        <v>0.58899999999999997</v>
      </c>
      <c r="U110" s="145">
        <v>0.60599999999999998</v>
      </c>
      <c r="V110" s="145">
        <v>0.622</v>
      </c>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91"/>
      <c r="AZ110" s="91"/>
      <c r="BA110" s="91"/>
      <c r="BB110" s="91"/>
      <c r="BC110" s="91"/>
      <c r="BD110" s="91"/>
      <c r="BE110" s="91"/>
      <c r="BF110" s="91"/>
      <c r="BG110" s="91"/>
      <c r="BH110" s="91"/>
      <c r="BI110" s="91"/>
      <c r="BJ110" s="91"/>
      <c r="BK110" s="91"/>
      <c r="BL110" s="91"/>
      <c r="BM110" s="91"/>
      <c r="BN110" s="91"/>
      <c r="BO110" s="91"/>
      <c r="BP110" s="91"/>
      <c r="BQ110" s="91"/>
      <c r="BR110" s="91"/>
      <c r="BS110" s="91"/>
      <c r="BT110" s="91"/>
      <c r="BU110" s="91"/>
      <c r="BV110" s="91"/>
      <c r="BW110" s="91"/>
      <c r="BX110" s="91"/>
      <c r="BY110" s="91"/>
      <c r="BZ110" s="91"/>
      <c r="CA110" s="91"/>
      <c r="CB110" s="91"/>
      <c r="CC110" s="91"/>
      <c r="CD110" s="91"/>
      <c r="CE110" s="91"/>
      <c r="CF110" s="91"/>
      <c r="CG110" s="91"/>
      <c r="CH110" s="91"/>
      <c r="CI110" s="91"/>
      <c r="CJ110" s="91"/>
      <c r="CK110" s="91"/>
      <c r="CL110" s="91"/>
      <c r="CM110" s="91"/>
      <c r="CN110" s="91"/>
      <c r="CO110" s="91"/>
      <c r="CP110" s="91"/>
      <c r="CQ110" s="91"/>
      <c r="CR110" s="91"/>
      <c r="CS110" s="91"/>
      <c r="CT110" s="91"/>
      <c r="CU110" s="91"/>
      <c r="CV110" s="91"/>
      <c r="CW110" s="91"/>
      <c r="CX110" s="194"/>
    </row>
    <row r="111" spans="2:102" x14ac:dyDescent="0.2">
      <c r="B111" s="195">
        <v>975</v>
      </c>
      <c r="C111" s="193">
        <v>4.3999999999999997E-2</v>
      </c>
      <c r="D111" s="145">
        <v>8.8999999999999996E-2</v>
      </c>
      <c r="E111" s="145">
        <v>0.13500000000000001</v>
      </c>
      <c r="F111" s="145">
        <v>0.18099999999999999</v>
      </c>
      <c r="G111" s="145">
        <v>0.22500000000000001</v>
      </c>
      <c r="H111" s="145">
        <v>0.26700000000000002</v>
      </c>
      <c r="I111" s="145">
        <v>0.30599999999999999</v>
      </c>
      <c r="J111" s="145">
        <v>0.34300000000000003</v>
      </c>
      <c r="K111" s="145">
        <v>0.376</v>
      </c>
      <c r="L111" s="145">
        <v>0.40699999999999997</v>
      </c>
      <c r="M111" s="145">
        <v>0.436</v>
      </c>
      <c r="N111" s="145">
        <v>0.46200000000000002</v>
      </c>
      <c r="O111" s="145">
        <v>0.48699999999999999</v>
      </c>
      <c r="P111" s="145">
        <v>0.50900000000000001</v>
      </c>
      <c r="Q111" s="145">
        <v>0.53100000000000003</v>
      </c>
      <c r="R111" s="145">
        <v>0.55100000000000005</v>
      </c>
      <c r="S111" s="145">
        <v>0.56899999999999995</v>
      </c>
      <c r="T111" s="145">
        <v>0.58699999999999997</v>
      </c>
      <c r="U111" s="145">
        <v>0.60399999999999998</v>
      </c>
      <c r="V111" s="145">
        <v>0.62</v>
      </c>
      <c r="W111" s="91"/>
      <c r="X111" s="91"/>
      <c r="Y111" s="91"/>
      <c r="Z111" s="91"/>
      <c r="AA111" s="91"/>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91"/>
      <c r="AZ111" s="91"/>
      <c r="BA111" s="91"/>
      <c r="BB111" s="91"/>
      <c r="BC111" s="91"/>
      <c r="BD111" s="91"/>
      <c r="BE111" s="91"/>
      <c r="BF111" s="91"/>
      <c r="BG111" s="91"/>
      <c r="BH111" s="91"/>
      <c r="BI111" s="91"/>
      <c r="BJ111" s="91"/>
      <c r="BK111" s="91"/>
      <c r="BL111" s="91"/>
      <c r="BM111" s="91"/>
      <c r="BN111" s="91"/>
      <c r="BO111" s="91"/>
      <c r="BP111" s="91"/>
      <c r="BQ111" s="91"/>
      <c r="BR111" s="91"/>
      <c r="BS111" s="91"/>
      <c r="BT111" s="91"/>
      <c r="BU111" s="91"/>
      <c r="BV111" s="91"/>
      <c r="BW111" s="91"/>
      <c r="BX111" s="91"/>
      <c r="BY111" s="91"/>
      <c r="BZ111" s="91"/>
      <c r="CA111" s="91"/>
      <c r="CB111" s="91"/>
      <c r="CC111" s="91"/>
      <c r="CD111" s="91"/>
      <c r="CE111" s="91"/>
      <c r="CF111" s="91"/>
      <c r="CG111" s="91"/>
      <c r="CH111" s="91"/>
      <c r="CI111" s="91"/>
      <c r="CJ111" s="91"/>
      <c r="CK111" s="91"/>
      <c r="CL111" s="91"/>
      <c r="CM111" s="91"/>
      <c r="CN111" s="91"/>
      <c r="CO111" s="91"/>
      <c r="CP111" s="91"/>
      <c r="CQ111" s="91"/>
      <c r="CR111" s="91"/>
      <c r="CS111" s="91"/>
      <c r="CT111" s="91"/>
      <c r="CU111" s="91"/>
      <c r="CV111" s="91"/>
      <c r="CW111" s="91"/>
      <c r="CX111" s="194"/>
    </row>
    <row r="112" spans="2:102" x14ac:dyDescent="0.2">
      <c r="B112" s="195">
        <v>980</v>
      </c>
      <c r="C112" s="193">
        <v>4.3999999999999997E-2</v>
      </c>
      <c r="D112" s="145">
        <v>8.8999999999999996E-2</v>
      </c>
      <c r="E112" s="145">
        <v>0.13400000000000001</v>
      </c>
      <c r="F112" s="145">
        <v>0.18</v>
      </c>
      <c r="G112" s="145">
        <v>0.224</v>
      </c>
      <c r="H112" s="145">
        <v>0.26500000000000001</v>
      </c>
      <c r="I112" s="145">
        <v>0.30399999999999999</v>
      </c>
      <c r="J112" s="145">
        <v>0.34100000000000003</v>
      </c>
      <c r="K112" s="145">
        <v>0.374</v>
      </c>
      <c r="L112" s="145">
        <v>0.40500000000000003</v>
      </c>
      <c r="M112" s="145">
        <v>0.434</v>
      </c>
      <c r="N112" s="145">
        <v>0.46</v>
      </c>
      <c r="O112" s="145">
        <v>0.48399999999999999</v>
      </c>
      <c r="P112" s="145">
        <v>0.50700000000000001</v>
      </c>
      <c r="Q112" s="145">
        <v>0.52800000000000002</v>
      </c>
      <c r="R112" s="145">
        <v>0.54800000000000004</v>
      </c>
      <c r="S112" s="145">
        <v>0.56699999999999995</v>
      </c>
      <c r="T112" s="145">
        <v>0.58499999999999996</v>
      </c>
      <c r="U112" s="145">
        <v>0.60199999999999998</v>
      </c>
      <c r="V112" s="145">
        <v>0.61799999999999999</v>
      </c>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91"/>
      <c r="AZ112" s="91"/>
      <c r="BA112" s="91"/>
      <c r="BB112" s="91"/>
      <c r="BC112" s="91"/>
      <c r="BD112" s="91"/>
      <c r="BE112" s="91"/>
      <c r="BF112" s="91"/>
      <c r="BG112" s="91"/>
      <c r="BH112" s="91"/>
      <c r="BI112" s="91"/>
      <c r="BJ112" s="91"/>
      <c r="BK112" s="91"/>
      <c r="BL112" s="91"/>
      <c r="BM112" s="91"/>
      <c r="BN112" s="91"/>
      <c r="BO112" s="91"/>
      <c r="BP112" s="91"/>
      <c r="BQ112" s="91"/>
      <c r="BR112" s="91"/>
      <c r="BS112" s="91"/>
      <c r="BT112" s="91"/>
      <c r="BU112" s="91"/>
      <c r="BV112" s="91"/>
      <c r="BW112" s="91"/>
      <c r="BX112" s="91"/>
      <c r="BY112" s="91"/>
      <c r="BZ112" s="91"/>
      <c r="CA112" s="91"/>
      <c r="CB112" s="91"/>
      <c r="CC112" s="91"/>
      <c r="CD112" s="91"/>
      <c r="CE112" s="91"/>
      <c r="CF112" s="91"/>
      <c r="CG112" s="91"/>
      <c r="CH112" s="91"/>
      <c r="CI112" s="91"/>
      <c r="CJ112" s="91"/>
      <c r="CK112" s="91"/>
      <c r="CL112" s="91"/>
      <c r="CM112" s="91"/>
      <c r="CN112" s="91"/>
      <c r="CO112" s="91"/>
      <c r="CP112" s="91"/>
      <c r="CQ112" s="91"/>
      <c r="CR112" s="91"/>
      <c r="CS112" s="91"/>
      <c r="CT112" s="91"/>
      <c r="CU112" s="91"/>
      <c r="CV112" s="91"/>
      <c r="CW112" s="91"/>
      <c r="CX112" s="194"/>
    </row>
    <row r="113" spans="2:102" x14ac:dyDescent="0.2">
      <c r="B113" s="195">
        <v>990</v>
      </c>
      <c r="C113" s="193">
        <v>4.3999999999999997E-2</v>
      </c>
      <c r="D113" s="145">
        <v>8.7999999999999995E-2</v>
      </c>
      <c r="E113" s="145">
        <v>0.13300000000000001</v>
      </c>
      <c r="F113" s="145">
        <v>0.17799999999999999</v>
      </c>
      <c r="G113" s="145">
        <v>0.221</v>
      </c>
      <c r="H113" s="145">
        <v>0.26200000000000001</v>
      </c>
      <c r="I113" s="145">
        <v>0.30099999999999999</v>
      </c>
      <c r="J113" s="145">
        <v>0.33700000000000002</v>
      </c>
      <c r="K113" s="145">
        <v>0.37</v>
      </c>
      <c r="L113" s="145">
        <v>0.40100000000000002</v>
      </c>
      <c r="M113" s="145">
        <v>0.42899999999999999</v>
      </c>
      <c r="N113" s="145">
        <v>0.45600000000000002</v>
      </c>
      <c r="O113" s="145">
        <v>0.48</v>
      </c>
      <c r="P113" s="145">
        <v>0.503</v>
      </c>
      <c r="Q113" s="145">
        <v>0.52400000000000002</v>
      </c>
      <c r="R113" s="145">
        <v>0.54400000000000004</v>
      </c>
      <c r="S113" s="145">
        <v>0.56299999999999994</v>
      </c>
      <c r="T113" s="145">
        <v>0.58099999999999996</v>
      </c>
      <c r="U113" s="145">
        <v>0.59699999999999998</v>
      </c>
      <c r="V113" s="145">
        <v>0.61299999999999999</v>
      </c>
      <c r="W113" s="91"/>
      <c r="X113" s="91"/>
      <c r="Y113" s="91"/>
      <c r="Z113" s="91"/>
      <c r="AA113" s="91"/>
      <c r="AB113" s="91"/>
      <c r="AC113" s="91"/>
      <c r="AD113" s="91"/>
      <c r="AE113" s="91"/>
      <c r="AF113" s="91"/>
      <c r="AG113" s="91"/>
      <c r="AH113" s="91"/>
      <c r="AI113" s="91"/>
      <c r="AJ113" s="91"/>
      <c r="AK113" s="91"/>
      <c r="AL113" s="91"/>
      <c r="AM113" s="91"/>
      <c r="AN113" s="91"/>
      <c r="AO113" s="91"/>
      <c r="AP113" s="91"/>
      <c r="AQ113" s="91"/>
      <c r="AR113" s="91"/>
      <c r="AS113" s="91"/>
      <c r="AT113" s="91"/>
      <c r="AU113" s="91"/>
      <c r="AV113" s="91"/>
      <c r="AW113" s="91"/>
      <c r="AX113" s="91"/>
      <c r="AY113" s="91"/>
      <c r="AZ113" s="91"/>
      <c r="BA113" s="91"/>
      <c r="BB113" s="91"/>
      <c r="BC113" s="91"/>
      <c r="BD113" s="91"/>
      <c r="BE113" s="91"/>
      <c r="BF113" s="91"/>
      <c r="BG113" s="91"/>
      <c r="BH113" s="91"/>
      <c r="BI113" s="91"/>
      <c r="BJ113" s="91"/>
      <c r="BK113" s="91"/>
      <c r="BL113" s="91"/>
      <c r="BM113" s="91"/>
      <c r="BN113" s="91"/>
      <c r="BO113" s="91"/>
      <c r="BP113" s="91"/>
      <c r="BQ113" s="91"/>
      <c r="BR113" s="91"/>
      <c r="BS113" s="91"/>
      <c r="BT113" s="91"/>
      <c r="BU113" s="91"/>
      <c r="BV113" s="91"/>
      <c r="BW113" s="91"/>
      <c r="BX113" s="91"/>
      <c r="BY113" s="91"/>
      <c r="BZ113" s="91"/>
      <c r="CA113" s="91"/>
      <c r="CB113" s="91"/>
      <c r="CC113" s="91"/>
      <c r="CD113" s="91"/>
      <c r="CE113" s="91"/>
      <c r="CF113" s="91"/>
      <c r="CG113" s="91"/>
      <c r="CH113" s="91"/>
      <c r="CI113" s="91"/>
      <c r="CJ113" s="91"/>
      <c r="CK113" s="91"/>
      <c r="CL113" s="91"/>
      <c r="CM113" s="91"/>
      <c r="CN113" s="91"/>
      <c r="CO113" s="91"/>
      <c r="CP113" s="91"/>
      <c r="CQ113" s="91"/>
      <c r="CR113" s="91"/>
      <c r="CS113" s="91"/>
      <c r="CT113" s="91"/>
      <c r="CU113" s="91"/>
      <c r="CV113" s="91"/>
      <c r="CW113" s="91"/>
      <c r="CX113" s="194"/>
    </row>
    <row r="114" spans="2:102" x14ac:dyDescent="0.2">
      <c r="B114" s="195">
        <v>1000</v>
      </c>
      <c r="C114" s="193">
        <v>4.2999999999999997E-2</v>
      </c>
      <c r="D114" s="145">
        <v>8.6999999999999994E-2</v>
      </c>
      <c r="E114" s="145">
        <v>0.13200000000000001</v>
      </c>
      <c r="F114" s="145">
        <v>0.17599999999999999</v>
      </c>
      <c r="G114" s="145">
        <v>0.218</v>
      </c>
      <c r="H114" s="145">
        <v>0.25900000000000001</v>
      </c>
      <c r="I114" s="145">
        <v>0.29799999999999999</v>
      </c>
      <c r="J114" s="145">
        <v>0.33300000000000002</v>
      </c>
      <c r="K114" s="145">
        <v>0.36599999999999999</v>
      </c>
      <c r="L114" s="145">
        <v>0.39700000000000002</v>
      </c>
      <c r="M114" s="145">
        <v>0.42499999999999999</v>
      </c>
      <c r="N114" s="145">
        <v>0.45200000000000001</v>
      </c>
      <c r="O114" s="145">
        <v>0.47599999999999998</v>
      </c>
      <c r="P114" s="145">
        <v>0.499</v>
      </c>
      <c r="Q114" s="145">
        <v>0.52</v>
      </c>
      <c r="R114" s="145">
        <v>0.54</v>
      </c>
      <c r="S114" s="145">
        <v>0.55900000000000005</v>
      </c>
      <c r="T114" s="145">
        <v>0.57599999999999996</v>
      </c>
      <c r="U114" s="145">
        <v>0.59299999999999997</v>
      </c>
      <c r="V114" s="145">
        <v>0.60899999999999999</v>
      </c>
      <c r="W114" s="91"/>
      <c r="X114" s="91"/>
      <c r="Y114" s="91"/>
      <c r="Z114" s="91"/>
      <c r="AA114" s="91"/>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91"/>
      <c r="AZ114" s="91"/>
      <c r="BA114" s="91"/>
      <c r="BB114" s="91"/>
      <c r="BC114" s="91"/>
      <c r="BD114" s="91"/>
      <c r="BE114" s="91"/>
      <c r="BF114" s="91"/>
      <c r="BG114" s="91"/>
      <c r="BH114" s="91"/>
      <c r="BI114" s="91"/>
      <c r="BJ114" s="91"/>
      <c r="BK114" s="91"/>
      <c r="BL114" s="91"/>
      <c r="BM114" s="91"/>
      <c r="BN114" s="91"/>
      <c r="BO114" s="91"/>
      <c r="BP114" s="91"/>
      <c r="BQ114" s="91"/>
      <c r="BR114" s="91"/>
      <c r="BS114" s="91"/>
      <c r="BT114" s="91"/>
      <c r="BU114" s="91"/>
      <c r="BV114" s="91"/>
      <c r="BW114" s="91"/>
      <c r="BX114" s="91"/>
      <c r="BY114" s="91"/>
      <c r="BZ114" s="91"/>
      <c r="CA114" s="91"/>
      <c r="CB114" s="91"/>
      <c r="CC114" s="91"/>
      <c r="CD114" s="91"/>
      <c r="CE114" s="91"/>
      <c r="CF114" s="91"/>
      <c r="CG114" s="91"/>
      <c r="CH114" s="91"/>
      <c r="CI114" s="91"/>
      <c r="CJ114" s="91"/>
      <c r="CK114" s="91"/>
      <c r="CL114" s="91"/>
      <c r="CM114" s="91"/>
      <c r="CN114" s="91"/>
      <c r="CO114" s="91"/>
      <c r="CP114" s="91"/>
      <c r="CQ114" s="91"/>
      <c r="CR114" s="91"/>
      <c r="CS114" s="91"/>
      <c r="CT114" s="91"/>
      <c r="CU114" s="91"/>
      <c r="CV114" s="91"/>
      <c r="CW114" s="91"/>
      <c r="CX114" s="194"/>
    </row>
    <row r="115" spans="2:102" x14ac:dyDescent="0.2">
      <c r="B115" s="195"/>
      <c r="C115" s="196"/>
      <c r="D115" s="91"/>
      <c r="E115" s="91"/>
      <c r="F115" s="91"/>
      <c r="G115" s="91"/>
      <c r="H115" s="91"/>
      <c r="I115" s="91"/>
      <c r="J115" s="91"/>
      <c r="K115" s="91"/>
      <c r="L115" s="91"/>
      <c r="M115" s="91"/>
      <c r="N115" s="91"/>
      <c r="O115" s="91"/>
      <c r="P115" s="91"/>
      <c r="Q115" s="91"/>
      <c r="R115" s="91"/>
      <c r="S115" s="91"/>
      <c r="T115" s="91"/>
      <c r="U115" s="91"/>
      <c r="V115" s="91"/>
      <c r="W115" s="91"/>
      <c r="X115" s="91"/>
      <c r="Y115" s="91"/>
      <c r="Z115" s="91"/>
      <c r="AA115" s="91"/>
      <c r="AB115" s="91"/>
      <c r="AC115" s="91"/>
      <c r="AD115" s="91"/>
      <c r="AE115" s="91"/>
      <c r="AF115" s="91"/>
      <c r="AG115" s="91"/>
      <c r="AH115" s="91"/>
      <c r="AI115" s="91"/>
      <c r="AJ115" s="91"/>
      <c r="AK115" s="91"/>
      <c r="AL115" s="91"/>
      <c r="AM115" s="91"/>
      <c r="AN115" s="91"/>
      <c r="AO115" s="91"/>
      <c r="AP115" s="91"/>
      <c r="AQ115" s="91"/>
      <c r="AR115" s="91"/>
      <c r="AS115" s="91"/>
      <c r="AT115" s="91"/>
      <c r="AU115" s="91"/>
      <c r="AV115" s="91"/>
      <c r="AW115" s="91"/>
      <c r="AX115" s="91"/>
      <c r="AY115" s="91"/>
      <c r="AZ115" s="91"/>
      <c r="BA115" s="91"/>
      <c r="BB115" s="91"/>
      <c r="BC115" s="91"/>
      <c r="BD115" s="91"/>
      <c r="BE115" s="91"/>
      <c r="BF115" s="91"/>
      <c r="BG115" s="91"/>
      <c r="BH115" s="91"/>
      <c r="BI115" s="91"/>
      <c r="BJ115" s="91"/>
      <c r="BK115" s="91"/>
      <c r="BL115" s="91"/>
      <c r="BM115" s="91"/>
      <c r="BN115" s="91"/>
      <c r="BO115" s="91"/>
      <c r="BP115" s="91"/>
      <c r="BQ115" s="91"/>
      <c r="BR115" s="91"/>
      <c r="BS115" s="91"/>
      <c r="BT115" s="91"/>
      <c r="BU115" s="91"/>
      <c r="BV115" s="91"/>
      <c r="BW115" s="91"/>
      <c r="BX115" s="91"/>
      <c r="BY115" s="91"/>
      <c r="BZ115" s="91"/>
      <c r="CA115" s="91"/>
      <c r="CB115" s="91"/>
      <c r="CC115" s="91"/>
      <c r="CD115" s="91"/>
      <c r="CE115" s="91"/>
      <c r="CF115" s="91"/>
      <c r="CG115" s="91"/>
      <c r="CH115" s="91"/>
      <c r="CI115" s="91"/>
      <c r="CJ115" s="91"/>
      <c r="CK115" s="91"/>
      <c r="CL115" s="91"/>
      <c r="CM115" s="91"/>
      <c r="CN115" s="91"/>
      <c r="CO115" s="91"/>
      <c r="CP115" s="91"/>
      <c r="CQ115" s="91"/>
      <c r="CR115" s="91"/>
      <c r="CS115" s="91"/>
      <c r="CT115" s="91"/>
      <c r="CU115" s="91"/>
      <c r="CV115" s="91"/>
      <c r="CW115" s="91"/>
      <c r="CX115" s="194"/>
    </row>
    <row r="116" spans="2:102" x14ac:dyDescent="0.2">
      <c r="B116" s="195"/>
      <c r="C116" s="196"/>
      <c r="D116" s="91"/>
      <c r="E116" s="91"/>
      <c r="F116" s="91"/>
      <c r="G116" s="91"/>
      <c r="H116" s="91"/>
      <c r="I116" s="91"/>
      <c r="J116" s="91"/>
      <c r="K116" s="91"/>
      <c r="L116" s="91"/>
      <c r="M116" s="91"/>
      <c r="N116" s="91"/>
      <c r="O116" s="91"/>
      <c r="P116" s="91"/>
      <c r="Q116" s="91"/>
      <c r="R116" s="91"/>
      <c r="S116" s="91"/>
      <c r="T116" s="91"/>
      <c r="U116" s="91"/>
      <c r="V116" s="91"/>
      <c r="W116" s="91"/>
      <c r="X116" s="91"/>
      <c r="Y116" s="91"/>
      <c r="Z116" s="91"/>
      <c r="AA116" s="91"/>
      <c r="AB116" s="91"/>
      <c r="AC116" s="91"/>
      <c r="AD116" s="91"/>
      <c r="AE116" s="91"/>
      <c r="AF116" s="91"/>
      <c r="AG116" s="91"/>
      <c r="AH116" s="91"/>
      <c r="AI116" s="91"/>
      <c r="AJ116" s="91"/>
      <c r="AK116" s="91"/>
      <c r="AL116" s="91"/>
      <c r="AM116" s="91"/>
      <c r="AN116" s="91"/>
      <c r="AO116" s="91"/>
      <c r="AP116" s="91"/>
      <c r="AQ116" s="91"/>
      <c r="AR116" s="91"/>
      <c r="AS116" s="91"/>
      <c r="AT116" s="91"/>
      <c r="AU116" s="91"/>
      <c r="AV116" s="91"/>
      <c r="AW116" s="91"/>
      <c r="AX116" s="91"/>
      <c r="AY116" s="91"/>
      <c r="AZ116" s="91"/>
      <c r="BA116" s="91"/>
      <c r="BB116" s="91"/>
      <c r="BC116" s="91"/>
      <c r="BD116" s="91"/>
      <c r="BE116" s="91"/>
      <c r="BF116" s="91"/>
      <c r="BG116" s="91"/>
      <c r="BH116" s="91"/>
      <c r="BI116" s="91"/>
      <c r="BJ116" s="91"/>
      <c r="BK116" s="91"/>
      <c r="BL116" s="91"/>
      <c r="BM116" s="91"/>
      <c r="BN116" s="91"/>
      <c r="BO116" s="91"/>
      <c r="BP116" s="91"/>
      <c r="BQ116" s="91"/>
      <c r="BR116" s="91"/>
      <c r="BS116" s="91"/>
      <c r="BT116" s="91"/>
      <c r="BU116" s="91"/>
      <c r="BV116" s="91"/>
      <c r="BW116" s="91"/>
      <c r="BX116" s="91"/>
      <c r="BY116" s="91"/>
      <c r="BZ116" s="91"/>
      <c r="CA116" s="91"/>
      <c r="CB116" s="91"/>
      <c r="CC116" s="91"/>
      <c r="CD116" s="91"/>
      <c r="CE116" s="91"/>
      <c r="CF116" s="91"/>
      <c r="CG116" s="91"/>
      <c r="CH116" s="91"/>
      <c r="CI116" s="91"/>
      <c r="CJ116" s="91"/>
      <c r="CK116" s="91"/>
      <c r="CL116" s="91"/>
      <c r="CM116" s="91"/>
      <c r="CN116" s="91"/>
      <c r="CO116" s="91"/>
      <c r="CP116" s="91"/>
      <c r="CQ116" s="91"/>
      <c r="CR116" s="91"/>
      <c r="CS116" s="91"/>
      <c r="CT116" s="91"/>
      <c r="CU116" s="91"/>
      <c r="CV116" s="91"/>
      <c r="CW116" s="91"/>
      <c r="CX116" s="194"/>
    </row>
    <row r="117" spans="2:102" x14ac:dyDescent="0.2">
      <c r="B117" s="195"/>
      <c r="C117" s="196"/>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91"/>
      <c r="AB117" s="91"/>
      <c r="AC117" s="91"/>
      <c r="AD117" s="91"/>
      <c r="AE117" s="91"/>
      <c r="AF117" s="91"/>
      <c r="AG117" s="91"/>
      <c r="AH117" s="91"/>
      <c r="AI117" s="91"/>
      <c r="AJ117" s="91"/>
      <c r="AK117" s="91"/>
      <c r="AL117" s="91"/>
      <c r="AM117" s="91"/>
      <c r="AN117" s="91"/>
      <c r="AO117" s="91"/>
      <c r="AP117" s="91"/>
      <c r="AQ117" s="91"/>
      <c r="AR117" s="91"/>
      <c r="AS117" s="91"/>
      <c r="AT117" s="91"/>
      <c r="AU117" s="91"/>
      <c r="AV117" s="91"/>
      <c r="AW117" s="91"/>
      <c r="AX117" s="91"/>
      <c r="AY117" s="91"/>
      <c r="AZ117" s="91"/>
      <c r="BA117" s="91"/>
      <c r="BB117" s="91"/>
      <c r="BC117" s="91"/>
      <c r="BD117" s="91"/>
      <c r="BE117" s="91"/>
      <c r="BF117" s="91"/>
      <c r="BG117" s="91"/>
      <c r="BH117" s="91"/>
      <c r="BI117" s="91"/>
      <c r="BJ117" s="91"/>
      <c r="BK117" s="91"/>
      <c r="BL117" s="91"/>
      <c r="BM117" s="91"/>
      <c r="BN117" s="91"/>
      <c r="BO117" s="91"/>
      <c r="BP117" s="91"/>
      <c r="BQ117" s="91"/>
      <c r="BR117" s="91"/>
      <c r="BS117" s="91"/>
      <c r="BT117" s="91"/>
      <c r="BU117" s="91"/>
      <c r="BV117" s="91"/>
      <c r="BW117" s="91"/>
      <c r="BX117" s="91"/>
      <c r="BY117" s="91"/>
      <c r="BZ117" s="91"/>
      <c r="CA117" s="91"/>
      <c r="CB117" s="91"/>
      <c r="CC117" s="91"/>
      <c r="CD117" s="91"/>
      <c r="CE117" s="91"/>
      <c r="CF117" s="91"/>
      <c r="CG117" s="91"/>
      <c r="CH117" s="91"/>
      <c r="CI117" s="91"/>
      <c r="CJ117" s="91"/>
      <c r="CK117" s="91"/>
      <c r="CL117" s="91"/>
      <c r="CM117" s="91"/>
      <c r="CN117" s="91"/>
      <c r="CO117" s="91"/>
      <c r="CP117" s="91"/>
      <c r="CQ117" s="91"/>
      <c r="CR117" s="91"/>
      <c r="CS117" s="91"/>
      <c r="CT117" s="91"/>
      <c r="CU117" s="91"/>
      <c r="CV117" s="91"/>
      <c r="CW117" s="91"/>
      <c r="CX117" s="194"/>
    </row>
    <row r="118" spans="2:102" x14ac:dyDescent="0.2">
      <c r="B118" s="195"/>
      <c r="C118" s="196"/>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91"/>
      <c r="AB118" s="91"/>
      <c r="AC118" s="91"/>
      <c r="AD118" s="91"/>
      <c r="AE118" s="91"/>
      <c r="AF118" s="91"/>
      <c r="AG118" s="91"/>
      <c r="AH118" s="91"/>
      <c r="AI118" s="91"/>
      <c r="AJ118" s="91"/>
      <c r="AK118" s="91"/>
      <c r="AL118" s="91"/>
      <c r="AM118" s="91"/>
      <c r="AN118" s="91"/>
      <c r="AO118" s="91"/>
      <c r="AP118" s="91"/>
      <c r="AQ118" s="91"/>
      <c r="AR118" s="91"/>
      <c r="AS118" s="91"/>
      <c r="AT118" s="91"/>
      <c r="AU118" s="91"/>
      <c r="AV118" s="91"/>
      <c r="AW118" s="91"/>
      <c r="AX118" s="91"/>
      <c r="AY118" s="91"/>
      <c r="AZ118" s="91"/>
      <c r="BA118" s="91"/>
      <c r="BB118" s="91"/>
      <c r="BC118" s="91"/>
      <c r="BD118" s="91"/>
      <c r="BE118" s="91"/>
      <c r="BF118" s="91"/>
      <c r="BG118" s="91"/>
      <c r="BH118" s="91"/>
      <c r="BI118" s="91"/>
      <c r="BJ118" s="91"/>
      <c r="BK118" s="91"/>
      <c r="BL118" s="91"/>
      <c r="BM118" s="91"/>
      <c r="BN118" s="91"/>
      <c r="BO118" s="91"/>
      <c r="BP118" s="91"/>
      <c r="BQ118" s="91"/>
      <c r="BR118" s="91"/>
      <c r="BS118" s="91"/>
      <c r="BT118" s="91"/>
      <c r="BU118" s="91"/>
      <c r="BV118" s="91"/>
      <c r="BW118" s="91"/>
      <c r="BX118" s="91"/>
      <c r="BY118" s="91"/>
      <c r="BZ118" s="91"/>
      <c r="CA118" s="91"/>
      <c r="CB118" s="91"/>
      <c r="CC118" s="91"/>
      <c r="CD118" s="91"/>
      <c r="CE118" s="91"/>
      <c r="CF118" s="91"/>
      <c r="CG118" s="91"/>
      <c r="CH118" s="91"/>
      <c r="CI118" s="91"/>
      <c r="CJ118" s="91"/>
      <c r="CK118" s="91"/>
      <c r="CL118" s="91"/>
      <c r="CM118" s="91"/>
      <c r="CN118" s="91"/>
      <c r="CO118" s="91"/>
      <c r="CP118" s="91"/>
      <c r="CQ118" s="91"/>
      <c r="CR118" s="91"/>
      <c r="CS118" s="91"/>
      <c r="CT118" s="91"/>
      <c r="CU118" s="91"/>
      <c r="CV118" s="91"/>
      <c r="CW118" s="91"/>
      <c r="CX118" s="194"/>
    </row>
    <row r="119" spans="2:102" x14ac:dyDescent="0.2">
      <c r="B119" s="195"/>
      <c r="C119" s="196"/>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1"/>
      <c r="AO119" s="91"/>
      <c r="AP119" s="91"/>
      <c r="AQ119" s="91"/>
      <c r="AR119" s="91"/>
      <c r="AS119" s="91"/>
      <c r="AT119" s="91"/>
      <c r="AU119" s="91"/>
      <c r="AV119" s="91"/>
      <c r="AW119" s="91"/>
      <c r="AX119" s="91"/>
      <c r="AY119" s="91"/>
      <c r="AZ119" s="91"/>
      <c r="BA119" s="91"/>
      <c r="BB119" s="91"/>
      <c r="BC119" s="91"/>
      <c r="BD119" s="91"/>
      <c r="BE119" s="91"/>
      <c r="BF119" s="91"/>
      <c r="BG119" s="91"/>
      <c r="BH119" s="91"/>
      <c r="BI119" s="91"/>
      <c r="BJ119" s="91"/>
      <c r="BK119" s="91"/>
      <c r="BL119" s="91"/>
      <c r="BM119" s="91"/>
      <c r="BN119" s="91"/>
      <c r="BO119" s="91"/>
      <c r="BP119" s="91"/>
      <c r="BQ119" s="91"/>
      <c r="BR119" s="91"/>
      <c r="BS119" s="91"/>
      <c r="BT119" s="91"/>
      <c r="BU119" s="91"/>
      <c r="BV119" s="91"/>
      <c r="BW119" s="91"/>
      <c r="BX119" s="91"/>
      <c r="BY119" s="91"/>
      <c r="BZ119" s="91"/>
      <c r="CA119" s="91"/>
      <c r="CB119" s="91"/>
      <c r="CC119" s="91"/>
      <c r="CD119" s="91"/>
      <c r="CE119" s="91"/>
      <c r="CF119" s="91"/>
      <c r="CG119" s="91"/>
      <c r="CH119" s="91"/>
      <c r="CI119" s="91"/>
      <c r="CJ119" s="91"/>
      <c r="CK119" s="91"/>
      <c r="CL119" s="91"/>
      <c r="CM119" s="91"/>
      <c r="CN119" s="91"/>
      <c r="CO119" s="91"/>
      <c r="CP119" s="91"/>
      <c r="CQ119" s="91"/>
      <c r="CR119" s="91"/>
      <c r="CS119" s="91"/>
      <c r="CT119" s="91"/>
      <c r="CU119" s="91"/>
      <c r="CV119" s="91"/>
      <c r="CW119" s="91"/>
      <c r="CX119" s="194"/>
    </row>
    <row r="120" spans="2:102" x14ac:dyDescent="0.2">
      <c r="B120" s="195"/>
      <c r="C120" s="197"/>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198"/>
      <c r="AK120" s="198"/>
      <c r="AL120" s="198"/>
      <c r="AM120" s="198"/>
      <c r="AN120" s="198"/>
      <c r="AO120" s="198"/>
      <c r="AP120" s="198"/>
      <c r="AQ120" s="198"/>
      <c r="AR120" s="198"/>
      <c r="AS120" s="198"/>
      <c r="AT120" s="198"/>
      <c r="AU120" s="198"/>
      <c r="AV120" s="198"/>
      <c r="AW120" s="198"/>
      <c r="AX120" s="198"/>
      <c r="AY120" s="198"/>
      <c r="AZ120" s="198"/>
      <c r="BA120" s="198"/>
      <c r="BB120" s="198"/>
      <c r="BC120" s="198"/>
      <c r="BD120" s="198"/>
      <c r="BE120" s="198"/>
      <c r="BF120" s="198"/>
      <c r="BG120" s="198"/>
      <c r="BH120" s="198"/>
      <c r="BI120" s="198"/>
      <c r="BJ120" s="198"/>
      <c r="BK120" s="198"/>
      <c r="BL120" s="198"/>
      <c r="BM120" s="198"/>
      <c r="BN120" s="198"/>
      <c r="BO120" s="198"/>
      <c r="BP120" s="198"/>
      <c r="BQ120" s="198"/>
      <c r="BR120" s="198"/>
      <c r="BS120" s="198"/>
      <c r="BT120" s="198"/>
      <c r="BU120" s="198"/>
      <c r="BV120" s="198"/>
      <c r="BW120" s="198"/>
      <c r="BX120" s="198"/>
      <c r="BY120" s="198"/>
      <c r="BZ120" s="198"/>
      <c r="CA120" s="198"/>
      <c r="CB120" s="198"/>
      <c r="CC120" s="198"/>
      <c r="CD120" s="198"/>
      <c r="CE120" s="198"/>
      <c r="CF120" s="198"/>
      <c r="CG120" s="198"/>
      <c r="CH120" s="198"/>
      <c r="CI120" s="198"/>
      <c r="CJ120" s="198"/>
      <c r="CK120" s="198"/>
      <c r="CL120" s="198"/>
      <c r="CM120" s="198"/>
      <c r="CN120" s="198"/>
      <c r="CO120" s="198"/>
      <c r="CP120" s="198"/>
      <c r="CQ120" s="198"/>
      <c r="CR120" s="198"/>
      <c r="CS120" s="198"/>
      <c r="CT120" s="198"/>
      <c r="CU120" s="198"/>
      <c r="CV120" s="198"/>
      <c r="CW120" s="198"/>
      <c r="CX120" s="199"/>
    </row>
  </sheetData>
  <sheetProtection sheet="1" objects="1" scenarios="1"/>
  <mergeCells count="8">
    <mergeCell ref="CE4:CX4"/>
    <mergeCell ref="K2:L2"/>
    <mergeCell ref="C2:J2"/>
    <mergeCell ref="B4:B5"/>
    <mergeCell ref="C4:V4"/>
    <mergeCell ref="W4:AP4"/>
    <mergeCell ref="AQ4:BJ4"/>
    <mergeCell ref="BK4:CD4"/>
  </mergeCells>
  <pageMargins left="0.7" right="0.7" top="0.75" bottom="0.75" header="0.3" footer="0.3"/>
  <pageSetup orientation="portrait" horizontalDpi="0" verticalDpi="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304" t="s">
        <v>454</v>
      </c>
      <c r="D2" s="304"/>
      <c r="E2" s="304"/>
      <c r="F2" s="304"/>
      <c r="G2" s="304"/>
      <c r="H2" s="304"/>
      <c r="I2" s="304"/>
      <c r="J2" s="304"/>
      <c r="K2" s="303" t="s">
        <v>455</v>
      </c>
      <c r="L2" s="303"/>
      <c r="M2" s="303"/>
      <c r="N2" s="305" t="s">
        <v>453</v>
      </c>
      <c r="O2" s="305"/>
      <c r="P2" s="148"/>
      <c r="Q2" s="148"/>
    </row>
    <row r="4" spans="1:104" ht="19" x14ac:dyDescent="0.2">
      <c r="B4" s="302" t="s">
        <v>547</v>
      </c>
      <c r="C4" s="302" t="s">
        <v>644</v>
      </c>
      <c r="D4" s="302"/>
      <c r="E4" s="302"/>
      <c r="F4" s="302"/>
      <c r="G4" s="302"/>
      <c r="H4" s="302"/>
      <c r="I4" s="302"/>
      <c r="J4" s="302"/>
      <c r="K4" s="302"/>
      <c r="L4" s="302"/>
      <c r="M4" s="302"/>
      <c r="N4" s="302"/>
      <c r="O4" s="302"/>
      <c r="P4" s="302"/>
      <c r="Q4" s="302"/>
      <c r="R4" s="302"/>
      <c r="S4" s="302"/>
      <c r="T4" s="302"/>
      <c r="U4" s="302"/>
      <c r="V4" s="302"/>
      <c r="W4" s="302" t="s">
        <v>644</v>
      </c>
      <c r="X4" s="302"/>
      <c r="Y4" s="302"/>
      <c r="Z4" s="302"/>
      <c r="AA4" s="302"/>
      <c r="AB4" s="302"/>
      <c r="AC4" s="302"/>
      <c r="AD4" s="302"/>
      <c r="AE4" s="302"/>
      <c r="AF4" s="302"/>
      <c r="AG4" s="302"/>
      <c r="AH4" s="302"/>
      <c r="AI4" s="302"/>
      <c r="AJ4" s="302"/>
      <c r="AK4" s="302"/>
      <c r="AL4" s="302"/>
      <c r="AM4" s="302"/>
      <c r="AN4" s="302"/>
      <c r="AO4" s="302"/>
      <c r="AP4" s="302"/>
      <c r="AQ4" s="302" t="s">
        <v>548</v>
      </c>
      <c r="AR4" s="302"/>
      <c r="AS4" s="302"/>
      <c r="AT4" s="302"/>
      <c r="AU4" s="302"/>
      <c r="AV4" s="302"/>
      <c r="AW4" s="302"/>
      <c r="AX4" s="302"/>
      <c r="AY4" s="302"/>
      <c r="AZ4" s="302"/>
      <c r="BA4" s="302"/>
      <c r="BB4" s="302"/>
      <c r="BC4" s="302"/>
      <c r="BD4" s="302"/>
      <c r="BE4" s="302"/>
      <c r="BF4" s="302"/>
      <c r="BG4" s="302"/>
      <c r="BH4" s="302"/>
      <c r="BI4" s="302"/>
      <c r="BJ4" s="302"/>
      <c r="BK4" s="302" t="s">
        <v>548</v>
      </c>
      <c r="BL4" s="302"/>
      <c r="BM4" s="302"/>
      <c r="BN4" s="302"/>
      <c r="BO4" s="302"/>
      <c r="BP4" s="302"/>
      <c r="BQ4" s="302"/>
      <c r="BR4" s="302"/>
      <c r="BS4" s="302"/>
      <c r="BT4" s="302"/>
      <c r="BU4" s="302"/>
      <c r="BV4" s="302"/>
      <c r="BW4" s="302"/>
      <c r="BX4" s="302"/>
      <c r="BY4" s="302"/>
      <c r="BZ4" s="302"/>
      <c r="CA4" s="302"/>
      <c r="CB4" s="302"/>
      <c r="CC4" s="302"/>
      <c r="CD4" s="302"/>
      <c r="CE4" s="302" t="s">
        <v>548</v>
      </c>
      <c r="CF4" s="302"/>
      <c r="CG4" s="302"/>
      <c r="CH4" s="302"/>
      <c r="CI4" s="302"/>
      <c r="CJ4" s="302"/>
      <c r="CK4" s="302"/>
      <c r="CL4" s="302"/>
      <c r="CM4" s="302"/>
      <c r="CN4" s="302"/>
      <c r="CO4" s="302"/>
      <c r="CP4" s="302"/>
      <c r="CQ4" s="302"/>
      <c r="CR4" s="302"/>
      <c r="CS4" s="302"/>
      <c r="CT4" s="302"/>
      <c r="CU4" s="302"/>
      <c r="CV4" s="302"/>
      <c r="CW4" s="302"/>
      <c r="CX4" s="302"/>
    </row>
    <row r="5" spans="1:104" x14ac:dyDescent="0.2">
      <c r="B5" s="302"/>
      <c r="C5" s="189">
        <v>0.5</v>
      </c>
      <c r="D5" s="189">
        <v>1</v>
      </c>
      <c r="E5" s="189">
        <v>1.5</v>
      </c>
      <c r="F5" s="189">
        <v>2</v>
      </c>
      <c r="G5" s="189">
        <v>2.5</v>
      </c>
      <c r="H5" s="189">
        <v>3</v>
      </c>
      <c r="I5" s="189">
        <v>3.5</v>
      </c>
      <c r="J5" s="189">
        <v>4</v>
      </c>
      <c r="K5" s="189">
        <v>4.5</v>
      </c>
      <c r="L5" s="189">
        <v>5</v>
      </c>
      <c r="M5" s="189">
        <v>5.5</v>
      </c>
      <c r="N5" s="189">
        <v>6</v>
      </c>
      <c r="O5" s="189">
        <v>6.5</v>
      </c>
      <c r="P5" s="189">
        <v>7</v>
      </c>
      <c r="Q5" s="189">
        <v>7.5</v>
      </c>
      <c r="R5" s="189">
        <v>8</v>
      </c>
      <c r="S5" s="189">
        <v>8.5</v>
      </c>
      <c r="T5" s="189">
        <v>9</v>
      </c>
      <c r="U5" s="189">
        <v>9.5</v>
      </c>
      <c r="V5" s="189">
        <v>10</v>
      </c>
      <c r="W5" s="189">
        <v>10.5</v>
      </c>
      <c r="X5" s="189">
        <v>11</v>
      </c>
      <c r="Y5" s="189">
        <v>11.5</v>
      </c>
      <c r="Z5" s="189">
        <v>12</v>
      </c>
      <c r="AA5" s="189">
        <v>12.5</v>
      </c>
      <c r="AB5" s="189">
        <v>13</v>
      </c>
      <c r="AC5" s="189">
        <v>13.5</v>
      </c>
      <c r="AD5" s="189">
        <v>14</v>
      </c>
      <c r="AE5" s="189">
        <v>14.5</v>
      </c>
      <c r="AF5" s="189">
        <v>15</v>
      </c>
      <c r="AG5" s="189">
        <v>15.5</v>
      </c>
      <c r="AH5" s="189">
        <v>16</v>
      </c>
      <c r="AI5" s="189">
        <v>16.5</v>
      </c>
      <c r="AJ5" s="189">
        <v>17</v>
      </c>
      <c r="AK5" s="189">
        <v>17.5</v>
      </c>
      <c r="AL5" s="189">
        <v>18</v>
      </c>
      <c r="AM5" s="189">
        <v>18.5</v>
      </c>
      <c r="AN5" s="189">
        <v>19</v>
      </c>
      <c r="AO5" s="189">
        <v>19.5</v>
      </c>
      <c r="AP5" s="189">
        <v>20</v>
      </c>
      <c r="AQ5" s="189">
        <v>20.5</v>
      </c>
      <c r="AR5" s="189">
        <v>21</v>
      </c>
      <c r="AS5" s="189">
        <v>21.5</v>
      </c>
      <c r="AT5" s="189">
        <v>22</v>
      </c>
      <c r="AU5" s="189">
        <v>22.5</v>
      </c>
      <c r="AV5" s="189">
        <v>23</v>
      </c>
      <c r="AW5" s="189">
        <v>23.5</v>
      </c>
      <c r="AX5" s="189">
        <v>24</v>
      </c>
      <c r="AY5" s="189">
        <v>24.5</v>
      </c>
      <c r="AZ5" s="189">
        <v>25</v>
      </c>
      <c r="BA5" s="189">
        <v>25.5</v>
      </c>
      <c r="BB5" s="189">
        <v>26</v>
      </c>
      <c r="BC5" s="189">
        <v>26.5</v>
      </c>
      <c r="BD5" s="189">
        <v>27</v>
      </c>
      <c r="BE5" s="189">
        <v>27.5</v>
      </c>
      <c r="BF5" s="189">
        <v>28</v>
      </c>
      <c r="BG5" s="189">
        <v>28.5</v>
      </c>
      <c r="BH5" s="189">
        <v>29</v>
      </c>
      <c r="BI5" s="189">
        <v>29.5</v>
      </c>
      <c r="BJ5" s="189">
        <v>30</v>
      </c>
      <c r="BK5" s="189">
        <v>30.5</v>
      </c>
      <c r="BL5" s="189">
        <v>31</v>
      </c>
      <c r="BM5" s="189">
        <v>31.5</v>
      </c>
      <c r="BN5" s="189">
        <v>32</v>
      </c>
      <c r="BO5" s="189">
        <v>32.5</v>
      </c>
      <c r="BP5" s="189">
        <v>33</v>
      </c>
      <c r="BQ5" s="189">
        <v>33.5</v>
      </c>
      <c r="BR5" s="189">
        <v>34</v>
      </c>
      <c r="BS5" s="189">
        <v>34.5</v>
      </c>
      <c r="BT5" s="189">
        <v>35</v>
      </c>
      <c r="BU5" s="189">
        <v>35.5</v>
      </c>
      <c r="BV5" s="189">
        <v>36</v>
      </c>
      <c r="BW5" s="189">
        <v>36.5</v>
      </c>
      <c r="BX5" s="189">
        <v>37</v>
      </c>
      <c r="BY5" s="189">
        <v>37.5</v>
      </c>
      <c r="BZ5" s="189">
        <v>38</v>
      </c>
      <c r="CA5" s="189">
        <v>38.5</v>
      </c>
      <c r="CB5" s="189">
        <v>39</v>
      </c>
      <c r="CC5" s="189">
        <v>39.5</v>
      </c>
      <c r="CD5" s="189">
        <v>40</v>
      </c>
      <c r="CE5" s="189">
        <v>40.5</v>
      </c>
      <c r="CF5" s="189">
        <v>41</v>
      </c>
      <c r="CG5" s="189">
        <v>41.5</v>
      </c>
      <c r="CH5" s="189">
        <v>42</v>
      </c>
      <c r="CI5" s="189">
        <v>42.5</v>
      </c>
      <c r="CJ5" s="189">
        <v>43</v>
      </c>
      <c r="CK5" s="189">
        <v>43.5</v>
      </c>
      <c r="CL5" s="189">
        <v>44</v>
      </c>
      <c r="CM5" s="189">
        <v>44.5</v>
      </c>
      <c r="CN5" s="189">
        <v>45</v>
      </c>
      <c r="CO5" s="189">
        <v>45.5</v>
      </c>
      <c r="CP5" s="189">
        <v>46</v>
      </c>
      <c r="CQ5" s="189">
        <v>46.5</v>
      </c>
      <c r="CR5" s="189">
        <v>47</v>
      </c>
      <c r="CS5" s="189">
        <v>47.5</v>
      </c>
      <c r="CT5" s="189">
        <v>48</v>
      </c>
      <c r="CU5" s="189">
        <v>48.5</v>
      </c>
      <c r="CV5" s="189">
        <v>49</v>
      </c>
      <c r="CW5" s="189">
        <v>49.5</v>
      </c>
      <c r="CX5" s="189">
        <v>50</v>
      </c>
      <c r="CY5" s="30"/>
      <c r="CZ5" s="30"/>
    </row>
    <row r="6" spans="1:104" x14ac:dyDescent="0.2">
      <c r="B6" s="189">
        <v>100</v>
      </c>
      <c r="C6" s="201">
        <v>57.1</v>
      </c>
      <c r="D6" s="191">
        <v>58.55</v>
      </c>
      <c r="E6" s="191">
        <v>59.78</v>
      </c>
      <c r="F6" s="191">
        <v>60.98</v>
      </c>
      <c r="G6" s="191">
        <v>62.06</v>
      </c>
      <c r="H6" s="191">
        <v>63</v>
      </c>
      <c r="I6" s="191">
        <v>63.85</v>
      </c>
      <c r="J6" s="191">
        <v>64.650000000000006</v>
      </c>
      <c r="K6" s="191">
        <v>65.430000000000007</v>
      </c>
      <c r="L6" s="191">
        <v>66.17</v>
      </c>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c r="BH6" s="191"/>
      <c r="BI6" s="191"/>
      <c r="BJ6" s="191"/>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3"/>
    </row>
    <row r="7" spans="1:104" x14ac:dyDescent="0.2">
      <c r="B7" s="189">
        <v>125</v>
      </c>
      <c r="C7" s="196">
        <v>51.05</v>
      </c>
      <c r="D7" s="91">
        <v>52.53</v>
      </c>
      <c r="E7" s="91">
        <v>53.76</v>
      </c>
      <c r="F7" s="91">
        <v>54.97</v>
      </c>
      <c r="G7" s="91">
        <v>56.04</v>
      </c>
      <c r="H7" s="91">
        <v>56.98</v>
      </c>
      <c r="I7" s="91">
        <v>57.82</v>
      </c>
      <c r="J7" s="91">
        <v>58.6</v>
      </c>
      <c r="K7" s="91">
        <v>59.34</v>
      </c>
      <c r="L7" s="91">
        <v>60.05</v>
      </c>
      <c r="M7" s="91"/>
      <c r="N7" s="91"/>
      <c r="O7" s="91"/>
      <c r="P7" s="91"/>
      <c r="Q7" s="91"/>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204"/>
      <c r="BL7" s="204"/>
      <c r="BM7" s="204"/>
      <c r="BN7" s="204"/>
      <c r="BO7" s="204"/>
      <c r="BP7" s="204"/>
      <c r="BQ7" s="204"/>
      <c r="BR7" s="204"/>
      <c r="BS7" s="204"/>
      <c r="BT7" s="204"/>
      <c r="BU7" s="204"/>
      <c r="BV7" s="204"/>
      <c r="BW7" s="204"/>
      <c r="BX7" s="204"/>
      <c r="BY7" s="204"/>
      <c r="BZ7" s="204"/>
      <c r="CA7" s="204"/>
      <c r="CB7" s="204"/>
      <c r="CC7" s="204"/>
      <c r="CD7" s="204"/>
      <c r="CE7" s="204"/>
      <c r="CF7" s="204"/>
      <c r="CG7" s="204"/>
      <c r="CH7" s="204"/>
      <c r="CI7" s="204"/>
      <c r="CJ7" s="204"/>
      <c r="CK7" s="204"/>
      <c r="CL7" s="204"/>
      <c r="CM7" s="204"/>
      <c r="CN7" s="204"/>
      <c r="CO7" s="204"/>
      <c r="CP7" s="204"/>
      <c r="CQ7" s="204"/>
      <c r="CR7" s="204"/>
      <c r="CS7" s="204"/>
      <c r="CT7" s="204"/>
      <c r="CU7" s="204"/>
      <c r="CV7" s="204"/>
      <c r="CW7" s="204"/>
      <c r="CX7" s="205"/>
    </row>
    <row r="8" spans="1:104" x14ac:dyDescent="0.2">
      <c r="B8" s="189">
        <v>150</v>
      </c>
      <c r="C8" s="196">
        <v>45.68</v>
      </c>
      <c r="D8" s="91">
        <v>47.19</v>
      </c>
      <c r="E8" s="91">
        <v>48.42</v>
      </c>
      <c r="F8" s="91">
        <v>49.64</v>
      </c>
      <c r="G8" s="91">
        <v>50.73</v>
      </c>
      <c r="H8" s="91">
        <v>51.68</v>
      </c>
      <c r="I8" s="91">
        <v>52.52</v>
      </c>
      <c r="J8" s="91">
        <v>53.28</v>
      </c>
      <c r="K8" s="91">
        <v>54</v>
      </c>
      <c r="L8" s="91">
        <v>54.68</v>
      </c>
      <c r="M8" s="91"/>
      <c r="N8" s="91"/>
      <c r="O8" s="91"/>
      <c r="P8" s="91"/>
      <c r="Q8" s="91"/>
      <c r="R8" s="91"/>
      <c r="S8" s="91"/>
      <c r="T8" s="91"/>
      <c r="U8" s="91"/>
      <c r="V8" s="91"/>
      <c r="W8" s="91"/>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204"/>
      <c r="BL8" s="204"/>
      <c r="BM8" s="204"/>
      <c r="BN8" s="204"/>
      <c r="BO8" s="204"/>
      <c r="BP8" s="204"/>
      <c r="BQ8" s="204"/>
      <c r="BR8" s="204"/>
      <c r="BS8" s="204"/>
      <c r="BT8" s="204"/>
      <c r="BU8" s="204"/>
      <c r="BV8" s="204"/>
      <c r="BW8" s="204"/>
      <c r="BX8" s="204"/>
      <c r="BY8" s="204"/>
      <c r="BZ8" s="204"/>
      <c r="CA8" s="204"/>
      <c r="CB8" s="204"/>
      <c r="CC8" s="204"/>
      <c r="CD8" s="204"/>
      <c r="CE8" s="204"/>
      <c r="CF8" s="204"/>
      <c r="CG8" s="204"/>
      <c r="CH8" s="204"/>
      <c r="CI8" s="204"/>
      <c r="CJ8" s="204"/>
      <c r="CK8" s="204"/>
      <c r="CL8" s="204"/>
      <c r="CM8" s="204"/>
      <c r="CN8" s="204"/>
      <c r="CO8" s="204"/>
      <c r="CP8" s="204"/>
      <c r="CQ8" s="204"/>
      <c r="CR8" s="204"/>
      <c r="CS8" s="204"/>
      <c r="CT8" s="204"/>
      <c r="CU8" s="204"/>
      <c r="CV8" s="204"/>
      <c r="CW8" s="204"/>
      <c r="CX8" s="205"/>
    </row>
    <row r="9" spans="1:104" x14ac:dyDescent="0.2">
      <c r="B9" s="189">
        <v>175</v>
      </c>
      <c r="C9" s="196">
        <v>40.9</v>
      </c>
      <c r="D9" s="91">
        <v>42.46</v>
      </c>
      <c r="E9" s="91">
        <v>43.69</v>
      </c>
      <c r="F9" s="91">
        <v>44.92</v>
      </c>
      <c r="G9" s="91">
        <v>46.03</v>
      </c>
      <c r="H9" s="91">
        <v>47</v>
      </c>
      <c r="I9" s="91">
        <v>47.85</v>
      </c>
      <c r="J9" s="91">
        <v>48.61</v>
      </c>
      <c r="K9" s="91">
        <v>49.31</v>
      </c>
      <c r="L9" s="91">
        <v>49.96</v>
      </c>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204"/>
      <c r="BL9" s="204"/>
      <c r="BM9" s="204"/>
      <c r="BN9" s="204"/>
      <c r="BO9" s="204"/>
      <c r="BP9" s="204"/>
      <c r="BQ9" s="204"/>
      <c r="BR9" s="204"/>
      <c r="BS9" s="204"/>
      <c r="BT9" s="204"/>
      <c r="BU9" s="204"/>
      <c r="BV9" s="204"/>
      <c r="BW9" s="204"/>
      <c r="BX9" s="204"/>
      <c r="BY9" s="204"/>
      <c r="BZ9" s="204"/>
      <c r="CA9" s="204"/>
      <c r="CB9" s="204"/>
      <c r="CC9" s="204"/>
      <c r="CD9" s="204"/>
      <c r="CE9" s="204"/>
      <c r="CF9" s="204"/>
      <c r="CG9" s="204"/>
      <c r="CH9" s="204"/>
      <c r="CI9" s="204"/>
      <c r="CJ9" s="204"/>
      <c r="CK9" s="204"/>
      <c r="CL9" s="204"/>
      <c r="CM9" s="204"/>
      <c r="CN9" s="204"/>
      <c r="CO9" s="204"/>
      <c r="CP9" s="204"/>
      <c r="CQ9" s="204"/>
      <c r="CR9" s="204"/>
      <c r="CS9" s="204"/>
      <c r="CT9" s="204"/>
      <c r="CU9" s="204"/>
      <c r="CV9" s="204"/>
      <c r="CW9" s="204"/>
      <c r="CX9" s="205"/>
    </row>
    <row r="10" spans="1:104" x14ac:dyDescent="0.2">
      <c r="B10" s="189">
        <v>200</v>
      </c>
      <c r="C10" s="196">
        <v>36.630000000000003</v>
      </c>
      <c r="D10" s="91">
        <v>38.270000000000003</v>
      </c>
      <c r="E10" s="91">
        <v>39.51</v>
      </c>
      <c r="F10" s="91">
        <v>40.75</v>
      </c>
      <c r="G10" s="91">
        <v>41.88</v>
      </c>
      <c r="H10" s="91">
        <v>42.87</v>
      </c>
      <c r="I10" s="91">
        <v>43.73</v>
      </c>
      <c r="J10" s="91">
        <v>44.48</v>
      </c>
      <c r="K10" s="91">
        <v>45.17</v>
      </c>
      <c r="L10" s="91">
        <v>45.81</v>
      </c>
      <c r="M10" s="91"/>
      <c r="N10" s="91"/>
      <c r="O10" s="91"/>
      <c r="P10" s="91"/>
      <c r="Q10" s="91"/>
      <c r="R10" s="91"/>
      <c r="S10" s="91"/>
      <c r="T10" s="91"/>
      <c r="U10" s="91"/>
      <c r="V10" s="91"/>
      <c r="W10" s="91"/>
      <c r="X10" s="91"/>
      <c r="Y10" s="91"/>
      <c r="Z10" s="91"/>
      <c r="AA10" s="91"/>
      <c r="AB10" s="91"/>
      <c r="AC10" s="91"/>
      <c r="AD10" s="91"/>
      <c r="AE10" s="91"/>
      <c r="AF10" s="91"/>
      <c r="AG10" s="91"/>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204"/>
      <c r="BL10" s="204"/>
      <c r="BM10" s="20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204"/>
      <c r="CR10" s="204"/>
      <c r="CS10" s="204"/>
      <c r="CT10" s="204"/>
      <c r="CU10" s="204"/>
      <c r="CV10" s="204"/>
      <c r="CW10" s="204"/>
      <c r="CX10" s="205"/>
    </row>
    <row r="11" spans="1:104" x14ac:dyDescent="0.2">
      <c r="B11" s="189">
        <v>225</v>
      </c>
      <c r="C11" s="196">
        <v>32.79</v>
      </c>
      <c r="D11" s="91">
        <v>34.54</v>
      </c>
      <c r="E11" s="91">
        <v>35.82</v>
      </c>
      <c r="F11" s="91">
        <v>37.06</v>
      </c>
      <c r="G11" s="91">
        <v>38.200000000000003</v>
      </c>
      <c r="H11" s="91">
        <v>39.21</v>
      </c>
      <c r="I11" s="91">
        <v>40.07</v>
      </c>
      <c r="J11" s="91">
        <v>40.83</v>
      </c>
      <c r="K11" s="91">
        <v>41.51</v>
      </c>
      <c r="L11" s="91">
        <v>42.13</v>
      </c>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5"/>
    </row>
    <row r="12" spans="1:104" x14ac:dyDescent="0.2">
      <c r="B12" s="189">
        <v>250</v>
      </c>
      <c r="C12" s="196">
        <v>29.31</v>
      </c>
      <c r="D12" s="91">
        <v>31.2</v>
      </c>
      <c r="E12" s="91">
        <v>32.549999999999997</v>
      </c>
      <c r="F12" s="91">
        <v>33.79</v>
      </c>
      <c r="G12" s="91">
        <v>34.94</v>
      </c>
      <c r="H12" s="91">
        <v>35.950000000000003</v>
      </c>
      <c r="I12" s="91">
        <v>36.83</v>
      </c>
      <c r="J12" s="91">
        <v>37.58</v>
      </c>
      <c r="K12" s="91">
        <v>38.25</v>
      </c>
      <c r="L12" s="91">
        <v>38.86</v>
      </c>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c r="CP12" s="204"/>
      <c r="CQ12" s="204"/>
      <c r="CR12" s="204"/>
      <c r="CS12" s="204"/>
      <c r="CT12" s="204"/>
      <c r="CU12" s="204"/>
      <c r="CV12" s="204"/>
      <c r="CW12" s="204"/>
      <c r="CX12" s="205"/>
    </row>
    <row r="13" spans="1:104" x14ac:dyDescent="0.2">
      <c r="B13" s="189">
        <v>275</v>
      </c>
      <c r="C13" s="196">
        <v>26.12</v>
      </c>
      <c r="D13" s="91">
        <v>28.2</v>
      </c>
      <c r="E13" s="91">
        <v>29.63</v>
      </c>
      <c r="F13" s="91">
        <v>30.88</v>
      </c>
      <c r="G13" s="91">
        <v>32.03</v>
      </c>
      <c r="H13" s="91">
        <v>33.04</v>
      </c>
      <c r="I13" s="91">
        <v>33.92</v>
      </c>
      <c r="J13" s="91">
        <v>34.67</v>
      </c>
      <c r="K13" s="91">
        <v>35.33</v>
      </c>
      <c r="L13" s="91">
        <v>35.92</v>
      </c>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91"/>
      <c r="AZ13" s="91"/>
      <c r="BA13" s="91"/>
      <c r="BB13" s="91"/>
      <c r="BC13" s="91"/>
      <c r="BD13" s="91"/>
      <c r="BE13" s="91"/>
      <c r="BF13" s="91"/>
      <c r="BG13" s="91"/>
      <c r="BH13" s="91"/>
      <c r="BI13" s="91"/>
      <c r="BJ13" s="91"/>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5"/>
    </row>
    <row r="14" spans="1:104" x14ac:dyDescent="0.2">
      <c r="B14" s="189">
        <v>300</v>
      </c>
      <c r="C14" s="196">
        <v>23.15</v>
      </c>
      <c r="D14" s="91">
        <v>25.46</v>
      </c>
      <c r="E14" s="91">
        <v>27</v>
      </c>
      <c r="F14" s="91">
        <v>28.77</v>
      </c>
      <c r="G14" s="91">
        <v>29.41</v>
      </c>
      <c r="H14" s="91">
        <v>30.43</v>
      </c>
      <c r="I14" s="91">
        <v>31.3</v>
      </c>
      <c r="J14" s="91">
        <v>32.049999999999997</v>
      </c>
      <c r="K14" s="91">
        <v>32.700000000000003</v>
      </c>
      <c r="L14" s="91">
        <v>33.270000000000003</v>
      </c>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91"/>
      <c r="AZ14" s="91"/>
      <c r="BA14" s="91"/>
      <c r="BB14" s="91"/>
      <c r="BC14" s="91"/>
      <c r="BD14" s="91"/>
      <c r="BE14" s="91"/>
      <c r="BF14" s="91"/>
      <c r="BG14" s="91"/>
      <c r="BH14" s="91"/>
      <c r="BI14" s="91"/>
      <c r="BJ14" s="91"/>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5"/>
    </row>
    <row r="15" spans="1:104" x14ac:dyDescent="0.2">
      <c r="B15" s="189">
        <v>325</v>
      </c>
      <c r="C15" s="196">
        <v>20.32</v>
      </c>
      <c r="D15" s="91">
        <v>22.94</v>
      </c>
      <c r="E15" s="91">
        <v>24.61</v>
      </c>
      <c r="F15" s="91">
        <v>25.9</v>
      </c>
      <c r="G15" s="91">
        <v>27.05</v>
      </c>
      <c r="H15" s="91">
        <v>28.05</v>
      </c>
      <c r="I15" s="91">
        <v>28.92</v>
      </c>
      <c r="J15" s="91">
        <v>29.66</v>
      </c>
      <c r="K15" s="91">
        <v>30.29</v>
      </c>
      <c r="L15" s="91">
        <v>30.85</v>
      </c>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5"/>
    </row>
    <row r="16" spans="1:104" x14ac:dyDescent="0.2">
      <c r="B16" s="189">
        <v>350</v>
      </c>
      <c r="C16" s="196">
        <v>17.57</v>
      </c>
      <c r="D16" s="91">
        <v>20.58</v>
      </c>
      <c r="E16" s="91">
        <v>22.4</v>
      </c>
      <c r="F16" s="91">
        <v>23.74</v>
      </c>
      <c r="G16" s="91">
        <v>24.88</v>
      </c>
      <c r="H16" s="91">
        <v>25.88</v>
      </c>
      <c r="I16" s="91">
        <v>26.74</v>
      </c>
      <c r="J16" s="91">
        <v>27.47</v>
      </c>
      <c r="K16" s="91">
        <v>28.09</v>
      </c>
      <c r="L16" s="91">
        <v>28.63</v>
      </c>
      <c r="M16" s="91"/>
      <c r="N16" s="91"/>
      <c r="O16" s="91"/>
      <c r="P16" s="91"/>
      <c r="Q16" s="91"/>
      <c r="R16" s="91"/>
      <c r="S16" s="91"/>
      <c r="T16" s="91"/>
      <c r="U16" s="91"/>
      <c r="V16" s="91"/>
      <c r="W16" s="91"/>
      <c r="X16" s="91"/>
      <c r="Y16" s="91"/>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5"/>
    </row>
    <row r="17" spans="2:102" x14ac:dyDescent="0.2">
      <c r="B17" s="189">
        <v>375</v>
      </c>
      <c r="C17" s="196">
        <v>14.76</v>
      </c>
      <c r="D17" s="91">
        <v>18.37</v>
      </c>
      <c r="E17" s="91">
        <v>20.350000000000001</v>
      </c>
      <c r="F17" s="91">
        <v>21.74</v>
      </c>
      <c r="G17" s="91">
        <v>22.89</v>
      </c>
      <c r="H17" s="91">
        <v>23.89</v>
      </c>
      <c r="I17" s="91">
        <v>24.74</v>
      </c>
      <c r="J17" s="91">
        <v>25.45</v>
      </c>
      <c r="K17" s="91">
        <v>26.06</v>
      </c>
      <c r="L17" s="91">
        <v>26.58</v>
      </c>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5"/>
    </row>
    <row r="18" spans="2:102" x14ac:dyDescent="0.2">
      <c r="B18" s="189">
        <v>400</v>
      </c>
      <c r="C18" s="206">
        <v>12.13</v>
      </c>
      <c r="D18" s="91">
        <v>16.27</v>
      </c>
      <c r="E18" s="91">
        <v>18.420000000000002</v>
      </c>
      <c r="F18" s="91">
        <v>19.88</v>
      </c>
      <c r="G18" s="91">
        <v>21.06</v>
      </c>
      <c r="H18" s="91">
        <v>22.05</v>
      </c>
      <c r="I18" s="91">
        <v>22.88</v>
      </c>
      <c r="J18" s="91">
        <v>23.59</v>
      </c>
      <c r="K18" s="91">
        <v>24.18</v>
      </c>
      <c r="L18" s="91">
        <v>24.68</v>
      </c>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204"/>
      <c r="BL18" s="204"/>
      <c r="BM18" s="204"/>
      <c r="BN18" s="204"/>
      <c r="BO18" s="204"/>
      <c r="BP18" s="204"/>
      <c r="BQ18" s="204"/>
      <c r="BR18" s="204"/>
      <c r="BS18" s="204"/>
      <c r="BT18" s="204"/>
      <c r="BU18" s="204"/>
      <c r="BV18" s="204"/>
      <c r="BW18" s="204"/>
      <c r="BX18" s="204"/>
      <c r="BY18" s="204"/>
      <c r="BZ18" s="204"/>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5"/>
    </row>
    <row r="19" spans="2:102" x14ac:dyDescent="0.2">
      <c r="B19" s="189">
        <v>425</v>
      </c>
      <c r="C19" s="206">
        <v>9.3800000000000008</v>
      </c>
      <c r="D19" s="91">
        <v>14.3</v>
      </c>
      <c r="E19" s="91">
        <v>16.63</v>
      </c>
      <c r="F19" s="91">
        <v>18.16</v>
      </c>
      <c r="G19" s="91">
        <v>19.350000000000001</v>
      </c>
      <c r="H19" s="91">
        <v>20.34</v>
      </c>
      <c r="I19" s="91">
        <v>21.17</v>
      </c>
      <c r="J19" s="91">
        <v>21.86</v>
      </c>
      <c r="K19" s="91">
        <v>22.44</v>
      </c>
      <c r="L19" s="91">
        <v>22.92</v>
      </c>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204"/>
      <c r="BL19" s="204"/>
      <c r="BM19" s="204"/>
      <c r="BN19" s="204"/>
      <c r="BO19" s="204"/>
      <c r="BP19" s="204"/>
      <c r="BQ19" s="204"/>
      <c r="BR19" s="204"/>
      <c r="BS19" s="204"/>
      <c r="BT19" s="204"/>
      <c r="BU19" s="204"/>
      <c r="BV19" s="204"/>
      <c r="BW19" s="204"/>
      <c r="BX19" s="204"/>
      <c r="BY19" s="204"/>
      <c r="BZ19" s="204"/>
      <c r="CA19" s="204"/>
      <c r="CB19" s="204"/>
      <c r="CC19" s="204"/>
      <c r="CD19" s="204"/>
      <c r="CE19" s="204"/>
      <c r="CF19" s="204"/>
      <c r="CG19" s="204"/>
      <c r="CH19" s="204"/>
      <c r="CI19" s="204"/>
      <c r="CJ19" s="204"/>
      <c r="CK19" s="204"/>
      <c r="CL19" s="204"/>
      <c r="CM19" s="204"/>
      <c r="CN19" s="204"/>
      <c r="CO19" s="204"/>
      <c r="CP19" s="204"/>
      <c r="CQ19" s="204"/>
      <c r="CR19" s="204"/>
      <c r="CS19" s="204"/>
      <c r="CT19" s="204"/>
      <c r="CU19" s="204"/>
      <c r="CV19" s="204"/>
      <c r="CW19" s="204"/>
      <c r="CX19" s="205"/>
    </row>
    <row r="20" spans="2:102" x14ac:dyDescent="0.2">
      <c r="B20" s="189">
        <v>450</v>
      </c>
      <c r="C20" s="206">
        <v>6.8</v>
      </c>
      <c r="D20" s="91">
        <v>12.46</v>
      </c>
      <c r="E20" s="91">
        <v>14.95</v>
      </c>
      <c r="F20" s="91">
        <v>16.559999999999999</v>
      </c>
      <c r="G20" s="91">
        <v>17.78</v>
      </c>
      <c r="H20" s="91">
        <v>18.77</v>
      </c>
      <c r="I20" s="91">
        <v>19.59</v>
      </c>
      <c r="J20" s="91">
        <v>20.27</v>
      </c>
      <c r="K20" s="91">
        <v>20.84</v>
      </c>
      <c r="L20" s="91">
        <v>21.31</v>
      </c>
      <c r="M20" s="91"/>
      <c r="N20" s="91"/>
      <c r="O20" s="91"/>
      <c r="P20" s="91"/>
      <c r="Q20" s="91"/>
      <c r="R20" s="91"/>
      <c r="S20" s="91"/>
      <c r="T20" s="91"/>
      <c r="U20" s="91"/>
      <c r="V20" s="91"/>
      <c r="W20" s="91"/>
      <c r="X20" s="91"/>
      <c r="Y20" s="91"/>
      <c r="Z20" s="91"/>
      <c r="AA20" s="91"/>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204"/>
      <c r="BL20" s="204"/>
      <c r="BM20" s="204"/>
      <c r="BN20" s="204"/>
      <c r="BO20" s="204"/>
      <c r="BP20" s="204"/>
      <c r="BQ20" s="204"/>
      <c r="BR20" s="204"/>
      <c r="BS20" s="204"/>
      <c r="BT20" s="204"/>
      <c r="BU20" s="204"/>
      <c r="BV20" s="204"/>
      <c r="BW20" s="204"/>
      <c r="BX20" s="204"/>
      <c r="BY20" s="204"/>
      <c r="BZ20" s="204"/>
      <c r="CA20" s="204"/>
      <c r="CB20" s="204"/>
      <c r="CC20" s="204"/>
      <c r="CD20" s="204"/>
      <c r="CE20" s="204"/>
      <c r="CF20" s="204"/>
      <c r="CG20" s="204"/>
      <c r="CH20" s="204"/>
      <c r="CI20" s="204"/>
      <c r="CJ20" s="204"/>
      <c r="CK20" s="204"/>
      <c r="CL20" s="204"/>
      <c r="CM20" s="204"/>
      <c r="CN20" s="204"/>
      <c r="CO20" s="204"/>
      <c r="CP20" s="204"/>
      <c r="CQ20" s="204"/>
      <c r="CR20" s="204"/>
      <c r="CS20" s="204"/>
      <c r="CT20" s="204"/>
      <c r="CU20" s="204"/>
      <c r="CV20" s="204"/>
      <c r="CW20" s="204"/>
      <c r="CX20" s="205"/>
    </row>
    <row r="21" spans="2:102" x14ac:dyDescent="0.2">
      <c r="B21" s="189">
        <v>475</v>
      </c>
      <c r="C21" s="206">
        <v>4.9800000000000004</v>
      </c>
      <c r="D21" s="91">
        <v>10.78</v>
      </c>
      <c r="E21" s="91">
        <v>13.41</v>
      </c>
      <c r="F21" s="91">
        <v>15.08</v>
      </c>
      <c r="G21" s="91">
        <v>16.329999999999998</v>
      </c>
      <c r="H21" s="91">
        <v>17.34</v>
      </c>
      <c r="I21" s="91">
        <v>18.16</v>
      </c>
      <c r="J21" s="91">
        <v>18.829999999999998</v>
      </c>
      <c r="K21" s="91">
        <v>19.39</v>
      </c>
      <c r="L21" s="91">
        <v>19.850000000000001</v>
      </c>
      <c r="M21" s="91"/>
      <c r="N21" s="91"/>
      <c r="O21" s="91"/>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204"/>
      <c r="BL21" s="204"/>
      <c r="BM21" s="204"/>
      <c r="BN21" s="204"/>
      <c r="BO21" s="204"/>
      <c r="BP21" s="204"/>
      <c r="BQ21" s="204"/>
      <c r="BR21" s="204"/>
      <c r="BS21" s="204"/>
      <c r="BT21" s="204"/>
      <c r="BU21" s="204"/>
      <c r="BV21" s="204"/>
      <c r="BW21" s="204"/>
      <c r="BX21" s="204"/>
      <c r="BY21" s="204"/>
      <c r="BZ21" s="204"/>
      <c r="CA21" s="204"/>
      <c r="CB21" s="204"/>
      <c r="CC21" s="204"/>
      <c r="CD21" s="204"/>
      <c r="CE21" s="204"/>
      <c r="CF21" s="204"/>
      <c r="CG21" s="204"/>
      <c r="CH21" s="204"/>
      <c r="CI21" s="204"/>
      <c r="CJ21" s="204"/>
      <c r="CK21" s="204"/>
      <c r="CL21" s="204"/>
      <c r="CM21" s="204"/>
      <c r="CN21" s="204"/>
      <c r="CO21" s="204"/>
      <c r="CP21" s="204"/>
      <c r="CQ21" s="204"/>
      <c r="CR21" s="204"/>
      <c r="CS21" s="204"/>
      <c r="CT21" s="204"/>
      <c r="CU21" s="204"/>
      <c r="CV21" s="204"/>
      <c r="CW21" s="204"/>
      <c r="CX21" s="205"/>
    </row>
    <row r="22" spans="2:102" x14ac:dyDescent="0.2">
      <c r="B22" s="189">
        <v>500</v>
      </c>
      <c r="C22" s="206">
        <v>3.94</v>
      </c>
      <c r="D22" s="91">
        <v>9.27</v>
      </c>
      <c r="E22" s="91">
        <v>12.01</v>
      </c>
      <c r="F22" s="91">
        <v>13.78</v>
      </c>
      <c r="G22" s="91">
        <v>15.03</v>
      </c>
      <c r="H22" s="91">
        <v>16.05</v>
      </c>
      <c r="I22" s="91">
        <v>16.88</v>
      </c>
      <c r="J22" s="91">
        <v>17.559999999999999</v>
      </c>
      <c r="K22" s="91">
        <v>18.11</v>
      </c>
      <c r="L22" s="91">
        <v>18.559999999999999</v>
      </c>
      <c r="M22" s="91"/>
      <c r="N22" s="91"/>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204"/>
      <c r="BL22" s="204"/>
      <c r="BM22" s="204"/>
      <c r="BN22" s="204"/>
      <c r="BO22" s="204"/>
      <c r="BP22" s="204"/>
      <c r="BQ22" s="204"/>
      <c r="BR22" s="204"/>
      <c r="BS22" s="204"/>
      <c r="BT22" s="204"/>
      <c r="BU22" s="204"/>
      <c r="BV22" s="204"/>
      <c r="BW22" s="204"/>
      <c r="BX22" s="204"/>
      <c r="BY22" s="204"/>
      <c r="BZ22" s="204"/>
      <c r="CA22" s="204"/>
      <c r="CB22" s="204"/>
      <c r="CC22" s="204"/>
      <c r="CD22" s="204"/>
      <c r="CE22" s="204"/>
      <c r="CF22" s="204"/>
      <c r="CG22" s="204"/>
      <c r="CH22" s="204"/>
      <c r="CI22" s="204"/>
      <c r="CJ22" s="204"/>
      <c r="CK22" s="204"/>
      <c r="CL22" s="204"/>
      <c r="CM22" s="204"/>
      <c r="CN22" s="204"/>
      <c r="CO22" s="204"/>
      <c r="CP22" s="204"/>
      <c r="CQ22" s="204"/>
      <c r="CR22" s="204"/>
      <c r="CS22" s="204"/>
      <c r="CT22" s="204"/>
      <c r="CU22" s="204"/>
      <c r="CV22" s="204"/>
      <c r="CW22" s="204"/>
      <c r="CX22" s="205"/>
    </row>
    <row r="23" spans="2:102" x14ac:dyDescent="0.2">
      <c r="B23" s="189">
        <v>525</v>
      </c>
      <c r="C23" s="206">
        <v>3.3</v>
      </c>
      <c r="D23" s="91">
        <v>7.97</v>
      </c>
      <c r="E23" s="91">
        <v>10.78</v>
      </c>
      <c r="F23" s="91">
        <v>12.57</v>
      </c>
      <c r="G23" s="91">
        <v>13.5</v>
      </c>
      <c r="H23" s="91">
        <v>14.94</v>
      </c>
      <c r="I23" s="91">
        <v>15.78</v>
      </c>
      <c r="J23" s="91">
        <v>16.46</v>
      </c>
      <c r="K23" s="91">
        <v>17.02</v>
      </c>
      <c r="L23" s="91">
        <v>17.48</v>
      </c>
      <c r="M23" s="91"/>
      <c r="N23" s="91"/>
      <c r="O23" s="91"/>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204"/>
      <c r="BL23" s="204"/>
      <c r="BM23" s="204"/>
      <c r="BN23" s="204"/>
      <c r="BO23" s="204"/>
      <c r="BP23" s="204"/>
      <c r="BQ23" s="204"/>
      <c r="BR23" s="204"/>
      <c r="BS23" s="204"/>
      <c r="BT23" s="204"/>
      <c r="BU23" s="204"/>
      <c r="BV23" s="204"/>
      <c r="BW23" s="204"/>
      <c r="BX23" s="204"/>
      <c r="BY23" s="204"/>
      <c r="BZ23" s="204"/>
      <c r="CA23" s="204"/>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5"/>
    </row>
    <row r="24" spans="2:102" x14ac:dyDescent="0.2">
      <c r="B24" s="189">
        <v>550</v>
      </c>
      <c r="C24" s="206">
        <v>2.87</v>
      </c>
      <c r="D24" s="91">
        <v>6.89</v>
      </c>
      <c r="E24" s="91">
        <v>9.74</v>
      </c>
      <c r="F24" s="91">
        <v>11.58</v>
      </c>
      <c r="G24" s="91">
        <v>12.95</v>
      </c>
      <c r="H24" s="91">
        <v>14.03</v>
      </c>
      <c r="I24" s="91">
        <v>14.9</v>
      </c>
      <c r="J24" s="91">
        <v>15.59</v>
      </c>
      <c r="K24" s="91">
        <v>16.16</v>
      </c>
      <c r="L24" s="91">
        <v>16.63</v>
      </c>
      <c r="M24" s="91"/>
      <c r="N24" s="91"/>
      <c r="O24" s="91"/>
      <c r="P24" s="91"/>
      <c r="Q24" s="91"/>
      <c r="R24" s="91"/>
      <c r="S24" s="91"/>
      <c r="T24" s="91"/>
      <c r="U24" s="91"/>
      <c r="V24" s="91"/>
      <c r="W24" s="91"/>
      <c r="X24" s="91"/>
      <c r="Y24" s="91"/>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c r="CP24" s="204"/>
      <c r="CQ24" s="204"/>
      <c r="CR24" s="204"/>
      <c r="CS24" s="204"/>
      <c r="CT24" s="204"/>
      <c r="CU24" s="204"/>
      <c r="CV24" s="204"/>
      <c r="CW24" s="204"/>
      <c r="CX24" s="205"/>
    </row>
    <row r="25" spans="2:102" x14ac:dyDescent="0.2">
      <c r="B25" s="189">
        <v>575</v>
      </c>
      <c r="C25" s="206">
        <v>2.56</v>
      </c>
      <c r="D25" s="207">
        <v>6.08</v>
      </c>
      <c r="E25" s="207">
        <v>8.91</v>
      </c>
      <c r="F25" s="207">
        <v>10.81</v>
      </c>
      <c r="G25" s="207">
        <v>12.24</v>
      </c>
      <c r="H25" s="207">
        <v>13.36</v>
      </c>
      <c r="I25" s="207">
        <v>14.26</v>
      </c>
      <c r="J25" s="207">
        <v>14.99</v>
      </c>
      <c r="K25" s="207">
        <v>15.58</v>
      </c>
      <c r="L25" s="207">
        <v>16.059999999999999</v>
      </c>
      <c r="M25" s="91"/>
      <c r="N25" s="91"/>
      <c r="O25" s="91"/>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204"/>
      <c r="CU25" s="204"/>
      <c r="CV25" s="204"/>
      <c r="CW25" s="204"/>
      <c r="CX25" s="205"/>
    </row>
    <row r="26" spans="2:102" x14ac:dyDescent="0.2">
      <c r="B26" s="189">
        <v>600</v>
      </c>
      <c r="C26" s="206">
        <v>2.39</v>
      </c>
      <c r="D26" s="207">
        <v>5.53</v>
      </c>
      <c r="E26" s="207">
        <v>8.33</v>
      </c>
      <c r="F26" s="207">
        <v>10.3</v>
      </c>
      <c r="G26" s="207">
        <v>11.8</v>
      </c>
      <c r="H26" s="207">
        <v>12.98</v>
      </c>
      <c r="I26" s="207">
        <v>13.93</v>
      </c>
      <c r="J26" s="207">
        <v>14.7</v>
      </c>
      <c r="K26" s="207">
        <v>15.32</v>
      </c>
      <c r="L26" s="207">
        <v>15.83</v>
      </c>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c r="CW26" s="204"/>
      <c r="CX26" s="205"/>
    </row>
    <row r="27" spans="2:102" x14ac:dyDescent="0.2">
      <c r="B27" s="189">
        <v>625</v>
      </c>
      <c r="C27" s="196"/>
      <c r="D27" s="91"/>
      <c r="E27" s="91"/>
      <c r="F27" s="91"/>
      <c r="G27" s="91"/>
      <c r="H27" s="91"/>
      <c r="I27" s="91"/>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c r="CW27" s="204"/>
      <c r="CX27" s="205"/>
    </row>
    <row r="28" spans="2:102" x14ac:dyDescent="0.2">
      <c r="B28" s="189">
        <v>650</v>
      </c>
      <c r="C28" s="196"/>
      <c r="D28" s="91"/>
      <c r="E28" s="91"/>
      <c r="F28" s="91"/>
      <c r="G28" s="91"/>
      <c r="H28" s="91"/>
      <c r="I28" s="91"/>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5"/>
    </row>
    <row r="29" spans="2:102" x14ac:dyDescent="0.2">
      <c r="B29" s="189">
        <v>675</v>
      </c>
      <c r="C29" s="196"/>
      <c r="D29" s="91"/>
      <c r="E29" s="91"/>
      <c r="F29" s="91"/>
      <c r="G29" s="91"/>
      <c r="H29" s="91"/>
      <c r="I29" s="91"/>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5"/>
    </row>
    <row r="30" spans="2:102" x14ac:dyDescent="0.2">
      <c r="B30" s="189">
        <v>700</v>
      </c>
      <c r="C30" s="196"/>
      <c r="D30" s="91"/>
      <c r="E30" s="91"/>
      <c r="F30" s="91"/>
      <c r="G30" s="91"/>
      <c r="H30" s="91"/>
      <c r="I30" s="91"/>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5"/>
    </row>
    <row r="31" spans="2:102" x14ac:dyDescent="0.2">
      <c r="B31" s="189">
        <v>725</v>
      </c>
      <c r="C31" s="196"/>
      <c r="D31" s="91"/>
      <c r="E31" s="91"/>
      <c r="F31" s="91"/>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5"/>
    </row>
    <row r="32" spans="2:102" x14ac:dyDescent="0.2">
      <c r="B32" s="189">
        <v>750</v>
      </c>
      <c r="C32" s="196"/>
      <c r="D32" s="91"/>
      <c r="E32" s="91"/>
      <c r="F32" s="91"/>
      <c r="G32" s="91"/>
      <c r="H32" s="91"/>
      <c r="I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c r="CM32" s="204"/>
      <c r="CN32" s="204"/>
      <c r="CO32" s="204"/>
      <c r="CP32" s="204"/>
      <c r="CQ32" s="204"/>
      <c r="CR32" s="204"/>
      <c r="CS32" s="204"/>
      <c r="CT32" s="204"/>
      <c r="CU32" s="204"/>
      <c r="CV32" s="204"/>
      <c r="CW32" s="204"/>
      <c r="CX32" s="205"/>
    </row>
    <row r="33" spans="2:102" x14ac:dyDescent="0.2">
      <c r="B33" s="189">
        <v>775</v>
      </c>
      <c r="C33" s="196"/>
      <c r="D33" s="91"/>
      <c r="E33" s="91"/>
      <c r="F33" s="91"/>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5"/>
    </row>
    <row r="34" spans="2:102" x14ac:dyDescent="0.2">
      <c r="B34" s="189">
        <v>800</v>
      </c>
      <c r="C34" s="196"/>
      <c r="D34" s="91"/>
      <c r="E34" s="91"/>
      <c r="F34" s="91"/>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c r="CM34" s="204"/>
      <c r="CN34" s="204"/>
      <c r="CO34" s="204"/>
      <c r="CP34" s="204"/>
      <c r="CQ34" s="204"/>
      <c r="CR34" s="204"/>
      <c r="CS34" s="204"/>
      <c r="CT34" s="204"/>
      <c r="CU34" s="204"/>
      <c r="CV34" s="204"/>
      <c r="CW34" s="204"/>
      <c r="CX34" s="205"/>
    </row>
    <row r="35" spans="2:102" x14ac:dyDescent="0.2">
      <c r="B35" s="189">
        <v>825</v>
      </c>
      <c r="C35" s="196"/>
      <c r="D35" s="91"/>
      <c r="E35" s="91"/>
      <c r="F35" s="91"/>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c r="CM35" s="204"/>
      <c r="CN35" s="204"/>
      <c r="CO35" s="204"/>
      <c r="CP35" s="204"/>
      <c r="CQ35" s="204"/>
      <c r="CR35" s="204"/>
      <c r="CS35" s="204"/>
      <c r="CT35" s="204"/>
      <c r="CU35" s="204"/>
      <c r="CV35" s="204"/>
      <c r="CW35" s="204"/>
      <c r="CX35" s="205"/>
    </row>
    <row r="36" spans="2:102" x14ac:dyDescent="0.2">
      <c r="B36" s="189">
        <v>850</v>
      </c>
      <c r="C36" s="196"/>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c r="CM36" s="204"/>
      <c r="CN36" s="204"/>
      <c r="CO36" s="204"/>
      <c r="CP36" s="204"/>
      <c r="CQ36" s="204"/>
      <c r="CR36" s="204"/>
      <c r="CS36" s="204"/>
      <c r="CT36" s="204"/>
      <c r="CU36" s="204"/>
      <c r="CV36" s="204"/>
      <c r="CW36" s="204"/>
      <c r="CX36" s="205"/>
    </row>
    <row r="37" spans="2:102" x14ac:dyDescent="0.2">
      <c r="B37" s="189">
        <v>875</v>
      </c>
      <c r="C37" s="196"/>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c r="CM37" s="204"/>
      <c r="CN37" s="204"/>
      <c r="CO37" s="204"/>
      <c r="CP37" s="204"/>
      <c r="CQ37" s="204"/>
      <c r="CR37" s="204"/>
      <c r="CS37" s="204"/>
      <c r="CT37" s="204"/>
      <c r="CU37" s="204"/>
      <c r="CV37" s="204"/>
      <c r="CW37" s="204"/>
      <c r="CX37" s="205"/>
    </row>
    <row r="38" spans="2:102" x14ac:dyDescent="0.2">
      <c r="B38" s="189">
        <v>900</v>
      </c>
      <c r="C38" s="196"/>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5"/>
    </row>
    <row r="39" spans="2:102" x14ac:dyDescent="0.2">
      <c r="B39" s="189">
        <v>925</v>
      </c>
      <c r="C39" s="196"/>
      <c r="D39" s="91"/>
      <c r="E39" s="91"/>
      <c r="F39" s="91"/>
      <c r="G39" s="91"/>
      <c r="H39" s="91"/>
      <c r="I39" s="91"/>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5"/>
    </row>
    <row r="40" spans="2:102" x14ac:dyDescent="0.2">
      <c r="B40" s="189">
        <v>950</v>
      </c>
      <c r="C40" s="196"/>
      <c r="D40" s="91"/>
      <c r="E40" s="91"/>
      <c r="F40" s="91"/>
      <c r="G40" s="91"/>
      <c r="H40" s="91"/>
      <c r="I40" s="9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c r="CM40" s="204"/>
      <c r="CN40" s="204"/>
      <c r="CO40" s="204"/>
      <c r="CP40" s="204"/>
      <c r="CQ40" s="204"/>
      <c r="CR40" s="204"/>
      <c r="CS40" s="204"/>
      <c r="CT40" s="204"/>
      <c r="CU40" s="204"/>
      <c r="CV40" s="204"/>
      <c r="CW40" s="204"/>
      <c r="CX40" s="205"/>
    </row>
    <row r="41" spans="2:102" x14ac:dyDescent="0.2">
      <c r="B41" s="189">
        <v>975</v>
      </c>
      <c r="C41" s="196"/>
      <c r="D41" s="91"/>
      <c r="E41" s="91"/>
      <c r="F41" s="91"/>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c r="CM41" s="204"/>
      <c r="CN41" s="204"/>
      <c r="CO41" s="204"/>
      <c r="CP41" s="204"/>
      <c r="CQ41" s="204"/>
      <c r="CR41" s="204"/>
      <c r="CS41" s="204"/>
      <c r="CT41" s="204"/>
      <c r="CU41" s="204"/>
      <c r="CV41" s="204"/>
      <c r="CW41" s="204"/>
      <c r="CX41" s="205"/>
    </row>
    <row r="42" spans="2:102" x14ac:dyDescent="0.2">
      <c r="B42" s="189">
        <v>1000</v>
      </c>
      <c r="C42" s="196"/>
      <c r="D42" s="91"/>
      <c r="E42" s="91"/>
      <c r="F42" s="91"/>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5"/>
    </row>
    <row r="43" spans="2:102" x14ac:dyDescent="0.2">
      <c r="B43" s="30"/>
      <c r="C43" s="31"/>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80"/>
    </row>
    <row r="44" spans="2:102" x14ac:dyDescent="0.2">
      <c r="B44" s="30"/>
      <c r="C44" s="31"/>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80"/>
    </row>
    <row r="45" spans="2:102" x14ac:dyDescent="0.2">
      <c r="B45" s="30"/>
      <c r="C45" s="31"/>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80"/>
    </row>
    <row r="46" spans="2:102" x14ac:dyDescent="0.2">
      <c r="B46" s="30"/>
      <c r="C46" s="31"/>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80"/>
    </row>
    <row r="47" spans="2:102" x14ac:dyDescent="0.2">
      <c r="B47" s="30"/>
      <c r="C47" s="31"/>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80"/>
    </row>
    <row r="48" spans="2:102" x14ac:dyDescent="0.2">
      <c r="B48" s="30"/>
      <c r="C48" s="31"/>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80"/>
    </row>
    <row r="49" spans="2:102" x14ac:dyDescent="0.2">
      <c r="B49" s="30"/>
      <c r="C49" s="31"/>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79"/>
      <c r="BL49" s="79"/>
      <c r="BM49" s="79"/>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c r="CN49" s="79"/>
      <c r="CO49" s="79"/>
      <c r="CP49" s="79"/>
      <c r="CQ49" s="79"/>
      <c r="CR49" s="79"/>
      <c r="CS49" s="79"/>
      <c r="CT49" s="79"/>
      <c r="CU49" s="79"/>
      <c r="CV49" s="79"/>
      <c r="CW49" s="79"/>
      <c r="CX49" s="80"/>
    </row>
    <row r="50" spans="2:102" x14ac:dyDescent="0.2">
      <c r="B50" s="30"/>
      <c r="C50" s="31"/>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79"/>
      <c r="BL50" s="79"/>
      <c r="BM50" s="79"/>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c r="CN50" s="79"/>
      <c r="CO50" s="79"/>
      <c r="CP50" s="79"/>
      <c r="CQ50" s="79"/>
      <c r="CR50" s="79"/>
      <c r="CS50" s="79"/>
      <c r="CT50" s="79"/>
      <c r="CU50" s="79"/>
      <c r="CV50" s="79"/>
      <c r="CW50" s="79"/>
      <c r="CX50" s="80"/>
    </row>
    <row r="51" spans="2:102" x14ac:dyDescent="0.2">
      <c r="B51" s="30"/>
      <c r="C51" s="31"/>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79"/>
      <c r="BL51" s="79"/>
      <c r="BM51" s="79"/>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c r="CN51" s="79"/>
      <c r="CO51" s="79"/>
      <c r="CP51" s="79"/>
      <c r="CQ51" s="79"/>
      <c r="CR51" s="79"/>
      <c r="CS51" s="79"/>
      <c r="CT51" s="79"/>
      <c r="CU51" s="79"/>
      <c r="CV51" s="79"/>
      <c r="CW51" s="79"/>
      <c r="CX51" s="80"/>
    </row>
    <row r="52" spans="2:102" x14ac:dyDescent="0.2">
      <c r="B52" s="30"/>
      <c r="C52" s="31"/>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79"/>
      <c r="BL52" s="79"/>
      <c r="BM52" s="79"/>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c r="CN52" s="79"/>
      <c r="CO52" s="79"/>
      <c r="CP52" s="79"/>
      <c r="CQ52" s="79"/>
      <c r="CR52" s="79"/>
      <c r="CS52" s="79"/>
      <c r="CT52" s="79"/>
      <c r="CU52" s="79"/>
      <c r="CV52" s="79"/>
      <c r="CW52" s="79"/>
      <c r="CX52" s="80"/>
    </row>
    <row r="53" spans="2:102" x14ac:dyDescent="0.2">
      <c r="B53" s="30"/>
      <c r="C53" s="31"/>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79"/>
      <c r="BL53" s="79"/>
      <c r="BM53" s="79"/>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c r="CN53" s="79"/>
      <c r="CO53" s="79"/>
      <c r="CP53" s="79"/>
      <c r="CQ53" s="79"/>
      <c r="CR53" s="79"/>
      <c r="CS53" s="79"/>
      <c r="CT53" s="79"/>
      <c r="CU53" s="79"/>
      <c r="CV53" s="79"/>
      <c r="CW53" s="79"/>
      <c r="CX53" s="80"/>
    </row>
    <row r="54" spans="2:102" x14ac:dyDescent="0.2">
      <c r="B54" s="30"/>
      <c r="C54" s="31"/>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79"/>
      <c r="BL54" s="79"/>
      <c r="BM54" s="79"/>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c r="CN54" s="79"/>
      <c r="CO54" s="79"/>
      <c r="CP54" s="79"/>
      <c r="CQ54" s="79"/>
      <c r="CR54" s="79"/>
      <c r="CS54" s="79"/>
      <c r="CT54" s="79"/>
      <c r="CU54" s="79"/>
      <c r="CV54" s="79"/>
      <c r="CW54" s="79"/>
      <c r="CX54" s="80"/>
    </row>
    <row r="55" spans="2:102" x14ac:dyDescent="0.2">
      <c r="B55" s="30"/>
      <c r="C55" s="31"/>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79"/>
      <c r="BL55" s="79"/>
      <c r="BM55" s="79"/>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c r="CN55" s="79"/>
      <c r="CO55" s="79"/>
      <c r="CP55" s="79"/>
      <c r="CQ55" s="79"/>
      <c r="CR55" s="79"/>
      <c r="CS55" s="79"/>
      <c r="CT55" s="79"/>
      <c r="CU55" s="79"/>
      <c r="CV55" s="79"/>
      <c r="CW55" s="79"/>
      <c r="CX55" s="80"/>
    </row>
    <row r="56" spans="2:102" x14ac:dyDescent="0.2">
      <c r="B56" s="30"/>
      <c r="C56" s="31"/>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80"/>
    </row>
    <row r="57" spans="2:102" x14ac:dyDescent="0.2">
      <c r="B57" s="30"/>
      <c r="C57" s="31"/>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80"/>
    </row>
    <row r="58" spans="2:102" x14ac:dyDescent="0.2">
      <c r="B58" s="30"/>
      <c r="C58" s="31"/>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80"/>
    </row>
    <row r="59" spans="2:102" x14ac:dyDescent="0.2">
      <c r="B59" s="30"/>
      <c r="C59" s="31"/>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80"/>
    </row>
    <row r="60" spans="2:102" x14ac:dyDescent="0.2">
      <c r="B60" s="30"/>
      <c r="C60" s="31"/>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80"/>
    </row>
    <row r="61" spans="2:102" x14ac:dyDescent="0.2">
      <c r="B61" s="30"/>
      <c r="C61" s="31"/>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80"/>
    </row>
    <row r="62" spans="2:102" x14ac:dyDescent="0.2">
      <c r="B62" s="30"/>
      <c r="C62" s="31"/>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79"/>
      <c r="BL62" s="79"/>
      <c r="BM62" s="79"/>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c r="CN62" s="79"/>
      <c r="CO62" s="79"/>
      <c r="CP62" s="79"/>
      <c r="CQ62" s="79"/>
      <c r="CR62" s="79"/>
      <c r="CS62" s="79"/>
      <c r="CT62" s="79"/>
      <c r="CU62" s="79"/>
      <c r="CV62" s="79"/>
      <c r="CW62" s="79"/>
      <c r="CX62" s="80"/>
    </row>
    <row r="63" spans="2:102" x14ac:dyDescent="0.2">
      <c r="B63" s="30"/>
      <c r="C63" s="31"/>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79"/>
      <c r="BL63" s="79"/>
      <c r="BM63" s="79"/>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c r="CN63" s="79"/>
      <c r="CO63" s="79"/>
      <c r="CP63" s="79"/>
      <c r="CQ63" s="79"/>
      <c r="CR63" s="79"/>
      <c r="CS63" s="79"/>
      <c r="CT63" s="79"/>
      <c r="CU63" s="79"/>
      <c r="CV63" s="79"/>
      <c r="CW63" s="79"/>
      <c r="CX63" s="80"/>
    </row>
    <row r="64" spans="2:102" x14ac:dyDescent="0.2">
      <c r="B64" s="30"/>
      <c r="C64" s="31"/>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79"/>
      <c r="BL64" s="79"/>
      <c r="BM64" s="79"/>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c r="CN64" s="79"/>
      <c r="CO64" s="79"/>
      <c r="CP64" s="79"/>
      <c r="CQ64" s="79"/>
      <c r="CR64" s="79"/>
      <c r="CS64" s="79"/>
      <c r="CT64" s="79"/>
      <c r="CU64" s="79"/>
      <c r="CV64" s="79"/>
      <c r="CW64" s="79"/>
      <c r="CX64" s="80"/>
    </row>
    <row r="65" spans="2:102" x14ac:dyDescent="0.2">
      <c r="B65" s="30"/>
      <c r="C65" s="31"/>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79"/>
      <c r="BL65" s="79"/>
      <c r="BM65" s="79"/>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c r="CN65" s="79"/>
      <c r="CO65" s="79"/>
      <c r="CP65" s="79"/>
      <c r="CQ65" s="79"/>
      <c r="CR65" s="79"/>
      <c r="CS65" s="79"/>
      <c r="CT65" s="79"/>
      <c r="CU65" s="79"/>
      <c r="CV65" s="79"/>
      <c r="CW65" s="79"/>
      <c r="CX65" s="80"/>
    </row>
    <row r="66" spans="2:102" x14ac:dyDescent="0.2">
      <c r="B66" s="30"/>
      <c r="C66" s="31"/>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79"/>
      <c r="BL66" s="79"/>
      <c r="BM66" s="79"/>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c r="CN66" s="79"/>
      <c r="CO66" s="79"/>
      <c r="CP66" s="79"/>
      <c r="CQ66" s="79"/>
      <c r="CR66" s="79"/>
      <c r="CS66" s="79"/>
      <c r="CT66" s="79"/>
      <c r="CU66" s="79"/>
      <c r="CV66" s="79"/>
      <c r="CW66" s="79"/>
      <c r="CX66" s="80"/>
    </row>
    <row r="67" spans="2:102" x14ac:dyDescent="0.2">
      <c r="B67" s="30"/>
      <c r="C67" s="31"/>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79"/>
      <c r="BL67" s="79"/>
      <c r="BM67" s="79"/>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c r="CN67" s="79"/>
      <c r="CO67" s="79"/>
      <c r="CP67" s="79"/>
      <c r="CQ67" s="79"/>
      <c r="CR67" s="79"/>
      <c r="CS67" s="79"/>
      <c r="CT67" s="79"/>
      <c r="CU67" s="79"/>
      <c r="CV67" s="79"/>
      <c r="CW67" s="79"/>
      <c r="CX67" s="80"/>
    </row>
    <row r="68" spans="2:102" x14ac:dyDescent="0.2">
      <c r="B68" s="30"/>
      <c r="C68" s="31"/>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80"/>
    </row>
    <row r="69" spans="2:102" x14ac:dyDescent="0.2">
      <c r="B69" s="30"/>
      <c r="C69" s="31"/>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80"/>
    </row>
    <row r="70" spans="2:102" x14ac:dyDescent="0.2">
      <c r="B70" s="30"/>
      <c r="C70" s="31"/>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80"/>
    </row>
    <row r="71" spans="2:102" x14ac:dyDescent="0.2">
      <c r="B71" s="30"/>
      <c r="C71" s="31"/>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c r="CR71" s="79"/>
      <c r="CS71" s="79"/>
      <c r="CT71" s="79"/>
      <c r="CU71" s="79"/>
      <c r="CV71" s="79"/>
      <c r="CW71" s="79"/>
      <c r="CX71" s="80"/>
    </row>
    <row r="72" spans="2:102" x14ac:dyDescent="0.2">
      <c r="B72" s="30"/>
      <c r="C72" s="31"/>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c r="CR72" s="79"/>
      <c r="CS72" s="79"/>
      <c r="CT72" s="79"/>
      <c r="CU72" s="79"/>
      <c r="CV72" s="79"/>
      <c r="CW72" s="79"/>
      <c r="CX72" s="80"/>
    </row>
    <row r="73" spans="2:102" x14ac:dyDescent="0.2">
      <c r="B73" s="30"/>
      <c r="C73" s="31"/>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79"/>
      <c r="BL73" s="79"/>
      <c r="BM73" s="79"/>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c r="CN73" s="79"/>
      <c r="CO73" s="79"/>
      <c r="CP73" s="79"/>
      <c r="CQ73" s="79"/>
      <c r="CR73" s="79"/>
      <c r="CS73" s="79"/>
      <c r="CT73" s="79"/>
      <c r="CU73" s="79"/>
      <c r="CV73" s="79"/>
      <c r="CW73" s="79"/>
      <c r="CX73" s="80"/>
    </row>
    <row r="74" spans="2:102" x14ac:dyDescent="0.2">
      <c r="B74" s="30"/>
      <c r="C74" s="31"/>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c r="CR74" s="79"/>
      <c r="CS74" s="79"/>
      <c r="CT74" s="79"/>
      <c r="CU74" s="79"/>
      <c r="CV74" s="79"/>
      <c r="CW74" s="79"/>
      <c r="CX74" s="80"/>
    </row>
    <row r="75" spans="2:102" x14ac:dyDescent="0.2">
      <c r="B75" s="30"/>
      <c r="C75" s="31"/>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79"/>
      <c r="BL75" s="79"/>
      <c r="BM75" s="79"/>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c r="CN75" s="79"/>
      <c r="CO75" s="79"/>
      <c r="CP75" s="79"/>
      <c r="CQ75" s="79"/>
      <c r="CR75" s="79"/>
      <c r="CS75" s="79"/>
      <c r="CT75" s="79"/>
      <c r="CU75" s="79"/>
      <c r="CV75" s="79"/>
      <c r="CW75" s="79"/>
      <c r="CX75" s="80"/>
    </row>
    <row r="76" spans="2:102" x14ac:dyDescent="0.2">
      <c r="B76" s="30"/>
      <c r="C76" s="31"/>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79"/>
      <c r="BL76" s="79"/>
      <c r="BM76" s="79"/>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c r="CN76" s="79"/>
      <c r="CO76" s="79"/>
      <c r="CP76" s="79"/>
      <c r="CQ76" s="79"/>
      <c r="CR76" s="79"/>
      <c r="CS76" s="79"/>
      <c r="CT76" s="79"/>
      <c r="CU76" s="79"/>
      <c r="CV76" s="79"/>
      <c r="CW76" s="79"/>
      <c r="CX76" s="80"/>
    </row>
    <row r="77" spans="2:102" x14ac:dyDescent="0.2">
      <c r="B77" s="30"/>
      <c r="C77" s="31"/>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79"/>
      <c r="BL77" s="79"/>
      <c r="BM77" s="79"/>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c r="CN77" s="79"/>
      <c r="CO77" s="79"/>
      <c r="CP77" s="79"/>
      <c r="CQ77" s="79"/>
      <c r="CR77" s="79"/>
      <c r="CS77" s="79"/>
      <c r="CT77" s="79"/>
      <c r="CU77" s="79"/>
      <c r="CV77" s="79"/>
      <c r="CW77" s="79"/>
      <c r="CX77" s="80"/>
    </row>
    <row r="78" spans="2:102" x14ac:dyDescent="0.2">
      <c r="B78" s="30"/>
      <c r="C78" s="31"/>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79"/>
      <c r="BL78" s="79"/>
      <c r="BM78" s="79"/>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c r="CN78" s="79"/>
      <c r="CO78" s="79"/>
      <c r="CP78" s="79"/>
      <c r="CQ78" s="79"/>
      <c r="CR78" s="79"/>
      <c r="CS78" s="79"/>
      <c r="CT78" s="79"/>
      <c r="CU78" s="79"/>
      <c r="CV78" s="79"/>
      <c r="CW78" s="79"/>
      <c r="CX78" s="80"/>
    </row>
    <row r="79" spans="2:102" x14ac:dyDescent="0.2">
      <c r="B79" s="30"/>
      <c r="C79" s="31"/>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79"/>
      <c r="BL79" s="79"/>
      <c r="BM79" s="79"/>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c r="CN79" s="79"/>
      <c r="CO79" s="79"/>
      <c r="CP79" s="79"/>
      <c r="CQ79" s="79"/>
      <c r="CR79" s="79"/>
      <c r="CS79" s="79"/>
      <c r="CT79" s="79"/>
      <c r="CU79" s="79"/>
      <c r="CV79" s="79"/>
      <c r="CW79" s="79"/>
      <c r="CX79" s="80"/>
    </row>
    <row r="80" spans="2:102" x14ac:dyDescent="0.2">
      <c r="B80" s="30"/>
      <c r="C80" s="31"/>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79"/>
      <c r="BL80" s="79"/>
      <c r="BM80" s="79"/>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c r="CN80" s="79"/>
      <c r="CO80" s="79"/>
      <c r="CP80" s="79"/>
      <c r="CQ80" s="79"/>
      <c r="CR80" s="79"/>
      <c r="CS80" s="79"/>
      <c r="CT80" s="79"/>
      <c r="CU80" s="79"/>
      <c r="CV80" s="79"/>
      <c r="CW80" s="79"/>
      <c r="CX80" s="80"/>
    </row>
    <row r="81" spans="2:102" x14ac:dyDescent="0.2">
      <c r="B81" s="30"/>
      <c r="C81" s="31"/>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79"/>
      <c r="BL81" s="79"/>
      <c r="BM81" s="79"/>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c r="CN81" s="79"/>
      <c r="CO81" s="79"/>
      <c r="CP81" s="79"/>
      <c r="CQ81" s="79"/>
      <c r="CR81" s="79"/>
      <c r="CS81" s="79"/>
      <c r="CT81" s="79"/>
      <c r="CU81" s="79"/>
      <c r="CV81" s="79"/>
      <c r="CW81" s="79"/>
      <c r="CX81" s="80"/>
    </row>
    <row r="82" spans="2:102" x14ac:dyDescent="0.2">
      <c r="B82" s="30"/>
      <c r="C82" s="31"/>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79"/>
      <c r="BL82" s="79"/>
      <c r="BM82" s="79"/>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c r="CN82" s="79"/>
      <c r="CO82" s="79"/>
      <c r="CP82" s="79"/>
      <c r="CQ82" s="79"/>
      <c r="CR82" s="79"/>
      <c r="CS82" s="79"/>
      <c r="CT82" s="79"/>
      <c r="CU82" s="79"/>
      <c r="CV82" s="79"/>
      <c r="CW82" s="79"/>
      <c r="CX82" s="80"/>
    </row>
    <row r="83" spans="2:102" x14ac:dyDescent="0.2">
      <c r="B83" s="30"/>
      <c r="C83" s="31"/>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79"/>
      <c r="BL83" s="79"/>
      <c r="BM83" s="79"/>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c r="CN83" s="79"/>
      <c r="CO83" s="79"/>
      <c r="CP83" s="79"/>
      <c r="CQ83" s="79"/>
      <c r="CR83" s="79"/>
      <c r="CS83" s="79"/>
      <c r="CT83" s="79"/>
      <c r="CU83" s="79"/>
      <c r="CV83" s="79"/>
      <c r="CW83" s="79"/>
      <c r="CX83" s="80"/>
    </row>
    <row r="84" spans="2:102" x14ac:dyDescent="0.2">
      <c r="B84" s="30"/>
      <c r="C84" s="31"/>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79"/>
      <c r="BL84" s="79"/>
      <c r="BM84" s="79"/>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c r="CN84" s="79"/>
      <c r="CO84" s="79"/>
      <c r="CP84" s="79"/>
      <c r="CQ84" s="79"/>
      <c r="CR84" s="79"/>
      <c r="CS84" s="79"/>
      <c r="CT84" s="79"/>
      <c r="CU84" s="79"/>
      <c r="CV84" s="79"/>
      <c r="CW84" s="79"/>
      <c r="CX84" s="80"/>
    </row>
    <row r="85" spans="2:102" x14ac:dyDescent="0.2">
      <c r="B85" s="30"/>
      <c r="C85" s="31"/>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79"/>
      <c r="BL85" s="79"/>
      <c r="BM85" s="79"/>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c r="CN85" s="79"/>
      <c r="CO85" s="79"/>
      <c r="CP85" s="79"/>
      <c r="CQ85" s="79"/>
      <c r="CR85" s="79"/>
      <c r="CS85" s="79"/>
      <c r="CT85" s="79"/>
      <c r="CU85" s="79"/>
      <c r="CV85" s="79"/>
      <c r="CW85" s="79"/>
      <c r="CX85" s="80"/>
    </row>
    <row r="86" spans="2:102" x14ac:dyDescent="0.2">
      <c r="B86" s="30"/>
      <c r="C86" s="31"/>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79"/>
      <c r="BL86" s="79"/>
      <c r="BM86" s="79"/>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c r="CN86" s="79"/>
      <c r="CO86" s="79"/>
      <c r="CP86" s="79"/>
      <c r="CQ86" s="79"/>
      <c r="CR86" s="79"/>
      <c r="CS86" s="79"/>
      <c r="CT86" s="79"/>
      <c r="CU86" s="79"/>
      <c r="CV86" s="79"/>
      <c r="CW86" s="79"/>
      <c r="CX86" s="80"/>
    </row>
    <row r="87" spans="2:102" x14ac:dyDescent="0.2">
      <c r="B87" s="30"/>
      <c r="C87" s="31"/>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79"/>
      <c r="BL87" s="79"/>
      <c r="BM87" s="79"/>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c r="CN87" s="79"/>
      <c r="CO87" s="79"/>
      <c r="CP87" s="79"/>
      <c r="CQ87" s="79"/>
      <c r="CR87" s="79"/>
      <c r="CS87" s="79"/>
      <c r="CT87" s="79"/>
      <c r="CU87" s="79"/>
      <c r="CV87" s="79"/>
      <c r="CW87" s="79"/>
      <c r="CX87" s="80"/>
    </row>
    <row r="88" spans="2:102" x14ac:dyDescent="0.2">
      <c r="B88" s="30"/>
      <c r="C88" s="31"/>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79"/>
      <c r="BL88" s="79"/>
      <c r="BM88" s="79"/>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79"/>
      <c r="CQ88" s="79"/>
      <c r="CR88" s="79"/>
      <c r="CS88" s="79"/>
      <c r="CT88" s="79"/>
      <c r="CU88" s="79"/>
      <c r="CV88" s="79"/>
      <c r="CW88" s="79"/>
      <c r="CX88" s="80"/>
    </row>
    <row r="89" spans="2:102" x14ac:dyDescent="0.2">
      <c r="B89" s="30"/>
      <c r="C89" s="31"/>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79"/>
      <c r="BL89" s="79"/>
      <c r="BM89" s="79"/>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c r="CN89" s="79"/>
      <c r="CO89" s="79"/>
      <c r="CP89" s="79"/>
      <c r="CQ89" s="79"/>
      <c r="CR89" s="79"/>
      <c r="CS89" s="79"/>
      <c r="CT89" s="79"/>
      <c r="CU89" s="79"/>
      <c r="CV89" s="79"/>
      <c r="CW89" s="79"/>
      <c r="CX89" s="80"/>
    </row>
    <row r="90" spans="2:102" x14ac:dyDescent="0.2">
      <c r="B90" s="30"/>
      <c r="C90" s="31"/>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79"/>
      <c r="BL90" s="79"/>
      <c r="BM90" s="79"/>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c r="CN90" s="79"/>
      <c r="CO90" s="79"/>
      <c r="CP90" s="79"/>
      <c r="CQ90" s="79"/>
      <c r="CR90" s="79"/>
      <c r="CS90" s="79"/>
      <c r="CT90" s="79"/>
      <c r="CU90" s="79"/>
      <c r="CV90" s="79"/>
      <c r="CW90" s="79"/>
      <c r="CX90" s="80"/>
    </row>
    <row r="91" spans="2:102" x14ac:dyDescent="0.2">
      <c r="B91" s="30"/>
      <c r="C91" s="31"/>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9"/>
      <c r="CS91" s="79"/>
      <c r="CT91" s="79"/>
      <c r="CU91" s="79"/>
      <c r="CV91" s="79"/>
      <c r="CW91" s="79"/>
      <c r="CX91" s="80"/>
    </row>
    <row r="92" spans="2:102" x14ac:dyDescent="0.2">
      <c r="B92" s="30"/>
      <c r="C92" s="31"/>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c r="CR92" s="79"/>
      <c r="CS92" s="79"/>
      <c r="CT92" s="79"/>
      <c r="CU92" s="79"/>
      <c r="CV92" s="79"/>
      <c r="CW92" s="79"/>
      <c r="CX92" s="80"/>
    </row>
    <row r="93" spans="2:102" x14ac:dyDescent="0.2">
      <c r="B93" s="30"/>
      <c r="C93" s="31"/>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c r="CR93" s="79"/>
      <c r="CS93" s="79"/>
      <c r="CT93" s="79"/>
      <c r="CU93" s="79"/>
      <c r="CV93" s="79"/>
      <c r="CW93" s="79"/>
      <c r="CX93" s="80"/>
    </row>
    <row r="94" spans="2:102" x14ac:dyDescent="0.2">
      <c r="B94" s="30"/>
      <c r="C94" s="31"/>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c r="CR94" s="79"/>
      <c r="CS94" s="79"/>
      <c r="CT94" s="79"/>
      <c r="CU94" s="79"/>
      <c r="CV94" s="79"/>
      <c r="CW94" s="79"/>
      <c r="CX94" s="80"/>
    </row>
    <row r="95" spans="2:102" x14ac:dyDescent="0.2">
      <c r="B95" s="30"/>
      <c r="C95" s="31"/>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79"/>
      <c r="BL95" s="79"/>
      <c r="BM95" s="79"/>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c r="CN95" s="79"/>
      <c r="CO95" s="79"/>
      <c r="CP95" s="79"/>
      <c r="CQ95" s="79"/>
      <c r="CR95" s="79"/>
      <c r="CS95" s="79"/>
      <c r="CT95" s="79"/>
      <c r="CU95" s="79"/>
      <c r="CV95" s="79"/>
      <c r="CW95" s="79"/>
      <c r="CX95" s="80"/>
    </row>
    <row r="96" spans="2:102" x14ac:dyDescent="0.2">
      <c r="B96" s="30"/>
      <c r="C96" s="31"/>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79"/>
      <c r="BL96" s="79"/>
      <c r="BM96" s="79"/>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c r="CN96" s="79"/>
      <c r="CO96" s="79"/>
      <c r="CP96" s="79"/>
      <c r="CQ96" s="79"/>
      <c r="CR96" s="79"/>
      <c r="CS96" s="79"/>
      <c r="CT96" s="79"/>
      <c r="CU96" s="79"/>
      <c r="CV96" s="79"/>
      <c r="CW96" s="79"/>
      <c r="CX96" s="80"/>
    </row>
    <row r="97" spans="2:102" x14ac:dyDescent="0.2">
      <c r="B97" s="30"/>
      <c r="C97" s="31"/>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79"/>
      <c r="BL97" s="79"/>
      <c r="BM97" s="79"/>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c r="CN97" s="79"/>
      <c r="CO97" s="79"/>
      <c r="CP97" s="79"/>
      <c r="CQ97" s="79"/>
      <c r="CR97" s="79"/>
      <c r="CS97" s="79"/>
      <c r="CT97" s="79"/>
      <c r="CU97" s="79"/>
      <c r="CV97" s="79"/>
      <c r="CW97" s="79"/>
      <c r="CX97" s="80"/>
    </row>
    <row r="98" spans="2:102" x14ac:dyDescent="0.2">
      <c r="B98" s="30"/>
      <c r="C98" s="31"/>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79"/>
      <c r="BL98" s="79"/>
      <c r="BM98" s="79"/>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c r="CN98" s="79"/>
      <c r="CO98" s="79"/>
      <c r="CP98" s="79"/>
      <c r="CQ98" s="79"/>
      <c r="CR98" s="79"/>
      <c r="CS98" s="79"/>
      <c r="CT98" s="79"/>
      <c r="CU98" s="79"/>
      <c r="CV98" s="79"/>
      <c r="CW98" s="79"/>
      <c r="CX98" s="80"/>
    </row>
    <row r="99" spans="2:102" x14ac:dyDescent="0.2">
      <c r="B99" s="30"/>
      <c r="C99" s="31"/>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79"/>
      <c r="BL99" s="79"/>
      <c r="BM99" s="79"/>
      <c r="BN99" s="79"/>
      <c r="BO99" s="79"/>
      <c r="BP99" s="79"/>
      <c r="BQ99" s="79"/>
      <c r="BR99" s="79"/>
      <c r="BS99" s="79"/>
      <c r="BT99" s="79"/>
      <c r="BU99" s="79"/>
      <c r="BV99" s="79"/>
      <c r="BW99" s="79"/>
      <c r="BX99" s="79"/>
      <c r="BY99" s="79"/>
      <c r="BZ99" s="79"/>
      <c r="CA99" s="79"/>
      <c r="CB99" s="79"/>
      <c r="CC99" s="79"/>
      <c r="CD99" s="79"/>
      <c r="CE99" s="79"/>
      <c r="CF99" s="79"/>
      <c r="CG99" s="79"/>
      <c r="CH99" s="79"/>
      <c r="CI99" s="79"/>
      <c r="CJ99" s="79"/>
      <c r="CK99" s="79"/>
      <c r="CL99" s="79"/>
      <c r="CM99" s="79"/>
      <c r="CN99" s="79"/>
      <c r="CO99" s="79"/>
      <c r="CP99" s="79"/>
      <c r="CQ99" s="79"/>
      <c r="CR99" s="79"/>
      <c r="CS99" s="79"/>
      <c r="CT99" s="79"/>
      <c r="CU99" s="79"/>
      <c r="CV99" s="79"/>
      <c r="CW99" s="79"/>
      <c r="CX99" s="80"/>
    </row>
    <row r="100" spans="2:102" x14ac:dyDescent="0.2">
      <c r="B100" s="30"/>
      <c r="C100" s="31"/>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79"/>
      <c r="BL100" s="79"/>
      <c r="BM100" s="79"/>
      <c r="BN100" s="79"/>
      <c r="BO100" s="79"/>
      <c r="BP100" s="79"/>
      <c r="BQ100" s="79"/>
      <c r="BR100" s="79"/>
      <c r="BS100" s="79"/>
      <c r="BT100" s="79"/>
      <c r="BU100" s="79"/>
      <c r="BV100" s="79"/>
      <c r="BW100" s="79"/>
      <c r="BX100" s="79"/>
      <c r="BY100" s="79"/>
      <c r="BZ100" s="79"/>
      <c r="CA100" s="79"/>
      <c r="CB100" s="79"/>
      <c r="CC100" s="79"/>
      <c r="CD100" s="79"/>
      <c r="CE100" s="79"/>
      <c r="CF100" s="79"/>
      <c r="CG100" s="79"/>
      <c r="CH100" s="79"/>
      <c r="CI100" s="79"/>
      <c r="CJ100" s="79"/>
      <c r="CK100" s="79"/>
      <c r="CL100" s="79"/>
      <c r="CM100" s="79"/>
      <c r="CN100" s="79"/>
      <c r="CO100" s="79"/>
      <c r="CP100" s="79"/>
      <c r="CQ100" s="79"/>
      <c r="CR100" s="79"/>
      <c r="CS100" s="79"/>
      <c r="CT100" s="79"/>
      <c r="CU100" s="79"/>
      <c r="CV100" s="79"/>
      <c r="CW100" s="79"/>
      <c r="CX100" s="80"/>
    </row>
    <row r="101" spans="2:102" x14ac:dyDescent="0.2">
      <c r="B101" s="30"/>
      <c r="C101" s="31"/>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79"/>
      <c r="BL101" s="79"/>
      <c r="BM101" s="79"/>
      <c r="BN101" s="79"/>
      <c r="BO101" s="79"/>
      <c r="BP101" s="79"/>
      <c r="BQ101" s="79"/>
      <c r="BR101" s="79"/>
      <c r="BS101" s="79"/>
      <c r="BT101" s="79"/>
      <c r="BU101" s="79"/>
      <c r="BV101" s="79"/>
      <c r="BW101" s="79"/>
      <c r="BX101" s="79"/>
      <c r="BY101" s="79"/>
      <c r="BZ101" s="79"/>
      <c r="CA101" s="79"/>
      <c r="CB101" s="79"/>
      <c r="CC101" s="79"/>
      <c r="CD101" s="79"/>
      <c r="CE101" s="79"/>
      <c r="CF101" s="79"/>
      <c r="CG101" s="79"/>
      <c r="CH101" s="79"/>
      <c r="CI101" s="79"/>
      <c r="CJ101" s="79"/>
      <c r="CK101" s="79"/>
      <c r="CL101" s="79"/>
      <c r="CM101" s="79"/>
      <c r="CN101" s="79"/>
      <c r="CO101" s="79"/>
      <c r="CP101" s="79"/>
      <c r="CQ101" s="79"/>
      <c r="CR101" s="79"/>
      <c r="CS101" s="79"/>
      <c r="CT101" s="79"/>
      <c r="CU101" s="79"/>
      <c r="CV101" s="79"/>
      <c r="CW101" s="79"/>
      <c r="CX101" s="80"/>
    </row>
    <row r="102" spans="2:102" x14ac:dyDescent="0.2">
      <c r="B102" s="30"/>
      <c r="C102" s="31"/>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79"/>
      <c r="BL102" s="79"/>
      <c r="BM102" s="79"/>
      <c r="BN102" s="79"/>
      <c r="BO102" s="79"/>
      <c r="BP102" s="79"/>
      <c r="BQ102" s="79"/>
      <c r="BR102" s="79"/>
      <c r="BS102" s="79"/>
      <c r="BT102" s="79"/>
      <c r="BU102" s="79"/>
      <c r="BV102" s="79"/>
      <c r="BW102" s="79"/>
      <c r="BX102" s="79"/>
      <c r="BY102" s="79"/>
      <c r="BZ102" s="79"/>
      <c r="CA102" s="79"/>
      <c r="CB102" s="79"/>
      <c r="CC102" s="79"/>
      <c r="CD102" s="79"/>
      <c r="CE102" s="79"/>
      <c r="CF102" s="79"/>
      <c r="CG102" s="79"/>
      <c r="CH102" s="79"/>
      <c r="CI102" s="79"/>
      <c r="CJ102" s="79"/>
      <c r="CK102" s="79"/>
      <c r="CL102" s="79"/>
      <c r="CM102" s="79"/>
      <c r="CN102" s="79"/>
      <c r="CO102" s="79"/>
      <c r="CP102" s="79"/>
      <c r="CQ102" s="79"/>
      <c r="CR102" s="79"/>
      <c r="CS102" s="79"/>
      <c r="CT102" s="79"/>
      <c r="CU102" s="79"/>
      <c r="CV102" s="79"/>
      <c r="CW102" s="79"/>
      <c r="CX102" s="80"/>
    </row>
    <row r="103" spans="2:102" x14ac:dyDescent="0.2">
      <c r="B103" s="177"/>
      <c r="C103" s="81"/>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c r="AO103" s="79"/>
      <c r="AP103" s="79"/>
      <c r="AQ103" s="79"/>
      <c r="AR103" s="79"/>
      <c r="AS103" s="79"/>
      <c r="AT103" s="79"/>
      <c r="AU103" s="79"/>
      <c r="AV103" s="79"/>
      <c r="AW103" s="79"/>
      <c r="AX103" s="79"/>
      <c r="AY103" s="79"/>
      <c r="AZ103" s="79"/>
      <c r="BA103" s="79"/>
      <c r="BB103" s="79"/>
      <c r="BC103" s="79"/>
      <c r="BD103" s="79"/>
      <c r="BE103" s="79"/>
      <c r="BF103" s="79"/>
      <c r="BG103" s="79"/>
      <c r="BH103" s="79"/>
      <c r="BI103" s="79"/>
      <c r="BJ103" s="79"/>
      <c r="BK103" s="79"/>
      <c r="BL103" s="79"/>
      <c r="BM103" s="79"/>
      <c r="BN103" s="79"/>
      <c r="BO103" s="79"/>
      <c r="BP103" s="79"/>
      <c r="BQ103" s="79"/>
      <c r="BR103" s="79"/>
      <c r="BS103" s="79"/>
      <c r="BT103" s="79"/>
      <c r="BU103" s="79"/>
      <c r="BV103" s="79"/>
      <c r="BW103" s="79"/>
      <c r="BX103" s="79"/>
      <c r="BY103" s="79"/>
      <c r="BZ103" s="79"/>
      <c r="CA103" s="79"/>
      <c r="CB103" s="79"/>
      <c r="CC103" s="79"/>
      <c r="CD103" s="79"/>
      <c r="CE103" s="79"/>
      <c r="CF103" s="79"/>
      <c r="CG103" s="79"/>
      <c r="CH103" s="79"/>
      <c r="CI103" s="79"/>
      <c r="CJ103" s="79"/>
      <c r="CK103" s="79"/>
      <c r="CL103" s="79"/>
      <c r="CM103" s="79"/>
      <c r="CN103" s="79"/>
      <c r="CO103" s="79"/>
      <c r="CP103" s="79"/>
      <c r="CQ103" s="79"/>
      <c r="CR103" s="79"/>
      <c r="CS103" s="79"/>
      <c r="CT103" s="79"/>
      <c r="CU103" s="79"/>
      <c r="CV103" s="79"/>
      <c r="CW103" s="79"/>
      <c r="CX103" s="80"/>
    </row>
    <row r="104" spans="2:102" x14ac:dyDescent="0.2">
      <c r="B104" s="177"/>
      <c r="C104" s="81"/>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79"/>
      <c r="AU104" s="79"/>
      <c r="AV104" s="79"/>
      <c r="AW104" s="79"/>
      <c r="AX104" s="79"/>
      <c r="AY104" s="79"/>
      <c r="AZ104" s="79"/>
      <c r="BA104" s="79"/>
      <c r="BB104" s="79"/>
      <c r="BC104" s="79"/>
      <c r="BD104" s="79"/>
      <c r="BE104" s="79"/>
      <c r="BF104" s="79"/>
      <c r="BG104" s="79"/>
      <c r="BH104" s="79"/>
      <c r="BI104" s="79"/>
      <c r="BJ104" s="79"/>
      <c r="BK104" s="79"/>
      <c r="BL104" s="79"/>
      <c r="BM104" s="79"/>
      <c r="BN104" s="79"/>
      <c r="BO104" s="79"/>
      <c r="BP104" s="79"/>
      <c r="BQ104" s="79"/>
      <c r="BR104" s="79"/>
      <c r="BS104" s="79"/>
      <c r="BT104" s="79"/>
      <c r="BU104" s="79"/>
      <c r="BV104" s="79"/>
      <c r="BW104" s="79"/>
      <c r="BX104" s="79"/>
      <c r="BY104" s="79"/>
      <c r="BZ104" s="79"/>
      <c r="CA104" s="79"/>
      <c r="CB104" s="79"/>
      <c r="CC104" s="79"/>
      <c r="CD104" s="79"/>
      <c r="CE104" s="79"/>
      <c r="CF104" s="79"/>
      <c r="CG104" s="79"/>
      <c r="CH104" s="79"/>
      <c r="CI104" s="79"/>
      <c r="CJ104" s="79"/>
      <c r="CK104" s="79"/>
      <c r="CL104" s="79"/>
      <c r="CM104" s="79"/>
      <c r="CN104" s="79"/>
      <c r="CO104" s="79"/>
      <c r="CP104" s="79"/>
      <c r="CQ104" s="79"/>
      <c r="CR104" s="79"/>
      <c r="CS104" s="79"/>
      <c r="CT104" s="79"/>
      <c r="CU104" s="79"/>
      <c r="CV104" s="79"/>
      <c r="CW104" s="79"/>
      <c r="CX104" s="80"/>
    </row>
    <row r="105" spans="2:102" x14ac:dyDescent="0.2">
      <c r="B105" s="177"/>
      <c r="C105" s="81"/>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c r="AO105" s="79"/>
      <c r="AP105" s="79"/>
      <c r="AQ105" s="79"/>
      <c r="AR105" s="79"/>
      <c r="AS105" s="79"/>
      <c r="AT105" s="79"/>
      <c r="AU105" s="79"/>
      <c r="AV105" s="79"/>
      <c r="AW105" s="79"/>
      <c r="AX105" s="79"/>
      <c r="AY105" s="79"/>
      <c r="AZ105" s="79"/>
      <c r="BA105" s="79"/>
      <c r="BB105" s="79"/>
      <c r="BC105" s="79"/>
      <c r="BD105" s="79"/>
      <c r="BE105" s="79"/>
      <c r="BF105" s="79"/>
      <c r="BG105" s="79"/>
      <c r="BH105" s="79"/>
      <c r="BI105" s="79"/>
      <c r="BJ105" s="79"/>
      <c r="BK105" s="79"/>
      <c r="BL105" s="79"/>
      <c r="BM105" s="79"/>
      <c r="BN105" s="79"/>
      <c r="BO105" s="79"/>
      <c r="BP105" s="79"/>
      <c r="BQ105" s="79"/>
      <c r="BR105" s="79"/>
      <c r="BS105" s="79"/>
      <c r="BT105" s="79"/>
      <c r="BU105" s="79"/>
      <c r="BV105" s="79"/>
      <c r="BW105" s="79"/>
      <c r="BX105" s="79"/>
      <c r="BY105" s="79"/>
      <c r="BZ105" s="79"/>
      <c r="CA105" s="79"/>
      <c r="CB105" s="79"/>
      <c r="CC105" s="79"/>
      <c r="CD105" s="79"/>
      <c r="CE105" s="79"/>
      <c r="CF105" s="79"/>
      <c r="CG105" s="79"/>
      <c r="CH105" s="79"/>
      <c r="CI105" s="79"/>
      <c r="CJ105" s="79"/>
      <c r="CK105" s="79"/>
      <c r="CL105" s="79"/>
      <c r="CM105" s="79"/>
      <c r="CN105" s="79"/>
      <c r="CO105" s="79"/>
      <c r="CP105" s="79"/>
      <c r="CQ105" s="79"/>
      <c r="CR105" s="79"/>
      <c r="CS105" s="79"/>
      <c r="CT105" s="79"/>
      <c r="CU105" s="79"/>
      <c r="CV105" s="79"/>
      <c r="CW105" s="79"/>
      <c r="CX105" s="80"/>
    </row>
    <row r="106" spans="2:102" x14ac:dyDescent="0.2">
      <c r="B106" s="177"/>
      <c r="C106" s="81"/>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c r="AO106" s="79"/>
      <c r="AP106" s="79"/>
      <c r="AQ106" s="79"/>
      <c r="AR106" s="79"/>
      <c r="AS106" s="79"/>
      <c r="AT106" s="79"/>
      <c r="AU106" s="79"/>
      <c r="AV106" s="79"/>
      <c r="AW106" s="79"/>
      <c r="AX106" s="79"/>
      <c r="AY106" s="79"/>
      <c r="AZ106" s="79"/>
      <c r="BA106" s="79"/>
      <c r="BB106" s="79"/>
      <c r="BC106" s="79"/>
      <c r="BD106" s="79"/>
      <c r="BE106" s="79"/>
      <c r="BF106" s="79"/>
      <c r="BG106" s="79"/>
      <c r="BH106" s="79"/>
      <c r="BI106" s="79"/>
      <c r="BJ106" s="79"/>
      <c r="BK106" s="79"/>
      <c r="BL106" s="79"/>
      <c r="BM106" s="79"/>
      <c r="BN106" s="79"/>
      <c r="BO106" s="79"/>
      <c r="BP106" s="79"/>
      <c r="BQ106" s="79"/>
      <c r="BR106" s="79"/>
      <c r="BS106" s="79"/>
      <c r="BT106" s="79"/>
      <c r="BU106" s="79"/>
      <c r="BV106" s="79"/>
      <c r="BW106" s="79"/>
      <c r="BX106" s="79"/>
      <c r="BY106" s="79"/>
      <c r="BZ106" s="79"/>
      <c r="CA106" s="79"/>
      <c r="CB106" s="79"/>
      <c r="CC106" s="79"/>
      <c r="CD106" s="79"/>
      <c r="CE106" s="79"/>
      <c r="CF106" s="79"/>
      <c r="CG106" s="79"/>
      <c r="CH106" s="79"/>
      <c r="CI106" s="79"/>
      <c r="CJ106" s="79"/>
      <c r="CK106" s="79"/>
      <c r="CL106" s="79"/>
      <c r="CM106" s="79"/>
      <c r="CN106" s="79"/>
      <c r="CO106" s="79"/>
      <c r="CP106" s="79"/>
      <c r="CQ106" s="79"/>
      <c r="CR106" s="79"/>
      <c r="CS106" s="79"/>
      <c r="CT106" s="79"/>
      <c r="CU106" s="79"/>
      <c r="CV106" s="79"/>
      <c r="CW106" s="79"/>
      <c r="CX106" s="80"/>
    </row>
    <row r="107" spans="2:102" x14ac:dyDescent="0.2">
      <c r="B107" s="177"/>
      <c r="C107" s="81"/>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c r="AX107" s="79"/>
      <c r="AY107" s="79"/>
      <c r="AZ107" s="79"/>
      <c r="BA107" s="79"/>
      <c r="BB107" s="79"/>
      <c r="BC107" s="79"/>
      <c r="BD107" s="79"/>
      <c r="BE107" s="79"/>
      <c r="BF107" s="79"/>
      <c r="BG107" s="79"/>
      <c r="BH107" s="79"/>
      <c r="BI107" s="79"/>
      <c r="BJ107" s="79"/>
      <c r="BK107" s="79"/>
      <c r="BL107" s="79"/>
      <c r="BM107" s="79"/>
      <c r="BN107" s="79"/>
      <c r="BO107" s="79"/>
      <c r="BP107" s="79"/>
      <c r="BQ107" s="79"/>
      <c r="BR107" s="79"/>
      <c r="BS107" s="79"/>
      <c r="BT107" s="79"/>
      <c r="BU107" s="79"/>
      <c r="BV107" s="79"/>
      <c r="BW107" s="79"/>
      <c r="BX107" s="79"/>
      <c r="BY107" s="79"/>
      <c r="BZ107" s="79"/>
      <c r="CA107" s="79"/>
      <c r="CB107" s="79"/>
      <c r="CC107" s="79"/>
      <c r="CD107" s="79"/>
      <c r="CE107" s="79"/>
      <c r="CF107" s="79"/>
      <c r="CG107" s="79"/>
      <c r="CH107" s="79"/>
      <c r="CI107" s="79"/>
      <c r="CJ107" s="79"/>
      <c r="CK107" s="79"/>
      <c r="CL107" s="79"/>
      <c r="CM107" s="79"/>
      <c r="CN107" s="79"/>
      <c r="CO107" s="79"/>
      <c r="CP107" s="79"/>
      <c r="CQ107" s="79"/>
      <c r="CR107" s="79"/>
      <c r="CS107" s="79"/>
      <c r="CT107" s="79"/>
      <c r="CU107" s="79"/>
      <c r="CV107" s="79"/>
      <c r="CW107" s="79"/>
      <c r="CX107" s="80"/>
    </row>
    <row r="108" spans="2:102" x14ac:dyDescent="0.2">
      <c r="B108" s="177"/>
      <c r="C108" s="81"/>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c r="AX108" s="79"/>
      <c r="AY108" s="79"/>
      <c r="AZ108" s="79"/>
      <c r="BA108" s="79"/>
      <c r="BB108" s="79"/>
      <c r="BC108" s="79"/>
      <c r="BD108" s="79"/>
      <c r="BE108" s="79"/>
      <c r="BF108" s="79"/>
      <c r="BG108" s="79"/>
      <c r="BH108" s="79"/>
      <c r="BI108" s="79"/>
      <c r="BJ108" s="79"/>
      <c r="BK108" s="79"/>
      <c r="BL108" s="79"/>
      <c r="BM108" s="79"/>
      <c r="BN108" s="79"/>
      <c r="BO108" s="79"/>
      <c r="BP108" s="79"/>
      <c r="BQ108" s="79"/>
      <c r="BR108" s="79"/>
      <c r="BS108" s="79"/>
      <c r="BT108" s="79"/>
      <c r="BU108" s="79"/>
      <c r="BV108" s="79"/>
      <c r="BW108" s="79"/>
      <c r="BX108" s="79"/>
      <c r="BY108" s="79"/>
      <c r="BZ108" s="79"/>
      <c r="CA108" s="79"/>
      <c r="CB108" s="79"/>
      <c r="CC108" s="79"/>
      <c r="CD108" s="79"/>
      <c r="CE108" s="79"/>
      <c r="CF108" s="79"/>
      <c r="CG108" s="79"/>
      <c r="CH108" s="79"/>
      <c r="CI108" s="79"/>
      <c r="CJ108" s="79"/>
      <c r="CK108" s="79"/>
      <c r="CL108" s="79"/>
      <c r="CM108" s="79"/>
      <c r="CN108" s="79"/>
      <c r="CO108" s="79"/>
      <c r="CP108" s="79"/>
      <c r="CQ108" s="79"/>
      <c r="CR108" s="79"/>
      <c r="CS108" s="79"/>
      <c r="CT108" s="79"/>
      <c r="CU108" s="79"/>
      <c r="CV108" s="79"/>
      <c r="CW108" s="79"/>
      <c r="CX108" s="80"/>
    </row>
    <row r="109" spans="2:102" x14ac:dyDescent="0.2">
      <c r="B109" s="177"/>
      <c r="C109" s="81"/>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c r="AO109" s="79"/>
      <c r="AP109" s="79"/>
      <c r="AQ109" s="79"/>
      <c r="AR109" s="79"/>
      <c r="AS109" s="79"/>
      <c r="AT109" s="79"/>
      <c r="AU109" s="79"/>
      <c r="AV109" s="79"/>
      <c r="AW109" s="79"/>
      <c r="AX109" s="79"/>
      <c r="AY109" s="79"/>
      <c r="AZ109" s="79"/>
      <c r="BA109" s="79"/>
      <c r="BB109" s="79"/>
      <c r="BC109" s="79"/>
      <c r="BD109" s="79"/>
      <c r="BE109" s="79"/>
      <c r="BF109" s="79"/>
      <c r="BG109" s="79"/>
      <c r="BH109" s="79"/>
      <c r="BI109" s="79"/>
      <c r="BJ109" s="79"/>
      <c r="BK109" s="79"/>
      <c r="BL109" s="79"/>
      <c r="BM109" s="79"/>
      <c r="BN109" s="79"/>
      <c r="BO109" s="79"/>
      <c r="BP109" s="79"/>
      <c r="BQ109" s="79"/>
      <c r="BR109" s="79"/>
      <c r="BS109" s="79"/>
      <c r="BT109" s="79"/>
      <c r="BU109" s="79"/>
      <c r="BV109" s="79"/>
      <c r="BW109" s="79"/>
      <c r="BX109" s="79"/>
      <c r="BY109" s="79"/>
      <c r="BZ109" s="79"/>
      <c r="CA109" s="79"/>
      <c r="CB109" s="79"/>
      <c r="CC109" s="79"/>
      <c r="CD109" s="79"/>
      <c r="CE109" s="79"/>
      <c r="CF109" s="79"/>
      <c r="CG109" s="79"/>
      <c r="CH109" s="79"/>
      <c r="CI109" s="79"/>
      <c r="CJ109" s="79"/>
      <c r="CK109" s="79"/>
      <c r="CL109" s="79"/>
      <c r="CM109" s="79"/>
      <c r="CN109" s="79"/>
      <c r="CO109" s="79"/>
      <c r="CP109" s="79"/>
      <c r="CQ109" s="79"/>
      <c r="CR109" s="79"/>
      <c r="CS109" s="79"/>
      <c r="CT109" s="79"/>
      <c r="CU109" s="79"/>
      <c r="CV109" s="79"/>
      <c r="CW109" s="79"/>
      <c r="CX109" s="80"/>
    </row>
    <row r="110" spans="2:102" x14ac:dyDescent="0.2">
      <c r="B110" s="177"/>
      <c r="C110" s="81"/>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c r="AO110" s="79"/>
      <c r="AP110" s="79"/>
      <c r="AQ110" s="79"/>
      <c r="AR110" s="79"/>
      <c r="AS110" s="79"/>
      <c r="AT110" s="79"/>
      <c r="AU110" s="79"/>
      <c r="AV110" s="79"/>
      <c r="AW110" s="79"/>
      <c r="AX110" s="79"/>
      <c r="AY110" s="79"/>
      <c r="AZ110" s="79"/>
      <c r="BA110" s="79"/>
      <c r="BB110" s="79"/>
      <c r="BC110" s="79"/>
      <c r="BD110" s="79"/>
      <c r="BE110" s="79"/>
      <c r="BF110" s="79"/>
      <c r="BG110" s="79"/>
      <c r="BH110" s="79"/>
      <c r="BI110" s="79"/>
      <c r="BJ110" s="79"/>
      <c r="BK110" s="79"/>
      <c r="BL110" s="79"/>
      <c r="BM110" s="79"/>
      <c r="BN110" s="79"/>
      <c r="BO110" s="79"/>
      <c r="BP110" s="79"/>
      <c r="BQ110" s="79"/>
      <c r="BR110" s="79"/>
      <c r="BS110" s="79"/>
      <c r="BT110" s="79"/>
      <c r="BU110" s="79"/>
      <c r="BV110" s="79"/>
      <c r="BW110" s="79"/>
      <c r="BX110" s="79"/>
      <c r="BY110" s="79"/>
      <c r="BZ110" s="79"/>
      <c r="CA110" s="79"/>
      <c r="CB110" s="79"/>
      <c r="CC110" s="79"/>
      <c r="CD110" s="79"/>
      <c r="CE110" s="79"/>
      <c r="CF110" s="79"/>
      <c r="CG110" s="79"/>
      <c r="CH110" s="79"/>
      <c r="CI110" s="79"/>
      <c r="CJ110" s="79"/>
      <c r="CK110" s="79"/>
      <c r="CL110" s="79"/>
      <c r="CM110" s="79"/>
      <c r="CN110" s="79"/>
      <c r="CO110" s="79"/>
      <c r="CP110" s="79"/>
      <c r="CQ110" s="79"/>
      <c r="CR110" s="79"/>
      <c r="CS110" s="79"/>
      <c r="CT110" s="79"/>
      <c r="CU110" s="79"/>
      <c r="CV110" s="79"/>
      <c r="CW110" s="79"/>
      <c r="CX110" s="80"/>
    </row>
    <row r="111" spans="2:102" x14ac:dyDescent="0.2">
      <c r="B111" s="177"/>
      <c r="C111" s="81"/>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c r="AO111" s="79"/>
      <c r="AP111" s="79"/>
      <c r="AQ111" s="79"/>
      <c r="AR111" s="79"/>
      <c r="AS111" s="79"/>
      <c r="AT111" s="79"/>
      <c r="AU111" s="79"/>
      <c r="AV111" s="79"/>
      <c r="AW111" s="79"/>
      <c r="AX111" s="79"/>
      <c r="AY111" s="79"/>
      <c r="AZ111" s="79"/>
      <c r="BA111" s="79"/>
      <c r="BB111" s="79"/>
      <c r="BC111" s="79"/>
      <c r="BD111" s="79"/>
      <c r="BE111" s="79"/>
      <c r="BF111" s="79"/>
      <c r="BG111" s="79"/>
      <c r="BH111" s="79"/>
      <c r="BI111" s="79"/>
      <c r="BJ111" s="79"/>
      <c r="BK111" s="79"/>
      <c r="BL111" s="79"/>
      <c r="BM111" s="79"/>
      <c r="BN111" s="79"/>
      <c r="BO111" s="79"/>
      <c r="BP111" s="79"/>
      <c r="BQ111" s="79"/>
      <c r="BR111" s="79"/>
      <c r="BS111" s="79"/>
      <c r="BT111" s="79"/>
      <c r="BU111" s="79"/>
      <c r="BV111" s="79"/>
      <c r="BW111" s="79"/>
      <c r="BX111" s="79"/>
      <c r="BY111" s="79"/>
      <c r="BZ111" s="79"/>
      <c r="CA111" s="79"/>
      <c r="CB111" s="79"/>
      <c r="CC111" s="79"/>
      <c r="CD111" s="79"/>
      <c r="CE111" s="79"/>
      <c r="CF111" s="79"/>
      <c r="CG111" s="79"/>
      <c r="CH111" s="79"/>
      <c r="CI111" s="79"/>
      <c r="CJ111" s="79"/>
      <c r="CK111" s="79"/>
      <c r="CL111" s="79"/>
      <c r="CM111" s="79"/>
      <c r="CN111" s="79"/>
      <c r="CO111" s="79"/>
      <c r="CP111" s="79"/>
      <c r="CQ111" s="79"/>
      <c r="CR111" s="79"/>
      <c r="CS111" s="79"/>
      <c r="CT111" s="79"/>
      <c r="CU111" s="79"/>
      <c r="CV111" s="79"/>
      <c r="CW111" s="79"/>
      <c r="CX111" s="80"/>
    </row>
    <row r="112" spans="2:102" x14ac:dyDescent="0.2">
      <c r="B112" s="177"/>
      <c r="C112" s="81"/>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c r="AO112" s="79"/>
      <c r="AP112" s="79"/>
      <c r="AQ112" s="79"/>
      <c r="AR112" s="79"/>
      <c r="AS112" s="79"/>
      <c r="AT112" s="79"/>
      <c r="AU112" s="79"/>
      <c r="AV112" s="79"/>
      <c r="AW112" s="79"/>
      <c r="AX112" s="79"/>
      <c r="AY112" s="79"/>
      <c r="AZ112" s="79"/>
      <c r="BA112" s="79"/>
      <c r="BB112" s="79"/>
      <c r="BC112" s="79"/>
      <c r="BD112" s="79"/>
      <c r="BE112" s="79"/>
      <c r="BF112" s="79"/>
      <c r="BG112" s="79"/>
      <c r="BH112" s="79"/>
      <c r="BI112" s="79"/>
      <c r="BJ112" s="79"/>
      <c r="BK112" s="79"/>
      <c r="BL112" s="79"/>
      <c r="BM112" s="79"/>
      <c r="BN112" s="79"/>
      <c r="BO112" s="79"/>
      <c r="BP112" s="79"/>
      <c r="BQ112" s="79"/>
      <c r="BR112" s="79"/>
      <c r="BS112" s="79"/>
      <c r="BT112" s="79"/>
      <c r="BU112" s="79"/>
      <c r="BV112" s="79"/>
      <c r="BW112" s="79"/>
      <c r="BX112" s="79"/>
      <c r="BY112" s="79"/>
      <c r="BZ112" s="79"/>
      <c r="CA112" s="79"/>
      <c r="CB112" s="79"/>
      <c r="CC112" s="79"/>
      <c r="CD112" s="79"/>
      <c r="CE112" s="79"/>
      <c r="CF112" s="79"/>
      <c r="CG112" s="79"/>
      <c r="CH112" s="79"/>
      <c r="CI112" s="79"/>
      <c r="CJ112" s="79"/>
      <c r="CK112" s="79"/>
      <c r="CL112" s="79"/>
      <c r="CM112" s="79"/>
      <c r="CN112" s="79"/>
      <c r="CO112" s="79"/>
      <c r="CP112" s="79"/>
      <c r="CQ112" s="79"/>
      <c r="CR112" s="79"/>
      <c r="CS112" s="79"/>
      <c r="CT112" s="79"/>
      <c r="CU112" s="79"/>
      <c r="CV112" s="79"/>
      <c r="CW112" s="79"/>
      <c r="CX112" s="80"/>
    </row>
    <row r="113" spans="2:102" x14ac:dyDescent="0.2">
      <c r="B113" s="177"/>
      <c r="C113" s="81"/>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c r="AO113" s="79"/>
      <c r="AP113" s="79"/>
      <c r="AQ113" s="79"/>
      <c r="AR113" s="79"/>
      <c r="AS113" s="79"/>
      <c r="AT113" s="79"/>
      <c r="AU113" s="79"/>
      <c r="AV113" s="79"/>
      <c r="AW113" s="79"/>
      <c r="AX113" s="79"/>
      <c r="AY113" s="79"/>
      <c r="AZ113" s="79"/>
      <c r="BA113" s="79"/>
      <c r="BB113" s="79"/>
      <c r="BC113" s="79"/>
      <c r="BD113" s="79"/>
      <c r="BE113" s="79"/>
      <c r="BF113" s="79"/>
      <c r="BG113" s="79"/>
      <c r="BH113" s="79"/>
      <c r="BI113" s="79"/>
      <c r="BJ113" s="79"/>
      <c r="BK113" s="79"/>
      <c r="BL113" s="79"/>
      <c r="BM113" s="79"/>
      <c r="BN113" s="79"/>
      <c r="BO113" s="79"/>
      <c r="BP113" s="79"/>
      <c r="BQ113" s="79"/>
      <c r="BR113" s="79"/>
      <c r="BS113" s="79"/>
      <c r="BT113" s="79"/>
      <c r="BU113" s="79"/>
      <c r="BV113" s="79"/>
      <c r="BW113" s="79"/>
      <c r="BX113" s="79"/>
      <c r="BY113" s="79"/>
      <c r="BZ113" s="79"/>
      <c r="CA113" s="79"/>
      <c r="CB113" s="79"/>
      <c r="CC113" s="79"/>
      <c r="CD113" s="79"/>
      <c r="CE113" s="79"/>
      <c r="CF113" s="79"/>
      <c r="CG113" s="79"/>
      <c r="CH113" s="79"/>
      <c r="CI113" s="79"/>
      <c r="CJ113" s="79"/>
      <c r="CK113" s="79"/>
      <c r="CL113" s="79"/>
      <c r="CM113" s="79"/>
      <c r="CN113" s="79"/>
      <c r="CO113" s="79"/>
      <c r="CP113" s="79"/>
      <c r="CQ113" s="79"/>
      <c r="CR113" s="79"/>
      <c r="CS113" s="79"/>
      <c r="CT113" s="79"/>
      <c r="CU113" s="79"/>
      <c r="CV113" s="79"/>
      <c r="CW113" s="79"/>
      <c r="CX113" s="80"/>
    </row>
    <row r="114" spans="2:102" x14ac:dyDescent="0.2">
      <c r="B114" s="177"/>
      <c r="C114" s="81"/>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79"/>
      <c r="AU114" s="79"/>
      <c r="AV114" s="79"/>
      <c r="AW114" s="79"/>
      <c r="AX114" s="79"/>
      <c r="AY114" s="79"/>
      <c r="AZ114" s="79"/>
      <c r="BA114" s="79"/>
      <c r="BB114" s="79"/>
      <c r="BC114" s="79"/>
      <c r="BD114" s="79"/>
      <c r="BE114" s="79"/>
      <c r="BF114" s="79"/>
      <c r="BG114" s="79"/>
      <c r="BH114" s="79"/>
      <c r="BI114" s="79"/>
      <c r="BJ114" s="79"/>
      <c r="BK114" s="79"/>
      <c r="BL114" s="79"/>
      <c r="BM114" s="79"/>
      <c r="BN114" s="79"/>
      <c r="BO114" s="79"/>
      <c r="BP114" s="79"/>
      <c r="BQ114" s="79"/>
      <c r="BR114" s="79"/>
      <c r="BS114" s="79"/>
      <c r="BT114" s="79"/>
      <c r="BU114" s="79"/>
      <c r="BV114" s="79"/>
      <c r="BW114" s="79"/>
      <c r="BX114" s="79"/>
      <c r="BY114" s="79"/>
      <c r="BZ114" s="79"/>
      <c r="CA114" s="79"/>
      <c r="CB114" s="79"/>
      <c r="CC114" s="79"/>
      <c r="CD114" s="79"/>
      <c r="CE114" s="79"/>
      <c r="CF114" s="79"/>
      <c r="CG114" s="79"/>
      <c r="CH114" s="79"/>
      <c r="CI114" s="79"/>
      <c r="CJ114" s="79"/>
      <c r="CK114" s="79"/>
      <c r="CL114" s="79"/>
      <c r="CM114" s="79"/>
      <c r="CN114" s="79"/>
      <c r="CO114" s="79"/>
      <c r="CP114" s="79"/>
      <c r="CQ114" s="79"/>
      <c r="CR114" s="79"/>
      <c r="CS114" s="79"/>
      <c r="CT114" s="79"/>
      <c r="CU114" s="79"/>
      <c r="CV114" s="79"/>
      <c r="CW114" s="79"/>
      <c r="CX114" s="80"/>
    </row>
    <row r="115" spans="2:102" x14ac:dyDescent="0.2">
      <c r="B115" s="177"/>
      <c r="C115" s="81"/>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c r="AO115" s="79"/>
      <c r="AP115" s="79"/>
      <c r="AQ115" s="79"/>
      <c r="AR115" s="79"/>
      <c r="AS115" s="79"/>
      <c r="AT115" s="79"/>
      <c r="AU115" s="79"/>
      <c r="AV115" s="79"/>
      <c r="AW115" s="79"/>
      <c r="AX115" s="79"/>
      <c r="AY115" s="79"/>
      <c r="AZ115" s="79"/>
      <c r="BA115" s="79"/>
      <c r="BB115" s="79"/>
      <c r="BC115" s="79"/>
      <c r="BD115" s="79"/>
      <c r="BE115" s="79"/>
      <c r="BF115" s="79"/>
      <c r="BG115" s="79"/>
      <c r="BH115" s="79"/>
      <c r="BI115" s="79"/>
      <c r="BJ115" s="79"/>
      <c r="BK115" s="79"/>
      <c r="BL115" s="79"/>
      <c r="BM115" s="79"/>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79"/>
      <c r="CQ115" s="79"/>
      <c r="CR115" s="79"/>
      <c r="CS115" s="79"/>
      <c r="CT115" s="79"/>
      <c r="CU115" s="79"/>
      <c r="CV115" s="79"/>
      <c r="CW115" s="79"/>
      <c r="CX115" s="80"/>
    </row>
    <row r="116" spans="2:102" x14ac:dyDescent="0.2">
      <c r="B116" s="177"/>
      <c r="C116" s="81"/>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c r="AO116" s="79"/>
      <c r="AP116" s="79"/>
      <c r="AQ116" s="79"/>
      <c r="AR116" s="79"/>
      <c r="AS116" s="79"/>
      <c r="AT116" s="79"/>
      <c r="AU116" s="79"/>
      <c r="AV116" s="79"/>
      <c r="AW116" s="79"/>
      <c r="AX116" s="79"/>
      <c r="AY116" s="79"/>
      <c r="AZ116" s="79"/>
      <c r="BA116" s="79"/>
      <c r="BB116" s="79"/>
      <c r="BC116" s="79"/>
      <c r="BD116" s="79"/>
      <c r="BE116" s="79"/>
      <c r="BF116" s="79"/>
      <c r="BG116" s="79"/>
      <c r="BH116" s="79"/>
      <c r="BI116" s="79"/>
      <c r="BJ116" s="79"/>
      <c r="BK116" s="79"/>
      <c r="BL116" s="79"/>
      <c r="BM116" s="79"/>
      <c r="BN116" s="79"/>
      <c r="BO116" s="79"/>
      <c r="BP116" s="79"/>
      <c r="BQ116" s="79"/>
      <c r="BR116" s="79"/>
      <c r="BS116" s="79"/>
      <c r="BT116" s="79"/>
      <c r="BU116" s="79"/>
      <c r="BV116" s="79"/>
      <c r="BW116" s="79"/>
      <c r="BX116" s="79"/>
      <c r="BY116" s="79"/>
      <c r="BZ116" s="79"/>
      <c r="CA116" s="79"/>
      <c r="CB116" s="79"/>
      <c r="CC116" s="79"/>
      <c r="CD116" s="79"/>
      <c r="CE116" s="79"/>
      <c r="CF116" s="79"/>
      <c r="CG116" s="79"/>
      <c r="CH116" s="79"/>
      <c r="CI116" s="79"/>
      <c r="CJ116" s="79"/>
      <c r="CK116" s="79"/>
      <c r="CL116" s="79"/>
      <c r="CM116" s="79"/>
      <c r="CN116" s="79"/>
      <c r="CO116" s="79"/>
      <c r="CP116" s="79"/>
      <c r="CQ116" s="79"/>
      <c r="CR116" s="79"/>
      <c r="CS116" s="79"/>
      <c r="CT116" s="79"/>
      <c r="CU116" s="79"/>
      <c r="CV116" s="79"/>
      <c r="CW116" s="79"/>
      <c r="CX116" s="80"/>
    </row>
    <row r="117" spans="2:102" x14ac:dyDescent="0.2">
      <c r="B117" s="177"/>
      <c r="C117" s="81"/>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c r="AO117" s="79"/>
      <c r="AP117" s="79"/>
      <c r="AQ117" s="79"/>
      <c r="AR117" s="79"/>
      <c r="AS117" s="79"/>
      <c r="AT117" s="79"/>
      <c r="AU117" s="79"/>
      <c r="AV117" s="79"/>
      <c r="AW117" s="79"/>
      <c r="AX117" s="79"/>
      <c r="AY117" s="79"/>
      <c r="AZ117" s="79"/>
      <c r="BA117" s="79"/>
      <c r="BB117" s="79"/>
      <c r="BC117" s="79"/>
      <c r="BD117" s="79"/>
      <c r="BE117" s="79"/>
      <c r="BF117" s="79"/>
      <c r="BG117" s="79"/>
      <c r="BH117" s="79"/>
      <c r="BI117" s="79"/>
      <c r="BJ117" s="79"/>
      <c r="BK117" s="79"/>
      <c r="BL117" s="79"/>
      <c r="BM117" s="79"/>
      <c r="BN117" s="79"/>
      <c r="BO117" s="79"/>
      <c r="BP117" s="79"/>
      <c r="BQ117" s="79"/>
      <c r="BR117" s="79"/>
      <c r="BS117" s="79"/>
      <c r="BT117" s="79"/>
      <c r="BU117" s="79"/>
      <c r="BV117" s="79"/>
      <c r="BW117" s="79"/>
      <c r="BX117" s="79"/>
      <c r="BY117" s="79"/>
      <c r="BZ117" s="79"/>
      <c r="CA117" s="79"/>
      <c r="CB117" s="79"/>
      <c r="CC117" s="79"/>
      <c r="CD117" s="79"/>
      <c r="CE117" s="79"/>
      <c r="CF117" s="79"/>
      <c r="CG117" s="79"/>
      <c r="CH117" s="79"/>
      <c r="CI117" s="79"/>
      <c r="CJ117" s="79"/>
      <c r="CK117" s="79"/>
      <c r="CL117" s="79"/>
      <c r="CM117" s="79"/>
      <c r="CN117" s="79"/>
      <c r="CO117" s="79"/>
      <c r="CP117" s="79"/>
      <c r="CQ117" s="79"/>
      <c r="CR117" s="79"/>
      <c r="CS117" s="79"/>
      <c r="CT117" s="79"/>
      <c r="CU117" s="79"/>
      <c r="CV117" s="79"/>
      <c r="CW117" s="79"/>
      <c r="CX117" s="80"/>
    </row>
    <row r="118" spans="2:102" x14ac:dyDescent="0.2">
      <c r="B118" s="177"/>
      <c r="C118" s="81"/>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79"/>
      <c r="AR118" s="79"/>
      <c r="AS118" s="79"/>
      <c r="AT118" s="79"/>
      <c r="AU118" s="79"/>
      <c r="AV118" s="79"/>
      <c r="AW118" s="79"/>
      <c r="AX118" s="79"/>
      <c r="AY118" s="79"/>
      <c r="AZ118" s="79"/>
      <c r="BA118" s="79"/>
      <c r="BB118" s="79"/>
      <c r="BC118" s="79"/>
      <c r="BD118" s="79"/>
      <c r="BE118" s="79"/>
      <c r="BF118" s="79"/>
      <c r="BG118" s="79"/>
      <c r="BH118" s="79"/>
      <c r="BI118" s="79"/>
      <c r="BJ118" s="79"/>
      <c r="BK118" s="79"/>
      <c r="BL118" s="79"/>
      <c r="BM118" s="79"/>
      <c r="BN118" s="79"/>
      <c r="BO118" s="79"/>
      <c r="BP118" s="79"/>
      <c r="BQ118" s="79"/>
      <c r="BR118" s="79"/>
      <c r="BS118" s="79"/>
      <c r="BT118" s="79"/>
      <c r="BU118" s="79"/>
      <c r="BV118" s="79"/>
      <c r="BW118" s="79"/>
      <c r="BX118" s="79"/>
      <c r="BY118" s="79"/>
      <c r="BZ118" s="79"/>
      <c r="CA118" s="79"/>
      <c r="CB118" s="79"/>
      <c r="CC118" s="79"/>
      <c r="CD118" s="79"/>
      <c r="CE118" s="79"/>
      <c r="CF118" s="79"/>
      <c r="CG118" s="79"/>
      <c r="CH118" s="79"/>
      <c r="CI118" s="79"/>
      <c r="CJ118" s="79"/>
      <c r="CK118" s="79"/>
      <c r="CL118" s="79"/>
      <c r="CM118" s="79"/>
      <c r="CN118" s="79"/>
      <c r="CO118" s="79"/>
      <c r="CP118" s="79"/>
      <c r="CQ118" s="79"/>
      <c r="CR118" s="79"/>
      <c r="CS118" s="79"/>
      <c r="CT118" s="79"/>
      <c r="CU118" s="79"/>
      <c r="CV118" s="79"/>
      <c r="CW118" s="79"/>
      <c r="CX118" s="80"/>
    </row>
    <row r="119" spans="2:102" x14ac:dyDescent="0.2">
      <c r="B119" s="177"/>
      <c r="C119" s="81"/>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c r="AO119" s="79"/>
      <c r="AP119" s="79"/>
      <c r="AQ119" s="79"/>
      <c r="AR119" s="79"/>
      <c r="AS119" s="79"/>
      <c r="AT119" s="79"/>
      <c r="AU119" s="79"/>
      <c r="AV119" s="79"/>
      <c r="AW119" s="79"/>
      <c r="AX119" s="79"/>
      <c r="AY119" s="79"/>
      <c r="AZ119" s="79"/>
      <c r="BA119" s="79"/>
      <c r="BB119" s="79"/>
      <c r="BC119" s="79"/>
      <c r="BD119" s="79"/>
      <c r="BE119" s="79"/>
      <c r="BF119" s="79"/>
      <c r="BG119" s="79"/>
      <c r="BH119" s="79"/>
      <c r="BI119" s="79"/>
      <c r="BJ119" s="79"/>
      <c r="BK119" s="79"/>
      <c r="BL119" s="79"/>
      <c r="BM119" s="79"/>
      <c r="BN119" s="79"/>
      <c r="BO119" s="79"/>
      <c r="BP119" s="79"/>
      <c r="BQ119" s="79"/>
      <c r="BR119" s="79"/>
      <c r="BS119" s="79"/>
      <c r="BT119" s="79"/>
      <c r="BU119" s="79"/>
      <c r="BV119" s="79"/>
      <c r="BW119" s="79"/>
      <c r="BX119" s="79"/>
      <c r="BY119" s="79"/>
      <c r="BZ119" s="79"/>
      <c r="CA119" s="79"/>
      <c r="CB119" s="79"/>
      <c r="CC119" s="79"/>
      <c r="CD119" s="79"/>
      <c r="CE119" s="79"/>
      <c r="CF119" s="79"/>
      <c r="CG119" s="79"/>
      <c r="CH119" s="79"/>
      <c r="CI119" s="79"/>
      <c r="CJ119" s="79"/>
      <c r="CK119" s="79"/>
      <c r="CL119" s="79"/>
      <c r="CM119" s="79"/>
      <c r="CN119" s="79"/>
      <c r="CO119" s="79"/>
      <c r="CP119" s="79"/>
      <c r="CQ119" s="79"/>
      <c r="CR119" s="79"/>
      <c r="CS119" s="79"/>
      <c r="CT119" s="79"/>
      <c r="CU119" s="79"/>
      <c r="CV119" s="79"/>
      <c r="CW119" s="79"/>
      <c r="CX119" s="80"/>
    </row>
    <row r="120" spans="2:102" x14ac:dyDescent="0.2">
      <c r="B120" s="177"/>
      <c r="C120" s="82"/>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4"/>
    </row>
  </sheetData>
  <sheetProtection sheet="1" objects="1" scenarios="1"/>
  <mergeCells count="9">
    <mergeCell ref="AQ4:BJ4"/>
    <mergeCell ref="BK4:CD4"/>
    <mergeCell ref="CE4:CX4"/>
    <mergeCell ref="C2:J2"/>
    <mergeCell ref="B4:B5"/>
    <mergeCell ref="K2:M2"/>
    <mergeCell ref="N2:O2"/>
    <mergeCell ref="C4:V4"/>
    <mergeCell ref="W4:AP4"/>
  </mergeCells>
  <pageMargins left="0.7" right="0.7" top="0.75" bottom="0.75" header="0.3" footer="0.3"/>
  <pageSetup orientation="portrait" horizontalDpi="0" verticalDpi="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304" t="s">
        <v>546</v>
      </c>
      <c r="D2" s="304"/>
      <c r="E2" s="304"/>
      <c r="F2" s="304"/>
      <c r="G2" s="304"/>
      <c r="H2" s="304"/>
      <c r="I2" s="304"/>
      <c r="J2" s="304"/>
      <c r="K2" s="200"/>
      <c r="L2" s="200"/>
      <c r="M2" s="200"/>
      <c r="N2" s="208"/>
      <c r="O2" s="208"/>
      <c r="P2" s="148"/>
      <c r="Q2" s="148"/>
    </row>
    <row r="4" spans="1:104" ht="19" x14ac:dyDescent="0.2">
      <c r="B4" s="302" t="s">
        <v>547</v>
      </c>
      <c r="C4" s="302" t="s">
        <v>644</v>
      </c>
      <c r="D4" s="302"/>
      <c r="E4" s="302"/>
      <c r="F4" s="302"/>
      <c r="G4" s="302"/>
      <c r="H4" s="302"/>
      <c r="I4" s="302"/>
      <c r="J4" s="302"/>
      <c r="K4" s="302"/>
      <c r="L4" s="302"/>
      <c r="M4" s="302"/>
      <c r="N4" s="302"/>
      <c r="O4" s="302"/>
      <c r="P4" s="302"/>
      <c r="Q4" s="302"/>
      <c r="R4" s="302"/>
      <c r="S4" s="302"/>
      <c r="T4" s="302"/>
      <c r="U4" s="302"/>
      <c r="V4" s="302"/>
      <c r="W4" s="302" t="s">
        <v>644</v>
      </c>
      <c r="X4" s="302"/>
      <c r="Y4" s="302"/>
      <c r="Z4" s="302"/>
      <c r="AA4" s="302"/>
      <c r="AB4" s="302"/>
      <c r="AC4" s="302"/>
      <c r="AD4" s="302"/>
      <c r="AE4" s="302"/>
      <c r="AF4" s="302"/>
      <c r="AG4" s="302"/>
      <c r="AH4" s="302"/>
      <c r="AI4" s="302"/>
      <c r="AJ4" s="302"/>
      <c r="AK4" s="302"/>
      <c r="AL4" s="302"/>
      <c r="AM4" s="302"/>
      <c r="AN4" s="302"/>
      <c r="AO4" s="302"/>
      <c r="AP4" s="302"/>
      <c r="AQ4" s="302" t="s">
        <v>548</v>
      </c>
      <c r="AR4" s="302"/>
      <c r="AS4" s="302"/>
      <c r="AT4" s="302"/>
      <c r="AU4" s="302"/>
      <c r="AV4" s="302"/>
      <c r="AW4" s="302"/>
      <c r="AX4" s="302"/>
      <c r="AY4" s="302"/>
      <c r="AZ4" s="302"/>
      <c r="BA4" s="302"/>
      <c r="BB4" s="302"/>
      <c r="BC4" s="302"/>
      <c r="BD4" s="302"/>
      <c r="BE4" s="302"/>
      <c r="BF4" s="302"/>
      <c r="BG4" s="302"/>
      <c r="BH4" s="302"/>
      <c r="BI4" s="302"/>
      <c r="BJ4" s="302"/>
      <c r="BK4" s="302" t="s">
        <v>548</v>
      </c>
      <c r="BL4" s="302"/>
      <c r="BM4" s="302"/>
      <c r="BN4" s="302"/>
      <c r="BO4" s="302"/>
      <c r="BP4" s="302"/>
      <c r="BQ4" s="302"/>
      <c r="BR4" s="302"/>
      <c r="BS4" s="302"/>
      <c r="BT4" s="302"/>
      <c r="BU4" s="302"/>
      <c r="BV4" s="302"/>
      <c r="BW4" s="302"/>
      <c r="BX4" s="302"/>
      <c r="BY4" s="302"/>
      <c r="BZ4" s="302"/>
      <c r="CA4" s="302"/>
      <c r="CB4" s="302"/>
      <c r="CC4" s="302"/>
      <c r="CD4" s="302"/>
      <c r="CE4" s="302" t="s">
        <v>548</v>
      </c>
      <c r="CF4" s="302"/>
      <c r="CG4" s="302"/>
      <c r="CH4" s="302"/>
      <c r="CI4" s="302"/>
      <c r="CJ4" s="302"/>
      <c r="CK4" s="302"/>
      <c r="CL4" s="302"/>
      <c r="CM4" s="302"/>
      <c r="CN4" s="302"/>
      <c r="CO4" s="302"/>
      <c r="CP4" s="302"/>
      <c r="CQ4" s="302"/>
      <c r="CR4" s="302"/>
      <c r="CS4" s="302"/>
      <c r="CT4" s="302"/>
      <c r="CU4" s="302"/>
      <c r="CV4" s="302"/>
      <c r="CW4" s="302"/>
      <c r="CX4" s="302"/>
    </row>
    <row r="5" spans="1:104" x14ac:dyDescent="0.2">
      <c r="B5" s="302"/>
      <c r="C5" s="189">
        <v>0.5</v>
      </c>
      <c r="D5" s="189">
        <v>1</v>
      </c>
      <c r="E5" s="189">
        <v>1.5</v>
      </c>
      <c r="F5" s="189">
        <v>2</v>
      </c>
      <c r="G5" s="189">
        <v>2.5</v>
      </c>
      <c r="H5" s="189">
        <v>3</v>
      </c>
      <c r="I5" s="189">
        <v>3.5</v>
      </c>
      <c r="J5" s="189">
        <v>4</v>
      </c>
      <c r="K5" s="189">
        <v>4.5</v>
      </c>
      <c r="L5" s="189">
        <v>5</v>
      </c>
      <c r="M5" s="189">
        <v>5.5</v>
      </c>
      <c r="N5" s="189">
        <v>6</v>
      </c>
      <c r="O5" s="189">
        <v>6.5</v>
      </c>
      <c r="P5" s="189">
        <v>7</v>
      </c>
      <c r="Q5" s="189">
        <v>7.5</v>
      </c>
      <c r="R5" s="189">
        <v>8</v>
      </c>
      <c r="S5" s="189">
        <v>8.5</v>
      </c>
      <c r="T5" s="189">
        <v>9</v>
      </c>
      <c r="U5" s="189">
        <v>9.5</v>
      </c>
      <c r="V5" s="189">
        <v>10</v>
      </c>
      <c r="W5" s="189">
        <v>10.5</v>
      </c>
      <c r="X5" s="189">
        <v>11</v>
      </c>
      <c r="Y5" s="189">
        <v>11.5</v>
      </c>
      <c r="Z5" s="189">
        <v>12</v>
      </c>
      <c r="AA5" s="189">
        <v>12.5</v>
      </c>
      <c r="AB5" s="189">
        <v>13</v>
      </c>
      <c r="AC5" s="189">
        <v>13.5</v>
      </c>
      <c r="AD5" s="189">
        <v>14</v>
      </c>
      <c r="AE5" s="189">
        <v>14.5</v>
      </c>
      <c r="AF5" s="189">
        <v>15</v>
      </c>
      <c r="AG5" s="189">
        <v>15.5</v>
      </c>
      <c r="AH5" s="189">
        <v>16</v>
      </c>
      <c r="AI5" s="189">
        <v>16.5</v>
      </c>
      <c r="AJ5" s="189">
        <v>17</v>
      </c>
      <c r="AK5" s="189">
        <v>17.5</v>
      </c>
      <c r="AL5" s="189">
        <v>18</v>
      </c>
      <c r="AM5" s="189">
        <v>18.5</v>
      </c>
      <c r="AN5" s="189">
        <v>19</v>
      </c>
      <c r="AO5" s="189">
        <v>19.5</v>
      </c>
      <c r="AP5" s="189">
        <v>20</v>
      </c>
      <c r="AQ5" s="189">
        <v>20.5</v>
      </c>
      <c r="AR5" s="189">
        <v>21</v>
      </c>
      <c r="AS5" s="189">
        <v>21.5</v>
      </c>
      <c r="AT5" s="189">
        <v>22</v>
      </c>
      <c r="AU5" s="189">
        <v>22.5</v>
      </c>
      <c r="AV5" s="189">
        <v>23</v>
      </c>
      <c r="AW5" s="189">
        <v>23.5</v>
      </c>
      <c r="AX5" s="189">
        <v>24</v>
      </c>
      <c r="AY5" s="189">
        <v>24.5</v>
      </c>
      <c r="AZ5" s="189">
        <v>25</v>
      </c>
      <c r="BA5" s="189">
        <v>25.5</v>
      </c>
      <c r="BB5" s="189">
        <v>26</v>
      </c>
      <c r="BC5" s="189">
        <v>26.5</v>
      </c>
      <c r="BD5" s="189">
        <v>27</v>
      </c>
      <c r="BE5" s="189">
        <v>27.5</v>
      </c>
      <c r="BF5" s="189">
        <v>28</v>
      </c>
      <c r="BG5" s="189">
        <v>28.5</v>
      </c>
      <c r="BH5" s="189">
        <v>29</v>
      </c>
      <c r="BI5" s="189">
        <v>29.5</v>
      </c>
      <c r="BJ5" s="189">
        <v>30</v>
      </c>
      <c r="BK5" s="189">
        <v>30.5</v>
      </c>
      <c r="BL5" s="189">
        <v>31</v>
      </c>
      <c r="BM5" s="189">
        <v>31.5</v>
      </c>
      <c r="BN5" s="189">
        <v>32</v>
      </c>
      <c r="BO5" s="189">
        <v>32.5</v>
      </c>
      <c r="BP5" s="189">
        <v>33</v>
      </c>
      <c r="BQ5" s="189">
        <v>33.5</v>
      </c>
      <c r="BR5" s="189">
        <v>34</v>
      </c>
      <c r="BS5" s="189">
        <v>34.5</v>
      </c>
      <c r="BT5" s="189">
        <v>35</v>
      </c>
      <c r="BU5" s="189">
        <v>35.5</v>
      </c>
      <c r="BV5" s="189">
        <v>36</v>
      </c>
      <c r="BW5" s="189">
        <v>36.5</v>
      </c>
      <c r="BX5" s="189">
        <v>37</v>
      </c>
      <c r="BY5" s="189">
        <v>37.5</v>
      </c>
      <c r="BZ5" s="189">
        <v>38</v>
      </c>
      <c r="CA5" s="189">
        <v>38.5</v>
      </c>
      <c r="CB5" s="189">
        <v>39</v>
      </c>
      <c r="CC5" s="189">
        <v>39.5</v>
      </c>
      <c r="CD5" s="189">
        <v>40</v>
      </c>
      <c r="CE5" s="189">
        <v>40.5</v>
      </c>
      <c r="CF5" s="189">
        <v>41</v>
      </c>
      <c r="CG5" s="189">
        <v>41.5</v>
      </c>
      <c r="CH5" s="189">
        <v>42</v>
      </c>
      <c r="CI5" s="189">
        <v>42.5</v>
      </c>
      <c r="CJ5" s="189">
        <v>43</v>
      </c>
      <c r="CK5" s="189">
        <v>43.5</v>
      </c>
      <c r="CL5" s="189">
        <v>44</v>
      </c>
      <c r="CM5" s="189">
        <v>44.5</v>
      </c>
      <c r="CN5" s="189">
        <v>45</v>
      </c>
      <c r="CO5" s="189">
        <v>45.5</v>
      </c>
      <c r="CP5" s="189">
        <v>46</v>
      </c>
      <c r="CQ5" s="189">
        <v>46.5</v>
      </c>
      <c r="CR5" s="189">
        <v>47</v>
      </c>
      <c r="CS5" s="189">
        <v>47.5</v>
      </c>
      <c r="CT5" s="189">
        <v>48</v>
      </c>
      <c r="CU5" s="189">
        <v>48.5</v>
      </c>
      <c r="CV5" s="189">
        <v>49</v>
      </c>
      <c r="CW5" s="189">
        <v>49.5</v>
      </c>
      <c r="CX5" s="189">
        <v>50</v>
      </c>
      <c r="CY5" s="30"/>
      <c r="CZ5" s="30"/>
    </row>
    <row r="6" spans="1:104" x14ac:dyDescent="0.2">
      <c r="B6" s="189">
        <v>100</v>
      </c>
      <c r="C6" s="209"/>
      <c r="D6" s="120"/>
      <c r="E6" s="120"/>
      <c r="F6" s="120"/>
      <c r="G6" s="120"/>
      <c r="H6" s="120"/>
      <c r="I6" s="120"/>
      <c r="J6" s="120"/>
      <c r="K6" s="120"/>
      <c r="L6" s="120"/>
      <c r="M6" s="120"/>
      <c r="N6" s="120"/>
      <c r="O6" s="120"/>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1"/>
    </row>
    <row r="7" spans="1:104" x14ac:dyDescent="0.2">
      <c r="B7" s="189">
        <v>110</v>
      </c>
      <c r="C7" s="212"/>
      <c r="D7" s="121"/>
      <c r="E7" s="121"/>
      <c r="F7" s="121"/>
      <c r="G7" s="121"/>
      <c r="H7" s="121"/>
      <c r="I7" s="121"/>
      <c r="J7" s="121"/>
      <c r="K7" s="121"/>
      <c r="L7" s="121"/>
      <c r="M7" s="121"/>
      <c r="N7" s="121"/>
      <c r="O7" s="121"/>
      <c r="P7" s="121"/>
      <c r="Q7" s="121"/>
      <c r="R7" s="121"/>
      <c r="S7" s="121"/>
      <c r="T7" s="121"/>
      <c r="U7" s="121"/>
      <c r="V7" s="121"/>
      <c r="W7" s="121"/>
      <c r="X7" s="121"/>
      <c r="Y7" s="121"/>
      <c r="Z7" s="121"/>
      <c r="AA7" s="121"/>
      <c r="AB7" s="121"/>
      <c r="AC7" s="121"/>
      <c r="AD7" s="121"/>
      <c r="AE7" s="121"/>
      <c r="AF7" s="121"/>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213"/>
      <c r="BL7" s="213"/>
      <c r="BM7" s="213"/>
      <c r="BN7" s="213"/>
      <c r="BO7" s="213"/>
      <c r="BP7" s="213"/>
      <c r="BQ7" s="213"/>
      <c r="BR7" s="213"/>
      <c r="BS7" s="213"/>
      <c r="BT7" s="213"/>
      <c r="BU7" s="213"/>
      <c r="BV7" s="213"/>
      <c r="BW7" s="213"/>
      <c r="BX7" s="213"/>
      <c r="BY7" s="213"/>
      <c r="BZ7" s="213"/>
      <c r="CA7" s="213"/>
      <c r="CB7" s="213"/>
      <c r="CC7" s="213"/>
      <c r="CD7" s="213"/>
      <c r="CE7" s="213"/>
      <c r="CF7" s="213"/>
      <c r="CG7" s="213"/>
      <c r="CH7" s="213"/>
      <c r="CI7" s="213"/>
      <c r="CJ7" s="213"/>
      <c r="CK7" s="213"/>
      <c r="CL7" s="213"/>
      <c r="CM7" s="213"/>
      <c r="CN7" s="213"/>
      <c r="CO7" s="213"/>
      <c r="CP7" s="213"/>
      <c r="CQ7" s="213"/>
      <c r="CR7" s="213"/>
      <c r="CS7" s="213"/>
      <c r="CT7" s="213"/>
      <c r="CU7" s="213"/>
      <c r="CV7" s="213"/>
      <c r="CW7" s="213"/>
      <c r="CX7" s="214"/>
    </row>
    <row r="8" spans="1:104" x14ac:dyDescent="0.2">
      <c r="B8" s="189">
        <v>120</v>
      </c>
      <c r="C8" s="212"/>
      <c r="D8" s="121"/>
      <c r="E8" s="121"/>
      <c r="F8" s="121"/>
      <c r="G8" s="121"/>
      <c r="H8" s="121"/>
      <c r="I8" s="121"/>
      <c r="J8" s="121"/>
      <c r="K8" s="121"/>
      <c r="L8" s="121"/>
      <c r="M8" s="121"/>
      <c r="N8" s="121"/>
      <c r="O8" s="121"/>
      <c r="P8" s="121"/>
      <c r="Q8" s="121"/>
      <c r="R8" s="121"/>
      <c r="S8" s="121"/>
      <c r="T8" s="121"/>
      <c r="U8" s="121"/>
      <c r="V8" s="121"/>
      <c r="W8" s="121"/>
      <c r="X8" s="121"/>
      <c r="Y8" s="121"/>
      <c r="Z8" s="121"/>
      <c r="AA8" s="121"/>
      <c r="AB8" s="121"/>
      <c r="AC8" s="121"/>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213"/>
      <c r="BL8" s="213"/>
      <c r="BM8" s="213"/>
      <c r="BN8" s="213"/>
      <c r="BO8" s="213"/>
      <c r="BP8" s="213"/>
      <c r="BQ8" s="213"/>
      <c r="BR8" s="213"/>
      <c r="BS8" s="213"/>
      <c r="BT8" s="213"/>
      <c r="BU8" s="213"/>
      <c r="BV8" s="213"/>
      <c r="BW8" s="213"/>
      <c r="BX8" s="213"/>
      <c r="BY8" s="213"/>
      <c r="BZ8" s="213"/>
      <c r="CA8" s="213"/>
      <c r="CB8" s="213"/>
      <c r="CC8" s="213"/>
      <c r="CD8" s="213"/>
      <c r="CE8" s="213"/>
      <c r="CF8" s="213"/>
      <c r="CG8" s="213"/>
      <c r="CH8" s="213"/>
      <c r="CI8" s="213"/>
      <c r="CJ8" s="213"/>
      <c r="CK8" s="213"/>
      <c r="CL8" s="213"/>
      <c r="CM8" s="213"/>
      <c r="CN8" s="213"/>
      <c r="CO8" s="213"/>
      <c r="CP8" s="213"/>
      <c r="CQ8" s="213"/>
      <c r="CR8" s="213"/>
      <c r="CS8" s="213"/>
      <c r="CT8" s="213"/>
      <c r="CU8" s="213"/>
      <c r="CV8" s="213"/>
      <c r="CW8" s="213"/>
      <c r="CX8" s="214"/>
    </row>
    <row r="9" spans="1:104" x14ac:dyDescent="0.2">
      <c r="B9" s="189">
        <v>125</v>
      </c>
      <c r="C9" s="212"/>
      <c r="D9" s="121"/>
      <c r="E9" s="121"/>
      <c r="F9" s="121"/>
      <c r="G9" s="121"/>
      <c r="H9" s="121"/>
      <c r="I9" s="121"/>
      <c r="J9" s="121"/>
      <c r="K9" s="121"/>
      <c r="L9" s="121"/>
      <c r="M9" s="121"/>
      <c r="N9" s="121"/>
      <c r="O9" s="121"/>
      <c r="P9" s="121"/>
      <c r="Q9" s="121"/>
      <c r="R9" s="121"/>
      <c r="S9" s="121"/>
      <c r="T9" s="121"/>
      <c r="U9" s="121"/>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213"/>
      <c r="BL9" s="213"/>
      <c r="BM9" s="213"/>
      <c r="BN9" s="213"/>
      <c r="BO9" s="213"/>
      <c r="BP9" s="213"/>
      <c r="BQ9" s="213"/>
      <c r="BR9" s="213"/>
      <c r="BS9" s="213"/>
      <c r="BT9" s="213"/>
      <c r="BU9" s="213"/>
      <c r="BV9" s="213"/>
      <c r="BW9" s="213"/>
      <c r="BX9" s="213"/>
      <c r="BY9" s="213"/>
      <c r="BZ9" s="213"/>
      <c r="CA9" s="213"/>
      <c r="CB9" s="213"/>
      <c r="CC9" s="213"/>
      <c r="CD9" s="213"/>
      <c r="CE9" s="213"/>
      <c r="CF9" s="213"/>
      <c r="CG9" s="213"/>
      <c r="CH9" s="213"/>
      <c r="CI9" s="213"/>
      <c r="CJ9" s="213"/>
      <c r="CK9" s="213"/>
      <c r="CL9" s="213"/>
      <c r="CM9" s="213"/>
      <c r="CN9" s="213"/>
      <c r="CO9" s="213"/>
      <c r="CP9" s="213"/>
      <c r="CQ9" s="213"/>
      <c r="CR9" s="213"/>
      <c r="CS9" s="213"/>
      <c r="CT9" s="213"/>
      <c r="CU9" s="213"/>
      <c r="CV9" s="213"/>
      <c r="CW9" s="213"/>
      <c r="CX9" s="214"/>
    </row>
    <row r="10" spans="1:104" x14ac:dyDescent="0.2">
      <c r="B10" s="189">
        <v>130</v>
      </c>
      <c r="C10" s="212"/>
      <c r="D10" s="121"/>
      <c r="E10" s="121"/>
      <c r="F10" s="121"/>
      <c r="G10" s="121"/>
      <c r="H10" s="121"/>
      <c r="I10" s="121"/>
      <c r="J10" s="121"/>
      <c r="K10" s="121"/>
      <c r="L10" s="121"/>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213"/>
      <c r="BL10" s="213"/>
      <c r="BM10" s="213"/>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213"/>
      <c r="CR10" s="213"/>
      <c r="CS10" s="213"/>
      <c r="CT10" s="213"/>
      <c r="CU10" s="213"/>
      <c r="CV10" s="213"/>
      <c r="CW10" s="213"/>
      <c r="CX10" s="214"/>
    </row>
    <row r="11" spans="1:104" x14ac:dyDescent="0.2">
      <c r="B11" s="189">
        <v>140</v>
      </c>
      <c r="C11" s="212"/>
      <c r="D11" s="121"/>
      <c r="E11" s="121"/>
      <c r="F11" s="121"/>
      <c r="G11" s="121"/>
      <c r="H11" s="121"/>
      <c r="I11" s="121"/>
      <c r="J11" s="121"/>
      <c r="K11" s="121"/>
      <c r="L11" s="121"/>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213"/>
      <c r="BL11" s="213"/>
      <c r="BM11" s="213"/>
      <c r="BN11" s="213"/>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4"/>
    </row>
    <row r="12" spans="1:104" x14ac:dyDescent="0.2">
      <c r="B12" s="189">
        <v>150</v>
      </c>
      <c r="C12" s="212"/>
      <c r="D12" s="121"/>
      <c r="E12" s="121"/>
      <c r="F12" s="121"/>
      <c r="G12" s="121"/>
      <c r="H12" s="121"/>
      <c r="I12" s="121"/>
      <c r="J12" s="121"/>
      <c r="K12" s="121"/>
      <c r="L12" s="121"/>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213"/>
      <c r="BL12" s="213"/>
      <c r="BM12" s="213"/>
      <c r="BN12" s="213"/>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4"/>
    </row>
    <row r="13" spans="1:104" x14ac:dyDescent="0.2">
      <c r="B13" s="189">
        <v>160</v>
      </c>
      <c r="C13" s="212"/>
      <c r="D13" s="121"/>
      <c r="E13" s="121"/>
      <c r="F13" s="121"/>
      <c r="G13" s="121"/>
      <c r="H13" s="121"/>
      <c r="I13" s="121"/>
      <c r="J13" s="121"/>
      <c r="K13" s="121"/>
      <c r="L13" s="121"/>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213"/>
      <c r="BL13" s="213"/>
      <c r="BM13" s="213"/>
      <c r="BN13" s="213"/>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4"/>
    </row>
    <row r="14" spans="1:104" x14ac:dyDescent="0.2">
      <c r="B14" s="189">
        <v>170</v>
      </c>
      <c r="C14" s="212"/>
      <c r="D14" s="121"/>
      <c r="E14" s="121"/>
      <c r="F14" s="121"/>
      <c r="G14" s="121"/>
      <c r="H14" s="121"/>
      <c r="I14" s="121"/>
      <c r="J14" s="121"/>
      <c r="K14" s="121"/>
      <c r="L14" s="121"/>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213"/>
      <c r="BL14" s="213"/>
      <c r="BM14" s="213"/>
      <c r="BN14" s="213"/>
      <c r="BO14" s="213"/>
      <c r="BP14" s="213"/>
      <c r="BQ14" s="213"/>
      <c r="BR14" s="213"/>
      <c r="BS14" s="213"/>
      <c r="BT14" s="213"/>
      <c r="BU14" s="213"/>
      <c r="BV14" s="213"/>
      <c r="BW14" s="213"/>
      <c r="BX14" s="213"/>
      <c r="BY14" s="213"/>
      <c r="BZ14" s="213"/>
      <c r="CA14" s="213"/>
      <c r="CB14" s="213"/>
      <c r="CC14" s="213"/>
      <c r="CD14" s="213"/>
      <c r="CE14" s="213"/>
      <c r="CF14" s="213"/>
      <c r="CG14" s="213"/>
      <c r="CH14" s="213"/>
      <c r="CI14" s="213"/>
      <c r="CJ14" s="213"/>
      <c r="CK14" s="213"/>
      <c r="CL14" s="213"/>
      <c r="CM14" s="213"/>
      <c r="CN14" s="213"/>
      <c r="CO14" s="213"/>
      <c r="CP14" s="213"/>
      <c r="CQ14" s="213"/>
      <c r="CR14" s="213"/>
      <c r="CS14" s="213"/>
      <c r="CT14" s="213"/>
      <c r="CU14" s="213"/>
      <c r="CV14" s="213"/>
      <c r="CW14" s="213"/>
      <c r="CX14" s="214"/>
    </row>
    <row r="15" spans="1:104" x14ac:dyDescent="0.2">
      <c r="B15" s="189">
        <v>175</v>
      </c>
      <c r="C15" s="212"/>
      <c r="D15" s="121"/>
      <c r="E15" s="121"/>
      <c r="F15" s="121"/>
      <c r="G15" s="121"/>
      <c r="H15" s="121"/>
      <c r="I15" s="121"/>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213"/>
      <c r="BL15" s="213"/>
      <c r="BM15" s="213"/>
      <c r="BN15" s="213"/>
      <c r="BO15" s="213"/>
      <c r="BP15" s="213"/>
      <c r="BQ15" s="213"/>
      <c r="BR15" s="213"/>
      <c r="BS15" s="213"/>
      <c r="BT15" s="213"/>
      <c r="BU15" s="213"/>
      <c r="BV15" s="213"/>
      <c r="BW15" s="213"/>
      <c r="BX15" s="213"/>
      <c r="BY15" s="213"/>
      <c r="BZ15" s="213"/>
      <c r="CA15" s="213"/>
      <c r="CB15" s="213"/>
      <c r="CC15" s="213"/>
      <c r="CD15" s="213"/>
      <c r="CE15" s="213"/>
      <c r="CF15" s="213"/>
      <c r="CG15" s="213"/>
      <c r="CH15" s="213"/>
      <c r="CI15" s="213"/>
      <c r="CJ15" s="213"/>
      <c r="CK15" s="213"/>
      <c r="CL15" s="213"/>
      <c r="CM15" s="213"/>
      <c r="CN15" s="213"/>
      <c r="CO15" s="213"/>
      <c r="CP15" s="213"/>
      <c r="CQ15" s="213"/>
      <c r="CR15" s="213"/>
      <c r="CS15" s="213"/>
      <c r="CT15" s="213"/>
      <c r="CU15" s="213"/>
      <c r="CV15" s="213"/>
      <c r="CW15" s="213"/>
      <c r="CX15" s="214"/>
    </row>
    <row r="16" spans="1:104" x14ac:dyDescent="0.2">
      <c r="B16" s="189">
        <v>180</v>
      </c>
      <c r="C16" s="212"/>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213"/>
      <c r="BL16" s="213"/>
      <c r="BM16" s="213"/>
      <c r="BN16" s="213"/>
      <c r="BO16" s="213"/>
      <c r="BP16" s="213"/>
      <c r="BQ16" s="213"/>
      <c r="BR16" s="213"/>
      <c r="BS16" s="213"/>
      <c r="BT16" s="213"/>
      <c r="BU16" s="213"/>
      <c r="BV16" s="213"/>
      <c r="BW16" s="213"/>
      <c r="BX16" s="213"/>
      <c r="BY16" s="213"/>
      <c r="BZ16" s="213"/>
      <c r="CA16" s="213"/>
      <c r="CB16" s="213"/>
      <c r="CC16" s="213"/>
      <c r="CD16" s="213"/>
      <c r="CE16" s="213"/>
      <c r="CF16" s="213"/>
      <c r="CG16" s="213"/>
      <c r="CH16" s="213"/>
      <c r="CI16" s="213"/>
      <c r="CJ16" s="213"/>
      <c r="CK16" s="213"/>
      <c r="CL16" s="213"/>
      <c r="CM16" s="213"/>
      <c r="CN16" s="213"/>
      <c r="CO16" s="213"/>
      <c r="CP16" s="213"/>
      <c r="CQ16" s="213"/>
      <c r="CR16" s="213"/>
      <c r="CS16" s="213"/>
      <c r="CT16" s="213"/>
      <c r="CU16" s="213"/>
      <c r="CV16" s="213"/>
      <c r="CW16" s="213"/>
      <c r="CX16" s="214"/>
    </row>
    <row r="17" spans="2:102" x14ac:dyDescent="0.2">
      <c r="B17" s="189">
        <v>190</v>
      </c>
      <c r="C17" s="212"/>
      <c r="D17" s="121"/>
      <c r="E17" s="121"/>
      <c r="F17" s="121"/>
      <c r="G17" s="121"/>
      <c r="H17" s="121"/>
      <c r="I17" s="121"/>
      <c r="J17" s="121"/>
      <c r="K17" s="121"/>
      <c r="L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213"/>
      <c r="BL17" s="213"/>
      <c r="BM17" s="213"/>
      <c r="BN17" s="213"/>
      <c r="BO17" s="213"/>
      <c r="BP17" s="213"/>
      <c r="BQ17" s="213"/>
      <c r="BR17" s="213"/>
      <c r="BS17" s="213"/>
      <c r="BT17" s="213"/>
      <c r="BU17" s="213"/>
      <c r="BV17" s="213"/>
      <c r="BW17" s="213"/>
      <c r="BX17" s="213"/>
      <c r="BY17" s="213"/>
      <c r="BZ17" s="213"/>
      <c r="CA17" s="213"/>
      <c r="CB17" s="213"/>
      <c r="CC17" s="213"/>
      <c r="CD17" s="213"/>
      <c r="CE17" s="213"/>
      <c r="CF17" s="213"/>
      <c r="CG17" s="213"/>
      <c r="CH17" s="213"/>
      <c r="CI17" s="213"/>
      <c r="CJ17" s="213"/>
      <c r="CK17" s="213"/>
      <c r="CL17" s="213"/>
      <c r="CM17" s="213"/>
      <c r="CN17" s="213"/>
      <c r="CO17" s="213"/>
      <c r="CP17" s="213"/>
      <c r="CQ17" s="213"/>
      <c r="CR17" s="213"/>
      <c r="CS17" s="213"/>
      <c r="CT17" s="213"/>
      <c r="CU17" s="213"/>
      <c r="CV17" s="213"/>
      <c r="CW17" s="213"/>
      <c r="CX17" s="214"/>
    </row>
    <row r="18" spans="2:102" x14ac:dyDescent="0.2">
      <c r="B18" s="189">
        <v>200</v>
      </c>
      <c r="C18" s="215"/>
      <c r="D18" s="121"/>
      <c r="E18" s="121"/>
      <c r="F18" s="121"/>
      <c r="G18" s="121"/>
      <c r="H18" s="121"/>
      <c r="I18" s="121"/>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213"/>
      <c r="BL18" s="213"/>
      <c r="BM18" s="213"/>
      <c r="BN18" s="213"/>
      <c r="BO18" s="213"/>
      <c r="BP18" s="213"/>
      <c r="BQ18" s="213"/>
      <c r="BR18" s="213"/>
      <c r="BS18" s="213"/>
      <c r="BT18" s="213"/>
      <c r="BU18" s="213"/>
      <c r="BV18" s="213"/>
      <c r="BW18" s="213"/>
      <c r="BX18" s="213"/>
      <c r="BY18" s="213"/>
      <c r="BZ18" s="213"/>
      <c r="CA18" s="213"/>
      <c r="CB18" s="213"/>
      <c r="CC18" s="213"/>
      <c r="CD18" s="213"/>
      <c r="CE18" s="213"/>
      <c r="CF18" s="213"/>
      <c r="CG18" s="213"/>
      <c r="CH18" s="213"/>
      <c r="CI18" s="213"/>
      <c r="CJ18" s="213"/>
      <c r="CK18" s="213"/>
      <c r="CL18" s="213"/>
      <c r="CM18" s="213"/>
      <c r="CN18" s="213"/>
      <c r="CO18" s="213"/>
      <c r="CP18" s="213"/>
      <c r="CQ18" s="213"/>
      <c r="CR18" s="213"/>
      <c r="CS18" s="213"/>
      <c r="CT18" s="213"/>
      <c r="CU18" s="213"/>
      <c r="CV18" s="213"/>
      <c r="CW18" s="213"/>
      <c r="CX18" s="214"/>
    </row>
    <row r="19" spans="2:102" x14ac:dyDescent="0.2">
      <c r="B19" s="189">
        <v>210</v>
      </c>
      <c r="C19" s="215"/>
      <c r="D19" s="121"/>
      <c r="E19" s="121"/>
      <c r="F19" s="121"/>
      <c r="G19" s="121"/>
      <c r="H19" s="121"/>
      <c r="I19" s="12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c r="CV19" s="213"/>
      <c r="CW19" s="213"/>
      <c r="CX19" s="214"/>
    </row>
    <row r="20" spans="2:102" x14ac:dyDescent="0.2">
      <c r="B20" s="189">
        <v>220</v>
      </c>
      <c r="C20" s="215"/>
      <c r="D20" s="121"/>
      <c r="E20" s="121"/>
      <c r="F20" s="121"/>
      <c r="G20" s="121"/>
      <c r="H20" s="121"/>
      <c r="I20" s="121"/>
      <c r="J20" s="121"/>
      <c r="K20" s="121"/>
      <c r="L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4"/>
    </row>
    <row r="21" spans="2:102" x14ac:dyDescent="0.2">
      <c r="B21" s="189">
        <v>225</v>
      </c>
      <c r="C21" s="215"/>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213"/>
      <c r="BL21" s="213"/>
      <c r="BM21" s="213"/>
      <c r="BN21" s="213"/>
      <c r="BO21" s="213"/>
      <c r="BP21" s="213"/>
      <c r="BQ21" s="213"/>
      <c r="BR21" s="213"/>
      <c r="BS21" s="213"/>
      <c r="BT21" s="213"/>
      <c r="BU21" s="213"/>
      <c r="BV21" s="213"/>
      <c r="BW21" s="213"/>
      <c r="BX21" s="213"/>
      <c r="BY21" s="213"/>
      <c r="BZ21" s="213"/>
      <c r="CA21" s="213"/>
      <c r="CB21" s="213"/>
      <c r="CC21" s="213"/>
      <c r="CD21" s="213"/>
      <c r="CE21" s="213"/>
      <c r="CF21" s="213"/>
      <c r="CG21" s="213"/>
      <c r="CH21" s="213"/>
      <c r="CI21" s="213"/>
      <c r="CJ21" s="213"/>
      <c r="CK21" s="213"/>
      <c r="CL21" s="213"/>
      <c r="CM21" s="213"/>
      <c r="CN21" s="213"/>
      <c r="CO21" s="213"/>
      <c r="CP21" s="213"/>
      <c r="CQ21" s="213"/>
      <c r="CR21" s="213"/>
      <c r="CS21" s="213"/>
      <c r="CT21" s="213"/>
      <c r="CU21" s="213"/>
      <c r="CV21" s="213"/>
      <c r="CW21" s="213"/>
      <c r="CX21" s="214"/>
    </row>
    <row r="22" spans="2:102" x14ac:dyDescent="0.2">
      <c r="B22" s="189">
        <v>230</v>
      </c>
      <c r="C22" s="215"/>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213"/>
      <c r="BL22" s="213"/>
      <c r="BM22" s="213"/>
      <c r="BN22" s="213"/>
      <c r="BO22" s="213"/>
      <c r="BP22" s="213"/>
      <c r="BQ22" s="213"/>
      <c r="BR22" s="213"/>
      <c r="BS22" s="213"/>
      <c r="BT22" s="213"/>
      <c r="BU22" s="213"/>
      <c r="BV22" s="213"/>
      <c r="BW22" s="213"/>
      <c r="BX22" s="213"/>
      <c r="BY22" s="213"/>
      <c r="BZ22" s="213"/>
      <c r="CA22" s="213"/>
      <c r="CB22" s="213"/>
      <c r="CC22" s="213"/>
      <c r="CD22" s="213"/>
      <c r="CE22" s="213"/>
      <c r="CF22" s="213"/>
      <c r="CG22" s="213"/>
      <c r="CH22" s="213"/>
      <c r="CI22" s="213"/>
      <c r="CJ22" s="213"/>
      <c r="CK22" s="213"/>
      <c r="CL22" s="213"/>
      <c r="CM22" s="213"/>
      <c r="CN22" s="213"/>
      <c r="CO22" s="213"/>
      <c r="CP22" s="213"/>
      <c r="CQ22" s="213"/>
      <c r="CR22" s="213"/>
      <c r="CS22" s="213"/>
      <c r="CT22" s="213"/>
      <c r="CU22" s="213"/>
      <c r="CV22" s="213"/>
      <c r="CW22" s="213"/>
      <c r="CX22" s="214"/>
    </row>
    <row r="23" spans="2:102" x14ac:dyDescent="0.2">
      <c r="B23" s="189">
        <v>240</v>
      </c>
      <c r="C23" s="21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213"/>
      <c r="BL23" s="213"/>
      <c r="BM23" s="213"/>
      <c r="BN23" s="213"/>
      <c r="BO23" s="213"/>
      <c r="BP23" s="213"/>
      <c r="BQ23" s="213"/>
      <c r="BR23" s="213"/>
      <c r="BS23" s="213"/>
      <c r="BT23" s="213"/>
      <c r="BU23" s="213"/>
      <c r="BV23" s="213"/>
      <c r="BW23" s="213"/>
      <c r="BX23" s="213"/>
      <c r="BY23" s="213"/>
      <c r="BZ23" s="213"/>
      <c r="CA23" s="213"/>
      <c r="CB23" s="213"/>
      <c r="CC23" s="213"/>
      <c r="CD23" s="213"/>
      <c r="CE23" s="213"/>
      <c r="CF23" s="213"/>
      <c r="CG23" s="213"/>
      <c r="CH23" s="213"/>
      <c r="CI23" s="213"/>
      <c r="CJ23" s="213"/>
      <c r="CK23" s="213"/>
      <c r="CL23" s="213"/>
      <c r="CM23" s="213"/>
      <c r="CN23" s="213"/>
      <c r="CO23" s="213"/>
      <c r="CP23" s="213"/>
      <c r="CQ23" s="213"/>
      <c r="CR23" s="213"/>
      <c r="CS23" s="213"/>
      <c r="CT23" s="213"/>
      <c r="CU23" s="213"/>
      <c r="CV23" s="213"/>
      <c r="CW23" s="213"/>
      <c r="CX23" s="214"/>
    </row>
    <row r="24" spans="2:102" x14ac:dyDescent="0.2">
      <c r="B24" s="189">
        <v>250</v>
      </c>
      <c r="C24" s="21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213"/>
      <c r="BL24" s="213"/>
      <c r="BM24" s="213"/>
      <c r="BN24" s="213"/>
      <c r="BO24" s="213"/>
      <c r="BP24" s="213"/>
      <c r="BQ24" s="213"/>
      <c r="BR24" s="213"/>
      <c r="BS24" s="213"/>
      <c r="BT24" s="213"/>
      <c r="BU24" s="213"/>
      <c r="BV24" s="213"/>
      <c r="BW24" s="213"/>
      <c r="BX24" s="213"/>
      <c r="BY24" s="213"/>
      <c r="BZ24" s="213"/>
      <c r="CA24" s="213"/>
      <c r="CB24" s="213"/>
      <c r="CC24" s="213"/>
      <c r="CD24" s="213"/>
      <c r="CE24" s="213"/>
      <c r="CF24" s="213"/>
      <c r="CG24" s="213"/>
      <c r="CH24" s="213"/>
      <c r="CI24" s="213"/>
      <c r="CJ24" s="213"/>
      <c r="CK24" s="213"/>
      <c r="CL24" s="213"/>
      <c r="CM24" s="213"/>
      <c r="CN24" s="213"/>
      <c r="CO24" s="213"/>
      <c r="CP24" s="213"/>
      <c r="CQ24" s="213"/>
      <c r="CR24" s="213"/>
      <c r="CS24" s="213"/>
      <c r="CT24" s="213"/>
      <c r="CU24" s="213"/>
      <c r="CV24" s="213"/>
      <c r="CW24" s="213"/>
      <c r="CX24" s="214"/>
    </row>
    <row r="25" spans="2:102" x14ac:dyDescent="0.2">
      <c r="B25" s="189">
        <v>260</v>
      </c>
      <c r="C25" s="215"/>
      <c r="D25" s="216"/>
      <c r="E25" s="216"/>
      <c r="F25" s="216"/>
      <c r="G25" s="216"/>
      <c r="H25" s="216"/>
      <c r="I25" s="216"/>
      <c r="J25" s="216"/>
      <c r="K25" s="216"/>
      <c r="L25" s="216"/>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213"/>
      <c r="BL25" s="213"/>
      <c r="BM25" s="213"/>
      <c r="BN25" s="213"/>
      <c r="BO25" s="213"/>
      <c r="BP25" s="213"/>
      <c r="BQ25" s="213"/>
      <c r="BR25" s="213"/>
      <c r="BS25" s="213"/>
      <c r="BT25" s="213"/>
      <c r="BU25" s="213"/>
      <c r="BV25" s="213"/>
      <c r="BW25" s="213"/>
      <c r="BX25" s="213"/>
      <c r="BY25" s="213"/>
      <c r="BZ25" s="213"/>
      <c r="CA25" s="213"/>
      <c r="CB25" s="213"/>
      <c r="CC25" s="213"/>
      <c r="CD25" s="213"/>
      <c r="CE25" s="213"/>
      <c r="CF25" s="213"/>
      <c r="CG25" s="213"/>
      <c r="CH25" s="213"/>
      <c r="CI25" s="213"/>
      <c r="CJ25" s="213"/>
      <c r="CK25" s="213"/>
      <c r="CL25" s="213"/>
      <c r="CM25" s="213"/>
      <c r="CN25" s="213"/>
      <c r="CO25" s="213"/>
      <c r="CP25" s="213"/>
      <c r="CQ25" s="213"/>
      <c r="CR25" s="213"/>
      <c r="CS25" s="213"/>
      <c r="CT25" s="213"/>
      <c r="CU25" s="213"/>
      <c r="CV25" s="213"/>
      <c r="CW25" s="213"/>
      <c r="CX25" s="214"/>
    </row>
    <row r="26" spans="2:102" x14ac:dyDescent="0.2">
      <c r="B26" s="189">
        <v>270</v>
      </c>
      <c r="C26" s="215"/>
      <c r="D26" s="216"/>
      <c r="E26" s="216"/>
      <c r="F26" s="216"/>
      <c r="G26" s="216"/>
      <c r="H26" s="216"/>
      <c r="I26" s="216"/>
      <c r="J26" s="216"/>
      <c r="K26" s="216"/>
      <c r="L26" s="216"/>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213"/>
      <c r="BL26" s="213"/>
      <c r="BM26" s="213"/>
      <c r="BN26" s="213"/>
      <c r="BO26" s="213"/>
      <c r="BP26" s="213"/>
      <c r="BQ26" s="213"/>
      <c r="BR26" s="213"/>
      <c r="BS26" s="213"/>
      <c r="BT26" s="213"/>
      <c r="BU26" s="213"/>
      <c r="BV26" s="213"/>
      <c r="BW26" s="213"/>
      <c r="BX26" s="213"/>
      <c r="BY26" s="213"/>
      <c r="BZ26" s="213"/>
      <c r="CA26" s="213"/>
      <c r="CB26" s="213"/>
      <c r="CC26" s="213"/>
      <c r="CD26" s="213"/>
      <c r="CE26" s="213"/>
      <c r="CF26" s="213"/>
      <c r="CG26" s="213"/>
      <c r="CH26" s="213"/>
      <c r="CI26" s="213"/>
      <c r="CJ26" s="213"/>
      <c r="CK26" s="213"/>
      <c r="CL26" s="213"/>
      <c r="CM26" s="213"/>
      <c r="CN26" s="213"/>
      <c r="CO26" s="213"/>
      <c r="CP26" s="213"/>
      <c r="CQ26" s="213"/>
      <c r="CR26" s="213"/>
      <c r="CS26" s="213"/>
      <c r="CT26" s="213"/>
      <c r="CU26" s="213"/>
      <c r="CV26" s="213"/>
      <c r="CW26" s="213"/>
      <c r="CX26" s="214"/>
    </row>
    <row r="27" spans="2:102" x14ac:dyDescent="0.2">
      <c r="B27" s="189">
        <v>275</v>
      </c>
      <c r="C27" s="212"/>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213"/>
      <c r="BL27" s="213"/>
      <c r="BM27" s="213"/>
      <c r="BN27" s="213"/>
      <c r="BO27" s="213"/>
      <c r="BP27" s="213"/>
      <c r="BQ27" s="213"/>
      <c r="BR27" s="213"/>
      <c r="BS27" s="213"/>
      <c r="BT27" s="213"/>
      <c r="BU27" s="213"/>
      <c r="BV27" s="213"/>
      <c r="BW27" s="213"/>
      <c r="BX27" s="213"/>
      <c r="BY27" s="213"/>
      <c r="BZ27" s="213"/>
      <c r="CA27" s="213"/>
      <c r="CB27" s="213"/>
      <c r="CC27" s="213"/>
      <c r="CD27" s="213"/>
      <c r="CE27" s="213"/>
      <c r="CF27" s="213"/>
      <c r="CG27" s="213"/>
      <c r="CH27" s="213"/>
      <c r="CI27" s="213"/>
      <c r="CJ27" s="213"/>
      <c r="CK27" s="213"/>
      <c r="CL27" s="213"/>
      <c r="CM27" s="213"/>
      <c r="CN27" s="213"/>
      <c r="CO27" s="213"/>
      <c r="CP27" s="213"/>
      <c r="CQ27" s="213"/>
      <c r="CR27" s="213"/>
      <c r="CS27" s="213"/>
      <c r="CT27" s="213"/>
      <c r="CU27" s="213"/>
      <c r="CV27" s="213"/>
      <c r="CW27" s="213"/>
      <c r="CX27" s="214"/>
    </row>
    <row r="28" spans="2:102" x14ac:dyDescent="0.2">
      <c r="B28" s="189">
        <v>280</v>
      </c>
      <c r="C28" s="212"/>
      <c r="D28" s="121"/>
      <c r="E28" s="121"/>
      <c r="F28" s="121"/>
      <c r="G28" s="121"/>
      <c r="H28" s="121"/>
      <c r="I28" s="121"/>
      <c r="J28" s="121"/>
      <c r="K28" s="121"/>
      <c r="L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213"/>
      <c r="BL28" s="213"/>
      <c r="BM28" s="213"/>
      <c r="BN28" s="213"/>
      <c r="BO28" s="213"/>
      <c r="BP28" s="213"/>
      <c r="BQ28" s="213"/>
      <c r="BR28" s="213"/>
      <c r="BS28" s="213"/>
      <c r="BT28" s="213"/>
      <c r="BU28" s="213"/>
      <c r="BV28" s="213"/>
      <c r="BW28" s="213"/>
      <c r="BX28" s="213"/>
      <c r="BY28" s="213"/>
      <c r="BZ28" s="213"/>
      <c r="CA28" s="213"/>
      <c r="CB28" s="213"/>
      <c r="CC28" s="213"/>
      <c r="CD28" s="213"/>
      <c r="CE28" s="213"/>
      <c r="CF28" s="213"/>
      <c r="CG28" s="213"/>
      <c r="CH28" s="213"/>
      <c r="CI28" s="213"/>
      <c r="CJ28" s="213"/>
      <c r="CK28" s="213"/>
      <c r="CL28" s="213"/>
      <c r="CM28" s="213"/>
      <c r="CN28" s="213"/>
      <c r="CO28" s="213"/>
      <c r="CP28" s="213"/>
      <c r="CQ28" s="213"/>
      <c r="CR28" s="213"/>
      <c r="CS28" s="213"/>
      <c r="CT28" s="213"/>
      <c r="CU28" s="213"/>
      <c r="CV28" s="213"/>
      <c r="CW28" s="213"/>
      <c r="CX28" s="214"/>
    </row>
    <row r="29" spans="2:102" x14ac:dyDescent="0.2">
      <c r="B29" s="189">
        <v>290</v>
      </c>
      <c r="C29" s="212"/>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213"/>
      <c r="BL29" s="213"/>
      <c r="BM29" s="213"/>
      <c r="BN29" s="213"/>
      <c r="BO29" s="213"/>
      <c r="BP29" s="213"/>
      <c r="BQ29" s="213"/>
      <c r="BR29" s="213"/>
      <c r="BS29" s="213"/>
      <c r="BT29" s="213"/>
      <c r="BU29" s="213"/>
      <c r="BV29" s="213"/>
      <c r="BW29" s="213"/>
      <c r="BX29" s="213"/>
      <c r="BY29" s="213"/>
      <c r="BZ29" s="213"/>
      <c r="CA29" s="213"/>
      <c r="CB29" s="213"/>
      <c r="CC29" s="213"/>
      <c r="CD29" s="213"/>
      <c r="CE29" s="213"/>
      <c r="CF29" s="213"/>
      <c r="CG29" s="213"/>
      <c r="CH29" s="213"/>
      <c r="CI29" s="213"/>
      <c r="CJ29" s="213"/>
      <c r="CK29" s="213"/>
      <c r="CL29" s="213"/>
      <c r="CM29" s="213"/>
      <c r="CN29" s="213"/>
      <c r="CO29" s="213"/>
      <c r="CP29" s="213"/>
      <c r="CQ29" s="213"/>
      <c r="CR29" s="213"/>
      <c r="CS29" s="213"/>
      <c r="CT29" s="213"/>
      <c r="CU29" s="213"/>
      <c r="CV29" s="213"/>
      <c r="CW29" s="213"/>
      <c r="CX29" s="214"/>
    </row>
    <row r="30" spans="2:102" x14ac:dyDescent="0.2">
      <c r="B30" s="189">
        <v>300</v>
      </c>
      <c r="C30" s="212"/>
      <c r="D30" s="121"/>
      <c r="E30" s="121"/>
      <c r="F30" s="121"/>
      <c r="G30" s="121"/>
      <c r="H30" s="121"/>
      <c r="I30" s="121"/>
      <c r="J30" s="121"/>
      <c r="K30" s="121"/>
      <c r="L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213"/>
      <c r="BL30" s="213"/>
      <c r="BM30" s="213"/>
      <c r="BN30" s="213"/>
      <c r="BO30" s="213"/>
      <c r="BP30" s="213"/>
      <c r="BQ30" s="213"/>
      <c r="BR30" s="213"/>
      <c r="BS30" s="213"/>
      <c r="BT30" s="213"/>
      <c r="BU30" s="213"/>
      <c r="BV30" s="213"/>
      <c r="BW30" s="213"/>
      <c r="BX30" s="213"/>
      <c r="BY30" s="213"/>
      <c r="BZ30" s="213"/>
      <c r="CA30" s="213"/>
      <c r="CB30" s="213"/>
      <c r="CC30" s="213"/>
      <c r="CD30" s="213"/>
      <c r="CE30" s="213"/>
      <c r="CF30" s="213"/>
      <c r="CG30" s="213"/>
      <c r="CH30" s="213"/>
      <c r="CI30" s="213"/>
      <c r="CJ30" s="213"/>
      <c r="CK30" s="213"/>
      <c r="CL30" s="213"/>
      <c r="CM30" s="213"/>
      <c r="CN30" s="213"/>
      <c r="CO30" s="213"/>
      <c r="CP30" s="213"/>
      <c r="CQ30" s="213"/>
      <c r="CR30" s="213"/>
      <c r="CS30" s="213"/>
      <c r="CT30" s="213"/>
      <c r="CU30" s="213"/>
      <c r="CV30" s="213"/>
      <c r="CW30" s="213"/>
      <c r="CX30" s="214"/>
    </row>
    <row r="31" spans="2:102" x14ac:dyDescent="0.2">
      <c r="B31" s="189">
        <v>310</v>
      </c>
      <c r="C31" s="212"/>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213"/>
      <c r="BL31" s="213"/>
      <c r="BM31" s="213"/>
      <c r="BN31" s="213"/>
      <c r="BO31" s="213"/>
      <c r="BP31" s="213"/>
      <c r="BQ31" s="213"/>
      <c r="BR31" s="213"/>
      <c r="BS31" s="213"/>
      <c r="BT31" s="213"/>
      <c r="BU31" s="213"/>
      <c r="BV31" s="213"/>
      <c r="BW31" s="213"/>
      <c r="BX31" s="213"/>
      <c r="BY31" s="213"/>
      <c r="BZ31" s="213"/>
      <c r="CA31" s="213"/>
      <c r="CB31" s="213"/>
      <c r="CC31" s="213"/>
      <c r="CD31" s="213"/>
      <c r="CE31" s="213"/>
      <c r="CF31" s="213"/>
      <c r="CG31" s="213"/>
      <c r="CH31" s="213"/>
      <c r="CI31" s="213"/>
      <c r="CJ31" s="213"/>
      <c r="CK31" s="213"/>
      <c r="CL31" s="213"/>
      <c r="CM31" s="213"/>
      <c r="CN31" s="213"/>
      <c r="CO31" s="213"/>
      <c r="CP31" s="213"/>
      <c r="CQ31" s="213"/>
      <c r="CR31" s="213"/>
      <c r="CS31" s="213"/>
      <c r="CT31" s="213"/>
      <c r="CU31" s="213"/>
      <c r="CV31" s="213"/>
      <c r="CW31" s="213"/>
      <c r="CX31" s="214"/>
    </row>
    <row r="32" spans="2:102" x14ac:dyDescent="0.2">
      <c r="B32" s="189">
        <v>320</v>
      </c>
      <c r="C32" s="212"/>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213"/>
      <c r="BL32" s="213"/>
      <c r="BM32" s="213"/>
      <c r="BN32" s="213"/>
      <c r="BO32" s="213"/>
      <c r="BP32" s="213"/>
      <c r="BQ32" s="213"/>
      <c r="BR32" s="213"/>
      <c r="BS32" s="213"/>
      <c r="BT32" s="213"/>
      <c r="BU32" s="213"/>
      <c r="BV32" s="213"/>
      <c r="BW32" s="213"/>
      <c r="BX32" s="213"/>
      <c r="BY32" s="213"/>
      <c r="BZ32" s="213"/>
      <c r="CA32" s="213"/>
      <c r="CB32" s="213"/>
      <c r="CC32" s="213"/>
      <c r="CD32" s="213"/>
      <c r="CE32" s="213"/>
      <c r="CF32" s="213"/>
      <c r="CG32" s="213"/>
      <c r="CH32" s="213"/>
      <c r="CI32" s="213"/>
      <c r="CJ32" s="213"/>
      <c r="CK32" s="213"/>
      <c r="CL32" s="213"/>
      <c r="CM32" s="213"/>
      <c r="CN32" s="213"/>
      <c r="CO32" s="213"/>
      <c r="CP32" s="213"/>
      <c r="CQ32" s="213"/>
      <c r="CR32" s="213"/>
      <c r="CS32" s="213"/>
      <c r="CT32" s="213"/>
      <c r="CU32" s="213"/>
      <c r="CV32" s="213"/>
      <c r="CW32" s="213"/>
      <c r="CX32" s="214"/>
    </row>
    <row r="33" spans="2:102" x14ac:dyDescent="0.2">
      <c r="B33" s="189">
        <v>325</v>
      </c>
      <c r="C33" s="212"/>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213"/>
      <c r="BL33" s="213"/>
      <c r="BM33" s="213"/>
      <c r="BN33" s="213"/>
      <c r="BO33" s="213"/>
      <c r="BP33" s="213"/>
      <c r="BQ33" s="213"/>
      <c r="BR33" s="213"/>
      <c r="BS33" s="213"/>
      <c r="BT33" s="213"/>
      <c r="BU33" s="213"/>
      <c r="BV33" s="213"/>
      <c r="BW33" s="213"/>
      <c r="BX33" s="213"/>
      <c r="BY33" s="213"/>
      <c r="BZ33" s="213"/>
      <c r="CA33" s="213"/>
      <c r="CB33" s="213"/>
      <c r="CC33" s="213"/>
      <c r="CD33" s="213"/>
      <c r="CE33" s="213"/>
      <c r="CF33" s="213"/>
      <c r="CG33" s="213"/>
      <c r="CH33" s="213"/>
      <c r="CI33" s="213"/>
      <c r="CJ33" s="213"/>
      <c r="CK33" s="213"/>
      <c r="CL33" s="213"/>
      <c r="CM33" s="213"/>
      <c r="CN33" s="213"/>
      <c r="CO33" s="213"/>
      <c r="CP33" s="213"/>
      <c r="CQ33" s="213"/>
      <c r="CR33" s="213"/>
      <c r="CS33" s="213"/>
      <c r="CT33" s="213"/>
      <c r="CU33" s="213"/>
      <c r="CV33" s="213"/>
      <c r="CW33" s="213"/>
      <c r="CX33" s="214"/>
    </row>
    <row r="34" spans="2:102" x14ac:dyDescent="0.2">
      <c r="B34" s="189">
        <v>330</v>
      </c>
      <c r="C34" s="212"/>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213"/>
      <c r="BL34" s="213"/>
      <c r="BM34" s="213"/>
      <c r="BN34" s="213"/>
      <c r="BO34" s="213"/>
      <c r="BP34" s="213"/>
      <c r="BQ34" s="213"/>
      <c r="BR34" s="213"/>
      <c r="BS34" s="213"/>
      <c r="BT34" s="213"/>
      <c r="BU34" s="213"/>
      <c r="BV34" s="213"/>
      <c r="BW34" s="213"/>
      <c r="BX34" s="213"/>
      <c r="BY34" s="213"/>
      <c r="BZ34" s="213"/>
      <c r="CA34" s="213"/>
      <c r="CB34" s="213"/>
      <c r="CC34" s="213"/>
      <c r="CD34" s="213"/>
      <c r="CE34" s="213"/>
      <c r="CF34" s="213"/>
      <c r="CG34" s="213"/>
      <c r="CH34" s="213"/>
      <c r="CI34" s="213"/>
      <c r="CJ34" s="213"/>
      <c r="CK34" s="213"/>
      <c r="CL34" s="213"/>
      <c r="CM34" s="213"/>
      <c r="CN34" s="213"/>
      <c r="CO34" s="213"/>
      <c r="CP34" s="213"/>
      <c r="CQ34" s="213"/>
      <c r="CR34" s="213"/>
      <c r="CS34" s="213"/>
      <c r="CT34" s="213"/>
      <c r="CU34" s="213"/>
      <c r="CV34" s="213"/>
      <c r="CW34" s="213"/>
      <c r="CX34" s="214"/>
    </row>
    <row r="35" spans="2:102" x14ac:dyDescent="0.2">
      <c r="B35" s="189">
        <v>340</v>
      </c>
      <c r="C35" s="212"/>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213"/>
      <c r="BL35" s="213"/>
      <c r="BM35" s="213"/>
      <c r="BN35" s="213"/>
      <c r="BO35" s="213"/>
      <c r="BP35" s="213"/>
      <c r="BQ35" s="213"/>
      <c r="BR35" s="213"/>
      <c r="BS35" s="213"/>
      <c r="BT35" s="213"/>
      <c r="BU35" s="213"/>
      <c r="BV35" s="213"/>
      <c r="BW35" s="213"/>
      <c r="BX35" s="213"/>
      <c r="BY35" s="213"/>
      <c r="BZ35" s="213"/>
      <c r="CA35" s="213"/>
      <c r="CB35" s="213"/>
      <c r="CC35" s="213"/>
      <c r="CD35" s="213"/>
      <c r="CE35" s="213"/>
      <c r="CF35" s="213"/>
      <c r="CG35" s="213"/>
      <c r="CH35" s="213"/>
      <c r="CI35" s="213"/>
      <c r="CJ35" s="213"/>
      <c r="CK35" s="213"/>
      <c r="CL35" s="213"/>
      <c r="CM35" s="213"/>
      <c r="CN35" s="213"/>
      <c r="CO35" s="213"/>
      <c r="CP35" s="213"/>
      <c r="CQ35" s="213"/>
      <c r="CR35" s="213"/>
      <c r="CS35" s="213"/>
      <c r="CT35" s="213"/>
      <c r="CU35" s="213"/>
      <c r="CV35" s="213"/>
      <c r="CW35" s="213"/>
      <c r="CX35" s="214"/>
    </row>
    <row r="36" spans="2:102" x14ac:dyDescent="0.2">
      <c r="B36" s="189">
        <v>350</v>
      </c>
      <c r="C36" s="212"/>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213"/>
      <c r="BL36" s="213"/>
      <c r="BM36" s="213"/>
      <c r="BN36" s="213"/>
      <c r="BO36" s="213"/>
      <c r="BP36" s="213"/>
      <c r="BQ36" s="213"/>
      <c r="BR36" s="213"/>
      <c r="BS36" s="213"/>
      <c r="BT36" s="213"/>
      <c r="BU36" s="213"/>
      <c r="BV36" s="213"/>
      <c r="BW36" s="213"/>
      <c r="BX36" s="213"/>
      <c r="BY36" s="213"/>
      <c r="BZ36" s="213"/>
      <c r="CA36" s="213"/>
      <c r="CB36" s="213"/>
      <c r="CC36" s="213"/>
      <c r="CD36" s="213"/>
      <c r="CE36" s="213"/>
      <c r="CF36" s="213"/>
      <c r="CG36" s="213"/>
      <c r="CH36" s="213"/>
      <c r="CI36" s="213"/>
      <c r="CJ36" s="213"/>
      <c r="CK36" s="213"/>
      <c r="CL36" s="213"/>
      <c r="CM36" s="213"/>
      <c r="CN36" s="213"/>
      <c r="CO36" s="213"/>
      <c r="CP36" s="213"/>
      <c r="CQ36" s="213"/>
      <c r="CR36" s="213"/>
      <c r="CS36" s="213"/>
      <c r="CT36" s="213"/>
      <c r="CU36" s="213"/>
      <c r="CV36" s="213"/>
      <c r="CW36" s="213"/>
      <c r="CX36" s="214"/>
    </row>
    <row r="37" spans="2:102" x14ac:dyDescent="0.2">
      <c r="B37" s="189">
        <v>360</v>
      </c>
      <c r="C37" s="212"/>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213"/>
      <c r="BL37" s="213"/>
      <c r="BM37" s="213"/>
      <c r="BN37" s="213"/>
      <c r="BO37" s="213"/>
      <c r="BP37" s="213"/>
      <c r="BQ37" s="213"/>
      <c r="BR37" s="213"/>
      <c r="BS37" s="213"/>
      <c r="BT37" s="213"/>
      <c r="BU37" s="213"/>
      <c r="BV37" s="213"/>
      <c r="BW37" s="213"/>
      <c r="BX37" s="213"/>
      <c r="BY37" s="213"/>
      <c r="BZ37" s="213"/>
      <c r="CA37" s="213"/>
      <c r="CB37" s="213"/>
      <c r="CC37" s="213"/>
      <c r="CD37" s="213"/>
      <c r="CE37" s="213"/>
      <c r="CF37" s="213"/>
      <c r="CG37" s="213"/>
      <c r="CH37" s="213"/>
      <c r="CI37" s="213"/>
      <c r="CJ37" s="213"/>
      <c r="CK37" s="213"/>
      <c r="CL37" s="213"/>
      <c r="CM37" s="213"/>
      <c r="CN37" s="213"/>
      <c r="CO37" s="213"/>
      <c r="CP37" s="213"/>
      <c r="CQ37" s="213"/>
      <c r="CR37" s="213"/>
      <c r="CS37" s="213"/>
      <c r="CT37" s="213"/>
      <c r="CU37" s="213"/>
      <c r="CV37" s="213"/>
      <c r="CW37" s="213"/>
      <c r="CX37" s="214"/>
    </row>
    <row r="38" spans="2:102" x14ac:dyDescent="0.2">
      <c r="B38" s="189">
        <v>370</v>
      </c>
      <c r="C38" s="212"/>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213"/>
      <c r="BL38" s="213"/>
      <c r="BM38" s="213"/>
      <c r="BN38" s="213"/>
      <c r="BO38" s="213"/>
      <c r="BP38" s="213"/>
      <c r="BQ38" s="213"/>
      <c r="BR38" s="213"/>
      <c r="BS38" s="213"/>
      <c r="BT38" s="213"/>
      <c r="BU38" s="213"/>
      <c r="BV38" s="213"/>
      <c r="BW38" s="213"/>
      <c r="BX38" s="213"/>
      <c r="BY38" s="213"/>
      <c r="BZ38" s="213"/>
      <c r="CA38" s="213"/>
      <c r="CB38" s="213"/>
      <c r="CC38" s="213"/>
      <c r="CD38" s="213"/>
      <c r="CE38" s="213"/>
      <c r="CF38" s="213"/>
      <c r="CG38" s="213"/>
      <c r="CH38" s="213"/>
      <c r="CI38" s="213"/>
      <c r="CJ38" s="213"/>
      <c r="CK38" s="213"/>
      <c r="CL38" s="213"/>
      <c r="CM38" s="213"/>
      <c r="CN38" s="213"/>
      <c r="CO38" s="213"/>
      <c r="CP38" s="213"/>
      <c r="CQ38" s="213"/>
      <c r="CR38" s="213"/>
      <c r="CS38" s="213"/>
      <c r="CT38" s="213"/>
      <c r="CU38" s="213"/>
      <c r="CV38" s="213"/>
      <c r="CW38" s="213"/>
      <c r="CX38" s="214"/>
    </row>
    <row r="39" spans="2:102" x14ac:dyDescent="0.2">
      <c r="B39" s="189">
        <v>375</v>
      </c>
      <c r="C39" s="212"/>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213"/>
      <c r="BL39" s="213"/>
      <c r="BM39" s="213"/>
      <c r="BN39" s="213"/>
      <c r="BO39" s="213"/>
      <c r="BP39" s="213"/>
      <c r="BQ39" s="213"/>
      <c r="BR39" s="213"/>
      <c r="BS39" s="213"/>
      <c r="BT39" s="213"/>
      <c r="BU39" s="213"/>
      <c r="BV39" s="213"/>
      <c r="BW39" s="213"/>
      <c r="BX39" s="213"/>
      <c r="BY39" s="213"/>
      <c r="BZ39" s="213"/>
      <c r="CA39" s="213"/>
      <c r="CB39" s="213"/>
      <c r="CC39" s="213"/>
      <c r="CD39" s="213"/>
      <c r="CE39" s="213"/>
      <c r="CF39" s="213"/>
      <c r="CG39" s="213"/>
      <c r="CH39" s="213"/>
      <c r="CI39" s="213"/>
      <c r="CJ39" s="213"/>
      <c r="CK39" s="213"/>
      <c r="CL39" s="213"/>
      <c r="CM39" s="213"/>
      <c r="CN39" s="213"/>
      <c r="CO39" s="213"/>
      <c r="CP39" s="213"/>
      <c r="CQ39" s="213"/>
      <c r="CR39" s="213"/>
      <c r="CS39" s="213"/>
      <c r="CT39" s="213"/>
      <c r="CU39" s="213"/>
      <c r="CV39" s="213"/>
      <c r="CW39" s="213"/>
      <c r="CX39" s="214"/>
    </row>
    <row r="40" spans="2:102" x14ac:dyDescent="0.2">
      <c r="B40" s="189">
        <v>380</v>
      </c>
      <c r="C40" s="212"/>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213"/>
      <c r="BL40" s="213"/>
      <c r="BM40" s="213"/>
      <c r="BN40" s="213"/>
      <c r="BO40" s="213"/>
      <c r="BP40" s="213"/>
      <c r="BQ40" s="213"/>
      <c r="BR40" s="213"/>
      <c r="BS40" s="213"/>
      <c r="BT40" s="213"/>
      <c r="BU40" s="213"/>
      <c r="BV40" s="213"/>
      <c r="BW40" s="213"/>
      <c r="BX40" s="213"/>
      <c r="BY40" s="213"/>
      <c r="BZ40" s="213"/>
      <c r="CA40" s="213"/>
      <c r="CB40" s="213"/>
      <c r="CC40" s="213"/>
      <c r="CD40" s="213"/>
      <c r="CE40" s="213"/>
      <c r="CF40" s="213"/>
      <c r="CG40" s="213"/>
      <c r="CH40" s="213"/>
      <c r="CI40" s="213"/>
      <c r="CJ40" s="213"/>
      <c r="CK40" s="213"/>
      <c r="CL40" s="213"/>
      <c r="CM40" s="213"/>
      <c r="CN40" s="213"/>
      <c r="CO40" s="213"/>
      <c r="CP40" s="213"/>
      <c r="CQ40" s="213"/>
      <c r="CR40" s="213"/>
      <c r="CS40" s="213"/>
      <c r="CT40" s="213"/>
      <c r="CU40" s="213"/>
      <c r="CV40" s="213"/>
      <c r="CW40" s="213"/>
      <c r="CX40" s="214"/>
    </row>
    <row r="41" spans="2:102" x14ac:dyDescent="0.2">
      <c r="B41" s="189">
        <v>390</v>
      </c>
      <c r="C41" s="212"/>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213"/>
      <c r="BL41" s="213"/>
      <c r="BM41" s="213"/>
      <c r="BN41" s="213"/>
      <c r="BO41" s="213"/>
      <c r="BP41" s="213"/>
      <c r="BQ41" s="213"/>
      <c r="BR41" s="213"/>
      <c r="BS41" s="213"/>
      <c r="BT41" s="213"/>
      <c r="BU41" s="213"/>
      <c r="BV41" s="213"/>
      <c r="BW41" s="213"/>
      <c r="BX41" s="213"/>
      <c r="BY41" s="213"/>
      <c r="BZ41" s="213"/>
      <c r="CA41" s="213"/>
      <c r="CB41" s="213"/>
      <c r="CC41" s="213"/>
      <c r="CD41" s="213"/>
      <c r="CE41" s="213"/>
      <c r="CF41" s="213"/>
      <c r="CG41" s="213"/>
      <c r="CH41" s="213"/>
      <c r="CI41" s="213"/>
      <c r="CJ41" s="213"/>
      <c r="CK41" s="213"/>
      <c r="CL41" s="213"/>
      <c r="CM41" s="213"/>
      <c r="CN41" s="213"/>
      <c r="CO41" s="213"/>
      <c r="CP41" s="213"/>
      <c r="CQ41" s="213"/>
      <c r="CR41" s="213"/>
      <c r="CS41" s="213"/>
      <c r="CT41" s="213"/>
      <c r="CU41" s="213"/>
      <c r="CV41" s="213"/>
      <c r="CW41" s="213"/>
      <c r="CX41" s="214"/>
    </row>
    <row r="42" spans="2:102" x14ac:dyDescent="0.2">
      <c r="B42" s="189">
        <v>400</v>
      </c>
      <c r="C42" s="212"/>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213"/>
      <c r="BL42" s="213"/>
      <c r="BM42" s="213"/>
      <c r="BN42" s="213"/>
      <c r="BO42" s="213"/>
      <c r="BP42" s="213"/>
      <c r="BQ42" s="213"/>
      <c r="BR42" s="213"/>
      <c r="BS42" s="213"/>
      <c r="BT42" s="213"/>
      <c r="BU42" s="213"/>
      <c r="BV42" s="213"/>
      <c r="BW42" s="213"/>
      <c r="BX42" s="213"/>
      <c r="BY42" s="213"/>
      <c r="BZ42" s="213"/>
      <c r="CA42" s="213"/>
      <c r="CB42" s="213"/>
      <c r="CC42" s="213"/>
      <c r="CD42" s="213"/>
      <c r="CE42" s="213"/>
      <c r="CF42" s="213"/>
      <c r="CG42" s="213"/>
      <c r="CH42" s="213"/>
      <c r="CI42" s="213"/>
      <c r="CJ42" s="213"/>
      <c r="CK42" s="213"/>
      <c r="CL42" s="213"/>
      <c r="CM42" s="213"/>
      <c r="CN42" s="213"/>
      <c r="CO42" s="213"/>
      <c r="CP42" s="213"/>
      <c r="CQ42" s="213"/>
      <c r="CR42" s="213"/>
      <c r="CS42" s="213"/>
      <c r="CT42" s="213"/>
      <c r="CU42" s="213"/>
      <c r="CV42" s="213"/>
      <c r="CW42" s="213"/>
      <c r="CX42" s="214"/>
    </row>
    <row r="43" spans="2:102" x14ac:dyDescent="0.2">
      <c r="B43" s="189">
        <v>410</v>
      </c>
      <c r="C43" s="212"/>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213"/>
      <c r="BL43" s="213"/>
      <c r="BM43" s="213"/>
      <c r="BN43" s="213"/>
      <c r="BO43" s="213"/>
      <c r="BP43" s="213"/>
      <c r="BQ43" s="213"/>
      <c r="BR43" s="213"/>
      <c r="BS43" s="213"/>
      <c r="BT43" s="213"/>
      <c r="BU43" s="213"/>
      <c r="BV43" s="213"/>
      <c r="BW43" s="213"/>
      <c r="BX43" s="213"/>
      <c r="BY43" s="213"/>
      <c r="BZ43" s="213"/>
      <c r="CA43" s="213"/>
      <c r="CB43" s="213"/>
      <c r="CC43" s="213"/>
      <c r="CD43" s="213"/>
      <c r="CE43" s="213"/>
      <c r="CF43" s="213"/>
      <c r="CG43" s="213"/>
      <c r="CH43" s="213"/>
      <c r="CI43" s="213"/>
      <c r="CJ43" s="213"/>
      <c r="CK43" s="213"/>
      <c r="CL43" s="213"/>
      <c r="CM43" s="213"/>
      <c r="CN43" s="213"/>
      <c r="CO43" s="213"/>
      <c r="CP43" s="213"/>
      <c r="CQ43" s="213"/>
      <c r="CR43" s="213"/>
      <c r="CS43" s="213"/>
      <c r="CT43" s="213"/>
      <c r="CU43" s="213"/>
      <c r="CV43" s="213"/>
      <c r="CW43" s="213"/>
      <c r="CX43" s="214"/>
    </row>
    <row r="44" spans="2:102" x14ac:dyDescent="0.2">
      <c r="B44" s="189">
        <v>420</v>
      </c>
      <c r="C44" s="212"/>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213"/>
      <c r="BL44" s="213"/>
      <c r="BM44" s="213"/>
      <c r="BN44" s="213"/>
      <c r="BO44" s="213"/>
      <c r="BP44" s="213"/>
      <c r="BQ44" s="213"/>
      <c r="BR44" s="213"/>
      <c r="BS44" s="213"/>
      <c r="BT44" s="213"/>
      <c r="BU44" s="213"/>
      <c r="BV44" s="213"/>
      <c r="BW44" s="213"/>
      <c r="BX44" s="213"/>
      <c r="BY44" s="213"/>
      <c r="BZ44" s="213"/>
      <c r="CA44" s="213"/>
      <c r="CB44" s="213"/>
      <c r="CC44" s="213"/>
      <c r="CD44" s="213"/>
      <c r="CE44" s="213"/>
      <c r="CF44" s="213"/>
      <c r="CG44" s="213"/>
      <c r="CH44" s="213"/>
      <c r="CI44" s="213"/>
      <c r="CJ44" s="213"/>
      <c r="CK44" s="213"/>
      <c r="CL44" s="213"/>
      <c r="CM44" s="213"/>
      <c r="CN44" s="213"/>
      <c r="CO44" s="213"/>
      <c r="CP44" s="213"/>
      <c r="CQ44" s="213"/>
      <c r="CR44" s="213"/>
      <c r="CS44" s="213"/>
      <c r="CT44" s="213"/>
      <c r="CU44" s="213"/>
      <c r="CV44" s="213"/>
      <c r="CW44" s="213"/>
      <c r="CX44" s="214"/>
    </row>
    <row r="45" spans="2:102" x14ac:dyDescent="0.2">
      <c r="B45" s="189">
        <v>425</v>
      </c>
      <c r="C45" s="212"/>
      <c r="D45" s="121"/>
      <c r="E45" s="121"/>
      <c r="F45" s="121"/>
      <c r="G45" s="121"/>
      <c r="H45" s="121"/>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213"/>
      <c r="BL45" s="213"/>
      <c r="BM45" s="213"/>
      <c r="BN45" s="213"/>
      <c r="BO45" s="213"/>
      <c r="BP45" s="213"/>
      <c r="BQ45" s="213"/>
      <c r="BR45" s="213"/>
      <c r="BS45" s="213"/>
      <c r="BT45" s="213"/>
      <c r="BU45" s="213"/>
      <c r="BV45" s="213"/>
      <c r="BW45" s="213"/>
      <c r="BX45" s="213"/>
      <c r="BY45" s="213"/>
      <c r="BZ45" s="213"/>
      <c r="CA45" s="213"/>
      <c r="CB45" s="213"/>
      <c r="CC45" s="213"/>
      <c r="CD45" s="213"/>
      <c r="CE45" s="213"/>
      <c r="CF45" s="213"/>
      <c r="CG45" s="213"/>
      <c r="CH45" s="213"/>
      <c r="CI45" s="213"/>
      <c r="CJ45" s="213"/>
      <c r="CK45" s="213"/>
      <c r="CL45" s="213"/>
      <c r="CM45" s="213"/>
      <c r="CN45" s="213"/>
      <c r="CO45" s="213"/>
      <c r="CP45" s="213"/>
      <c r="CQ45" s="213"/>
      <c r="CR45" s="213"/>
      <c r="CS45" s="213"/>
      <c r="CT45" s="213"/>
      <c r="CU45" s="213"/>
      <c r="CV45" s="213"/>
      <c r="CW45" s="213"/>
      <c r="CX45" s="214"/>
    </row>
    <row r="46" spans="2:102" x14ac:dyDescent="0.2">
      <c r="B46" s="189">
        <v>430</v>
      </c>
      <c r="C46" s="212"/>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213"/>
      <c r="BL46" s="213"/>
      <c r="BM46" s="213"/>
      <c r="BN46" s="213"/>
      <c r="BO46" s="213"/>
      <c r="BP46" s="213"/>
      <c r="BQ46" s="213"/>
      <c r="BR46" s="213"/>
      <c r="BS46" s="213"/>
      <c r="BT46" s="213"/>
      <c r="BU46" s="213"/>
      <c r="BV46" s="213"/>
      <c r="BW46" s="213"/>
      <c r="BX46" s="213"/>
      <c r="BY46" s="213"/>
      <c r="BZ46" s="213"/>
      <c r="CA46" s="213"/>
      <c r="CB46" s="213"/>
      <c r="CC46" s="213"/>
      <c r="CD46" s="213"/>
      <c r="CE46" s="213"/>
      <c r="CF46" s="213"/>
      <c r="CG46" s="213"/>
      <c r="CH46" s="213"/>
      <c r="CI46" s="213"/>
      <c r="CJ46" s="213"/>
      <c r="CK46" s="213"/>
      <c r="CL46" s="213"/>
      <c r="CM46" s="213"/>
      <c r="CN46" s="213"/>
      <c r="CO46" s="213"/>
      <c r="CP46" s="213"/>
      <c r="CQ46" s="213"/>
      <c r="CR46" s="213"/>
      <c r="CS46" s="213"/>
      <c r="CT46" s="213"/>
      <c r="CU46" s="213"/>
      <c r="CV46" s="213"/>
      <c r="CW46" s="213"/>
      <c r="CX46" s="214"/>
    </row>
    <row r="47" spans="2:102" x14ac:dyDescent="0.2">
      <c r="B47" s="189">
        <v>440</v>
      </c>
      <c r="C47" s="212"/>
      <c r="D47" s="121"/>
      <c r="E47" s="121"/>
      <c r="F47" s="121"/>
      <c r="G47" s="121"/>
      <c r="H47" s="121"/>
      <c r="I47" s="121"/>
      <c r="J47" s="121"/>
      <c r="K47" s="121"/>
      <c r="L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213"/>
      <c r="BL47" s="213"/>
      <c r="BM47" s="213"/>
      <c r="BN47" s="213"/>
      <c r="BO47" s="213"/>
      <c r="BP47" s="213"/>
      <c r="BQ47" s="213"/>
      <c r="BR47" s="213"/>
      <c r="BS47" s="213"/>
      <c r="BT47" s="213"/>
      <c r="BU47" s="213"/>
      <c r="BV47" s="213"/>
      <c r="BW47" s="213"/>
      <c r="BX47" s="213"/>
      <c r="BY47" s="213"/>
      <c r="BZ47" s="213"/>
      <c r="CA47" s="213"/>
      <c r="CB47" s="213"/>
      <c r="CC47" s="213"/>
      <c r="CD47" s="213"/>
      <c r="CE47" s="213"/>
      <c r="CF47" s="213"/>
      <c r="CG47" s="213"/>
      <c r="CH47" s="213"/>
      <c r="CI47" s="213"/>
      <c r="CJ47" s="213"/>
      <c r="CK47" s="213"/>
      <c r="CL47" s="213"/>
      <c r="CM47" s="213"/>
      <c r="CN47" s="213"/>
      <c r="CO47" s="213"/>
      <c r="CP47" s="213"/>
      <c r="CQ47" s="213"/>
      <c r="CR47" s="213"/>
      <c r="CS47" s="213"/>
      <c r="CT47" s="213"/>
      <c r="CU47" s="213"/>
      <c r="CV47" s="213"/>
      <c r="CW47" s="213"/>
      <c r="CX47" s="214"/>
    </row>
    <row r="48" spans="2:102" x14ac:dyDescent="0.2">
      <c r="B48" s="189">
        <v>450</v>
      </c>
      <c r="C48" s="212"/>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213"/>
      <c r="BL48" s="213"/>
      <c r="BM48" s="213"/>
      <c r="BN48" s="213"/>
      <c r="BO48" s="213"/>
      <c r="BP48" s="213"/>
      <c r="BQ48" s="213"/>
      <c r="BR48" s="213"/>
      <c r="BS48" s="213"/>
      <c r="BT48" s="213"/>
      <c r="BU48" s="213"/>
      <c r="BV48" s="213"/>
      <c r="BW48" s="213"/>
      <c r="BX48" s="213"/>
      <c r="BY48" s="213"/>
      <c r="BZ48" s="213"/>
      <c r="CA48" s="213"/>
      <c r="CB48" s="213"/>
      <c r="CC48" s="213"/>
      <c r="CD48" s="213"/>
      <c r="CE48" s="213"/>
      <c r="CF48" s="213"/>
      <c r="CG48" s="213"/>
      <c r="CH48" s="213"/>
      <c r="CI48" s="213"/>
      <c r="CJ48" s="213"/>
      <c r="CK48" s="213"/>
      <c r="CL48" s="213"/>
      <c r="CM48" s="213"/>
      <c r="CN48" s="213"/>
      <c r="CO48" s="213"/>
      <c r="CP48" s="213"/>
      <c r="CQ48" s="213"/>
      <c r="CR48" s="213"/>
      <c r="CS48" s="213"/>
      <c r="CT48" s="213"/>
      <c r="CU48" s="213"/>
      <c r="CV48" s="213"/>
      <c r="CW48" s="213"/>
      <c r="CX48" s="214"/>
    </row>
    <row r="49" spans="2:102" x14ac:dyDescent="0.2">
      <c r="B49" s="189">
        <v>460</v>
      </c>
      <c r="C49" s="212"/>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213"/>
      <c r="BL49" s="213"/>
      <c r="BM49" s="213"/>
      <c r="BN49" s="213"/>
      <c r="BO49" s="213"/>
      <c r="BP49" s="213"/>
      <c r="BQ49" s="213"/>
      <c r="BR49" s="213"/>
      <c r="BS49" s="213"/>
      <c r="BT49" s="213"/>
      <c r="BU49" s="213"/>
      <c r="BV49" s="213"/>
      <c r="BW49" s="213"/>
      <c r="BX49" s="213"/>
      <c r="BY49" s="213"/>
      <c r="BZ49" s="213"/>
      <c r="CA49" s="213"/>
      <c r="CB49" s="213"/>
      <c r="CC49" s="213"/>
      <c r="CD49" s="213"/>
      <c r="CE49" s="213"/>
      <c r="CF49" s="213"/>
      <c r="CG49" s="213"/>
      <c r="CH49" s="213"/>
      <c r="CI49" s="213"/>
      <c r="CJ49" s="213"/>
      <c r="CK49" s="213"/>
      <c r="CL49" s="213"/>
      <c r="CM49" s="213"/>
      <c r="CN49" s="213"/>
      <c r="CO49" s="213"/>
      <c r="CP49" s="213"/>
      <c r="CQ49" s="213"/>
      <c r="CR49" s="213"/>
      <c r="CS49" s="213"/>
      <c r="CT49" s="213"/>
      <c r="CU49" s="213"/>
      <c r="CV49" s="213"/>
      <c r="CW49" s="213"/>
      <c r="CX49" s="214"/>
    </row>
    <row r="50" spans="2:102" x14ac:dyDescent="0.2">
      <c r="B50" s="189">
        <v>470</v>
      </c>
      <c r="C50" s="212"/>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213"/>
      <c r="BL50" s="213"/>
      <c r="BM50" s="213"/>
      <c r="BN50" s="213"/>
      <c r="BO50" s="213"/>
      <c r="BP50" s="213"/>
      <c r="BQ50" s="213"/>
      <c r="BR50" s="213"/>
      <c r="BS50" s="213"/>
      <c r="BT50" s="213"/>
      <c r="BU50" s="213"/>
      <c r="BV50" s="213"/>
      <c r="BW50" s="213"/>
      <c r="BX50" s="213"/>
      <c r="BY50" s="213"/>
      <c r="BZ50" s="213"/>
      <c r="CA50" s="213"/>
      <c r="CB50" s="213"/>
      <c r="CC50" s="213"/>
      <c r="CD50" s="213"/>
      <c r="CE50" s="213"/>
      <c r="CF50" s="213"/>
      <c r="CG50" s="213"/>
      <c r="CH50" s="213"/>
      <c r="CI50" s="213"/>
      <c r="CJ50" s="213"/>
      <c r="CK50" s="213"/>
      <c r="CL50" s="213"/>
      <c r="CM50" s="213"/>
      <c r="CN50" s="213"/>
      <c r="CO50" s="213"/>
      <c r="CP50" s="213"/>
      <c r="CQ50" s="213"/>
      <c r="CR50" s="213"/>
      <c r="CS50" s="213"/>
      <c r="CT50" s="213"/>
      <c r="CU50" s="213"/>
      <c r="CV50" s="213"/>
      <c r="CW50" s="213"/>
      <c r="CX50" s="214"/>
    </row>
    <row r="51" spans="2:102" x14ac:dyDescent="0.2">
      <c r="B51" s="189">
        <v>475</v>
      </c>
      <c r="C51" s="212"/>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213"/>
      <c r="BL51" s="213"/>
      <c r="BM51" s="213"/>
      <c r="BN51" s="213"/>
      <c r="BO51" s="213"/>
      <c r="BP51" s="213"/>
      <c r="BQ51" s="213"/>
      <c r="BR51" s="213"/>
      <c r="BS51" s="213"/>
      <c r="BT51" s="213"/>
      <c r="BU51" s="213"/>
      <c r="BV51" s="213"/>
      <c r="BW51" s="213"/>
      <c r="BX51" s="213"/>
      <c r="BY51" s="213"/>
      <c r="BZ51" s="213"/>
      <c r="CA51" s="213"/>
      <c r="CB51" s="213"/>
      <c r="CC51" s="213"/>
      <c r="CD51" s="213"/>
      <c r="CE51" s="213"/>
      <c r="CF51" s="213"/>
      <c r="CG51" s="213"/>
      <c r="CH51" s="213"/>
      <c r="CI51" s="213"/>
      <c r="CJ51" s="213"/>
      <c r="CK51" s="213"/>
      <c r="CL51" s="213"/>
      <c r="CM51" s="213"/>
      <c r="CN51" s="213"/>
      <c r="CO51" s="213"/>
      <c r="CP51" s="213"/>
      <c r="CQ51" s="213"/>
      <c r="CR51" s="213"/>
      <c r="CS51" s="213"/>
      <c r="CT51" s="213"/>
      <c r="CU51" s="213"/>
      <c r="CV51" s="213"/>
      <c r="CW51" s="213"/>
      <c r="CX51" s="214"/>
    </row>
    <row r="52" spans="2:102" x14ac:dyDescent="0.2">
      <c r="B52" s="189">
        <v>480</v>
      </c>
      <c r="C52" s="212"/>
      <c r="D52" s="121"/>
      <c r="E52" s="121"/>
      <c r="F52" s="121"/>
      <c r="G52" s="121"/>
      <c r="H52" s="121"/>
      <c r="I52" s="121"/>
      <c r="J52" s="121"/>
      <c r="K52" s="121"/>
      <c r="L52" s="121"/>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213"/>
      <c r="BL52" s="213"/>
      <c r="BM52" s="213"/>
      <c r="BN52" s="213"/>
      <c r="BO52" s="213"/>
      <c r="BP52" s="213"/>
      <c r="BQ52" s="213"/>
      <c r="BR52" s="213"/>
      <c r="BS52" s="213"/>
      <c r="BT52" s="213"/>
      <c r="BU52" s="213"/>
      <c r="BV52" s="213"/>
      <c r="BW52" s="213"/>
      <c r="BX52" s="213"/>
      <c r="BY52" s="213"/>
      <c r="BZ52" s="213"/>
      <c r="CA52" s="213"/>
      <c r="CB52" s="213"/>
      <c r="CC52" s="213"/>
      <c r="CD52" s="213"/>
      <c r="CE52" s="213"/>
      <c r="CF52" s="213"/>
      <c r="CG52" s="213"/>
      <c r="CH52" s="213"/>
      <c r="CI52" s="213"/>
      <c r="CJ52" s="213"/>
      <c r="CK52" s="213"/>
      <c r="CL52" s="213"/>
      <c r="CM52" s="213"/>
      <c r="CN52" s="213"/>
      <c r="CO52" s="213"/>
      <c r="CP52" s="213"/>
      <c r="CQ52" s="213"/>
      <c r="CR52" s="213"/>
      <c r="CS52" s="213"/>
      <c r="CT52" s="213"/>
      <c r="CU52" s="213"/>
      <c r="CV52" s="213"/>
      <c r="CW52" s="213"/>
      <c r="CX52" s="214"/>
    </row>
    <row r="53" spans="2:102" x14ac:dyDescent="0.2">
      <c r="B53" s="189">
        <v>490</v>
      </c>
      <c r="C53" s="212"/>
      <c r="D53" s="121"/>
      <c r="E53" s="121"/>
      <c r="F53" s="121"/>
      <c r="G53" s="121"/>
      <c r="H53" s="121"/>
      <c r="I53" s="121"/>
      <c r="J53" s="121"/>
      <c r="K53" s="121"/>
      <c r="L53" s="121"/>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213"/>
      <c r="BL53" s="213"/>
      <c r="BM53" s="213"/>
      <c r="BN53" s="213"/>
      <c r="BO53" s="213"/>
      <c r="BP53" s="213"/>
      <c r="BQ53" s="213"/>
      <c r="BR53" s="213"/>
      <c r="BS53" s="213"/>
      <c r="BT53" s="213"/>
      <c r="BU53" s="213"/>
      <c r="BV53" s="213"/>
      <c r="BW53" s="213"/>
      <c r="BX53" s="213"/>
      <c r="BY53" s="213"/>
      <c r="BZ53" s="213"/>
      <c r="CA53" s="213"/>
      <c r="CB53" s="213"/>
      <c r="CC53" s="213"/>
      <c r="CD53" s="213"/>
      <c r="CE53" s="213"/>
      <c r="CF53" s="213"/>
      <c r="CG53" s="213"/>
      <c r="CH53" s="213"/>
      <c r="CI53" s="213"/>
      <c r="CJ53" s="213"/>
      <c r="CK53" s="213"/>
      <c r="CL53" s="213"/>
      <c r="CM53" s="213"/>
      <c r="CN53" s="213"/>
      <c r="CO53" s="213"/>
      <c r="CP53" s="213"/>
      <c r="CQ53" s="213"/>
      <c r="CR53" s="213"/>
      <c r="CS53" s="213"/>
      <c r="CT53" s="213"/>
      <c r="CU53" s="213"/>
      <c r="CV53" s="213"/>
      <c r="CW53" s="213"/>
      <c r="CX53" s="214"/>
    </row>
    <row r="54" spans="2:102" x14ac:dyDescent="0.2">
      <c r="B54" s="189">
        <v>500</v>
      </c>
      <c r="C54" s="212"/>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213"/>
      <c r="BL54" s="213"/>
      <c r="BM54" s="213"/>
      <c r="BN54" s="213"/>
      <c r="BO54" s="213"/>
      <c r="BP54" s="213"/>
      <c r="BQ54" s="213"/>
      <c r="BR54" s="213"/>
      <c r="BS54" s="213"/>
      <c r="BT54" s="213"/>
      <c r="BU54" s="213"/>
      <c r="BV54" s="213"/>
      <c r="BW54" s="213"/>
      <c r="BX54" s="213"/>
      <c r="BY54" s="213"/>
      <c r="BZ54" s="213"/>
      <c r="CA54" s="213"/>
      <c r="CB54" s="213"/>
      <c r="CC54" s="213"/>
      <c r="CD54" s="213"/>
      <c r="CE54" s="213"/>
      <c r="CF54" s="213"/>
      <c r="CG54" s="213"/>
      <c r="CH54" s="213"/>
      <c r="CI54" s="213"/>
      <c r="CJ54" s="213"/>
      <c r="CK54" s="213"/>
      <c r="CL54" s="213"/>
      <c r="CM54" s="213"/>
      <c r="CN54" s="213"/>
      <c r="CO54" s="213"/>
      <c r="CP54" s="213"/>
      <c r="CQ54" s="213"/>
      <c r="CR54" s="213"/>
      <c r="CS54" s="213"/>
      <c r="CT54" s="213"/>
      <c r="CU54" s="213"/>
      <c r="CV54" s="213"/>
      <c r="CW54" s="213"/>
      <c r="CX54" s="214"/>
    </row>
    <row r="55" spans="2:102" x14ac:dyDescent="0.2">
      <c r="B55" s="189">
        <v>510</v>
      </c>
      <c r="C55" s="212"/>
      <c r="D55" s="121"/>
      <c r="E55" s="121"/>
      <c r="F55" s="121"/>
      <c r="G55" s="121"/>
      <c r="H55" s="121"/>
      <c r="I55" s="121"/>
      <c r="J55" s="121"/>
      <c r="K55" s="121"/>
      <c r="L55" s="121"/>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213"/>
      <c r="BL55" s="213"/>
      <c r="BM55" s="213"/>
      <c r="BN55" s="213"/>
      <c r="BO55" s="213"/>
      <c r="BP55" s="213"/>
      <c r="BQ55" s="213"/>
      <c r="BR55" s="213"/>
      <c r="BS55" s="213"/>
      <c r="BT55" s="213"/>
      <c r="BU55" s="213"/>
      <c r="BV55" s="213"/>
      <c r="BW55" s="213"/>
      <c r="BX55" s="213"/>
      <c r="BY55" s="213"/>
      <c r="BZ55" s="213"/>
      <c r="CA55" s="213"/>
      <c r="CB55" s="213"/>
      <c r="CC55" s="213"/>
      <c r="CD55" s="213"/>
      <c r="CE55" s="213"/>
      <c r="CF55" s="213"/>
      <c r="CG55" s="213"/>
      <c r="CH55" s="213"/>
      <c r="CI55" s="213"/>
      <c r="CJ55" s="213"/>
      <c r="CK55" s="213"/>
      <c r="CL55" s="213"/>
      <c r="CM55" s="213"/>
      <c r="CN55" s="213"/>
      <c r="CO55" s="213"/>
      <c r="CP55" s="213"/>
      <c r="CQ55" s="213"/>
      <c r="CR55" s="213"/>
      <c r="CS55" s="213"/>
      <c r="CT55" s="213"/>
      <c r="CU55" s="213"/>
      <c r="CV55" s="213"/>
      <c r="CW55" s="213"/>
      <c r="CX55" s="214"/>
    </row>
    <row r="56" spans="2:102" x14ac:dyDescent="0.2">
      <c r="B56" s="189">
        <v>520</v>
      </c>
      <c r="C56" s="212"/>
      <c r="D56" s="121"/>
      <c r="E56" s="121"/>
      <c r="F56" s="121"/>
      <c r="G56" s="121"/>
      <c r="H56" s="121"/>
      <c r="I56" s="121"/>
      <c r="J56" s="121"/>
      <c r="K56" s="121"/>
      <c r="L56" s="121"/>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213"/>
      <c r="BL56" s="213"/>
      <c r="BM56" s="213"/>
      <c r="BN56" s="213"/>
      <c r="BO56" s="213"/>
      <c r="BP56" s="213"/>
      <c r="BQ56" s="213"/>
      <c r="BR56" s="213"/>
      <c r="BS56" s="213"/>
      <c r="BT56" s="213"/>
      <c r="BU56" s="213"/>
      <c r="BV56" s="213"/>
      <c r="BW56" s="213"/>
      <c r="BX56" s="213"/>
      <c r="BY56" s="213"/>
      <c r="BZ56" s="213"/>
      <c r="CA56" s="213"/>
      <c r="CB56" s="213"/>
      <c r="CC56" s="213"/>
      <c r="CD56" s="213"/>
      <c r="CE56" s="213"/>
      <c r="CF56" s="213"/>
      <c r="CG56" s="213"/>
      <c r="CH56" s="213"/>
      <c r="CI56" s="213"/>
      <c r="CJ56" s="213"/>
      <c r="CK56" s="213"/>
      <c r="CL56" s="213"/>
      <c r="CM56" s="213"/>
      <c r="CN56" s="213"/>
      <c r="CO56" s="213"/>
      <c r="CP56" s="213"/>
      <c r="CQ56" s="213"/>
      <c r="CR56" s="213"/>
      <c r="CS56" s="213"/>
      <c r="CT56" s="213"/>
      <c r="CU56" s="213"/>
      <c r="CV56" s="213"/>
      <c r="CW56" s="213"/>
      <c r="CX56" s="214"/>
    </row>
    <row r="57" spans="2:102" x14ac:dyDescent="0.2">
      <c r="B57" s="189">
        <v>525</v>
      </c>
      <c r="C57" s="212"/>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213"/>
      <c r="BL57" s="213"/>
      <c r="BM57" s="213"/>
      <c r="BN57" s="213"/>
      <c r="BO57" s="213"/>
      <c r="BP57" s="213"/>
      <c r="BQ57" s="213"/>
      <c r="BR57" s="213"/>
      <c r="BS57" s="213"/>
      <c r="BT57" s="213"/>
      <c r="BU57" s="213"/>
      <c r="BV57" s="213"/>
      <c r="BW57" s="213"/>
      <c r="BX57" s="213"/>
      <c r="BY57" s="213"/>
      <c r="BZ57" s="213"/>
      <c r="CA57" s="213"/>
      <c r="CB57" s="213"/>
      <c r="CC57" s="213"/>
      <c r="CD57" s="213"/>
      <c r="CE57" s="213"/>
      <c r="CF57" s="213"/>
      <c r="CG57" s="213"/>
      <c r="CH57" s="213"/>
      <c r="CI57" s="213"/>
      <c r="CJ57" s="213"/>
      <c r="CK57" s="213"/>
      <c r="CL57" s="213"/>
      <c r="CM57" s="213"/>
      <c r="CN57" s="213"/>
      <c r="CO57" s="213"/>
      <c r="CP57" s="213"/>
      <c r="CQ57" s="213"/>
      <c r="CR57" s="213"/>
      <c r="CS57" s="213"/>
      <c r="CT57" s="213"/>
      <c r="CU57" s="213"/>
      <c r="CV57" s="213"/>
      <c r="CW57" s="213"/>
      <c r="CX57" s="214"/>
    </row>
    <row r="58" spans="2:102" x14ac:dyDescent="0.2">
      <c r="B58" s="189">
        <v>530</v>
      </c>
      <c r="C58" s="212"/>
      <c r="D58" s="121"/>
      <c r="E58" s="121"/>
      <c r="F58" s="121"/>
      <c r="G58" s="121"/>
      <c r="H58" s="121"/>
      <c r="I58" s="121"/>
      <c r="J58" s="121"/>
      <c r="K58" s="121"/>
      <c r="L58" s="121"/>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213"/>
      <c r="BL58" s="213"/>
      <c r="BM58" s="213"/>
      <c r="BN58" s="213"/>
      <c r="BO58" s="213"/>
      <c r="BP58" s="213"/>
      <c r="BQ58" s="213"/>
      <c r="BR58" s="213"/>
      <c r="BS58" s="213"/>
      <c r="BT58" s="213"/>
      <c r="BU58" s="213"/>
      <c r="BV58" s="213"/>
      <c r="BW58" s="213"/>
      <c r="BX58" s="213"/>
      <c r="BY58" s="213"/>
      <c r="BZ58" s="213"/>
      <c r="CA58" s="213"/>
      <c r="CB58" s="213"/>
      <c r="CC58" s="213"/>
      <c r="CD58" s="213"/>
      <c r="CE58" s="213"/>
      <c r="CF58" s="213"/>
      <c r="CG58" s="213"/>
      <c r="CH58" s="213"/>
      <c r="CI58" s="213"/>
      <c r="CJ58" s="213"/>
      <c r="CK58" s="213"/>
      <c r="CL58" s="213"/>
      <c r="CM58" s="213"/>
      <c r="CN58" s="213"/>
      <c r="CO58" s="213"/>
      <c r="CP58" s="213"/>
      <c r="CQ58" s="213"/>
      <c r="CR58" s="213"/>
      <c r="CS58" s="213"/>
      <c r="CT58" s="213"/>
      <c r="CU58" s="213"/>
      <c r="CV58" s="213"/>
      <c r="CW58" s="213"/>
      <c r="CX58" s="214"/>
    </row>
    <row r="59" spans="2:102" x14ac:dyDescent="0.2">
      <c r="B59" s="189">
        <v>540</v>
      </c>
      <c r="C59" s="212"/>
      <c r="D59" s="121"/>
      <c r="E59" s="121"/>
      <c r="F59" s="121"/>
      <c r="G59" s="121"/>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213"/>
      <c r="BL59" s="213"/>
      <c r="BM59" s="213"/>
      <c r="BN59" s="213"/>
      <c r="BO59" s="213"/>
      <c r="BP59" s="213"/>
      <c r="BQ59" s="213"/>
      <c r="BR59" s="213"/>
      <c r="BS59" s="213"/>
      <c r="BT59" s="213"/>
      <c r="BU59" s="213"/>
      <c r="BV59" s="213"/>
      <c r="BW59" s="213"/>
      <c r="BX59" s="213"/>
      <c r="BY59" s="213"/>
      <c r="BZ59" s="213"/>
      <c r="CA59" s="213"/>
      <c r="CB59" s="213"/>
      <c r="CC59" s="213"/>
      <c r="CD59" s="213"/>
      <c r="CE59" s="213"/>
      <c r="CF59" s="213"/>
      <c r="CG59" s="213"/>
      <c r="CH59" s="213"/>
      <c r="CI59" s="213"/>
      <c r="CJ59" s="213"/>
      <c r="CK59" s="213"/>
      <c r="CL59" s="213"/>
      <c r="CM59" s="213"/>
      <c r="CN59" s="213"/>
      <c r="CO59" s="213"/>
      <c r="CP59" s="213"/>
      <c r="CQ59" s="213"/>
      <c r="CR59" s="213"/>
      <c r="CS59" s="213"/>
      <c r="CT59" s="213"/>
      <c r="CU59" s="213"/>
      <c r="CV59" s="213"/>
      <c r="CW59" s="213"/>
      <c r="CX59" s="214"/>
    </row>
    <row r="60" spans="2:102" x14ac:dyDescent="0.2">
      <c r="B60" s="189">
        <v>550</v>
      </c>
      <c r="C60" s="212"/>
      <c r="D60" s="121"/>
      <c r="E60" s="121"/>
      <c r="F60" s="121"/>
      <c r="G60" s="121"/>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213"/>
      <c r="BL60" s="213"/>
      <c r="BM60" s="213"/>
      <c r="BN60" s="213"/>
      <c r="BO60" s="213"/>
      <c r="BP60" s="213"/>
      <c r="BQ60" s="213"/>
      <c r="BR60" s="213"/>
      <c r="BS60" s="213"/>
      <c r="BT60" s="213"/>
      <c r="BU60" s="213"/>
      <c r="BV60" s="213"/>
      <c r="BW60" s="213"/>
      <c r="BX60" s="213"/>
      <c r="BY60" s="213"/>
      <c r="BZ60" s="213"/>
      <c r="CA60" s="213"/>
      <c r="CB60" s="213"/>
      <c r="CC60" s="213"/>
      <c r="CD60" s="213"/>
      <c r="CE60" s="213"/>
      <c r="CF60" s="213"/>
      <c r="CG60" s="213"/>
      <c r="CH60" s="213"/>
      <c r="CI60" s="213"/>
      <c r="CJ60" s="213"/>
      <c r="CK60" s="213"/>
      <c r="CL60" s="213"/>
      <c r="CM60" s="213"/>
      <c r="CN60" s="213"/>
      <c r="CO60" s="213"/>
      <c r="CP60" s="213"/>
      <c r="CQ60" s="213"/>
      <c r="CR60" s="213"/>
      <c r="CS60" s="213"/>
      <c r="CT60" s="213"/>
      <c r="CU60" s="213"/>
      <c r="CV60" s="213"/>
      <c r="CW60" s="213"/>
      <c r="CX60" s="214"/>
    </row>
    <row r="61" spans="2:102" x14ac:dyDescent="0.2">
      <c r="B61" s="189">
        <v>560</v>
      </c>
      <c r="C61" s="212"/>
      <c r="D61" s="121"/>
      <c r="E61" s="121"/>
      <c r="F61" s="121"/>
      <c r="G61" s="121"/>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213"/>
      <c r="BL61" s="213"/>
      <c r="BM61" s="213"/>
      <c r="BN61" s="213"/>
      <c r="BO61" s="213"/>
      <c r="BP61" s="213"/>
      <c r="BQ61" s="213"/>
      <c r="BR61" s="213"/>
      <c r="BS61" s="213"/>
      <c r="BT61" s="213"/>
      <c r="BU61" s="213"/>
      <c r="BV61" s="213"/>
      <c r="BW61" s="213"/>
      <c r="BX61" s="213"/>
      <c r="BY61" s="213"/>
      <c r="BZ61" s="213"/>
      <c r="CA61" s="213"/>
      <c r="CB61" s="213"/>
      <c r="CC61" s="213"/>
      <c r="CD61" s="213"/>
      <c r="CE61" s="213"/>
      <c r="CF61" s="213"/>
      <c r="CG61" s="213"/>
      <c r="CH61" s="213"/>
      <c r="CI61" s="213"/>
      <c r="CJ61" s="213"/>
      <c r="CK61" s="213"/>
      <c r="CL61" s="213"/>
      <c r="CM61" s="213"/>
      <c r="CN61" s="213"/>
      <c r="CO61" s="213"/>
      <c r="CP61" s="213"/>
      <c r="CQ61" s="213"/>
      <c r="CR61" s="213"/>
      <c r="CS61" s="213"/>
      <c r="CT61" s="213"/>
      <c r="CU61" s="213"/>
      <c r="CV61" s="213"/>
      <c r="CW61" s="213"/>
      <c r="CX61" s="214"/>
    </row>
    <row r="62" spans="2:102" x14ac:dyDescent="0.2">
      <c r="B62" s="189">
        <v>570</v>
      </c>
      <c r="C62" s="212"/>
      <c r="D62" s="121"/>
      <c r="E62" s="121"/>
      <c r="F62" s="121"/>
      <c r="G62" s="121"/>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c r="CV62" s="213"/>
      <c r="CW62" s="213"/>
      <c r="CX62" s="214"/>
    </row>
    <row r="63" spans="2:102" x14ac:dyDescent="0.2">
      <c r="B63" s="189">
        <v>575</v>
      </c>
      <c r="C63" s="212"/>
      <c r="D63" s="121"/>
      <c r="E63" s="121"/>
      <c r="F63" s="121"/>
      <c r="G63" s="121"/>
      <c r="H63" s="121"/>
      <c r="I63" s="121"/>
      <c r="J63" s="121"/>
      <c r="K63" s="121"/>
      <c r="L63" s="121"/>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213"/>
      <c r="BL63" s="213"/>
      <c r="BM63" s="213"/>
      <c r="BN63" s="213"/>
      <c r="BO63" s="213"/>
      <c r="BP63" s="213"/>
      <c r="BQ63" s="213"/>
      <c r="BR63" s="213"/>
      <c r="BS63" s="213"/>
      <c r="BT63" s="213"/>
      <c r="BU63" s="213"/>
      <c r="BV63" s="213"/>
      <c r="BW63" s="213"/>
      <c r="BX63" s="213"/>
      <c r="BY63" s="213"/>
      <c r="BZ63" s="213"/>
      <c r="CA63" s="213"/>
      <c r="CB63" s="213"/>
      <c r="CC63" s="213"/>
      <c r="CD63" s="213"/>
      <c r="CE63" s="213"/>
      <c r="CF63" s="213"/>
      <c r="CG63" s="213"/>
      <c r="CH63" s="213"/>
      <c r="CI63" s="213"/>
      <c r="CJ63" s="213"/>
      <c r="CK63" s="213"/>
      <c r="CL63" s="213"/>
      <c r="CM63" s="213"/>
      <c r="CN63" s="213"/>
      <c r="CO63" s="213"/>
      <c r="CP63" s="213"/>
      <c r="CQ63" s="213"/>
      <c r="CR63" s="213"/>
      <c r="CS63" s="213"/>
      <c r="CT63" s="213"/>
      <c r="CU63" s="213"/>
      <c r="CV63" s="213"/>
      <c r="CW63" s="213"/>
      <c r="CX63" s="214"/>
    </row>
    <row r="64" spans="2:102" x14ac:dyDescent="0.2">
      <c r="B64" s="189">
        <v>580</v>
      </c>
      <c r="C64" s="212"/>
      <c r="D64" s="12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213"/>
      <c r="BL64" s="213"/>
      <c r="BM64" s="213"/>
      <c r="BN64" s="213"/>
      <c r="BO64" s="213"/>
      <c r="BP64" s="213"/>
      <c r="BQ64" s="213"/>
      <c r="BR64" s="213"/>
      <c r="BS64" s="213"/>
      <c r="BT64" s="213"/>
      <c r="BU64" s="213"/>
      <c r="BV64" s="213"/>
      <c r="BW64" s="213"/>
      <c r="BX64" s="213"/>
      <c r="BY64" s="213"/>
      <c r="BZ64" s="213"/>
      <c r="CA64" s="213"/>
      <c r="CB64" s="213"/>
      <c r="CC64" s="213"/>
      <c r="CD64" s="213"/>
      <c r="CE64" s="213"/>
      <c r="CF64" s="213"/>
      <c r="CG64" s="213"/>
      <c r="CH64" s="213"/>
      <c r="CI64" s="213"/>
      <c r="CJ64" s="213"/>
      <c r="CK64" s="213"/>
      <c r="CL64" s="213"/>
      <c r="CM64" s="213"/>
      <c r="CN64" s="213"/>
      <c r="CO64" s="213"/>
      <c r="CP64" s="213"/>
      <c r="CQ64" s="213"/>
      <c r="CR64" s="213"/>
      <c r="CS64" s="213"/>
      <c r="CT64" s="213"/>
      <c r="CU64" s="213"/>
      <c r="CV64" s="213"/>
      <c r="CW64" s="213"/>
      <c r="CX64" s="214"/>
    </row>
    <row r="65" spans="2:102" x14ac:dyDescent="0.2">
      <c r="B65" s="189">
        <v>590</v>
      </c>
      <c r="C65" s="212"/>
      <c r="D65" s="12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213"/>
      <c r="BL65" s="213"/>
      <c r="BM65" s="213"/>
      <c r="BN65" s="213"/>
      <c r="BO65" s="213"/>
      <c r="BP65" s="213"/>
      <c r="BQ65" s="213"/>
      <c r="BR65" s="213"/>
      <c r="BS65" s="213"/>
      <c r="BT65" s="213"/>
      <c r="BU65" s="213"/>
      <c r="BV65" s="213"/>
      <c r="BW65" s="213"/>
      <c r="BX65" s="213"/>
      <c r="BY65" s="213"/>
      <c r="BZ65" s="213"/>
      <c r="CA65" s="213"/>
      <c r="CB65" s="213"/>
      <c r="CC65" s="213"/>
      <c r="CD65" s="213"/>
      <c r="CE65" s="213"/>
      <c r="CF65" s="213"/>
      <c r="CG65" s="213"/>
      <c r="CH65" s="213"/>
      <c r="CI65" s="213"/>
      <c r="CJ65" s="213"/>
      <c r="CK65" s="213"/>
      <c r="CL65" s="213"/>
      <c r="CM65" s="213"/>
      <c r="CN65" s="213"/>
      <c r="CO65" s="213"/>
      <c r="CP65" s="213"/>
      <c r="CQ65" s="213"/>
      <c r="CR65" s="213"/>
      <c r="CS65" s="213"/>
      <c r="CT65" s="213"/>
      <c r="CU65" s="213"/>
      <c r="CV65" s="213"/>
      <c r="CW65" s="213"/>
      <c r="CX65" s="214"/>
    </row>
    <row r="66" spans="2:102" x14ac:dyDescent="0.2">
      <c r="B66" s="189">
        <v>600</v>
      </c>
      <c r="C66" s="212"/>
      <c r="D66" s="12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213"/>
      <c r="BL66" s="213"/>
      <c r="BM66" s="213"/>
      <c r="BN66" s="213"/>
      <c r="BO66" s="213"/>
      <c r="BP66" s="213"/>
      <c r="BQ66" s="213"/>
      <c r="BR66" s="213"/>
      <c r="BS66" s="213"/>
      <c r="BT66" s="213"/>
      <c r="BU66" s="213"/>
      <c r="BV66" s="213"/>
      <c r="BW66" s="213"/>
      <c r="BX66" s="213"/>
      <c r="BY66" s="213"/>
      <c r="BZ66" s="213"/>
      <c r="CA66" s="213"/>
      <c r="CB66" s="213"/>
      <c r="CC66" s="213"/>
      <c r="CD66" s="213"/>
      <c r="CE66" s="213"/>
      <c r="CF66" s="213"/>
      <c r="CG66" s="213"/>
      <c r="CH66" s="213"/>
      <c r="CI66" s="213"/>
      <c r="CJ66" s="213"/>
      <c r="CK66" s="213"/>
      <c r="CL66" s="213"/>
      <c r="CM66" s="213"/>
      <c r="CN66" s="213"/>
      <c r="CO66" s="213"/>
      <c r="CP66" s="213"/>
      <c r="CQ66" s="213"/>
      <c r="CR66" s="213"/>
      <c r="CS66" s="213"/>
      <c r="CT66" s="213"/>
      <c r="CU66" s="213"/>
      <c r="CV66" s="213"/>
      <c r="CW66" s="213"/>
      <c r="CX66" s="214"/>
    </row>
    <row r="67" spans="2:102" x14ac:dyDescent="0.2">
      <c r="B67" s="189">
        <v>610</v>
      </c>
      <c r="C67" s="212"/>
      <c r="D67" s="12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213"/>
      <c r="BL67" s="213"/>
      <c r="BM67" s="213"/>
      <c r="BN67" s="213"/>
      <c r="BO67" s="213"/>
      <c r="BP67" s="213"/>
      <c r="BQ67" s="213"/>
      <c r="BR67" s="213"/>
      <c r="BS67" s="213"/>
      <c r="BT67" s="213"/>
      <c r="BU67" s="213"/>
      <c r="BV67" s="213"/>
      <c r="BW67" s="213"/>
      <c r="BX67" s="213"/>
      <c r="BY67" s="213"/>
      <c r="BZ67" s="213"/>
      <c r="CA67" s="213"/>
      <c r="CB67" s="213"/>
      <c r="CC67" s="213"/>
      <c r="CD67" s="213"/>
      <c r="CE67" s="213"/>
      <c r="CF67" s="213"/>
      <c r="CG67" s="213"/>
      <c r="CH67" s="213"/>
      <c r="CI67" s="213"/>
      <c r="CJ67" s="213"/>
      <c r="CK67" s="213"/>
      <c r="CL67" s="213"/>
      <c r="CM67" s="213"/>
      <c r="CN67" s="213"/>
      <c r="CO67" s="213"/>
      <c r="CP67" s="213"/>
      <c r="CQ67" s="213"/>
      <c r="CR67" s="213"/>
      <c r="CS67" s="213"/>
      <c r="CT67" s="213"/>
      <c r="CU67" s="213"/>
      <c r="CV67" s="213"/>
      <c r="CW67" s="213"/>
      <c r="CX67" s="214"/>
    </row>
    <row r="68" spans="2:102" x14ac:dyDescent="0.2">
      <c r="B68" s="189">
        <v>620</v>
      </c>
      <c r="C68" s="212"/>
      <c r="D68" s="12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213"/>
      <c r="BL68" s="213"/>
      <c r="BM68" s="213"/>
      <c r="BN68" s="213"/>
      <c r="BO68" s="213"/>
      <c r="BP68" s="213"/>
      <c r="BQ68" s="213"/>
      <c r="BR68" s="213"/>
      <c r="BS68" s="213"/>
      <c r="BT68" s="213"/>
      <c r="BU68" s="213"/>
      <c r="BV68" s="213"/>
      <c r="BW68" s="213"/>
      <c r="BX68" s="213"/>
      <c r="BY68" s="213"/>
      <c r="BZ68" s="213"/>
      <c r="CA68" s="213"/>
      <c r="CB68" s="213"/>
      <c r="CC68" s="213"/>
      <c r="CD68" s="213"/>
      <c r="CE68" s="213"/>
      <c r="CF68" s="213"/>
      <c r="CG68" s="213"/>
      <c r="CH68" s="213"/>
      <c r="CI68" s="213"/>
      <c r="CJ68" s="213"/>
      <c r="CK68" s="213"/>
      <c r="CL68" s="213"/>
      <c r="CM68" s="213"/>
      <c r="CN68" s="213"/>
      <c r="CO68" s="213"/>
      <c r="CP68" s="213"/>
      <c r="CQ68" s="213"/>
      <c r="CR68" s="213"/>
      <c r="CS68" s="213"/>
      <c r="CT68" s="213"/>
      <c r="CU68" s="213"/>
      <c r="CV68" s="213"/>
      <c r="CW68" s="213"/>
      <c r="CX68" s="214"/>
    </row>
    <row r="69" spans="2:102" x14ac:dyDescent="0.2">
      <c r="B69" s="189">
        <v>625</v>
      </c>
      <c r="C69" s="212"/>
      <c r="D69" s="12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213"/>
      <c r="BL69" s="213"/>
      <c r="BM69" s="213"/>
      <c r="BN69" s="213"/>
      <c r="BO69" s="213"/>
      <c r="BP69" s="213"/>
      <c r="BQ69" s="213"/>
      <c r="BR69" s="213"/>
      <c r="BS69" s="213"/>
      <c r="BT69" s="213"/>
      <c r="BU69" s="213"/>
      <c r="BV69" s="213"/>
      <c r="BW69" s="213"/>
      <c r="BX69" s="213"/>
      <c r="BY69" s="213"/>
      <c r="BZ69" s="213"/>
      <c r="CA69" s="213"/>
      <c r="CB69" s="213"/>
      <c r="CC69" s="213"/>
      <c r="CD69" s="213"/>
      <c r="CE69" s="213"/>
      <c r="CF69" s="213"/>
      <c r="CG69" s="213"/>
      <c r="CH69" s="213"/>
      <c r="CI69" s="213"/>
      <c r="CJ69" s="213"/>
      <c r="CK69" s="213"/>
      <c r="CL69" s="213"/>
      <c r="CM69" s="213"/>
      <c r="CN69" s="213"/>
      <c r="CO69" s="213"/>
      <c r="CP69" s="213"/>
      <c r="CQ69" s="213"/>
      <c r="CR69" s="213"/>
      <c r="CS69" s="213"/>
      <c r="CT69" s="213"/>
      <c r="CU69" s="213"/>
      <c r="CV69" s="213"/>
      <c r="CW69" s="213"/>
      <c r="CX69" s="214"/>
    </row>
    <row r="70" spans="2:102" x14ac:dyDescent="0.2">
      <c r="B70" s="189">
        <v>630</v>
      </c>
      <c r="C70" s="212"/>
      <c r="D70" s="12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213"/>
      <c r="BL70" s="213"/>
      <c r="BM70" s="213"/>
      <c r="BN70" s="213"/>
      <c r="BO70" s="213"/>
      <c r="BP70" s="213"/>
      <c r="BQ70" s="213"/>
      <c r="BR70" s="213"/>
      <c r="BS70" s="213"/>
      <c r="BT70" s="213"/>
      <c r="BU70" s="213"/>
      <c r="BV70" s="213"/>
      <c r="BW70" s="213"/>
      <c r="BX70" s="213"/>
      <c r="BY70" s="213"/>
      <c r="BZ70" s="213"/>
      <c r="CA70" s="213"/>
      <c r="CB70" s="213"/>
      <c r="CC70" s="213"/>
      <c r="CD70" s="213"/>
      <c r="CE70" s="213"/>
      <c r="CF70" s="213"/>
      <c r="CG70" s="213"/>
      <c r="CH70" s="213"/>
      <c r="CI70" s="213"/>
      <c r="CJ70" s="213"/>
      <c r="CK70" s="213"/>
      <c r="CL70" s="213"/>
      <c r="CM70" s="213"/>
      <c r="CN70" s="213"/>
      <c r="CO70" s="213"/>
      <c r="CP70" s="213"/>
      <c r="CQ70" s="213"/>
      <c r="CR70" s="213"/>
      <c r="CS70" s="213"/>
      <c r="CT70" s="213"/>
      <c r="CU70" s="213"/>
      <c r="CV70" s="213"/>
      <c r="CW70" s="213"/>
      <c r="CX70" s="214"/>
    </row>
    <row r="71" spans="2:102" x14ac:dyDescent="0.2">
      <c r="B71" s="189">
        <v>640</v>
      </c>
      <c r="C71" s="212"/>
      <c r="D71" s="12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213"/>
      <c r="BL71" s="213"/>
      <c r="BM71" s="213"/>
      <c r="BN71" s="213"/>
      <c r="BO71" s="213"/>
      <c r="BP71" s="213"/>
      <c r="BQ71" s="213"/>
      <c r="BR71" s="213"/>
      <c r="BS71" s="213"/>
      <c r="BT71" s="213"/>
      <c r="BU71" s="213"/>
      <c r="BV71" s="213"/>
      <c r="BW71" s="213"/>
      <c r="BX71" s="213"/>
      <c r="BY71" s="213"/>
      <c r="BZ71" s="213"/>
      <c r="CA71" s="213"/>
      <c r="CB71" s="213"/>
      <c r="CC71" s="213"/>
      <c r="CD71" s="213"/>
      <c r="CE71" s="213"/>
      <c r="CF71" s="213"/>
      <c r="CG71" s="213"/>
      <c r="CH71" s="213"/>
      <c r="CI71" s="213"/>
      <c r="CJ71" s="213"/>
      <c r="CK71" s="213"/>
      <c r="CL71" s="213"/>
      <c r="CM71" s="213"/>
      <c r="CN71" s="213"/>
      <c r="CO71" s="213"/>
      <c r="CP71" s="213"/>
      <c r="CQ71" s="213"/>
      <c r="CR71" s="213"/>
      <c r="CS71" s="213"/>
      <c r="CT71" s="213"/>
      <c r="CU71" s="213"/>
      <c r="CV71" s="213"/>
      <c r="CW71" s="213"/>
      <c r="CX71" s="214"/>
    </row>
    <row r="72" spans="2:102" x14ac:dyDescent="0.2">
      <c r="B72" s="189">
        <v>650</v>
      </c>
      <c r="C72" s="212"/>
      <c r="D72" s="121"/>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213"/>
      <c r="BL72" s="213"/>
      <c r="BM72" s="213"/>
      <c r="BN72" s="213"/>
      <c r="BO72" s="213"/>
      <c r="BP72" s="213"/>
      <c r="BQ72" s="213"/>
      <c r="BR72" s="213"/>
      <c r="BS72" s="213"/>
      <c r="BT72" s="213"/>
      <c r="BU72" s="213"/>
      <c r="BV72" s="213"/>
      <c r="BW72" s="213"/>
      <c r="BX72" s="213"/>
      <c r="BY72" s="213"/>
      <c r="BZ72" s="213"/>
      <c r="CA72" s="213"/>
      <c r="CB72" s="213"/>
      <c r="CC72" s="213"/>
      <c r="CD72" s="213"/>
      <c r="CE72" s="213"/>
      <c r="CF72" s="213"/>
      <c r="CG72" s="213"/>
      <c r="CH72" s="213"/>
      <c r="CI72" s="213"/>
      <c r="CJ72" s="213"/>
      <c r="CK72" s="213"/>
      <c r="CL72" s="213"/>
      <c r="CM72" s="213"/>
      <c r="CN72" s="213"/>
      <c r="CO72" s="213"/>
      <c r="CP72" s="213"/>
      <c r="CQ72" s="213"/>
      <c r="CR72" s="213"/>
      <c r="CS72" s="213"/>
      <c r="CT72" s="213"/>
      <c r="CU72" s="213"/>
      <c r="CV72" s="213"/>
      <c r="CW72" s="213"/>
      <c r="CX72" s="214"/>
    </row>
    <row r="73" spans="2:102" x14ac:dyDescent="0.2">
      <c r="B73" s="189">
        <v>660</v>
      </c>
      <c r="C73" s="212"/>
      <c r="D73" s="121"/>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213"/>
      <c r="BL73" s="213"/>
      <c r="BM73" s="213"/>
      <c r="BN73" s="213"/>
      <c r="BO73" s="213"/>
      <c r="BP73" s="213"/>
      <c r="BQ73" s="213"/>
      <c r="BR73" s="213"/>
      <c r="BS73" s="213"/>
      <c r="BT73" s="213"/>
      <c r="BU73" s="213"/>
      <c r="BV73" s="213"/>
      <c r="BW73" s="213"/>
      <c r="BX73" s="213"/>
      <c r="BY73" s="213"/>
      <c r="BZ73" s="213"/>
      <c r="CA73" s="213"/>
      <c r="CB73" s="213"/>
      <c r="CC73" s="213"/>
      <c r="CD73" s="213"/>
      <c r="CE73" s="213"/>
      <c r="CF73" s="213"/>
      <c r="CG73" s="213"/>
      <c r="CH73" s="213"/>
      <c r="CI73" s="213"/>
      <c r="CJ73" s="213"/>
      <c r="CK73" s="213"/>
      <c r="CL73" s="213"/>
      <c r="CM73" s="213"/>
      <c r="CN73" s="213"/>
      <c r="CO73" s="213"/>
      <c r="CP73" s="213"/>
      <c r="CQ73" s="213"/>
      <c r="CR73" s="213"/>
      <c r="CS73" s="213"/>
      <c r="CT73" s="213"/>
      <c r="CU73" s="213"/>
      <c r="CV73" s="213"/>
      <c r="CW73" s="213"/>
      <c r="CX73" s="214"/>
    </row>
    <row r="74" spans="2:102" x14ac:dyDescent="0.2">
      <c r="B74" s="189">
        <v>670</v>
      </c>
      <c r="C74" s="212"/>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213"/>
      <c r="BL74" s="213"/>
      <c r="BM74" s="213"/>
      <c r="BN74" s="213"/>
      <c r="BO74" s="213"/>
      <c r="BP74" s="213"/>
      <c r="BQ74" s="213"/>
      <c r="BR74" s="213"/>
      <c r="BS74" s="213"/>
      <c r="BT74" s="213"/>
      <c r="BU74" s="213"/>
      <c r="BV74" s="213"/>
      <c r="BW74" s="213"/>
      <c r="BX74" s="213"/>
      <c r="BY74" s="213"/>
      <c r="BZ74" s="213"/>
      <c r="CA74" s="213"/>
      <c r="CB74" s="213"/>
      <c r="CC74" s="213"/>
      <c r="CD74" s="213"/>
      <c r="CE74" s="213"/>
      <c r="CF74" s="213"/>
      <c r="CG74" s="213"/>
      <c r="CH74" s="213"/>
      <c r="CI74" s="213"/>
      <c r="CJ74" s="213"/>
      <c r="CK74" s="213"/>
      <c r="CL74" s="213"/>
      <c r="CM74" s="213"/>
      <c r="CN74" s="213"/>
      <c r="CO74" s="213"/>
      <c r="CP74" s="213"/>
      <c r="CQ74" s="213"/>
      <c r="CR74" s="213"/>
      <c r="CS74" s="213"/>
      <c r="CT74" s="213"/>
      <c r="CU74" s="213"/>
      <c r="CV74" s="213"/>
      <c r="CW74" s="213"/>
      <c r="CX74" s="214"/>
    </row>
    <row r="75" spans="2:102" x14ac:dyDescent="0.2">
      <c r="B75" s="189">
        <v>675</v>
      </c>
      <c r="C75" s="212"/>
      <c r="D75" s="121"/>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213"/>
      <c r="BL75" s="213"/>
      <c r="BM75" s="213"/>
      <c r="BN75" s="213"/>
      <c r="BO75" s="213"/>
      <c r="BP75" s="213"/>
      <c r="BQ75" s="213"/>
      <c r="BR75" s="213"/>
      <c r="BS75" s="213"/>
      <c r="BT75" s="213"/>
      <c r="BU75" s="213"/>
      <c r="BV75" s="213"/>
      <c r="BW75" s="213"/>
      <c r="BX75" s="213"/>
      <c r="BY75" s="213"/>
      <c r="BZ75" s="213"/>
      <c r="CA75" s="213"/>
      <c r="CB75" s="213"/>
      <c r="CC75" s="213"/>
      <c r="CD75" s="213"/>
      <c r="CE75" s="213"/>
      <c r="CF75" s="213"/>
      <c r="CG75" s="213"/>
      <c r="CH75" s="213"/>
      <c r="CI75" s="213"/>
      <c r="CJ75" s="213"/>
      <c r="CK75" s="213"/>
      <c r="CL75" s="213"/>
      <c r="CM75" s="213"/>
      <c r="CN75" s="213"/>
      <c r="CO75" s="213"/>
      <c r="CP75" s="213"/>
      <c r="CQ75" s="213"/>
      <c r="CR75" s="213"/>
      <c r="CS75" s="213"/>
      <c r="CT75" s="213"/>
      <c r="CU75" s="213"/>
      <c r="CV75" s="213"/>
      <c r="CW75" s="213"/>
      <c r="CX75" s="214"/>
    </row>
    <row r="76" spans="2:102" x14ac:dyDescent="0.2">
      <c r="B76" s="189">
        <v>680</v>
      </c>
      <c r="C76" s="212"/>
      <c r="D76" s="121"/>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213"/>
      <c r="BL76" s="213"/>
      <c r="BM76" s="213"/>
      <c r="BN76" s="213"/>
      <c r="BO76" s="213"/>
      <c r="BP76" s="213"/>
      <c r="BQ76" s="213"/>
      <c r="BR76" s="213"/>
      <c r="BS76" s="213"/>
      <c r="BT76" s="213"/>
      <c r="BU76" s="213"/>
      <c r="BV76" s="213"/>
      <c r="BW76" s="213"/>
      <c r="BX76" s="213"/>
      <c r="BY76" s="213"/>
      <c r="BZ76" s="213"/>
      <c r="CA76" s="213"/>
      <c r="CB76" s="213"/>
      <c r="CC76" s="213"/>
      <c r="CD76" s="213"/>
      <c r="CE76" s="213"/>
      <c r="CF76" s="213"/>
      <c r="CG76" s="213"/>
      <c r="CH76" s="213"/>
      <c r="CI76" s="213"/>
      <c r="CJ76" s="213"/>
      <c r="CK76" s="213"/>
      <c r="CL76" s="213"/>
      <c r="CM76" s="213"/>
      <c r="CN76" s="213"/>
      <c r="CO76" s="213"/>
      <c r="CP76" s="213"/>
      <c r="CQ76" s="213"/>
      <c r="CR76" s="213"/>
      <c r="CS76" s="213"/>
      <c r="CT76" s="213"/>
      <c r="CU76" s="213"/>
      <c r="CV76" s="213"/>
      <c r="CW76" s="213"/>
      <c r="CX76" s="214"/>
    </row>
    <row r="77" spans="2:102" x14ac:dyDescent="0.2">
      <c r="B77" s="189">
        <v>690</v>
      </c>
      <c r="C77" s="212"/>
      <c r="D77" s="121"/>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213"/>
      <c r="BL77" s="213"/>
      <c r="BM77" s="213"/>
      <c r="BN77" s="213"/>
      <c r="BO77" s="213"/>
      <c r="BP77" s="213"/>
      <c r="BQ77" s="213"/>
      <c r="BR77" s="213"/>
      <c r="BS77" s="213"/>
      <c r="BT77" s="213"/>
      <c r="BU77" s="213"/>
      <c r="BV77" s="213"/>
      <c r="BW77" s="213"/>
      <c r="BX77" s="213"/>
      <c r="BY77" s="213"/>
      <c r="BZ77" s="213"/>
      <c r="CA77" s="213"/>
      <c r="CB77" s="213"/>
      <c r="CC77" s="213"/>
      <c r="CD77" s="213"/>
      <c r="CE77" s="213"/>
      <c r="CF77" s="213"/>
      <c r="CG77" s="213"/>
      <c r="CH77" s="213"/>
      <c r="CI77" s="213"/>
      <c r="CJ77" s="213"/>
      <c r="CK77" s="213"/>
      <c r="CL77" s="213"/>
      <c r="CM77" s="213"/>
      <c r="CN77" s="213"/>
      <c r="CO77" s="213"/>
      <c r="CP77" s="213"/>
      <c r="CQ77" s="213"/>
      <c r="CR77" s="213"/>
      <c r="CS77" s="213"/>
      <c r="CT77" s="213"/>
      <c r="CU77" s="213"/>
      <c r="CV77" s="213"/>
      <c r="CW77" s="213"/>
      <c r="CX77" s="214"/>
    </row>
    <row r="78" spans="2:102" x14ac:dyDescent="0.2">
      <c r="B78" s="189">
        <v>700</v>
      </c>
      <c r="C78" s="212"/>
      <c r="D78" s="121"/>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213"/>
      <c r="BL78" s="213"/>
      <c r="BM78" s="213"/>
      <c r="BN78" s="213"/>
      <c r="BO78" s="213"/>
      <c r="BP78" s="213"/>
      <c r="BQ78" s="213"/>
      <c r="BR78" s="213"/>
      <c r="BS78" s="213"/>
      <c r="BT78" s="213"/>
      <c r="BU78" s="213"/>
      <c r="BV78" s="213"/>
      <c r="BW78" s="213"/>
      <c r="BX78" s="213"/>
      <c r="BY78" s="213"/>
      <c r="BZ78" s="213"/>
      <c r="CA78" s="213"/>
      <c r="CB78" s="213"/>
      <c r="CC78" s="213"/>
      <c r="CD78" s="213"/>
      <c r="CE78" s="213"/>
      <c r="CF78" s="213"/>
      <c r="CG78" s="213"/>
      <c r="CH78" s="213"/>
      <c r="CI78" s="213"/>
      <c r="CJ78" s="213"/>
      <c r="CK78" s="213"/>
      <c r="CL78" s="213"/>
      <c r="CM78" s="213"/>
      <c r="CN78" s="213"/>
      <c r="CO78" s="213"/>
      <c r="CP78" s="213"/>
      <c r="CQ78" s="213"/>
      <c r="CR78" s="213"/>
      <c r="CS78" s="213"/>
      <c r="CT78" s="213"/>
      <c r="CU78" s="213"/>
      <c r="CV78" s="213"/>
      <c r="CW78" s="213"/>
      <c r="CX78" s="214"/>
    </row>
    <row r="79" spans="2:102" x14ac:dyDescent="0.2">
      <c r="B79" s="189">
        <v>710</v>
      </c>
      <c r="C79" s="212"/>
      <c r="D79" s="121"/>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213"/>
      <c r="BL79" s="213"/>
      <c r="BM79" s="213"/>
      <c r="BN79" s="213"/>
      <c r="BO79" s="213"/>
      <c r="BP79" s="213"/>
      <c r="BQ79" s="213"/>
      <c r="BR79" s="213"/>
      <c r="BS79" s="213"/>
      <c r="BT79" s="213"/>
      <c r="BU79" s="213"/>
      <c r="BV79" s="213"/>
      <c r="BW79" s="213"/>
      <c r="BX79" s="213"/>
      <c r="BY79" s="213"/>
      <c r="BZ79" s="213"/>
      <c r="CA79" s="213"/>
      <c r="CB79" s="213"/>
      <c r="CC79" s="213"/>
      <c r="CD79" s="213"/>
      <c r="CE79" s="213"/>
      <c r="CF79" s="213"/>
      <c r="CG79" s="213"/>
      <c r="CH79" s="213"/>
      <c r="CI79" s="213"/>
      <c r="CJ79" s="213"/>
      <c r="CK79" s="213"/>
      <c r="CL79" s="213"/>
      <c r="CM79" s="213"/>
      <c r="CN79" s="213"/>
      <c r="CO79" s="213"/>
      <c r="CP79" s="213"/>
      <c r="CQ79" s="213"/>
      <c r="CR79" s="213"/>
      <c r="CS79" s="213"/>
      <c r="CT79" s="213"/>
      <c r="CU79" s="213"/>
      <c r="CV79" s="213"/>
      <c r="CW79" s="213"/>
      <c r="CX79" s="214"/>
    </row>
    <row r="80" spans="2:102" x14ac:dyDescent="0.2">
      <c r="B80" s="189">
        <v>720</v>
      </c>
      <c r="C80" s="212"/>
      <c r="D80" s="121"/>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213"/>
      <c r="BL80" s="213"/>
      <c r="BM80" s="213"/>
      <c r="BN80" s="213"/>
      <c r="BO80" s="213"/>
      <c r="BP80" s="213"/>
      <c r="BQ80" s="213"/>
      <c r="BR80" s="213"/>
      <c r="BS80" s="213"/>
      <c r="BT80" s="213"/>
      <c r="BU80" s="213"/>
      <c r="BV80" s="213"/>
      <c r="BW80" s="213"/>
      <c r="BX80" s="213"/>
      <c r="BY80" s="213"/>
      <c r="BZ80" s="213"/>
      <c r="CA80" s="213"/>
      <c r="CB80" s="213"/>
      <c r="CC80" s="213"/>
      <c r="CD80" s="213"/>
      <c r="CE80" s="213"/>
      <c r="CF80" s="213"/>
      <c r="CG80" s="213"/>
      <c r="CH80" s="213"/>
      <c r="CI80" s="213"/>
      <c r="CJ80" s="213"/>
      <c r="CK80" s="213"/>
      <c r="CL80" s="213"/>
      <c r="CM80" s="213"/>
      <c r="CN80" s="213"/>
      <c r="CO80" s="213"/>
      <c r="CP80" s="213"/>
      <c r="CQ80" s="213"/>
      <c r="CR80" s="213"/>
      <c r="CS80" s="213"/>
      <c r="CT80" s="213"/>
      <c r="CU80" s="213"/>
      <c r="CV80" s="213"/>
      <c r="CW80" s="213"/>
      <c r="CX80" s="214"/>
    </row>
    <row r="81" spans="2:102" x14ac:dyDescent="0.2">
      <c r="B81" s="189">
        <v>725</v>
      </c>
      <c r="C81" s="212"/>
      <c r="D81" s="121"/>
      <c r="E81" s="121"/>
      <c r="F81" s="121"/>
      <c r="G81" s="121"/>
      <c r="H81" s="121"/>
      <c r="I81" s="121"/>
      <c r="J81" s="121"/>
      <c r="K81" s="121"/>
      <c r="L81" s="121"/>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213"/>
      <c r="BL81" s="213"/>
      <c r="BM81" s="213"/>
      <c r="BN81" s="213"/>
      <c r="BO81" s="213"/>
      <c r="BP81" s="213"/>
      <c r="BQ81" s="213"/>
      <c r="BR81" s="213"/>
      <c r="BS81" s="213"/>
      <c r="BT81" s="213"/>
      <c r="BU81" s="213"/>
      <c r="BV81" s="213"/>
      <c r="BW81" s="213"/>
      <c r="BX81" s="213"/>
      <c r="BY81" s="213"/>
      <c r="BZ81" s="213"/>
      <c r="CA81" s="213"/>
      <c r="CB81" s="213"/>
      <c r="CC81" s="213"/>
      <c r="CD81" s="213"/>
      <c r="CE81" s="213"/>
      <c r="CF81" s="213"/>
      <c r="CG81" s="213"/>
      <c r="CH81" s="213"/>
      <c r="CI81" s="213"/>
      <c r="CJ81" s="213"/>
      <c r="CK81" s="213"/>
      <c r="CL81" s="213"/>
      <c r="CM81" s="213"/>
      <c r="CN81" s="213"/>
      <c r="CO81" s="213"/>
      <c r="CP81" s="213"/>
      <c r="CQ81" s="213"/>
      <c r="CR81" s="213"/>
      <c r="CS81" s="213"/>
      <c r="CT81" s="213"/>
      <c r="CU81" s="213"/>
      <c r="CV81" s="213"/>
      <c r="CW81" s="213"/>
      <c r="CX81" s="214"/>
    </row>
    <row r="82" spans="2:102" x14ac:dyDescent="0.2">
      <c r="B82" s="189">
        <v>730</v>
      </c>
      <c r="C82" s="212"/>
      <c r="D82" s="121"/>
      <c r="E82" s="121"/>
      <c r="F82" s="121"/>
      <c r="G82" s="121"/>
      <c r="H82" s="121"/>
      <c r="I82" s="121"/>
      <c r="J82" s="121"/>
      <c r="K82" s="121"/>
      <c r="L82" s="121"/>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213"/>
      <c r="BL82" s="213"/>
      <c r="BM82" s="213"/>
      <c r="BN82" s="213"/>
      <c r="BO82" s="213"/>
      <c r="BP82" s="213"/>
      <c r="BQ82" s="213"/>
      <c r="BR82" s="213"/>
      <c r="BS82" s="213"/>
      <c r="BT82" s="213"/>
      <c r="BU82" s="213"/>
      <c r="BV82" s="213"/>
      <c r="BW82" s="213"/>
      <c r="BX82" s="213"/>
      <c r="BY82" s="213"/>
      <c r="BZ82" s="213"/>
      <c r="CA82" s="213"/>
      <c r="CB82" s="213"/>
      <c r="CC82" s="213"/>
      <c r="CD82" s="213"/>
      <c r="CE82" s="213"/>
      <c r="CF82" s="213"/>
      <c r="CG82" s="213"/>
      <c r="CH82" s="213"/>
      <c r="CI82" s="213"/>
      <c r="CJ82" s="213"/>
      <c r="CK82" s="213"/>
      <c r="CL82" s="213"/>
      <c r="CM82" s="213"/>
      <c r="CN82" s="213"/>
      <c r="CO82" s="213"/>
      <c r="CP82" s="213"/>
      <c r="CQ82" s="213"/>
      <c r="CR82" s="213"/>
      <c r="CS82" s="213"/>
      <c r="CT82" s="213"/>
      <c r="CU82" s="213"/>
      <c r="CV82" s="213"/>
      <c r="CW82" s="213"/>
      <c r="CX82" s="214"/>
    </row>
    <row r="83" spans="2:102" x14ac:dyDescent="0.2">
      <c r="B83" s="189">
        <v>740</v>
      </c>
      <c r="C83" s="212"/>
      <c r="D83" s="121"/>
      <c r="E83" s="121"/>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213"/>
      <c r="BL83" s="213"/>
      <c r="BM83" s="213"/>
      <c r="BN83" s="213"/>
      <c r="BO83" s="213"/>
      <c r="BP83" s="213"/>
      <c r="BQ83" s="213"/>
      <c r="BR83" s="213"/>
      <c r="BS83" s="213"/>
      <c r="BT83" s="213"/>
      <c r="BU83" s="213"/>
      <c r="BV83" s="213"/>
      <c r="BW83" s="213"/>
      <c r="BX83" s="213"/>
      <c r="BY83" s="213"/>
      <c r="BZ83" s="213"/>
      <c r="CA83" s="213"/>
      <c r="CB83" s="213"/>
      <c r="CC83" s="213"/>
      <c r="CD83" s="213"/>
      <c r="CE83" s="213"/>
      <c r="CF83" s="213"/>
      <c r="CG83" s="213"/>
      <c r="CH83" s="213"/>
      <c r="CI83" s="213"/>
      <c r="CJ83" s="213"/>
      <c r="CK83" s="213"/>
      <c r="CL83" s="213"/>
      <c r="CM83" s="213"/>
      <c r="CN83" s="213"/>
      <c r="CO83" s="213"/>
      <c r="CP83" s="213"/>
      <c r="CQ83" s="213"/>
      <c r="CR83" s="213"/>
      <c r="CS83" s="213"/>
      <c r="CT83" s="213"/>
      <c r="CU83" s="213"/>
      <c r="CV83" s="213"/>
      <c r="CW83" s="213"/>
      <c r="CX83" s="214"/>
    </row>
    <row r="84" spans="2:102" x14ac:dyDescent="0.2">
      <c r="B84" s="189">
        <v>750</v>
      </c>
      <c r="C84" s="212"/>
      <c r="D84" s="121"/>
      <c r="E84" s="121"/>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213"/>
      <c r="BL84" s="213"/>
      <c r="BM84" s="213"/>
      <c r="BN84" s="213"/>
      <c r="BO84" s="213"/>
      <c r="BP84" s="213"/>
      <c r="BQ84" s="213"/>
      <c r="BR84" s="213"/>
      <c r="BS84" s="213"/>
      <c r="BT84" s="213"/>
      <c r="BU84" s="213"/>
      <c r="BV84" s="213"/>
      <c r="BW84" s="213"/>
      <c r="BX84" s="213"/>
      <c r="BY84" s="213"/>
      <c r="BZ84" s="213"/>
      <c r="CA84" s="213"/>
      <c r="CB84" s="213"/>
      <c r="CC84" s="213"/>
      <c r="CD84" s="213"/>
      <c r="CE84" s="213"/>
      <c r="CF84" s="213"/>
      <c r="CG84" s="213"/>
      <c r="CH84" s="213"/>
      <c r="CI84" s="213"/>
      <c r="CJ84" s="213"/>
      <c r="CK84" s="213"/>
      <c r="CL84" s="213"/>
      <c r="CM84" s="213"/>
      <c r="CN84" s="213"/>
      <c r="CO84" s="213"/>
      <c r="CP84" s="213"/>
      <c r="CQ84" s="213"/>
      <c r="CR84" s="213"/>
      <c r="CS84" s="213"/>
      <c r="CT84" s="213"/>
      <c r="CU84" s="213"/>
      <c r="CV84" s="213"/>
      <c r="CW84" s="213"/>
      <c r="CX84" s="214"/>
    </row>
    <row r="85" spans="2:102" x14ac:dyDescent="0.2">
      <c r="B85" s="189">
        <v>760</v>
      </c>
      <c r="C85" s="212"/>
      <c r="D85" s="121"/>
      <c r="E85" s="121"/>
      <c r="F85" s="121"/>
      <c r="G85" s="121"/>
      <c r="H85" s="121"/>
      <c r="I85" s="121"/>
      <c r="J85" s="121"/>
      <c r="K85" s="121"/>
      <c r="L85" s="121"/>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213"/>
      <c r="BL85" s="213"/>
      <c r="BM85" s="213"/>
      <c r="BN85" s="213"/>
      <c r="BO85" s="213"/>
      <c r="BP85" s="213"/>
      <c r="BQ85" s="213"/>
      <c r="BR85" s="213"/>
      <c r="BS85" s="213"/>
      <c r="BT85" s="213"/>
      <c r="BU85" s="213"/>
      <c r="BV85" s="213"/>
      <c r="BW85" s="213"/>
      <c r="BX85" s="213"/>
      <c r="BY85" s="213"/>
      <c r="BZ85" s="213"/>
      <c r="CA85" s="213"/>
      <c r="CB85" s="213"/>
      <c r="CC85" s="213"/>
      <c r="CD85" s="213"/>
      <c r="CE85" s="213"/>
      <c r="CF85" s="213"/>
      <c r="CG85" s="213"/>
      <c r="CH85" s="213"/>
      <c r="CI85" s="213"/>
      <c r="CJ85" s="213"/>
      <c r="CK85" s="213"/>
      <c r="CL85" s="213"/>
      <c r="CM85" s="213"/>
      <c r="CN85" s="213"/>
      <c r="CO85" s="213"/>
      <c r="CP85" s="213"/>
      <c r="CQ85" s="213"/>
      <c r="CR85" s="213"/>
      <c r="CS85" s="213"/>
      <c r="CT85" s="213"/>
      <c r="CU85" s="213"/>
      <c r="CV85" s="213"/>
      <c r="CW85" s="213"/>
      <c r="CX85" s="214"/>
    </row>
    <row r="86" spans="2:102" x14ac:dyDescent="0.2">
      <c r="B86" s="189">
        <v>770</v>
      </c>
      <c r="C86" s="212"/>
      <c r="D86" s="121"/>
      <c r="E86" s="121"/>
      <c r="F86" s="121"/>
      <c r="G86" s="121"/>
      <c r="H86" s="121"/>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213"/>
      <c r="BL86" s="213"/>
      <c r="BM86" s="213"/>
      <c r="BN86" s="213"/>
      <c r="BO86" s="213"/>
      <c r="BP86" s="213"/>
      <c r="BQ86" s="213"/>
      <c r="BR86" s="213"/>
      <c r="BS86" s="213"/>
      <c r="BT86" s="213"/>
      <c r="BU86" s="213"/>
      <c r="BV86" s="213"/>
      <c r="BW86" s="213"/>
      <c r="BX86" s="213"/>
      <c r="BY86" s="213"/>
      <c r="BZ86" s="213"/>
      <c r="CA86" s="213"/>
      <c r="CB86" s="213"/>
      <c r="CC86" s="213"/>
      <c r="CD86" s="213"/>
      <c r="CE86" s="213"/>
      <c r="CF86" s="213"/>
      <c r="CG86" s="213"/>
      <c r="CH86" s="213"/>
      <c r="CI86" s="213"/>
      <c r="CJ86" s="213"/>
      <c r="CK86" s="213"/>
      <c r="CL86" s="213"/>
      <c r="CM86" s="213"/>
      <c r="CN86" s="213"/>
      <c r="CO86" s="213"/>
      <c r="CP86" s="213"/>
      <c r="CQ86" s="213"/>
      <c r="CR86" s="213"/>
      <c r="CS86" s="213"/>
      <c r="CT86" s="213"/>
      <c r="CU86" s="213"/>
      <c r="CV86" s="213"/>
      <c r="CW86" s="213"/>
      <c r="CX86" s="214"/>
    </row>
    <row r="87" spans="2:102" x14ac:dyDescent="0.2">
      <c r="B87" s="189">
        <v>775</v>
      </c>
      <c r="C87" s="212"/>
      <c r="D87" s="121"/>
      <c r="E87" s="121"/>
      <c r="F87" s="121"/>
      <c r="G87" s="121"/>
      <c r="H87" s="121"/>
      <c r="I87" s="121"/>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213"/>
      <c r="BL87" s="213"/>
      <c r="BM87" s="213"/>
      <c r="BN87" s="213"/>
      <c r="BO87" s="213"/>
      <c r="BP87" s="213"/>
      <c r="BQ87" s="213"/>
      <c r="BR87" s="213"/>
      <c r="BS87" s="213"/>
      <c r="BT87" s="213"/>
      <c r="BU87" s="213"/>
      <c r="BV87" s="213"/>
      <c r="BW87" s="213"/>
      <c r="BX87" s="213"/>
      <c r="BY87" s="213"/>
      <c r="BZ87" s="213"/>
      <c r="CA87" s="213"/>
      <c r="CB87" s="213"/>
      <c r="CC87" s="213"/>
      <c r="CD87" s="213"/>
      <c r="CE87" s="213"/>
      <c r="CF87" s="213"/>
      <c r="CG87" s="213"/>
      <c r="CH87" s="213"/>
      <c r="CI87" s="213"/>
      <c r="CJ87" s="213"/>
      <c r="CK87" s="213"/>
      <c r="CL87" s="213"/>
      <c r="CM87" s="213"/>
      <c r="CN87" s="213"/>
      <c r="CO87" s="213"/>
      <c r="CP87" s="213"/>
      <c r="CQ87" s="213"/>
      <c r="CR87" s="213"/>
      <c r="CS87" s="213"/>
      <c r="CT87" s="213"/>
      <c r="CU87" s="213"/>
      <c r="CV87" s="213"/>
      <c r="CW87" s="213"/>
      <c r="CX87" s="214"/>
    </row>
    <row r="88" spans="2:102" x14ac:dyDescent="0.2">
      <c r="B88" s="189">
        <v>780</v>
      </c>
      <c r="C88" s="212"/>
      <c r="D88" s="121"/>
      <c r="E88" s="121"/>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213"/>
      <c r="BL88" s="213"/>
      <c r="BM88" s="213"/>
      <c r="BN88" s="213"/>
      <c r="BO88" s="213"/>
      <c r="BP88" s="213"/>
      <c r="BQ88" s="213"/>
      <c r="BR88" s="213"/>
      <c r="BS88" s="213"/>
      <c r="BT88" s="213"/>
      <c r="BU88" s="213"/>
      <c r="BV88" s="213"/>
      <c r="BW88" s="213"/>
      <c r="BX88" s="213"/>
      <c r="BY88" s="213"/>
      <c r="BZ88" s="213"/>
      <c r="CA88" s="213"/>
      <c r="CB88" s="213"/>
      <c r="CC88" s="213"/>
      <c r="CD88" s="213"/>
      <c r="CE88" s="213"/>
      <c r="CF88" s="213"/>
      <c r="CG88" s="213"/>
      <c r="CH88" s="213"/>
      <c r="CI88" s="213"/>
      <c r="CJ88" s="213"/>
      <c r="CK88" s="213"/>
      <c r="CL88" s="213"/>
      <c r="CM88" s="213"/>
      <c r="CN88" s="213"/>
      <c r="CO88" s="213"/>
      <c r="CP88" s="213"/>
      <c r="CQ88" s="213"/>
      <c r="CR88" s="213"/>
      <c r="CS88" s="213"/>
      <c r="CT88" s="213"/>
      <c r="CU88" s="213"/>
      <c r="CV88" s="213"/>
      <c r="CW88" s="213"/>
      <c r="CX88" s="214"/>
    </row>
    <row r="89" spans="2:102" x14ac:dyDescent="0.2">
      <c r="B89" s="189">
        <v>790</v>
      </c>
      <c r="C89" s="212"/>
      <c r="D89" s="121"/>
      <c r="E89" s="121"/>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213"/>
      <c r="BL89" s="213"/>
      <c r="BM89" s="213"/>
      <c r="BN89" s="213"/>
      <c r="BO89" s="213"/>
      <c r="BP89" s="213"/>
      <c r="BQ89" s="213"/>
      <c r="BR89" s="213"/>
      <c r="BS89" s="213"/>
      <c r="BT89" s="213"/>
      <c r="BU89" s="213"/>
      <c r="BV89" s="213"/>
      <c r="BW89" s="213"/>
      <c r="BX89" s="213"/>
      <c r="BY89" s="213"/>
      <c r="BZ89" s="213"/>
      <c r="CA89" s="213"/>
      <c r="CB89" s="213"/>
      <c r="CC89" s="213"/>
      <c r="CD89" s="213"/>
      <c r="CE89" s="213"/>
      <c r="CF89" s="213"/>
      <c r="CG89" s="213"/>
      <c r="CH89" s="213"/>
      <c r="CI89" s="213"/>
      <c r="CJ89" s="213"/>
      <c r="CK89" s="213"/>
      <c r="CL89" s="213"/>
      <c r="CM89" s="213"/>
      <c r="CN89" s="213"/>
      <c r="CO89" s="213"/>
      <c r="CP89" s="213"/>
      <c r="CQ89" s="213"/>
      <c r="CR89" s="213"/>
      <c r="CS89" s="213"/>
      <c r="CT89" s="213"/>
      <c r="CU89" s="213"/>
      <c r="CV89" s="213"/>
      <c r="CW89" s="213"/>
      <c r="CX89" s="214"/>
    </row>
    <row r="90" spans="2:102" x14ac:dyDescent="0.2">
      <c r="B90" s="189">
        <v>800</v>
      </c>
      <c r="C90" s="212"/>
      <c r="D90" s="121"/>
      <c r="E90" s="121"/>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213"/>
      <c r="BL90" s="213"/>
      <c r="BM90" s="213"/>
      <c r="BN90" s="213"/>
      <c r="BO90" s="213"/>
      <c r="BP90" s="213"/>
      <c r="BQ90" s="213"/>
      <c r="BR90" s="213"/>
      <c r="BS90" s="213"/>
      <c r="BT90" s="213"/>
      <c r="BU90" s="213"/>
      <c r="BV90" s="213"/>
      <c r="BW90" s="213"/>
      <c r="BX90" s="213"/>
      <c r="BY90" s="213"/>
      <c r="BZ90" s="213"/>
      <c r="CA90" s="213"/>
      <c r="CB90" s="213"/>
      <c r="CC90" s="213"/>
      <c r="CD90" s="213"/>
      <c r="CE90" s="213"/>
      <c r="CF90" s="213"/>
      <c r="CG90" s="213"/>
      <c r="CH90" s="213"/>
      <c r="CI90" s="213"/>
      <c r="CJ90" s="213"/>
      <c r="CK90" s="213"/>
      <c r="CL90" s="213"/>
      <c r="CM90" s="213"/>
      <c r="CN90" s="213"/>
      <c r="CO90" s="213"/>
      <c r="CP90" s="213"/>
      <c r="CQ90" s="213"/>
      <c r="CR90" s="213"/>
      <c r="CS90" s="213"/>
      <c r="CT90" s="213"/>
      <c r="CU90" s="213"/>
      <c r="CV90" s="213"/>
      <c r="CW90" s="213"/>
      <c r="CX90" s="214"/>
    </row>
    <row r="91" spans="2:102" x14ac:dyDescent="0.2">
      <c r="B91" s="189">
        <v>810</v>
      </c>
      <c r="C91" s="212"/>
      <c r="D91" s="121"/>
      <c r="E91" s="121"/>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213"/>
      <c r="BL91" s="213"/>
      <c r="BM91" s="213"/>
      <c r="BN91" s="213"/>
      <c r="BO91" s="213"/>
      <c r="BP91" s="213"/>
      <c r="BQ91" s="213"/>
      <c r="BR91" s="213"/>
      <c r="BS91" s="213"/>
      <c r="BT91" s="213"/>
      <c r="BU91" s="213"/>
      <c r="BV91" s="213"/>
      <c r="BW91" s="213"/>
      <c r="BX91" s="213"/>
      <c r="BY91" s="213"/>
      <c r="BZ91" s="213"/>
      <c r="CA91" s="213"/>
      <c r="CB91" s="213"/>
      <c r="CC91" s="213"/>
      <c r="CD91" s="213"/>
      <c r="CE91" s="213"/>
      <c r="CF91" s="213"/>
      <c r="CG91" s="213"/>
      <c r="CH91" s="213"/>
      <c r="CI91" s="213"/>
      <c r="CJ91" s="213"/>
      <c r="CK91" s="213"/>
      <c r="CL91" s="213"/>
      <c r="CM91" s="213"/>
      <c r="CN91" s="213"/>
      <c r="CO91" s="213"/>
      <c r="CP91" s="213"/>
      <c r="CQ91" s="213"/>
      <c r="CR91" s="213"/>
      <c r="CS91" s="213"/>
      <c r="CT91" s="213"/>
      <c r="CU91" s="213"/>
      <c r="CV91" s="213"/>
      <c r="CW91" s="213"/>
      <c r="CX91" s="214"/>
    </row>
    <row r="92" spans="2:102" x14ac:dyDescent="0.2">
      <c r="B92" s="189">
        <v>820</v>
      </c>
      <c r="C92" s="212"/>
      <c r="D92" s="121"/>
      <c r="E92" s="121"/>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213"/>
      <c r="BL92" s="213"/>
      <c r="BM92" s="213"/>
      <c r="BN92" s="213"/>
      <c r="BO92" s="213"/>
      <c r="BP92" s="213"/>
      <c r="BQ92" s="213"/>
      <c r="BR92" s="213"/>
      <c r="BS92" s="213"/>
      <c r="BT92" s="213"/>
      <c r="BU92" s="213"/>
      <c r="BV92" s="213"/>
      <c r="BW92" s="213"/>
      <c r="BX92" s="213"/>
      <c r="BY92" s="213"/>
      <c r="BZ92" s="213"/>
      <c r="CA92" s="213"/>
      <c r="CB92" s="213"/>
      <c r="CC92" s="213"/>
      <c r="CD92" s="213"/>
      <c r="CE92" s="213"/>
      <c r="CF92" s="213"/>
      <c r="CG92" s="213"/>
      <c r="CH92" s="213"/>
      <c r="CI92" s="213"/>
      <c r="CJ92" s="213"/>
      <c r="CK92" s="213"/>
      <c r="CL92" s="213"/>
      <c r="CM92" s="213"/>
      <c r="CN92" s="213"/>
      <c r="CO92" s="213"/>
      <c r="CP92" s="213"/>
      <c r="CQ92" s="213"/>
      <c r="CR92" s="213"/>
      <c r="CS92" s="213"/>
      <c r="CT92" s="213"/>
      <c r="CU92" s="213"/>
      <c r="CV92" s="213"/>
      <c r="CW92" s="213"/>
      <c r="CX92" s="214"/>
    </row>
    <row r="93" spans="2:102" x14ac:dyDescent="0.2">
      <c r="B93" s="189">
        <v>825</v>
      </c>
      <c r="C93" s="212"/>
      <c r="D93" s="121"/>
      <c r="E93" s="121"/>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213"/>
      <c r="BL93" s="213"/>
      <c r="BM93" s="213"/>
      <c r="BN93" s="213"/>
      <c r="BO93" s="213"/>
      <c r="BP93" s="213"/>
      <c r="BQ93" s="213"/>
      <c r="BR93" s="213"/>
      <c r="BS93" s="213"/>
      <c r="BT93" s="213"/>
      <c r="BU93" s="213"/>
      <c r="BV93" s="213"/>
      <c r="BW93" s="213"/>
      <c r="BX93" s="213"/>
      <c r="BY93" s="213"/>
      <c r="BZ93" s="213"/>
      <c r="CA93" s="213"/>
      <c r="CB93" s="213"/>
      <c r="CC93" s="213"/>
      <c r="CD93" s="213"/>
      <c r="CE93" s="213"/>
      <c r="CF93" s="213"/>
      <c r="CG93" s="213"/>
      <c r="CH93" s="213"/>
      <c r="CI93" s="213"/>
      <c r="CJ93" s="213"/>
      <c r="CK93" s="213"/>
      <c r="CL93" s="213"/>
      <c r="CM93" s="213"/>
      <c r="CN93" s="213"/>
      <c r="CO93" s="213"/>
      <c r="CP93" s="213"/>
      <c r="CQ93" s="213"/>
      <c r="CR93" s="213"/>
      <c r="CS93" s="213"/>
      <c r="CT93" s="213"/>
      <c r="CU93" s="213"/>
      <c r="CV93" s="213"/>
      <c r="CW93" s="213"/>
      <c r="CX93" s="214"/>
    </row>
    <row r="94" spans="2:102" x14ac:dyDescent="0.2">
      <c r="B94" s="189">
        <v>830</v>
      </c>
      <c r="C94" s="212"/>
      <c r="D94" s="121"/>
      <c r="E94" s="121"/>
      <c r="F94" s="121"/>
      <c r="G94" s="121"/>
      <c r="H94" s="121"/>
      <c r="I94" s="121"/>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213"/>
      <c r="BL94" s="213"/>
      <c r="BM94" s="213"/>
      <c r="BN94" s="213"/>
      <c r="BO94" s="213"/>
      <c r="BP94" s="213"/>
      <c r="BQ94" s="213"/>
      <c r="BR94" s="213"/>
      <c r="BS94" s="213"/>
      <c r="BT94" s="213"/>
      <c r="BU94" s="213"/>
      <c r="BV94" s="213"/>
      <c r="BW94" s="213"/>
      <c r="BX94" s="213"/>
      <c r="BY94" s="213"/>
      <c r="BZ94" s="213"/>
      <c r="CA94" s="213"/>
      <c r="CB94" s="213"/>
      <c r="CC94" s="213"/>
      <c r="CD94" s="213"/>
      <c r="CE94" s="213"/>
      <c r="CF94" s="213"/>
      <c r="CG94" s="213"/>
      <c r="CH94" s="213"/>
      <c r="CI94" s="213"/>
      <c r="CJ94" s="213"/>
      <c r="CK94" s="213"/>
      <c r="CL94" s="213"/>
      <c r="CM94" s="213"/>
      <c r="CN94" s="213"/>
      <c r="CO94" s="213"/>
      <c r="CP94" s="213"/>
      <c r="CQ94" s="213"/>
      <c r="CR94" s="213"/>
      <c r="CS94" s="213"/>
      <c r="CT94" s="213"/>
      <c r="CU94" s="213"/>
      <c r="CV94" s="213"/>
      <c r="CW94" s="213"/>
      <c r="CX94" s="214"/>
    </row>
    <row r="95" spans="2:102" x14ac:dyDescent="0.2">
      <c r="B95" s="189">
        <v>840</v>
      </c>
      <c r="C95" s="212"/>
      <c r="D95" s="121"/>
      <c r="E95" s="121"/>
      <c r="F95" s="121"/>
      <c r="G95" s="121"/>
      <c r="H95" s="121"/>
      <c r="I95" s="121"/>
      <c r="J95" s="121"/>
      <c r="K95" s="121"/>
      <c r="L95" s="121"/>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213"/>
      <c r="BL95" s="213"/>
      <c r="BM95" s="213"/>
      <c r="BN95" s="213"/>
      <c r="BO95" s="213"/>
      <c r="BP95" s="213"/>
      <c r="BQ95" s="213"/>
      <c r="BR95" s="213"/>
      <c r="BS95" s="213"/>
      <c r="BT95" s="213"/>
      <c r="BU95" s="213"/>
      <c r="BV95" s="213"/>
      <c r="BW95" s="213"/>
      <c r="BX95" s="213"/>
      <c r="BY95" s="213"/>
      <c r="BZ95" s="213"/>
      <c r="CA95" s="213"/>
      <c r="CB95" s="213"/>
      <c r="CC95" s="213"/>
      <c r="CD95" s="213"/>
      <c r="CE95" s="213"/>
      <c r="CF95" s="213"/>
      <c r="CG95" s="213"/>
      <c r="CH95" s="213"/>
      <c r="CI95" s="213"/>
      <c r="CJ95" s="213"/>
      <c r="CK95" s="213"/>
      <c r="CL95" s="213"/>
      <c r="CM95" s="213"/>
      <c r="CN95" s="213"/>
      <c r="CO95" s="213"/>
      <c r="CP95" s="213"/>
      <c r="CQ95" s="213"/>
      <c r="CR95" s="213"/>
      <c r="CS95" s="213"/>
      <c r="CT95" s="213"/>
      <c r="CU95" s="213"/>
      <c r="CV95" s="213"/>
      <c r="CW95" s="213"/>
      <c r="CX95" s="214"/>
    </row>
    <row r="96" spans="2:102" x14ac:dyDescent="0.2">
      <c r="B96" s="189">
        <v>850</v>
      </c>
      <c r="C96" s="212"/>
      <c r="D96" s="121"/>
      <c r="E96" s="121"/>
      <c r="F96" s="121"/>
      <c r="G96" s="121"/>
      <c r="H96" s="121"/>
      <c r="I96" s="121"/>
      <c r="J96" s="121"/>
      <c r="K96" s="121"/>
      <c r="L96" s="121"/>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213"/>
      <c r="BL96" s="213"/>
      <c r="BM96" s="213"/>
      <c r="BN96" s="213"/>
      <c r="BO96" s="213"/>
      <c r="BP96" s="213"/>
      <c r="BQ96" s="213"/>
      <c r="BR96" s="213"/>
      <c r="BS96" s="213"/>
      <c r="BT96" s="213"/>
      <c r="BU96" s="213"/>
      <c r="BV96" s="213"/>
      <c r="BW96" s="213"/>
      <c r="BX96" s="213"/>
      <c r="BY96" s="213"/>
      <c r="BZ96" s="213"/>
      <c r="CA96" s="213"/>
      <c r="CB96" s="213"/>
      <c r="CC96" s="213"/>
      <c r="CD96" s="213"/>
      <c r="CE96" s="213"/>
      <c r="CF96" s="213"/>
      <c r="CG96" s="213"/>
      <c r="CH96" s="213"/>
      <c r="CI96" s="213"/>
      <c r="CJ96" s="213"/>
      <c r="CK96" s="213"/>
      <c r="CL96" s="213"/>
      <c r="CM96" s="213"/>
      <c r="CN96" s="213"/>
      <c r="CO96" s="213"/>
      <c r="CP96" s="213"/>
      <c r="CQ96" s="213"/>
      <c r="CR96" s="213"/>
      <c r="CS96" s="213"/>
      <c r="CT96" s="213"/>
      <c r="CU96" s="213"/>
      <c r="CV96" s="213"/>
      <c r="CW96" s="213"/>
      <c r="CX96" s="214"/>
    </row>
    <row r="97" spans="2:102" x14ac:dyDescent="0.2">
      <c r="B97" s="189">
        <v>860</v>
      </c>
      <c r="C97" s="212"/>
      <c r="D97" s="121"/>
      <c r="E97" s="121"/>
      <c r="F97" s="121"/>
      <c r="G97" s="121"/>
      <c r="H97" s="121"/>
      <c r="I97" s="121"/>
      <c r="J97" s="121"/>
      <c r="K97" s="121"/>
      <c r="L97" s="121"/>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213"/>
      <c r="BL97" s="213"/>
      <c r="BM97" s="213"/>
      <c r="BN97" s="213"/>
      <c r="BO97" s="213"/>
      <c r="BP97" s="213"/>
      <c r="BQ97" s="213"/>
      <c r="BR97" s="213"/>
      <c r="BS97" s="213"/>
      <c r="BT97" s="213"/>
      <c r="BU97" s="213"/>
      <c r="BV97" s="213"/>
      <c r="BW97" s="213"/>
      <c r="BX97" s="213"/>
      <c r="BY97" s="213"/>
      <c r="BZ97" s="213"/>
      <c r="CA97" s="213"/>
      <c r="CB97" s="213"/>
      <c r="CC97" s="213"/>
      <c r="CD97" s="213"/>
      <c r="CE97" s="213"/>
      <c r="CF97" s="213"/>
      <c r="CG97" s="213"/>
      <c r="CH97" s="213"/>
      <c r="CI97" s="213"/>
      <c r="CJ97" s="213"/>
      <c r="CK97" s="213"/>
      <c r="CL97" s="213"/>
      <c r="CM97" s="213"/>
      <c r="CN97" s="213"/>
      <c r="CO97" s="213"/>
      <c r="CP97" s="213"/>
      <c r="CQ97" s="213"/>
      <c r="CR97" s="213"/>
      <c r="CS97" s="213"/>
      <c r="CT97" s="213"/>
      <c r="CU97" s="213"/>
      <c r="CV97" s="213"/>
      <c r="CW97" s="213"/>
      <c r="CX97" s="214"/>
    </row>
    <row r="98" spans="2:102" x14ac:dyDescent="0.2">
      <c r="B98" s="189">
        <v>870</v>
      </c>
      <c r="C98" s="212"/>
      <c r="D98" s="121"/>
      <c r="E98" s="121"/>
      <c r="F98" s="121"/>
      <c r="G98" s="121"/>
      <c r="H98" s="121"/>
      <c r="I98" s="121"/>
      <c r="J98" s="121"/>
      <c r="K98" s="121"/>
      <c r="L98" s="121"/>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213"/>
      <c r="BL98" s="213"/>
      <c r="BM98" s="213"/>
      <c r="BN98" s="213"/>
      <c r="BO98" s="213"/>
      <c r="BP98" s="213"/>
      <c r="BQ98" s="213"/>
      <c r="BR98" s="213"/>
      <c r="BS98" s="213"/>
      <c r="BT98" s="213"/>
      <c r="BU98" s="213"/>
      <c r="BV98" s="213"/>
      <c r="BW98" s="213"/>
      <c r="BX98" s="213"/>
      <c r="BY98" s="213"/>
      <c r="BZ98" s="213"/>
      <c r="CA98" s="213"/>
      <c r="CB98" s="213"/>
      <c r="CC98" s="213"/>
      <c r="CD98" s="213"/>
      <c r="CE98" s="213"/>
      <c r="CF98" s="213"/>
      <c r="CG98" s="213"/>
      <c r="CH98" s="213"/>
      <c r="CI98" s="213"/>
      <c r="CJ98" s="213"/>
      <c r="CK98" s="213"/>
      <c r="CL98" s="213"/>
      <c r="CM98" s="213"/>
      <c r="CN98" s="213"/>
      <c r="CO98" s="213"/>
      <c r="CP98" s="213"/>
      <c r="CQ98" s="213"/>
      <c r="CR98" s="213"/>
      <c r="CS98" s="213"/>
      <c r="CT98" s="213"/>
      <c r="CU98" s="213"/>
      <c r="CV98" s="213"/>
      <c r="CW98" s="213"/>
      <c r="CX98" s="214"/>
    </row>
    <row r="99" spans="2:102" x14ac:dyDescent="0.2">
      <c r="B99" s="189">
        <v>875</v>
      </c>
      <c r="C99" s="212"/>
      <c r="D99" s="121"/>
      <c r="E99" s="121"/>
      <c r="F99" s="121"/>
      <c r="G99" s="121"/>
      <c r="H99" s="121"/>
      <c r="I99" s="121"/>
      <c r="J99" s="121"/>
      <c r="K99" s="121"/>
      <c r="L99" s="121"/>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213"/>
      <c r="BL99" s="213"/>
      <c r="BM99" s="213"/>
      <c r="BN99" s="213"/>
      <c r="BO99" s="213"/>
      <c r="BP99" s="213"/>
      <c r="BQ99" s="213"/>
      <c r="BR99" s="213"/>
      <c r="BS99" s="213"/>
      <c r="BT99" s="213"/>
      <c r="BU99" s="213"/>
      <c r="BV99" s="213"/>
      <c r="BW99" s="213"/>
      <c r="BX99" s="213"/>
      <c r="BY99" s="213"/>
      <c r="BZ99" s="213"/>
      <c r="CA99" s="213"/>
      <c r="CB99" s="213"/>
      <c r="CC99" s="213"/>
      <c r="CD99" s="213"/>
      <c r="CE99" s="213"/>
      <c r="CF99" s="213"/>
      <c r="CG99" s="213"/>
      <c r="CH99" s="213"/>
      <c r="CI99" s="213"/>
      <c r="CJ99" s="213"/>
      <c r="CK99" s="213"/>
      <c r="CL99" s="213"/>
      <c r="CM99" s="213"/>
      <c r="CN99" s="213"/>
      <c r="CO99" s="213"/>
      <c r="CP99" s="213"/>
      <c r="CQ99" s="213"/>
      <c r="CR99" s="213"/>
      <c r="CS99" s="213"/>
      <c r="CT99" s="213"/>
      <c r="CU99" s="213"/>
      <c r="CV99" s="213"/>
      <c r="CW99" s="213"/>
      <c r="CX99" s="214"/>
    </row>
    <row r="100" spans="2:102" x14ac:dyDescent="0.2">
      <c r="B100" s="189">
        <v>880</v>
      </c>
      <c r="C100" s="212"/>
      <c r="D100" s="121"/>
      <c r="E100" s="121"/>
      <c r="F100" s="121"/>
      <c r="G100" s="121"/>
      <c r="H100" s="121"/>
      <c r="I100" s="121"/>
      <c r="J100" s="121"/>
      <c r="K100" s="121"/>
      <c r="L100" s="121"/>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213"/>
      <c r="BL100" s="213"/>
      <c r="BM100" s="213"/>
      <c r="BN100" s="213"/>
      <c r="BO100" s="213"/>
      <c r="BP100" s="213"/>
      <c r="BQ100" s="213"/>
      <c r="BR100" s="213"/>
      <c r="BS100" s="213"/>
      <c r="BT100" s="213"/>
      <c r="BU100" s="213"/>
      <c r="BV100" s="213"/>
      <c r="BW100" s="213"/>
      <c r="BX100" s="213"/>
      <c r="BY100" s="213"/>
      <c r="BZ100" s="213"/>
      <c r="CA100" s="213"/>
      <c r="CB100" s="213"/>
      <c r="CC100" s="213"/>
      <c r="CD100" s="213"/>
      <c r="CE100" s="213"/>
      <c r="CF100" s="213"/>
      <c r="CG100" s="213"/>
      <c r="CH100" s="213"/>
      <c r="CI100" s="213"/>
      <c r="CJ100" s="213"/>
      <c r="CK100" s="213"/>
      <c r="CL100" s="213"/>
      <c r="CM100" s="213"/>
      <c r="CN100" s="213"/>
      <c r="CO100" s="213"/>
      <c r="CP100" s="213"/>
      <c r="CQ100" s="213"/>
      <c r="CR100" s="213"/>
      <c r="CS100" s="213"/>
      <c r="CT100" s="213"/>
      <c r="CU100" s="213"/>
      <c r="CV100" s="213"/>
      <c r="CW100" s="213"/>
      <c r="CX100" s="214"/>
    </row>
    <row r="101" spans="2:102" x14ac:dyDescent="0.2">
      <c r="B101" s="189">
        <v>890</v>
      </c>
      <c r="C101" s="212"/>
      <c r="D101" s="121"/>
      <c r="E101" s="121"/>
      <c r="F101" s="121"/>
      <c r="G101" s="121"/>
      <c r="H101" s="121"/>
      <c r="I101" s="121"/>
      <c r="J101" s="121"/>
      <c r="K101" s="121"/>
      <c r="L101" s="121"/>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213"/>
      <c r="BL101" s="213"/>
      <c r="BM101" s="213"/>
      <c r="BN101" s="213"/>
      <c r="BO101" s="213"/>
      <c r="BP101" s="213"/>
      <c r="BQ101" s="213"/>
      <c r="BR101" s="213"/>
      <c r="BS101" s="213"/>
      <c r="BT101" s="213"/>
      <c r="BU101" s="213"/>
      <c r="BV101" s="213"/>
      <c r="BW101" s="213"/>
      <c r="BX101" s="213"/>
      <c r="BY101" s="213"/>
      <c r="BZ101" s="213"/>
      <c r="CA101" s="213"/>
      <c r="CB101" s="213"/>
      <c r="CC101" s="213"/>
      <c r="CD101" s="213"/>
      <c r="CE101" s="213"/>
      <c r="CF101" s="213"/>
      <c r="CG101" s="213"/>
      <c r="CH101" s="213"/>
      <c r="CI101" s="213"/>
      <c r="CJ101" s="213"/>
      <c r="CK101" s="213"/>
      <c r="CL101" s="213"/>
      <c r="CM101" s="213"/>
      <c r="CN101" s="213"/>
      <c r="CO101" s="213"/>
      <c r="CP101" s="213"/>
      <c r="CQ101" s="213"/>
      <c r="CR101" s="213"/>
      <c r="CS101" s="213"/>
      <c r="CT101" s="213"/>
      <c r="CU101" s="213"/>
      <c r="CV101" s="213"/>
      <c r="CW101" s="213"/>
      <c r="CX101" s="214"/>
    </row>
    <row r="102" spans="2:102" x14ac:dyDescent="0.2">
      <c r="B102" s="189">
        <v>900</v>
      </c>
      <c r="C102" s="212"/>
      <c r="D102" s="121"/>
      <c r="E102" s="121"/>
      <c r="F102" s="121"/>
      <c r="G102" s="121"/>
      <c r="H102" s="121"/>
      <c r="I102" s="121"/>
      <c r="J102" s="121"/>
      <c r="K102" s="121"/>
      <c r="L102" s="121"/>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213"/>
      <c r="BL102" s="213"/>
      <c r="BM102" s="213"/>
      <c r="BN102" s="213"/>
      <c r="BO102" s="213"/>
      <c r="BP102" s="213"/>
      <c r="BQ102" s="213"/>
      <c r="BR102" s="213"/>
      <c r="BS102" s="213"/>
      <c r="BT102" s="213"/>
      <c r="BU102" s="213"/>
      <c r="BV102" s="213"/>
      <c r="BW102" s="213"/>
      <c r="BX102" s="213"/>
      <c r="BY102" s="213"/>
      <c r="BZ102" s="213"/>
      <c r="CA102" s="213"/>
      <c r="CB102" s="213"/>
      <c r="CC102" s="213"/>
      <c r="CD102" s="213"/>
      <c r="CE102" s="213"/>
      <c r="CF102" s="213"/>
      <c r="CG102" s="213"/>
      <c r="CH102" s="213"/>
      <c r="CI102" s="213"/>
      <c r="CJ102" s="213"/>
      <c r="CK102" s="213"/>
      <c r="CL102" s="213"/>
      <c r="CM102" s="213"/>
      <c r="CN102" s="213"/>
      <c r="CO102" s="213"/>
      <c r="CP102" s="213"/>
      <c r="CQ102" s="213"/>
      <c r="CR102" s="213"/>
      <c r="CS102" s="213"/>
      <c r="CT102" s="213"/>
      <c r="CU102" s="213"/>
      <c r="CV102" s="213"/>
      <c r="CW102" s="213"/>
      <c r="CX102" s="214"/>
    </row>
    <row r="103" spans="2:102" x14ac:dyDescent="0.2">
      <c r="B103" s="189">
        <v>910</v>
      </c>
      <c r="C103" s="217"/>
      <c r="D103" s="213"/>
      <c r="E103" s="213"/>
      <c r="F103" s="213"/>
      <c r="G103" s="213"/>
      <c r="H103" s="213"/>
      <c r="I103" s="213"/>
      <c r="J103" s="213"/>
      <c r="K103" s="213"/>
      <c r="L103" s="213"/>
      <c r="M103" s="213"/>
      <c r="N103" s="213"/>
      <c r="O103" s="213"/>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c r="BY103" s="213"/>
      <c r="BZ103" s="213"/>
      <c r="CA103" s="213"/>
      <c r="CB103" s="213"/>
      <c r="CC103" s="213"/>
      <c r="CD103" s="213"/>
      <c r="CE103" s="213"/>
      <c r="CF103" s="213"/>
      <c r="CG103" s="213"/>
      <c r="CH103" s="213"/>
      <c r="CI103" s="213"/>
      <c r="CJ103" s="213"/>
      <c r="CK103" s="213"/>
      <c r="CL103" s="213"/>
      <c r="CM103" s="213"/>
      <c r="CN103" s="213"/>
      <c r="CO103" s="213"/>
      <c r="CP103" s="213"/>
      <c r="CQ103" s="213"/>
      <c r="CR103" s="213"/>
      <c r="CS103" s="213"/>
      <c r="CT103" s="213"/>
      <c r="CU103" s="213"/>
      <c r="CV103" s="213"/>
      <c r="CW103" s="213"/>
      <c r="CX103" s="214"/>
    </row>
    <row r="104" spans="2:102" x14ac:dyDescent="0.2">
      <c r="B104" s="189">
        <v>920</v>
      </c>
      <c r="C104" s="217"/>
      <c r="D104" s="213"/>
      <c r="E104" s="213"/>
      <c r="F104" s="213"/>
      <c r="G104" s="213"/>
      <c r="H104" s="213"/>
      <c r="I104" s="213"/>
      <c r="J104" s="213"/>
      <c r="K104" s="213"/>
      <c r="L104" s="213"/>
      <c r="M104" s="213"/>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c r="BY104" s="213"/>
      <c r="BZ104" s="213"/>
      <c r="CA104" s="213"/>
      <c r="CB104" s="213"/>
      <c r="CC104" s="213"/>
      <c r="CD104" s="213"/>
      <c r="CE104" s="213"/>
      <c r="CF104" s="213"/>
      <c r="CG104" s="213"/>
      <c r="CH104" s="213"/>
      <c r="CI104" s="213"/>
      <c r="CJ104" s="213"/>
      <c r="CK104" s="213"/>
      <c r="CL104" s="213"/>
      <c r="CM104" s="213"/>
      <c r="CN104" s="213"/>
      <c r="CO104" s="213"/>
      <c r="CP104" s="213"/>
      <c r="CQ104" s="213"/>
      <c r="CR104" s="213"/>
      <c r="CS104" s="213"/>
      <c r="CT104" s="213"/>
      <c r="CU104" s="213"/>
      <c r="CV104" s="213"/>
      <c r="CW104" s="213"/>
      <c r="CX104" s="214"/>
    </row>
    <row r="105" spans="2:102" x14ac:dyDescent="0.2">
      <c r="B105" s="189">
        <v>925</v>
      </c>
      <c r="C105" s="217"/>
      <c r="D105" s="213"/>
      <c r="E105" s="213"/>
      <c r="F105" s="213"/>
      <c r="G105" s="213"/>
      <c r="H105" s="213"/>
      <c r="I105" s="213"/>
      <c r="J105" s="213"/>
      <c r="K105" s="213"/>
      <c r="L105" s="213"/>
      <c r="M105" s="213"/>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c r="BY105" s="213"/>
      <c r="BZ105" s="213"/>
      <c r="CA105" s="213"/>
      <c r="CB105" s="213"/>
      <c r="CC105" s="213"/>
      <c r="CD105" s="213"/>
      <c r="CE105" s="213"/>
      <c r="CF105" s="213"/>
      <c r="CG105" s="213"/>
      <c r="CH105" s="213"/>
      <c r="CI105" s="213"/>
      <c r="CJ105" s="213"/>
      <c r="CK105" s="213"/>
      <c r="CL105" s="213"/>
      <c r="CM105" s="213"/>
      <c r="CN105" s="213"/>
      <c r="CO105" s="213"/>
      <c r="CP105" s="213"/>
      <c r="CQ105" s="213"/>
      <c r="CR105" s="213"/>
      <c r="CS105" s="213"/>
      <c r="CT105" s="213"/>
      <c r="CU105" s="213"/>
      <c r="CV105" s="213"/>
      <c r="CW105" s="213"/>
      <c r="CX105" s="214"/>
    </row>
    <row r="106" spans="2:102" x14ac:dyDescent="0.2">
      <c r="B106" s="189">
        <v>930</v>
      </c>
      <c r="C106" s="217"/>
      <c r="D106" s="213"/>
      <c r="E106" s="213"/>
      <c r="F106" s="213"/>
      <c r="G106" s="213"/>
      <c r="H106" s="213"/>
      <c r="I106" s="213"/>
      <c r="J106" s="213"/>
      <c r="K106" s="213"/>
      <c r="L106" s="213"/>
      <c r="M106" s="213"/>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c r="BY106" s="213"/>
      <c r="BZ106" s="213"/>
      <c r="CA106" s="213"/>
      <c r="CB106" s="213"/>
      <c r="CC106" s="213"/>
      <c r="CD106" s="213"/>
      <c r="CE106" s="213"/>
      <c r="CF106" s="213"/>
      <c r="CG106" s="213"/>
      <c r="CH106" s="213"/>
      <c r="CI106" s="213"/>
      <c r="CJ106" s="213"/>
      <c r="CK106" s="213"/>
      <c r="CL106" s="213"/>
      <c r="CM106" s="213"/>
      <c r="CN106" s="213"/>
      <c r="CO106" s="213"/>
      <c r="CP106" s="213"/>
      <c r="CQ106" s="213"/>
      <c r="CR106" s="213"/>
      <c r="CS106" s="213"/>
      <c r="CT106" s="213"/>
      <c r="CU106" s="213"/>
      <c r="CV106" s="213"/>
      <c r="CW106" s="213"/>
      <c r="CX106" s="214"/>
    </row>
    <row r="107" spans="2:102" x14ac:dyDescent="0.2">
      <c r="B107" s="189">
        <v>940</v>
      </c>
      <c r="C107" s="217"/>
      <c r="D107" s="213"/>
      <c r="E107" s="213"/>
      <c r="F107" s="213"/>
      <c r="G107" s="213"/>
      <c r="H107" s="213"/>
      <c r="I107" s="213"/>
      <c r="J107" s="213"/>
      <c r="K107" s="213"/>
      <c r="L107" s="213"/>
      <c r="M107" s="213"/>
      <c r="N107" s="213"/>
      <c r="O107" s="213"/>
      <c r="P107" s="213"/>
      <c r="Q107" s="213"/>
      <c r="R107" s="213"/>
      <c r="S107" s="213"/>
      <c r="T107" s="213"/>
      <c r="U107" s="213"/>
      <c r="V107" s="213"/>
      <c r="W107" s="213"/>
      <c r="X107" s="213"/>
      <c r="Y107" s="213"/>
      <c r="Z107" s="213"/>
      <c r="AA107" s="213"/>
      <c r="AB107" s="213"/>
      <c r="AC107" s="213"/>
      <c r="AD107" s="213"/>
      <c r="AE107" s="213"/>
      <c r="AF107" s="213"/>
      <c r="AG107" s="213"/>
      <c r="AH107" s="213"/>
      <c r="AI107" s="213"/>
      <c r="AJ107" s="213"/>
      <c r="AK107" s="213"/>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c r="BY107" s="213"/>
      <c r="BZ107" s="213"/>
      <c r="CA107" s="213"/>
      <c r="CB107" s="213"/>
      <c r="CC107" s="213"/>
      <c r="CD107" s="213"/>
      <c r="CE107" s="213"/>
      <c r="CF107" s="213"/>
      <c r="CG107" s="213"/>
      <c r="CH107" s="213"/>
      <c r="CI107" s="213"/>
      <c r="CJ107" s="213"/>
      <c r="CK107" s="213"/>
      <c r="CL107" s="213"/>
      <c r="CM107" s="213"/>
      <c r="CN107" s="213"/>
      <c r="CO107" s="213"/>
      <c r="CP107" s="213"/>
      <c r="CQ107" s="213"/>
      <c r="CR107" s="213"/>
      <c r="CS107" s="213"/>
      <c r="CT107" s="213"/>
      <c r="CU107" s="213"/>
      <c r="CV107" s="213"/>
      <c r="CW107" s="213"/>
      <c r="CX107" s="214"/>
    </row>
    <row r="108" spans="2:102" x14ac:dyDescent="0.2">
      <c r="B108" s="189">
        <v>950</v>
      </c>
      <c r="C108" s="217"/>
      <c r="D108" s="213"/>
      <c r="E108" s="213"/>
      <c r="F108" s="213"/>
      <c r="G108" s="213"/>
      <c r="H108" s="213"/>
      <c r="I108" s="213"/>
      <c r="J108" s="213"/>
      <c r="K108" s="213"/>
      <c r="L108" s="213"/>
      <c r="M108" s="213"/>
      <c r="N108" s="213"/>
      <c r="O108" s="213"/>
      <c r="P108" s="213"/>
      <c r="Q108" s="213"/>
      <c r="R108" s="213"/>
      <c r="S108" s="213"/>
      <c r="T108" s="213"/>
      <c r="U108" s="213"/>
      <c r="V108" s="213"/>
      <c r="W108" s="213"/>
      <c r="X108" s="213"/>
      <c r="Y108" s="213"/>
      <c r="Z108" s="213"/>
      <c r="AA108" s="213"/>
      <c r="AB108" s="213"/>
      <c r="AC108" s="213"/>
      <c r="AD108" s="213"/>
      <c r="AE108" s="213"/>
      <c r="AF108" s="213"/>
      <c r="AG108" s="213"/>
      <c r="AH108" s="213"/>
      <c r="AI108" s="213"/>
      <c r="AJ108" s="213"/>
      <c r="AK108" s="213"/>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c r="BY108" s="213"/>
      <c r="BZ108" s="213"/>
      <c r="CA108" s="213"/>
      <c r="CB108" s="213"/>
      <c r="CC108" s="213"/>
      <c r="CD108" s="213"/>
      <c r="CE108" s="213"/>
      <c r="CF108" s="213"/>
      <c r="CG108" s="213"/>
      <c r="CH108" s="213"/>
      <c r="CI108" s="213"/>
      <c r="CJ108" s="213"/>
      <c r="CK108" s="213"/>
      <c r="CL108" s="213"/>
      <c r="CM108" s="213"/>
      <c r="CN108" s="213"/>
      <c r="CO108" s="213"/>
      <c r="CP108" s="213"/>
      <c r="CQ108" s="213"/>
      <c r="CR108" s="213"/>
      <c r="CS108" s="213"/>
      <c r="CT108" s="213"/>
      <c r="CU108" s="213"/>
      <c r="CV108" s="213"/>
      <c r="CW108" s="213"/>
      <c r="CX108" s="214"/>
    </row>
    <row r="109" spans="2:102" x14ac:dyDescent="0.2">
      <c r="B109" s="189">
        <v>960</v>
      </c>
      <c r="C109" s="217"/>
      <c r="D109" s="213"/>
      <c r="E109" s="213"/>
      <c r="F109" s="213"/>
      <c r="G109" s="213"/>
      <c r="H109" s="213"/>
      <c r="I109" s="213"/>
      <c r="J109" s="213"/>
      <c r="K109" s="213"/>
      <c r="L109" s="213"/>
      <c r="M109" s="213"/>
      <c r="N109" s="213"/>
      <c r="O109" s="213"/>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c r="BY109" s="213"/>
      <c r="BZ109" s="213"/>
      <c r="CA109" s="213"/>
      <c r="CB109" s="213"/>
      <c r="CC109" s="213"/>
      <c r="CD109" s="213"/>
      <c r="CE109" s="213"/>
      <c r="CF109" s="213"/>
      <c r="CG109" s="213"/>
      <c r="CH109" s="213"/>
      <c r="CI109" s="213"/>
      <c r="CJ109" s="213"/>
      <c r="CK109" s="213"/>
      <c r="CL109" s="213"/>
      <c r="CM109" s="213"/>
      <c r="CN109" s="213"/>
      <c r="CO109" s="213"/>
      <c r="CP109" s="213"/>
      <c r="CQ109" s="213"/>
      <c r="CR109" s="213"/>
      <c r="CS109" s="213"/>
      <c r="CT109" s="213"/>
      <c r="CU109" s="213"/>
      <c r="CV109" s="213"/>
      <c r="CW109" s="213"/>
      <c r="CX109" s="214"/>
    </row>
    <row r="110" spans="2:102" x14ac:dyDescent="0.2">
      <c r="B110" s="189">
        <v>970</v>
      </c>
      <c r="C110" s="217"/>
      <c r="D110" s="213"/>
      <c r="E110" s="213"/>
      <c r="F110" s="213"/>
      <c r="G110" s="213"/>
      <c r="H110" s="213"/>
      <c r="I110" s="213"/>
      <c r="J110" s="213"/>
      <c r="K110" s="213"/>
      <c r="L110" s="213"/>
      <c r="M110" s="213"/>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c r="BY110" s="213"/>
      <c r="BZ110" s="213"/>
      <c r="CA110" s="213"/>
      <c r="CB110" s="213"/>
      <c r="CC110" s="213"/>
      <c r="CD110" s="213"/>
      <c r="CE110" s="213"/>
      <c r="CF110" s="213"/>
      <c r="CG110" s="213"/>
      <c r="CH110" s="213"/>
      <c r="CI110" s="213"/>
      <c r="CJ110" s="213"/>
      <c r="CK110" s="213"/>
      <c r="CL110" s="213"/>
      <c r="CM110" s="213"/>
      <c r="CN110" s="213"/>
      <c r="CO110" s="213"/>
      <c r="CP110" s="213"/>
      <c r="CQ110" s="213"/>
      <c r="CR110" s="213"/>
      <c r="CS110" s="213"/>
      <c r="CT110" s="213"/>
      <c r="CU110" s="213"/>
      <c r="CV110" s="213"/>
      <c r="CW110" s="213"/>
      <c r="CX110" s="214"/>
    </row>
    <row r="111" spans="2:102" x14ac:dyDescent="0.2">
      <c r="B111" s="189">
        <v>975</v>
      </c>
      <c r="C111" s="217"/>
      <c r="D111" s="213"/>
      <c r="E111" s="213"/>
      <c r="F111" s="213"/>
      <c r="G111" s="213"/>
      <c r="H111" s="213"/>
      <c r="I111" s="213"/>
      <c r="J111" s="213"/>
      <c r="K111" s="213"/>
      <c r="L111" s="213"/>
      <c r="M111" s="213"/>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c r="BY111" s="213"/>
      <c r="BZ111" s="213"/>
      <c r="CA111" s="213"/>
      <c r="CB111" s="213"/>
      <c r="CC111" s="213"/>
      <c r="CD111" s="213"/>
      <c r="CE111" s="213"/>
      <c r="CF111" s="213"/>
      <c r="CG111" s="213"/>
      <c r="CH111" s="213"/>
      <c r="CI111" s="213"/>
      <c r="CJ111" s="213"/>
      <c r="CK111" s="213"/>
      <c r="CL111" s="213"/>
      <c r="CM111" s="213"/>
      <c r="CN111" s="213"/>
      <c r="CO111" s="213"/>
      <c r="CP111" s="213"/>
      <c r="CQ111" s="213"/>
      <c r="CR111" s="213"/>
      <c r="CS111" s="213"/>
      <c r="CT111" s="213"/>
      <c r="CU111" s="213"/>
      <c r="CV111" s="213"/>
      <c r="CW111" s="213"/>
      <c r="CX111" s="214"/>
    </row>
    <row r="112" spans="2:102" x14ac:dyDescent="0.2">
      <c r="B112" s="189">
        <v>980</v>
      </c>
      <c r="C112" s="217"/>
      <c r="D112" s="213"/>
      <c r="E112" s="213"/>
      <c r="F112" s="213"/>
      <c r="G112" s="213"/>
      <c r="H112" s="213"/>
      <c r="I112" s="213"/>
      <c r="J112" s="213"/>
      <c r="K112" s="213"/>
      <c r="L112" s="213"/>
      <c r="M112" s="213"/>
      <c r="N112" s="213"/>
      <c r="O112" s="213"/>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c r="BY112" s="213"/>
      <c r="BZ112" s="213"/>
      <c r="CA112" s="213"/>
      <c r="CB112" s="213"/>
      <c r="CC112" s="213"/>
      <c r="CD112" s="213"/>
      <c r="CE112" s="213"/>
      <c r="CF112" s="213"/>
      <c r="CG112" s="213"/>
      <c r="CH112" s="213"/>
      <c r="CI112" s="213"/>
      <c r="CJ112" s="213"/>
      <c r="CK112" s="213"/>
      <c r="CL112" s="213"/>
      <c r="CM112" s="213"/>
      <c r="CN112" s="213"/>
      <c r="CO112" s="213"/>
      <c r="CP112" s="213"/>
      <c r="CQ112" s="213"/>
      <c r="CR112" s="213"/>
      <c r="CS112" s="213"/>
      <c r="CT112" s="213"/>
      <c r="CU112" s="213"/>
      <c r="CV112" s="213"/>
      <c r="CW112" s="213"/>
      <c r="CX112" s="214"/>
    </row>
    <row r="113" spans="2:102" x14ac:dyDescent="0.2">
      <c r="B113" s="189">
        <v>990</v>
      </c>
      <c r="C113" s="217"/>
      <c r="D113" s="213"/>
      <c r="E113" s="213"/>
      <c r="F113" s="213"/>
      <c r="G113" s="213"/>
      <c r="H113" s="213"/>
      <c r="I113" s="213"/>
      <c r="J113" s="213"/>
      <c r="K113" s="213"/>
      <c r="L113" s="213"/>
      <c r="M113" s="213"/>
      <c r="N113" s="213"/>
      <c r="O113" s="213"/>
      <c r="P113" s="213"/>
      <c r="Q113" s="213"/>
      <c r="R113" s="213"/>
      <c r="S113" s="213"/>
      <c r="T113" s="213"/>
      <c r="U113" s="213"/>
      <c r="V113" s="213"/>
      <c r="W113" s="213"/>
      <c r="X113" s="213"/>
      <c r="Y113" s="213"/>
      <c r="Z113" s="213"/>
      <c r="AA113" s="213"/>
      <c r="AB113" s="213"/>
      <c r="AC113" s="213"/>
      <c r="AD113" s="213"/>
      <c r="AE113" s="213"/>
      <c r="AF113" s="213"/>
      <c r="AG113" s="213"/>
      <c r="AH113" s="213"/>
      <c r="AI113" s="213"/>
      <c r="AJ113" s="213"/>
      <c r="AK113" s="213"/>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c r="BY113" s="213"/>
      <c r="BZ113" s="213"/>
      <c r="CA113" s="213"/>
      <c r="CB113" s="213"/>
      <c r="CC113" s="213"/>
      <c r="CD113" s="213"/>
      <c r="CE113" s="213"/>
      <c r="CF113" s="213"/>
      <c r="CG113" s="213"/>
      <c r="CH113" s="213"/>
      <c r="CI113" s="213"/>
      <c r="CJ113" s="213"/>
      <c r="CK113" s="213"/>
      <c r="CL113" s="213"/>
      <c r="CM113" s="213"/>
      <c r="CN113" s="213"/>
      <c r="CO113" s="213"/>
      <c r="CP113" s="213"/>
      <c r="CQ113" s="213"/>
      <c r="CR113" s="213"/>
      <c r="CS113" s="213"/>
      <c r="CT113" s="213"/>
      <c r="CU113" s="213"/>
      <c r="CV113" s="213"/>
      <c r="CW113" s="213"/>
      <c r="CX113" s="214"/>
    </row>
    <row r="114" spans="2:102" x14ac:dyDescent="0.2">
      <c r="B114" s="189">
        <v>1000</v>
      </c>
      <c r="C114" s="217"/>
      <c r="D114" s="213"/>
      <c r="E114" s="213"/>
      <c r="F114" s="213"/>
      <c r="G114" s="213"/>
      <c r="H114" s="213"/>
      <c r="I114" s="213"/>
      <c r="J114" s="213"/>
      <c r="K114" s="213"/>
      <c r="L114" s="213"/>
      <c r="M114" s="213"/>
      <c r="N114" s="213"/>
      <c r="O114" s="213"/>
      <c r="P114" s="213"/>
      <c r="Q114" s="213"/>
      <c r="R114" s="213"/>
      <c r="S114" s="213"/>
      <c r="T114" s="213"/>
      <c r="U114" s="213"/>
      <c r="V114" s="213"/>
      <c r="W114" s="213"/>
      <c r="X114" s="213"/>
      <c r="Y114" s="213"/>
      <c r="Z114" s="213"/>
      <c r="AA114" s="213"/>
      <c r="AB114" s="213"/>
      <c r="AC114" s="213"/>
      <c r="AD114" s="213"/>
      <c r="AE114" s="213"/>
      <c r="AF114" s="213"/>
      <c r="AG114" s="213"/>
      <c r="AH114" s="213"/>
      <c r="AI114" s="213"/>
      <c r="AJ114" s="213"/>
      <c r="AK114" s="213"/>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c r="BY114" s="213"/>
      <c r="BZ114" s="213"/>
      <c r="CA114" s="213"/>
      <c r="CB114" s="213"/>
      <c r="CC114" s="213"/>
      <c r="CD114" s="213"/>
      <c r="CE114" s="213"/>
      <c r="CF114" s="213"/>
      <c r="CG114" s="213"/>
      <c r="CH114" s="213"/>
      <c r="CI114" s="213"/>
      <c r="CJ114" s="213"/>
      <c r="CK114" s="213"/>
      <c r="CL114" s="213"/>
      <c r="CM114" s="213"/>
      <c r="CN114" s="213"/>
      <c r="CO114" s="213"/>
      <c r="CP114" s="213"/>
      <c r="CQ114" s="213"/>
      <c r="CR114" s="213"/>
      <c r="CS114" s="213"/>
      <c r="CT114" s="213"/>
      <c r="CU114" s="213"/>
      <c r="CV114" s="213"/>
      <c r="CW114" s="213"/>
      <c r="CX114" s="214"/>
    </row>
    <row r="115" spans="2:102" x14ac:dyDescent="0.2">
      <c r="C115" s="49"/>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c r="CT115" s="47"/>
      <c r="CU115" s="47"/>
      <c r="CV115" s="47"/>
      <c r="CW115" s="47"/>
      <c r="CX115" s="48"/>
    </row>
    <row r="116" spans="2:102" x14ac:dyDescent="0.2">
      <c r="C116" s="49"/>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c r="CT116" s="47"/>
      <c r="CU116" s="47"/>
      <c r="CV116" s="47"/>
      <c r="CW116" s="47"/>
      <c r="CX116" s="48"/>
    </row>
    <row r="117" spans="2:102" x14ac:dyDescent="0.2">
      <c r="C117" s="49"/>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c r="CT117" s="47"/>
      <c r="CU117" s="47"/>
      <c r="CV117" s="47"/>
      <c r="CW117" s="47"/>
      <c r="CX117" s="48"/>
    </row>
    <row r="118" spans="2:102" x14ac:dyDescent="0.2">
      <c r="C118" s="49"/>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c r="CT118" s="47"/>
      <c r="CU118" s="47"/>
      <c r="CV118" s="47"/>
      <c r="CW118" s="47"/>
      <c r="CX118" s="48"/>
    </row>
    <row r="119" spans="2:102" x14ac:dyDescent="0.2">
      <c r="C119" s="49"/>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c r="CT119" s="47"/>
      <c r="CU119" s="47"/>
      <c r="CV119" s="47"/>
      <c r="CW119" s="47"/>
      <c r="CX119" s="48"/>
    </row>
    <row r="120" spans="2:102" x14ac:dyDescent="0.2">
      <c r="C120" s="50"/>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2"/>
    </row>
  </sheetData>
  <sheetProtection sheet="1" objects="1" scenarios="1"/>
  <mergeCells count="7">
    <mergeCell ref="CE4:CX4"/>
    <mergeCell ref="C2:J2"/>
    <mergeCell ref="B4:B5"/>
    <mergeCell ref="C4:V4"/>
    <mergeCell ref="W4:AP4"/>
    <mergeCell ref="AQ4:BJ4"/>
    <mergeCell ref="BK4:CD4"/>
  </mergeCells>
  <pageMargins left="0.7" right="0.7" top="0.75" bottom="0.75" header="0.3" footer="0.3"/>
  <pageSetup orientation="portrait" horizontalDpi="0" verticalDpi="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2:N301"/>
  <sheetViews>
    <sheetView showGridLines="0" topLeftCell="A54" zoomScale="150" zoomScaleNormal="150" zoomScalePageLayoutView="150" workbookViewId="0">
      <selection activeCell="C55" sqref="C55"/>
    </sheetView>
  </sheetViews>
  <sheetFormatPr baseColWidth="10" defaultColWidth="8.83203125" defaultRowHeight="16" x14ac:dyDescent="0.2"/>
  <cols>
    <col min="1" max="1" width="2.83203125" customWidth="1"/>
    <col min="3" max="3" width="12.5" style="93" customWidth="1"/>
    <col min="4" max="13" width="11.83203125" customWidth="1"/>
  </cols>
  <sheetData>
    <row r="2" spans="2:14" x14ac:dyDescent="0.2">
      <c r="B2" s="56" t="s">
        <v>456</v>
      </c>
      <c r="C2" s="92" t="s">
        <v>567</v>
      </c>
      <c r="D2" s="311" t="s">
        <v>465</v>
      </c>
      <c r="E2" s="311"/>
      <c r="F2" s="311"/>
      <c r="G2" s="311"/>
      <c r="H2" s="311"/>
      <c r="I2" s="311"/>
      <c r="J2" s="311"/>
      <c r="K2" s="311"/>
      <c r="L2" s="311"/>
      <c r="M2" s="311"/>
    </row>
    <row r="3" spans="2:14" ht="78" customHeight="1" x14ac:dyDescent="0.2">
      <c r="B3" s="34">
        <v>1</v>
      </c>
      <c r="C3" s="94"/>
      <c r="D3" s="306" t="s">
        <v>457</v>
      </c>
      <c r="E3" s="306"/>
      <c r="F3" s="306"/>
      <c r="G3" s="306"/>
      <c r="H3" s="306"/>
      <c r="I3" s="306"/>
      <c r="J3" s="306"/>
      <c r="K3" s="306"/>
      <c r="L3" s="306"/>
      <c r="M3" s="306"/>
    </row>
    <row r="4" spans="2:14" ht="78" customHeight="1" thickBot="1" x14ac:dyDescent="0.25">
      <c r="B4" s="37">
        <v>1.1000000000000001</v>
      </c>
      <c r="C4" s="95"/>
      <c r="D4" s="307" t="s">
        <v>458</v>
      </c>
      <c r="E4" s="307"/>
      <c r="F4" s="307"/>
      <c r="G4" s="307"/>
      <c r="H4" s="307"/>
      <c r="I4" s="307"/>
      <c r="J4" s="307"/>
      <c r="K4" s="307"/>
      <c r="L4" s="307"/>
      <c r="M4" s="307"/>
    </row>
    <row r="5" spans="2:14" ht="78" customHeight="1" x14ac:dyDescent="0.2">
      <c r="B5" s="36">
        <v>2</v>
      </c>
      <c r="C5" s="96"/>
      <c r="D5" s="308" t="s">
        <v>459</v>
      </c>
      <c r="E5" s="308"/>
      <c r="F5" s="308"/>
      <c r="G5" s="308"/>
      <c r="H5" s="308"/>
      <c r="I5" s="308"/>
      <c r="J5" s="308"/>
      <c r="K5" s="308"/>
      <c r="L5" s="308"/>
      <c r="M5" s="308"/>
    </row>
    <row r="6" spans="2:14" ht="78" customHeight="1" x14ac:dyDescent="0.2">
      <c r="B6" s="34">
        <v>2.1</v>
      </c>
      <c r="C6" s="94"/>
      <c r="D6" s="306" t="s">
        <v>466</v>
      </c>
      <c r="E6" s="306"/>
      <c r="F6" s="306"/>
      <c r="G6" s="306"/>
      <c r="H6" s="306"/>
      <c r="I6" s="306"/>
      <c r="J6" s="306"/>
      <c r="K6" s="306"/>
      <c r="L6" s="306"/>
      <c r="M6" s="306"/>
    </row>
    <row r="7" spans="2:14" ht="78" customHeight="1" thickBot="1" x14ac:dyDescent="0.25">
      <c r="B7" s="37">
        <v>2.2000000000000002</v>
      </c>
      <c r="C7" s="95"/>
      <c r="D7" s="307" t="s">
        <v>460</v>
      </c>
      <c r="E7" s="307"/>
      <c r="F7" s="307"/>
      <c r="G7" s="307"/>
      <c r="H7" s="307"/>
      <c r="I7" s="307"/>
      <c r="J7" s="307"/>
      <c r="K7" s="307"/>
      <c r="L7" s="307"/>
      <c r="M7" s="307"/>
    </row>
    <row r="8" spans="2:14" ht="78" customHeight="1" x14ac:dyDescent="0.2">
      <c r="B8" s="36">
        <v>3</v>
      </c>
      <c r="C8" s="96"/>
      <c r="D8" s="308" t="s">
        <v>467</v>
      </c>
      <c r="E8" s="308"/>
      <c r="F8" s="308"/>
      <c r="G8" s="308"/>
      <c r="H8" s="308"/>
      <c r="I8" s="308"/>
      <c r="J8" s="308"/>
      <c r="K8" s="308"/>
      <c r="L8" s="308"/>
      <c r="M8" s="308"/>
    </row>
    <row r="9" spans="2:14" ht="78" customHeight="1" x14ac:dyDescent="0.2">
      <c r="B9" s="35">
        <v>3.1</v>
      </c>
      <c r="C9" s="94"/>
      <c r="D9" s="306" t="s">
        <v>461</v>
      </c>
      <c r="E9" s="306"/>
      <c r="F9" s="306"/>
      <c r="G9" s="306"/>
      <c r="H9" s="306"/>
      <c r="I9" s="306"/>
      <c r="J9" s="306"/>
      <c r="K9" s="306"/>
      <c r="L9" s="306"/>
      <c r="M9" s="306"/>
    </row>
    <row r="10" spans="2:14" ht="78" customHeight="1" x14ac:dyDescent="0.2">
      <c r="B10" s="34">
        <v>3.2</v>
      </c>
      <c r="C10" s="94"/>
      <c r="D10" s="306" t="s">
        <v>462</v>
      </c>
      <c r="E10" s="306"/>
      <c r="F10" s="306"/>
      <c r="G10" s="306"/>
      <c r="H10" s="306"/>
      <c r="I10" s="306"/>
      <c r="J10" s="306"/>
      <c r="K10" s="306"/>
      <c r="L10" s="306"/>
      <c r="M10" s="306"/>
    </row>
    <row r="11" spans="2:14" ht="78" customHeight="1" x14ac:dyDescent="0.2">
      <c r="B11" s="35">
        <v>3.3</v>
      </c>
      <c r="C11" s="94"/>
      <c r="D11" s="306" t="s">
        <v>463</v>
      </c>
      <c r="E11" s="306"/>
      <c r="F11" s="306"/>
      <c r="G11" s="306"/>
      <c r="H11" s="306"/>
      <c r="I11" s="306"/>
      <c r="J11" s="306"/>
      <c r="K11" s="306"/>
      <c r="L11" s="306"/>
      <c r="M11" s="306"/>
      <c r="N11" s="33"/>
    </row>
    <row r="12" spans="2:14" ht="78" customHeight="1" x14ac:dyDescent="0.2">
      <c r="B12" s="34">
        <v>3.4</v>
      </c>
      <c r="C12" s="94"/>
      <c r="D12" s="306" t="s">
        <v>464</v>
      </c>
      <c r="E12" s="306"/>
      <c r="F12" s="306"/>
      <c r="G12" s="306"/>
      <c r="H12" s="306"/>
      <c r="I12" s="306"/>
      <c r="J12" s="306"/>
      <c r="K12" s="306"/>
      <c r="L12" s="306"/>
      <c r="M12" s="306"/>
    </row>
    <row r="13" spans="2:14" ht="78" customHeight="1" x14ac:dyDescent="0.2">
      <c r="B13" s="34">
        <v>3.5</v>
      </c>
      <c r="C13" s="97"/>
      <c r="D13" s="310" t="s">
        <v>468</v>
      </c>
      <c r="E13" s="306"/>
      <c r="F13" s="306"/>
      <c r="G13" s="306"/>
      <c r="H13" s="306"/>
      <c r="I13" s="306"/>
      <c r="J13" s="306"/>
      <c r="K13" s="306"/>
      <c r="L13" s="306"/>
      <c r="M13" s="306"/>
    </row>
    <row r="14" spans="2:14" ht="78" customHeight="1" thickBot="1" x14ac:dyDescent="0.25">
      <c r="B14" s="37">
        <v>3.6</v>
      </c>
      <c r="C14" s="95"/>
      <c r="D14" s="307" t="s">
        <v>469</v>
      </c>
      <c r="E14" s="307"/>
      <c r="F14" s="307"/>
      <c r="G14" s="307"/>
      <c r="H14" s="307"/>
      <c r="I14" s="307"/>
      <c r="J14" s="307"/>
      <c r="K14" s="307"/>
      <c r="L14" s="307"/>
      <c r="M14" s="307"/>
    </row>
    <row r="15" spans="2:14" ht="78" customHeight="1" x14ac:dyDescent="0.2">
      <c r="B15" s="36">
        <v>4</v>
      </c>
      <c r="C15" s="96"/>
      <c r="D15" s="308" t="s">
        <v>470</v>
      </c>
      <c r="E15" s="308"/>
      <c r="F15" s="308"/>
      <c r="G15" s="308"/>
      <c r="H15" s="308"/>
      <c r="I15" s="308"/>
      <c r="J15" s="308"/>
      <c r="K15" s="308"/>
      <c r="L15" s="308"/>
      <c r="M15" s="308"/>
    </row>
    <row r="16" spans="2:14" ht="78" customHeight="1" x14ac:dyDescent="0.2">
      <c r="B16" s="35">
        <v>4.0999999999999996</v>
      </c>
      <c r="C16" s="94"/>
      <c r="D16" s="306" t="s">
        <v>471</v>
      </c>
      <c r="E16" s="306"/>
      <c r="F16" s="306"/>
      <c r="G16" s="306"/>
      <c r="H16" s="306"/>
      <c r="I16" s="306"/>
      <c r="J16" s="306"/>
      <c r="K16" s="306"/>
      <c r="L16" s="306"/>
      <c r="M16" s="306"/>
    </row>
    <row r="17" spans="2:13" ht="78" customHeight="1" thickBot="1" x14ac:dyDescent="0.25">
      <c r="B17" s="38">
        <v>4.2</v>
      </c>
      <c r="C17" s="95"/>
      <c r="D17" s="307" t="s">
        <v>472</v>
      </c>
      <c r="E17" s="307"/>
      <c r="F17" s="307"/>
      <c r="G17" s="307"/>
      <c r="H17" s="307"/>
      <c r="I17" s="307"/>
      <c r="J17" s="307"/>
      <c r="K17" s="307"/>
      <c r="L17" s="307"/>
      <c r="M17" s="307"/>
    </row>
    <row r="18" spans="2:13" ht="78" customHeight="1" thickBot="1" x14ac:dyDescent="0.25">
      <c r="B18" s="44">
        <v>5</v>
      </c>
      <c r="C18" s="98"/>
      <c r="D18" s="309" t="s">
        <v>476</v>
      </c>
      <c r="E18" s="309"/>
      <c r="F18" s="309"/>
      <c r="G18" s="309"/>
      <c r="H18" s="309"/>
      <c r="I18" s="309"/>
      <c r="J18" s="309"/>
      <c r="K18" s="309"/>
      <c r="L18" s="309"/>
      <c r="M18" s="309"/>
    </row>
    <row r="19" spans="2:13" ht="78" customHeight="1" x14ac:dyDescent="0.2">
      <c r="B19" s="43">
        <v>6</v>
      </c>
      <c r="C19" s="99"/>
      <c r="D19" s="308" t="s">
        <v>477</v>
      </c>
      <c r="E19" s="308"/>
      <c r="F19" s="308"/>
      <c r="G19" s="308"/>
      <c r="H19" s="308"/>
      <c r="I19" s="308"/>
      <c r="J19" s="308"/>
      <c r="K19" s="308"/>
      <c r="L19" s="308"/>
      <c r="M19" s="308"/>
    </row>
    <row r="20" spans="2:13" ht="78" customHeight="1" x14ac:dyDescent="0.2">
      <c r="B20" s="41">
        <v>6.1</v>
      </c>
      <c r="C20" s="100"/>
      <c r="D20" s="306" t="s">
        <v>478</v>
      </c>
      <c r="E20" s="306"/>
      <c r="F20" s="306"/>
      <c r="G20" s="306"/>
      <c r="H20" s="306"/>
      <c r="I20" s="306"/>
      <c r="J20" s="306"/>
      <c r="K20" s="306"/>
      <c r="L20" s="306"/>
      <c r="M20" s="306"/>
    </row>
    <row r="21" spans="2:13" ht="78" customHeight="1" x14ac:dyDescent="0.2">
      <c r="B21" s="34">
        <v>6.2</v>
      </c>
      <c r="C21" s="94"/>
      <c r="D21" s="306" t="s">
        <v>479</v>
      </c>
      <c r="E21" s="306"/>
      <c r="F21" s="306"/>
      <c r="G21" s="306"/>
      <c r="H21" s="306"/>
      <c r="I21" s="306"/>
      <c r="J21" s="306"/>
      <c r="K21" s="306"/>
      <c r="L21" s="306"/>
      <c r="M21" s="306"/>
    </row>
    <row r="22" spans="2:13" ht="78" customHeight="1" x14ac:dyDescent="0.2">
      <c r="B22" s="34">
        <v>6.3</v>
      </c>
      <c r="C22" s="94"/>
      <c r="D22" s="306" t="s">
        <v>483</v>
      </c>
      <c r="E22" s="306"/>
      <c r="F22" s="306"/>
      <c r="G22" s="306"/>
      <c r="H22" s="306"/>
      <c r="I22" s="306"/>
      <c r="J22" s="306"/>
      <c r="K22" s="306"/>
      <c r="L22" s="306"/>
      <c r="M22" s="306"/>
    </row>
    <row r="23" spans="2:13" ht="78" customHeight="1" x14ac:dyDescent="0.2">
      <c r="B23" s="34">
        <v>6.4</v>
      </c>
      <c r="C23" s="94"/>
      <c r="D23" s="306" t="s">
        <v>484</v>
      </c>
      <c r="E23" s="306"/>
      <c r="F23" s="306"/>
      <c r="G23" s="306"/>
      <c r="H23" s="306"/>
      <c r="I23" s="306"/>
      <c r="J23" s="306"/>
      <c r="K23" s="306"/>
      <c r="L23" s="306"/>
      <c r="M23" s="306"/>
    </row>
    <row r="24" spans="2:13" ht="78" customHeight="1" x14ac:dyDescent="0.2">
      <c r="B24" s="35">
        <v>6.5</v>
      </c>
      <c r="C24" s="94"/>
      <c r="D24" s="306" t="s">
        <v>487</v>
      </c>
      <c r="E24" s="306"/>
      <c r="F24" s="306"/>
      <c r="G24" s="306"/>
      <c r="H24" s="306"/>
      <c r="I24" s="306"/>
      <c r="J24" s="306"/>
      <c r="K24" s="306"/>
      <c r="L24" s="306"/>
      <c r="M24" s="306"/>
    </row>
    <row r="25" spans="2:13" ht="78" customHeight="1" thickBot="1" x14ac:dyDescent="0.25">
      <c r="B25" s="38">
        <v>6.6</v>
      </c>
      <c r="C25" s="95"/>
      <c r="D25" s="307" t="s">
        <v>495</v>
      </c>
      <c r="E25" s="307"/>
      <c r="F25" s="307"/>
      <c r="G25" s="307"/>
      <c r="H25" s="307"/>
      <c r="I25" s="307"/>
      <c r="J25" s="307"/>
      <c r="K25" s="307"/>
      <c r="L25" s="307"/>
      <c r="M25" s="307"/>
    </row>
    <row r="26" spans="2:13" ht="78" customHeight="1" x14ac:dyDescent="0.2">
      <c r="B26" s="36" t="s">
        <v>505</v>
      </c>
      <c r="C26" s="96"/>
      <c r="D26" s="308" t="s">
        <v>506</v>
      </c>
      <c r="E26" s="308"/>
      <c r="F26" s="308"/>
      <c r="G26" s="308"/>
      <c r="H26" s="308"/>
      <c r="I26" s="308"/>
      <c r="J26" s="308"/>
      <c r="K26" s="308"/>
      <c r="L26" s="308"/>
      <c r="M26" s="308"/>
    </row>
    <row r="27" spans="2:13" ht="78" customHeight="1" x14ac:dyDescent="0.2">
      <c r="B27" s="34" t="s">
        <v>539</v>
      </c>
      <c r="C27" s="94"/>
      <c r="D27" s="306" t="s">
        <v>541</v>
      </c>
      <c r="E27" s="306"/>
      <c r="F27" s="306"/>
      <c r="G27" s="306"/>
      <c r="H27" s="306"/>
      <c r="I27" s="306"/>
      <c r="J27" s="306"/>
      <c r="K27" s="306"/>
      <c r="L27" s="306"/>
      <c r="M27" s="306"/>
    </row>
    <row r="28" spans="2:13" ht="78" customHeight="1" x14ac:dyDescent="0.2">
      <c r="B28" s="34" t="s">
        <v>543</v>
      </c>
      <c r="C28" s="94"/>
      <c r="D28" s="306" t="s">
        <v>544</v>
      </c>
      <c r="E28" s="306"/>
      <c r="F28" s="306"/>
      <c r="G28" s="306"/>
      <c r="H28" s="306"/>
      <c r="I28" s="306"/>
      <c r="J28" s="306"/>
      <c r="K28" s="306"/>
      <c r="L28" s="306"/>
      <c r="M28" s="306"/>
    </row>
    <row r="29" spans="2:13" ht="78" customHeight="1" x14ac:dyDescent="0.2">
      <c r="B29" s="34" t="s">
        <v>564</v>
      </c>
      <c r="C29" s="94"/>
      <c r="D29" s="306" t="s">
        <v>565</v>
      </c>
      <c r="E29" s="306"/>
      <c r="F29" s="306"/>
      <c r="G29" s="306"/>
      <c r="H29" s="306"/>
      <c r="I29" s="306"/>
      <c r="J29" s="306"/>
      <c r="K29" s="306"/>
      <c r="L29" s="306"/>
      <c r="M29" s="306"/>
    </row>
    <row r="30" spans="2:13" ht="78" customHeight="1" x14ac:dyDescent="0.2">
      <c r="B30" s="34" t="s">
        <v>566</v>
      </c>
      <c r="C30" s="94">
        <v>41173</v>
      </c>
      <c r="D30" s="306" t="s">
        <v>568</v>
      </c>
      <c r="E30" s="306"/>
      <c r="F30" s="306"/>
      <c r="G30" s="306"/>
      <c r="H30" s="306"/>
      <c r="I30" s="306"/>
      <c r="J30" s="306"/>
      <c r="K30" s="306"/>
      <c r="L30" s="306"/>
      <c r="M30" s="306"/>
    </row>
    <row r="31" spans="2:13" ht="78" customHeight="1" x14ac:dyDescent="0.2">
      <c r="B31" s="34" t="s">
        <v>572</v>
      </c>
      <c r="C31" s="94">
        <v>41190</v>
      </c>
      <c r="D31" s="306" t="s">
        <v>573</v>
      </c>
      <c r="E31" s="306"/>
      <c r="F31" s="306"/>
      <c r="G31" s="306"/>
      <c r="H31" s="306"/>
      <c r="I31" s="306"/>
      <c r="J31" s="306"/>
      <c r="K31" s="306"/>
      <c r="L31" s="306"/>
      <c r="M31" s="306"/>
    </row>
    <row r="32" spans="2:13" ht="78" customHeight="1" x14ac:dyDescent="0.2">
      <c r="B32" s="34" t="s">
        <v>574</v>
      </c>
      <c r="C32" s="94">
        <v>41213</v>
      </c>
      <c r="D32" s="306" t="s">
        <v>578</v>
      </c>
      <c r="E32" s="306"/>
      <c r="F32" s="306"/>
      <c r="G32" s="306"/>
      <c r="H32" s="306"/>
      <c r="I32" s="306"/>
      <c r="J32" s="306"/>
      <c r="K32" s="306"/>
      <c r="L32" s="306"/>
      <c r="M32" s="306"/>
    </row>
    <row r="33" spans="2:13" ht="78" customHeight="1" thickBot="1" x14ac:dyDescent="0.25">
      <c r="B33" s="37" t="s">
        <v>579</v>
      </c>
      <c r="C33" s="95">
        <v>41239</v>
      </c>
      <c r="D33" s="307" t="s">
        <v>580</v>
      </c>
      <c r="E33" s="307"/>
      <c r="F33" s="307"/>
      <c r="G33" s="307"/>
      <c r="H33" s="307"/>
      <c r="I33" s="307"/>
      <c r="J33" s="307"/>
      <c r="K33" s="307"/>
      <c r="L33" s="307"/>
      <c r="M33" s="307"/>
    </row>
    <row r="34" spans="2:13" ht="123" customHeight="1" x14ac:dyDescent="0.2">
      <c r="B34" s="36" t="s">
        <v>597</v>
      </c>
      <c r="C34" s="96">
        <v>41248</v>
      </c>
      <c r="D34" s="308" t="s">
        <v>608</v>
      </c>
      <c r="E34" s="308"/>
      <c r="F34" s="308"/>
      <c r="G34" s="308"/>
      <c r="H34" s="308"/>
      <c r="I34" s="308"/>
      <c r="J34" s="308"/>
      <c r="K34" s="308"/>
      <c r="L34" s="308"/>
      <c r="M34" s="308"/>
    </row>
    <row r="35" spans="2:13" ht="78" customHeight="1" x14ac:dyDescent="0.2">
      <c r="B35" s="34" t="s">
        <v>609</v>
      </c>
      <c r="C35" s="94">
        <v>41256</v>
      </c>
      <c r="D35" s="306" t="s">
        <v>614</v>
      </c>
      <c r="E35" s="306"/>
      <c r="F35" s="306"/>
      <c r="G35" s="306"/>
      <c r="H35" s="306"/>
      <c r="I35" s="306"/>
      <c r="J35" s="306"/>
      <c r="K35" s="306"/>
      <c r="L35" s="306"/>
      <c r="M35" s="306"/>
    </row>
    <row r="36" spans="2:13" ht="110.25" customHeight="1" x14ac:dyDescent="0.2">
      <c r="B36" s="34" t="s">
        <v>615</v>
      </c>
      <c r="C36" s="94">
        <v>41262</v>
      </c>
      <c r="D36" s="306" t="s">
        <v>616</v>
      </c>
      <c r="E36" s="306"/>
      <c r="F36" s="306"/>
      <c r="G36" s="306"/>
      <c r="H36" s="306"/>
      <c r="I36" s="306"/>
      <c r="J36" s="306"/>
      <c r="K36" s="306"/>
      <c r="L36" s="306"/>
      <c r="M36" s="306"/>
    </row>
    <row r="37" spans="2:13" ht="78" customHeight="1" x14ac:dyDescent="0.2">
      <c r="B37" s="34" t="s">
        <v>617</v>
      </c>
      <c r="C37" s="94">
        <v>41283</v>
      </c>
      <c r="D37" s="306" t="s">
        <v>622</v>
      </c>
      <c r="E37" s="306"/>
      <c r="F37" s="306"/>
      <c r="G37" s="306"/>
      <c r="H37" s="306"/>
      <c r="I37" s="306"/>
      <c r="J37" s="306"/>
      <c r="K37" s="306"/>
      <c r="L37" s="306"/>
      <c r="M37" s="306"/>
    </row>
    <row r="38" spans="2:13" ht="78" customHeight="1" x14ac:dyDescent="0.2">
      <c r="B38" s="34" t="s">
        <v>623</v>
      </c>
      <c r="C38" s="94">
        <v>41284</v>
      </c>
      <c r="D38" s="306" t="s">
        <v>624</v>
      </c>
      <c r="E38" s="306"/>
      <c r="F38" s="306"/>
      <c r="G38" s="306"/>
      <c r="H38" s="306"/>
      <c r="I38" s="306"/>
      <c r="J38" s="306"/>
      <c r="K38" s="306"/>
      <c r="L38" s="306"/>
      <c r="M38" s="306"/>
    </row>
    <row r="39" spans="2:13" ht="80.25" customHeight="1" x14ac:dyDescent="0.2">
      <c r="B39" s="34" t="s">
        <v>625</v>
      </c>
      <c r="C39" s="94">
        <v>41284</v>
      </c>
      <c r="D39" s="306" t="s">
        <v>626</v>
      </c>
      <c r="E39" s="306"/>
      <c r="F39" s="306"/>
      <c r="G39" s="306"/>
      <c r="H39" s="306"/>
      <c r="I39" s="306"/>
      <c r="J39" s="306"/>
      <c r="K39" s="306"/>
      <c r="L39" s="306"/>
      <c r="M39" s="306"/>
    </row>
    <row r="40" spans="2:13" ht="117.75" customHeight="1" thickBot="1" x14ac:dyDescent="0.25">
      <c r="B40" s="37" t="s">
        <v>627</v>
      </c>
      <c r="C40" s="95">
        <v>41288</v>
      </c>
      <c r="D40" s="307" t="s">
        <v>628</v>
      </c>
      <c r="E40" s="307"/>
      <c r="F40" s="307"/>
      <c r="G40" s="307"/>
      <c r="H40" s="307"/>
      <c r="I40" s="307"/>
      <c r="J40" s="307"/>
      <c r="K40" s="307"/>
      <c r="L40" s="307"/>
      <c r="M40" s="307"/>
    </row>
    <row r="41" spans="2:13" ht="157.5" customHeight="1" x14ac:dyDescent="0.2">
      <c r="B41" s="36" t="s">
        <v>642</v>
      </c>
      <c r="C41" s="96">
        <v>41291</v>
      </c>
      <c r="D41" s="308" t="s">
        <v>643</v>
      </c>
      <c r="E41" s="308"/>
      <c r="F41" s="308"/>
      <c r="G41" s="308"/>
      <c r="H41" s="308"/>
      <c r="I41" s="308"/>
      <c r="J41" s="308"/>
      <c r="K41" s="308"/>
      <c r="L41" s="308"/>
      <c r="M41" s="308"/>
    </row>
    <row r="42" spans="2:13" ht="115.5" customHeight="1" x14ac:dyDescent="0.2">
      <c r="B42" s="34" t="s">
        <v>649</v>
      </c>
      <c r="C42" s="94">
        <v>41312</v>
      </c>
      <c r="D42" s="306" t="s">
        <v>650</v>
      </c>
      <c r="E42" s="306"/>
      <c r="F42" s="306"/>
      <c r="G42" s="306"/>
      <c r="H42" s="306"/>
      <c r="I42" s="306"/>
      <c r="J42" s="306"/>
      <c r="K42" s="306"/>
      <c r="L42" s="306"/>
      <c r="M42" s="306"/>
    </row>
    <row r="43" spans="2:13" ht="111.75" customHeight="1" x14ac:dyDescent="0.2">
      <c r="B43" s="34" t="s">
        <v>651</v>
      </c>
      <c r="C43" s="94">
        <v>41352</v>
      </c>
      <c r="D43" s="306" t="s">
        <v>653</v>
      </c>
      <c r="E43" s="306"/>
      <c r="F43" s="306"/>
      <c r="G43" s="306"/>
      <c r="H43" s="306"/>
      <c r="I43" s="306"/>
      <c r="J43" s="306"/>
      <c r="K43" s="306"/>
      <c r="L43" s="306"/>
      <c r="M43" s="306"/>
    </row>
    <row r="44" spans="2:13" ht="78" customHeight="1" x14ac:dyDescent="0.2">
      <c r="B44" s="34" t="s">
        <v>652</v>
      </c>
      <c r="C44" s="94">
        <v>41367</v>
      </c>
      <c r="D44" s="306" t="s">
        <v>654</v>
      </c>
      <c r="E44" s="306"/>
      <c r="F44" s="306"/>
      <c r="G44" s="306"/>
      <c r="H44" s="306"/>
      <c r="I44" s="306"/>
      <c r="J44" s="306"/>
      <c r="K44" s="306"/>
      <c r="L44" s="306"/>
      <c r="M44" s="306"/>
    </row>
    <row r="45" spans="2:13" ht="78" customHeight="1" x14ac:dyDescent="0.2">
      <c r="B45" s="34" t="s">
        <v>655</v>
      </c>
      <c r="C45" s="94">
        <v>41404</v>
      </c>
      <c r="D45" s="306" t="s">
        <v>656</v>
      </c>
      <c r="E45" s="306"/>
      <c r="F45" s="306"/>
      <c r="G45" s="306"/>
      <c r="H45" s="306"/>
      <c r="I45" s="306"/>
      <c r="J45" s="306"/>
      <c r="K45" s="306"/>
      <c r="L45" s="306"/>
      <c r="M45" s="306"/>
    </row>
    <row r="46" spans="2:13" ht="78" customHeight="1" x14ac:dyDescent="0.2">
      <c r="B46" s="34" t="s">
        <v>657</v>
      </c>
      <c r="C46" s="94">
        <v>41408</v>
      </c>
      <c r="D46" s="306" t="s">
        <v>659</v>
      </c>
      <c r="E46" s="306"/>
      <c r="F46" s="306"/>
      <c r="G46" s="306"/>
      <c r="H46" s="306"/>
      <c r="I46" s="306"/>
      <c r="J46" s="306"/>
      <c r="K46" s="306"/>
      <c r="L46" s="306"/>
      <c r="M46" s="306"/>
    </row>
    <row r="47" spans="2:13" ht="78" customHeight="1" x14ac:dyDescent="0.2">
      <c r="B47" s="34" t="s">
        <v>660</v>
      </c>
      <c r="C47" s="94">
        <v>41443</v>
      </c>
      <c r="D47" s="306" t="s">
        <v>665</v>
      </c>
      <c r="E47" s="306"/>
      <c r="F47" s="306"/>
      <c r="G47" s="306"/>
      <c r="H47" s="306"/>
      <c r="I47" s="306"/>
      <c r="J47" s="306"/>
      <c r="K47" s="306"/>
      <c r="L47" s="306"/>
      <c r="M47" s="306"/>
    </row>
    <row r="48" spans="2:13" ht="84" customHeight="1" thickBot="1" x14ac:dyDescent="0.25">
      <c r="B48" s="37" t="s">
        <v>688</v>
      </c>
      <c r="C48" s="95">
        <v>41465</v>
      </c>
      <c r="D48" s="307" t="s">
        <v>689</v>
      </c>
      <c r="E48" s="307"/>
      <c r="F48" s="307"/>
      <c r="G48" s="307"/>
      <c r="H48" s="307"/>
      <c r="I48" s="307"/>
      <c r="J48" s="307"/>
      <c r="K48" s="307"/>
      <c r="L48" s="307"/>
      <c r="M48" s="307"/>
    </row>
    <row r="49" spans="2:13" ht="233.25" customHeight="1" x14ac:dyDescent="0.2">
      <c r="B49" s="36" t="s">
        <v>677</v>
      </c>
      <c r="C49" s="96">
        <v>41474</v>
      </c>
      <c r="D49" s="308" t="s">
        <v>693</v>
      </c>
      <c r="E49" s="308"/>
      <c r="F49" s="308"/>
      <c r="G49" s="308"/>
      <c r="H49" s="308"/>
      <c r="I49" s="308"/>
      <c r="J49" s="308"/>
      <c r="K49" s="308"/>
      <c r="L49" s="308"/>
      <c r="M49" s="308"/>
    </row>
    <row r="50" spans="2:13" ht="78" customHeight="1" thickBot="1" x14ac:dyDescent="0.25">
      <c r="B50" s="37" t="s">
        <v>694</v>
      </c>
      <c r="C50" s="95">
        <v>41478</v>
      </c>
      <c r="D50" s="307" t="s">
        <v>695</v>
      </c>
      <c r="E50" s="307"/>
      <c r="F50" s="307"/>
      <c r="G50" s="307"/>
      <c r="H50" s="307"/>
      <c r="I50" s="307"/>
      <c r="J50" s="307"/>
      <c r="K50" s="307"/>
      <c r="L50" s="307"/>
      <c r="M50" s="307"/>
    </row>
    <row r="51" spans="2:13" ht="112.5" customHeight="1" x14ac:dyDescent="0.2">
      <c r="B51" s="36" t="s">
        <v>696</v>
      </c>
      <c r="C51" s="96">
        <v>41581</v>
      </c>
      <c r="D51" s="308" t="s">
        <v>754</v>
      </c>
      <c r="E51" s="308"/>
      <c r="F51" s="308"/>
      <c r="G51" s="308"/>
      <c r="H51" s="308"/>
      <c r="I51" s="308"/>
      <c r="J51" s="308"/>
      <c r="K51" s="308"/>
      <c r="L51" s="308"/>
      <c r="M51" s="308"/>
    </row>
    <row r="52" spans="2:13" ht="78" customHeight="1" x14ac:dyDescent="0.2">
      <c r="B52" s="34" t="s">
        <v>755</v>
      </c>
      <c r="C52" s="94">
        <v>41583</v>
      </c>
      <c r="D52" s="306" t="s">
        <v>756</v>
      </c>
      <c r="E52" s="306"/>
      <c r="F52" s="306"/>
      <c r="G52" s="306"/>
      <c r="H52" s="306"/>
      <c r="I52" s="306"/>
      <c r="J52" s="306"/>
      <c r="K52" s="306"/>
      <c r="L52" s="306"/>
      <c r="M52" s="306"/>
    </row>
    <row r="53" spans="2:13" ht="78" customHeight="1" x14ac:dyDescent="0.2">
      <c r="B53" s="34" t="s">
        <v>757</v>
      </c>
      <c r="C53" s="94">
        <v>41952</v>
      </c>
      <c r="D53" s="306" t="s">
        <v>758</v>
      </c>
      <c r="E53" s="306"/>
      <c r="F53" s="306"/>
      <c r="G53" s="306"/>
      <c r="H53" s="306"/>
      <c r="I53" s="306"/>
      <c r="J53" s="306"/>
      <c r="K53" s="306"/>
      <c r="L53" s="306"/>
      <c r="M53" s="306"/>
    </row>
    <row r="54" spans="2:13" ht="78" customHeight="1" x14ac:dyDescent="0.2">
      <c r="B54" s="34"/>
      <c r="C54" s="228" t="s">
        <v>766</v>
      </c>
      <c r="D54" s="306" t="s">
        <v>765</v>
      </c>
      <c r="E54" s="306"/>
      <c r="F54" s="306"/>
      <c r="G54" s="306"/>
      <c r="H54" s="306"/>
      <c r="I54" s="306"/>
      <c r="J54" s="306"/>
      <c r="K54" s="306"/>
      <c r="L54" s="306"/>
      <c r="M54" s="306"/>
    </row>
    <row r="55" spans="2:13" ht="78" customHeight="1" x14ac:dyDescent="0.2">
      <c r="B55" s="34"/>
      <c r="C55" s="94"/>
      <c r="D55" s="306"/>
      <c r="E55" s="306"/>
      <c r="F55" s="306"/>
      <c r="G55" s="306"/>
      <c r="H55" s="306"/>
      <c r="I55" s="306"/>
      <c r="J55" s="306"/>
      <c r="K55" s="306"/>
      <c r="L55" s="306"/>
      <c r="M55" s="306"/>
    </row>
    <row r="56" spans="2:13" ht="78" customHeight="1" x14ac:dyDescent="0.2">
      <c r="B56" s="34"/>
      <c r="C56" s="94"/>
      <c r="D56" s="306"/>
      <c r="E56" s="306"/>
      <c r="F56" s="306"/>
      <c r="G56" s="306"/>
      <c r="H56" s="306"/>
      <c r="I56" s="306"/>
      <c r="J56" s="306"/>
      <c r="K56" s="306"/>
      <c r="L56" s="306"/>
      <c r="M56" s="306"/>
    </row>
    <row r="57" spans="2:13" ht="78" customHeight="1" x14ac:dyDescent="0.2">
      <c r="B57" s="34"/>
      <c r="C57" s="94"/>
      <c r="D57" s="306"/>
      <c r="E57" s="306"/>
      <c r="F57" s="306"/>
      <c r="G57" s="306"/>
      <c r="H57" s="306"/>
      <c r="I57" s="306"/>
      <c r="J57" s="306"/>
      <c r="K57" s="306"/>
      <c r="L57" s="306"/>
      <c r="M57" s="306"/>
    </row>
    <row r="58" spans="2:13" ht="78" customHeight="1" x14ac:dyDescent="0.2">
      <c r="B58" s="34"/>
      <c r="C58" s="94"/>
      <c r="D58" s="306"/>
      <c r="E58" s="306"/>
      <c r="F58" s="306"/>
      <c r="G58" s="306"/>
      <c r="H58" s="306"/>
      <c r="I58" s="306"/>
      <c r="J58" s="306"/>
      <c r="K58" s="306"/>
      <c r="L58" s="306"/>
      <c r="M58" s="306"/>
    </row>
    <row r="59" spans="2:13" ht="78" customHeight="1" x14ac:dyDescent="0.2">
      <c r="B59" s="34"/>
      <c r="C59" s="94"/>
      <c r="D59" s="306"/>
      <c r="E59" s="306"/>
      <c r="F59" s="306"/>
      <c r="G59" s="306"/>
      <c r="H59" s="306"/>
      <c r="I59" s="306"/>
      <c r="J59" s="306"/>
      <c r="K59" s="306"/>
      <c r="L59" s="306"/>
      <c r="M59" s="306"/>
    </row>
    <row r="60" spans="2:13" ht="78" customHeight="1" x14ac:dyDescent="0.2">
      <c r="B60" s="34"/>
      <c r="C60" s="94"/>
      <c r="D60" s="306"/>
      <c r="E60" s="306"/>
      <c r="F60" s="306"/>
      <c r="G60" s="306"/>
      <c r="H60" s="306"/>
      <c r="I60" s="306"/>
      <c r="J60" s="306"/>
      <c r="K60" s="306"/>
      <c r="L60" s="306"/>
      <c r="M60" s="306"/>
    </row>
    <row r="61" spans="2:13" ht="78" customHeight="1" x14ac:dyDescent="0.2">
      <c r="B61" s="34"/>
      <c r="C61" s="94"/>
      <c r="D61" s="306"/>
      <c r="E61" s="306"/>
      <c r="F61" s="306"/>
      <c r="G61" s="306"/>
      <c r="H61" s="306"/>
      <c r="I61" s="306"/>
      <c r="J61" s="306"/>
      <c r="K61" s="306"/>
      <c r="L61" s="306"/>
      <c r="M61" s="306"/>
    </row>
    <row r="62" spans="2:13" ht="78" customHeight="1" x14ac:dyDescent="0.2">
      <c r="B62" s="34"/>
      <c r="C62" s="94"/>
      <c r="D62" s="306"/>
      <c r="E62" s="306"/>
      <c r="F62" s="306"/>
      <c r="G62" s="306"/>
      <c r="H62" s="306"/>
      <c r="I62" s="306"/>
      <c r="J62" s="306"/>
      <c r="K62" s="306"/>
      <c r="L62" s="306"/>
      <c r="M62" s="306"/>
    </row>
    <row r="63" spans="2:13" ht="78" customHeight="1" x14ac:dyDescent="0.2">
      <c r="B63" s="34"/>
      <c r="C63" s="94"/>
      <c r="D63" s="306"/>
      <c r="E63" s="306"/>
      <c r="F63" s="306"/>
      <c r="G63" s="306"/>
      <c r="H63" s="306"/>
      <c r="I63" s="306"/>
      <c r="J63" s="306"/>
      <c r="K63" s="306"/>
      <c r="L63" s="306"/>
      <c r="M63" s="306"/>
    </row>
    <row r="64" spans="2:13" ht="78" customHeight="1" x14ac:dyDescent="0.2">
      <c r="B64" s="34"/>
      <c r="C64" s="94"/>
      <c r="D64" s="306"/>
      <c r="E64" s="306"/>
      <c r="F64" s="306"/>
      <c r="G64" s="306"/>
      <c r="H64" s="306"/>
      <c r="I64" s="306"/>
      <c r="J64" s="306"/>
      <c r="K64" s="306"/>
      <c r="L64" s="306"/>
      <c r="M64" s="306"/>
    </row>
    <row r="65" spans="2:13" ht="78" customHeight="1" x14ac:dyDescent="0.2">
      <c r="B65" s="34"/>
      <c r="C65" s="94"/>
      <c r="D65" s="306"/>
      <c r="E65" s="306"/>
      <c r="F65" s="306"/>
      <c r="G65" s="306"/>
      <c r="H65" s="306"/>
      <c r="I65" s="306"/>
      <c r="J65" s="306"/>
      <c r="K65" s="306"/>
      <c r="L65" s="306"/>
      <c r="M65" s="306"/>
    </row>
    <row r="66" spans="2:13" ht="78" customHeight="1" x14ac:dyDescent="0.2">
      <c r="B66" s="34"/>
      <c r="C66" s="94"/>
      <c r="D66" s="306"/>
      <c r="E66" s="306"/>
      <c r="F66" s="306"/>
      <c r="G66" s="306"/>
      <c r="H66" s="306"/>
      <c r="I66" s="306"/>
      <c r="J66" s="306"/>
      <c r="K66" s="306"/>
      <c r="L66" s="306"/>
      <c r="M66" s="306"/>
    </row>
    <row r="67" spans="2:13" ht="78" customHeight="1" x14ac:dyDescent="0.2">
      <c r="B67" s="34"/>
      <c r="C67" s="94"/>
      <c r="D67" s="306"/>
      <c r="E67" s="306"/>
      <c r="F67" s="306"/>
      <c r="G67" s="306"/>
      <c r="H67" s="306"/>
      <c r="I67" s="306"/>
      <c r="J67" s="306"/>
      <c r="K67" s="306"/>
      <c r="L67" s="306"/>
      <c r="M67" s="306"/>
    </row>
    <row r="68" spans="2:13" ht="78" customHeight="1" x14ac:dyDescent="0.2">
      <c r="B68" s="34"/>
      <c r="C68" s="94"/>
      <c r="D68" s="306"/>
      <c r="E68" s="306"/>
      <c r="F68" s="306"/>
      <c r="G68" s="306"/>
      <c r="H68" s="306"/>
      <c r="I68" s="306"/>
      <c r="J68" s="306"/>
      <c r="K68" s="306"/>
      <c r="L68" s="306"/>
      <c r="M68" s="306"/>
    </row>
    <row r="69" spans="2:13" ht="78" customHeight="1" x14ac:dyDescent="0.2">
      <c r="B69" s="34"/>
      <c r="C69" s="94"/>
      <c r="D69" s="306"/>
      <c r="E69" s="306"/>
      <c r="F69" s="306"/>
      <c r="G69" s="306"/>
      <c r="H69" s="306"/>
      <c r="I69" s="306"/>
      <c r="J69" s="306"/>
      <c r="K69" s="306"/>
      <c r="L69" s="306"/>
      <c r="M69" s="306"/>
    </row>
    <row r="70" spans="2:13" ht="78" customHeight="1" x14ac:dyDescent="0.2">
      <c r="B70" s="34"/>
      <c r="C70" s="94"/>
      <c r="D70" s="306"/>
      <c r="E70" s="306"/>
      <c r="F70" s="306"/>
      <c r="G70" s="306"/>
      <c r="H70" s="306"/>
      <c r="I70" s="306"/>
      <c r="J70" s="306"/>
      <c r="K70" s="306"/>
      <c r="L70" s="306"/>
      <c r="M70" s="306"/>
    </row>
    <row r="71" spans="2:13" ht="78" customHeight="1" x14ac:dyDescent="0.2">
      <c r="B71" s="34"/>
      <c r="C71" s="94"/>
      <c r="D71" s="306"/>
      <c r="E71" s="306"/>
      <c r="F71" s="306"/>
      <c r="G71" s="306"/>
      <c r="H71" s="306"/>
      <c r="I71" s="306"/>
      <c r="J71" s="306"/>
      <c r="K71" s="306"/>
      <c r="L71" s="306"/>
      <c r="M71" s="306"/>
    </row>
    <row r="72" spans="2:13" ht="78" customHeight="1" x14ac:dyDescent="0.2">
      <c r="B72" s="34"/>
      <c r="C72" s="94"/>
      <c r="D72" s="306"/>
      <c r="E72" s="306"/>
      <c r="F72" s="306"/>
      <c r="G72" s="306"/>
      <c r="H72" s="306"/>
      <c r="I72" s="306"/>
      <c r="J72" s="306"/>
      <c r="K72" s="306"/>
      <c r="L72" s="306"/>
      <c r="M72" s="306"/>
    </row>
    <row r="73" spans="2:13" ht="78" customHeight="1" x14ac:dyDescent="0.2">
      <c r="B73" s="34"/>
      <c r="C73" s="94"/>
      <c r="D73" s="306"/>
      <c r="E73" s="306"/>
      <c r="F73" s="306"/>
      <c r="G73" s="306"/>
      <c r="H73" s="306"/>
      <c r="I73" s="306"/>
      <c r="J73" s="306"/>
      <c r="K73" s="306"/>
      <c r="L73" s="306"/>
      <c r="M73" s="306"/>
    </row>
    <row r="74" spans="2:13" ht="78" customHeight="1" x14ac:dyDescent="0.2">
      <c r="B74" s="34"/>
      <c r="C74" s="94"/>
      <c r="D74" s="306"/>
      <c r="E74" s="306"/>
      <c r="F74" s="306"/>
      <c r="G74" s="306"/>
      <c r="H74" s="306"/>
      <c r="I74" s="306"/>
      <c r="J74" s="306"/>
      <c r="K74" s="306"/>
      <c r="L74" s="306"/>
      <c r="M74" s="306"/>
    </row>
    <row r="75" spans="2:13" ht="78" customHeight="1" x14ac:dyDescent="0.2">
      <c r="B75" s="34"/>
      <c r="C75" s="94"/>
      <c r="D75" s="306"/>
      <c r="E75" s="306"/>
      <c r="F75" s="306"/>
      <c r="G75" s="306"/>
      <c r="H75" s="306"/>
      <c r="I75" s="306"/>
      <c r="J75" s="306"/>
      <c r="K75" s="306"/>
      <c r="L75" s="306"/>
      <c r="M75" s="306"/>
    </row>
    <row r="76" spans="2:13" ht="78" customHeight="1" x14ac:dyDescent="0.2">
      <c r="B76" s="34"/>
      <c r="C76" s="94"/>
      <c r="D76" s="306"/>
      <c r="E76" s="306"/>
      <c r="F76" s="306"/>
      <c r="G76" s="306"/>
      <c r="H76" s="306"/>
      <c r="I76" s="306"/>
      <c r="J76" s="306"/>
      <c r="K76" s="306"/>
      <c r="L76" s="306"/>
      <c r="M76" s="306"/>
    </row>
    <row r="77" spans="2:13" ht="78" customHeight="1" x14ac:dyDescent="0.2">
      <c r="B77" s="34"/>
      <c r="C77" s="94"/>
      <c r="D77" s="306"/>
      <c r="E77" s="306"/>
      <c r="F77" s="306"/>
      <c r="G77" s="306"/>
      <c r="H77" s="306"/>
      <c r="I77" s="306"/>
      <c r="J77" s="306"/>
      <c r="K77" s="306"/>
      <c r="L77" s="306"/>
      <c r="M77" s="306"/>
    </row>
    <row r="78" spans="2:13" ht="78" customHeight="1" x14ac:dyDescent="0.2">
      <c r="B78" s="34"/>
      <c r="C78" s="94"/>
      <c r="D78" s="306"/>
      <c r="E78" s="306"/>
      <c r="F78" s="306"/>
      <c r="G78" s="306"/>
      <c r="H78" s="306"/>
      <c r="I78" s="306"/>
      <c r="J78" s="306"/>
      <c r="K78" s="306"/>
      <c r="L78" s="306"/>
      <c r="M78" s="306"/>
    </row>
    <row r="79" spans="2:13" ht="78" customHeight="1" x14ac:dyDescent="0.2">
      <c r="B79" s="34"/>
      <c r="C79" s="94"/>
      <c r="D79" s="306"/>
      <c r="E79" s="306"/>
      <c r="F79" s="306"/>
      <c r="G79" s="306"/>
      <c r="H79" s="306"/>
      <c r="I79" s="306"/>
      <c r="J79" s="306"/>
      <c r="K79" s="306"/>
      <c r="L79" s="306"/>
      <c r="M79" s="306"/>
    </row>
    <row r="80" spans="2:13" ht="78" customHeight="1" x14ac:dyDescent="0.2">
      <c r="B80" s="34"/>
      <c r="C80" s="94"/>
      <c r="D80" s="306"/>
      <c r="E80" s="306"/>
      <c r="F80" s="306"/>
      <c r="G80" s="306"/>
      <c r="H80" s="306"/>
      <c r="I80" s="306"/>
      <c r="J80" s="306"/>
      <c r="K80" s="306"/>
      <c r="L80" s="306"/>
      <c r="M80" s="306"/>
    </row>
    <row r="81" spans="2:13" ht="78" customHeight="1" x14ac:dyDescent="0.2">
      <c r="B81" s="34"/>
      <c r="C81" s="94"/>
      <c r="D81" s="306"/>
      <c r="E81" s="306"/>
      <c r="F81" s="306"/>
      <c r="G81" s="306"/>
      <c r="H81" s="306"/>
      <c r="I81" s="306"/>
      <c r="J81" s="306"/>
      <c r="K81" s="306"/>
      <c r="L81" s="306"/>
      <c r="M81" s="306"/>
    </row>
    <row r="82" spans="2:13" ht="78" customHeight="1" x14ac:dyDescent="0.2">
      <c r="B82" s="34"/>
      <c r="C82" s="94"/>
      <c r="D82" s="306"/>
      <c r="E82" s="306"/>
      <c r="F82" s="306"/>
      <c r="G82" s="306"/>
      <c r="H82" s="306"/>
      <c r="I82" s="306"/>
      <c r="J82" s="306"/>
      <c r="K82" s="306"/>
      <c r="L82" s="306"/>
      <c r="M82" s="306"/>
    </row>
    <row r="83" spans="2:13" ht="78" customHeight="1" x14ac:dyDescent="0.2">
      <c r="B83" s="34"/>
      <c r="C83" s="94"/>
      <c r="D83" s="306"/>
      <c r="E83" s="306"/>
      <c r="F83" s="306"/>
      <c r="G83" s="306"/>
      <c r="H83" s="306"/>
      <c r="I83" s="306"/>
      <c r="J83" s="306"/>
      <c r="K83" s="306"/>
      <c r="L83" s="306"/>
      <c r="M83" s="306"/>
    </row>
    <row r="84" spans="2:13" ht="78" customHeight="1" x14ac:dyDescent="0.2">
      <c r="B84" s="34"/>
      <c r="C84" s="94"/>
      <c r="D84" s="306"/>
      <c r="E84" s="306"/>
      <c r="F84" s="306"/>
      <c r="G84" s="306"/>
      <c r="H84" s="306"/>
      <c r="I84" s="306"/>
      <c r="J84" s="306"/>
      <c r="K84" s="306"/>
      <c r="L84" s="306"/>
      <c r="M84" s="306"/>
    </row>
    <row r="85" spans="2:13" ht="78" customHeight="1" x14ac:dyDescent="0.2">
      <c r="B85" s="34"/>
      <c r="C85" s="94"/>
      <c r="D85" s="306"/>
      <c r="E85" s="306"/>
      <c r="F85" s="306"/>
      <c r="G85" s="306"/>
      <c r="H85" s="306"/>
      <c r="I85" s="306"/>
      <c r="J85" s="306"/>
      <c r="K85" s="306"/>
      <c r="L85" s="306"/>
      <c r="M85" s="306"/>
    </row>
    <row r="86" spans="2:13" ht="78" customHeight="1" x14ac:dyDescent="0.2">
      <c r="B86" s="34"/>
      <c r="C86" s="94"/>
      <c r="D86" s="306"/>
      <c r="E86" s="306"/>
      <c r="F86" s="306"/>
      <c r="G86" s="306"/>
      <c r="H86" s="306"/>
      <c r="I86" s="306"/>
      <c r="J86" s="306"/>
      <c r="K86" s="306"/>
      <c r="L86" s="306"/>
      <c r="M86" s="306"/>
    </row>
    <row r="87" spans="2:13" ht="78" customHeight="1" x14ac:dyDescent="0.2">
      <c r="B87" s="34"/>
      <c r="C87" s="94"/>
      <c r="D87" s="306"/>
      <c r="E87" s="306"/>
      <c r="F87" s="306"/>
      <c r="G87" s="306"/>
      <c r="H87" s="306"/>
      <c r="I87" s="306"/>
      <c r="J87" s="306"/>
      <c r="K87" s="306"/>
      <c r="L87" s="306"/>
      <c r="M87" s="306"/>
    </row>
    <row r="88" spans="2:13" ht="78" customHeight="1" x14ac:dyDescent="0.2">
      <c r="B88" s="34"/>
      <c r="C88" s="94"/>
      <c r="D88" s="306"/>
      <c r="E88" s="306"/>
      <c r="F88" s="306"/>
      <c r="G88" s="306"/>
      <c r="H88" s="306"/>
      <c r="I88" s="306"/>
      <c r="J88" s="306"/>
      <c r="K88" s="306"/>
      <c r="L88" s="306"/>
      <c r="M88" s="306"/>
    </row>
    <row r="89" spans="2:13" ht="78" customHeight="1" x14ac:dyDescent="0.2">
      <c r="B89" s="34"/>
      <c r="C89" s="94"/>
      <c r="D89" s="306"/>
      <c r="E89" s="306"/>
      <c r="F89" s="306"/>
      <c r="G89" s="306"/>
      <c r="H89" s="306"/>
      <c r="I89" s="306"/>
      <c r="J89" s="306"/>
      <c r="K89" s="306"/>
      <c r="L89" s="306"/>
      <c r="M89" s="306"/>
    </row>
    <row r="90" spans="2:13" ht="78" customHeight="1" x14ac:dyDescent="0.2">
      <c r="B90" s="34"/>
      <c r="C90" s="94"/>
      <c r="D90" s="306"/>
      <c r="E90" s="306"/>
      <c r="F90" s="306"/>
      <c r="G90" s="306"/>
      <c r="H90" s="306"/>
      <c r="I90" s="306"/>
      <c r="J90" s="306"/>
      <c r="K90" s="306"/>
      <c r="L90" s="306"/>
      <c r="M90" s="306"/>
    </row>
    <row r="91" spans="2:13" ht="78" customHeight="1" x14ac:dyDescent="0.2">
      <c r="B91" s="34"/>
      <c r="C91" s="94"/>
      <c r="D91" s="306"/>
      <c r="E91" s="306"/>
      <c r="F91" s="306"/>
      <c r="G91" s="306"/>
      <c r="H91" s="306"/>
      <c r="I91" s="306"/>
      <c r="J91" s="306"/>
      <c r="K91" s="306"/>
      <c r="L91" s="306"/>
      <c r="M91" s="306"/>
    </row>
    <row r="92" spans="2:13" ht="78" customHeight="1" x14ac:dyDescent="0.2">
      <c r="B92" s="34"/>
      <c r="C92" s="94"/>
      <c r="D92" s="306"/>
      <c r="E92" s="306"/>
      <c r="F92" s="306"/>
      <c r="G92" s="306"/>
      <c r="H92" s="306"/>
      <c r="I92" s="306"/>
      <c r="J92" s="306"/>
      <c r="K92" s="306"/>
      <c r="L92" s="306"/>
      <c r="M92" s="306"/>
    </row>
    <row r="93" spans="2:13" ht="78" customHeight="1" x14ac:dyDescent="0.2">
      <c r="B93" s="34"/>
      <c r="C93" s="94"/>
      <c r="D93" s="306"/>
      <c r="E93" s="306"/>
      <c r="F93" s="306"/>
      <c r="G93" s="306"/>
      <c r="H93" s="306"/>
      <c r="I93" s="306"/>
      <c r="J93" s="306"/>
      <c r="K93" s="306"/>
      <c r="L93" s="306"/>
      <c r="M93" s="306"/>
    </row>
    <row r="94" spans="2:13" ht="78" customHeight="1" x14ac:dyDescent="0.2">
      <c r="B94" s="34"/>
      <c r="C94" s="94"/>
      <c r="D94" s="306"/>
      <c r="E94" s="306"/>
      <c r="F94" s="306"/>
      <c r="G94" s="306"/>
      <c r="H94" s="306"/>
      <c r="I94" s="306"/>
      <c r="J94" s="306"/>
      <c r="K94" s="306"/>
      <c r="L94" s="306"/>
      <c r="M94" s="306"/>
    </row>
    <row r="95" spans="2:13" ht="78" customHeight="1" x14ac:dyDescent="0.2">
      <c r="B95" s="34"/>
      <c r="C95" s="94"/>
      <c r="D95" s="306"/>
      <c r="E95" s="306"/>
      <c r="F95" s="306"/>
      <c r="G95" s="306"/>
      <c r="H95" s="306"/>
      <c r="I95" s="306"/>
      <c r="J95" s="306"/>
      <c r="K95" s="306"/>
      <c r="L95" s="306"/>
      <c r="M95" s="306"/>
    </row>
    <row r="96" spans="2:13" ht="78" customHeight="1" x14ac:dyDescent="0.2">
      <c r="B96" s="34"/>
      <c r="C96" s="94"/>
      <c r="D96" s="306"/>
      <c r="E96" s="306"/>
      <c r="F96" s="306"/>
      <c r="G96" s="306"/>
      <c r="H96" s="306"/>
      <c r="I96" s="306"/>
      <c r="J96" s="306"/>
      <c r="K96" s="306"/>
      <c r="L96" s="306"/>
      <c r="M96" s="306"/>
    </row>
    <row r="97" spans="2:13" ht="78" customHeight="1" x14ac:dyDescent="0.2">
      <c r="B97" s="34"/>
      <c r="C97" s="94"/>
      <c r="D97" s="306"/>
      <c r="E97" s="306"/>
      <c r="F97" s="306"/>
      <c r="G97" s="306"/>
      <c r="H97" s="306"/>
      <c r="I97" s="306"/>
      <c r="J97" s="306"/>
      <c r="K97" s="306"/>
      <c r="L97" s="306"/>
      <c r="M97" s="306"/>
    </row>
    <row r="98" spans="2:13" ht="78" customHeight="1" x14ac:dyDescent="0.2">
      <c r="B98" s="34"/>
      <c r="C98" s="94"/>
      <c r="D98" s="306"/>
      <c r="E98" s="306"/>
      <c r="F98" s="306"/>
      <c r="G98" s="306"/>
      <c r="H98" s="306"/>
      <c r="I98" s="306"/>
      <c r="J98" s="306"/>
      <c r="K98" s="306"/>
      <c r="L98" s="306"/>
      <c r="M98" s="306"/>
    </row>
    <row r="99" spans="2:13" ht="78" customHeight="1" x14ac:dyDescent="0.2">
      <c r="B99" s="34"/>
      <c r="C99" s="94"/>
      <c r="D99" s="306"/>
      <c r="E99" s="306"/>
      <c r="F99" s="306"/>
      <c r="G99" s="306"/>
      <c r="H99" s="306"/>
      <c r="I99" s="306"/>
      <c r="J99" s="306"/>
      <c r="K99" s="306"/>
      <c r="L99" s="306"/>
      <c r="M99" s="306"/>
    </row>
    <row r="100" spans="2:13" ht="78" customHeight="1" x14ac:dyDescent="0.2">
      <c r="B100" s="34"/>
      <c r="C100" s="94"/>
      <c r="D100" s="306"/>
      <c r="E100" s="306"/>
      <c r="F100" s="306"/>
      <c r="G100" s="306"/>
      <c r="H100" s="306"/>
      <c r="I100" s="306"/>
      <c r="J100" s="306"/>
      <c r="K100" s="306"/>
      <c r="L100" s="306"/>
      <c r="M100" s="306"/>
    </row>
    <row r="101" spans="2:13" ht="78" customHeight="1" x14ac:dyDescent="0.2">
      <c r="B101" s="34"/>
      <c r="C101" s="94"/>
      <c r="D101" s="306"/>
      <c r="E101" s="306"/>
      <c r="F101" s="306"/>
      <c r="G101" s="306"/>
      <c r="H101" s="306"/>
      <c r="I101" s="306"/>
      <c r="J101" s="306"/>
      <c r="K101" s="306"/>
      <c r="L101" s="306"/>
      <c r="M101" s="306"/>
    </row>
    <row r="102" spans="2:13" ht="78" customHeight="1" x14ac:dyDescent="0.2">
      <c r="B102" s="34"/>
      <c r="C102" s="94"/>
      <c r="D102" s="306"/>
      <c r="E102" s="306"/>
      <c r="F102" s="306"/>
      <c r="G102" s="306"/>
      <c r="H102" s="306"/>
      <c r="I102" s="306"/>
      <c r="J102" s="306"/>
      <c r="K102" s="306"/>
      <c r="L102" s="306"/>
      <c r="M102" s="306"/>
    </row>
    <row r="103" spans="2:13" ht="78" customHeight="1" x14ac:dyDescent="0.2">
      <c r="B103" s="34"/>
      <c r="C103" s="94"/>
      <c r="D103" s="306"/>
      <c r="E103" s="306"/>
      <c r="F103" s="306"/>
      <c r="G103" s="306"/>
      <c r="H103" s="306"/>
      <c r="I103" s="306"/>
      <c r="J103" s="306"/>
      <c r="K103" s="306"/>
      <c r="L103" s="306"/>
      <c r="M103" s="306"/>
    </row>
    <row r="104" spans="2:13" ht="78" customHeight="1" x14ac:dyDescent="0.2">
      <c r="B104" s="34"/>
      <c r="C104" s="94"/>
      <c r="D104" s="306"/>
      <c r="E104" s="306"/>
      <c r="F104" s="306"/>
      <c r="G104" s="306"/>
      <c r="H104" s="306"/>
      <c r="I104" s="306"/>
      <c r="J104" s="306"/>
      <c r="K104" s="306"/>
      <c r="L104" s="306"/>
      <c r="M104" s="306"/>
    </row>
    <row r="105" spans="2:13" ht="78" customHeight="1" x14ac:dyDescent="0.2">
      <c r="B105" s="34"/>
      <c r="C105" s="94"/>
      <c r="D105" s="306"/>
      <c r="E105" s="306"/>
      <c r="F105" s="306"/>
      <c r="G105" s="306"/>
      <c r="H105" s="306"/>
      <c r="I105" s="306"/>
      <c r="J105" s="306"/>
      <c r="K105" s="306"/>
      <c r="L105" s="306"/>
      <c r="M105" s="306"/>
    </row>
    <row r="106" spans="2:13" ht="78" customHeight="1" x14ac:dyDescent="0.2">
      <c r="B106" s="34"/>
      <c r="C106" s="94"/>
      <c r="D106" s="306"/>
      <c r="E106" s="306"/>
      <c r="F106" s="306"/>
      <c r="G106" s="306"/>
      <c r="H106" s="306"/>
      <c r="I106" s="306"/>
      <c r="J106" s="306"/>
      <c r="K106" s="306"/>
      <c r="L106" s="306"/>
      <c r="M106" s="306"/>
    </row>
    <row r="107" spans="2:13" ht="78" customHeight="1" x14ac:dyDescent="0.2">
      <c r="B107" s="34"/>
      <c r="C107" s="94"/>
      <c r="D107" s="306"/>
      <c r="E107" s="306"/>
      <c r="F107" s="306"/>
      <c r="G107" s="306"/>
      <c r="H107" s="306"/>
      <c r="I107" s="306"/>
      <c r="J107" s="306"/>
      <c r="K107" s="306"/>
      <c r="L107" s="306"/>
      <c r="M107" s="306"/>
    </row>
    <row r="108" spans="2:13" ht="78" customHeight="1" x14ac:dyDescent="0.2">
      <c r="B108" s="34"/>
      <c r="C108" s="94"/>
      <c r="D108" s="306"/>
      <c r="E108" s="306"/>
      <c r="F108" s="306"/>
      <c r="G108" s="306"/>
      <c r="H108" s="306"/>
      <c r="I108" s="306"/>
      <c r="J108" s="306"/>
      <c r="K108" s="306"/>
      <c r="L108" s="306"/>
      <c r="M108" s="306"/>
    </row>
    <row r="109" spans="2:13" ht="78" customHeight="1" x14ac:dyDescent="0.2">
      <c r="B109" s="34"/>
      <c r="C109" s="94"/>
      <c r="D109" s="306"/>
      <c r="E109" s="306"/>
      <c r="F109" s="306"/>
      <c r="G109" s="306"/>
      <c r="H109" s="306"/>
      <c r="I109" s="306"/>
      <c r="J109" s="306"/>
      <c r="K109" s="306"/>
      <c r="L109" s="306"/>
      <c r="M109" s="306"/>
    </row>
    <row r="110" spans="2:13" ht="78" customHeight="1" x14ac:dyDescent="0.2">
      <c r="B110" s="34"/>
      <c r="C110" s="94"/>
      <c r="D110" s="306"/>
      <c r="E110" s="306"/>
      <c r="F110" s="306"/>
      <c r="G110" s="306"/>
      <c r="H110" s="306"/>
      <c r="I110" s="306"/>
      <c r="J110" s="306"/>
      <c r="K110" s="306"/>
      <c r="L110" s="306"/>
      <c r="M110" s="306"/>
    </row>
    <row r="111" spans="2:13" ht="78" customHeight="1" x14ac:dyDescent="0.2">
      <c r="B111" s="34"/>
      <c r="C111" s="94"/>
      <c r="D111" s="306"/>
      <c r="E111" s="306"/>
      <c r="F111" s="306"/>
      <c r="G111" s="306"/>
      <c r="H111" s="306"/>
      <c r="I111" s="306"/>
      <c r="J111" s="306"/>
      <c r="K111" s="306"/>
      <c r="L111" s="306"/>
      <c r="M111" s="306"/>
    </row>
    <row r="112" spans="2:13" ht="78" customHeight="1" x14ac:dyDescent="0.2">
      <c r="B112" s="34"/>
      <c r="C112" s="94"/>
      <c r="D112" s="306"/>
      <c r="E112" s="306"/>
      <c r="F112" s="306"/>
      <c r="G112" s="306"/>
      <c r="H112" s="306"/>
      <c r="I112" s="306"/>
      <c r="J112" s="306"/>
      <c r="K112" s="306"/>
      <c r="L112" s="306"/>
      <c r="M112" s="306"/>
    </row>
    <row r="113" spans="2:13" ht="78" customHeight="1" x14ac:dyDescent="0.2">
      <c r="B113" s="34"/>
      <c r="C113" s="94"/>
      <c r="D113" s="306"/>
      <c r="E113" s="306"/>
      <c r="F113" s="306"/>
      <c r="G113" s="306"/>
      <c r="H113" s="306"/>
      <c r="I113" s="306"/>
      <c r="J113" s="306"/>
      <c r="K113" s="306"/>
      <c r="L113" s="306"/>
      <c r="M113" s="306"/>
    </row>
    <row r="114" spans="2:13" ht="78" customHeight="1" x14ac:dyDescent="0.2">
      <c r="B114" s="34"/>
      <c r="C114" s="94"/>
      <c r="D114" s="306"/>
      <c r="E114" s="306"/>
      <c r="F114" s="306"/>
      <c r="G114" s="306"/>
      <c r="H114" s="306"/>
      <c r="I114" s="306"/>
      <c r="J114" s="306"/>
      <c r="K114" s="306"/>
      <c r="L114" s="306"/>
      <c r="M114" s="306"/>
    </row>
    <row r="115" spans="2:13" ht="78" customHeight="1" x14ac:dyDescent="0.2">
      <c r="B115" s="34"/>
      <c r="C115" s="94"/>
      <c r="D115" s="306"/>
      <c r="E115" s="306"/>
      <c r="F115" s="306"/>
      <c r="G115" s="306"/>
      <c r="H115" s="306"/>
      <c r="I115" s="306"/>
      <c r="J115" s="306"/>
      <c r="K115" s="306"/>
      <c r="L115" s="306"/>
      <c r="M115" s="306"/>
    </row>
    <row r="116" spans="2:13" ht="78" customHeight="1" x14ac:dyDescent="0.2">
      <c r="B116" s="34"/>
      <c r="C116" s="94"/>
      <c r="D116" s="306"/>
      <c r="E116" s="306"/>
      <c r="F116" s="306"/>
      <c r="G116" s="306"/>
      <c r="H116" s="306"/>
      <c r="I116" s="306"/>
      <c r="J116" s="306"/>
      <c r="K116" s="306"/>
      <c r="L116" s="306"/>
      <c r="M116" s="306"/>
    </row>
    <row r="117" spans="2:13" ht="78" customHeight="1" x14ac:dyDescent="0.2">
      <c r="B117" s="34"/>
      <c r="C117" s="94"/>
      <c r="D117" s="306"/>
      <c r="E117" s="306"/>
      <c r="F117" s="306"/>
      <c r="G117" s="306"/>
      <c r="H117" s="306"/>
      <c r="I117" s="306"/>
      <c r="J117" s="306"/>
      <c r="K117" s="306"/>
      <c r="L117" s="306"/>
      <c r="M117" s="306"/>
    </row>
    <row r="118" spans="2:13" ht="78" customHeight="1" x14ac:dyDescent="0.2">
      <c r="B118" s="34"/>
      <c r="C118" s="94"/>
      <c r="D118" s="306"/>
      <c r="E118" s="306"/>
      <c r="F118" s="306"/>
      <c r="G118" s="306"/>
      <c r="H118" s="306"/>
      <c r="I118" s="306"/>
      <c r="J118" s="306"/>
      <c r="K118" s="306"/>
      <c r="L118" s="306"/>
      <c r="M118" s="306"/>
    </row>
    <row r="119" spans="2:13" ht="78" customHeight="1" x14ac:dyDescent="0.2">
      <c r="B119" s="34"/>
      <c r="C119" s="94"/>
      <c r="D119" s="306"/>
      <c r="E119" s="306"/>
      <c r="F119" s="306"/>
      <c r="G119" s="306"/>
      <c r="H119" s="306"/>
      <c r="I119" s="306"/>
      <c r="J119" s="306"/>
      <c r="K119" s="306"/>
      <c r="L119" s="306"/>
      <c r="M119" s="306"/>
    </row>
    <row r="120" spans="2:13" ht="78" customHeight="1" x14ac:dyDescent="0.2">
      <c r="B120" s="34"/>
      <c r="C120" s="94"/>
      <c r="D120" s="306"/>
      <c r="E120" s="306"/>
      <c r="F120" s="306"/>
      <c r="G120" s="306"/>
      <c r="H120" s="306"/>
      <c r="I120" s="306"/>
      <c r="J120" s="306"/>
      <c r="K120" s="306"/>
      <c r="L120" s="306"/>
      <c r="M120" s="306"/>
    </row>
    <row r="121" spans="2:13" ht="78" customHeight="1" x14ac:dyDescent="0.2">
      <c r="B121" s="34"/>
      <c r="C121" s="94"/>
      <c r="D121" s="306"/>
      <c r="E121" s="306"/>
      <c r="F121" s="306"/>
      <c r="G121" s="306"/>
      <c r="H121" s="306"/>
      <c r="I121" s="306"/>
      <c r="J121" s="306"/>
      <c r="K121" s="306"/>
      <c r="L121" s="306"/>
      <c r="M121" s="306"/>
    </row>
    <row r="122" spans="2:13" ht="78" customHeight="1" x14ac:dyDescent="0.2">
      <c r="B122" s="34"/>
      <c r="C122" s="94"/>
      <c r="D122" s="306"/>
      <c r="E122" s="306"/>
      <c r="F122" s="306"/>
      <c r="G122" s="306"/>
      <c r="H122" s="306"/>
      <c r="I122" s="306"/>
      <c r="J122" s="306"/>
      <c r="K122" s="306"/>
      <c r="L122" s="306"/>
      <c r="M122" s="306"/>
    </row>
    <row r="123" spans="2:13" ht="78" customHeight="1" x14ac:dyDescent="0.2">
      <c r="B123" s="34"/>
      <c r="C123" s="94"/>
      <c r="D123" s="306"/>
      <c r="E123" s="306"/>
      <c r="F123" s="306"/>
      <c r="G123" s="306"/>
      <c r="H123" s="306"/>
      <c r="I123" s="306"/>
      <c r="J123" s="306"/>
      <c r="K123" s="306"/>
      <c r="L123" s="306"/>
      <c r="M123" s="306"/>
    </row>
    <row r="124" spans="2:13" ht="78" customHeight="1" x14ac:dyDescent="0.2">
      <c r="B124" s="34"/>
      <c r="C124" s="94"/>
      <c r="D124" s="306"/>
      <c r="E124" s="306"/>
      <c r="F124" s="306"/>
      <c r="G124" s="306"/>
      <c r="H124" s="306"/>
      <c r="I124" s="306"/>
      <c r="J124" s="306"/>
      <c r="K124" s="306"/>
      <c r="L124" s="306"/>
      <c r="M124" s="306"/>
    </row>
    <row r="125" spans="2:13" ht="78" customHeight="1" x14ac:dyDescent="0.2">
      <c r="B125" s="34"/>
      <c r="C125" s="94"/>
      <c r="D125" s="306"/>
      <c r="E125" s="306"/>
      <c r="F125" s="306"/>
      <c r="G125" s="306"/>
      <c r="H125" s="306"/>
      <c r="I125" s="306"/>
      <c r="J125" s="306"/>
      <c r="K125" s="306"/>
      <c r="L125" s="306"/>
      <c r="M125" s="306"/>
    </row>
    <row r="126" spans="2:13" ht="78" customHeight="1" x14ac:dyDescent="0.2">
      <c r="B126" s="34"/>
      <c r="C126" s="94"/>
      <c r="D126" s="306"/>
      <c r="E126" s="306"/>
      <c r="F126" s="306"/>
      <c r="G126" s="306"/>
      <c r="H126" s="306"/>
      <c r="I126" s="306"/>
      <c r="J126" s="306"/>
      <c r="K126" s="306"/>
      <c r="L126" s="306"/>
      <c r="M126" s="306"/>
    </row>
    <row r="127" spans="2:13" ht="78" customHeight="1" x14ac:dyDescent="0.2">
      <c r="B127" s="34"/>
      <c r="C127" s="94"/>
      <c r="D127" s="306"/>
      <c r="E127" s="306"/>
      <c r="F127" s="306"/>
      <c r="G127" s="306"/>
      <c r="H127" s="306"/>
      <c r="I127" s="306"/>
      <c r="J127" s="306"/>
      <c r="K127" s="306"/>
      <c r="L127" s="306"/>
      <c r="M127" s="306"/>
    </row>
    <row r="128" spans="2:13" ht="78" customHeight="1" x14ac:dyDescent="0.2">
      <c r="B128" s="34"/>
      <c r="C128" s="94"/>
      <c r="D128" s="306"/>
      <c r="E128" s="306"/>
      <c r="F128" s="306"/>
      <c r="G128" s="306"/>
      <c r="H128" s="306"/>
      <c r="I128" s="306"/>
      <c r="J128" s="306"/>
      <c r="K128" s="306"/>
      <c r="L128" s="306"/>
      <c r="M128" s="306"/>
    </row>
    <row r="129" spans="2:13" ht="78" customHeight="1" x14ac:dyDescent="0.2">
      <c r="B129" s="34"/>
      <c r="C129" s="94"/>
      <c r="D129" s="306"/>
      <c r="E129" s="306"/>
      <c r="F129" s="306"/>
      <c r="G129" s="306"/>
      <c r="H129" s="306"/>
      <c r="I129" s="306"/>
      <c r="J129" s="306"/>
      <c r="K129" s="306"/>
      <c r="L129" s="306"/>
      <c r="M129" s="306"/>
    </row>
    <row r="130" spans="2:13" ht="78" customHeight="1" x14ac:dyDescent="0.2">
      <c r="B130" s="34"/>
      <c r="C130" s="94"/>
      <c r="D130" s="306"/>
      <c r="E130" s="306"/>
      <c r="F130" s="306"/>
      <c r="G130" s="306"/>
      <c r="H130" s="306"/>
      <c r="I130" s="306"/>
      <c r="J130" s="306"/>
      <c r="K130" s="306"/>
      <c r="L130" s="306"/>
      <c r="M130" s="306"/>
    </row>
    <row r="131" spans="2:13" ht="78" customHeight="1" x14ac:dyDescent="0.2">
      <c r="B131" s="34"/>
      <c r="C131" s="94"/>
      <c r="D131" s="306"/>
      <c r="E131" s="306"/>
      <c r="F131" s="306"/>
      <c r="G131" s="306"/>
      <c r="H131" s="306"/>
      <c r="I131" s="306"/>
      <c r="J131" s="306"/>
      <c r="K131" s="306"/>
      <c r="L131" s="306"/>
      <c r="M131" s="306"/>
    </row>
    <row r="132" spans="2:13" ht="78" customHeight="1" x14ac:dyDescent="0.2">
      <c r="B132" s="34"/>
      <c r="C132" s="94"/>
      <c r="D132" s="306"/>
      <c r="E132" s="306"/>
      <c r="F132" s="306"/>
      <c r="G132" s="306"/>
      <c r="H132" s="306"/>
      <c r="I132" s="306"/>
      <c r="J132" s="306"/>
      <c r="K132" s="306"/>
      <c r="L132" s="306"/>
      <c r="M132" s="306"/>
    </row>
    <row r="133" spans="2:13" ht="78" customHeight="1" x14ac:dyDescent="0.2">
      <c r="B133" s="34"/>
      <c r="C133" s="94"/>
      <c r="D133" s="306"/>
      <c r="E133" s="306"/>
      <c r="F133" s="306"/>
      <c r="G133" s="306"/>
      <c r="H133" s="306"/>
      <c r="I133" s="306"/>
      <c r="J133" s="306"/>
      <c r="K133" s="306"/>
      <c r="L133" s="306"/>
      <c r="M133" s="306"/>
    </row>
    <row r="134" spans="2:13" ht="78" customHeight="1" x14ac:dyDescent="0.2">
      <c r="B134" s="34"/>
      <c r="C134" s="94"/>
      <c r="D134" s="306"/>
      <c r="E134" s="306"/>
      <c r="F134" s="306"/>
      <c r="G134" s="306"/>
      <c r="H134" s="306"/>
      <c r="I134" s="306"/>
      <c r="J134" s="306"/>
      <c r="K134" s="306"/>
      <c r="L134" s="306"/>
      <c r="M134" s="306"/>
    </row>
    <row r="135" spans="2:13" ht="78" customHeight="1" x14ac:dyDescent="0.2">
      <c r="B135" s="34"/>
      <c r="C135" s="94"/>
      <c r="D135" s="306"/>
      <c r="E135" s="306"/>
      <c r="F135" s="306"/>
      <c r="G135" s="306"/>
      <c r="H135" s="306"/>
      <c r="I135" s="306"/>
      <c r="J135" s="306"/>
      <c r="K135" s="306"/>
      <c r="L135" s="306"/>
      <c r="M135" s="306"/>
    </row>
    <row r="136" spans="2:13" ht="78" customHeight="1" x14ac:dyDescent="0.2">
      <c r="B136" s="34"/>
      <c r="C136" s="94"/>
      <c r="D136" s="306"/>
      <c r="E136" s="306"/>
      <c r="F136" s="306"/>
      <c r="G136" s="306"/>
      <c r="H136" s="306"/>
      <c r="I136" s="306"/>
      <c r="J136" s="306"/>
      <c r="K136" s="306"/>
      <c r="L136" s="306"/>
      <c r="M136" s="306"/>
    </row>
    <row r="137" spans="2:13" ht="78" customHeight="1" x14ac:dyDescent="0.2">
      <c r="B137" s="34"/>
      <c r="C137" s="94"/>
      <c r="D137" s="306"/>
      <c r="E137" s="306"/>
      <c r="F137" s="306"/>
      <c r="G137" s="306"/>
      <c r="H137" s="306"/>
      <c r="I137" s="306"/>
      <c r="J137" s="306"/>
      <c r="K137" s="306"/>
      <c r="L137" s="306"/>
      <c r="M137" s="306"/>
    </row>
    <row r="138" spans="2:13" ht="78" customHeight="1" x14ac:dyDescent="0.2">
      <c r="B138" s="34"/>
      <c r="C138" s="94"/>
      <c r="D138" s="306"/>
      <c r="E138" s="306"/>
      <c r="F138" s="306"/>
      <c r="G138" s="306"/>
      <c r="H138" s="306"/>
      <c r="I138" s="306"/>
      <c r="J138" s="306"/>
      <c r="K138" s="306"/>
      <c r="L138" s="306"/>
      <c r="M138" s="306"/>
    </row>
    <row r="139" spans="2:13" ht="78" customHeight="1" x14ac:dyDescent="0.2">
      <c r="B139" s="34"/>
      <c r="C139" s="94"/>
      <c r="D139" s="306"/>
      <c r="E139" s="306"/>
      <c r="F139" s="306"/>
      <c r="G139" s="306"/>
      <c r="H139" s="306"/>
      <c r="I139" s="306"/>
      <c r="J139" s="306"/>
      <c r="K139" s="306"/>
      <c r="L139" s="306"/>
      <c r="M139" s="306"/>
    </row>
    <row r="140" spans="2:13" ht="78" customHeight="1" x14ac:dyDescent="0.2">
      <c r="B140" s="34"/>
      <c r="C140" s="94"/>
      <c r="D140" s="306"/>
      <c r="E140" s="306"/>
      <c r="F140" s="306"/>
      <c r="G140" s="306"/>
      <c r="H140" s="306"/>
      <c r="I140" s="306"/>
      <c r="J140" s="306"/>
      <c r="K140" s="306"/>
      <c r="L140" s="306"/>
      <c r="M140" s="306"/>
    </row>
    <row r="141" spans="2:13" ht="78" customHeight="1" x14ac:dyDescent="0.2">
      <c r="B141" s="34"/>
      <c r="C141" s="94"/>
      <c r="D141" s="306"/>
      <c r="E141" s="306"/>
      <c r="F141" s="306"/>
      <c r="G141" s="306"/>
      <c r="H141" s="306"/>
      <c r="I141" s="306"/>
      <c r="J141" s="306"/>
      <c r="K141" s="306"/>
      <c r="L141" s="306"/>
      <c r="M141" s="306"/>
    </row>
    <row r="142" spans="2:13" ht="78" customHeight="1" x14ac:dyDescent="0.2">
      <c r="B142" s="34"/>
      <c r="C142" s="94"/>
      <c r="D142" s="306"/>
      <c r="E142" s="306"/>
      <c r="F142" s="306"/>
      <c r="G142" s="306"/>
      <c r="H142" s="306"/>
      <c r="I142" s="306"/>
      <c r="J142" s="306"/>
      <c r="K142" s="306"/>
      <c r="L142" s="306"/>
      <c r="M142" s="306"/>
    </row>
    <row r="143" spans="2:13" ht="78" customHeight="1" x14ac:dyDescent="0.2">
      <c r="B143" s="34"/>
      <c r="C143" s="94"/>
      <c r="D143" s="306"/>
      <c r="E143" s="306"/>
      <c r="F143" s="306"/>
      <c r="G143" s="306"/>
      <c r="H143" s="306"/>
      <c r="I143" s="306"/>
      <c r="J143" s="306"/>
      <c r="K143" s="306"/>
      <c r="L143" s="306"/>
      <c r="M143" s="306"/>
    </row>
    <row r="144" spans="2:13" ht="78" customHeight="1" x14ac:dyDescent="0.2">
      <c r="B144" s="34"/>
      <c r="C144" s="94"/>
      <c r="D144" s="306"/>
      <c r="E144" s="306"/>
      <c r="F144" s="306"/>
      <c r="G144" s="306"/>
      <c r="H144" s="306"/>
      <c r="I144" s="306"/>
      <c r="J144" s="306"/>
      <c r="K144" s="306"/>
      <c r="L144" s="306"/>
      <c r="M144" s="306"/>
    </row>
    <row r="145" spans="2:13" ht="78" customHeight="1" x14ac:dyDescent="0.2">
      <c r="B145" s="34"/>
      <c r="C145" s="94"/>
      <c r="D145" s="306"/>
      <c r="E145" s="306"/>
      <c r="F145" s="306"/>
      <c r="G145" s="306"/>
      <c r="H145" s="306"/>
      <c r="I145" s="306"/>
      <c r="J145" s="306"/>
      <c r="K145" s="306"/>
      <c r="L145" s="306"/>
      <c r="M145" s="306"/>
    </row>
    <row r="146" spans="2:13" ht="78" customHeight="1" x14ac:dyDescent="0.2">
      <c r="B146" s="34"/>
      <c r="C146" s="94"/>
      <c r="D146" s="306"/>
      <c r="E146" s="306"/>
      <c r="F146" s="306"/>
      <c r="G146" s="306"/>
      <c r="H146" s="306"/>
      <c r="I146" s="306"/>
      <c r="J146" s="306"/>
      <c r="K146" s="306"/>
      <c r="L146" s="306"/>
      <c r="M146" s="306"/>
    </row>
    <row r="147" spans="2:13" ht="78" customHeight="1" x14ac:dyDescent="0.2">
      <c r="B147" s="34"/>
      <c r="C147" s="94"/>
      <c r="D147" s="306"/>
      <c r="E147" s="306"/>
      <c r="F147" s="306"/>
      <c r="G147" s="306"/>
      <c r="H147" s="306"/>
      <c r="I147" s="306"/>
      <c r="J147" s="306"/>
      <c r="K147" s="306"/>
      <c r="L147" s="306"/>
      <c r="M147" s="306"/>
    </row>
    <row r="148" spans="2:13" ht="78" customHeight="1" x14ac:dyDescent="0.2">
      <c r="B148" s="34"/>
      <c r="C148" s="94"/>
      <c r="D148" s="306"/>
      <c r="E148" s="306"/>
      <c r="F148" s="306"/>
      <c r="G148" s="306"/>
      <c r="H148" s="306"/>
      <c r="I148" s="306"/>
      <c r="J148" s="306"/>
      <c r="K148" s="306"/>
      <c r="L148" s="306"/>
      <c r="M148" s="306"/>
    </row>
    <row r="149" spans="2:13" ht="78" customHeight="1" x14ac:dyDescent="0.2">
      <c r="B149" s="34"/>
      <c r="C149" s="94"/>
      <c r="D149" s="306"/>
      <c r="E149" s="306"/>
      <c r="F149" s="306"/>
      <c r="G149" s="306"/>
      <c r="H149" s="306"/>
      <c r="I149" s="306"/>
      <c r="J149" s="306"/>
      <c r="K149" s="306"/>
      <c r="L149" s="306"/>
      <c r="M149" s="306"/>
    </row>
    <row r="150" spans="2:13" ht="78" customHeight="1" x14ac:dyDescent="0.2">
      <c r="B150" s="34"/>
      <c r="C150" s="94"/>
      <c r="D150" s="306"/>
      <c r="E150" s="306"/>
      <c r="F150" s="306"/>
      <c r="G150" s="306"/>
      <c r="H150" s="306"/>
      <c r="I150" s="306"/>
      <c r="J150" s="306"/>
      <c r="K150" s="306"/>
      <c r="L150" s="306"/>
      <c r="M150" s="306"/>
    </row>
    <row r="151" spans="2:13" ht="78" customHeight="1" x14ac:dyDescent="0.2">
      <c r="B151" s="34"/>
      <c r="C151" s="94"/>
      <c r="D151" s="306"/>
      <c r="E151" s="306"/>
      <c r="F151" s="306"/>
      <c r="G151" s="306"/>
      <c r="H151" s="306"/>
      <c r="I151" s="306"/>
      <c r="J151" s="306"/>
      <c r="K151" s="306"/>
      <c r="L151" s="306"/>
      <c r="M151" s="306"/>
    </row>
    <row r="152" spans="2:13" ht="78" customHeight="1" x14ac:dyDescent="0.2">
      <c r="B152" s="34"/>
      <c r="C152" s="94"/>
      <c r="D152" s="306"/>
      <c r="E152" s="306"/>
      <c r="F152" s="306"/>
      <c r="G152" s="306"/>
      <c r="H152" s="306"/>
      <c r="I152" s="306"/>
      <c r="J152" s="306"/>
      <c r="K152" s="306"/>
      <c r="L152" s="306"/>
      <c r="M152" s="306"/>
    </row>
    <row r="153" spans="2:13" ht="78" customHeight="1" x14ac:dyDescent="0.2">
      <c r="B153" s="34"/>
      <c r="C153" s="94"/>
      <c r="D153" s="306"/>
      <c r="E153" s="306"/>
      <c r="F153" s="306"/>
      <c r="G153" s="306"/>
      <c r="H153" s="306"/>
      <c r="I153" s="306"/>
      <c r="J153" s="306"/>
      <c r="K153" s="306"/>
      <c r="L153" s="306"/>
      <c r="M153" s="306"/>
    </row>
    <row r="154" spans="2:13" ht="78" customHeight="1" x14ac:dyDescent="0.2">
      <c r="B154" s="34"/>
      <c r="C154" s="94"/>
      <c r="D154" s="306"/>
      <c r="E154" s="306"/>
      <c r="F154" s="306"/>
      <c r="G154" s="306"/>
      <c r="H154" s="306"/>
      <c r="I154" s="306"/>
      <c r="J154" s="306"/>
      <c r="K154" s="306"/>
      <c r="L154" s="306"/>
      <c r="M154" s="306"/>
    </row>
    <row r="155" spans="2:13" ht="78" customHeight="1" x14ac:dyDescent="0.2">
      <c r="B155" s="34"/>
      <c r="C155" s="94"/>
      <c r="D155" s="306"/>
      <c r="E155" s="306"/>
      <c r="F155" s="306"/>
      <c r="G155" s="306"/>
      <c r="H155" s="306"/>
      <c r="I155" s="306"/>
      <c r="J155" s="306"/>
      <c r="K155" s="306"/>
      <c r="L155" s="306"/>
      <c r="M155" s="306"/>
    </row>
    <row r="156" spans="2:13" ht="78" customHeight="1" x14ac:dyDescent="0.2">
      <c r="B156" s="34"/>
      <c r="C156" s="94"/>
      <c r="D156" s="306"/>
      <c r="E156" s="306"/>
      <c r="F156" s="306"/>
      <c r="G156" s="306"/>
      <c r="H156" s="306"/>
      <c r="I156" s="306"/>
      <c r="J156" s="306"/>
      <c r="K156" s="306"/>
      <c r="L156" s="306"/>
      <c r="M156" s="306"/>
    </row>
    <row r="157" spans="2:13" ht="78" customHeight="1" x14ac:dyDescent="0.2">
      <c r="B157" s="34"/>
      <c r="C157" s="94"/>
      <c r="D157" s="306"/>
      <c r="E157" s="306"/>
      <c r="F157" s="306"/>
      <c r="G157" s="306"/>
      <c r="H157" s="306"/>
      <c r="I157" s="306"/>
      <c r="J157" s="306"/>
      <c r="K157" s="306"/>
      <c r="L157" s="306"/>
      <c r="M157" s="306"/>
    </row>
    <row r="158" spans="2:13" ht="78" customHeight="1" x14ac:dyDescent="0.2">
      <c r="B158" s="34"/>
      <c r="C158" s="94"/>
      <c r="D158" s="306"/>
      <c r="E158" s="306"/>
      <c r="F158" s="306"/>
      <c r="G158" s="306"/>
      <c r="H158" s="306"/>
      <c r="I158" s="306"/>
      <c r="J158" s="306"/>
      <c r="K158" s="306"/>
      <c r="L158" s="306"/>
      <c r="M158" s="306"/>
    </row>
    <row r="159" spans="2:13" ht="78" customHeight="1" x14ac:dyDescent="0.2">
      <c r="B159" s="34"/>
      <c r="C159" s="94"/>
      <c r="D159" s="306"/>
      <c r="E159" s="306"/>
      <c r="F159" s="306"/>
      <c r="G159" s="306"/>
      <c r="H159" s="306"/>
      <c r="I159" s="306"/>
      <c r="J159" s="306"/>
      <c r="K159" s="306"/>
      <c r="L159" s="306"/>
      <c r="M159" s="306"/>
    </row>
    <row r="160" spans="2:13" ht="78" customHeight="1" x14ac:dyDescent="0.2">
      <c r="B160" s="34"/>
      <c r="C160" s="94"/>
      <c r="D160" s="306"/>
      <c r="E160" s="306"/>
      <c r="F160" s="306"/>
      <c r="G160" s="306"/>
      <c r="H160" s="306"/>
      <c r="I160" s="306"/>
      <c r="J160" s="306"/>
      <c r="K160" s="306"/>
      <c r="L160" s="306"/>
      <c r="M160" s="306"/>
    </row>
    <row r="161" spans="2:13" ht="78" customHeight="1" x14ac:dyDescent="0.2">
      <c r="B161" s="34"/>
      <c r="C161" s="94"/>
      <c r="D161" s="306"/>
      <c r="E161" s="306"/>
      <c r="F161" s="306"/>
      <c r="G161" s="306"/>
      <c r="H161" s="306"/>
      <c r="I161" s="306"/>
      <c r="J161" s="306"/>
      <c r="K161" s="306"/>
      <c r="L161" s="306"/>
      <c r="M161" s="306"/>
    </row>
    <row r="162" spans="2:13" ht="78" customHeight="1" x14ac:dyDescent="0.2">
      <c r="B162" s="34"/>
      <c r="C162" s="94"/>
      <c r="D162" s="306"/>
      <c r="E162" s="306"/>
      <c r="F162" s="306"/>
      <c r="G162" s="306"/>
      <c r="H162" s="306"/>
      <c r="I162" s="306"/>
      <c r="J162" s="306"/>
      <c r="K162" s="306"/>
      <c r="L162" s="306"/>
      <c r="M162" s="306"/>
    </row>
    <row r="163" spans="2:13" ht="78" customHeight="1" x14ac:dyDescent="0.2">
      <c r="B163" s="34"/>
      <c r="C163" s="94"/>
      <c r="D163" s="306"/>
      <c r="E163" s="306"/>
      <c r="F163" s="306"/>
      <c r="G163" s="306"/>
      <c r="H163" s="306"/>
      <c r="I163" s="306"/>
      <c r="J163" s="306"/>
      <c r="K163" s="306"/>
      <c r="L163" s="306"/>
      <c r="M163" s="306"/>
    </row>
    <row r="164" spans="2:13" ht="78" customHeight="1" x14ac:dyDescent="0.2">
      <c r="B164" s="34"/>
      <c r="C164" s="94"/>
      <c r="D164" s="306"/>
      <c r="E164" s="306"/>
      <c r="F164" s="306"/>
      <c r="G164" s="306"/>
      <c r="H164" s="306"/>
      <c r="I164" s="306"/>
      <c r="J164" s="306"/>
      <c r="K164" s="306"/>
      <c r="L164" s="306"/>
      <c r="M164" s="306"/>
    </row>
    <row r="165" spans="2:13" ht="78" customHeight="1" x14ac:dyDescent="0.2">
      <c r="B165" s="34"/>
      <c r="C165" s="94"/>
      <c r="D165" s="306"/>
      <c r="E165" s="306"/>
      <c r="F165" s="306"/>
      <c r="G165" s="306"/>
      <c r="H165" s="306"/>
      <c r="I165" s="306"/>
      <c r="J165" s="306"/>
      <c r="K165" s="306"/>
      <c r="L165" s="306"/>
      <c r="M165" s="306"/>
    </row>
    <row r="166" spans="2:13" ht="78" customHeight="1" x14ac:dyDescent="0.2">
      <c r="B166" s="34"/>
      <c r="C166" s="94"/>
      <c r="D166" s="306"/>
      <c r="E166" s="306"/>
      <c r="F166" s="306"/>
      <c r="G166" s="306"/>
      <c r="H166" s="306"/>
      <c r="I166" s="306"/>
      <c r="J166" s="306"/>
      <c r="K166" s="306"/>
      <c r="L166" s="306"/>
      <c r="M166" s="306"/>
    </row>
    <row r="167" spans="2:13" ht="78" customHeight="1" x14ac:dyDescent="0.2">
      <c r="B167" s="34"/>
      <c r="C167" s="94"/>
      <c r="D167" s="306"/>
      <c r="E167" s="306"/>
      <c r="F167" s="306"/>
      <c r="G167" s="306"/>
      <c r="H167" s="306"/>
      <c r="I167" s="306"/>
      <c r="J167" s="306"/>
      <c r="K167" s="306"/>
      <c r="L167" s="306"/>
      <c r="M167" s="306"/>
    </row>
    <row r="168" spans="2:13" ht="78" customHeight="1" x14ac:dyDescent="0.2">
      <c r="B168" s="34"/>
      <c r="C168" s="94"/>
      <c r="D168" s="306"/>
      <c r="E168" s="306"/>
      <c r="F168" s="306"/>
      <c r="G168" s="306"/>
      <c r="H168" s="306"/>
      <c r="I168" s="306"/>
      <c r="J168" s="306"/>
      <c r="K168" s="306"/>
      <c r="L168" s="306"/>
      <c r="M168" s="306"/>
    </row>
    <row r="169" spans="2:13" ht="78" customHeight="1" x14ac:dyDescent="0.2">
      <c r="B169" s="34"/>
      <c r="C169" s="94"/>
      <c r="D169" s="306"/>
      <c r="E169" s="306"/>
      <c r="F169" s="306"/>
      <c r="G169" s="306"/>
      <c r="H169" s="306"/>
      <c r="I169" s="306"/>
      <c r="J169" s="306"/>
      <c r="K169" s="306"/>
      <c r="L169" s="306"/>
      <c r="M169" s="306"/>
    </row>
    <row r="170" spans="2:13" ht="78" customHeight="1" x14ac:dyDescent="0.2">
      <c r="B170" s="34"/>
      <c r="C170" s="94"/>
      <c r="D170" s="306"/>
      <c r="E170" s="306"/>
      <c r="F170" s="306"/>
      <c r="G170" s="306"/>
      <c r="H170" s="306"/>
      <c r="I170" s="306"/>
      <c r="J170" s="306"/>
      <c r="K170" s="306"/>
      <c r="L170" s="306"/>
      <c r="M170" s="306"/>
    </row>
    <row r="171" spans="2:13" ht="78" customHeight="1" x14ac:dyDescent="0.2">
      <c r="B171" s="34"/>
      <c r="C171" s="94"/>
      <c r="D171" s="306"/>
      <c r="E171" s="306"/>
      <c r="F171" s="306"/>
      <c r="G171" s="306"/>
      <c r="H171" s="306"/>
      <c r="I171" s="306"/>
      <c r="J171" s="306"/>
      <c r="K171" s="306"/>
      <c r="L171" s="306"/>
      <c r="M171" s="306"/>
    </row>
    <row r="172" spans="2:13" ht="78" customHeight="1" x14ac:dyDescent="0.2">
      <c r="B172" s="34"/>
      <c r="C172" s="94"/>
      <c r="D172" s="306"/>
      <c r="E172" s="306"/>
      <c r="F172" s="306"/>
      <c r="G172" s="306"/>
      <c r="H172" s="306"/>
      <c r="I172" s="306"/>
      <c r="J172" s="306"/>
      <c r="K172" s="306"/>
      <c r="L172" s="306"/>
      <c r="M172" s="306"/>
    </row>
    <row r="173" spans="2:13" ht="78" customHeight="1" x14ac:dyDescent="0.2">
      <c r="B173" s="34"/>
      <c r="C173" s="94"/>
      <c r="D173" s="306"/>
      <c r="E173" s="306"/>
      <c r="F173" s="306"/>
      <c r="G173" s="306"/>
      <c r="H173" s="306"/>
      <c r="I173" s="306"/>
      <c r="J173" s="306"/>
      <c r="K173" s="306"/>
      <c r="L173" s="306"/>
      <c r="M173" s="306"/>
    </row>
    <row r="174" spans="2:13" ht="78" customHeight="1" x14ac:dyDescent="0.2">
      <c r="B174" s="34"/>
      <c r="C174" s="94"/>
      <c r="D174" s="306"/>
      <c r="E174" s="306"/>
      <c r="F174" s="306"/>
      <c r="G174" s="306"/>
      <c r="H174" s="306"/>
      <c r="I174" s="306"/>
      <c r="J174" s="306"/>
      <c r="K174" s="306"/>
      <c r="L174" s="306"/>
      <c r="M174" s="306"/>
    </row>
    <row r="175" spans="2:13" ht="78" customHeight="1" x14ac:dyDescent="0.2">
      <c r="B175" s="34"/>
      <c r="C175" s="94"/>
      <c r="D175" s="306"/>
      <c r="E175" s="306"/>
      <c r="F175" s="306"/>
      <c r="G175" s="306"/>
      <c r="H175" s="306"/>
      <c r="I175" s="306"/>
      <c r="J175" s="306"/>
      <c r="K175" s="306"/>
      <c r="L175" s="306"/>
      <c r="M175" s="306"/>
    </row>
    <row r="176" spans="2:13" ht="78" customHeight="1" x14ac:dyDescent="0.2">
      <c r="B176" s="34"/>
      <c r="C176" s="94"/>
      <c r="D176" s="306"/>
      <c r="E176" s="306"/>
      <c r="F176" s="306"/>
      <c r="G176" s="306"/>
      <c r="H176" s="306"/>
      <c r="I176" s="306"/>
      <c r="J176" s="306"/>
      <c r="K176" s="306"/>
      <c r="L176" s="306"/>
      <c r="M176" s="306"/>
    </row>
    <row r="177" spans="2:13" ht="78" customHeight="1" x14ac:dyDescent="0.2">
      <c r="B177" s="34"/>
      <c r="C177" s="94"/>
      <c r="D177" s="306"/>
      <c r="E177" s="306"/>
      <c r="F177" s="306"/>
      <c r="G177" s="306"/>
      <c r="H177" s="306"/>
      <c r="I177" s="306"/>
      <c r="J177" s="306"/>
      <c r="K177" s="306"/>
      <c r="L177" s="306"/>
      <c r="M177" s="306"/>
    </row>
    <row r="178" spans="2:13" ht="78" customHeight="1" x14ac:dyDescent="0.2">
      <c r="B178" s="34"/>
      <c r="C178" s="94"/>
      <c r="D178" s="306"/>
      <c r="E178" s="306"/>
      <c r="F178" s="306"/>
      <c r="G178" s="306"/>
      <c r="H178" s="306"/>
      <c r="I178" s="306"/>
      <c r="J178" s="306"/>
      <c r="K178" s="306"/>
      <c r="L178" s="306"/>
      <c r="M178" s="306"/>
    </row>
    <row r="179" spans="2:13" ht="78" customHeight="1" x14ac:dyDescent="0.2">
      <c r="B179" s="34"/>
      <c r="C179" s="94"/>
      <c r="D179" s="306"/>
      <c r="E179" s="306"/>
      <c r="F179" s="306"/>
      <c r="G179" s="306"/>
      <c r="H179" s="306"/>
      <c r="I179" s="306"/>
      <c r="J179" s="306"/>
      <c r="K179" s="306"/>
      <c r="L179" s="306"/>
      <c r="M179" s="306"/>
    </row>
    <row r="180" spans="2:13" ht="78" customHeight="1" x14ac:dyDescent="0.2">
      <c r="B180" s="34"/>
      <c r="C180" s="94"/>
      <c r="D180" s="306"/>
      <c r="E180" s="306"/>
      <c r="F180" s="306"/>
      <c r="G180" s="306"/>
      <c r="H180" s="306"/>
      <c r="I180" s="306"/>
      <c r="J180" s="306"/>
      <c r="K180" s="306"/>
      <c r="L180" s="306"/>
      <c r="M180" s="306"/>
    </row>
    <row r="181" spans="2:13" ht="78" customHeight="1" x14ac:dyDescent="0.2">
      <c r="B181" s="34"/>
      <c r="C181" s="94"/>
      <c r="D181" s="306"/>
      <c r="E181" s="306"/>
      <c r="F181" s="306"/>
      <c r="G181" s="306"/>
      <c r="H181" s="306"/>
      <c r="I181" s="306"/>
      <c r="J181" s="306"/>
      <c r="K181" s="306"/>
      <c r="L181" s="306"/>
      <c r="M181" s="306"/>
    </row>
    <row r="182" spans="2:13" ht="78" customHeight="1" x14ac:dyDescent="0.2">
      <c r="B182" s="34"/>
      <c r="C182" s="94"/>
      <c r="D182" s="306"/>
      <c r="E182" s="306"/>
      <c r="F182" s="306"/>
      <c r="G182" s="306"/>
      <c r="H182" s="306"/>
      <c r="I182" s="306"/>
      <c r="J182" s="306"/>
      <c r="K182" s="306"/>
      <c r="L182" s="306"/>
      <c r="M182" s="306"/>
    </row>
    <row r="183" spans="2:13" ht="78" customHeight="1" x14ac:dyDescent="0.2">
      <c r="B183" s="34"/>
      <c r="C183" s="94"/>
      <c r="D183" s="306"/>
      <c r="E183" s="306"/>
      <c r="F183" s="306"/>
      <c r="G183" s="306"/>
      <c r="H183" s="306"/>
      <c r="I183" s="306"/>
      <c r="J183" s="306"/>
      <c r="K183" s="306"/>
      <c r="L183" s="306"/>
      <c r="M183" s="306"/>
    </row>
    <row r="184" spans="2:13" ht="78" customHeight="1" x14ac:dyDescent="0.2">
      <c r="B184" s="34"/>
      <c r="C184" s="94"/>
      <c r="D184" s="306"/>
      <c r="E184" s="306"/>
      <c r="F184" s="306"/>
      <c r="G184" s="306"/>
      <c r="H184" s="306"/>
      <c r="I184" s="306"/>
      <c r="J184" s="306"/>
      <c r="K184" s="306"/>
      <c r="L184" s="306"/>
      <c r="M184" s="306"/>
    </row>
    <row r="185" spans="2:13" ht="78" customHeight="1" x14ac:dyDescent="0.2">
      <c r="B185" s="34"/>
      <c r="C185" s="94"/>
      <c r="D185" s="306"/>
      <c r="E185" s="306"/>
      <c r="F185" s="306"/>
      <c r="G185" s="306"/>
      <c r="H185" s="306"/>
      <c r="I185" s="306"/>
      <c r="J185" s="306"/>
      <c r="K185" s="306"/>
      <c r="L185" s="306"/>
      <c r="M185" s="306"/>
    </row>
    <row r="186" spans="2:13" ht="78" customHeight="1" x14ac:dyDescent="0.2">
      <c r="B186" s="34"/>
      <c r="C186" s="94"/>
      <c r="D186" s="306"/>
      <c r="E186" s="306"/>
      <c r="F186" s="306"/>
      <c r="G186" s="306"/>
      <c r="H186" s="306"/>
      <c r="I186" s="306"/>
      <c r="J186" s="306"/>
      <c r="K186" s="306"/>
      <c r="L186" s="306"/>
      <c r="M186" s="306"/>
    </row>
    <row r="187" spans="2:13" ht="78" customHeight="1" x14ac:dyDescent="0.2">
      <c r="B187" s="34"/>
      <c r="C187" s="94"/>
      <c r="D187" s="306"/>
      <c r="E187" s="306"/>
      <c r="F187" s="306"/>
      <c r="G187" s="306"/>
      <c r="H187" s="306"/>
      <c r="I187" s="306"/>
      <c r="J187" s="306"/>
      <c r="K187" s="306"/>
      <c r="L187" s="306"/>
      <c r="M187" s="306"/>
    </row>
    <row r="188" spans="2:13" ht="78" customHeight="1" x14ac:dyDescent="0.2">
      <c r="B188" s="34"/>
      <c r="C188" s="94"/>
      <c r="D188" s="306"/>
      <c r="E188" s="306"/>
      <c r="F188" s="306"/>
      <c r="G188" s="306"/>
      <c r="H188" s="306"/>
      <c r="I188" s="306"/>
      <c r="J188" s="306"/>
      <c r="K188" s="306"/>
      <c r="L188" s="306"/>
      <c r="M188" s="306"/>
    </row>
    <row r="189" spans="2:13" ht="78" customHeight="1" x14ac:dyDescent="0.2">
      <c r="B189" s="34"/>
      <c r="C189" s="94"/>
      <c r="D189" s="306"/>
      <c r="E189" s="306"/>
      <c r="F189" s="306"/>
      <c r="G189" s="306"/>
      <c r="H189" s="306"/>
      <c r="I189" s="306"/>
      <c r="J189" s="306"/>
      <c r="K189" s="306"/>
      <c r="L189" s="306"/>
      <c r="M189" s="306"/>
    </row>
    <row r="190" spans="2:13" ht="78" customHeight="1" x14ac:dyDescent="0.2">
      <c r="B190" s="34"/>
      <c r="C190" s="94"/>
      <c r="D190" s="306"/>
      <c r="E190" s="306"/>
      <c r="F190" s="306"/>
      <c r="G190" s="306"/>
      <c r="H190" s="306"/>
      <c r="I190" s="306"/>
      <c r="J190" s="306"/>
      <c r="K190" s="306"/>
      <c r="L190" s="306"/>
      <c r="M190" s="306"/>
    </row>
    <row r="191" spans="2:13" ht="78" customHeight="1" x14ac:dyDescent="0.2">
      <c r="B191" s="34"/>
      <c r="C191" s="94"/>
      <c r="D191" s="306"/>
      <c r="E191" s="306"/>
      <c r="F191" s="306"/>
      <c r="G191" s="306"/>
      <c r="H191" s="306"/>
      <c r="I191" s="306"/>
      <c r="J191" s="306"/>
      <c r="K191" s="306"/>
      <c r="L191" s="306"/>
      <c r="M191" s="306"/>
    </row>
    <row r="192" spans="2:13" ht="78" customHeight="1" x14ac:dyDescent="0.2">
      <c r="B192" s="34"/>
      <c r="C192" s="94"/>
      <c r="D192" s="306"/>
      <c r="E192" s="306"/>
      <c r="F192" s="306"/>
      <c r="G192" s="306"/>
      <c r="H192" s="306"/>
      <c r="I192" s="306"/>
      <c r="J192" s="306"/>
      <c r="K192" s="306"/>
      <c r="L192" s="306"/>
      <c r="M192" s="306"/>
    </row>
    <row r="193" spans="2:13" ht="78" customHeight="1" x14ac:dyDescent="0.2">
      <c r="B193" s="34"/>
      <c r="C193" s="94"/>
      <c r="D193" s="306"/>
      <c r="E193" s="306"/>
      <c r="F193" s="306"/>
      <c r="G193" s="306"/>
      <c r="H193" s="306"/>
      <c r="I193" s="306"/>
      <c r="J193" s="306"/>
      <c r="K193" s="306"/>
      <c r="L193" s="306"/>
      <c r="M193" s="306"/>
    </row>
    <row r="194" spans="2:13" ht="78" customHeight="1" x14ac:dyDescent="0.2">
      <c r="B194" s="34"/>
      <c r="C194" s="94"/>
      <c r="D194" s="306"/>
      <c r="E194" s="306"/>
      <c r="F194" s="306"/>
      <c r="G194" s="306"/>
      <c r="H194" s="306"/>
      <c r="I194" s="306"/>
      <c r="J194" s="306"/>
      <c r="K194" s="306"/>
      <c r="L194" s="306"/>
      <c r="M194" s="306"/>
    </row>
    <row r="195" spans="2:13" ht="78" customHeight="1" x14ac:dyDescent="0.2">
      <c r="B195" s="34"/>
      <c r="C195" s="94"/>
      <c r="D195" s="306"/>
      <c r="E195" s="306"/>
      <c r="F195" s="306"/>
      <c r="G195" s="306"/>
      <c r="H195" s="306"/>
      <c r="I195" s="306"/>
      <c r="J195" s="306"/>
      <c r="K195" s="306"/>
      <c r="L195" s="306"/>
      <c r="M195" s="306"/>
    </row>
    <row r="196" spans="2:13" ht="78" customHeight="1" x14ac:dyDescent="0.2">
      <c r="B196" s="34"/>
      <c r="C196" s="94"/>
      <c r="D196" s="306"/>
      <c r="E196" s="306"/>
      <c r="F196" s="306"/>
      <c r="G196" s="306"/>
      <c r="H196" s="306"/>
      <c r="I196" s="306"/>
      <c r="J196" s="306"/>
      <c r="K196" s="306"/>
      <c r="L196" s="306"/>
      <c r="M196" s="306"/>
    </row>
    <row r="197" spans="2:13" ht="78" customHeight="1" x14ac:dyDescent="0.2">
      <c r="B197" s="34"/>
      <c r="C197" s="94"/>
      <c r="D197" s="306"/>
      <c r="E197" s="306"/>
      <c r="F197" s="306"/>
      <c r="G197" s="306"/>
      <c r="H197" s="306"/>
      <c r="I197" s="306"/>
      <c r="J197" s="306"/>
      <c r="K197" s="306"/>
      <c r="L197" s="306"/>
      <c r="M197" s="306"/>
    </row>
    <row r="198" spans="2:13" ht="78" customHeight="1" x14ac:dyDescent="0.2">
      <c r="B198" s="34"/>
      <c r="C198" s="94"/>
      <c r="D198" s="306"/>
      <c r="E198" s="306"/>
      <c r="F198" s="306"/>
      <c r="G198" s="306"/>
      <c r="H198" s="306"/>
      <c r="I198" s="306"/>
      <c r="J198" s="306"/>
      <c r="K198" s="306"/>
      <c r="L198" s="306"/>
      <c r="M198" s="306"/>
    </row>
    <row r="199" spans="2:13" ht="78" customHeight="1" x14ac:dyDescent="0.2">
      <c r="B199" s="34"/>
      <c r="C199" s="94"/>
      <c r="D199" s="306"/>
      <c r="E199" s="306"/>
      <c r="F199" s="306"/>
      <c r="G199" s="306"/>
      <c r="H199" s="306"/>
      <c r="I199" s="306"/>
      <c r="J199" s="306"/>
      <c r="K199" s="306"/>
      <c r="L199" s="306"/>
      <c r="M199" s="306"/>
    </row>
    <row r="200" spans="2:13" ht="78" customHeight="1" x14ac:dyDescent="0.2">
      <c r="B200" s="34"/>
      <c r="C200" s="94"/>
      <c r="D200" s="306"/>
      <c r="E200" s="306"/>
      <c r="F200" s="306"/>
      <c r="G200" s="306"/>
      <c r="H200" s="306"/>
      <c r="I200" s="306"/>
      <c r="J200" s="306"/>
      <c r="K200" s="306"/>
      <c r="L200" s="306"/>
      <c r="M200" s="306"/>
    </row>
    <row r="201" spans="2:13" ht="78" customHeight="1" x14ac:dyDescent="0.2">
      <c r="B201" s="34"/>
      <c r="C201" s="94"/>
      <c r="D201" s="306"/>
      <c r="E201" s="306"/>
      <c r="F201" s="306"/>
      <c r="G201" s="306"/>
      <c r="H201" s="306"/>
      <c r="I201" s="306"/>
      <c r="J201" s="306"/>
      <c r="K201" s="306"/>
      <c r="L201" s="306"/>
      <c r="M201" s="306"/>
    </row>
    <row r="202" spans="2:13" ht="78" customHeight="1" x14ac:dyDescent="0.2">
      <c r="B202" s="34"/>
      <c r="C202" s="94"/>
      <c r="D202" s="306"/>
      <c r="E202" s="306"/>
      <c r="F202" s="306"/>
      <c r="G202" s="306"/>
      <c r="H202" s="306"/>
      <c r="I202" s="306"/>
      <c r="J202" s="306"/>
      <c r="K202" s="306"/>
      <c r="L202" s="306"/>
      <c r="M202" s="306"/>
    </row>
    <row r="203" spans="2:13" ht="78" customHeight="1" x14ac:dyDescent="0.2">
      <c r="B203" s="34"/>
      <c r="C203" s="94"/>
      <c r="D203" s="306"/>
      <c r="E203" s="306"/>
      <c r="F203" s="306"/>
      <c r="G203" s="306"/>
      <c r="H203" s="306"/>
      <c r="I203" s="306"/>
      <c r="J203" s="306"/>
      <c r="K203" s="306"/>
      <c r="L203" s="306"/>
      <c r="M203" s="306"/>
    </row>
    <row r="204" spans="2:13" ht="78" customHeight="1" x14ac:dyDescent="0.2">
      <c r="B204" s="34"/>
      <c r="C204" s="94"/>
      <c r="D204" s="306"/>
      <c r="E204" s="306"/>
      <c r="F204" s="306"/>
      <c r="G204" s="306"/>
      <c r="H204" s="306"/>
      <c r="I204" s="306"/>
      <c r="J204" s="306"/>
      <c r="K204" s="306"/>
      <c r="L204" s="306"/>
      <c r="M204" s="306"/>
    </row>
    <row r="205" spans="2:13" ht="78" customHeight="1" x14ac:dyDescent="0.2">
      <c r="B205" s="34"/>
      <c r="C205" s="94"/>
      <c r="D205" s="306"/>
      <c r="E205" s="306"/>
      <c r="F205" s="306"/>
      <c r="G205" s="306"/>
      <c r="H205" s="306"/>
      <c r="I205" s="306"/>
      <c r="J205" s="306"/>
      <c r="K205" s="306"/>
      <c r="L205" s="306"/>
      <c r="M205" s="306"/>
    </row>
    <row r="206" spans="2:13" ht="78" customHeight="1" x14ac:dyDescent="0.2">
      <c r="B206" s="34"/>
      <c r="C206" s="94"/>
      <c r="D206" s="306"/>
      <c r="E206" s="306"/>
      <c r="F206" s="306"/>
      <c r="G206" s="306"/>
      <c r="H206" s="306"/>
      <c r="I206" s="306"/>
      <c r="J206" s="306"/>
      <c r="K206" s="306"/>
      <c r="L206" s="306"/>
      <c r="M206" s="306"/>
    </row>
    <row r="207" spans="2:13" ht="78" customHeight="1" x14ac:dyDescent="0.2">
      <c r="B207" s="34"/>
      <c r="C207" s="94"/>
      <c r="D207" s="306"/>
      <c r="E207" s="306"/>
      <c r="F207" s="306"/>
      <c r="G207" s="306"/>
      <c r="H207" s="306"/>
      <c r="I207" s="306"/>
      <c r="J207" s="306"/>
      <c r="K207" s="306"/>
      <c r="L207" s="306"/>
      <c r="M207" s="306"/>
    </row>
    <row r="208" spans="2:13" ht="78" customHeight="1" x14ac:dyDescent="0.2">
      <c r="B208" s="34"/>
      <c r="C208" s="94"/>
      <c r="D208" s="306"/>
      <c r="E208" s="306"/>
      <c r="F208" s="306"/>
      <c r="G208" s="306"/>
      <c r="H208" s="306"/>
      <c r="I208" s="306"/>
      <c r="J208" s="306"/>
      <c r="K208" s="306"/>
      <c r="L208" s="306"/>
      <c r="M208" s="306"/>
    </row>
    <row r="209" spans="2:13" ht="78" customHeight="1" x14ac:dyDescent="0.2">
      <c r="B209" s="34"/>
      <c r="C209" s="94"/>
      <c r="D209" s="306"/>
      <c r="E209" s="306"/>
      <c r="F209" s="306"/>
      <c r="G209" s="306"/>
      <c r="H209" s="306"/>
      <c r="I209" s="306"/>
      <c r="J209" s="306"/>
      <c r="K209" s="306"/>
      <c r="L209" s="306"/>
      <c r="M209" s="306"/>
    </row>
    <row r="210" spans="2:13" ht="78" customHeight="1" x14ac:dyDescent="0.2">
      <c r="B210" s="34"/>
      <c r="C210" s="94"/>
      <c r="D210" s="306"/>
      <c r="E210" s="306"/>
      <c r="F210" s="306"/>
      <c r="G210" s="306"/>
      <c r="H210" s="306"/>
      <c r="I210" s="306"/>
      <c r="J210" s="306"/>
      <c r="K210" s="306"/>
      <c r="L210" s="306"/>
      <c r="M210" s="306"/>
    </row>
    <row r="211" spans="2:13" ht="78" customHeight="1" x14ac:dyDescent="0.2">
      <c r="B211" s="34"/>
      <c r="C211" s="94"/>
      <c r="D211" s="306"/>
      <c r="E211" s="306"/>
      <c r="F211" s="306"/>
      <c r="G211" s="306"/>
      <c r="H211" s="306"/>
      <c r="I211" s="306"/>
      <c r="J211" s="306"/>
      <c r="K211" s="306"/>
      <c r="L211" s="306"/>
      <c r="M211" s="306"/>
    </row>
    <row r="212" spans="2:13" ht="78" customHeight="1" x14ac:dyDescent="0.2">
      <c r="B212" s="34"/>
      <c r="C212" s="94"/>
      <c r="D212" s="306"/>
      <c r="E212" s="306"/>
      <c r="F212" s="306"/>
      <c r="G212" s="306"/>
      <c r="H212" s="306"/>
      <c r="I212" s="306"/>
      <c r="J212" s="306"/>
      <c r="K212" s="306"/>
      <c r="L212" s="306"/>
      <c r="M212" s="306"/>
    </row>
    <row r="213" spans="2:13" ht="78" customHeight="1" x14ac:dyDescent="0.2">
      <c r="B213" s="34"/>
      <c r="C213" s="94"/>
      <c r="D213" s="306"/>
      <c r="E213" s="306"/>
      <c r="F213" s="306"/>
      <c r="G213" s="306"/>
      <c r="H213" s="306"/>
      <c r="I213" s="306"/>
      <c r="J213" s="306"/>
      <c r="K213" s="306"/>
      <c r="L213" s="306"/>
      <c r="M213" s="306"/>
    </row>
    <row r="214" spans="2:13" ht="78" customHeight="1" x14ac:dyDescent="0.2">
      <c r="B214" s="34"/>
      <c r="C214" s="94"/>
      <c r="D214" s="306"/>
      <c r="E214" s="306"/>
      <c r="F214" s="306"/>
      <c r="G214" s="306"/>
      <c r="H214" s="306"/>
      <c r="I214" s="306"/>
      <c r="J214" s="306"/>
      <c r="K214" s="306"/>
      <c r="L214" s="306"/>
      <c r="M214" s="306"/>
    </row>
    <row r="215" spans="2:13" ht="78" customHeight="1" x14ac:dyDescent="0.2">
      <c r="B215" s="34"/>
      <c r="C215" s="94"/>
      <c r="D215" s="306"/>
      <c r="E215" s="306"/>
      <c r="F215" s="306"/>
      <c r="G215" s="306"/>
      <c r="H215" s="306"/>
      <c r="I215" s="306"/>
      <c r="J215" s="306"/>
      <c r="K215" s="306"/>
      <c r="L215" s="306"/>
      <c r="M215" s="306"/>
    </row>
    <row r="216" spans="2:13" ht="78" customHeight="1" x14ac:dyDescent="0.2">
      <c r="B216" s="34"/>
      <c r="C216" s="94"/>
      <c r="D216" s="306"/>
      <c r="E216" s="306"/>
      <c r="F216" s="306"/>
      <c r="G216" s="306"/>
      <c r="H216" s="306"/>
      <c r="I216" s="306"/>
      <c r="J216" s="306"/>
      <c r="K216" s="306"/>
      <c r="L216" s="306"/>
      <c r="M216" s="306"/>
    </row>
    <row r="217" spans="2:13" ht="78" customHeight="1" x14ac:dyDescent="0.2">
      <c r="B217" s="34"/>
      <c r="C217" s="94"/>
      <c r="D217" s="306"/>
      <c r="E217" s="306"/>
      <c r="F217" s="306"/>
      <c r="G217" s="306"/>
      <c r="H217" s="306"/>
      <c r="I217" s="306"/>
      <c r="J217" s="306"/>
      <c r="K217" s="306"/>
      <c r="L217" s="306"/>
      <c r="M217" s="306"/>
    </row>
    <row r="218" spans="2:13" ht="78" customHeight="1" x14ac:dyDescent="0.2">
      <c r="B218" s="34"/>
      <c r="C218" s="94"/>
      <c r="D218" s="306"/>
      <c r="E218" s="306"/>
      <c r="F218" s="306"/>
      <c r="G218" s="306"/>
      <c r="H218" s="306"/>
      <c r="I218" s="306"/>
      <c r="J218" s="306"/>
      <c r="K218" s="306"/>
      <c r="L218" s="306"/>
      <c r="M218" s="306"/>
    </row>
    <row r="219" spans="2:13" ht="78" customHeight="1" x14ac:dyDescent="0.2">
      <c r="B219" s="34"/>
      <c r="C219" s="94"/>
      <c r="D219" s="306"/>
      <c r="E219" s="306"/>
      <c r="F219" s="306"/>
      <c r="G219" s="306"/>
      <c r="H219" s="306"/>
      <c r="I219" s="306"/>
      <c r="J219" s="306"/>
      <c r="K219" s="306"/>
      <c r="L219" s="306"/>
      <c r="M219" s="306"/>
    </row>
    <row r="220" spans="2:13" ht="78" customHeight="1" x14ac:dyDescent="0.2">
      <c r="B220" s="34"/>
      <c r="C220" s="94"/>
      <c r="D220" s="306"/>
      <c r="E220" s="306"/>
      <c r="F220" s="306"/>
      <c r="G220" s="306"/>
      <c r="H220" s="306"/>
      <c r="I220" s="306"/>
      <c r="J220" s="306"/>
      <c r="K220" s="306"/>
      <c r="L220" s="306"/>
      <c r="M220" s="306"/>
    </row>
    <row r="221" spans="2:13" ht="78" customHeight="1" x14ac:dyDescent="0.2">
      <c r="B221" s="34"/>
      <c r="C221" s="94"/>
      <c r="D221" s="306"/>
      <c r="E221" s="306"/>
      <c r="F221" s="306"/>
      <c r="G221" s="306"/>
      <c r="H221" s="306"/>
      <c r="I221" s="306"/>
      <c r="J221" s="306"/>
      <c r="K221" s="306"/>
      <c r="L221" s="306"/>
      <c r="M221" s="306"/>
    </row>
    <row r="222" spans="2:13" ht="78" customHeight="1" x14ac:dyDescent="0.2">
      <c r="B222" s="34"/>
      <c r="C222" s="94"/>
      <c r="D222" s="306"/>
      <c r="E222" s="306"/>
      <c r="F222" s="306"/>
      <c r="G222" s="306"/>
      <c r="H222" s="306"/>
      <c r="I222" s="306"/>
      <c r="J222" s="306"/>
      <c r="K222" s="306"/>
      <c r="L222" s="306"/>
      <c r="M222" s="306"/>
    </row>
    <row r="223" spans="2:13" ht="78" customHeight="1" x14ac:dyDescent="0.2">
      <c r="B223" s="34"/>
      <c r="C223" s="94"/>
      <c r="D223" s="306"/>
      <c r="E223" s="306"/>
      <c r="F223" s="306"/>
      <c r="G223" s="306"/>
      <c r="H223" s="306"/>
      <c r="I223" s="306"/>
      <c r="J223" s="306"/>
      <c r="K223" s="306"/>
      <c r="L223" s="306"/>
      <c r="M223" s="306"/>
    </row>
    <row r="224" spans="2:13" ht="78" customHeight="1" x14ac:dyDescent="0.2">
      <c r="B224" s="34"/>
      <c r="C224" s="94"/>
      <c r="D224" s="306"/>
      <c r="E224" s="306"/>
      <c r="F224" s="306"/>
      <c r="G224" s="306"/>
      <c r="H224" s="306"/>
      <c r="I224" s="306"/>
      <c r="J224" s="306"/>
      <c r="K224" s="306"/>
      <c r="L224" s="306"/>
      <c r="M224" s="306"/>
    </row>
    <row r="225" spans="2:13" ht="78" customHeight="1" x14ac:dyDescent="0.2">
      <c r="B225" s="34"/>
      <c r="C225" s="94"/>
      <c r="D225" s="306"/>
      <c r="E225" s="306"/>
      <c r="F225" s="306"/>
      <c r="G225" s="306"/>
      <c r="H225" s="306"/>
      <c r="I225" s="306"/>
      <c r="J225" s="306"/>
      <c r="K225" s="306"/>
      <c r="L225" s="306"/>
      <c r="M225" s="306"/>
    </row>
    <row r="226" spans="2:13" ht="78" customHeight="1" x14ac:dyDescent="0.2">
      <c r="B226" s="34"/>
      <c r="C226" s="94"/>
      <c r="D226" s="306"/>
      <c r="E226" s="306"/>
      <c r="F226" s="306"/>
      <c r="G226" s="306"/>
      <c r="H226" s="306"/>
      <c r="I226" s="306"/>
      <c r="J226" s="306"/>
      <c r="K226" s="306"/>
      <c r="L226" s="306"/>
      <c r="M226" s="306"/>
    </row>
    <row r="227" spans="2:13" ht="78" customHeight="1" x14ac:dyDescent="0.2">
      <c r="B227" s="34"/>
      <c r="C227" s="94"/>
      <c r="D227" s="306"/>
      <c r="E227" s="306"/>
      <c r="F227" s="306"/>
      <c r="G227" s="306"/>
      <c r="H227" s="306"/>
      <c r="I227" s="306"/>
      <c r="J227" s="306"/>
      <c r="K227" s="306"/>
      <c r="L227" s="306"/>
      <c r="M227" s="306"/>
    </row>
    <row r="228" spans="2:13" ht="78" customHeight="1" x14ac:dyDescent="0.2">
      <c r="B228" s="34"/>
      <c r="C228" s="94"/>
      <c r="D228" s="306"/>
      <c r="E228" s="306"/>
      <c r="F228" s="306"/>
      <c r="G228" s="306"/>
      <c r="H228" s="306"/>
      <c r="I228" s="306"/>
      <c r="J228" s="306"/>
      <c r="K228" s="306"/>
      <c r="L228" s="306"/>
      <c r="M228" s="306"/>
    </row>
    <row r="229" spans="2:13" ht="78" customHeight="1" x14ac:dyDescent="0.2">
      <c r="B229" s="34"/>
      <c r="C229" s="94"/>
      <c r="D229" s="306"/>
      <c r="E229" s="306"/>
      <c r="F229" s="306"/>
      <c r="G229" s="306"/>
      <c r="H229" s="306"/>
      <c r="I229" s="306"/>
      <c r="J229" s="306"/>
      <c r="K229" s="306"/>
      <c r="L229" s="306"/>
      <c r="M229" s="306"/>
    </row>
    <row r="230" spans="2:13" ht="78" customHeight="1" x14ac:dyDescent="0.2">
      <c r="B230" s="34"/>
      <c r="C230" s="94"/>
      <c r="D230" s="306"/>
      <c r="E230" s="306"/>
      <c r="F230" s="306"/>
      <c r="G230" s="306"/>
      <c r="H230" s="306"/>
      <c r="I230" s="306"/>
      <c r="J230" s="306"/>
      <c r="K230" s="306"/>
      <c r="L230" s="306"/>
      <c r="M230" s="306"/>
    </row>
    <row r="231" spans="2:13" ht="78" customHeight="1" x14ac:dyDescent="0.2">
      <c r="B231" s="34"/>
      <c r="C231" s="94"/>
      <c r="D231" s="306"/>
      <c r="E231" s="306"/>
      <c r="F231" s="306"/>
      <c r="G231" s="306"/>
      <c r="H231" s="306"/>
      <c r="I231" s="306"/>
      <c r="J231" s="306"/>
      <c r="K231" s="306"/>
      <c r="L231" s="306"/>
      <c r="M231" s="306"/>
    </row>
    <row r="232" spans="2:13" ht="78" customHeight="1" x14ac:dyDescent="0.2">
      <c r="B232" s="34"/>
      <c r="C232" s="94"/>
      <c r="D232" s="306"/>
      <c r="E232" s="306"/>
      <c r="F232" s="306"/>
      <c r="G232" s="306"/>
      <c r="H232" s="306"/>
      <c r="I232" s="306"/>
      <c r="J232" s="306"/>
      <c r="K232" s="306"/>
      <c r="L232" s="306"/>
      <c r="M232" s="306"/>
    </row>
    <row r="233" spans="2:13" ht="78" customHeight="1" x14ac:dyDescent="0.2">
      <c r="B233" s="34"/>
      <c r="C233" s="94"/>
      <c r="D233" s="306"/>
      <c r="E233" s="306"/>
      <c r="F233" s="306"/>
      <c r="G233" s="306"/>
      <c r="H233" s="306"/>
      <c r="I233" s="306"/>
      <c r="J233" s="306"/>
      <c r="K233" s="306"/>
      <c r="L233" s="306"/>
      <c r="M233" s="306"/>
    </row>
    <row r="234" spans="2:13" ht="78" customHeight="1" x14ac:dyDescent="0.2">
      <c r="B234" s="34"/>
      <c r="C234" s="94"/>
      <c r="D234" s="306"/>
      <c r="E234" s="306"/>
      <c r="F234" s="306"/>
      <c r="G234" s="306"/>
      <c r="H234" s="306"/>
      <c r="I234" s="306"/>
      <c r="J234" s="306"/>
      <c r="K234" s="306"/>
      <c r="L234" s="306"/>
      <c r="M234" s="306"/>
    </row>
    <row r="235" spans="2:13" ht="78" customHeight="1" x14ac:dyDescent="0.2">
      <c r="B235" s="34"/>
      <c r="C235" s="94"/>
      <c r="D235" s="306"/>
      <c r="E235" s="306"/>
      <c r="F235" s="306"/>
      <c r="G235" s="306"/>
      <c r="H235" s="306"/>
      <c r="I235" s="306"/>
      <c r="J235" s="306"/>
      <c r="K235" s="306"/>
      <c r="L235" s="306"/>
      <c r="M235" s="306"/>
    </row>
    <row r="236" spans="2:13" ht="78" customHeight="1" x14ac:dyDescent="0.2">
      <c r="B236" s="34"/>
      <c r="C236" s="94"/>
      <c r="D236" s="306"/>
      <c r="E236" s="306"/>
      <c r="F236" s="306"/>
      <c r="G236" s="306"/>
      <c r="H236" s="306"/>
      <c r="I236" s="306"/>
      <c r="J236" s="306"/>
      <c r="K236" s="306"/>
      <c r="L236" s="306"/>
      <c r="M236" s="306"/>
    </row>
    <row r="237" spans="2:13" ht="78" customHeight="1" x14ac:dyDescent="0.2">
      <c r="B237" s="34"/>
      <c r="C237" s="94"/>
      <c r="D237" s="306"/>
      <c r="E237" s="306"/>
      <c r="F237" s="306"/>
      <c r="G237" s="306"/>
      <c r="H237" s="306"/>
      <c r="I237" s="306"/>
      <c r="J237" s="306"/>
      <c r="K237" s="306"/>
      <c r="L237" s="306"/>
      <c r="M237" s="306"/>
    </row>
    <row r="238" spans="2:13" ht="78" customHeight="1" x14ac:dyDescent="0.2">
      <c r="B238" s="34"/>
      <c r="C238" s="94"/>
      <c r="D238" s="306"/>
      <c r="E238" s="306"/>
      <c r="F238" s="306"/>
      <c r="G238" s="306"/>
      <c r="H238" s="306"/>
      <c r="I238" s="306"/>
      <c r="J238" s="306"/>
      <c r="K238" s="306"/>
      <c r="L238" s="306"/>
      <c r="M238" s="306"/>
    </row>
    <row r="239" spans="2:13" ht="78" customHeight="1" x14ac:dyDescent="0.2">
      <c r="B239" s="34"/>
      <c r="C239" s="94"/>
      <c r="D239" s="306"/>
      <c r="E239" s="306"/>
      <c r="F239" s="306"/>
      <c r="G239" s="306"/>
      <c r="H239" s="306"/>
      <c r="I239" s="306"/>
      <c r="J239" s="306"/>
      <c r="K239" s="306"/>
      <c r="L239" s="306"/>
      <c r="M239" s="306"/>
    </row>
    <row r="240" spans="2:13" ht="78" customHeight="1" x14ac:dyDescent="0.2">
      <c r="B240" s="34"/>
      <c r="C240" s="94"/>
      <c r="D240" s="306"/>
      <c r="E240" s="306"/>
      <c r="F240" s="306"/>
      <c r="G240" s="306"/>
      <c r="H240" s="306"/>
      <c r="I240" s="306"/>
      <c r="J240" s="306"/>
      <c r="K240" s="306"/>
      <c r="L240" s="306"/>
      <c r="M240" s="306"/>
    </row>
    <row r="241" spans="2:13" ht="78" customHeight="1" x14ac:dyDescent="0.2">
      <c r="B241" s="34"/>
      <c r="C241" s="94"/>
      <c r="D241" s="306"/>
      <c r="E241" s="306"/>
      <c r="F241" s="306"/>
      <c r="G241" s="306"/>
      <c r="H241" s="306"/>
      <c r="I241" s="306"/>
      <c r="J241" s="306"/>
      <c r="K241" s="306"/>
      <c r="L241" s="306"/>
      <c r="M241" s="306"/>
    </row>
    <row r="242" spans="2:13" ht="78" customHeight="1" x14ac:dyDescent="0.2">
      <c r="B242" s="34"/>
      <c r="C242" s="94"/>
      <c r="D242" s="306"/>
      <c r="E242" s="306"/>
      <c r="F242" s="306"/>
      <c r="G242" s="306"/>
      <c r="H242" s="306"/>
      <c r="I242" s="306"/>
      <c r="J242" s="306"/>
      <c r="K242" s="306"/>
      <c r="L242" s="306"/>
      <c r="M242" s="306"/>
    </row>
    <row r="243" spans="2:13" ht="78" customHeight="1" x14ac:dyDescent="0.2">
      <c r="B243" s="34"/>
      <c r="C243" s="94"/>
      <c r="D243" s="306"/>
      <c r="E243" s="306"/>
      <c r="F243" s="306"/>
      <c r="G243" s="306"/>
      <c r="H243" s="306"/>
      <c r="I243" s="306"/>
      <c r="J243" s="306"/>
      <c r="K243" s="306"/>
      <c r="L243" s="306"/>
      <c r="M243" s="306"/>
    </row>
    <row r="244" spans="2:13" ht="78" customHeight="1" x14ac:dyDescent="0.2">
      <c r="B244" s="34"/>
      <c r="C244" s="94"/>
      <c r="D244" s="306"/>
      <c r="E244" s="306"/>
      <c r="F244" s="306"/>
      <c r="G244" s="306"/>
      <c r="H244" s="306"/>
      <c r="I244" s="306"/>
      <c r="J244" s="306"/>
      <c r="K244" s="306"/>
      <c r="L244" s="306"/>
      <c r="M244" s="306"/>
    </row>
    <row r="245" spans="2:13" ht="78" customHeight="1" x14ac:dyDescent="0.2">
      <c r="B245" s="34"/>
      <c r="C245" s="94"/>
      <c r="D245" s="306"/>
      <c r="E245" s="306"/>
      <c r="F245" s="306"/>
      <c r="G245" s="306"/>
      <c r="H245" s="306"/>
      <c r="I245" s="306"/>
      <c r="J245" s="306"/>
      <c r="K245" s="306"/>
      <c r="L245" s="306"/>
      <c r="M245" s="306"/>
    </row>
    <row r="246" spans="2:13" ht="78" customHeight="1" x14ac:dyDescent="0.2">
      <c r="B246" s="34"/>
      <c r="C246" s="94"/>
      <c r="D246" s="306"/>
      <c r="E246" s="306"/>
      <c r="F246" s="306"/>
      <c r="G246" s="306"/>
      <c r="H246" s="306"/>
      <c r="I246" s="306"/>
      <c r="J246" s="306"/>
      <c r="K246" s="306"/>
      <c r="L246" s="306"/>
      <c r="M246" s="306"/>
    </row>
    <row r="247" spans="2:13" ht="78" customHeight="1" x14ac:dyDescent="0.2">
      <c r="B247" s="34"/>
      <c r="C247" s="94"/>
      <c r="D247" s="306"/>
      <c r="E247" s="306"/>
      <c r="F247" s="306"/>
      <c r="G247" s="306"/>
      <c r="H247" s="306"/>
      <c r="I247" s="306"/>
      <c r="J247" s="306"/>
      <c r="K247" s="306"/>
      <c r="L247" s="306"/>
      <c r="M247" s="306"/>
    </row>
    <row r="248" spans="2:13" ht="78" customHeight="1" x14ac:dyDescent="0.2">
      <c r="B248" s="34"/>
      <c r="C248" s="94"/>
      <c r="D248" s="306"/>
      <c r="E248" s="306"/>
      <c r="F248" s="306"/>
      <c r="G248" s="306"/>
      <c r="H248" s="306"/>
      <c r="I248" s="306"/>
      <c r="J248" s="306"/>
      <c r="K248" s="306"/>
      <c r="L248" s="306"/>
      <c r="M248" s="306"/>
    </row>
    <row r="249" spans="2:13" ht="78" customHeight="1" x14ac:dyDescent="0.2">
      <c r="B249" s="34"/>
      <c r="C249" s="94"/>
      <c r="D249" s="306"/>
      <c r="E249" s="306"/>
      <c r="F249" s="306"/>
      <c r="G249" s="306"/>
      <c r="H249" s="306"/>
      <c r="I249" s="306"/>
      <c r="J249" s="306"/>
      <c r="K249" s="306"/>
      <c r="L249" s="306"/>
      <c r="M249" s="306"/>
    </row>
    <row r="250" spans="2:13" ht="78" customHeight="1" x14ac:dyDescent="0.2">
      <c r="B250" s="34"/>
      <c r="C250" s="94"/>
      <c r="D250" s="306"/>
      <c r="E250" s="306"/>
      <c r="F250" s="306"/>
      <c r="G250" s="306"/>
      <c r="H250" s="306"/>
      <c r="I250" s="306"/>
      <c r="J250" s="306"/>
      <c r="K250" s="306"/>
      <c r="L250" s="306"/>
      <c r="M250" s="306"/>
    </row>
    <row r="251" spans="2:13" ht="78" customHeight="1" x14ac:dyDescent="0.2">
      <c r="B251" s="34"/>
      <c r="C251" s="94"/>
      <c r="D251" s="306"/>
      <c r="E251" s="306"/>
      <c r="F251" s="306"/>
      <c r="G251" s="306"/>
      <c r="H251" s="306"/>
      <c r="I251" s="306"/>
      <c r="J251" s="306"/>
      <c r="K251" s="306"/>
      <c r="L251" s="306"/>
      <c r="M251" s="306"/>
    </row>
    <row r="252" spans="2:13" ht="78" customHeight="1" x14ac:dyDescent="0.2">
      <c r="B252" s="34"/>
      <c r="C252" s="94"/>
      <c r="D252" s="306"/>
      <c r="E252" s="306"/>
      <c r="F252" s="306"/>
      <c r="G252" s="306"/>
      <c r="H252" s="306"/>
      <c r="I252" s="306"/>
      <c r="J252" s="306"/>
      <c r="K252" s="306"/>
      <c r="L252" s="306"/>
      <c r="M252" s="306"/>
    </row>
    <row r="253" spans="2:13" ht="78" customHeight="1" x14ac:dyDescent="0.2">
      <c r="B253" s="34"/>
      <c r="C253" s="94"/>
      <c r="D253" s="306"/>
      <c r="E253" s="306"/>
      <c r="F253" s="306"/>
      <c r="G253" s="306"/>
      <c r="H253" s="306"/>
      <c r="I253" s="306"/>
      <c r="J253" s="306"/>
      <c r="K253" s="306"/>
      <c r="L253" s="306"/>
      <c r="M253" s="306"/>
    </row>
    <row r="254" spans="2:13" ht="78" customHeight="1" x14ac:dyDescent="0.2">
      <c r="B254" s="34"/>
      <c r="C254" s="94"/>
      <c r="D254" s="306"/>
      <c r="E254" s="306"/>
      <c r="F254" s="306"/>
      <c r="G254" s="306"/>
      <c r="H254" s="306"/>
      <c r="I254" s="306"/>
      <c r="J254" s="306"/>
      <c r="K254" s="306"/>
      <c r="L254" s="306"/>
      <c r="M254" s="306"/>
    </row>
    <row r="255" spans="2:13" ht="78" customHeight="1" x14ac:dyDescent="0.2">
      <c r="B255" s="34"/>
      <c r="C255" s="94"/>
      <c r="D255" s="306"/>
      <c r="E255" s="306"/>
      <c r="F255" s="306"/>
      <c r="G255" s="306"/>
      <c r="H255" s="306"/>
      <c r="I255" s="306"/>
      <c r="J255" s="306"/>
      <c r="K255" s="306"/>
      <c r="L255" s="306"/>
      <c r="M255" s="306"/>
    </row>
    <row r="256" spans="2:13" ht="78" customHeight="1" x14ac:dyDescent="0.2">
      <c r="B256" s="34"/>
      <c r="C256" s="94"/>
      <c r="D256" s="306"/>
      <c r="E256" s="306"/>
      <c r="F256" s="306"/>
      <c r="G256" s="306"/>
      <c r="H256" s="306"/>
      <c r="I256" s="306"/>
      <c r="J256" s="306"/>
      <c r="K256" s="306"/>
      <c r="L256" s="306"/>
      <c r="M256" s="306"/>
    </row>
    <row r="257" spans="2:13" ht="78" customHeight="1" x14ac:dyDescent="0.2">
      <c r="B257" s="34"/>
      <c r="C257" s="94"/>
      <c r="D257" s="306"/>
      <c r="E257" s="306"/>
      <c r="F257" s="306"/>
      <c r="G257" s="306"/>
      <c r="H257" s="306"/>
      <c r="I257" s="306"/>
      <c r="J257" s="306"/>
      <c r="K257" s="306"/>
      <c r="L257" s="306"/>
      <c r="M257" s="306"/>
    </row>
    <row r="258" spans="2:13" ht="78" customHeight="1" x14ac:dyDescent="0.2">
      <c r="B258" s="34"/>
      <c r="C258" s="94"/>
      <c r="D258" s="306"/>
      <c r="E258" s="306"/>
      <c r="F258" s="306"/>
      <c r="G258" s="306"/>
      <c r="H258" s="306"/>
      <c r="I258" s="306"/>
      <c r="J258" s="306"/>
      <c r="K258" s="306"/>
      <c r="L258" s="306"/>
      <c r="M258" s="306"/>
    </row>
    <row r="259" spans="2:13" ht="78" customHeight="1" x14ac:dyDescent="0.2">
      <c r="B259" s="34"/>
      <c r="C259" s="94"/>
      <c r="D259" s="306"/>
      <c r="E259" s="306"/>
      <c r="F259" s="306"/>
      <c r="G259" s="306"/>
      <c r="H259" s="306"/>
      <c r="I259" s="306"/>
      <c r="J259" s="306"/>
      <c r="K259" s="306"/>
      <c r="L259" s="306"/>
      <c r="M259" s="306"/>
    </row>
    <row r="260" spans="2:13" ht="78" customHeight="1" x14ac:dyDescent="0.2">
      <c r="B260" s="34"/>
      <c r="C260" s="94"/>
      <c r="D260" s="306"/>
      <c r="E260" s="306"/>
      <c r="F260" s="306"/>
      <c r="G260" s="306"/>
      <c r="H260" s="306"/>
      <c r="I260" s="306"/>
      <c r="J260" s="306"/>
      <c r="K260" s="306"/>
      <c r="L260" s="306"/>
      <c r="M260" s="306"/>
    </row>
    <row r="261" spans="2:13" ht="78" customHeight="1" x14ac:dyDescent="0.2">
      <c r="B261" s="34"/>
      <c r="C261" s="94"/>
      <c r="D261" s="306"/>
      <c r="E261" s="306"/>
      <c r="F261" s="306"/>
      <c r="G261" s="306"/>
      <c r="H261" s="306"/>
      <c r="I261" s="306"/>
      <c r="J261" s="306"/>
      <c r="K261" s="306"/>
      <c r="L261" s="306"/>
      <c r="M261" s="306"/>
    </row>
    <row r="262" spans="2:13" ht="78" customHeight="1" x14ac:dyDescent="0.2">
      <c r="B262" s="34"/>
      <c r="C262" s="94"/>
      <c r="D262" s="306"/>
      <c r="E262" s="306"/>
      <c r="F262" s="306"/>
      <c r="G262" s="306"/>
      <c r="H262" s="306"/>
      <c r="I262" s="306"/>
      <c r="J262" s="306"/>
      <c r="K262" s="306"/>
      <c r="L262" s="306"/>
      <c r="M262" s="306"/>
    </row>
    <row r="263" spans="2:13" ht="78" customHeight="1" x14ac:dyDescent="0.2">
      <c r="B263" s="34"/>
      <c r="C263" s="94"/>
      <c r="D263" s="306"/>
      <c r="E263" s="306"/>
      <c r="F263" s="306"/>
      <c r="G263" s="306"/>
      <c r="H263" s="306"/>
      <c r="I263" s="306"/>
      <c r="J263" s="306"/>
      <c r="K263" s="306"/>
      <c r="L263" s="306"/>
      <c r="M263" s="306"/>
    </row>
    <row r="264" spans="2:13" ht="78" customHeight="1" x14ac:dyDescent="0.2">
      <c r="B264" s="34"/>
      <c r="C264" s="94"/>
      <c r="D264" s="306"/>
      <c r="E264" s="306"/>
      <c r="F264" s="306"/>
      <c r="G264" s="306"/>
      <c r="H264" s="306"/>
      <c r="I264" s="306"/>
      <c r="J264" s="306"/>
      <c r="K264" s="306"/>
      <c r="L264" s="306"/>
      <c r="M264" s="306"/>
    </row>
    <row r="265" spans="2:13" ht="78" customHeight="1" x14ac:dyDescent="0.2">
      <c r="B265" s="34"/>
      <c r="C265" s="94"/>
      <c r="D265" s="306"/>
      <c r="E265" s="306"/>
      <c r="F265" s="306"/>
      <c r="G265" s="306"/>
      <c r="H265" s="306"/>
      <c r="I265" s="306"/>
      <c r="J265" s="306"/>
      <c r="K265" s="306"/>
      <c r="L265" s="306"/>
      <c r="M265" s="306"/>
    </row>
    <row r="266" spans="2:13" ht="78" customHeight="1" x14ac:dyDescent="0.2">
      <c r="B266" s="34"/>
      <c r="C266" s="94"/>
      <c r="D266" s="306"/>
      <c r="E266" s="306"/>
      <c r="F266" s="306"/>
      <c r="G266" s="306"/>
      <c r="H266" s="306"/>
      <c r="I266" s="306"/>
      <c r="J266" s="306"/>
      <c r="K266" s="306"/>
      <c r="L266" s="306"/>
      <c r="M266" s="306"/>
    </row>
    <row r="267" spans="2:13" ht="78" customHeight="1" x14ac:dyDescent="0.2">
      <c r="B267" s="34"/>
      <c r="C267" s="94"/>
      <c r="D267" s="306"/>
      <c r="E267" s="306"/>
      <c r="F267" s="306"/>
      <c r="G267" s="306"/>
      <c r="H267" s="306"/>
      <c r="I267" s="306"/>
      <c r="J267" s="306"/>
      <c r="K267" s="306"/>
      <c r="L267" s="306"/>
      <c r="M267" s="306"/>
    </row>
    <row r="268" spans="2:13" ht="78" customHeight="1" x14ac:dyDescent="0.2">
      <c r="B268" s="34"/>
      <c r="C268" s="94"/>
      <c r="D268" s="306"/>
      <c r="E268" s="306"/>
      <c r="F268" s="306"/>
      <c r="G268" s="306"/>
      <c r="H268" s="306"/>
      <c r="I268" s="306"/>
      <c r="J268" s="306"/>
      <c r="K268" s="306"/>
      <c r="L268" s="306"/>
      <c r="M268" s="306"/>
    </row>
    <row r="269" spans="2:13" ht="78" customHeight="1" x14ac:dyDescent="0.2">
      <c r="B269" s="34"/>
      <c r="C269" s="94"/>
      <c r="D269" s="306"/>
      <c r="E269" s="306"/>
      <c r="F269" s="306"/>
      <c r="G269" s="306"/>
      <c r="H269" s="306"/>
      <c r="I269" s="306"/>
      <c r="J269" s="306"/>
      <c r="K269" s="306"/>
      <c r="L269" s="306"/>
      <c r="M269" s="306"/>
    </row>
    <row r="270" spans="2:13" ht="78" customHeight="1" x14ac:dyDescent="0.2">
      <c r="B270" s="34"/>
      <c r="C270" s="94"/>
      <c r="D270" s="306"/>
      <c r="E270" s="306"/>
      <c r="F270" s="306"/>
      <c r="G270" s="306"/>
      <c r="H270" s="306"/>
      <c r="I270" s="306"/>
      <c r="J270" s="306"/>
      <c r="K270" s="306"/>
      <c r="L270" s="306"/>
      <c r="M270" s="306"/>
    </row>
    <row r="271" spans="2:13" ht="78" customHeight="1" x14ac:dyDescent="0.2">
      <c r="B271" s="34"/>
      <c r="C271" s="94"/>
      <c r="D271" s="306"/>
      <c r="E271" s="306"/>
      <c r="F271" s="306"/>
      <c r="G271" s="306"/>
      <c r="H271" s="306"/>
      <c r="I271" s="306"/>
      <c r="J271" s="306"/>
      <c r="K271" s="306"/>
      <c r="L271" s="306"/>
      <c r="M271" s="306"/>
    </row>
    <row r="272" spans="2:13" ht="78" customHeight="1" x14ac:dyDescent="0.2">
      <c r="B272" s="34"/>
      <c r="C272" s="94"/>
      <c r="D272" s="306"/>
      <c r="E272" s="306"/>
      <c r="F272" s="306"/>
      <c r="G272" s="306"/>
      <c r="H272" s="306"/>
      <c r="I272" s="306"/>
      <c r="J272" s="306"/>
      <c r="K272" s="306"/>
      <c r="L272" s="306"/>
      <c r="M272" s="306"/>
    </row>
    <row r="273" spans="2:13" ht="78" customHeight="1" x14ac:dyDescent="0.2">
      <c r="B273" s="34"/>
      <c r="C273" s="94"/>
      <c r="D273" s="306"/>
      <c r="E273" s="306"/>
      <c r="F273" s="306"/>
      <c r="G273" s="306"/>
      <c r="H273" s="306"/>
      <c r="I273" s="306"/>
      <c r="J273" s="306"/>
      <c r="K273" s="306"/>
      <c r="L273" s="306"/>
      <c r="M273" s="306"/>
    </row>
    <row r="274" spans="2:13" ht="78" customHeight="1" x14ac:dyDescent="0.2">
      <c r="B274" s="34"/>
      <c r="C274" s="94"/>
      <c r="D274" s="306"/>
      <c r="E274" s="306"/>
      <c r="F274" s="306"/>
      <c r="G274" s="306"/>
      <c r="H274" s="306"/>
      <c r="I274" s="306"/>
      <c r="J274" s="306"/>
      <c r="K274" s="306"/>
      <c r="L274" s="306"/>
      <c r="M274" s="306"/>
    </row>
    <row r="275" spans="2:13" ht="78" customHeight="1" x14ac:dyDescent="0.2">
      <c r="B275" s="34"/>
      <c r="C275" s="94"/>
      <c r="D275" s="306"/>
      <c r="E275" s="306"/>
      <c r="F275" s="306"/>
      <c r="G275" s="306"/>
      <c r="H275" s="306"/>
      <c r="I275" s="306"/>
      <c r="J275" s="306"/>
      <c r="K275" s="306"/>
      <c r="L275" s="306"/>
      <c r="M275" s="306"/>
    </row>
    <row r="276" spans="2:13" ht="78" customHeight="1" x14ac:dyDescent="0.2">
      <c r="B276" s="34"/>
      <c r="C276" s="94"/>
      <c r="D276" s="306"/>
      <c r="E276" s="306"/>
      <c r="F276" s="306"/>
      <c r="G276" s="306"/>
      <c r="H276" s="306"/>
      <c r="I276" s="306"/>
      <c r="J276" s="306"/>
      <c r="K276" s="306"/>
      <c r="L276" s="306"/>
      <c r="M276" s="306"/>
    </row>
    <row r="277" spans="2:13" ht="78" customHeight="1" x14ac:dyDescent="0.2">
      <c r="B277" s="34"/>
      <c r="C277" s="94"/>
      <c r="D277" s="306"/>
      <c r="E277" s="306"/>
      <c r="F277" s="306"/>
      <c r="G277" s="306"/>
      <c r="H277" s="306"/>
      <c r="I277" s="306"/>
      <c r="J277" s="306"/>
      <c r="K277" s="306"/>
      <c r="L277" s="306"/>
      <c r="M277" s="306"/>
    </row>
    <row r="278" spans="2:13" ht="78" customHeight="1" x14ac:dyDescent="0.2">
      <c r="B278" s="34"/>
      <c r="C278" s="94"/>
      <c r="D278" s="306"/>
      <c r="E278" s="306"/>
      <c r="F278" s="306"/>
      <c r="G278" s="306"/>
      <c r="H278" s="306"/>
      <c r="I278" s="306"/>
      <c r="J278" s="306"/>
      <c r="K278" s="306"/>
      <c r="L278" s="306"/>
      <c r="M278" s="306"/>
    </row>
    <row r="279" spans="2:13" ht="78" customHeight="1" x14ac:dyDescent="0.2">
      <c r="B279" s="34"/>
      <c r="C279" s="94"/>
      <c r="D279" s="306"/>
      <c r="E279" s="306"/>
      <c r="F279" s="306"/>
      <c r="G279" s="306"/>
      <c r="H279" s="306"/>
      <c r="I279" s="306"/>
      <c r="J279" s="306"/>
      <c r="K279" s="306"/>
      <c r="L279" s="306"/>
      <c r="M279" s="306"/>
    </row>
    <row r="280" spans="2:13" ht="78" customHeight="1" x14ac:dyDescent="0.2">
      <c r="B280" s="34"/>
      <c r="C280" s="94"/>
      <c r="D280" s="306"/>
      <c r="E280" s="306"/>
      <c r="F280" s="306"/>
      <c r="G280" s="306"/>
      <c r="H280" s="306"/>
      <c r="I280" s="306"/>
      <c r="J280" s="306"/>
      <c r="K280" s="306"/>
      <c r="L280" s="306"/>
      <c r="M280" s="306"/>
    </row>
    <row r="281" spans="2:13" ht="78" customHeight="1" x14ac:dyDescent="0.2">
      <c r="B281" s="34"/>
      <c r="C281" s="94"/>
      <c r="D281" s="306"/>
      <c r="E281" s="306"/>
      <c r="F281" s="306"/>
      <c r="G281" s="306"/>
      <c r="H281" s="306"/>
      <c r="I281" s="306"/>
      <c r="J281" s="306"/>
      <c r="K281" s="306"/>
      <c r="L281" s="306"/>
      <c r="M281" s="306"/>
    </row>
    <row r="282" spans="2:13" ht="78" customHeight="1" x14ac:dyDescent="0.2">
      <c r="B282" s="34"/>
      <c r="C282" s="94"/>
      <c r="D282" s="306"/>
      <c r="E282" s="306"/>
      <c r="F282" s="306"/>
      <c r="G282" s="306"/>
      <c r="H282" s="306"/>
      <c r="I282" s="306"/>
      <c r="J282" s="306"/>
      <c r="K282" s="306"/>
      <c r="L282" s="306"/>
      <c r="M282" s="306"/>
    </row>
    <row r="283" spans="2:13" ht="78" customHeight="1" x14ac:dyDescent="0.2">
      <c r="B283" s="34"/>
      <c r="C283" s="94"/>
      <c r="D283" s="306"/>
      <c r="E283" s="306"/>
      <c r="F283" s="306"/>
      <c r="G283" s="306"/>
      <c r="H283" s="306"/>
      <c r="I283" s="306"/>
      <c r="J283" s="306"/>
      <c r="K283" s="306"/>
      <c r="L283" s="306"/>
      <c r="M283" s="306"/>
    </row>
    <row r="284" spans="2:13" ht="78" customHeight="1" x14ac:dyDescent="0.2">
      <c r="B284" s="34"/>
      <c r="C284" s="94"/>
      <c r="D284" s="306"/>
      <c r="E284" s="306"/>
      <c r="F284" s="306"/>
      <c r="G284" s="306"/>
      <c r="H284" s="306"/>
      <c r="I284" s="306"/>
      <c r="J284" s="306"/>
      <c r="K284" s="306"/>
      <c r="L284" s="306"/>
      <c r="M284" s="306"/>
    </row>
    <row r="285" spans="2:13" ht="78" customHeight="1" x14ac:dyDescent="0.2">
      <c r="B285" s="34"/>
      <c r="C285" s="94"/>
      <c r="D285" s="306"/>
      <c r="E285" s="306"/>
      <c r="F285" s="306"/>
      <c r="G285" s="306"/>
      <c r="H285" s="306"/>
      <c r="I285" s="306"/>
      <c r="J285" s="306"/>
      <c r="K285" s="306"/>
      <c r="L285" s="306"/>
      <c r="M285" s="306"/>
    </row>
    <row r="286" spans="2:13" ht="78" customHeight="1" x14ac:dyDescent="0.2">
      <c r="B286" s="34"/>
      <c r="C286" s="94"/>
      <c r="D286" s="306"/>
      <c r="E286" s="306"/>
      <c r="F286" s="306"/>
      <c r="G286" s="306"/>
      <c r="H286" s="306"/>
      <c r="I286" s="306"/>
      <c r="J286" s="306"/>
      <c r="K286" s="306"/>
      <c r="L286" s="306"/>
      <c r="M286" s="306"/>
    </row>
    <row r="287" spans="2:13" ht="78" customHeight="1" x14ac:dyDescent="0.2">
      <c r="B287" s="34"/>
      <c r="C287" s="94"/>
      <c r="D287" s="306"/>
      <c r="E287" s="306"/>
      <c r="F287" s="306"/>
      <c r="G287" s="306"/>
      <c r="H287" s="306"/>
      <c r="I287" s="306"/>
      <c r="J287" s="306"/>
      <c r="K287" s="306"/>
      <c r="L287" s="306"/>
      <c r="M287" s="306"/>
    </row>
    <row r="288" spans="2:13" ht="78" customHeight="1" x14ac:dyDescent="0.2">
      <c r="B288" s="34"/>
      <c r="C288" s="94"/>
      <c r="D288" s="306"/>
      <c r="E288" s="306"/>
      <c r="F288" s="306"/>
      <c r="G288" s="306"/>
      <c r="H288" s="306"/>
      <c r="I288" s="306"/>
      <c r="J288" s="306"/>
      <c r="K288" s="306"/>
      <c r="L288" s="306"/>
      <c r="M288" s="306"/>
    </row>
    <row r="289" spans="2:13" ht="78" customHeight="1" x14ac:dyDescent="0.2">
      <c r="B289" s="34"/>
      <c r="C289" s="94"/>
      <c r="D289" s="306"/>
      <c r="E289" s="306"/>
      <c r="F289" s="306"/>
      <c r="G289" s="306"/>
      <c r="H289" s="306"/>
      <c r="I289" s="306"/>
      <c r="J289" s="306"/>
      <c r="K289" s="306"/>
      <c r="L289" s="306"/>
      <c r="M289" s="306"/>
    </row>
    <row r="290" spans="2:13" ht="78" customHeight="1" x14ac:dyDescent="0.2">
      <c r="B290" s="34"/>
      <c r="C290" s="94"/>
      <c r="D290" s="306"/>
      <c r="E290" s="306"/>
      <c r="F290" s="306"/>
      <c r="G290" s="306"/>
      <c r="H290" s="306"/>
      <c r="I290" s="306"/>
      <c r="J290" s="306"/>
      <c r="K290" s="306"/>
      <c r="L290" s="306"/>
      <c r="M290" s="306"/>
    </row>
    <row r="291" spans="2:13" ht="78" customHeight="1" x14ac:dyDescent="0.2">
      <c r="B291" s="34"/>
      <c r="C291" s="94"/>
      <c r="D291" s="306"/>
      <c r="E291" s="306"/>
      <c r="F291" s="306"/>
      <c r="G291" s="306"/>
      <c r="H291" s="306"/>
      <c r="I291" s="306"/>
      <c r="J291" s="306"/>
      <c r="K291" s="306"/>
      <c r="L291" s="306"/>
      <c r="M291" s="306"/>
    </row>
    <row r="292" spans="2:13" ht="78" customHeight="1" x14ac:dyDescent="0.2">
      <c r="B292" s="34"/>
      <c r="C292" s="94"/>
      <c r="D292" s="306"/>
      <c r="E292" s="306"/>
      <c r="F292" s="306"/>
      <c r="G292" s="306"/>
      <c r="H292" s="306"/>
      <c r="I292" s="306"/>
      <c r="J292" s="306"/>
      <c r="K292" s="306"/>
      <c r="L292" s="306"/>
      <c r="M292" s="306"/>
    </row>
    <row r="293" spans="2:13" ht="78" customHeight="1" x14ac:dyDescent="0.2">
      <c r="B293" s="34"/>
      <c r="C293" s="94"/>
      <c r="D293" s="306"/>
      <c r="E293" s="306"/>
      <c r="F293" s="306"/>
      <c r="G293" s="306"/>
      <c r="H293" s="306"/>
      <c r="I293" s="306"/>
      <c r="J293" s="306"/>
      <c r="K293" s="306"/>
      <c r="L293" s="306"/>
      <c r="M293" s="306"/>
    </row>
    <row r="294" spans="2:13" ht="78" customHeight="1" x14ac:dyDescent="0.2">
      <c r="B294" s="34"/>
      <c r="C294" s="94"/>
      <c r="D294" s="306"/>
      <c r="E294" s="306"/>
      <c r="F294" s="306"/>
      <c r="G294" s="306"/>
      <c r="H294" s="306"/>
      <c r="I294" s="306"/>
      <c r="J294" s="306"/>
      <c r="K294" s="306"/>
      <c r="L294" s="306"/>
      <c r="M294" s="306"/>
    </row>
    <row r="295" spans="2:13" ht="78" customHeight="1" x14ac:dyDescent="0.2">
      <c r="B295" s="34"/>
      <c r="C295" s="94"/>
      <c r="D295" s="306"/>
      <c r="E295" s="306"/>
      <c r="F295" s="306"/>
      <c r="G295" s="306"/>
      <c r="H295" s="306"/>
      <c r="I295" s="306"/>
      <c r="J295" s="306"/>
      <c r="K295" s="306"/>
      <c r="L295" s="306"/>
      <c r="M295" s="306"/>
    </row>
    <row r="296" spans="2:13" ht="78" customHeight="1" x14ac:dyDescent="0.2">
      <c r="B296" s="34"/>
      <c r="C296" s="94"/>
      <c r="D296" s="306"/>
      <c r="E296" s="306"/>
      <c r="F296" s="306"/>
      <c r="G296" s="306"/>
      <c r="H296" s="306"/>
      <c r="I296" s="306"/>
      <c r="J296" s="306"/>
      <c r="K296" s="306"/>
      <c r="L296" s="306"/>
      <c r="M296" s="306"/>
    </row>
    <row r="297" spans="2:13" ht="78" customHeight="1" x14ac:dyDescent="0.2">
      <c r="B297" s="34"/>
      <c r="C297" s="94"/>
      <c r="D297" s="306"/>
      <c r="E297" s="306"/>
      <c r="F297" s="306"/>
      <c r="G297" s="306"/>
      <c r="H297" s="306"/>
      <c r="I297" s="306"/>
      <c r="J297" s="306"/>
      <c r="K297" s="306"/>
      <c r="L297" s="306"/>
      <c r="M297" s="306"/>
    </row>
    <row r="298" spans="2:13" ht="78" customHeight="1" x14ac:dyDescent="0.2">
      <c r="B298" s="34"/>
      <c r="C298" s="94"/>
      <c r="D298" s="306"/>
      <c r="E298" s="306"/>
      <c r="F298" s="306"/>
      <c r="G298" s="306"/>
      <c r="H298" s="306"/>
      <c r="I298" s="306"/>
      <c r="J298" s="306"/>
      <c r="K298" s="306"/>
      <c r="L298" s="306"/>
      <c r="M298" s="306"/>
    </row>
    <row r="299" spans="2:13" ht="78" customHeight="1" x14ac:dyDescent="0.2">
      <c r="B299" s="34"/>
      <c r="C299" s="94"/>
      <c r="D299" s="306"/>
      <c r="E299" s="306"/>
      <c r="F299" s="306"/>
      <c r="G299" s="306"/>
      <c r="H299" s="306"/>
      <c r="I299" s="306"/>
      <c r="J299" s="306"/>
      <c r="K299" s="306"/>
      <c r="L299" s="306"/>
      <c r="M299" s="306"/>
    </row>
    <row r="300" spans="2:13" ht="78" customHeight="1" x14ac:dyDescent="0.2">
      <c r="B300" s="34"/>
      <c r="C300" s="94"/>
      <c r="D300" s="306"/>
      <c r="E300" s="306"/>
      <c r="F300" s="306"/>
      <c r="G300" s="306"/>
      <c r="H300" s="306"/>
      <c r="I300" s="306"/>
      <c r="J300" s="306"/>
      <c r="K300" s="306"/>
      <c r="L300" s="306"/>
      <c r="M300" s="306"/>
    </row>
    <row r="301" spans="2:13" ht="78" customHeight="1" x14ac:dyDescent="0.2">
      <c r="B301" s="34"/>
      <c r="C301" s="94"/>
      <c r="D301" s="306"/>
      <c r="E301" s="306"/>
      <c r="F301" s="306"/>
      <c r="G301" s="306"/>
      <c r="H301" s="306"/>
      <c r="I301" s="306"/>
      <c r="J301" s="306"/>
      <c r="K301" s="306"/>
      <c r="L301" s="306"/>
      <c r="M301" s="306"/>
    </row>
  </sheetData>
  <mergeCells count="300">
    <mergeCell ref="D301:M301"/>
    <mergeCell ref="D296:M296"/>
    <mergeCell ref="D297:M297"/>
    <mergeCell ref="D298:M298"/>
    <mergeCell ref="D299:M299"/>
    <mergeCell ref="D300:M300"/>
    <mergeCell ref="D291:M291"/>
    <mergeCell ref="D292:M292"/>
    <mergeCell ref="D293:M293"/>
    <mergeCell ref="D294:M294"/>
    <mergeCell ref="D295:M295"/>
    <mergeCell ref="D286:M286"/>
    <mergeCell ref="D287:M287"/>
    <mergeCell ref="D288:M288"/>
    <mergeCell ref="D289:M289"/>
    <mergeCell ref="D290:M290"/>
    <mergeCell ref="D281:M281"/>
    <mergeCell ref="D282:M282"/>
    <mergeCell ref="D283:M283"/>
    <mergeCell ref="D284:M284"/>
    <mergeCell ref="D285:M285"/>
    <mergeCell ref="D276:M276"/>
    <mergeCell ref="D277:M277"/>
    <mergeCell ref="D278:M278"/>
    <mergeCell ref="D279:M279"/>
    <mergeCell ref="D280:M280"/>
    <mergeCell ref="D271:M271"/>
    <mergeCell ref="D272:M272"/>
    <mergeCell ref="D273:M273"/>
    <mergeCell ref="D274:M274"/>
    <mergeCell ref="D275:M275"/>
    <mergeCell ref="D266:M266"/>
    <mergeCell ref="D267:M267"/>
    <mergeCell ref="D268:M268"/>
    <mergeCell ref="D269:M269"/>
    <mergeCell ref="D270:M270"/>
    <mergeCell ref="D261:M261"/>
    <mergeCell ref="D262:M262"/>
    <mergeCell ref="D263:M263"/>
    <mergeCell ref="D264:M264"/>
    <mergeCell ref="D265:M265"/>
    <mergeCell ref="D256:M256"/>
    <mergeCell ref="D257:M257"/>
    <mergeCell ref="D258:M258"/>
    <mergeCell ref="D259:M259"/>
    <mergeCell ref="D260:M260"/>
    <mergeCell ref="D251:M251"/>
    <mergeCell ref="D252:M252"/>
    <mergeCell ref="D253:M253"/>
    <mergeCell ref="D254:M254"/>
    <mergeCell ref="D255:M255"/>
    <mergeCell ref="D246:M246"/>
    <mergeCell ref="D247:M247"/>
    <mergeCell ref="D248:M248"/>
    <mergeCell ref="D249:M249"/>
    <mergeCell ref="D250:M250"/>
    <mergeCell ref="D241:M241"/>
    <mergeCell ref="D242:M242"/>
    <mergeCell ref="D243:M243"/>
    <mergeCell ref="D244:M244"/>
    <mergeCell ref="D245:M245"/>
    <mergeCell ref="D236:M236"/>
    <mergeCell ref="D237:M237"/>
    <mergeCell ref="D238:M238"/>
    <mergeCell ref="D239:M239"/>
    <mergeCell ref="D240:M240"/>
    <mergeCell ref="D231:M231"/>
    <mergeCell ref="D232:M232"/>
    <mergeCell ref="D233:M233"/>
    <mergeCell ref="D234:M234"/>
    <mergeCell ref="D235:M235"/>
    <mergeCell ref="D226:M226"/>
    <mergeCell ref="D227:M227"/>
    <mergeCell ref="D228:M228"/>
    <mergeCell ref="D229:M229"/>
    <mergeCell ref="D230:M230"/>
    <mergeCell ref="D221:M221"/>
    <mergeCell ref="D222:M222"/>
    <mergeCell ref="D223:M223"/>
    <mergeCell ref="D224:M224"/>
    <mergeCell ref="D225:M225"/>
    <mergeCell ref="D216:M216"/>
    <mergeCell ref="D217:M217"/>
    <mergeCell ref="D218:M218"/>
    <mergeCell ref="D219:M219"/>
    <mergeCell ref="D220:M220"/>
    <mergeCell ref="D211:M211"/>
    <mergeCell ref="D212:M212"/>
    <mergeCell ref="D213:M213"/>
    <mergeCell ref="D214:M214"/>
    <mergeCell ref="D215:M215"/>
    <mergeCell ref="D206:M206"/>
    <mergeCell ref="D207:M207"/>
    <mergeCell ref="D208:M208"/>
    <mergeCell ref="D209:M209"/>
    <mergeCell ref="D210:M210"/>
    <mergeCell ref="D201:M201"/>
    <mergeCell ref="D202:M202"/>
    <mergeCell ref="D203:M203"/>
    <mergeCell ref="D204:M204"/>
    <mergeCell ref="D205:M205"/>
    <mergeCell ref="D196:M196"/>
    <mergeCell ref="D197:M197"/>
    <mergeCell ref="D198:M198"/>
    <mergeCell ref="D199:M199"/>
    <mergeCell ref="D200:M200"/>
    <mergeCell ref="D191:M191"/>
    <mergeCell ref="D192:M192"/>
    <mergeCell ref="D193:M193"/>
    <mergeCell ref="D194:M194"/>
    <mergeCell ref="D195:M195"/>
    <mergeCell ref="D186:M186"/>
    <mergeCell ref="D187:M187"/>
    <mergeCell ref="D188:M188"/>
    <mergeCell ref="D189:M189"/>
    <mergeCell ref="D190:M190"/>
    <mergeCell ref="D181:M181"/>
    <mergeCell ref="D182:M182"/>
    <mergeCell ref="D183:M183"/>
    <mergeCell ref="D184:M184"/>
    <mergeCell ref="D185:M185"/>
    <mergeCell ref="D176:M176"/>
    <mergeCell ref="D177:M177"/>
    <mergeCell ref="D178:M178"/>
    <mergeCell ref="D179:M179"/>
    <mergeCell ref="D180:M180"/>
    <mergeCell ref="D171:M171"/>
    <mergeCell ref="D172:M172"/>
    <mergeCell ref="D173:M173"/>
    <mergeCell ref="D174:M174"/>
    <mergeCell ref="D175:M175"/>
    <mergeCell ref="D166:M166"/>
    <mergeCell ref="D167:M167"/>
    <mergeCell ref="D168:M168"/>
    <mergeCell ref="D169:M169"/>
    <mergeCell ref="D170:M170"/>
    <mergeCell ref="D161:M161"/>
    <mergeCell ref="D162:M162"/>
    <mergeCell ref="D163:M163"/>
    <mergeCell ref="D164:M164"/>
    <mergeCell ref="D165:M165"/>
    <mergeCell ref="D156:M156"/>
    <mergeCell ref="D157:M157"/>
    <mergeCell ref="D158:M158"/>
    <mergeCell ref="D159:M159"/>
    <mergeCell ref="D160:M160"/>
    <mergeCell ref="D151:M151"/>
    <mergeCell ref="D152:M152"/>
    <mergeCell ref="D153:M153"/>
    <mergeCell ref="D154:M154"/>
    <mergeCell ref="D155:M155"/>
    <mergeCell ref="D146:M146"/>
    <mergeCell ref="D147:M147"/>
    <mergeCell ref="D148:M148"/>
    <mergeCell ref="D149:M149"/>
    <mergeCell ref="D150:M150"/>
    <mergeCell ref="D141:M141"/>
    <mergeCell ref="D142:M142"/>
    <mergeCell ref="D143:M143"/>
    <mergeCell ref="D144:M144"/>
    <mergeCell ref="D145:M145"/>
    <mergeCell ref="D136:M136"/>
    <mergeCell ref="D137:M137"/>
    <mergeCell ref="D138:M138"/>
    <mergeCell ref="D139:M139"/>
    <mergeCell ref="D140:M140"/>
    <mergeCell ref="D131:M131"/>
    <mergeCell ref="D132:M132"/>
    <mergeCell ref="D133:M133"/>
    <mergeCell ref="D134:M134"/>
    <mergeCell ref="D135:M135"/>
    <mergeCell ref="D126:M126"/>
    <mergeCell ref="D127:M127"/>
    <mergeCell ref="D128:M128"/>
    <mergeCell ref="D129:M129"/>
    <mergeCell ref="D130:M130"/>
    <mergeCell ref="D121:M121"/>
    <mergeCell ref="D122:M122"/>
    <mergeCell ref="D123:M123"/>
    <mergeCell ref="D124:M124"/>
    <mergeCell ref="D125:M125"/>
    <mergeCell ref="D116:M116"/>
    <mergeCell ref="D117:M117"/>
    <mergeCell ref="D118:M118"/>
    <mergeCell ref="D119:M119"/>
    <mergeCell ref="D120:M120"/>
    <mergeCell ref="D111:M111"/>
    <mergeCell ref="D112:M112"/>
    <mergeCell ref="D113:M113"/>
    <mergeCell ref="D114:M114"/>
    <mergeCell ref="D115:M115"/>
    <mergeCell ref="D106:M106"/>
    <mergeCell ref="D107:M107"/>
    <mergeCell ref="D108:M108"/>
    <mergeCell ref="D109:M109"/>
    <mergeCell ref="D110:M110"/>
    <mergeCell ref="D101:M101"/>
    <mergeCell ref="D102:M102"/>
    <mergeCell ref="D103:M103"/>
    <mergeCell ref="D104:M104"/>
    <mergeCell ref="D105:M105"/>
    <mergeCell ref="D96:M96"/>
    <mergeCell ref="D97:M97"/>
    <mergeCell ref="D98:M98"/>
    <mergeCell ref="D99:M99"/>
    <mergeCell ref="D100:M100"/>
    <mergeCell ref="D91:M91"/>
    <mergeCell ref="D92:M92"/>
    <mergeCell ref="D93:M93"/>
    <mergeCell ref="D94:M94"/>
    <mergeCell ref="D95:M95"/>
    <mergeCell ref="D86:M86"/>
    <mergeCell ref="D87:M87"/>
    <mergeCell ref="D88:M88"/>
    <mergeCell ref="D89:M89"/>
    <mergeCell ref="D90:M90"/>
    <mergeCell ref="D81:M81"/>
    <mergeCell ref="D82:M82"/>
    <mergeCell ref="D83:M83"/>
    <mergeCell ref="D84:M84"/>
    <mergeCell ref="D85:M85"/>
    <mergeCell ref="D76:M76"/>
    <mergeCell ref="D77:M77"/>
    <mergeCell ref="D78:M78"/>
    <mergeCell ref="D79:M79"/>
    <mergeCell ref="D80:M80"/>
    <mergeCell ref="D71:M71"/>
    <mergeCell ref="D72:M72"/>
    <mergeCell ref="D73:M73"/>
    <mergeCell ref="D74:M74"/>
    <mergeCell ref="D75:M75"/>
    <mergeCell ref="D66:M66"/>
    <mergeCell ref="D67:M67"/>
    <mergeCell ref="D68:M68"/>
    <mergeCell ref="D69:M69"/>
    <mergeCell ref="D70:M70"/>
    <mergeCell ref="D61:M61"/>
    <mergeCell ref="D62:M62"/>
    <mergeCell ref="D63:M63"/>
    <mergeCell ref="D64:M64"/>
    <mergeCell ref="D65:M65"/>
    <mergeCell ref="D56:M56"/>
    <mergeCell ref="D57:M57"/>
    <mergeCell ref="D58:M58"/>
    <mergeCell ref="D59:M59"/>
    <mergeCell ref="D60:M60"/>
    <mergeCell ref="D51:M51"/>
    <mergeCell ref="D52:M52"/>
    <mergeCell ref="D53:M53"/>
    <mergeCell ref="D54:M54"/>
    <mergeCell ref="D55:M55"/>
    <mergeCell ref="D50:M50"/>
    <mergeCell ref="D45:M45"/>
    <mergeCell ref="D46:M46"/>
    <mergeCell ref="D47:M47"/>
    <mergeCell ref="D48:M48"/>
    <mergeCell ref="D49:M49"/>
    <mergeCell ref="D40:M40"/>
    <mergeCell ref="D41:M41"/>
    <mergeCell ref="D42:M42"/>
    <mergeCell ref="D43:M43"/>
    <mergeCell ref="D44:M44"/>
    <mergeCell ref="D35:M35"/>
    <mergeCell ref="D36:M36"/>
    <mergeCell ref="D37:M37"/>
    <mergeCell ref="D38:M38"/>
    <mergeCell ref="D39:M39"/>
    <mergeCell ref="D30:M30"/>
    <mergeCell ref="D31:M31"/>
    <mergeCell ref="D32:M32"/>
    <mergeCell ref="D33:M33"/>
    <mergeCell ref="D34:M34"/>
    <mergeCell ref="D8:M8"/>
    <mergeCell ref="D5:M5"/>
    <mergeCell ref="D12:M12"/>
    <mergeCell ref="D13:M13"/>
    <mergeCell ref="D11:M11"/>
    <mergeCell ref="D10:M10"/>
    <mergeCell ref="D9:M9"/>
    <mergeCell ref="D2:M2"/>
    <mergeCell ref="D7:M7"/>
    <mergeCell ref="D6:M6"/>
    <mergeCell ref="D4:M4"/>
    <mergeCell ref="D3:M3"/>
    <mergeCell ref="D23:M23"/>
    <mergeCell ref="D29:M29"/>
    <mergeCell ref="D24:M24"/>
    <mergeCell ref="D25:M25"/>
    <mergeCell ref="D26:M26"/>
    <mergeCell ref="D27:M27"/>
    <mergeCell ref="D28:M28"/>
    <mergeCell ref="D14:M14"/>
    <mergeCell ref="D15:M15"/>
    <mergeCell ref="D16:M16"/>
    <mergeCell ref="D17:M17"/>
    <mergeCell ref="D18:M18"/>
    <mergeCell ref="D19:M19"/>
    <mergeCell ref="D20:M20"/>
    <mergeCell ref="D21:M21"/>
    <mergeCell ref="D22:M22"/>
  </mergeCell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Intro</vt:lpstr>
      <vt:lpstr>Input</vt:lpstr>
      <vt:lpstr>Reaction Information</vt:lpstr>
      <vt:lpstr>Results</vt:lpstr>
      <vt:lpstr>Aqueous Species Options</vt:lpstr>
      <vt:lpstr>Aqueous Species Table</vt:lpstr>
      <vt:lpstr>Gas Table</vt:lpstr>
      <vt:lpstr>Calculations</vt:lpstr>
      <vt:lpstr>Water Density</vt:lpstr>
      <vt:lpstr>Dielectric Constant</vt:lpstr>
      <vt:lpstr>Water Free Energy</vt:lpstr>
      <vt:lpstr>Change Log</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dc:creator>
  <cp:lastModifiedBy>Dimitri Sverjensky</cp:lastModifiedBy>
  <cp:lastPrinted>2024-11-27T20:12:46Z</cp:lastPrinted>
  <dcterms:created xsi:type="dcterms:W3CDTF">2012-02-06T23:11:36Z</dcterms:created>
  <dcterms:modified xsi:type="dcterms:W3CDTF">2025-03-11T16:43:07Z</dcterms:modified>
</cp:coreProperties>
</file>